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zv-podklady\Nemocnice\pausal-nemocnice\2023\VYUCTOVANI_2023\89301000\data pro PZS\"/>
    </mc:Choice>
  </mc:AlternateContent>
  <bookViews>
    <workbookView xWindow="0" yWindow="0" windowWidth="28800" windowHeight="13380"/>
  </bookViews>
  <sheets>
    <sheet name="IND_2023" sheetId="1" r:id="rId1"/>
  </sheets>
  <calcPr calcId="0"/>
</workbook>
</file>

<file path=xl/calcChain.xml><?xml version="1.0" encoding="utf-8"?>
<calcChain xmlns="http://schemas.openxmlformats.org/spreadsheetml/2006/main">
  <c r="A2" i="1" l="1"/>
  <c r="B2" i="1"/>
  <c r="C2" i="1"/>
  <c r="E2" i="1"/>
  <c r="G2" i="1"/>
  <c r="K2" i="1"/>
  <c r="A3" i="1"/>
  <c r="B3" i="1"/>
  <c r="C3" i="1"/>
  <c r="E3" i="1"/>
  <c r="G3" i="1"/>
  <c r="K3" i="1"/>
  <c r="A4" i="1"/>
  <c r="B4" i="1"/>
  <c r="C4" i="1"/>
  <c r="E4" i="1"/>
  <c r="G4" i="1"/>
  <c r="K4" i="1"/>
  <c r="A5" i="1"/>
  <c r="B5" i="1"/>
  <c r="C5" i="1"/>
  <c r="E5" i="1"/>
  <c r="G5" i="1"/>
  <c r="K5" i="1"/>
  <c r="A6" i="1"/>
  <c r="B6" i="1"/>
  <c r="C6" i="1"/>
  <c r="E6" i="1"/>
  <c r="G6" i="1"/>
  <c r="K6" i="1"/>
  <c r="A7" i="1"/>
  <c r="B7" i="1"/>
  <c r="C7" i="1"/>
  <c r="E7" i="1"/>
  <c r="G7" i="1"/>
  <c r="K7" i="1"/>
  <c r="A8" i="1"/>
  <c r="B8" i="1"/>
  <c r="C8" i="1"/>
  <c r="E8" i="1"/>
  <c r="G8" i="1"/>
  <c r="K8" i="1"/>
  <c r="A9" i="1"/>
  <c r="B9" i="1"/>
  <c r="C9" i="1"/>
  <c r="E9" i="1"/>
  <c r="G9" i="1"/>
  <c r="K9" i="1"/>
  <c r="A10" i="1"/>
  <c r="B10" i="1"/>
  <c r="C10" i="1"/>
  <c r="E10" i="1"/>
  <c r="G10" i="1"/>
  <c r="K10" i="1"/>
  <c r="A11" i="1"/>
  <c r="B11" i="1"/>
  <c r="C11" i="1"/>
  <c r="E11" i="1"/>
  <c r="G11" i="1"/>
  <c r="K11" i="1"/>
  <c r="A12" i="1"/>
  <c r="B12" i="1"/>
  <c r="C12" i="1"/>
  <c r="E12" i="1"/>
  <c r="G12" i="1"/>
  <c r="K12" i="1"/>
  <c r="A13" i="1"/>
  <c r="B13" i="1"/>
  <c r="C13" i="1"/>
  <c r="E13" i="1"/>
  <c r="G13" i="1"/>
  <c r="K13" i="1"/>
  <c r="A14" i="1"/>
  <c r="B14" i="1"/>
  <c r="C14" i="1"/>
  <c r="E14" i="1"/>
  <c r="G14" i="1"/>
  <c r="K14" i="1"/>
  <c r="A15" i="1"/>
  <c r="B15" i="1"/>
  <c r="C15" i="1"/>
  <c r="E15" i="1"/>
  <c r="G15" i="1"/>
  <c r="K15" i="1"/>
  <c r="A16" i="1"/>
  <c r="B16" i="1"/>
  <c r="C16" i="1"/>
  <c r="E16" i="1"/>
  <c r="G16" i="1"/>
  <c r="K16" i="1"/>
  <c r="A17" i="1"/>
  <c r="B17" i="1"/>
  <c r="C17" i="1"/>
  <c r="E17" i="1"/>
  <c r="G17" i="1"/>
  <c r="K17" i="1"/>
  <c r="A18" i="1"/>
  <c r="B18" i="1"/>
  <c r="C18" i="1"/>
  <c r="E18" i="1"/>
  <c r="G18" i="1"/>
  <c r="K18" i="1"/>
  <c r="A19" i="1"/>
  <c r="B19" i="1"/>
  <c r="C19" i="1"/>
  <c r="E19" i="1"/>
  <c r="G19" i="1"/>
  <c r="K19" i="1"/>
  <c r="A20" i="1"/>
  <c r="B20" i="1"/>
  <c r="C20" i="1"/>
  <c r="E20" i="1"/>
  <c r="G20" i="1"/>
  <c r="K20" i="1"/>
  <c r="A21" i="1"/>
  <c r="B21" i="1"/>
  <c r="C21" i="1"/>
  <c r="E21" i="1"/>
  <c r="G21" i="1"/>
  <c r="K21" i="1"/>
  <c r="A22" i="1"/>
  <c r="B22" i="1"/>
  <c r="C22" i="1"/>
  <c r="E22" i="1"/>
  <c r="G22" i="1"/>
  <c r="K22" i="1"/>
  <c r="A23" i="1"/>
  <c r="B23" i="1"/>
  <c r="C23" i="1"/>
  <c r="E23" i="1"/>
  <c r="G23" i="1"/>
  <c r="K23" i="1"/>
  <c r="A24" i="1"/>
  <c r="B24" i="1"/>
  <c r="C24" i="1"/>
  <c r="E24" i="1"/>
  <c r="G24" i="1"/>
  <c r="K24" i="1"/>
  <c r="A25" i="1"/>
  <c r="B25" i="1"/>
  <c r="C25" i="1"/>
  <c r="E25" i="1"/>
  <c r="G25" i="1"/>
  <c r="K25" i="1"/>
  <c r="A26" i="1"/>
  <c r="B26" i="1"/>
  <c r="C26" i="1"/>
  <c r="E26" i="1"/>
  <c r="G26" i="1"/>
  <c r="K26" i="1"/>
  <c r="A27" i="1"/>
  <c r="B27" i="1"/>
  <c r="C27" i="1"/>
  <c r="E27" i="1"/>
  <c r="G27" i="1"/>
  <c r="K27" i="1"/>
  <c r="A28" i="1"/>
  <c r="B28" i="1"/>
  <c r="C28" i="1"/>
  <c r="E28" i="1"/>
  <c r="G28" i="1"/>
  <c r="K28" i="1"/>
  <c r="A29" i="1"/>
  <c r="B29" i="1"/>
  <c r="C29" i="1"/>
  <c r="E29" i="1"/>
  <c r="G29" i="1"/>
  <c r="K29" i="1"/>
  <c r="A30" i="1"/>
  <c r="B30" i="1"/>
  <c r="C30" i="1"/>
  <c r="E30" i="1"/>
  <c r="G30" i="1"/>
  <c r="K30" i="1"/>
  <c r="A31" i="1"/>
  <c r="B31" i="1"/>
  <c r="C31" i="1"/>
  <c r="E31" i="1"/>
  <c r="G31" i="1"/>
  <c r="K31" i="1"/>
  <c r="A32" i="1"/>
  <c r="B32" i="1"/>
  <c r="C32" i="1"/>
  <c r="E32" i="1"/>
  <c r="G32" i="1"/>
  <c r="K32" i="1"/>
  <c r="A33" i="1"/>
  <c r="B33" i="1"/>
  <c r="C33" i="1"/>
  <c r="E33" i="1"/>
  <c r="G33" i="1"/>
  <c r="K33" i="1"/>
  <c r="A34" i="1"/>
  <c r="B34" i="1"/>
  <c r="C34" i="1"/>
  <c r="E34" i="1"/>
  <c r="G34" i="1"/>
  <c r="K34" i="1"/>
  <c r="A35" i="1"/>
  <c r="B35" i="1"/>
  <c r="C35" i="1"/>
  <c r="E35" i="1"/>
  <c r="G35" i="1"/>
  <c r="K35" i="1"/>
  <c r="A36" i="1"/>
  <c r="B36" i="1"/>
  <c r="C36" i="1"/>
  <c r="E36" i="1"/>
  <c r="G36" i="1"/>
  <c r="K36" i="1"/>
  <c r="A37" i="1"/>
  <c r="B37" i="1"/>
  <c r="C37" i="1"/>
  <c r="E37" i="1"/>
  <c r="G37" i="1"/>
  <c r="K37" i="1"/>
  <c r="A38" i="1"/>
  <c r="B38" i="1"/>
  <c r="C38" i="1"/>
  <c r="E38" i="1"/>
  <c r="G38" i="1"/>
  <c r="K38" i="1"/>
  <c r="A39" i="1"/>
  <c r="B39" i="1"/>
  <c r="C39" i="1"/>
  <c r="E39" i="1"/>
  <c r="G39" i="1"/>
  <c r="K39" i="1"/>
  <c r="A40" i="1"/>
  <c r="B40" i="1"/>
  <c r="C40" i="1"/>
  <c r="E40" i="1"/>
  <c r="G40" i="1"/>
  <c r="K40" i="1"/>
  <c r="A41" i="1"/>
  <c r="B41" i="1"/>
  <c r="C41" i="1"/>
  <c r="E41" i="1"/>
  <c r="G41" i="1"/>
  <c r="K41" i="1"/>
  <c r="A42" i="1"/>
  <c r="B42" i="1"/>
  <c r="C42" i="1"/>
  <c r="E42" i="1"/>
  <c r="G42" i="1"/>
  <c r="K42" i="1"/>
  <c r="A43" i="1"/>
  <c r="B43" i="1"/>
  <c r="C43" i="1"/>
  <c r="E43" i="1"/>
  <c r="G43" i="1"/>
  <c r="K43" i="1"/>
  <c r="A44" i="1"/>
  <c r="B44" i="1"/>
  <c r="C44" i="1"/>
  <c r="E44" i="1"/>
  <c r="G44" i="1"/>
  <c r="K44" i="1"/>
  <c r="A45" i="1"/>
  <c r="B45" i="1"/>
  <c r="C45" i="1"/>
  <c r="E45" i="1"/>
  <c r="G45" i="1"/>
  <c r="K45" i="1"/>
  <c r="A46" i="1"/>
  <c r="B46" i="1"/>
  <c r="C46" i="1"/>
  <c r="E46" i="1"/>
  <c r="G46" i="1"/>
  <c r="K46" i="1"/>
  <c r="A47" i="1"/>
  <c r="B47" i="1"/>
  <c r="C47" i="1"/>
  <c r="E47" i="1"/>
  <c r="G47" i="1"/>
  <c r="K47" i="1"/>
  <c r="A48" i="1"/>
  <c r="B48" i="1"/>
  <c r="C48" i="1"/>
  <c r="E48" i="1"/>
  <c r="G48" i="1"/>
  <c r="K48" i="1"/>
  <c r="A49" i="1"/>
  <c r="B49" i="1"/>
  <c r="C49" i="1"/>
  <c r="E49" i="1"/>
  <c r="G49" i="1"/>
  <c r="K49" i="1"/>
  <c r="A50" i="1"/>
  <c r="B50" i="1"/>
  <c r="C50" i="1"/>
  <c r="E50" i="1"/>
  <c r="G50" i="1"/>
  <c r="K50" i="1"/>
  <c r="A51" i="1"/>
  <c r="B51" i="1"/>
  <c r="C51" i="1"/>
  <c r="E51" i="1"/>
  <c r="G51" i="1"/>
  <c r="K51" i="1"/>
  <c r="A52" i="1"/>
  <c r="B52" i="1"/>
  <c r="C52" i="1"/>
  <c r="E52" i="1"/>
  <c r="G52" i="1"/>
  <c r="K52" i="1"/>
  <c r="A53" i="1"/>
  <c r="B53" i="1"/>
  <c r="C53" i="1"/>
  <c r="E53" i="1"/>
  <c r="G53" i="1"/>
  <c r="K53" i="1"/>
  <c r="A54" i="1"/>
  <c r="B54" i="1"/>
  <c r="C54" i="1"/>
  <c r="E54" i="1"/>
  <c r="G54" i="1"/>
  <c r="K54" i="1"/>
  <c r="A55" i="1"/>
  <c r="B55" i="1"/>
  <c r="C55" i="1"/>
  <c r="E55" i="1"/>
  <c r="G55" i="1"/>
  <c r="K55" i="1"/>
  <c r="A56" i="1"/>
  <c r="B56" i="1"/>
  <c r="C56" i="1"/>
  <c r="E56" i="1"/>
  <c r="G56" i="1"/>
  <c r="K56" i="1"/>
  <c r="A57" i="1"/>
  <c r="B57" i="1"/>
  <c r="C57" i="1"/>
  <c r="E57" i="1"/>
  <c r="G57" i="1"/>
  <c r="K57" i="1"/>
  <c r="A58" i="1"/>
  <c r="B58" i="1"/>
  <c r="C58" i="1"/>
  <c r="E58" i="1"/>
  <c r="G58" i="1"/>
  <c r="K58" i="1"/>
  <c r="A59" i="1"/>
  <c r="B59" i="1"/>
  <c r="C59" i="1"/>
  <c r="E59" i="1"/>
  <c r="G59" i="1"/>
  <c r="K59" i="1"/>
  <c r="A60" i="1"/>
  <c r="B60" i="1"/>
  <c r="C60" i="1"/>
  <c r="E60" i="1"/>
  <c r="G60" i="1"/>
  <c r="K60" i="1"/>
  <c r="A61" i="1"/>
  <c r="B61" i="1"/>
  <c r="C61" i="1"/>
  <c r="E61" i="1"/>
  <c r="G61" i="1"/>
  <c r="K61" i="1"/>
  <c r="A62" i="1"/>
  <c r="B62" i="1"/>
  <c r="C62" i="1"/>
  <c r="E62" i="1"/>
  <c r="G62" i="1"/>
  <c r="K62" i="1"/>
  <c r="A63" i="1"/>
  <c r="B63" i="1"/>
  <c r="C63" i="1"/>
  <c r="E63" i="1"/>
  <c r="G63" i="1"/>
  <c r="K63" i="1"/>
  <c r="A64" i="1"/>
  <c r="B64" i="1"/>
  <c r="C64" i="1"/>
  <c r="E64" i="1"/>
  <c r="G64" i="1"/>
  <c r="K64" i="1"/>
  <c r="A65" i="1"/>
  <c r="B65" i="1"/>
  <c r="C65" i="1"/>
  <c r="E65" i="1"/>
  <c r="G65" i="1"/>
  <c r="K65" i="1"/>
  <c r="A66" i="1"/>
  <c r="B66" i="1"/>
  <c r="C66" i="1"/>
  <c r="E66" i="1"/>
  <c r="G66" i="1"/>
  <c r="K66" i="1"/>
  <c r="A67" i="1"/>
  <c r="B67" i="1"/>
  <c r="C67" i="1"/>
  <c r="E67" i="1"/>
  <c r="G67" i="1"/>
  <c r="K67" i="1"/>
  <c r="A68" i="1"/>
  <c r="B68" i="1"/>
  <c r="C68" i="1"/>
  <c r="E68" i="1"/>
  <c r="G68" i="1"/>
  <c r="K68" i="1"/>
  <c r="A69" i="1"/>
  <c r="B69" i="1"/>
  <c r="C69" i="1"/>
  <c r="E69" i="1"/>
  <c r="G69" i="1"/>
  <c r="K69" i="1"/>
  <c r="A70" i="1"/>
  <c r="B70" i="1"/>
  <c r="C70" i="1"/>
  <c r="E70" i="1"/>
  <c r="G70" i="1"/>
  <c r="K70" i="1"/>
  <c r="A71" i="1"/>
  <c r="B71" i="1"/>
  <c r="C71" i="1"/>
  <c r="E71" i="1"/>
  <c r="G71" i="1"/>
  <c r="K71" i="1"/>
  <c r="A72" i="1"/>
  <c r="B72" i="1"/>
  <c r="C72" i="1"/>
  <c r="E72" i="1"/>
  <c r="G72" i="1"/>
  <c r="K72" i="1"/>
  <c r="A73" i="1"/>
  <c r="B73" i="1"/>
  <c r="C73" i="1"/>
  <c r="E73" i="1"/>
  <c r="G73" i="1"/>
  <c r="K73" i="1"/>
  <c r="A74" i="1"/>
  <c r="B74" i="1"/>
  <c r="C74" i="1"/>
  <c r="E74" i="1"/>
  <c r="G74" i="1"/>
  <c r="K74" i="1"/>
  <c r="A75" i="1"/>
  <c r="B75" i="1"/>
  <c r="C75" i="1"/>
  <c r="E75" i="1"/>
  <c r="G75" i="1"/>
  <c r="K75" i="1"/>
  <c r="A76" i="1"/>
  <c r="B76" i="1"/>
  <c r="C76" i="1"/>
  <c r="E76" i="1"/>
  <c r="G76" i="1"/>
  <c r="K76" i="1"/>
  <c r="A77" i="1"/>
  <c r="B77" i="1"/>
  <c r="C77" i="1"/>
  <c r="E77" i="1"/>
  <c r="G77" i="1"/>
  <c r="K77" i="1"/>
  <c r="A78" i="1"/>
  <c r="B78" i="1"/>
  <c r="C78" i="1"/>
  <c r="E78" i="1"/>
  <c r="G78" i="1"/>
  <c r="K78" i="1"/>
  <c r="A79" i="1"/>
  <c r="B79" i="1"/>
  <c r="C79" i="1"/>
  <c r="E79" i="1"/>
  <c r="G79" i="1"/>
  <c r="K79" i="1"/>
  <c r="A80" i="1"/>
  <c r="B80" i="1"/>
  <c r="C80" i="1"/>
  <c r="E80" i="1"/>
  <c r="G80" i="1"/>
  <c r="K80" i="1"/>
  <c r="A81" i="1"/>
  <c r="B81" i="1"/>
  <c r="C81" i="1"/>
  <c r="E81" i="1"/>
  <c r="G81" i="1"/>
  <c r="K81" i="1"/>
  <c r="A82" i="1"/>
  <c r="B82" i="1"/>
  <c r="C82" i="1"/>
  <c r="E82" i="1"/>
  <c r="G82" i="1"/>
  <c r="K82" i="1"/>
  <c r="A83" i="1"/>
  <c r="B83" i="1"/>
  <c r="C83" i="1"/>
  <c r="E83" i="1"/>
  <c r="G83" i="1"/>
  <c r="K83" i="1"/>
  <c r="A84" i="1"/>
  <c r="B84" i="1"/>
  <c r="C84" i="1"/>
  <c r="E84" i="1"/>
  <c r="G84" i="1"/>
  <c r="K84" i="1"/>
  <c r="A85" i="1"/>
  <c r="B85" i="1"/>
  <c r="C85" i="1"/>
  <c r="E85" i="1"/>
  <c r="G85" i="1"/>
  <c r="K85" i="1"/>
  <c r="A86" i="1"/>
  <c r="B86" i="1"/>
  <c r="C86" i="1"/>
  <c r="E86" i="1"/>
  <c r="G86" i="1"/>
  <c r="K86" i="1"/>
  <c r="A87" i="1"/>
  <c r="B87" i="1"/>
  <c r="C87" i="1"/>
  <c r="E87" i="1"/>
  <c r="G87" i="1"/>
  <c r="K87" i="1"/>
  <c r="A88" i="1"/>
  <c r="B88" i="1"/>
  <c r="C88" i="1"/>
  <c r="E88" i="1"/>
  <c r="G88" i="1"/>
  <c r="K88" i="1"/>
  <c r="A89" i="1"/>
  <c r="B89" i="1"/>
  <c r="C89" i="1"/>
  <c r="E89" i="1"/>
  <c r="G89" i="1"/>
  <c r="K89" i="1"/>
  <c r="A90" i="1"/>
  <c r="B90" i="1"/>
  <c r="C90" i="1"/>
  <c r="E90" i="1"/>
  <c r="G90" i="1"/>
  <c r="K90" i="1"/>
  <c r="A91" i="1"/>
  <c r="B91" i="1"/>
  <c r="C91" i="1"/>
  <c r="E91" i="1"/>
  <c r="G91" i="1"/>
  <c r="K91" i="1"/>
  <c r="A92" i="1"/>
  <c r="B92" i="1"/>
  <c r="C92" i="1"/>
  <c r="E92" i="1"/>
  <c r="G92" i="1"/>
  <c r="K92" i="1"/>
  <c r="A93" i="1"/>
  <c r="B93" i="1"/>
  <c r="C93" i="1"/>
  <c r="E93" i="1"/>
  <c r="G93" i="1"/>
  <c r="K93" i="1"/>
  <c r="A94" i="1"/>
  <c r="B94" i="1"/>
  <c r="C94" i="1"/>
  <c r="E94" i="1"/>
  <c r="G94" i="1"/>
  <c r="K94" i="1"/>
  <c r="A95" i="1"/>
  <c r="B95" i="1"/>
  <c r="C95" i="1"/>
  <c r="E95" i="1"/>
  <c r="G95" i="1"/>
  <c r="K95" i="1"/>
  <c r="A96" i="1"/>
  <c r="B96" i="1"/>
  <c r="C96" i="1"/>
  <c r="E96" i="1"/>
  <c r="G96" i="1"/>
  <c r="K96" i="1"/>
  <c r="A97" i="1"/>
  <c r="B97" i="1"/>
  <c r="C97" i="1"/>
  <c r="E97" i="1"/>
  <c r="G97" i="1"/>
  <c r="K97" i="1"/>
  <c r="A98" i="1"/>
  <c r="B98" i="1"/>
  <c r="C98" i="1"/>
  <c r="E98" i="1"/>
  <c r="G98" i="1"/>
  <c r="K98" i="1"/>
  <c r="A99" i="1"/>
  <c r="B99" i="1"/>
  <c r="C99" i="1"/>
  <c r="E99" i="1"/>
  <c r="G99" i="1"/>
  <c r="K99" i="1"/>
  <c r="A100" i="1"/>
  <c r="B100" i="1"/>
  <c r="C100" i="1"/>
  <c r="E100" i="1"/>
  <c r="G100" i="1"/>
  <c r="K100" i="1"/>
  <c r="A101" i="1"/>
  <c r="B101" i="1"/>
  <c r="C101" i="1"/>
  <c r="E101" i="1"/>
  <c r="G101" i="1"/>
  <c r="K101" i="1"/>
  <c r="A102" i="1"/>
  <c r="B102" i="1"/>
  <c r="C102" i="1"/>
  <c r="E102" i="1"/>
  <c r="G102" i="1"/>
  <c r="K102" i="1"/>
  <c r="A103" i="1"/>
  <c r="B103" i="1"/>
  <c r="C103" i="1"/>
  <c r="E103" i="1"/>
  <c r="G103" i="1"/>
  <c r="K103" i="1"/>
  <c r="A104" i="1"/>
  <c r="B104" i="1"/>
  <c r="C104" i="1"/>
  <c r="E104" i="1"/>
  <c r="G104" i="1"/>
  <c r="K104" i="1"/>
  <c r="A105" i="1"/>
  <c r="B105" i="1"/>
  <c r="C105" i="1"/>
  <c r="E105" i="1"/>
  <c r="G105" i="1"/>
  <c r="K105" i="1"/>
  <c r="A106" i="1"/>
  <c r="B106" i="1"/>
  <c r="C106" i="1"/>
  <c r="E106" i="1"/>
  <c r="G106" i="1"/>
  <c r="K106" i="1"/>
  <c r="A107" i="1"/>
  <c r="B107" i="1"/>
  <c r="C107" i="1"/>
  <c r="E107" i="1"/>
  <c r="G107" i="1"/>
  <c r="K107" i="1"/>
  <c r="A108" i="1"/>
  <c r="B108" i="1"/>
  <c r="C108" i="1"/>
  <c r="E108" i="1"/>
  <c r="G108" i="1"/>
  <c r="K108" i="1"/>
  <c r="A109" i="1"/>
  <c r="B109" i="1"/>
  <c r="C109" i="1"/>
  <c r="E109" i="1"/>
  <c r="G109" i="1"/>
  <c r="K109" i="1"/>
  <c r="A110" i="1"/>
  <c r="B110" i="1"/>
  <c r="C110" i="1"/>
  <c r="E110" i="1"/>
  <c r="G110" i="1"/>
  <c r="K110" i="1"/>
  <c r="A111" i="1"/>
  <c r="B111" i="1"/>
  <c r="C111" i="1"/>
  <c r="E111" i="1"/>
  <c r="G111" i="1"/>
  <c r="K111" i="1"/>
  <c r="A112" i="1"/>
  <c r="B112" i="1"/>
  <c r="C112" i="1"/>
  <c r="E112" i="1"/>
  <c r="G112" i="1"/>
  <c r="K112" i="1"/>
  <c r="A113" i="1"/>
  <c r="B113" i="1"/>
  <c r="C113" i="1"/>
  <c r="E113" i="1"/>
  <c r="G113" i="1"/>
  <c r="K113" i="1"/>
  <c r="A114" i="1"/>
  <c r="B114" i="1"/>
  <c r="C114" i="1"/>
  <c r="E114" i="1"/>
  <c r="G114" i="1"/>
  <c r="K114" i="1"/>
  <c r="A115" i="1"/>
  <c r="B115" i="1"/>
  <c r="C115" i="1"/>
  <c r="E115" i="1"/>
  <c r="G115" i="1"/>
  <c r="K115" i="1"/>
  <c r="A116" i="1"/>
  <c r="B116" i="1"/>
  <c r="C116" i="1"/>
  <c r="E116" i="1"/>
  <c r="G116" i="1"/>
  <c r="K116" i="1"/>
  <c r="A117" i="1"/>
  <c r="B117" i="1"/>
  <c r="C117" i="1"/>
  <c r="E117" i="1"/>
  <c r="G117" i="1"/>
  <c r="K117" i="1"/>
  <c r="A118" i="1"/>
  <c r="B118" i="1"/>
  <c r="C118" i="1"/>
  <c r="E118" i="1"/>
  <c r="G118" i="1"/>
  <c r="K118" i="1"/>
  <c r="A119" i="1"/>
  <c r="B119" i="1"/>
  <c r="C119" i="1"/>
  <c r="E119" i="1"/>
  <c r="G119" i="1"/>
  <c r="K119" i="1"/>
  <c r="A120" i="1"/>
  <c r="B120" i="1"/>
  <c r="C120" i="1"/>
  <c r="E120" i="1"/>
  <c r="G120" i="1"/>
  <c r="K120" i="1"/>
  <c r="A121" i="1"/>
  <c r="B121" i="1"/>
  <c r="C121" i="1"/>
  <c r="E121" i="1"/>
  <c r="G121" i="1"/>
  <c r="K121" i="1"/>
  <c r="A122" i="1"/>
  <c r="B122" i="1"/>
  <c r="C122" i="1"/>
  <c r="E122" i="1"/>
  <c r="G122" i="1"/>
  <c r="K122" i="1"/>
  <c r="A123" i="1"/>
  <c r="B123" i="1"/>
  <c r="C123" i="1"/>
  <c r="E123" i="1"/>
  <c r="G123" i="1"/>
  <c r="K123" i="1"/>
  <c r="A124" i="1"/>
  <c r="B124" i="1"/>
  <c r="C124" i="1"/>
  <c r="E124" i="1"/>
  <c r="G124" i="1"/>
  <c r="K124" i="1"/>
  <c r="A125" i="1"/>
  <c r="B125" i="1"/>
  <c r="C125" i="1"/>
  <c r="E125" i="1"/>
  <c r="G125" i="1"/>
  <c r="K125" i="1"/>
  <c r="A126" i="1"/>
  <c r="B126" i="1"/>
  <c r="C126" i="1"/>
  <c r="E126" i="1"/>
  <c r="G126" i="1"/>
  <c r="K126" i="1"/>
  <c r="A127" i="1"/>
  <c r="B127" i="1"/>
  <c r="C127" i="1"/>
  <c r="E127" i="1"/>
  <c r="G127" i="1"/>
  <c r="K127" i="1"/>
  <c r="A128" i="1"/>
  <c r="B128" i="1"/>
  <c r="C128" i="1"/>
  <c r="E128" i="1"/>
  <c r="G128" i="1"/>
  <c r="K128" i="1"/>
  <c r="A129" i="1"/>
  <c r="B129" i="1"/>
  <c r="C129" i="1"/>
  <c r="E129" i="1"/>
  <c r="G129" i="1"/>
  <c r="K129" i="1"/>
  <c r="A130" i="1"/>
  <c r="B130" i="1"/>
  <c r="C130" i="1"/>
  <c r="E130" i="1"/>
  <c r="G130" i="1"/>
  <c r="K130" i="1"/>
  <c r="A131" i="1"/>
  <c r="B131" i="1"/>
  <c r="C131" i="1"/>
  <c r="E131" i="1"/>
  <c r="G131" i="1"/>
  <c r="K131" i="1"/>
  <c r="A132" i="1"/>
  <c r="B132" i="1"/>
  <c r="C132" i="1"/>
  <c r="E132" i="1"/>
  <c r="G132" i="1"/>
  <c r="K132" i="1"/>
  <c r="A133" i="1"/>
  <c r="B133" i="1"/>
  <c r="C133" i="1"/>
  <c r="E133" i="1"/>
  <c r="G133" i="1"/>
  <c r="K133" i="1"/>
  <c r="A134" i="1"/>
  <c r="B134" i="1"/>
  <c r="C134" i="1"/>
  <c r="E134" i="1"/>
  <c r="G134" i="1"/>
  <c r="K134" i="1"/>
  <c r="A135" i="1"/>
  <c r="B135" i="1"/>
  <c r="C135" i="1"/>
  <c r="E135" i="1"/>
  <c r="G135" i="1"/>
  <c r="K135" i="1"/>
  <c r="A136" i="1"/>
  <c r="B136" i="1"/>
  <c r="C136" i="1"/>
  <c r="E136" i="1"/>
  <c r="G136" i="1"/>
  <c r="K136" i="1"/>
  <c r="A137" i="1"/>
  <c r="B137" i="1"/>
  <c r="C137" i="1"/>
  <c r="E137" i="1"/>
  <c r="G137" i="1"/>
  <c r="K137" i="1"/>
  <c r="A138" i="1"/>
  <c r="B138" i="1"/>
  <c r="C138" i="1"/>
  <c r="E138" i="1"/>
  <c r="G138" i="1"/>
  <c r="K138" i="1"/>
  <c r="A139" i="1"/>
  <c r="B139" i="1"/>
  <c r="C139" i="1"/>
  <c r="E139" i="1"/>
  <c r="G139" i="1"/>
  <c r="K139" i="1"/>
  <c r="A140" i="1"/>
  <c r="B140" i="1"/>
  <c r="C140" i="1"/>
  <c r="E140" i="1"/>
  <c r="G140" i="1"/>
  <c r="K140" i="1"/>
  <c r="A141" i="1"/>
  <c r="B141" i="1"/>
  <c r="C141" i="1"/>
  <c r="E141" i="1"/>
  <c r="G141" i="1"/>
  <c r="K141" i="1"/>
  <c r="A142" i="1"/>
  <c r="B142" i="1"/>
  <c r="C142" i="1"/>
  <c r="E142" i="1"/>
  <c r="G142" i="1"/>
  <c r="K142" i="1"/>
  <c r="A143" i="1"/>
  <c r="B143" i="1"/>
  <c r="C143" i="1"/>
  <c r="E143" i="1"/>
  <c r="G143" i="1"/>
  <c r="K143" i="1"/>
  <c r="A144" i="1"/>
  <c r="B144" i="1"/>
  <c r="C144" i="1"/>
  <c r="E144" i="1"/>
  <c r="G144" i="1"/>
  <c r="K144" i="1"/>
  <c r="A145" i="1"/>
  <c r="B145" i="1"/>
  <c r="C145" i="1"/>
  <c r="E145" i="1"/>
  <c r="G145" i="1"/>
  <c r="K145" i="1"/>
  <c r="A146" i="1"/>
  <c r="B146" i="1"/>
  <c r="C146" i="1"/>
  <c r="E146" i="1"/>
  <c r="G146" i="1"/>
  <c r="K146" i="1"/>
  <c r="A147" i="1"/>
  <c r="B147" i="1"/>
  <c r="C147" i="1"/>
  <c r="E147" i="1"/>
  <c r="G147" i="1"/>
  <c r="K147" i="1"/>
  <c r="A148" i="1"/>
  <c r="B148" i="1"/>
  <c r="C148" i="1"/>
  <c r="E148" i="1"/>
  <c r="G148" i="1"/>
  <c r="K148" i="1"/>
  <c r="A149" i="1"/>
  <c r="B149" i="1"/>
  <c r="C149" i="1"/>
  <c r="E149" i="1"/>
  <c r="G149" i="1"/>
  <c r="K149" i="1"/>
  <c r="A150" i="1"/>
  <c r="B150" i="1"/>
  <c r="C150" i="1"/>
  <c r="E150" i="1"/>
  <c r="G150" i="1"/>
  <c r="K150" i="1"/>
  <c r="A151" i="1"/>
  <c r="B151" i="1"/>
  <c r="C151" i="1"/>
  <c r="E151" i="1"/>
  <c r="G151" i="1"/>
  <c r="K151" i="1"/>
  <c r="A152" i="1"/>
  <c r="B152" i="1"/>
  <c r="C152" i="1"/>
  <c r="E152" i="1"/>
  <c r="G152" i="1"/>
  <c r="K152" i="1"/>
  <c r="A153" i="1"/>
  <c r="B153" i="1"/>
  <c r="C153" i="1"/>
  <c r="E153" i="1"/>
  <c r="G153" i="1"/>
  <c r="K153" i="1"/>
  <c r="A154" i="1"/>
  <c r="B154" i="1"/>
  <c r="C154" i="1"/>
  <c r="E154" i="1"/>
  <c r="G154" i="1"/>
  <c r="K154" i="1"/>
  <c r="A155" i="1"/>
  <c r="B155" i="1"/>
  <c r="C155" i="1"/>
  <c r="E155" i="1"/>
  <c r="G155" i="1"/>
  <c r="K155" i="1"/>
  <c r="A156" i="1"/>
  <c r="B156" i="1"/>
  <c r="C156" i="1"/>
  <c r="E156" i="1"/>
  <c r="G156" i="1"/>
  <c r="K156" i="1"/>
  <c r="A157" i="1"/>
  <c r="B157" i="1"/>
  <c r="C157" i="1"/>
  <c r="E157" i="1"/>
  <c r="G157" i="1"/>
  <c r="K157" i="1"/>
  <c r="A158" i="1"/>
  <c r="B158" i="1"/>
  <c r="C158" i="1"/>
  <c r="E158" i="1"/>
  <c r="G158" i="1"/>
  <c r="K158" i="1"/>
  <c r="A159" i="1"/>
  <c r="B159" i="1"/>
  <c r="C159" i="1"/>
  <c r="E159" i="1"/>
  <c r="G159" i="1"/>
  <c r="K159" i="1"/>
  <c r="A160" i="1"/>
  <c r="B160" i="1"/>
  <c r="C160" i="1"/>
  <c r="E160" i="1"/>
  <c r="G160" i="1"/>
  <c r="K160" i="1"/>
  <c r="A161" i="1"/>
  <c r="B161" i="1"/>
  <c r="C161" i="1"/>
  <c r="E161" i="1"/>
  <c r="G161" i="1"/>
  <c r="K161" i="1"/>
  <c r="A162" i="1"/>
  <c r="B162" i="1"/>
  <c r="C162" i="1"/>
  <c r="E162" i="1"/>
  <c r="G162" i="1"/>
  <c r="K162" i="1"/>
  <c r="A163" i="1"/>
  <c r="B163" i="1"/>
  <c r="C163" i="1"/>
  <c r="E163" i="1"/>
  <c r="G163" i="1"/>
  <c r="K163" i="1"/>
  <c r="A164" i="1"/>
  <c r="B164" i="1"/>
  <c r="C164" i="1"/>
  <c r="E164" i="1"/>
  <c r="G164" i="1"/>
  <c r="K164" i="1"/>
  <c r="A165" i="1"/>
  <c r="B165" i="1"/>
  <c r="C165" i="1"/>
  <c r="E165" i="1"/>
  <c r="G165" i="1"/>
  <c r="K165" i="1"/>
  <c r="A166" i="1"/>
  <c r="B166" i="1"/>
  <c r="C166" i="1"/>
  <c r="E166" i="1"/>
  <c r="G166" i="1"/>
  <c r="K166" i="1"/>
  <c r="A167" i="1"/>
  <c r="B167" i="1"/>
  <c r="C167" i="1"/>
  <c r="E167" i="1"/>
  <c r="G167" i="1"/>
  <c r="K167" i="1"/>
  <c r="A168" i="1"/>
  <c r="B168" i="1"/>
  <c r="C168" i="1"/>
  <c r="E168" i="1"/>
  <c r="G168" i="1"/>
  <c r="K168" i="1"/>
  <c r="A169" i="1"/>
  <c r="B169" i="1"/>
  <c r="C169" i="1"/>
  <c r="E169" i="1"/>
  <c r="G169" i="1"/>
  <c r="K169" i="1"/>
  <c r="A170" i="1"/>
  <c r="B170" i="1"/>
  <c r="C170" i="1"/>
  <c r="E170" i="1"/>
  <c r="G170" i="1"/>
  <c r="K170" i="1"/>
  <c r="A171" i="1"/>
  <c r="B171" i="1"/>
  <c r="C171" i="1"/>
  <c r="E171" i="1"/>
  <c r="G171" i="1"/>
  <c r="K171" i="1"/>
  <c r="A172" i="1"/>
  <c r="B172" i="1"/>
  <c r="C172" i="1"/>
  <c r="E172" i="1"/>
  <c r="G172" i="1"/>
  <c r="K172" i="1"/>
  <c r="A173" i="1"/>
  <c r="B173" i="1"/>
  <c r="C173" i="1"/>
  <c r="E173" i="1"/>
  <c r="G173" i="1"/>
  <c r="K173" i="1"/>
  <c r="A174" i="1"/>
  <c r="B174" i="1"/>
  <c r="C174" i="1"/>
  <c r="E174" i="1"/>
  <c r="G174" i="1"/>
  <c r="K174" i="1"/>
  <c r="A175" i="1"/>
  <c r="B175" i="1"/>
  <c r="C175" i="1"/>
  <c r="E175" i="1"/>
  <c r="G175" i="1"/>
  <c r="K175" i="1"/>
  <c r="A176" i="1"/>
  <c r="B176" i="1"/>
  <c r="C176" i="1"/>
  <c r="E176" i="1"/>
  <c r="G176" i="1"/>
  <c r="K176" i="1"/>
  <c r="A177" i="1"/>
  <c r="B177" i="1"/>
  <c r="C177" i="1"/>
  <c r="E177" i="1"/>
  <c r="G177" i="1"/>
  <c r="K177" i="1"/>
  <c r="A178" i="1"/>
  <c r="B178" i="1"/>
  <c r="C178" i="1"/>
  <c r="E178" i="1"/>
  <c r="G178" i="1"/>
  <c r="K178" i="1"/>
  <c r="A179" i="1"/>
  <c r="B179" i="1"/>
  <c r="C179" i="1"/>
  <c r="E179" i="1"/>
  <c r="G179" i="1"/>
  <c r="K179" i="1"/>
  <c r="A180" i="1"/>
  <c r="B180" i="1"/>
  <c r="C180" i="1"/>
  <c r="E180" i="1"/>
  <c r="G180" i="1"/>
  <c r="K180" i="1"/>
  <c r="A181" i="1"/>
  <c r="B181" i="1"/>
  <c r="C181" i="1"/>
  <c r="E181" i="1"/>
  <c r="G181" i="1"/>
  <c r="K181" i="1"/>
  <c r="A182" i="1"/>
  <c r="B182" i="1"/>
  <c r="C182" i="1"/>
  <c r="E182" i="1"/>
  <c r="G182" i="1"/>
  <c r="K182" i="1"/>
  <c r="A183" i="1"/>
  <c r="B183" i="1"/>
  <c r="C183" i="1"/>
  <c r="E183" i="1"/>
  <c r="G183" i="1"/>
  <c r="K183" i="1"/>
  <c r="A184" i="1"/>
  <c r="B184" i="1"/>
  <c r="C184" i="1"/>
  <c r="E184" i="1"/>
  <c r="G184" i="1"/>
  <c r="K184" i="1"/>
  <c r="A185" i="1"/>
  <c r="B185" i="1"/>
  <c r="C185" i="1"/>
  <c r="E185" i="1"/>
  <c r="G185" i="1"/>
  <c r="K185" i="1"/>
  <c r="A186" i="1"/>
  <c r="B186" i="1"/>
  <c r="C186" i="1"/>
  <c r="E186" i="1"/>
  <c r="G186" i="1"/>
  <c r="K186" i="1"/>
  <c r="A187" i="1"/>
  <c r="B187" i="1"/>
  <c r="C187" i="1"/>
  <c r="E187" i="1"/>
  <c r="G187" i="1"/>
  <c r="K187" i="1"/>
  <c r="A188" i="1"/>
  <c r="B188" i="1"/>
  <c r="C188" i="1"/>
  <c r="E188" i="1"/>
  <c r="G188" i="1"/>
  <c r="K188" i="1"/>
  <c r="A189" i="1"/>
  <c r="B189" i="1"/>
  <c r="C189" i="1"/>
  <c r="E189" i="1"/>
  <c r="G189" i="1"/>
  <c r="K189" i="1"/>
  <c r="A190" i="1"/>
  <c r="B190" i="1"/>
  <c r="C190" i="1"/>
  <c r="E190" i="1"/>
  <c r="G190" i="1"/>
  <c r="K190" i="1"/>
  <c r="A191" i="1"/>
  <c r="B191" i="1"/>
  <c r="C191" i="1"/>
  <c r="E191" i="1"/>
  <c r="G191" i="1"/>
  <c r="K191" i="1"/>
  <c r="A192" i="1"/>
  <c r="B192" i="1"/>
  <c r="C192" i="1"/>
  <c r="E192" i="1"/>
  <c r="G192" i="1"/>
  <c r="K192" i="1"/>
  <c r="A193" i="1"/>
  <c r="B193" i="1"/>
  <c r="C193" i="1"/>
  <c r="E193" i="1"/>
  <c r="G193" i="1"/>
  <c r="K193" i="1"/>
  <c r="A194" i="1"/>
  <c r="B194" i="1"/>
  <c r="C194" i="1"/>
  <c r="E194" i="1"/>
  <c r="G194" i="1"/>
  <c r="K194" i="1"/>
  <c r="A195" i="1"/>
  <c r="B195" i="1"/>
  <c r="C195" i="1"/>
  <c r="E195" i="1"/>
  <c r="G195" i="1"/>
  <c r="K195" i="1"/>
  <c r="A196" i="1"/>
  <c r="B196" i="1"/>
  <c r="C196" i="1"/>
  <c r="E196" i="1"/>
  <c r="G196" i="1"/>
  <c r="K196" i="1"/>
  <c r="A197" i="1"/>
  <c r="B197" i="1"/>
  <c r="C197" i="1"/>
  <c r="E197" i="1"/>
  <c r="G197" i="1"/>
  <c r="K197" i="1"/>
  <c r="A198" i="1"/>
  <c r="B198" i="1"/>
  <c r="C198" i="1"/>
  <c r="E198" i="1"/>
  <c r="G198" i="1"/>
  <c r="K198" i="1"/>
  <c r="A199" i="1"/>
  <c r="B199" i="1"/>
  <c r="C199" i="1"/>
  <c r="E199" i="1"/>
  <c r="G199" i="1"/>
  <c r="K199" i="1"/>
  <c r="A200" i="1"/>
  <c r="B200" i="1"/>
  <c r="C200" i="1"/>
  <c r="E200" i="1"/>
  <c r="G200" i="1"/>
  <c r="K200" i="1"/>
  <c r="A201" i="1"/>
  <c r="B201" i="1"/>
  <c r="C201" i="1"/>
  <c r="E201" i="1"/>
  <c r="G201" i="1"/>
  <c r="K201" i="1"/>
  <c r="A202" i="1"/>
  <c r="B202" i="1"/>
  <c r="C202" i="1"/>
  <c r="E202" i="1"/>
  <c r="G202" i="1"/>
  <c r="K202" i="1"/>
  <c r="A203" i="1"/>
  <c r="B203" i="1"/>
  <c r="C203" i="1"/>
  <c r="E203" i="1"/>
  <c r="G203" i="1"/>
  <c r="K203" i="1"/>
  <c r="A204" i="1"/>
  <c r="B204" i="1"/>
  <c r="C204" i="1"/>
  <c r="E204" i="1"/>
  <c r="G204" i="1"/>
  <c r="K204" i="1"/>
  <c r="A205" i="1"/>
  <c r="B205" i="1"/>
  <c r="C205" i="1"/>
  <c r="E205" i="1"/>
  <c r="G205" i="1"/>
  <c r="K205" i="1"/>
  <c r="A206" i="1"/>
  <c r="B206" i="1"/>
  <c r="C206" i="1"/>
  <c r="E206" i="1"/>
  <c r="G206" i="1"/>
  <c r="K206" i="1"/>
  <c r="A207" i="1"/>
  <c r="B207" i="1"/>
  <c r="C207" i="1"/>
  <c r="E207" i="1"/>
  <c r="G207" i="1"/>
  <c r="K207" i="1"/>
  <c r="A208" i="1"/>
  <c r="B208" i="1"/>
  <c r="C208" i="1"/>
  <c r="E208" i="1"/>
  <c r="G208" i="1"/>
  <c r="K208" i="1"/>
  <c r="A209" i="1"/>
  <c r="B209" i="1"/>
  <c r="C209" i="1"/>
  <c r="E209" i="1"/>
  <c r="G209" i="1"/>
  <c r="K209" i="1"/>
  <c r="A210" i="1"/>
  <c r="B210" i="1"/>
  <c r="C210" i="1"/>
  <c r="E210" i="1"/>
  <c r="G210" i="1"/>
  <c r="K210" i="1"/>
  <c r="A211" i="1"/>
  <c r="B211" i="1"/>
  <c r="C211" i="1"/>
  <c r="E211" i="1"/>
  <c r="G211" i="1"/>
  <c r="K211" i="1"/>
  <c r="A212" i="1"/>
  <c r="B212" i="1"/>
  <c r="C212" i="1"/>
  <c r="E212" i="1"/>
  <c r="G212" i="1"/>
  <c r="K212" i="1"/>
  <c r="A213" i="1"/>
  <c r="B213" i="1"/>
  <c r="C213" i="1"/>
  <c r="E213" i="1"/>
  <c r="G213" i="1"/>
  <c r="K213" i="1"/>
  <c r="A214" i="1"/>
  <c r="B214" i="1"/>
  <c r="C214" i="1"/>
  <c r="E214" i="1"/>
  <c r="G214" i="1"/>
  <c r="K214" i="1"/>
  <c r="A215" i="1"/>
  <c r="B215" i="1"/>
  <c r="C215" i="1"/>
  <c r="E215" i="1"/>
  <c r="G215" i="1"/>
  <c r="K215" i="1"/>
  <c r="A216" i="1"/>
  <c r="B216" i="1"/>
  <c r="C216" i="1"/>
  <c r="E216" i="1"/>
  <c r="G216" i="1"/>
  <c r="K216" i="1"/>
  <c r="A217" i="1"/>
  <c r="B217" i="1"/>
  <c r="C217" i="1"/>
  <c r="E217" i="1"/>
  <c r="G217" i="1"/>
  <c r="K217" i="1"/>
  <c r="A218" i="1"/>
  <c r="B218" i="1"/>
  <c r="C218" i="1"/>
  <c r="E218" i="1"/>
  <c r="G218" i="1"/>
  <c r="K218" i="1"/>
  <c r="A219" i="1"/>
  <c r="B219" i="1"/>
  <c r="C219" i="1"/>
  <c r="E219" i="1"/>
  <c r="G219" i="1"/>
  <c r="K219" i="1"/>
  <c r="A220" i="1"/>
  <c r="B220" i="1"/>
  <c r="C220" i="1"/>
  <c r="E220" i="1"/>
  <c r="G220" i="1"/>
  <c r="K220" i="1"/>
  <c r="A221" i="1"/>
  <c r="B221" i="1"/>
  <c r="C221" i="1"/>
  <c r="E221" i="1"/>
  <c r="G221" i="1"/>
  <c r="K221" i="1"/>
  <c r="A222" i="1"/>
  <c r="B222" i="1"/>
  <c r="C222" i="1"/>
  <c r="E222" i="1"/>
  <c r="G222" i="1"/>
  <c r="K222" i="1"/>
  <c r="A223" i="1"/>
  <c r="B223" i="1"/>
  <c r="C223" i="1"/>
  <c r="E223" i="1"/>
  <c r="G223" i="1"/>
  <c r="K223" i="1"/>
  <c r="A224" i="1"/>
  <c r="B224" i="1"/>
  <c r="C224" i="1"/>
  <c r="E224" i="1"/>
  <c r="G224" i="1"/>
  <c r="K224" i="1"/>
  <c r="A225" i="1"/>
  <c r="B225" i="1"/>
  <c r="C225" i="1"/>
  <c r="E225" i="1"/>
  <c r="G225" i="1"/>
  <c r="K225" i="1"/>
  <c r="A226" i="1"/>
  <c r="B226" i="1"/>
  <c r="C226" i="1"/>
  <c r="E226" i="1"/>
  <c r="G226" i="1"/>
  <c r="K226" i="1"/>
  <c r="A227" i="1"/>
  <c r="B227" i="1"/>
  <c r="C227" i="1"/>
  <c r="E227" i="1"/>
  <c r="G227" i="1"/>
  <c r="K227" i="1"/>
  <c r="A228" i="1"/>
  <c r="B228" i="1"/>
  <c r="C228" i="1"/>
  <c r="E228" i="1"/>
  <c r="G228" i="1"/>
  <c r="K228" i="1"/>
  <c r="A229" i="1"/>
  <c r="B229" i="1"/>
  <c r="C229" i="1"/>
  <c r="E229" i="1"/>
  <c r="G229" i="1"/>
  <c r="K229" i="1"/>
  <c r="A230" i="1"/>
  <c r="B230" i="1"/>
  <c r="C230" i="1"/>
  <c r="E230" i="1"/>
  <c r="G230" i="1"/>
  <c r="K230" i="1"/>
  <c r="A231" i="1"/>
  <c r="B231" i="1"/>
  <c r="C231" i="1"/>
  <c r="E231" i="1"/>
  <c r="G231" i="1"/>
  <c r="K231" i="1"/>
  <c r="A232" i="1"/>
  <c r="B232" i="1"/>
  <c r="C232" i="1"/>
  <c r="E232" i="1"/>
  <c r="G232" i="1"/>
  <c r="K232" i="1"/>
  <c r="A233" i="1"/>
  <c r="B233" i="1"/>
  <c r="C233" i="1"/>
  <c r="E233" i="1"/>
  <c r="G233" i="1"/>
  <c r="K233" i="1"/>
  <c r="A234" i="1"/>
  <c r="B234" i="1"/>
  <c r="C234" i="1"/>
  <c r="E234" i="1"/>
  <c r="G234" i="1"/>
  <c r="K234" i="1"/>
  <c r="A235" i="1"/>
  <c r="B235" i="1"/>
  <c r="C235" i="1"/>
  <c r="E235" i="1"/>
  <c r="G235" i="1"/>
  <c r="K235" i="1"/>
  <c r="A236" i="1"/>
  <c r="B236" i="1"/>
  <c r="C236" i="1"/>
  <c r="E236" i="1"/>
  <c r="G236" i="1"/>
  <c r="K236" i="1"/>
  <c r="A237" i="1"/>
  <c r="B237" i="1"/>
  <c r="C237" i="1"/>
  <c r="E237" i="1"/>
  <c r="G237" i="1"/>
  <c r="K237" i="1"/>
  <c r="A238" i="1"/>
  <c r="B238" i="1"/>
  <c r="C238" i="1"/>
  <c r="E238" i="1"/>
  <c r="G238" i="1"/>
  <c r="K238" i="1"/>
  <c r="A239" i="1"/>
  <c r="B239" i="1"/>
  <c r="C239" i="1"/>
  <c r="E239" i="1"/>
  <c r="G239" i="1"/>
  <c r="K239" i="1"/>
  <c r="A240" i="1"/>
  <c r="B240" i="1"/>
  <c r="C240" i="1"/>
  <c r="E240" i="1"/>
  <c r="G240" i="1"/>
  <c r="K240" i="1"/>
  <c r="A241" i="1"/>
  <c r="B241" i="1"/>
  <c r="C241" i="1"/>
  <c r="E241" i="1"/>
  <c r="G241" i="1"/>
  <c r="K241" i="1"/>
  <c r="A242" i="1"/>
  <c r="B242" i="1"/>
  <c r="C242" i="1"/>
  <c r="E242" i="1"/>
  <c r="G242" i="1"/>
  <c r="K242" i="1"/>
  <c r="A243" i="1"/>
  <c r="B243" i="1"/>
  <c r="C243" i="1"/>
  <c r="E243" i="1"/>
  <c r="G243" i="1"/>
  <c r="K243" i="1"/>
  <c r="A244" i="1"/>
  <c r="B244" i="1"/>
  <c r="C244" i="1"/>
  <c r="E244" i="1"/>
  <c r="G244" i="1"/>
  <c r="K244" i="1"/>
  <c r="A245" i="1"/>
  <c r="B245" i="1"/>
  <c r="C245" i="1"/>
  <c r="E245" i="1"/>
  <c r="G245" i="1"/>
  <c r="K245" i="1"/>
  <c r="A246" i="1"/>
  <c r="B246" i="1"/>
  <c r="C246" i="1"/>
  <c r="E246" i="1"/>
  <c r="G246" i="1"/>
  <c r="K246" i="1"/>
  <c r="A247" i="1"/>
  <c r="B247" i="1"/>
  <c r="C247" i="1"/>
  <c r="E247" i="1"/>
  <c r="G247" i="1"/>
  <c r="K247" i="1"/>
  <c r="A248" i="1"/>
  <c r="B248" i="1"/>
  <c r="C248" i="1"/>
  <c r="E248" i="1"/>
  <c r="G248" i="1"/>
  <c r="K248" i="1"/>
  <c r="A249" i="1"/>
  <c r="B249" i="1"/>
  <c r="C249" i="1"/>
  <c r="E249" i="1"/>
  <c r="G249" i="1"/>
  <c r="K249" i="1"/>
  <c r="A250" i="1"/>
  <c r="B250" i="1"/>
  <c r="C250" i="1"/>
  <c r="E250" i="1"/>
  <c r="G250" i="1"/>
  <c r="K250" i="1"/>
  <c r="A251" i="1"/>
  <c r="B251" i="1"/>
  <c r="C251" i="1"/>
  <c r="E251" i="1"/>
  <c r="G251" i="1"/>
  <c r="K251" i="1"/>
  <c r="A252" i="1"/>
  <c r="B252" i="1"/>
  <c r="C252" i="1"/>
  <c r="E252" i="1"/>
  <c r="G252" i="1"/>
  <c r="K252" i="1"/>
  <c r="A253" i="1"/>
  <c r="B253" i="1"/>
  <c r="C253" i="1"/>
  <c r="E253" i="1"/>
  <c r="G253" i="1"/>
  <c r="K253" i="1"/>
  <c r="A254" i="1"/>
  <c r="B254" i="1"/>
  <c r="C254" i="1"/>
  <c r="E254" i="1"/>
  <c r="G254" i="1"/>
  <c r="K254" i="1"/>
  <c r="A255" i="1"/>
  <c r="B255" i="1"/>
  <c r="C255" i="1"/>
  <c r="E255" i="1"/>
  <c r="G255" i="1"/>
  <c r="K255" i="1"/>
  <c r="A256" i="1"/>
  <c r="B256" i="1"/>
  <c r="C256" i="1"/>
  <c r="E256" i="1"/>
  <c r="G256" i="1"/>
  <c r="K256" i="1"/>
  <c r="A257" i="1"/>
  <c r="B257" i="1"/>
  <c r="C257" i="1"/>
  <c r="E257" i="1"/>
  <c r="G257" i="1"/>
  <c r="K257" i="1"/>
  <c r="A258" i="1"/>
  <c r="B258" i="1"/>
  <c r="C258" i="1"/>
  <c r="E258" i="1"/>
  <c r="G258" i="1"/>
  <c r="K258" i="1"/>
  <c r="A259" i="1"/>
  <c r="B259" i="1"/>
  <c r="C259" i="1"/>
  <c r="E259" i="1"/>
  <c r="G259" i="1"/>
  <c r="K259" i="1"/>
  <c r="A260" i="1"/>
  <c r="B260" i="1"/>
  <c r="C260" i="1"/>
  <c r="E260" i="1"/>
  <c r="G260" i="1"/>
  <c r="K260" i="1"/>
  <c r="A261" i="1"/>
  <c r="B261" i="1"/>
  <c r="C261" i="1"/>
  <c r="E261" i="1"/>
  <c r="G261" i="1"/>
  <c r="K261" i="1"/>
  <c r="A262" i="1"/>
  <c r="B262" i="1"/>
  <c r="C262" i="1"/>
  <c r="E262" i="1"/>
  <c r="G262" i="1"/>
  <c r="K262" i="1"/>
  <c r="A263" i="1"/>
  <c r="B263" i="1"/>
  <c r="C263" i="1"/>
  <c r="E263" i="1"/>
  <c r="G263" i="1"/>
  <c r="K263" i="1"/>
  <c r="A264" i="1"/>
  <c r="B264" i="1"/>
  <c r="C264" i="1"/>
  <c r="E264" i="1"/>
  <c r="G264" i="1"/>
  <c r="K264" i="1"/>
  <c r="A265" i="1"/>
  <c r="B265" i="1"/>
  <c r="C265" i="1"/>
  <c r="E265" i="1"/>
  <c r="G265" i="1"/>
  <c r="K265" i="1"/>
  <c r="A266" i="1"/>
  <c r="B266" i="1"/>
  <c r="C266" i="1"/>
  <c r="E266" i="1"/>
  <c r="G266" i="1"/>
  <c r="K266" i="1"/>
  <c r="A267" i="1"/>
  <c r="B267" i="1"/>
  <c r="C267" i="1"/>
  <c r="E267" i="1"/>
  <c r="G267" i="1"/>
  <c r="K267" i="1"/>
  <c r="A268" i="1"/>
  <c r="B268" i="1"/>
  <c r="C268" i="1"/>
  <c r="E268" i="1"/>
  <c r="G268" i="1"/>
  <c r="K268" i="1"/>
  <c r="A269" i="1"/>
  <c r="B269" i="1"/>
  <c r="C269" i="1"/>
  <c r="E269" i="1"/>
  <c r="G269" i="1"/>
  <c r="K269" i="1"/>
  <c r="A270" i="1"/>
  <c r="B270" i="1"/>
  <c r="C270" i="1"/>
  <c r="E270" i="1"/>
  <c r="G270" i="1"/>
  <c r="K270" i="1"/>
  <c r="A271" i="1"/>
  <c r="B271" i="1"/>
  <c r="C271" i="1"/>
  <c r="E271" i="1"/>
  <c r="G271" i="1"/>
  <c r="K271" i="1"/>
  <c r="A272" i="1"/>
  <c r="B272" i="1"/>
  <c r="C272" i="1"/>
  <c r="E272" i="1"/>
  <c r="G272" i="1"/>
  <c r="K272" i="1"/>
  <c r="A273" i="1"/>
  <c r="B273" i="1"/>
  <c r="C273" i="1"/>
  <c r="E273" i="1"/>
  <c r="G273" i="1"/>
  <c r="K273" i="1"/>
  <c r="A274" i="1"/>
  <c r="B274" i="1"/>
  <c r="C274" i="1"/>
  <c r="E274" i="1"/>
  <c r="G274" i="1"/>
  <c r="K274" i="1"/>
  <c r="A275" i="1"/>
  <c r="B275" i="1"/>
  <c r="C275" i="1"/>
  <c r="E275" i="1"/>
  <c r="G275" i="1"/>
  <c r="K275" i="1"/>
  <c r="A276" i="1"/>
  <c r="B276" i="1"/>
  <c r="C276" i="1"/>
  <c r="E276" i="1"/>
  <c r="G276" i="1"/>
  <c r="K276" i="1"/>
  <c r="A277" i="1"/>
  <c r="B277" i="1"/>
  <c r="C277" i="1"/>
  <c r="E277" i="1"/>
  <c r="G277" i="1"/>
  <c r="K277" i="1"/>
  <c r="A278" i="1"/>
  <c r="B278" i="1"/>
  <c r="C278" i="1"/>
  <c r="E278" i="1"/>
  <c r="G278" i="1"/>
  <c r="K278" i="1"/>
  <c r="A279" i="1"/>
  <c r="B279" i="1"/>
  <c r="C279" i="1"/>
  <c r="E279" i="1"/>
  <c r="G279" i="1"/>
  <c r="K279" i="1"/>
  <c r="A280" i="1"/>
  <c r="B280" i="1"/>
  <c r="C280" i="1"/>
  <c r="E280" i="1"/>
  <c r="G280" i="1"/>
  <c r="K280" i="1"/>
  <c r="A281" i="1"/>
  <c r="B281" i="1"/>
  <c r="C281" i="1"/>
  <c r="E281" i="1"/>
  <c r="G281" i="1"/>
  <c r="K281" i="1"/>
  <c r="A282" i="1"/>
  <c r="B282" i="1"/>
  <c r="C282" i="1"/>
  <c r="E282" i="1"/>
  <c r="G282" i="1"/>
  <c r="K282" i="1"/>
  <c r="A283" i="1"/>
  <c r="B283" i="1"/>
  <c r="C283" i="1"/>
  <c r="E283" i="1"/>
  <c r="G283" i="1"/>
  <c r="K283" i="1"/>
  <c r="A284" i="1"/>
  <c r="B284" i="1"/>
  <c r="C284" i="1"/>
  <c r="E284" i="1"/>
  <c r="G284" i="1"/>
  <c r="K284" i="1"/>
  <c r="A285" i="1"/>
  <c r="B285" i="1"/>
  <c r="C285" i="1"/>
  <c r="E285" i="1"/>
  <c r="G285" i="1"/>
  <c r="K285" i="1"/>
  <c r="A286" i="1"/>
  <c r="B286" i="1"/>
  <c r="C286" i="1"/>
  <c r="E286" i="1"/>
  <c r="G286" i="1"/>
  <c r="K286" i="1"/>
  <c r="A287" i="1"/>
  <c r="B287" i="1"/>
  <c r="C287" i="1"/>
  <c r="E287" i="1"/>
  <c r="G287" i="1"/>
  <c r="K287" i="1"/>
  <c r="A288" i="1"/>
  <c r="B288" i="1"/>
  <c r="C288" i="1"/>
  <c r="E288" i="1"/>
  <c r="G288" i="1"/>
  <c r="K288" i="1"/>
  <c r="A289" i="1"/>
  <c r="B289" i="1"/>
  <c r="C289" i="1"/>
  <c r="E289" i="1"/>
  <c r="G289" i="1"/>
  <c r="K289" i="1"/>
  <c r="A290" i="1"/>
  <c r="B290" i="1"/>
  <c r="C290" i="1"/>
  <c r="E290" i="1"/>
  <c r="G290" i="1"/>
  <c r="K290" i="1"/>
  <c r="A291" i="1"/>
  <c r="B291" i="1"/>
  <c r="C291" i="1"/>
  <c r="E291" i="1"/>
  <c r="G291" i="1"/>
  <c r="K291" i="1"/>
  <c r="A292" i="1"/>
  <c r="B292" i="1"/>
  <c r="C292" i="1"/>
  <c r="E292" i="1"/>
  <c r="G292" i="1"/>
  <c r="K292" i="1"/>
  <c r="A293" i="1"/>
  <c r="B293" i="1"/>
  <c r="C293" i="1"/>
  <c r="E293" i="1"/>
  <c r="G293" i="1"/>
  <c r="K293" i="1"/>
  <c r="A294" i="1"/>
  <c r="B294" i="1"/>
  <c r="C294" i="1"/>
  <c r="E294" i="1"/>
  <c r="G294" i="1"/>
  <c r="K294" i="1"/>
  <c r="A295" i="1"/>
  <c r="B295" i="1"/>
  <c r="C295" i="1"/>
  <c r="E295" i="1"/>
  <c r="G295" i="1"/>
  <c r="K295" i="1"/>
  <c r="A296" i="1"/>
  <c r="B296" i="1"/>
  <c r="C296" i="1"/>
  <c r="E296" i="1"/>
  <c r="G296" i="1"/>
  <c r="K296" i="1"/>
  <c r="A297" i="1"/>
  <c r="B297" i="1"/>
  <c r="C297" i="1"/>
  <c r="E297" i="1"/>
  <c r="G297" i="1"/>
  <c r="K297" i="1"/>
  <c r="A298" i="1"/>
  <c r="B298" i="1"/>
  <c r="C298" i="1"/>
  <c r="E298" i="1"/>
  <c r="G298" i="1"/>
  <c r="K298" i="1"/>
  <c r="A299" i="1"/>
  <c r="B299" i="1"/>
  <c r="C299" i="1"/>
  <c r="E299" i="1"/>
  <c r="G299" i="1"/>
  <c r="K299" i="1"/>
  <c r="A300" i="1"/>
  <c r="B300" i="1"/>
  <c r="C300" i="1"/>
  <c r="E300" i="1"/>
  <c r="G300" i="1"/>
  <c r="K300" i="1"/>
  <c r="A301" i="1"/>
  <c r="B301" i="1"/>
  <c r="C301" i="1"/>
  <c r="E301" i="1"/>
  <c r="G301" i="1"/>
  <c r="K301" i="1"/>
  <c r="A302" i="1"/>
  <c r="B302" i="1"/>
  <c r="C302" i="1"/>
  <c r="E302" i="1"/>
  <c r="G302" i="1"/>
  <c r="K302" i="1"/>
  <c r="A303" i="1"/>
  <c r="B303" i="1"/>
  <c r="C303" i="1"/>
  <c r="E303" i="1"/>
  <c r="G303" i="1"/>
  <c r="K303" i="1"/>
  <c r="A304" i="1"/>
  <c r="B304" i="1"/>
  <c r="C304" i="1"/>
  <c r="E304" i="1"/>
  <c r="G304" i="1"/>
  <c r="K304" i="1"/>
  <c r="A305" i="1"/>
  <c r="B305" i="1"/>
  <c r="C305" i="1"/>
  <c r="E305" i="1"/>
  <c r="G305" i="1"/>
  <c r="K305" i="1"/>
  <c r="A306" i="1"/>
  <c r="B306" i="1"/>
  <c r="C306" i="1"/>
  <c r="E306" i="1"/>
  <c r="G306" i="1"/>
  <c r="K306" i="1"/>
  <c r="A307" i="1"/>
  <c r="B307" i="1"/>
  <c r="C307" i="1"/>
  <c r="E307" i="1"/>
  <c r="G307" i="1"/>
  <c r="K307" i="1"/>
  <c r="A308" i="1"/>
  <c r="B308" i="1"/>
  <c r="C308" i="1"/>
  <c r="E308" i="1"/>
  <c r="G308" i="1"/>
  <c r="K308" i="1"/>
  <c r="A309" i="1"/>
  <c r="B309" i="1"/>
  <c r="C309" i="1"/>
  <c r="E309" i="1"/>
  <c r="G309" i="1"/>
  <c r="K309" i="1"/>
  <c r="A310" i="1"/>
  <c r="B310" i="1"/>
  <c r="C310" i="1"/>
  <c r="E310" i="1"/>
  <c r="G310" i="1"/>
  <c r="K310" i="1"/>
  <c r="A311" i="1"/>
  <c r="B311" i="1"/>
  <c r="C311" i="1"/>
  <c r="E311" i="1"/>
  <c r="G311" i="1"/>
  <c r="K311" i="1"/>
  <c r="A312" i="1"/>
  <c r="B312" i="1"/>
  <c r="C312" i="1"/>
  <c r="E312" i="1"/>
  <c r="G312" i="1"/>
  <c r="K312" i="1"/>
  <c r="A313" i="1"/>
  <c r="B313" i="1"/>
  <c r="C313" i="1"/>
  <c r="E313" i="1"/>
  <c r="G313" i="1"/>
  <c r="K313" i="1"/>
  <c r="A314" i="1"/>
  <c r="B314" i="1"/>
  <c r="C314" i="1"/>
  <c r="E314" i="1"/>
  <c r="G314" i="1"/>
  <c r="K314" i="1"/>
  <c r="A315" i="1"/>
  <c r="B315" i="1"/>
  <c r="C315" i="1"/>
  <c r="E315" i="1"/>
  <c r="G315" i="1"/>
  <c r="K315" i="1"/>
  <c r="A316" i="1"/>
  <c r="B316" i="1"/>
  <c r="C316" i="1"/>
  <c r="E316" i="1"/>
  <c r="G316" i="1"/>
  <c r="K316" i="1"/>
  <c r="A317" i="1"/>
  <c r="B317" i="1"/>
  <c r="C317" i="1"/>
  <c r="E317" i="1"/>
  <c r="G317" i="1"/>
  <c r="K317" i="1"/>
  <c r="A318" i="1"/>
  <c r="B318" i="1"/>
  <c r="C318" i="1"/>
  <c r="E318" i="1"/>
  <c r="G318" i="1"/>
  <c r="K318" i="1"/>
  <c r="A319" i="1"/>
  <c r="B319" i="1"/>
  <c r="C319" i="1"/>
  <c r="E319" i="1"/>
  <c r="G319" i="1"/>
  <c r="K319" i="1"/>
  <c r="A320" i="1"/>
  <c r="B320" i="1"/>
  <c r="C320" i="1"/>
  <c r="E320" i="1"/>
  <c r="G320" i="1"/>
  <c r="K320" i="1"/>
  <c r="A321" i="1"/>
  <c r="B321" i="1"/>
  <c r="C321" i="1"/>
  <c r="E321" i="1"/>
  <c r="G321" i="1"/>
  <c r="K321" i="1"/>
  <c r="A322" i="1"/>
  <c r="B322" i="1"/>
  <c r="C322" i="1"/>
  <c r="E322" i="1"/>
  <c r="G322" i="1"/>
  <c r="K322" i="1"/>
  <c r="A323" i="1"/>
  <c r="B323" i="1"/>
  <c r="C323" i="1"/>
  <c r="E323" i="1"/>
  <c r="G323" i="1"/>
  <c r="K323" i="1"/>
  <c r="A324" i="1"/>
  <c r="B324" i="1"/>
  <c r="C324" i="1"/>
  <c r="E324" i="1"/>
  <c r="G324" i="1"/>
  <c r="K324" i="1"/>
  <c r="A325" i="1"/>
  <c r="B325" i="1"/>
  <c r="C325" i="1"/>
  <c r="E325" i="1"/>
  <c r="G325" i="1"/>
  <c r="K325" i="1"/>
  <c r="A326" i="1"/>
  <c r="B326" i="1"/>
  <c r="C326" i="1"/>
  <c r="E326" i="1"/>
  <c r="G326" i="1"/>
  <c r="K326" i="1"/>
  <c r="A327" i="1"/>
  <c r="B327" i="1"/>
  <c r="C327" i="1"/>
  <c r="E327" i="1"/>
  <c r="G327" i="1"/>
  <c r="K327" i="1"/>
  <c r="A328" i="1"/>
  <c r="B328" i="1"/>
  <c r="C328" i="1"/>
  <c r="E328" i="1"/>
  <c r="G328" i="1"/>
  <c r="K328" i="1"/>
  <c r="A329" i="1"/>
  <c r="B329" i="1"/>
  <c r="C329" i="1"/>
  <c r="E329" i="1"/>
  <c r="G329" i="1"/>
  <c r="K329" i="1"/>
  <c r="A330" i="1"/>
  <c r="B330" i="1"/>
  <c r="C330" i="1"/>
  <c r="E330" i="1"/>
  <c r="G330" i="1"/>
  <c r="K330" i="1"/>
  <c r="A331" i="1"/>
  <c r="B331" i="1"/>
  <c r="C331" i="1"/>
  <c r="E331" i="1"/>
  <c r="G331" i="1"/>
  <c r="K331" i="1"/>
  <c r="A332" i="1"/>
  <c r="B332" i="1"/>
  <c r="C332" i="1"/>
  <c r="E332" i="1"/>
  <c r="G332" i="1"/>
  <c r="K332" i="1"/>
  <c r="A333" i="1"/>
  <c r="B333" i="1"/>
  <c r="C333" i="1"/>
  <c r="E333" i="1"/>
  <c r="G333" i="1"/>
  <c r="K333" i="1"/>
  <c r="A334" i="1"/>
  <c r="B334" i="1"/>
  <c r="C334" i="1"/>
  <c r="E334" i="1"/>
  <c r="G334" i="1"/>
  <c r="K334" i="1"/>
  <c r="A335" i="1"/>
  <c r="B335" i="1"/>
  <c r="C335" i="1"/>
  <c r="E335" i="1"/>
  <c r="G335" i="1"/>
  <c r="K335" i="1"/>
  <c r="A336" i="1"/>
  <c r="B336" i="1"/>
  <c r="C336" i="1"/>
  <c r="E336" i="1"/>
  <c r="G336" i="1"/>
  <c r="K336" i="1"/>
  <c r="A337" i="1"/>
  <c r="B337" i="1"/>
  <c r="C337" i="1"/>
  <c r="E337" i="1"/>
  <c r="G337" i="1"/>
  <c r="K337" i="1"/>
  <c r="A338" i="1"/>
  <c r="B338" i="1"/>
  <c r="C338" i="1"/>
  <c r="E338" i="1"/>
  <c r="G338" i="1"/>
  <c r="K338" i="1"/>
  <c r="A339" i="1"/>
  <c r="B339" i="1"/>
  <c r="C339" i="1"/>
  <c r="E339" i="1"/>
  <c r="G339" i="1"/>
  <c r="K339" i="1"/>
  <c r="A340" i="1"/>
  <c r="B340" i="1"/>
  <c r="C340" i="1"/>
  <c r="E340" i="1"/>
  <c r="G340" i="1"/>
  <c r="K340" i="1"/>
  <c r="A341" i="1"/>
  <c r="B341" i="1"/>
  <c r="C341" i="1"/>
  <c r="E341" i="1"/>
  <c r="G341" i="1"/>
  <c r="K341" i="1"/>
  <c r="A342" i="1"/>
  <c r="B342" i="1"/>
  <c r="C342" i="1"/>
  <c r="E342" i="1"/>
  <c r="G342" i="1"/>
  <c r="K342" i="1"/>
  <c r="A343" i="1"/>
  <c r="B343" i="1"/>
  <c r="C343" i="1"/>
  <c r="E343" i="1"/>
  <c r="G343" i="1"/>
  <c r="K343" i="1"/>
  <c r="A344" i="1"/>
  <c r="B344" i="1"/>
  <c r="C344" i="1"/>
  <c r="E344" i="1"/>
  <c r="G344" i="1"/>
  <c r="K344" i="1"/>
  <c r="A345" i="1"/>
  <c r="B345" i="1"/>
  <c r="C345" i="1"/>
  <c r="E345" i="1"/>
  <c r="G345" i="1"/>
  <c r="K345" i="1"/>
  <c r="A346" i="1"/>
  <c r="B346" i="1"/>
  <c r="C346" i="1"/>
  <c r="E346" i="1"/>
  <c r="G346" i="1"/>
  <c r="K346" i="1"/>
  <c r="A347" i="1"/>
  <c r="B347" i="1"/>
  <c r="C347" i="1"/>
  <c r="E347" i="1"/>
  <c r="G347" i="1"/>
  <c r="K347" i="1"/>
  <c r="A348" i="1"/>
  <c r="B348" i="1"/>
  <c r="C348" i="1"/>
  <c r="E348" i="1"/>
  <c r="G348" i="1"/>
  <c r="K348" i="1"/>
  <c r="A349" i="1"/>
  <c r="B349" i="1"/>
  <c r="C349" i="1"/>
  <c r="E349" i="1"/>
  <c r="G349" i="1"/>
  <c r="K349" i="1"/>
  <c r="A350" i="1"/>
  <c r="B350" i="1"/>
  <c r="C350" i="1"/>
  <c r="E350" i="1"/>
  <c r="G350" i="1"/>
  <c r="K350" i="1"/>
  <c r="A351" i="1"/>
  <c r="B351" i="1"/>
  <c r="C351" i="1"/>
  <c r="E351" i="1"/>
  <c r="G351" i="1"/>
  <c r="K351" i="1"/>
  <c r="A352" i="1"/>
  <c r="B352" i="1"/>
  <c r="C352" i="1"/>
  <c r="E352" i="1"/>
  <c r="G352" i="1"/>
  <c r="K352" i="1"/>
  <c r="A353" i="1"/>
  <c r="B353" i="1"/>
  <c r="C353" i="1"/>
  <c r="E353" i="1"/>
  <c r="G353" i="1"/>
  <c r="K353" i="1"/>
  <c r="A354" i="1"/>
  <c r="B354" i="1"/>
  <c r="C354" i="1"/>
  <c r="E354" i="1"/>
  <c r="G354" i="1"/>
  <c r="K354" i="1"/>
  <c r="A355" i="1"/>
  <c r="B355" i="1"/>
  <c r="C355" i="1"/>
  <c r="E355" i="1"/>
  <c r="G355" i="1"/>
  <c r="K355" i="1"/>
  <c r="A356" i="1"/>
  <c r="B356" i="1"/>
  <c r="C356" i="1"/>
  <c r="E356" i="1"/>
  <c r="G356" i="1"/>
  <c r="K356" i="1"/>
  <c r="A357" i="1"/>
  <c r="B357" i="1"/>
  <c r="C357" i="1"/>
  <c r="E357" i="1"/>
  <c r="G357" i="1"/>
  <c r="K357" i="1"/>
  <c r="A358" i="1"/>
  <c r="B358" i="1"/>
  <c r="C358" i="1"/>
  <c r="E358" i="1"/>
  <c r="G358" i="1"/>
  <c r="K358" i="1"/>
  <c r="A359" i="1"/>
  <c r="B359" i="1"/>
  <c r="C359" i="1"/>
  <c r="E359" i="1"/>
  <c r="G359" i="1"/>
  <c r="K359" i="1"/>
  <c r="A360" i="1"/>
  <c r="B360" i="1"/>
  <c r="C360" i="1"/>
  <c r="E360" i="1"/>
  <c r="G360" i="1"/>
  <c r="K360" i="1"/>
  <c r="A361" i="1"/>
  <c r="B361" i="1"/>
  <c r="C361" i="1"/>
  <c r="E361" i="1"/>
  <c r="G361" i="1"/>
  <c r="K361" i="1"/>
  <c r="A362" i="1"/>
  <c r="B362" i="1"/>
  <c r="C362" i="1"/>
  <c r="E362" i="1"/>
  <c r="G362" i="1"/>
  <c r="K362" i="1"/>
  <c r="A363" i="1"/>
  <c r="B363" i="1"/>
  <c r="C363" i="1"/>
  <c r="E363" i="1"/>
  <c r="G363" i="1"/>
  <c r="K363" i="1"/>
  <c r="A364" i="1"/>
  <c r="B364" i="1"/>
  <c r="C364" i="1"/>
  <c r="E364" i="1"/>
  <c r="G364" i="1"/>
  <c r="K364" i="1"/>
  <c r="A365" i="1"/>
  <c r="B365" i="1"/>
  <c r="C365" i="1"/>
  <c r="E365" i="1"/>
  <c r="G365" i="1"/>
  <c r="K365" i="1"/>
  <c r="A366" i="1"/>
  <c r="B366" i="1"/>
  <c r="C366" i="1"/>
  <c r="E366" i="1"/>
  <c r="G366" i="1"/>
  <c r="K366" i="1"/>
  <c r="A367" i="1"/>
  <c r="B367" i="1"/>
  <c r="C367" i="1"/>
  <c r="E367" i="1"/>
  <c r="G367" i="1"/>
  <c r="K367" i="1"/>
  <c r="A368" i="1"/>
  <c r="B368" i="1"/>
  <c r="C368" i="1"/>
  <c r="E368" i="1"/>
  <c r="G368" i="1"/>
  <c r="K368" i="1"/>
  <c r="A369" i="1"/>
  <c r="B369" i="1"/>
  <c r="C369" i="1"/>
  <c r="E369" i="1"/>
  <c r="G369" i="1"/>
  <c r="K369" i="1"/>
  <c r="A370" i="1"/>
  <c r="B370" i="1"/>
  <c r="C370" i="1"/>
  <c r="E370" i="1"/>
  <c r="G370" i="1"/>
  <c r="K370" i="1"/>
  <c r="A371" i="1"/>
  <c r="B371" i="1"/>
  <c r="C371" i="1"/>
  <c r="E371" i="1"/>
  <c r="G371" i="1"/>
  <c r="K371" i="1"/>
  <c r="A372" i="1"/>
  <c r="B372" i="1"/>
  <c r="C372" i="1"/>
  <c r="E372" i="1"/>
  <c r="G372" i="1"/>
  <c r="K372" i="1"/>
  <c r="A373" i="1"/>
  <c r="B373" i="1"/>
  <c r="C373" i="1"/>
  <c r="E373" i="1"/>
  <c r="G373" i="1"/>
  <c r="K373" i="1"/>
  <c r="A374" i="1"/>
  <c r="B374" i="1"/>
  <c r="C374" i="1"/>
  <c r="E374" i="1"/>
  <c r="G374" i="1"/>
  <c r="K374" i="1"/>
  <c r="A375" i="1"/>
  <c r="B375" i="1"/>
  <c r="C375" i="1"/>
  <c r="E375" i="1"/>
  <c r="G375" i="1"/>
  <c r="K375" i="1"/>
  <c r="A376" i="1"/>
  <c r="B376" i="1"/>
  <c r="C376" i="1"/>
  <c r="E376" i="1"/>
  <c r="G376" i="1"/>
  <c r="K376" i="1"/>
  <c r="A377" i="1"/>
  <c r="B377" i="1"/>
  <c r="C377" i="1"/>
  <c r="E377" i="1"/>
  <c r="G377" i="1"/>
  <c r="K377" i="1"/>
  <c r="A378" i="1"/>
  <c r="B378" i="1"/>
  <c r="C378" i="1"/>
  <c r="E378" i="1"/>
  <c r="G378" i="1"/>
  <c r="K378" i="1"/>
  <c r="A379" i="1"/>
  <c r="B379" i="1"/>
  <c r="C379" i="1"/>
  <c r="E379" i="1"/>
  <c r="G379" i="1"/>
  <c r="K379" i="1"/>
  <c r="A380" i="1"/>
  <c r="B380" i="1"/>
  <c r="C380" i="1"/>
  <c r="E380" i="1"/>
  <c r="G380" i="1"/>
  <c r="K380" i="1"/>
  <c r="A381" i="1"/>
  <c r="B381" i="1"/>
  <c r="C381" i="1"/>
  <c r="E381" i="1"/>
  <c r="G381" i="1"/>
  <c r="K381" i="1"/>
  <c r="A382" i="1"/>
  <c r="B382" i="1"/>
  <c r="C382" i="1"/>
  <c r="E382" i="1"/>
  <c r="G382" i="1"/>
  <c r="K382" i="1"/>
  <c r="A383" i="1"/>
  <c r="B383" i="1"/>
  <c r="C383" i="1"/>
  <c r="E383" i="1"/>
  <c r="G383" i="1"/>
  <c r="K383" i="1"/>
  <c r="A384" i="1"/>
  <c r="B384" i="1"/>
  <c r="C384" i="1"/>
  <c r="E384" i="1"/>
  <c r="G384" i="1"/>
  <c r="K384" i="1"/>
  <c r="A385" i="1"/>
  <c r="B385" i="1"/>
  <c r="C385" i="1"/>
  <c r="E385" i="1"/>
  <c r="G385" i="1"/>
  <c r="K385" i="1"/>
  <c r="A386" i="1"/>
  <c r="B386" i="1"/>
  <c r="C386" i="1"/>
  <c r="E386" i="1"/>
  <c r="G386" i="1"/>
  <c r="K386" i="1"/>
  <c r="A387" i="1"/>
  <c r="B387" i="1"/>
  <c r="C387" i="1"/>
  <c r="E387" i="1"/>
  <c r="G387" i="1"/>
  <c r="K387" i="1"/>
  <c r="A388" i="1"/>
  <c r="B388" i="1"/>
  <c r="C388" i="1"/>
  <c r="E388" i="1"/>
  <c r="G388" i="1"/>
  <c r="K388" i="1"/>
  <c r="A389" i="1"/>
  <c r="B389" i="1"/>
  <c r="C389" i="1"/>
  <c r="E389" i="1"/>
  <c r="G389" i="1"/>
  <c r="K389" i="1"/>
  <c r="A390" i="1"/>
  <c r="B390" i="1"/>
  <c r="C390" i="1"/>
  <c r="E390" i="1"/>
  <c r="G390" i="1"/>
  <c r="K390" i="1"/>
  <c r="A391" i="1"/>
  <c r="B391" i="1"/>
  <c r="C391" i="1"/>
  <c r="E391" i="1"/>
  <c r="G391" i="1"/>
  <c r="K391" i="1"/>
  <c r="A392" i="1"/>
  <c r="B392" i="1"/>
  <c r="C392" i="1"/>
  <c r="E392" i="1"/>
  <c r="G392" i="1"/>
  <c r="K392" i="1"/>
  <c r="A393" i="1"/>
  <c r="B393" i="1"/>
  <c r="C393" i="1"/>
  <c r="E393" i="1"/>
  <c r="G393" i="1"/>
  <c r="K393" i="1"/>
  <c r="A394" i="1"/>
  <c r="B394" i="1"/>
  <c r="C394" i="1"/>
  <c r="E394" i="1"/>
  <c r="G394" i="1"/>
  <c r="K394" i="1"/>
  <c r="A395" i="1"/>
  <c r="B395" i="1"/>
  <c r="C395" i="1"/>
  <c r="E395" i="1"/>
  <c r="G395" i="1"/>
  <c r="K395" i="1"/>
  <c r="A396" i="1"/>
  <c r="B396" i="1"/>
  <c r="C396" i="1"/>
  <c r="E396" i="1"/>
  <c r="G396" i="1"/>
  <c r="K396" i="1"/>
  <c r="A397" i="1"/>
  <c r="B397" i="1"/>
  <c r="C397" i="1"/>
  <c r="E397" i="1"/>
  <c r="G397" i="1"/>
  <c r="K397" i="1"/>
  <c r="A398" i="1"/>
  <c r="B398" i="1"/>
  <c r="C398" i="1"/>
  <c r="E398" i="1"/>
  <c r="G398" i="1"/>
  <c r="K398" i="1"/>
  <c r="A399" i="1"/>
  <c r="B399" i="1"/>
  <c r="C399" i="1"/>
  <c r="E399" i="1"/>
  <c r="G399" i="1"/>
  <c r="K399" i="1"/>
  <c r="A400" i="1"/>
  <c r="B400" i="1"/>
  <c r="C400" i="1"/>
  <c r="E400" i="1"/>
  <c r="G400" i="1"/>
  <c r="K400" i="1"/>
  <c r="A401" i="1"/>
  <c r="B401" i="1"/>
  <c r="C401" i="1"/>
  <c r="E401" i="1"/>
  <c r="G401" i="1"/>
  <c r="K401" i="1"/>
  <c r="A402" i="1"/>
  <c r="B402" i="1"/>
  <c r="C402" i="1"/>
  <c r="E402" i="1"/>
  <c r="G402" i="1"/>
  <c r="K402" i="1"/>
  <c r="A403" i="1"/>
  <c r="B403" i="1"/>
  <c r="C403" i="1"/>
  <c r="E403" i="1"/>
  <c r="G403" i="1"/>
  <c r="K403" i="1"/>
  <c r="A404" i="1"/>
  <c r="B404" i="1"/>
  <c r="C404" i="1"/>
  <c r="E404" i="1"/>
  <c r="G404" i="1"/>
  <c r="K404" i="1"/>
  <c r="A405" i="1"/>
  <c r="B405" i="1"/>
  <c r="C405" i="1"/>
  <c r="E405" i="1"/>
  <c r="G405" i="1"/>
  <c r="K405" i="1"/>
  <c r="A406" i="1"/>
  <c r="B406" i="1"/>
  <c r="C406" i="1"/>
  <c r="E406" i="1"/>
  <c r="G406" i="1"/>
  <c r="K406" i="1"/>
  <c r="A407" i="1"/>
  <c r="B407" i="1"/>
  <c r="C407" i="1"/>
  <c r="E407" i="1"/>
  <c r="G407" i="1"/>
  <c r="K407" i="1"/>
  <c r="A408" i="1"/>
  <c r="B408" i="1"/>
  <c r="C408" i="1"/>
  <c r="E408" i="1"/>
  <c r="G408" i="1"/>
  <c r="K408" i="1"/>
  <c r="A409" i="1"/>
  <c r="B409" i="1"/>
  <c r="C409" i="1"/>
  <c r="E409" i="1"/>
  <c r="G409" i="1"/>
  <c r="K409" i="1"/>
  <c r="A410" i="1"/>
  <c r="B410" i="1"/>
  <c r="C410" i="1"/>
  <c r="E410" i="1"/>
  <c r="G410" i="1"/>
  <c r="K410" i="1"/>
  <c r="A411" i="1"/>
  <c r="B411" i="1"/>
  <c r="C411" i="1"/>
  <c r="E411" i="1"/>
  <c r="G411" i="1"/>
  <c r="K411" i="1"/>
  <c r="A412" i="1"/>
  <c r="B412" i="1"/>
  <c r="C412" i="1"/>
  <c r="E412" i="1"/>
  <c r="G412" i="1"/>
  <c r="K412" i="1"/>
  <c r="A413" i="1"/>
  <c r="B413" i="1"/>
  <c r="C413" i="1"/>
  <c r="E413" i="1"/>
  <c r="G413" i="1"/>
  <c r="K413" i="1"/>
  <c r="A414" i="1"/>
  <c r="B414" i="1"/>
  <c r="C414" i="1"/>
  <c r="E414" i="1"/>
  <c r="G414" i="1"/>
  <c r="K414" i="1"/>
  <c r="A415" i="1"/>
  <c r="B415" i="1"/>
  <c r="C415" i="1"/>
  <c r="E415" i="1"/>
  <c r="G415" i="1"/>
  <c r="K415" i="1"/>
  <c r="A416" i="1"/>
  <c r="B416" i="1"/>
  <c r="C416" i="1"/>
  <c r="E416" i="1"/>
  <c r="G416" i="1"/>
  <c r="K416" i="1"/>
  <c r="A417" i="1"/>
  <c r="B417" i="1"/>
  <c r="C417" i="1"/>
  <c r="E417" i="1"/>
  <c r="G417" i="1"/>
  <c r="K417" i="1"/>
  <c r="A418" i="1"/>
  <c r="B418" i="1"/>
  <c r="C418" i="1"/>
  <c r="E418" i="1"/>
  <c r="G418" i="1"/>
  <c r="K418" i="1"/>
  <c r="A419" i="1"/>
  <c r="B419" i="1"/>
  <c r="C419" i="1"/>
  <c r="E419" i="1"/>
  <c r="G419" i="1"/>
  <c r="K419" i="1"/>
  <c r="A420" i="1"/>
  <c r="B420" i="1"/>
  <c r="C420" i="1"/>
  <c r="E420" i="1"/>
  <c r="G420" i="1"/>
  <c r="K420" i="1"/>
  <c r="A421" i="1"/>
  <c r="B421" i="1"/>
  <c r="C421" i="1"/>
  <c r="E421" i="1"/>
  <c r="G421" i="1"/>
  <c r="K421" i="1"/>
  <c r="A422" i="1"/>
  <c r="B422" i="1"/>
  <c r="C422" i="1"/>
  <c r="E422" i="1"/>
  <c r="G422" i="1"/>
  <c r="K422" i="1"/>
  <c r="A423" i="1"/>
  <c r="B423" i="1"/>
  <c r="C423" i="1"/>
  <c r="E423" i="1"/>
  <c r="G423" i="1"/>
  <c r="K423" i="1"/>
  <c r="A424" i="1"/>
  <c r="B424" i="1"/>
  <c r="C424" i="1"/>
  <c r="E424" i="1"/>
  <c r="G424" i="1"/>
  <c r="K424" i="1"/>
  <c r="A425" i="1"/>
  <c r="B425" i="1"/>
  <c r="C425" i="1"/>
  <c r="E425" i="1"/>
  <c r="G425" i="1"/>
  <c r="K425" i="1"/>
  <c r="A426" i="1"/>
  <c r="B426" i="1"/>
  <c r="C426" i="1"/>
  <c r="E426" i="1"/>
  <c r="G426" i="1"/>
  <c r="K426" i="1"/>
  <c r="A427" i="1"/>
  <c r="B427" i="1"/>
  <c r="C427" i="1"/>
  <c r="E427" i="1"/>
  <c r="G427" i="1"/>
  <c r="K427" i="1"/>
  <c r="A428" i="1"/>
  <c r="B428" i="1"/>
  <c r="C428" i="1"/>
  <c r="E428" i="1"/>
  <c r="G428" i="1"/>
  <c r="K428" i="1"/>
  <c r="A429" i="1"/>
  <c r="B429" i="1"/>
  <c r="C429" i="1"/>
  <c r="E429" i="1"/>
  <c r="G429" i="1"/>
  <c r="K429" i="1"/>
  <c r="A430" i="1"/>
  <c r="B430" i="1"/>
  <c r="C430" i="1"/>
  <c r="E430" i="1"/>
  <c r="G430" i="1"/>
  <c r="K430" i="1"/>
  <c r="A431" i="1"/>
  <c r="B431" i="1"/>
  <c r="C431" i="1"/>
  <c r="E431" i="1"/>
  <c r="G431" i="1"/>
  <c r="K431" i="1"/>
  <c r="A432" i="1"/>
  <c r="B432" i="1"/>
  <c r="C432" i="1"/>
  <c r="E432" i="1"/>
  <c r="G432" i="1"/>
  <c r="K432" i="1"/>
  <c r="A433" i="1"/>
  <c r="B433" i="1"/>
  <c r="C433" i="1"/>
  <c r="E433" i="1"/>
  <c r="G433" i="1"/>
  <c r="K433" i="1"/>
  <c r="A434" i="1"/>
  <c r="B434" i="1"/>
  <c r="C434" i="1"/>
  <c r="E434" i="1"/>
  <c r="G434" i="1"/>
  <c r="K434" i="1"/>
  <c r="A435" i="1"/>
  <c r="B435" i="1"/>
  <c r="C435" i="1"/>
  <c r="E435" i="1"/>
  <c r="G435" i="1"/>
  <c r="K435" i="1"/>
  <c r="A436" i="1"/>
  <c r="B436" i="1"/>
  <c r="C436" i="1"/>
  <c r="E436" i="1"/>
  <c r="G436" i="1"/>
  <c r="K436" i="1"/>
  <c r="A437" i="1"/>
  <c r="B437" i="1"/>
  <c r="C437" i="1"/>
  <c r="E437" i="1"/>
  <c r="G437" i="1"/>
  <c r="K437" i="1"/>
  <c r="A438" i="1"/>
  <c r="B438" i="1"/>
  <c r="C438" i="1"/>
  <c r="E438" i="1"/>
  <c r="G438" i="1"/>
  <c r="K438" i="1"/>
  <c r="A439" i="1"/>
  <c r="B439" i="1"/>
  <c r="C439" i="1"/>
  <c r="E439" i="1"/>
  <c r="G439" i="1"/>
  <c r="K439" i="1"/>
  <c r="A440" i="1"/>
  <c r="B440" i="1"/>
  <c r="C440" i="1"/>
  <c r="E440" i="1"/>
  <c r="G440" i="1"/>
  <c r="K440" i="1"/>
  <c r="A441" i="1"/>
  <c r="B441" i="1"/>
  <c r="C441" i="1"/>
  <c r="E441" i="1"/>
  <c r="G441" i="1"/>
  <c r="K441" i="1"/>
  <c r="A442" i="1"/>
  <c r="B442" i="1"/>
  <c r="C442" i="1"/>
  <c r="E442" i="1"/>
  <c r="G442" i="1"/>
  <c r="K442" i="1"/>
  <c r="A443" i="1"/>
  <c r="B443" i="1"/>
  <c r="C443" i="1"/>
  <c r="E443" i="1"/>
  <c r="G443" i="1"/>
  <c r="K443" i="1"/>
  <c r="A444" i="1"/>
  <c r="B444" i="1"/>
  <c r="C444" i="1"/>
  <c r="E444" i="1"/>
  <c r="G444" i="1"/>
  <c r="K444" i="1"/>
  <c r="A445" i="1"/>
  <c r="B445" i="1"/>
  <c r="C445" i="1"/>
  <c r="E445" i="1"/>
  <c r="G445" i="1"/>
  <c r="K445" i="1"/>
  <c r="A446" i="1"/>
  <c r="B446" i="1"/>
  <c r="C446" i="1"/>
  <c r="E446" i="1"/>
  <c r="G446" i="1"/>
  <c r="K446" i="1"/>
  <c r="A447" i="1"/>
  <c r="B447" i="1"/>
  <c r="C447" i="1"/>
  <c r="E447" i="1"/>
  <c r="G447" i="1"/>
  <c r="K447" i="1"/>
  <c r="A448" i="1"/>
  <c r="B448" i="1"/>
  <c r="C448" i="1"/>
  <c r="E448" i="1"/>
  <c r="G448" i="1"/>
  <c r="K448" i="1"/>
  <c r="A449" i="1"/>
  <c r="B449" i="1"/>
  <c r="C449" i="1"/>
  <c r="E449" i="1"/>
  <c r="G449" i="1"/>
  <c r="K449" i="1"/>
  <c r="A450" i="1"/>
  <c r="B450" i="1"/>
  <c r="C450" i="1"/>
  <c r="E450" i="1"/>
  <c r="G450" i="1"/>
  <c r="K450" i="1"/>
  <c r="A451" i="1"/>
  <c r="B451" i="1"/>
  <c r="C451" i="1"/>
  <c r="E451" i="1"/>
  <c r="G451" i="1"/>
  <c r="K451" i="1"/>
  <c r="A452" i="1"/>
  <c r="B452" i="1"/>
  <c r="C452" i="1"/>
  <c r="E452" i="1"/>
  <c r="G452" i="1"/>
  <c r="K452" i="1"/>
  <c r="A453" i="1"/>
  <c r="B453" i="1"/>
  <c r="C453" i="1"/>
  <c r="E453" i="1"/>
  <c r="G453" i="1"/>
  <c r="K453" i="1"/>
  <c r="A454" i="1"/>
  <c r="B454" i="1"/>
  <c r="C454" i="1"/>
  <c r="E454" i="1"/>
  <c r="G454" i="1"/>
  <c r="K454" i="1"/>
  <c r="A455" i="1"/>
  <c r="B455" i="1"/>
  <c r="C455" i="1"/>
  <c r="E455" i="1"/>
  <c r="G455" i="1"/>
  <c r="K455" i="1"/>
  <c r="A456" i="1"/>
  <c r="B456" i="1"/>
  <c r="C456" i="1"/>
  <c r="E456" i="1"/>
  <c r="G456" i="1"/>
  <c r="K456" i="1"/>
  <c r="A457" i="1"/>
  <c r="B457" i="1"/>
  <c r="C457" i="1"/>
  <c r="E457" i="1"/>
  <c r="G457" i="1"/>
  <c r="K457" i="1"/>
  <c r="A458" i="1"/>
  <c r="B458" i="1"/>
  <c r="C458" i="1"/>
  <c r="E458" i="1"/>
  <c r="G458" i="1"/>
  <c r="K458" i="1"/>
  <c r="A459" i="1"/>
  <c r="B459" i="1"/>
  <c r="C459" i="1"/>
  <c r="E459" i="1"/>
  <c r="G459" i="1"/>
  <c r="K459" i="1"/>
  <c r="A460" i="1"/>
  <c r="B460" i="1"/>
  <c r="C460" i="1"/>
  <c r="E460" i="1"/>
  <c r="G460" i="1"/>
  <c r="K460" i="1"/>
  <c r="A461" i="1"/>
  <c r="B461" i="1"/>
  <c r="C461" i="1"/>
  <c r="E461" i="1"/>
  <c r="G461" i="1"/>
  <c r="K461" i="1"/>
  <c r="A462" i="1"/>
  <c r="B462" i="1"/>
  <c r="C462" i="1"/>
  <c r="E462" i="1"/>
  <c r="G462" i="1"/>
  <c r="K462" i="1"/>
  <c r="A463" i="1"/>
  <c r="B463" i="1"/>
  <c r="C463" i="1"/>
  <c r="E463" i="1"/>
  <c r="G463" i="1"/>
  <c r="K463" i="1"/>
  <c r="A464" i="1"/>
  <c r="B464" i="1"/>
  <c r="C464" i="1"/>
  <c r="E464" i="1"/>
  <c r="G464" i="1"/>
  <c r="K464" i="1"/>
  <c r="A465" i="1"/>
  <c r="B465" i="1"/>
  <c r="C465" i="1"/>
  <c r="E465" i="1"/>
  <c r="G465" i="1"/>
  <c r="K465" i="1"/>
  <c r="A466" i="1"/>
  <c r="B466" i="1"/>
  <c r="C466" i="1"/>
  <c r="E466" i="1"/>
  <c r="G466" i="1"/>
  <c r="K466" i="1"/>
  <c r="A467" i="1"/>
  <c r="B467" i="1"/>
  <c r="C467" i="1"/>
  <c r="E467" i="1"/>
  <c r="G467" i="1"/>
  <c r="K467" i="1"/>
  <c r="A468" i="1"/>
  <c r="B468" i="1"/>
  <c r="C468" i="1"/>
  <c r="E468" i="1"/>
  <c r="G468" i="1"/>
  <c r="K468" i="1"/>
  <c r="A469" i="1"/>
  <c r="B469" i="1"/>
  <c r="C469" i="1"/>
  <c r="E469" i="1"/>
  <c r="G469" i="1"/>
  <c r="K469" i="1"/>
  <c r="A470" i="1"/>
  <c r="B470" i="1"/>
  <c r="C470" i="1"/>
  <c r="E470" i="1"/>
  <c r="G470" i="1"/>
  <c r="K470" i="1"/>
  <c r="A471" i="1"/>
  <c r="B471" i="1"/>
  <c r="C471" i="1"/>
  <c r="E471" i="1"/>
  <c r="G471" i="1"/>
  <c r="K471" i="1"/>
  <c r="A472" i="1"/>
  <c r="B472" i="1"/>
  <c r="C472" i="1"/>
  <c r="E472" i="1"/>
  <c r="G472" i="1"/>
  <c r="K472" i="1"/>
  <c r="A473" i="1"/>
  <c r="B473" i="1"/>
  <c r="C473" i="1"/>
  <c r="E473" i="1"/>
  <c r="G473" i="1"/>
  <c r="K473" i="1"/>
  <c r="A474" i="1"/>
  <c r="B474" i="1"/>
  <c r="C474" i="1"/>
  <c r="E474" i="1"/>
  <c r="G474" i="1"/>
  <c r="K474" i="1"/>
  <c r="A475" i="1"/>
  <c r="B475" i="1"/>
  <c r="C475" i="1"/>
  <c r="E475" i="1"/>
  <c r="G475" i="1"/>
  <c r="K475" i="1"/>
  <c r="A476" i="1"/>
  <c r="B476" i="1"/>
  <c r="C476" i="1"/>
  <c r="E476" i="1"/>
  <c r="G476" i="1"/>
  <c r="K476" i="1"/>
  <c r="A477" i="1"/>
  <c r="B477" i="1"/>
  <c r="C477" i="1"/>
  <c r="E477" i="1"/>
  <c r="G477" i="1"/>
  <c r="K477" i="1"/>
  <c r="A478" i="1"/>
  <c r="B478" i="1"/>
  <c r="C478" i="1"/>
  <c r="E478" i="1"/>
  <c r="G478" i="1"/>
  <c r="K478" i="1"/>
  <c r="A479" i="1"/>
  <c r="B479" i="1"/>
  <c r="C479" i="1"/>
  <c r="E479" i="1"/>
  <c r="G479" i="1"/>
  <c r="K479" i="1"/>
  <c r="A480" i="1"/>
  <c r="B480" i="1"/>
  <c r="C480" i="1"/>
  <c r="E480" i="1"/>
  <c r="G480" i="1"/>
  <c r="K480" i="1"/>
  <c r="A481" i="1"/>
  <c r="B481" i="1"/>
  <c r="C481" i="1"/>
  <c r="E481" i="1"/>
  <c r="G481" i="1"/>
  <c r="K481" i="1"/>
  <c r="A482" i="1"/>
  <c r="B482" i="1"/>
  <c r="C482" i="1"/>
  <c r="E482" i="1"/>
  <c r="G482" i="1"/>
  <c r="K482" i="1"/>
  <c r="A483" i="1"/>
  <c r="B483" i="1"/>
  <c r="C483" i="1"/>
  <c r="E483" i="1"/>
  <c r="G483" i="1"/>
  <c r="K483" i="1"/>
  <c r="A484" i="1"/>
  <c r="B484" i="1"/>
  <c r="C484" i="1"/>
  <c r="E484" i="1"/>
  <c r="G484" i="1"/>
  <c r="K484" i="1"/>
  <c r="A485" i="1"/>
  <c r="B485" i="1"/>
  <c r="C485" i="1"/>
  <c r="E485" i="1"/>
  <c r="G485" i="1"/>
  <c r="K485" i="1"/>
  <c r="A486" i="1"/>
  <c r="B486" i="1"/>
  <c r="C486" i="1"/>
  <c r="E486" i="1"/>
  <c r="G486" i="1"/>
  <c r="K486" i="1"/>
  <c r="A487" i="1"/>
  <c r="B487" i="1"/>
  <c r="C487" i="1"/>
  <c r="E487" i="1"/>
  <c r="G487" i="1"/>
  <c r="K487" i="1"/>
  <c r="A488" i="1"/>
  <c r="B488" i="1"/>
  <c r="C488" i="1"/>
  <c r="E488" i="1"/>
  <c r="G488" i="1"/>
  <c r="K488" i="1"/>
  <c r="A489" i="1"/>
  <c r="B489" i="1"/>
  <c r="C489" i="1"/>
  <c r="E489" i="1"/>
  <c r="G489" i="1"/>
  <c r="K489" i="1"/>
  <c r="A490" i="1"/>
  <c r="B490" i="1"/>
  <c r="C490" i="1"/>
  <c r="E490" i="1"/>
  <c r="G490" i="1"/>
  <c r="K490" i="1"/>
  <c r="A491" i="1"/>
  <c r="B491" i="1"/>
  <c r="C491" i="1"/>
  <c r="E491" i="1"/>
  <c r="G491" i="1"/>
  <c r="K491" i="1"/>
  <c r="A492" i="1"/>
  <c r="B492" i="1"/>
  <c r="C492" i="1"/>
  <c r="E492" i="1"/>
  <c r="G492" i="1"/>
  <c r="K492" i="1"/>
  <c r="A493" i="1"/>
  <c r="B493" i="1"/>
  <c r="C493" i="1"/>
  <c r="E493" i="1"/>
  <c r="G493" i="1"/>
  <c r="K493" i="1"/>
  <c r="A494" i="1"/>
  <c r="B494" i="1"/>
  <c r="C494" i="1"/>
  <c r="E494" i="1"/>
  <c r="G494" i="1"/>
  <c r="K494" i="1"/>
  <c r="A495" i="1"/>
  <c r="B495" i="1"/>
  <c r="C495" i="1"/>
  <c r="E495" i="1"/>
  <c r="G495" i="1"/>
  <c r="K495" i="1"/>
  <c r="A496" i="1"/>
  <c r="B496" i="1"/>
  <c r="C496" i="1"/>
  <c r="E496" i="1"/>
  <c r="G496" i="1"/>
  <c r="K496" i="1"/>
  <c r="A497" i="1"/>
  <c r="B497" i="1"/>
  <c r="C497" i="1"/>
  <c r="E497" i="1"/>
  <c r="G497" i="1"/>
  <c r="K497" i="1"/>
  <c r="A498" i="1"/>
  <c r="B498" i="1"/>
  <c r="C498" i="1"/>
  <c r="E498" i="1"/>
  <c r="G498" i="1"/>
  <c r="K498" i="1"/>
  <c r="A499" i="1"/>
  <c r="B499" i="1"/>
  <c r="C499" i="1"/>
  <c r="E499" i="1"/>
  <c r="G499" i="1"/>
  <c r="K499" i="1"/>
  <c r="A500" i="1"/>
  <c r="B500" i="1"/>
  <c r="C500" i="1"/>
  <c r="E500" i="1"/>
  <c r="G500" i="1"/>
  <c r="K500" i="1"/>
  <c r="A501" i="1"/>
  <c r="B501" i="1"/>
  <c r="C501" i="1"/>
  <c r="E501" i="1"/>
  <c r="G501" i="1"/>
  <c r="K501" i="1"/>
  <c r="A502" i="1"/>
  <c r="B502" i="1"/>
  <c r="C502" i="1"/>
  <c r="E502" i="1"/>
  <c r="G502" i="1"/>
  <c r="K502" i="1"/>
  <c r="A503" i="1"/>
  <c r="B503" i="1"/>
  <c r="C503" i="1"/>
  <c r="E503" i="1"/>
  <c r="G503" i="1"/>
  <c r="K503" i="1"/>
  <c r="A504" i="1"/>
  <c r="B504" i="1"/>
  <c r="C504" i="1"/>
  <c r="E504" i="1"/>
  <c r="G504" i="1"/>
  <c r="K504" i="1"/>
  <c r="A505" i="1"/>
  <c r="B505" i="1"/>
  <c r="C505" i="1"/>
  <c r="E505" i="1"/>
  <c r="G505" i="1"/>
  <c r="K505" i="1"/>
  <c r="A506" i="1"/>
  <c r="B506" i="1"/>
  <c r="C506" i="1"/>
  <c r="E506" i="1"/>
  <c r="G506" i="1"/>
  <c r="K506" i="1"/>
  <c r="A507" i="1"/>
  <c r="B507" i="1"/>
  <c r="C507" i="1"/>
  <c r="E507" i="1"/>
  <c r="G507" i="1"/>
  <c r="K507" i="1"/>
  <c r="A508" i="1"/>
  <c r="B508" i="1"/>
  <c r="C508" i="1"/>
  <c r="E508" i="1"/>
  <c r="G508" i="1"/>
  <c r="K508" i="1"/>
  <c r="A509" i="1"/>
  <c r="B509" i="1"/>
  <c r="C509" i="1"/>
  <c r="E509" i="1"/>
  <c r="G509" i="1"/>
  <c r="K509" i="1"/>
  <c r="A510" i="1"/>
  <c r="B510" i="1"/>
  <c r="C510" i="1"/>
  <c r="E510" i="1"/>
  <c r="G510" i="1"/>
  <c r="K510" i="1"/>
  <c r="A511" i="1"/>
  <c r="B511" i="1"/>
  <c r="C511" i="1"/>
  <c r="E511" i="1"/>
  <c r="G511" i="1"/>
  <c r="K511" i="1"/>
  <c r="A512" i="1"/>
  <c r="B512" i="1"/>
  <c r="C512" i="1"/>
  <c r="E512" i="1"/>
  <c r="G512" i="1"/>
  <c r="K512" i="1"/>
  <c r="A513" i="1"/>
  <c r="B513" i="1"/>
  <c r="C513" i="1"/>
  <c r="E513" i="1"/>
  <c r="G513" i="1"/>
  <c r="K513" i="1"/>
  <c r="A514" i="1"/>
  <c r="B514" i="1"/>
  <c r="C514" i="1"/>
  <c r="E514" i="1"/>
  <c r="G514" i="1"/>
  <c r="K514" i="1"/>
  <c r="A515" i="1"/>
  <c r="B515" i="1"/>
  <c r="C515" i="1"/>
  <c r="E515" i="1"/>
  <c r="G515" i="1"/>
  <c r="K515" i="1"/>
  <c r="A516" i="1"/>
  <c r="B516" i="1"/>
  <c r="C516" i="1"/>
  <c r="E516" i="1"/>
  <c r="G516" i="1"/>
  <c r="K516" i="1"/>
  <c r="A517" i="1"/>
  <c r="B517" i="1"/>
  <c r="C517" i="1"/>
  <c r="E517" i="1"/>
  <c r="G517" i="1"/>
  <c r="K517" i="1"/>
  <c r="A518" i="1"/>
  <c r="B518" i="1"/>
  <c r="C518" i="1"/>
  <c r="E518" i="1"/>
  <c r="G518" i="1"/>
  <c r="K518" i="1"/>
  <c r="A519" i="1"/>
  <c r="B519" i="1"/>
  <c r="C519" i="1"/>
  <c r="E519" i="1"/>
  <c r="G519" i="1"/>
  <c r="K519" i="1"/>
  <c r="A520" i="1"/>
  <c r="B520" i="1"/>
  <c r="C520" i="1"/>
  <c r="E520" i="1"/>
  <c r="G520" i="1"/>
  <c r="K520" i="1"/>
  <c r="A521" i="1"/>
  <c r="B521" i="1"/>
  <c r="C521" i="1"/>
  <c r="E521" i="1"/>
  <c r="G521" i="1"/>
  <c r="K521" i="1"/>
  <c r="A522" i="1"/>
  <c r="B522" i="1"/>
  <c r="C522" i="1"/>
  <c r="E522" i="1"/>
  <c r="G522" i="1"/>
  <c r="K522" i="1"/>
  <c r="A523" i="1"/>
  <c r="B523" i="1"/>
  <c r="C523" i="1"/>
  <c r="E523" i="1"/>
  <c r="G523" i="1"/>
  <c r="K523" i="1"/>
  <c r="A524" i="1"/>
  <c r="B524" i="1"/>
  <c r="C524" i="1"/>
  <c r="E524" i="1"/>
  <c r="G524" i="1"/>
  <c r="K524" i="1"/>
  <c r="A525" i="1"/>
  <c r="B525" i="1"/>
  <c r="C525" i="1"/>
  <c r="E525" i="1"/>
  <c r="G525" i="1"/>
  <c r="K525" i="1"/>
  <c r="A526" i="1"/>
  <c r="B526" i="1"/>
  <c r="C526" i="1"/>
  <c r="E526" i="1"/>
  <c r="G526" i="1"/>
  <c r="K526" i="1"/>
  <c r="A527" i="1"/>
  <c r="B527" i="1"/>
  <c r="C527" i="1"/>
  <c r="E527" i="1"/>
  <c r="G527" i="1"/>
  <c r="K527" i="1"/>
  <c r="A528" i="1"/>
  <c r="B528" i="1"/>
  <c r="C528" i="1"/>
  <c r="E528" i="1"/>
  <c r="G528" i="1"/>
  <c r="K528" i="1"/>
  <c r="A529" i="1"/>
  <c r="B529" i="1"/>
  <c r="C529" i="1"/>
  <c r="E529" i="1"/>
  <c r="G529" i="1"/>
  <c r="K529" i="1"/>
  <c r="A530" i="1"/>
  <c r="B530" i="1"/>
  <c r="C530" i="1"/>
  <c r="E530" i="1"/>
  <c r="G530" i="1"/>
  <c r="K530" i="1"/>
  <c r="A531" i="1"/>
  <c r="B531" i="1"/>
  <c r="C531" i="1"/>
  <c r="E531" i="1"/>
  <c r="G531" i="1"/>
  <c r="K531" i="1"/>
  <c r="A532" i="1"/>
  <c r="B532" i="1"/>
  <c r="C532" i="1"/>
  <c r="E532" i="1"/>
  <c r="G532" i="1"/>
  <c r="K532" i="1"/>
  <c r="A533" i="1"/>
  <c r="B533" i="1"/>
  <c r="C533" i="1"/>
  <c r="E533" i="1"/>
  <c r="G533" i="1"/>
  <c r="K533" i="1"/>
  <c r="A534" i="1"/>
  <c r="B534" i="1"/>
  <c r="C534" i="1"/>
  <c r="E534" i="1"/>
  <c r="G534" i="1"/>
  <c r="K534" i="1"/>
  <c r="A535" i="1"/>
  <c r="B535" i="1"/>
  <c r="C535" i="1"/>
  <c r="E535" i="1"/>
  <c r="G535" i="1"/>
  <c r="K535" i="1"/>
  <c r="A536" i="1"/>
  <c r="B536" i="1"/>
  <c r="C536" i="1"/>
  <c r="E536" i="1"/>
  <c r="G536" i="1"/>
  <c r="K536" i="1"/>
  <c r="A537" i="1"/>
  <c r="B537" i="1"/>
  <c r="C537" i="1"/>
  <c r="E537" i="1"/>
  <c r="G537" i="1"/>
  <c r="K537" i="1"/>
  <c r="A538" i="1"/>
  <c r="B538" i="1"/>
  <c r="C538" i="1"/>
  <c r="E538" i="1"/>
  <c r="G538" i="1"/>
  <c r="K538" i="1"/>
  <c r="A539" i="1"/>
  <c r="B539" i="1"/>
  <c r="C539" i="1"/>
  <c r="E539" i="1"/>
  <c r="G539" i="1"/>
  <c r="K539" i="1"/>
  <c r="A540" i="1"/>
  <c r="B540" i="1"/>
  <c r="C540" i="1"/>
  <c r="E540" i="1"/>
  <c r="G540" i="1"/>
  <c r="K540" i="1"/>
  <c r="A541" i="1"/>
  <c r="B541" i="1"/>
  <c r="C541" i="1"/>
  <c r="E541" i="1"/>
  <c r="G541" i="1"/>
  <c r="K541" i="1"/>
  <c r="A542" i="1"/>
  <c r="B542" i="1"/>
  <c r="C542" i="1"/>
  <c r="E542" i="1"/>
  <c r="G542" i="1"/>
  <c r="K542" i="1"/>
  <c r="A543" i="1"/>
  <c r="B543" i="1"/>
  <c r="C543" i="1"/>
  <c r="E543" i="1"/>
  <c r="G543" i="1"/>
  <c r="K543" i="1"/>
  <c r="A544" i="1"/>
  <c r="B544" i="1"/>
  <c r="C544" i="1"/>
  <c r="E544" i="1"/>
  <c r="G544" i="1"/>
  <c r="K544" i="1"/>
  <c r="A545" i="1"/>
  <c r="B545" i="1"/>
  <c r="C545" i="1"/>
  <c r="E545" i="1"/>
  <c r="G545" i="1"/>
  <c r="K545" i="1"/>
  <c r="A546" i="1"/>
  <c r="B546" i="1"/>
  <c r="C546" i="1"/>
  <c r="E546" i="1"/>
  <c r="G546" i="1"/>
  <c r="K546" i="1"/>
  <c r="A547" i="1"/>
  <c r="B547" i="1"/>
  <c r="C547" i="1"/>
  <c r="E547" i="1"/>
  <c r="G547" i="1"/>
  <c r="K547" i="1"/>
  <c r="A548" i="1"/>
  <c r="B548" i="1"/>
  <c r="C548" i="1"/>
  <c r="E548" i="1"/>
  <c r="G548" i="1"/>
  <c r="K548" i="1"/>
  <c r="A549" i="1"/>
  <c r="B549" i="1"/>
  <c r="C549" i="1"/>
  <c r="E549" i="1"/>
  <c r="G549" i="1"/>
  <c r="K549" i="1"/>
  <c r="A550" i="1"/>
  <c r="B550" i="1"/>
  <c r="C550" i="1"/>
  <c r="E550" i="1"/>
  <c r="G550" i="1"/>
  <c r="K550" i="1"/>
  <c r="A551" i="1"/>
  <c r="B551" i="1"/>
  <c r="C551" i="1"/>
  <c r="E551" i="1"/>
  <c r="G551" i="1"/>
  <c r="K551" i="1"/>
  <c r="A552" i="1"/>
  <c r="B552" i="1"/>
  <c r="C552" i="1"/>
  <c r="E552" i="1"/>
  <c r="G552" i="1"/>
  <c r="K552" i="1"/>
  <c r="A553" i="1"/>
  <c r="B553" i="1"/>
  <c r="C553" i="1"/>
  <c r="E553" i="1"/>
  <c r="G553" i="1"/>
  <c r="K553" i="1"/>
  <c r="A554" i="1"/>
  <c r="B554" i="1"/>
  <c r="C554" i="1"/>
  <c r="E554" i="1"/>
  <c r="G554" i="1"/>
  <c r="K554" i="1"/>
  <c r="A555" i="1"/>
  <c r="B555" i="1"/>
  <c r="C555" i="1"/>
  <c r="E555" i="1"/>
  <c r="G555" i="1"/>
  <c r="K555" i="1"/>
  <c r="A556" i="1"/>
  <c r="B556" i="1"/>
  <c r="C556" i="1"/>
  <c r="E556" i="1"/>
  <c r="G556" i="1"/>
  <c r="K556" i="1"/>
  <c r="A557" i="1"/>
  <c r="B557" i="1"/>
  <c r="C557" i="1"/>
  <c r="E557" i="1"/>
  <c r="G557" i="1"/>
  <c r="K557" i="1"/>
  <c r="A558" i="1"/>
  <c r="B558" i="1"/>
  <c r="C558" i="1"/>
  <c r="E558" i="1"/>
  <c r="G558" i="1"/>
  <c r="K558" i="1"/>
  <c r="A559" i="1"/>
  <c r="B559" i="1"/>
  <c r="C559" i="1"/>
  <c r="E559" i="1"/>
  <c r="G559" i="1"/>
  <c r="K559" i="1"/>
  <c r="A560" i="1"/>
  <c r="B560" i="1"/>
  <c r="C560" i="1"/>
  <c r="E560" i="1"/>
  <c r="G560" i="1"/>
  <c r="K560" i="1"/>
  <c r="A561" i="1"/>
  <c r="B561" i="1"/>
  <c r="C561" i="1"/>
  <c r="E561" i="1"/>
  <c r="G561" i="1"/>
  <c r="K561" i="1"/>
  <c r="A562" i="1"/>
  <c r="B562" i="1"/>
  <c r="C562" i="1"/>
  <c r="E562" i="1"/>
  <c r="G562" i="1"/>
  <c r="K562" i="1"/>
  <c r="A563" i="1"/>
  <c r="B563" i="1"/>
  <c r="C563" i="1"/>
  <c r="E563" i="1"/>
  <c r="G563" i="1"/>
  <c r="K563" i="1"/>
  <c r="A564" i="1"/>
  <c r="B564" i="1"/>
  <c r="C564" i="1"/>
  <c r="E564" i="1"/>
  <c r="G564" i="1"/>
  <c r="K564" i="1"/>
  <c r="A565" i="1"/>
  <c r="B565" i="1"/>
  <c r="C565" i="1"/>
  <c r="E565" i="1"/>
  <c r="G565" i="1"/>
  <c r="K565" i="1"/>
  <c r="A566" i="1"/>
  <c r="B566" i="1"/>
  <c r="C566" i="1"/>
  <c r="E566" i="1"/>
  <c r="G566" i="1"/>
  <c r="K566" i="1"/>
  <c r="A567" i="1"/>
  <c r="B567" i="1"/>
  <c r="C567" i="1"/>
  <c r="E567" i="1"/>
  <c r="G567" i="1"/>
  <c r="K567" i="1"/>
  <c r="A568" i="1"/>
  <c r="B568" i="1"/>
  <c r="C568" i="1"/>
  <c r="E568" i="1"/>
  <c r="G568" i="1"/>
  <c r="K568" i="1"/>
  <c r="A569" i="1"/>
  <c r="B569" i="1"/>
  <c r="C569" i="1"/>
  <c r="E569" i="1"/>
  <c r="G569" i="1"/>
  <c r="K569" i="1"/>
  <c r="A570" i="1"/>
  <c r="B570" i="1"/>
  <c r="C570" i="1"/>
  <c r="E570" i="1"/>
  <c r="G570" i="1"/>
  <c r="K570" i="1"/>
  <c r="A571" i="1"/>
  <c r="B571" i="1"/>
  <c r="C571" i="1"/>
  <c r="E571" i="1"/>
  <c r="G571" i="1"/>
  <c r="K571" i="1"/>
  <c r="A572" i="1"/>
  <c r="B572" i="1"/>
  <c r="C572" i="1"/>
  <c r="E572" i="1"/>
  <c r="G572" i="1"/>
  <c r="K572" i="1"/>
  <c r="A573" i="1"/>
  <c r="B573" i="1"/>
  <c r="C573" i="1"/>
  <c r="E573" i="1"/>
  <c r="G573" i="1"/>
  <c r="K573" i="1"/>
  <c r="A574" i="1"/>
  <c r="B574" i="1"/>
  <c r="C574" i="1"/>
  <c r="E574" i="1"/>
  <c r="G574" i="1"/>
  <c r="K574" i="1"/>
  <c r="A575" i="1"/>
  <c r="B575" i="1"/>
  <c r="C575" i="1"/>
  <c r="E575" i="1"/>
  <c r="G575" i="1"/>
  <c r="K575" i="1"/>
  <c r="A576" i="1"/>
  <c r="B576" i="1"/>
  <c r="C576" i="1"/>
  <c r="E576" i="1"/>
  <c r="G576" i="1"/>
  <c r="K576" i="1"/>
  <c r="A577" i="1"/>
  <c r="B577" i="1"/>
  <c r="C577" i="1"/>
  <c r="E577" i="1"/>
  <c r="G577" i="1"/>
  <c r="K577" i="1"/>
  <c r="A578" i="1"/>
  <c r="B578" i="1"/>
  <c r="C578" i="1"/>
  <c r="E578" i="1"/>
  <c r="G578" i="1"/>
  <c r="K578" i="1"/>
  <c r="A579" i="1"/>
  <c r="B579" i="1"/>
  <c r="C579" i="1"/>
  <c r="E579" i="1"/>
  <c r="G579" i="1"/>
  <c r="K579" i="1"/>
  <c r="A580" i="1"/>
  <c r="B580" i="1"/>
  <c r="C580" i="1"/>
  <c r="E580" i="1"/>
  <c r="G580" i="1"/>
  <c r="K580" i="1"/>
  <c r="A581" i="1"/>
  <c r="B581" i="1"/>
  <c r="C581" i="1"/>
  <c r="E581" i="1"/>
  <c r="G581" i="1"/>
  <c r="K581" i="1"/>
  <c r="A582" i="1"/>
  <c r="B582" i="1"/>
  <c r="C582" i="1"/>
  <c r="E582" i="1"/>
  <c r="G582" i="1"/>
  <c r="K582" i="1"/>
  <c r="A583" i="1"/>
  <c r="B583" i="1"/>
  <c r="C583" i="1"/>
  <c r="E583" i="1"/>
  <c r="G583" i="1"/>
  <c r="K583" i="1"/>
  <c r="A584" i="1"/>
  <c r="B584" i="1"/>
  <c r="C584" i="1"/>
  <c r="E584" i="1"/>
  <c r="G584" i="1"/>
  <c r="K584" i="1"/>
  <c r="A585" i="1"/>
  <c r="B585" i="1"/>
  <c r="C585" i="1"/>
  <c r="E585" i="1"/>
  <c r="G585" i="1"/>
  <c r="K585" i="1"/>
  <c r="A586" i="1"/>
  <c r="B586" i="1"/>
  <c r="C586" i="1"/>
  <c r="E586" i="1"/>
  <c r="G586" i="1"/>
  <c r="K586" i="1"/>
  <c r="A587" i="1"/>
  <c r="B587" i="1"/>
  <c r="C587" i="1"/>
  <c r="E587" i="1"/>
  <c r="G587" i="1"/>
  <c r="K587" i="1"/>
  <c r="A588" i="1"/>
  <c r="B588" i="1"/>
  <c r="C588" i="1"/>
  <c r="E588" i="1"/>
  <c r="G588" i="1"/>
  <c r="K588" i="1"/>
  <c r="A589" i="1"/>
  <c r="B589" i="1"/>
  <c r="C589" i="1"/>
  <c r="E589" i="1"/>
  <c r="G589" i="1"/>
  <c r="K589" i="1"/>
  <c r="A590" i="1"/>
  <c r="B590" i="1"/>
  <c r="C590" i="1"/>
  <c r="E590" i="1"/>
  <c r="G590" i="1"/>
  <c r="K590" i="1"/>
  <c r="A591" i="1"/>
  <c r="B591" i="1"/>
  <c r="C591" i="1"/>
  <c r="E591" i="1"/>
  <c r="G591" i="1"/>
  <c r="K591" i="1"/>
  <c r="A592" i="1"/>
  <c r="B592" i="1"/>
  <c r="C592" i="1"/>
  <c r="E592" i="1"/>
  <c r="G592" i="1"/>
  <c r="K592" i="1"/>
  <c r="A593" i="1"/>
  <c r="B593" i="1"/>
  <c r="C593" i="1"/>
  <c r="E593" i="1"/>
  <c r="G593" i="1"/>
  <c r="K593" i="1"/>
  <c r="A594" i="1"/>
  <c r="B594" i="1"/>
  <c r="C594" i="1"/>
  <c r="E594" i="1"/>
  <c r="G594" i="1"/>
  <c r="K594" i="1"/>
  <c r="A595" i="1"/>
  <c r="B595" i="1"/>
  <c r="C595" i="1"/>
  <c r="E595" i="1"/>
  <c r="G595" i="1"/>
  <c r="K595" i="1"/>
  <c r="A596" i="1"/>
  <c r="B596" i="1"/>
  <c r="C596" i="1"/>
  <c r="E596" i="1"/>
  <c r="G596" i="1"/>
  <c r="K596" i="1"/>
  <c r="A597" i="1"/>
  <c r="B597" i="1"/>
  <c r="C597" i="1"/>
  <c r="E597" i="1"/>
  <c r="G597" i="1"/>
  <c r="K597" i="1"/>
  <c r="A598" i="1"/>
  <c r="B598" i="1"/>
  <c r="C598" i="1"/>
  <c r="E598" i="1"/>
  <c r="G598" i="1"/>
  <c r="K598" i="1"/>
  <c r="A599" i="1"/>
  <c r="B599" i="1"/>
  <c r="C599" i="1"/>
  <c r="E599" i="1"/>
  <c r="G599" i="1"/>
  <c r="K599" i="1"/>
  <c r="A600" i="1"/>
  <c r="B600" i="1"/>
  <c r="C600" i="1"/>
  <c r="E600" i="1"/>
  <c r="G600" i="1"/>
  <c r="K600" i="1"/>
  <c r="A601" i="1"/>
  <c r="B601" i="1"/>
  <c r="C601" i="1"/>
  <c r="E601" i="1"/>
  <c r="G601" i="1"/>
  <c r="K601" i="1"/>
  <c r="A602" i="1"/>
  <c r="B602" i="1"/>
  <c r="C602" i="1"/>
  <c r="E602" i="1"/>
  <c r="G602" i="1"/>
  <c r="K602" i="1"/>
  <c r="A603" i="1"/>
  <c r="B603" i="1"/>
  <c r="C603" i="1"/>
  <c r="E603" i="1"/>
  <c r="G603" i="1"/>
  <c r="K603" i="1"/>
  <c r="A604" i="1"/>
  <c r="B604" i="1"/>
  <c r="C604" i="1"/>
  <c r="E604" i="1"/>
  <c r="G604" i="1"/>
  <c r="K604" i="1"/>
  <c r="A605" i="1"/>
  <c r="B605" i="1"/>
  <c r="C605" i="1"/>
  <c r="E605" i="1"/>
  <c r="G605" i="1"/>
  <c r="K605" i="1"/>
  <c r="A606" i="1"/>
  <c r="B606" i="1"/>
  <c r="C606" i="1"/>
  <c r="E606" i="1"/>
  <c r="G606" i="1"/>
  <c r="K606" i="1"/>
  <c r="A607" i="1"/>
  <c r="B607" i="1"/>
  <c r="C607" i="1"/>
  <c r="E607" i="1"/>
  <c r="G607" i="1"/>
  <c r="K607" i="1"/>
  <c r="A608" i="1"/>
  <c r="B608" i="1"/>
  <c r="C608" i="1"/>
  <c r="E608" i="1"/>
  <c r="G608" i="1"/>
  <c r="K608" i="1"/>
  <c r="A609" i="1"/>
  <c r="B609" i="1"/>
  <c r="C609" i="1"/>
  <c r="E609" i="1"/>
  <c r="G609" i="1"/>
  <c r="K609" i="1"/>
  <c r="A610" i="1"/>
  <c r="B610" i="1"/>
  <c r="C610" i="1"/>
  <c r="E610" i="1"/>
  <c r="G610" i="1"/>
  <c r="K610" i="1"/>
  <c r="A611" i="1"/>
  <c r="B611" i="1"/>
  <c r="C611" i="1"/>
  <c r="E611" i="1"/>
  <c r="G611" i="1"/>
  <c r="K611" i="1"/>
  <c r="A612" i="1"/>
  <c r="B612" i="1"/>
  <c r="C612" i="1"/>
  <c r="E612" i="1"/>
  <c r="G612" i="1"/>
  <c r="K612" i="1"/>
  <c r="A613" i="1"/>
  <c r="B613" i="1"/>
  <c r="C613" i="1"/>
  <c r="E613" i="1"/>
  <c r="G613" i="1"/>
  <c r="K613" i="1"/>
  <c r="A614" i="1"/>
  <c r="B614" i="1"/>
  <c r="C614" i="1"/>
  <c r="E614" i="1"/>
  <c r="G614" i="1"/>
  <c r="K614" i="1"/>
  <c r="A615" i="1"/>
  <c r="B615" i="1"/>
  <c r="C615" i="1"/>
  <c r="E615" i="1"/>
  <c r="G615" i="1"/>
  <c r="K615" i="1"/>
  <c r="A616" i="1"/>
  <c r="B616" i="1"/>
  <c r="C616" i="1"/>
  <c r="E616" i="1"/>
  <c r="G616" i="1"/>
  <c r="K616" i="1"/>
  <c r="A617" i="1"/>
  <c r="B617" i="1"/>
  <c r="C617" i="1"/>
  <c r="E617" i="1"/>
  <c r="G617" i="1"/>
  <c r="K617" i="1"/>
  <c r="A618" i="1"/>
  <c r="B618" i="1"/>
  <c r="C618" i="1"/>
  <c r="E618" i="1"/>
  <c r="G618" i="1"/>
  <c r="K618" i="1"/>
  <c r="A619" i="1"/>
  <c r="B619" i="1"/>
  <c r="C619" i="1"/>
  <c r="E619" i="1"/>
  <c r="G619" i="1"/>
  <c r="K619" i="1"/>
  <c r="A620" i="1"/>
  <c r="B620" i="1"/>
  <c r="C620" i="1"/>
  <c r="E620" i="1"/>
  <c r="G620" i="1"/>
  <c r="K620" i="1"/>
  <c r="A621" i="1"/>
  <c r="B621" i="1"/>
  <c r="C621" i="1"/>
  <c r="E621" i="1"/>
  <c r="G621" i="1"/>
  <c r="K621" i="1"/>
  <c r="A622" i="1"/>
  <c r="B622" i="1"/>
  <c r="C622" i="1"/>
  <c r="E622" i="1"/>
  <c r="G622" i="1"/>
  <c r="K622" i="1"/>
  <c r="A623" i="1"/>
  <c r="B623" i="1"/>
  <c r="C623" i="1"/>
  <c r="E623" i="1"/>
  <c r="G623" i="1"/>
  <c r="K623" i="1"/>
  <c r="A624" i="1"/>
  <c r="B624" i="1"/>
  <c r="C624" i="1"/>
  <c r="E624" i="1"/>
  <c r="G624" i="1"/>
  <c r="K624" i="1"/>
  <c r="A625" i="1"/>
  <c r="B625" i="1"/>
  <c r="C625" i="1"/>
  <c r="E625" i="1"/>
  <c r="G625" i="1"/>
  <c r="K625" i="1"/>
  <c r="A626" i="1"/>
  <c r="B626" i="1"/>
  <c r="C626" i="1"/>
  <c r="E626" i="1"/>
  <c r="G626" i="1"/>
  <c r="K626" i="1"/>
  <c r="A627" i="1"/>
  <c r="B627" i="1"/>
  <c r="C627" i="1"/>
  <c r="E627" i="1"/>
  <c r="G627" i="1"/>
  <c r="K627" i="1"/>
  <c r="A628" i="1"/>
  <c r="B628" i="1"/>
  <c r="C628" i="1"/>
  <c r="E628" i="1"/>
  <c r="G628" i="1"/>
  <c r="K628" i="1"/>
  <c r="A629" i="1"/>
  <c r="B629" i="1"/>
  <c r="C629" i="1"/>
  <c r="E629" i="1"/>
  <c r="G629" i="1"/>
  <c r="K629" i="1"/>
  <c r="A630" i="1"/>
  <c r="B630" i="1"/>
  <c r="C630" i="1"/>
  <c r="E630" i="1"/>
  <c r="G630" i="1"/>
  <c r="K630" i="1"/>
  <c r="A631" i="1"/>
  <c r="B631" i="1"/>
  <c r="C631" i="1"/>
  <c r="E631" i="1"/>
  <c r="G631" i="1"/>
  <c r="K631" i="1"/>
  <c r="A632" i="1"/>
  <c r="B632" i="1"/>
  <c r="C632" i="1"/>
  <c r="E632" i="1"/>
  <c r="G632" i="1"/>
  <c r="K632" i="1"/>
  <c r="A633" i="1"/>
  <c r="B633" i="1"/>
  <c r="C633" i="1"/>
  <c r="E633" i="1"/>
  <c r="G633" i="1"/>
  <c r="K633" i="1"/>
  <c r="A634" i="1"/>
  <c r="B634" i="1"/>
  <c r="C634" i="1"/>
  <c r="E634" i="1"/>
  <c r="G634" i="1"/>
  <c r="K634" i="1"/>
  <c r="A635" i="1"/>
  <c r="B635" i="1"/>
  <c r="C635" i="1"/>
  <c r="E635" i="1"/>
  <c r="G635" i="1"/>
  <c r="K635" i="1"/>
  <c r="A636" i="1"/>
  <c r="B636" i="1"/>
  <c r="C636" i="1"/>
  <c r="E636" i="1"/>
  <c r="G636" i="1"/>
  <c r="K636" i="1"/>
  <c r="A637" i="1"/>
  <c r="B637" i="1"/>
  <c r="C637" i="1"/>
  <c r="E637" i="1"/>
  <c r="G637" i="1"/>
  <c r="K637" i="1"/>
  <c r="A638" i="1"/>
  <c r="B638" i="1"/>
  <c r="C638" i="1"/>
  <c r="E638" i="1"/>
  <c r="G638" i="1"/>
  <c r="K638" i="1"/>
  <c r="A639" i="1"/>
  <c r="B639" i="1"/>
  <c r="C639" i="1"/>
  <c r="E639" i="1"/>
  <c r="G639" i="1"/>
  <c r="K639" i="1"/>
  <c r="A640" i="1"/>
  <c r="B640" i="1"/>
  <c r="C640" i="1"/>
  <c r="E640" i="1"/>
  <c r="G640" i="1"/>
  <c r="K640" i="1"/>
  <c r="A641" i="1"/>
  <c r="B641" i="1"/>
  <c r="C641" i="1"/>
  <c r="E641" i="1"/>
  <c r="G641" i="1"/>
  <c r="K641" i="1"/>
  <c r="A642" i="1"/>
  <c r="B642" i="1"/>
  <c r="C642" i="1"/>
  <c r="E642" i="1"/>
  <c r="G642" i="1"/>
  <c r="K642" i="1"/>
  <c r="A643" i="1"/>
  <c r="B643" i="1"/>
  <c r="C643" i="1"/>
  <c r="E643" i="1"/>
  <c r="G643" i="1"/>
  <c r="K643" i="1"/>
  <c r="A644" i="1"/>
  <c r="B644" i="1"/>
  <c r="C644" i="1"/>
  <c r="E644" i="1"/>
  <c r="G644" i="1"/>
  <c r="K644" i="1"/>
  <c r="A645" i="1"/>
  <c r="B645" i="1"/>
  <c r="C645" i="1"/>
  <c r="E645" i="1"/>
  <c r="G645" i="1"/>
  <c r="K645" i="1"/>
  <c r="A646" i="1"/>
  <c r="B646" i="1"/>
  <c r="C646" i="1"/>
  <c r="E646" i="1"/>
  <c r="G646" i="1"/>
  <c r="K646" i="1"/>
  <c r="A647" i="1"/>
  <c r="B647" i="1"/>
  <c r="C647" i="1"/>
  <c r="E647" i="1"/>
  <c r="G647" i="1"/>
  <c r="K647" i="1"/>
  <c r="A648" i="1"/>
  <c r="B648" i="1"/>
  <c r="C648" i="1"/>
  <c r="E648" i="1"/>
  <c r="G648" i="1"/>
  <c r="K648" i="1"/>
  <c r="A649" i="1"/>
  <c r="B649" i="1"/>
  <c r="C649" i="1"/>
  <c r="E649" i="1"/>
  <c r="G649" i="1"/>
  <c r="K649" i="1"/>
  <c r="A650" i="1"/>
  <c r="B650" i="1"/>
  <c r="C650" i="1"/>
  <c r="E650" i="1"/>
  <c r="G650" i="1"/>
  <c r="K650" i="1"/>
  <c r="A651" i="1"/>
  <c r="B651" i="1"/>
  <c r="C651" i="1"/>
  <c r="E651" i="1"/>
  <c r="G651" i="1"/>
  <c r="K651" i="1"/>
  <c r="A652" i="1"/>
  <c r="B652" i="1"/>
  <c r="C652" i="1"/>
  <c r="E652" i="1"/>
  <c r="G652" i="1"/>
  <c r="K652" i="1"/>
  <c r="A653" i="1"/>
  <c r="B653" i="1"/>
  <c r="C653" i="1"/>
  <c r="E653" i="1"/>
  <c r="G653" i="1"/>
  <c r="K653" i="1"/>
  <c r="A654" i="1"/>
  <c r="B654" i="1"/>
  <c r="C654" i="1"/>
  <c r="E654" i="1"/>
  <c r="G654" i="1"/>
  <c r="K654" i="1"/>
  <c r="A655" i="1"/>
  <c r="B655" i="1"/>
  <c r="C655" i="1"/>
  <c r="E655" i="1"/>
  <c r="G655" i="1"/>
  <c r="K655" i="1"/>
  <c r="A656" i="1"/>
  <c r="B656" i="1"/>
  <c r="C656" i="1"/>
  <c r="E656" i="1"/>
  <c r="G656" i="1"/>
  <c r="K656" i="1"/>
  <c r="A657" i="1"/>
  <c r="B657" i="1"/>
  <c r="C657" i="1"/>
  <c r="E657" i="1"/>
  <c r="G657" i="1"/>
  <c r="K657" i="1"/>
  <c r="A658" i="1"/>
  <c r="B658" i="1"/>
  <c r="C658" i="1"/>
  <c r="E658" i="1"/>
  <c r="G658" i="1"/>
  <c r="K658" i="1"/>
  <c r="A659" i="1"/>
  <c r="B659" i="1"/>
  <c r="C659" i="1"/>
  <c r="E659" i="1"/>
  <c r="G659" i="1"/>
  <c r="K659" i="1"/>
  <c r="A660" i="1"/>
  <c r="B660" i="1"/>
  <c r="C660" i="1"/>
  <c r="E660" i="1"/>
  <c r="G660" i="1"/>
  <c r="K660" i="1"/>
  <c r="A661" i="1"/>
  <c r="B661" i="1"/>
  <c r="C661" i="1"/>
  <c r="E661" i="1"/>
  <c r="G661" i="1"/>
  <c r="K661" i="1"/>
  <c r="A662" i="1"/>
  <c r="B662" i="1"/>
  <c r="C662" i="1"/>
  <c r="E662" i="1"/>
  <c r="G662" i="1"/>
  <c r="K662" i="1"/>
  <c r="A663" i="1"/>
  <c r="B663" i="1"/>
  <c r="C663" i="1"/>
  <c r="E663" i="1"/>
  <c r="G663" i="1"/>
  <c r="K663" i="1"/>
  <c r="A664" i="1"/>
  <c r="B664" i="1"/>
  <c r="C664" i="1"/>
  <c r="E664" i="1"/>
  <c r="G664" i="1"/>
  <c r="K664" i="1"/>
  <c r="A665" i="1"/>
  <c r="B665" i="1"/>
  <c r="C665" i="1"/>
  <c r="E665" i="1"/>
  <c r="G665" i="1"/>
  <c r="K665" i="1"/>
  <c r="A666" i="1"/>
  <c r="B666" i="1"/>
  <c r="C666" i="1"/>
  <c r="E666" i="1"/>
  <c r="G666" i="1"/>
  <c r="K666" i="1"/>
  <c r="A667" i="1"/>
  <c r="B667" i="1"/>
  <c r="C667" i="1"/>
  <c r="E667" i="1"/>
  <c r="G667" i="1"/>
  <c r="K667" i="1"/>
  <c r="A668" i="1"/>
  <c r="B668" i="1"/>
  <c r="C668" i="1"/>
  <c r="E668" i="1"/>
  <c r="G668" i="1"/>
  <c r="K668" i="1"/>
  <c r="A669" i="1"/>
  <c r="B669" i="1"/>
  <c r="C669" i="1"/>
  <c r="E669" i="1"/>
  <c r="G669" i="1"/>
  <c r="K669" i="1"/>
  <c r="A670" i="1"/>
  <c r="B670" i="1"/>
  <c r="C670" i="1"/>
  <c r="E670" i="1"/>
  <c r="G670" i="1"/>
  <c r="K670" i="1"/>
  <c r="A671" i="1"/>
  <c r="B671" i="1"/>
  <c r="C671" i="1"/>
  <c r="E671" i="1"/>
  <c r="G671" i="1"/>
  <c r="K671" i="1"/>
  <c r="A672" i="1"/>
  <c r="B672" i="1"/>
  <c r="C672" i="1"/>
  <c r="E672" i="1"/>
  <c r="G672" i="1"/>
  <c r="K672" i="1"/>
  <c r="A673" i="1"/>
  <c r="B673" i="1"/>
  <c r="C673" i="1"/>
  <c r="E673" i="1"/>
  <c r="G673" i="1"/>
  <c r="K673" i="1"/>
  <c r="A674" i="1"/>
  <c r="B674" i="1"/>
  <c r="C674" i="1"/>
  <c r="E674" i="1"/>
  <c r="G674" i="1"/>
  <c r="K674" i="1"/>
  <c r="A675" i="1"/>
  <c r="B675" i="1"/>
  <c r="C675" i="1"/>
  <c r="E675" i="1"/>
  <c r="G675" i="1"/>
  <c r="K675" i="1"/>
  <c r="A676" i="1"/>
  <c r="B676" i="1"/>
  <c r="C676" i="1"/>
  <c r="E676" i="1"/>
  <c r="G676" i="1"/>
  <c r="K676" i="1"/>
  <c r="A677" i="1"/>
  <c r="B677" i="1"/>
  <c r="C677" i="1"/>
  <c r="E677" i="1"/>
  <c r="G677" i="1"/>
  <c r="K677" i="1"/>
  <c r="A678" i="1"/>
  <c r="B678" i="1"/>
  <c r="C678" i="1"/>
  <c r="E678" i="1"/>
  <c r="G678" i="1"/>
  <c r="K678" i="1"/>
  <c r="A679" i="1"/>
  <c r="B679" i="1"/>
  <c r="C679" i="1"/>
  <c r="E679" i="1"/>
  <c r="G679" i="1"/>
  <c r="K679" i="1"/>
  <c r="A680" i="1"/>
  <c r="B680" i="1"/>
  <c r="C680" i="1"/>
  <c r="E680" i="1"/>
  <c r="G680" i="1"/>
  <c r="K680" i="1"/>
  <c r="A681" i="1"/>
  <c r="B681" i="1"/>
  <c r="C681" i="1"/>
  <c r="E681" i="1"/>
  <c r="G681" i="1"/>
  <c r="K681" i="1"/>
  <c r="A682" i="1"/>
  <c r="B682" i="1"/>
  <c r="C682" i="1"/>
  <c r="E682" i="1"/>
  <c r="G682" i="1"/>
  <c r="K682" i="1"/>
  <c r="A683" i="1"/>
  <c r="B683" i="1"/>
  <c r="C683" i="1"/>
  <c r="E683" i="1"/>
  <c r="G683" i="1"/>
  <c r="K683" i="1"/>
  <c r="A684" i="1"/>
  <c r="B684" i="1"/>
  <c r="C684" i="1"/>
  <c r="E684" i="1"/>
  <c r="G684" i="1"/>
  <c r="K684" i="1"/>
  <c r="A685" i="1"/>
  <c r="B685" i="1"/>
  <c r="C685" i="1"/>
  <c r="E685" i="1"/>
  <c r="G685" i="1"/>
  <c r="K685" i="1"/>
  <c r="A686" i="1"/>
  <c r="B686" i="1"/>
  <c r="C686" i="1"/>
  <c r="E686" i="1"/>
  <c r="G686" i="1"/>
  <c r="K686" i="1"/>
  <c r="A687" i="1"/>
  <c r="B687" i="1"/>
  <c r="C687" i="1"/>
  <c r="E687" i="1"/>
  <c r="G687" i="1"/>
  <c r="K687" i="1"/>
  <c r="A688" i="1"/>
  <c r="B688" i="1"/>
  <c r="C688" i="1"/>
  <c r="E688" i="1"/>
  <c r="G688" i="1"/>
  <c r="K688" i="1"/>
  <c r="A689" i="1"/>
  <c r="B689" i="1"/>
  <c r="C689" i="1"/>
  <c r="E689" i="1"/>
  <c r="G689" i="1"/>
  <c r="K689" i="1"/>
  <c r="A690" i="1"/>
  <c r="B690" i="1"/>
  <c r="C690" i="1"/>
  <c r="E690" i="1"/>
  <c r="G690" i="1"/>
  <c r="K690" i="1"/>
  <c r="A691" i="1"/>
  <c r="B691" i="1"/>
  <c r="C691" i="1"/>
  <c r="E691" i="1"/>
  <c r="G691" i="1"/>
  <c r="K691" i="1"/>
  <c r="A692" i="1"/>
  <c r="B692" i="1"/>
  <c r="C692" i="1"/>
  <c r="E692" i="1"/>
  <c r="G692" i="1"/>
  <c r="K692" i="1"/>
  <c r="A693" i="1"/>
  <c r="B693" i="1"/>
  <c r="C693" i="1"/>
  <c r="E693" i="1"/>
  <c r="G693" i="1"/>
  <c r="K693" i="1"/>
  <c r="A694" i="1"/>
  <c r="B694" i="1"/>
  <c r="C694" i="1"/>
  <c r="E694" i="1"/>
  <c r="G694" i="1"/>
  <c r="K694" i="1"/>
  <c r="A695" i="1"/>
  <c r="B695" i="1"/>
  <c r="C695" i="1"/>
  <c r="E695" i="1"/>
  <c r="G695" i="1"/>
  <c r="K695" i="1"/>
  <c r="A696" i="1"/>
  <c r="B696" i="1"/>
  <c r="C696" i="1"/>
  <c r="E696" i="1"/>
  <c r="G696" i="1"/>
  <c r="K696" i="1"/>
  <c r="A697" i="1"/>
  <c r="B697" i="1"/>
  <c r="C697" i="1"/>
  <c r="E697" i="1"/>
  <c r="G697" i="1"/>
  <c r="K697" i="1"/>
  <c r="A698" i="1"/>
  <c r="B698" i="1"/>
  <c r="C698" i="1"/>
  <c r="E698" i="1"/>
  <c r="G698" i="1"/>
  <c r="K698" i="1"/>
  <c r="A699" i="1"/>
  <c r="B699" i="1"/>
  <c r="C699" i="1"/>
  <c r="E699" i="1"/>
  <c r="G699" i="1"/>
  <c r="K699" i="1"/>
  <c r="A700" i="1"/>
  <c r="B700" i="1"/>
  <c r="C700" i="1"/>
  <c r="E700" i="1"/>
  <c r="G700" i="1"/>
  <c r="K700" i="1"/>
  <c r="A701" i="1"/>
  <c r="B701" i="1"/>
  <c r="C701" i="1"/>
  <c r="E701" i="1"/>
  <c r="G701" i="1"/>
  <c r="K701" i="1"/>
  <c r="A702" i="1"/>
  <c r="B702" i="1"/>
  <c r="C702" i="1"/>
  <c r="E702" i="1"/>
  <c r="G702" i="1"/>
  <c r="K702" i="1"/>
  <c r="A703" i="1"/>
  <c r="B703" i="1"/>
  <c r="C703" i="1"/>
  <c r="E703" i="1"/>
  <c r="G703" i="1"/>
  <c r="K703" i="1"/>
  <c r="A704" i="1"/>
  <c r="B704" i="1"/>
  <c r="C704" i="1"/>
  <c r="E704" i="1"/>
  <c r="G704" i="1"/>
  <c r="K704" i="1"/>
  <c r="A705" i="1"/>
  <c r="B705" i="1"/>
  <c r="C705" i="1"/>
  <c r="E705" i="1"/>
  <c r="G705" i="1"/>
  <c r="K705" i="1"/>
  <c r="A706" i="1"/>
  <c r="B706" i="1"/>
  <c r="C706" i="1"/>
  <c r="E706" i="1"/>
  <c r="G706" i="1"/>
  <c r="K706" i="1"/>
  <c r="A707" i="1"/>
  <c r="B707" i="1"/>
  <c r="C707" i="1"/>
  <c r="E707" i="1"/>
  <c r="G707" i="1"/>
  <c r="K707" i="1"/>
  <c r="A708" i="1"/>
  <c r="B708" i="1"/>
  <c r="C708" i="1"/>
  <c r="E708" i="1"/>
  <c r="G708" i="1"/>
  <c r="K708" i="1"/>
  <c r="A709" i="1"/>
  <c r="B709" i="1"/>
  <c r="C709" i="1"/>
  <c r="E709" i="1"/>
  <c r="G709" i="1"/>
  <c r="K709" i="1"/>
  <c r="A710" i="1"/>
  <c r="B710" i="1"/>
  <c r="C710" i="1"/>
  <c r="E710" i="1"/>
  <c r="G710" i="1"/>
  <c r="K710" i="1"/>
  <c r="A711" i="1"/>
  <c r="B711" i="1"/>
  <c r="C711" i="1"/>
  <c r="E711" i="1"/>
  <c r="G711" i="1"/>
  <c r="K711" i="1"/>
  <c r="A712" i="1"/>
  <c r="B712" i="1"/>
  <c r="C712" i="1"/>
  <c r="E712" i="1"/>
  <c r="G712" i="1"/>
  <c r="K712" i="1"/>
  <c r="A713" i="1"/>
  <c r="B713" i="1"/>
  <c r="C713" i="1"/>
  <c r="E713" i="1"/>
  <c r="G713" i="1"/>
  <c r="K713" i="1"/>
  <c r="A714" i="1"/>
  <c r="B714" i="1"/>
  <c r="C714" i="1"/>
  <c r="E714" i="1"/>
  <c r="G714" i="1"/>
  <c r="K714" i="1"/>
  <c r="A715" i="1"/>
  <c r="B715" i="1"/>
  <c r="C715" i="1"/>
  <c r="E715" i="1"/>
  <c r="G715" i="1"/>
  <c r="K715" i="1"/>
  <c r="A716" i="1"/>
  <c r="B716" i="1"/>
  <c r="C716" i="1"/>
  <c r="E716" i="1"/>
  <c r="G716" i="1"/>
  <c r="K716" i="1"/>
  <c r="A717" i="1"/>
  <c r="B717" i="1"/>
  <c r="C717" i="1"/>
  <c r="E717" i="1"/>
  <c r="G717" i="1"/>
  <c r="K717" i="1"/>
  <c r="A718" i="1"/>
  <c r="B718" i="1"/>
  <c r="C718" i="1"/>
  <c r="E718" i="1"/>
  <c r="G718" i="1"/>
  <c r="K718" i="1"/>
  <c r="A719" i="1"/>
  <c r="B719" i="1"/>
  <c r="C719" i="1"/>
  <c r="E719" i="1"/>
  <c r="G719" i="1"/>
  <c r="K719" i="1"/>
  <c r="A720" i="1"/>
  <c r="B720" i="1"/>
  <c r="C720" i="1"/>
  <c r="E720" i="1"/>
  <c r="G720" i="1"/>
  <c r="K720" i="1"/>
  <c r="A721" i="1"/>
  <c r="B721" i="1"/>
  <c r="C721" i="1"/>
  <c r="E721" i="1"/>
  <c r="G721" i="1"/>
  <c r="K721" i="1"/>
  <c r="A722" i="1"/>
  <c r="B722" i="1"/>
  <c r="C722" i="1"/>
  <c r="E722" i="1"/>
  <c r="G722" i="1"/>
  <c r="K722" i="1"/>
  <c r="A723" i="1"/>
  <c r="B723" i="1"/>
  <c r="C723" i="1"/>
  <c r="E723" i="1"/>
  <c r="G723" i="1"/>
  <c r="K723" i="1"/>
  <c r="A724" i="1"/>
  <c r="B724" i="1"/>
  <c r="C724" i="1"/>
  <c r="E724" i="1"/>
  <c r="G724" i="1"/>
  <c r="K724" i="1"/>
  <c r="A725" i="1"/>
  <c r="B725" i="1"/>
  <c r="C725" i="1"/>
  <c r="E725" i="1"/>
  <c r="G725" i="1"/>
  <c r="K725" i="1"/>
  <c r="A726" i="1"/>
  <c r="B726" i="1"/>
  <c r="C726" i="1"/>
  <c r="E726" i="1"/>
  <c r="G726" i="1"/>
  <c r="K726" i="1"/>
  <c r="A727" i="1"/>
  <c r="B727" i="1"/>
  <c r="C727" i="1"/>
  <c r="E727" i="1"/>
  <c r="G727" i="1"/>
  <c r="K727" i="1"/>
  <c r="A728" i="1"/>
  <c r="B728" i="1"/>
  <c r="C728" i="1"/>
  <c r="E728" i="1"/>
  <c r="G728" i="1"/>
  <c r="K728" i="1"/>
  <c r="A729" i="1"/>
  <c r="B729" i="1"/>
  <c r="C729" i="1"/>
  <c r="E729" i="1"/>
  <c r="G729" i="1"/>
  <c r="K729" i="1"/>
  <c r="A730" i="1"/>
  <c r="B730" i="1"/>
  <c r="C730" i="1"/>
  <c r="E730" i="1"/>
  <c r="G730" i="1"/>
  <c r="K730" i="1"/>
  <c r="A731" i="1"/>
  <c r="B731" i="1"/>
  <c r="C731" i="1"/>
  <c r="E731" i="1"/>
  <c r="G731" i="1"/>
  <c r="K731" i="1"/>
  <c r="A732" i="1"/>
  <c r="B732" i="1"/>
  <c r="C732" i="1"/>
  <c r="E732" i="1"/>
  <c r="G732" i="1"/>
  <c r="K732" i="1"/>
  <c r="A733" i="1"/>
  <c r="B733" i="1"/>
  <c r="C733" i="1"/>
  <c r="E733" i="1"/>
  <c r="G733" i="1"/>
  <c r="K733" i="1"/>
  <c r="A734" i="1"/>
  <c r="B734" i="1"/>
  <c r="C734" i="1"/>
  <c r="E734" i="1"/>
  <c r="G734" i="1"/>
  <c r="K734" i="1"/>
  <c r="A735" i="1"/>
  <c r="B735" i="1"/>
  <c r="C735" i="1"/>
  <c r="E735" i="1"/>
  <c r="G735" i="1"/>
  <c r="K735" i="1"/>
  <c r="A736" i="1"/>
  <c r="B736" i="1"/>
  <c r="C736" i="1"/>
  <c r="E736" i="1"/>
  <c r="G736" i="1"/>
  <c r="K736" i="1"/>
  <c r="A737" i="1"/>
  <c r="B737" i="1"/>
  <c r="C737" i="1"/>
  <c r="E737" i="1"/>
  <c r="G737" i="1"/>
  <c r="K737" i="1"/>
  <c r="A738" i="1"/>
  <c r="B738" i="1"/>
  <c r="C738" i="1"/>
  <c r="E738" i="1"/>
  <c r="G738" i="1"/>
  <c r="K738" i="1"/>
  <c r="A739" i="1"/>
  <c r="B739" i="1"/>
  <c r="C739" i="1"/>
  <c r="E739" i="1"/>
  <c r="G739" i="1"/>
  <c r="K739" i="1"/>
  <c r="A740" i="1"/>
  <c r="B740" i="1"/>
  <c r="C740" i="1"/>
  <c r="E740" i="1"/>
  <c r="G740" i="1"/>
  <c r="K740" i="1"/>
  <c r="A741" i="1"/>
  <c r="B741" i="1"/>
  <c r="C741" i="1"/>
  <c r="E741" i="1"/>
  <c r="G741" i="1"/>
  <c r="K741" i="1"/>
  <c r="A742" i="1"/>
  <c r="B742" i="1"/>
  <c r="C742" i="1"/>
  <c r="E742" i="1"/>
  <c r="G742" i="1"/>
  <c r="K742" i="1"/>
  <c r="A743" i="1"/>
  <c r="B743" i="1"/>
  <c r="C743" i="1"/>
  <c r="E743" i="1"/>
  <c r="G743" i="1"/>
  <c r="K743" i="1"/>
  <c r="A744" i="1"/>
  <c r="B744" i="1"/>
  <c r="C744" i="1"/>
  <c r="E744" i="1"/>
  <c r="G744" i="1"/>
  <c r="K744" i="1"/>
  <c r="A745" i="1"/>
  <c r="B745" i="1"/>
  <c r="C745" i="1"/>
  <c r="E745" i="1"/>
  <c r="G745" i="1"/>
  <c r="K745" i="1"/>
  <c r="A746" i="1"/>
  <c r="B746" i="1"/>
  <c r="C746" i="1"/>
  <c r="E746" i="1"/>
  <c r="G746" i="1"/>
  <c r="K746" i="1"/>
  <c r="A747" i="1"/>
  <c r="B747" i="1"/>
  <c r="C747" i="1"/>
  <c r="E747" i="1"/>
  <c r="G747" i="1"/>
  <c r="K747" i="1"/>
  <c r="A748" i="1"/>
  <c r="B748" i="1"/>
  <c r="C748" i="1"/>
  <c r="E748" i="1"/>
  <c r="G748" i="1"/>
  <c r="K748" i="1"/>
  <c r="A749" i="1"/>
  <c r="B749" i="1"/>
  <c r="C749" i="1"/>
  <c r="E749" i="1"/>
  <c r="G749" i="1"/>
  <c r="K749" i="1"/>
  <c r="A750" i="1"/>
  <c r="B750" i="1"/>
  <c r="C750" i="1"/>
  <c r="E750" i="1"/>
  <c r="G750" i="1"/>
  <c r="K750" i="1"/>
  <c r="A751" i="1"/>
  <c r="B751" i="1"/>
  <c r="C751" i="1"/>
  <c r="E751" i="1"/>
  <c r="G751" i="1"/>
  <c r="K751" i="1"/>
  <c r="A752" i="1"/>
  <c r="B752" i="1"/>
  <c r="C752" i="1"/>
  <c r="E752" i="1"/>
  <c r="G752" i="1"/>
  <c r="K752" i="1"/>
  <c r="A753" i="1"/>
  <c r="B753" i="1"/>
  <c r="C753" i="1"/>
  <c r="E753" i="1"/>
  <c r="G753" i="1"/>
  <c r="K753" i="1"/>
  <c r="A754" i="1"/>
  <c r="B754" i="1"/>
  <c r="C754" i="1"/>
  <c r="E754" i="1"/>
  <c r="G754" i="1"/>
  <c r="K754" i="1"/>
  <c r="A755" i="1"/>
  <c r="B755" i="1"/>
  <c r="C755" i="1"/>
  <c r="E755" i="1"/>
  <c r="G755" i="1"/>
  <c r="K755" i="1"/>
  <c r="A756" i="1"/>
  <c r="B756" i="1"/>
  <c r="C756" i="1"/>
  <c r="E756" i="1"/>
  <c r="G756" i="1"/>
  <c r="K756" i="1"/>
  <c r="A757" i="1"/>
  <c r="B757" i="1"/>
  <c r="C757" i="1"/>
  <c r="E757" i="1"/>
  <c r="G757" i="1"/>
  <c r="K757" i="1"/>
  <c r="A758" i="1"/>
  <c r="B758" i="1"/>
  <c r="C758" i="1"/>
  <c r="E758" i="1"/>
  <c r="G758" i="1"/>
  <c r="K758" i="1"/>
  <c r="A759" i="1"/>
  <c r="B759" i="1"/>
  <c r="C759" i="1"/>
  <c r="E759" i="1"/>
  <c r="G759" i="1"/>
  <c r="K759" i="1"/>
  <c r="A760" i="1"/>
  <c r="B760" i="1"/>
  <c r="C760" i="1"/>
  <c r="E760" i="1"/>
  <c r="G760" i="1"/>
  <c r="K760" i="1"/>
  <c r="A761" i="1"/>
  <c r="B761" i="1"/>
  <c r="C761" i="1"/>
  <c r="E761" i="1"/>
  <c r="G761" i="1"/>
  <c r="K761" i="1"/>
  <c r="A762" i="1"/>
  <c r="B762" i="1"/>
  <c r="C762" i="1"/>
  <c r="E762" i="1"/>
  <c r="G762" i="1"/>
  <c r="K762" i="1"/>
  <c r="A763" i="1"/>
  <c r="B763" i="1"/>
  <c r="C763" i="1"/>
  <c r="E763" i="1"/>
  <c r="G763" i="1"/>
  <c r="K763" i="1"/>
  <c r="A764" i="1"/>
  <c r="B764" i="1"/>
  <c r="C764" i="1"/>
  <c r="E764" i="1"/>
  <c r="G764" i="1"/>
  <c r="K764" i="1"/>
  <c r="A765" i="1"/>
  <c r="B765" i="1"/>
  <c r="C765" i="1"/>
  <c r="E765" i="1"/>
  <c r="G765" i="1"/>
  <c r="K765" i="1"/>
  <c r="A766" i="1"/>
  <c r="B766" i="1"/>
  <c r="C766" i="1"/>
  <c r="E766" i="1"/>
  <c r="G766" i="1"/>
  <c r="K766" i="1"/>
  <c r="A767" i="1"/>
  <c r="B767" i="1"/>
  <c r="C767" i="1"/>
  <c r="E767" i="1"/>
  <c r="G767" i="1"/>
  <c r="K767" i="1"/>
  <c r="A768" i="1"/>
  <c r="B768" i="1"/>
  <c r="C768" i="1"/>
  <c r="E768" i="1"/>
  <c r="G768" i="1"/>
  <c r="K768" i="1"/>
  <c r="A769" i="1"/>
  <c r="B769" i="1"/>
  <c r="C769" i="1"/>
  <c r="E769" i="1"/>
  <c r="G769" i="1"/>
  <c r="K769" i="1"/>
  <c r="A770" i="1"/>
  <c r="B770" i="1"/>
  <c r="C770" i="1"/>
  <c r="E770" i="1"/>
  <c r="G770" i="1"/>
  <c r="K770" i="1"/>
  <c r="A771" i="1"/>
  <c r="B771" i="1"/>
  <c r="C771" i="1"/>
  <c r="E771" i="1"/>
  <c r="G771" i="1"/>
  <c r="K771" i="1"/>
  <c r="A772" i="1"/>
  <c r="B772" i="1"/>
  <c r="C772" i="1"/>
  <c r="E772" i="1"/>
  <c r="G772" i="1"/>
  <c r="K772" i="1"/>
  <c r="A773" i="1"/>
  <c r="B773" i="1"/>
  <c r="C773" i="1"/>
  <c r="E773" i="1"/>
  <c r="G773" i="1"/>
  <c r="K773" i="1"/>
  <c r="A774" i="1"/>
  <c r="B774" i="1"/>
  <c r="C774" i="1"/>
  <c r="E774" i="1"/>
  <c r="G774" i="1"/>
  <c r="K774" i="1"/>
  <c r="A775" i="1"/>
  <c r="B775" i="1"/>
  <c r="C775" i="1"/>
  <c r="E775" i="1"/>
  <c r="G775" i="1"/>
  <c r="K775" i="1"/>
  <c r="A776" i="1"/>
  <c r="B776" i="1"/>
  <c r="C776" i="1"/>
  <c r="E776" i="1"/>
  <c r="G776" i="1"/>
  <c r="K776" i="1"/>
  <c r="A777" i="1"/>
  <c r="B777" i="1"/>
  <c r="C777" i="1"/>
  <c r="E777" i="1"/>
  <c r="G777" i="1"/>
  <c r="K777" i="1"/>
  <c r="A778" i="1"/>
  <c r="B778" i="1"/>
  <c r="C778" i="1"/>
  <c r="E778" i="1"/>
  <c r="G778" i="1"/>
  <c r="K778" i="1"/>
  <c r="A779" i="1"/>
  <c r="B779" i="1"/>
  <c r="C779" i="1"/>
  <c r="E779" i="1"/>
  <c r="G779" i="1"/>
  <c r="K779" i="1"/>
  <c r="A780" i="1"/>
  <c r="B780" i="1"/>
  <c r="C780" i="1"/>
  <c r="E780" i="1"/>
  <c r="G780" i="1"/>
  <c r="K780" i="1"/>
  <c r="A781" i="1"/>
  <c r="B781" i="1"/>
  <c r="C781" i="1"/>
  <c r="E781" i="1"/>
  <c r="G781" i="1"/>
  <c r="K781" i="1"/>
  <c r="A782" i="1"/>
  <c r="B782" i="1"/>
  <c r="C782" i="1"/>
  <c r="E782" i="1"/>
  <c r="G782" i="1"/>
  <c r="K782" i="1"/>
  <c r="A783" i="1"/>
  <c r="B783" i="1"/>
  <c r="C783" i="1"/>
  <c r="E783" i="1"/>
  <c r="G783" i="1"/>
  <c r="K783" i="1"/>
  <c r="A784" i="1"/>
  <c r="B784" i="1"/>
  <c r="C784" i="1"/>
  <c r="E784" i="1"/>
  <c r="G784" i="1"/>
  <c r="K784" i="1"/>
  <c r="A785" i="1"/>
  <c r="B785" i="1"/>
  <c r="C785" i="1"/>
  <c r="E785" i="1"/>
  <c r="G785" i="1"/>
  <c r="K785" i="1"/>
  <c r="A786" i="1"/>
  <c r="B786" i="1"/>
  <c r="C786" i="1"/>
  <c r="E786" i="1"/>
  <c r="G786" i="1"/>
  <c r="K786" i="1"/>
  <c r="A787" i="1"/>
  <c r="B787" i="1"/>
  <c r="C787" i="1"/>
  <c r="E787" i="1"/>
  <c r="G787" i="1"/>
  <c r="K787" i="1"/>
  <c r="A788" i="1"/>
  <c r="B788" i="1"/>
  <c r="C788" i="1"/>
  <c r="E788" i="1"/>
  <c r="G788" i="1"/>
  <c r="K788" i="1"/>
  <c r="A789" i="1"/>
  <c r="B789" i="1"/>
  <c r="C789" i="1"/>
  <c r="E789" i="1"/>
  <c r="G789" i="1"/>
  <c r="K789" i="1"/>
  <c r="A790" i="1"/>
  <c r="B790" i="1"/>
  <c r="C790" i="1"/>
  <c r="E790" i="1"/>
  <c r="G790" i="1"/>
  <c r="K790" i="1"/>
  <c r="A791" i="1"/>
  <c r="B791" i="1"/>
  <c r="C791" i="1"/>
  <c r="E791" i="1"/>
  <c r="G791" i="1"/>
  <c r="K791" i="1"/>
  <c r="A792" i="1"/>
  <c r="B792" i="1"/>
  <c r="C792" i="1"/>
  <c r="E792" i="1"/>
  <c r="G792" i="1"/>
  <c r="K792" i="1"/>
  <c r="A793" i="1"/>
  <c r="B793" i="1"/>
  <c r="C793" i="1"/>
  <c r="E793" i="1"/>
  <c r="G793" i="1"/>
  <c r="K793" i="1"/>
  <c r="A794" i="1"/>
  <c r="B794" i="1"/>
  <c r="C794" i="1"/>
  <c r="E794" i="1"/>
  <c r="G794" i="1"/>
  <c r="K794" i="1"/>
  <c r="A795" i="1"/>
  <c r="B795" i="1"/>
  <c r="C795" i="1"/>
  <c r="E795" i="1"/>
  <c r="G795" i="1"/>
  <c r="K795" i="1"/>
  <c r="A796" i="1"/>
  <c r="B796" i="1"/>
  <c r="C796" i="1"/>
  <c r="E796" i="1"/>
  <c r="G796" i="1"/>
  <c r="K796" i="1"/>
  <c r="A797" i="1"/>
  <c r="B797" i="1"/>
  <c r="C797" i="1"/>
  <c r="E797" i="1"/>
  <c r="G797" i="1"/>
  <c r="K797" i="1"/>
  <c r="A798" i="1"/>
  <c r="B798" i="1"/>
  <c r="C798" i="1"/>
  <c r="E798" i="1"/>
  <c r="G798" i="1"/>
  <c r="K798" i="1"/>
  <c r="A799" i="1"/>
  <c r="B799" i="1"/>
  <c r="C799" i="1"/>
  <c r="E799" i="1"/>
  <c r="G799" i="1"/>
  <c r="K799" i="1"/>
  <c r="A800" i="1"/>
  <c r="B800" i="1"/>
  <c r="C800" i="1"/>
  <c r="E800" i="1"/>
  <c r="G800" i="1"/>
  <c r="K800" i="1"/>
  <c r="A801" i="1"/>
  <c r="B801" i="1"/>
  <c r="C801" i="1"/>
  <c r="E801" i="1"/>
  <c r="G801" i="1"/>
  <c r="K801" i="1"/>
  <c r="A802" i="1"/>
  <c r="B802" i="1"/>
  <c r="C802" i="1"/>
  <c r="E802" i="1"/>
  <c r="G802" i="1"/>
  <c r="K802" i="1"/>
  <c r="A803" i="1"/>
  <c r="B803" i="1"/>
  <c r="C803" i="1"/>
  <c r="E803" i="1"/>
  <c r="G803" i="1"/>
  <c r="K803" i="1"/>
  <c r="A804" i="1"/>
  <c r="B804" i="1"/>
  <c r="C804" i="1"/>
  <c r="E804" i="1"/>
  <c r="G804" i="1"/>
  <c r="K804" i="1"/>
  <c r="A805" i="1"/>
  <c r="B805" i="1"/>
  <c r="C805" i="1"/>
  <c r="E805" i="1"/>
  <c r="G805" i="1"/>
  <c r="K805" i="1"/>
  <c r="A806" i="1"/>
  <c r="B806" i="1"/>
  <c r="C806" i="1"/>
  <c r="E806" i="1"/>
  <c r="G806" i="1"/>
  <c r="K806" i="1"/>
  <c r="A807" i="1"/>
  <c r="B807" i="1"/>
  <c r="C807" i="1"/>
  <c r="E807" i="1"/>
  <c r="G807" i="1"/>
  <c r="K807" i="1"/>
  <c r="A808" i="1"/>
  <c r="B808" i="1"/>
  <c r="C808" i="1"/>
  <c r="E808" i="1"/>
  <c r="G808" i="1"/>
  <c r="K808" i="1"/>
  <c r="A809" i="1"/>
  <c r="B809" i="1"/>
  <c r="C809" i="1"/>
  <c r="E809" i="1"/>
  <c r="G809" i="1"/>
  <c r="K809" i="1"/>
  <c r="A810" i="1"/>
  <c r="B810" i="1"/>
  <c r="C810" i="1"/>
  <c r="E810" i="1"/>
  <c r="G810" i="1"/>
  <c r="K810" i="1"/>
  <c r="A811" i="1"/>
  <c r="B811" i="1"/>
  <c r="C811" i="1"/>
  <c r="E811" i="1"/>
  <c r="G811" i="1"/>
  <c r="K811" i="1"/>
  <c r="A812" i="1"/>
  <c r="B812" i="1"/>
  <c r="C812" i="1"/>
  <c r="E812" i="1"/>
  <c r="G812" i="1"/>
  <c r="K812" i="1"/>
  <c r="A813" i="1"/>
  <c r="B813" i="1"/>
  <c r="C813" i="1"/>
  <c r="E813" i="1"/>
  <c r="G813" i="1"/>
  <c r="K813" i="1"/>
  <c r="A814" i="1"/>
  <c r="B814" i="1"/>
  <c r="C814" i="1"/>
  <c r="E814" i="1"/>
  <c r="G814" i="1"/>
  <c r="K814" i="1"/>
  <c r="A815" i="1"/>
  <c r="B815" i="1"/>
  <c r="C815" i="1"/>
  <c r="E815" i="1"/>
  <c r="G815" i="1"/>
  <c r="K815" i="1"/>
  <c r="A816" i="1"/>
  <c r="B816" i="1"/>
  <c r="C816" i="1"/>
  <c r="E816" i="1"/>
  <c r="G816" i="1"/>
  <c r="K816" i="1"/>
  <c r="A817" i="1"/>
  <c r="B817" i="1"/>
  <c r="C817" i="1"/>
  <c r="E817" i="1"/>
  <c r="G817" i="1"/>
  <c r="K817" i="1"/>
  <c r="A818" i="1"/>
  <c r="B818" i="1"/>
  <c r="C818" i="1"/>
  <c r="E818" i="1"/>
  <c r="G818" i="1"/>
  <c r="K818" i="1"/>
  <c r="A819" i="1"/>
  <c r="B819" i="1"/>
  <c r="C819" i="1"/>
  <c r="E819" i="1"/>
  <c r="G819" i="1"/>
  <c r="K819" i="1"/>
  <c r="A820" i="1"/>
  <c r="B820" i="1"/>
  <c r="C820" i="1"/>
  <c r="E820" i="1"/>
  <c r="G820" i="1"/>
  <c r="K820" i="1"/>
  <c r="A821" i="1"/>
  <c r="B821" i="1"/>
  <c r="C821" i="1"/>
  <c r="E821" i="1"/>
  <c r="G821" i="1"/>
  <c r="K821" i="1"/>
  <c r="A822" i="1"/>
  <c r="B822" i="1"/>
  <c r="C822" i="1"/>
  <c r="E822" i="1"/>
  <c r="G822" i="1"/>
  <c r="K822" i="1"/>
  <c r="A823" i="1"/>
  <c r="B823" i="1"/>
  <c r="C823" i="1"/>
  <c r="E823" i="1"/>
  <c r="G823" i="1"/>
  <c r="K823" i="1"/>
  <c r="A824" i="1"/>
  <c r="B824" i="1"/>
  <c r="C824" i="1"/>
  <c r="E824" i="1"/>
  <c r="G824" i="1"/>
  <c r="K824" i="1"/>
  <c r="A825" i="1"/>
  <c r="B825" i="1"/>
  <c r="C825" i="1"/>
  <c r="E825" i="1"/>
  <c r="G825" i="1"/>
  <c r="K825" i="1"/>
  <c r="A826" i="1"/>
  <c r="B826" i="1"/>
  <c r="C826" i="1"/>
  <c r="E826" i="1"/>
  <c r="G826" i="1"/>
  <c r="K826" i="1"/>
  <c r="A827" i="1"/>
  <c r="B827" i="1"/>
  <c r="C827" i="1"/>
  <c r="E827" i="1"/>
  <c r="G827" i="1"/>
  <c r="K827" i="1"/>
  <c r="A828" i="1"/>
  <c r="B828" i="1"/>
  <c r="C828" i="1"/>
  <c r="E828" i="1"/>
  <c r="G828" i="1"/>
  <c r="K828" i="1"/>
  <c r="A829" i="1"/>
  <c r="B829" i="1"/>
  <c r="C829" i="1"/>
  <c r="E829" i="1"/>
  <c r="G829" i="1"/>
  <c r="K829" i="1"/>
  <c r="A830" i="1"/>
  <c r="B830" i="1"/>
  <c r="C830" i="1"/>
  <c r="E830" i="1"/>
  <c r="G830" i="1"/>
  <c r="K830" i="1"/>
  <c r="A831" i="1"/>
  <c r="B831" i="1"/>
  <c r="C831" i="1"/>
  <c r="E831" i="1"/>
  <c r="G831" i="1"/>
  <c r="K831" i="1"/>
  <c r="A832" i="1"/>
  <c r="B832" i="1"/>
  <c r="C832" i="1"/>
  <c r="E832" i="1"/>
  <c r="G832" i="1"/>
  <c r="K832" i="1"/>
  <c r="A833" i="1"/>
  <c r="B833" i="1"/>
  <c r="C833" i="1"/>
  <c r="E833" i="1"/>
  <c r="G833" i="1"/>
  <c r="K833" i="1"/>
  <c r="A834" i="1"/>
  <c r="B834" i="1"/>
  <c r="C834" i="1"/>
  <c r="E834" i="1"/>
  <c r="G834" i="1"/>
  <c r="K834" i="1"/>
  <c r="A835" i="1"/>
  <c r="B835" i="1"/>
  <c r="C835" i="1"/>
  <c r="E835" i="1"/>
  <c r="G835" i="1"/>
  <c r="K835" i="1"/>
  <c r="A836" i="1"/>
  <c r="B836" i="1"/>
  <c r="C836" i="1"/>
  <c r="E836" i="1"/>
  <c r="G836" i="1"/>
  <c r="K836" i="1"/>
  <c r="A837" i="1"/>
  <c r="B837" i="1"/>
  <c r="C837" i="1"/>
  <c r="E837" i="1"/>
  <c r="G837" i="1"/>
  <c r="K837" i="1"/>
  <c r="A838" i="1"/>
  <c r="B838" i="1"/>
  <c r="C838" i="1"/>
  <c r="E838" i="1"/>
  <c r="G838" i="1"/>
  <c r="K838" i="1"/>
  <c r="A839" i="1"/>
  <c r="B839" i="1"/>
  <c r="C839" i="1"/>
  <c r="E839" i="1"/>
  <c r="G839" i="1"/>
  <c r="K839" i="1"/>
  <c r="A840" i="1"/>
  <c r="B840" i="1"/>
  <c r="C840" i="1"/>
  <c r="E840" i="1"/>
  <c r="G840" i="1"/>
  <c r="K840" i="1"/>
  <c r="A841" i="1"/>
  <c r="B841" i="1"/>
  <c r="C841" i="1"/>
  <c r="E841" i="1"/>
  <c r="G841" i="1"/>
  <c r="K841" i="1"/>
  <c r="A842" i="1"/>
  <c r="B842" i="1"/>
  <c r="C842" i="1"/>
  <c r="E842" i="1"/>
  <c r="G842" i="1"/>
  <c r="K842" i="1"/>
  <c r="A843" i="1"/>
  <c r="B843" i="1"/>
  <c r="C843" i="1"/>
  <c r="E843" i="1"/>
  <c r="G843" i="1"/>
  <c r="K843" i="1"/>
  <c r="A844" i="1"/>
  <c r="B844" i="1"/>
  <c r="C844" i="1"/>
  <c r="E844" i="1"/>
  <c r="G844" i="1"/>
  <c r="K844" i="1"/>
  <c r="A845" i="1"/>
  <c r="B845" i="1"/>
  <c r="C845" i="1"/>
  <c r="E845" i="1"/>
  <c r="G845" i="1"/>
  <c r="K845" i="1"/>
  <c r="A846" i="1"/>
  <c r="B846" i="1"/>
  <c r="C846" i="1"/>
  <c r="E846" i="1"/>
  <c r="G846" i="1"/>
  <c r="K846" i="1"/>
  <c r="A847" i="1"/>
  <c r="B847" i="1"/>
  <c r="C847" i="1"/>
  <c r="E847" i="1"/>
  <c r="G847" i="1"/>
  <c r="K847" i="1"/>
  <c r="A848" i="1"/>
  <c r="B848" i="1"/>
  <c r="C848" i="1"/>
  <c r="E848" i="1"/>
  <c r="G848" i="1"/>
  <c r="K848" i="1"/>
  <c r="A849" i="1"/>
  <c r="B849" i="1"/>
  <c r="C849" i="1"/>
  <c r="E849" i="1"/>
  <c r="G849" i="1"/>
  <c r="K849" i="1"/>
  <c r="A850" i="1"/>
  <c r="B850" i="1"/>
  <c r="C850" i="1"/>
  <c r="E850" i="1"/>
  <c r="G850" i="1"/>
  <c r="K850" i="1"/>
  <c r="A851" i="1"/>
  <c r="B851" i="1"/>
  <c r="C851" i="1"/>
  <c r="E851" i="1"/>
  <c r="G851" i="1"/>
  <c r="K851" i="1"/>
  <c r="A852" i="1"/>
  <c r="B852" i="1"/>
  <c r="C852" i="1"/>
  <c r="E852" i="1"/>
  <c r="G852" i="1"/>
  <c r="K852" i="1"/>
  <c r="A853" i="1"/>
  <c r="B853" i="1"/>
  <c r="C853" i="1"/>
  <c r="E853" i="1"/>
  <c r="G853" i="1"/>
  <c r="K853" i="1"/>
  <c r="A854" i="1"/>
  <c r="B854" i="1"/>
  <c r="C854" i="1"/>
  <c r="E854" i="1"/>
  <c r="G854" i="1"/>
  <c r="K854" i="1"/>
  <c r="A855" i="1"/>
  <c r="B855" i="1"/>
  <c r="C855" i="1"/>
  <c r="E855" i="1"/>
  <c r="G855" i="1"/>
  <c r="K855" i="1"/>
  <c r="A856" i="1"/>
  <c r="B856" i="1"/>
  <c r="C856" i="1"/>
  <c r="E856" i="1"/>
  <c r="G856" i="1"/>
  <c r="K856" i="1"/>
  <c r="A857" i="1"/>
  <c r="B857" i="1"/>
  <c r="C857" i="1"/>
  <c r="E857" i="1"/>
  <c r="G857" i="1"/>
  <c r="K857" i="1"/>
  <c r="A858" i="1"/>
  <c r="B858" i="1"/>
  <c r="C858" i="1"/>
  <c r="E858" i="1"/>
  <c r="G858" i="1"/>
  <c r="K858" i="1"/>
  <c r="A859" i="1"/>
  <c r="B859" i="1"/>
  <c r="C859" i="1"/>
  <c r="E859" i="1"/>
  <c r="G859" i="1"/>
  <c r="K859" i="1"/>
  <c r="A860" i="1"/>
  <c r="B860" i="1"/>
  <c r="C860" i="1"/>
  <c r="E860" i="1"/>
  <c r="G860" i="1"/>
  <c r="K860" i="1"/>
  <c r="A861" i="1"/>
  <c r="B861" i="1"/>
  <c r="C861" i="1"/>
  <c r="E861" i="1"/>
  <c r="G861" i="1"/>
  <c r="K861" i="1"/>
  <c r="A862" i="1"/>
  <c r="B862" i="1"/>
  <c r="C862" i="1"/>
  <c r="E862" i="1"/>
  <c r="G862" i="1"/>
  <c r="K862" i="1"/>
  <c r="A863" i="1"/>
  <c r="B863" i="1"/>
  <c r="C863" i="1"/>
  <c r="E863" i="1"/>
  <c r="G863" i="1"/>
  <c r="K863" i="1"/>
  <c r="A864" i="1"/>
  <c r="B864" i="1"/>
  <c r="C864" i="1"/>
  <c r="E864" i="1"/>
  <c r="G864" i="1"/>
  <c r="K864" i="1"/>
  <c r="A865" i="1"/>
  <c r="B865" i="1"/>
  <c r="C865" i="1"/>
  <c r="E865" i="1"/>
  <c r="G865" i="1"/>
  <c r="K865" i="1"/>
  <c r="A866" i="1"/>
  <c r="B866" i="1"/>
  <c r="C866" i="1"/>
  <c r="E866" i="1"/>
  <c r="G866" i="1"/>
  <c r="K866" i="1"/>
  <c r="A867" i="1"/>
  <c r="B867" i="1"/>
  <c r="C867" i="1"/>
  <c r="E867" i="1"/>
  <c r="G867" i="1"/>
  <c r="K867" i="1"/>
  <c r="A868" i="1"/>
  <c r="B868" i="1"/>
  <c r="C868" i="1"/>
  <c r="E868" i="1"/>
  <c r="G868" i="1"/>
  <c r="K868" i="1"/>
  <c r="A869" i="1"/>
  <c r="B869" i="1"/>
  <c r="C869" i="1"/>
  <c r="E869" i="1"/>
  <c r="G869" i="1"/>
  <c r="K869" i="1"/>
  <c r="A870" i="1"/>
  <c r="B870" i="1"/>
  <c r="C870" i="1"/>
  <c r="E870" i="1"/>
  <c r="G870" i="1"/>
  <c r="K870" i="1"/>
  <c r="A871" i="1"/>
  <c r="B871" i="1"/>
  <c r="C871" i="1"/>
  <c r="E871" i="1"/>
  <c r="G871" i="1"/>
  <c r="K871" i="1"/>
  <c r="A872" i="1"/>
  <c r="B872" i="1"/>
  <c r="C872" i="1"/>
  <c r="E872" i="1"/>
  <c r="G872" i="1"/>
  <c r="K872" i="1"/>
  <c r="A873" i="1"/>
  <c r="B873" i="1"/>
  <c r="C873" i="1"/>
  <c r="E873" i="1"/>
  <c r="G873" i="1"/>
  <c r="K873" i="1"/>
  <c r="A874" i="1"/>
  <c r="B874" i="1"/>
  <c r="C874" i="1"/>
  <c r="E874" i="1"/>
  <c r="G874" i="1"/>
  <c r="K874" i="1"/>
  <c r="A875" i="1"/>
  <c r="B875" i="1"/>
  <c r="C875" i="1"/>
  <c r="E875" i="1"/>
  <c r="G875" i="1"/>
  <c r="K875" i="1"/>
  <c r="A876" i="1"/>
  <c r="B876" i="1"/>
  <c r="C876" i="1"/>
  <c r="E876" i="1"/>
  <c r="G876" i="1"/>
  <c r="K876" i="1"/>
  <c r="A877" i="1"/>
  <c r="B877" i="1"/>
  <c r="C877" i="1"/>
  <c r="E877" i="1"/>
  <c r="G877" i="1"/>
  <c r="K877" i="1"/>
  <c r="A878" i="1"/>
  <c r="B878" i="1"/>
  <c r="C878" i="1"/>
  <c r="E878" i="1"/>
  <c r="G878" i="1"/>
  <c r="K878" i="1"/>
  <c r="A879" i="1"/>
  <c r="B879" i="1"/>
  <c r="C879" i="1"/>
  <c r="E879" i="1"/>
  <c r="G879" i="1"/>
  <c r="K879" i="1"/>
  <c r="A880" i="1"/>
  <c r="B880" i="1"/>
  <c r="C880" i="1"/>
  <c r="E880" i="1"/>
  <c r="G880" i="1"/>
  <c r="K880" i="1"/>
  <c r="A881" i="1"/>
  <c r="B881" i="1"/>
  <c r="C881" i="1"/>
  <c r="E881" i="1"/>
  <c r="G881" i="1"/>
  <c r="K881" i="1"/>
  <c r="A882" i="1"/>
  <c r="B882" i="1"/>
  <c r="C882" i="1"/>
  <c r="E882" i="1"/>
  <c r="G882" i="1"/>
  <c r="K882" i="1"/>
  <c r="A883" i="1"/>
  <c r="B883" i="1"/>
  <c r="C883" i="1"/>
  <c r="E883" i="1"/>
  <c r="G883" i="1"/>
  <c r="K883" i="1"/>
  <c r="A884" i="1"/>
  <c r="B884" i="1"/>
  <c r="C884" i="1"/>
  <c r="E884" i="1"/>
  <c r="G884" i="1"/>
  <c r="K884" i="1"/>
  <c r="A885" i="1"/>
  <c r="B885" i="1"/>
  <c r="C885" i="1"/>
  <c r="E885" i="1"/>
  <c r="G885" i="1"/>
  <c r="K885" i="1"/>
  <c r="A886" i="1"/>
  <c r="B886" i="1"/>
  <c r="C886" i="1"/>
  <c r="E886" i="1"/>
  <c r="G886" i="1"/>
  <c r="K886" i="1"/>
  <c r="A887" i="1"/>
  <c r="B887" i="1"/>
  <c r="C887" i="1"/>
  <c r="E887" i="1"/>
  <c r="G887" i="1"/>
  <c r="K887" i="1"/>
  <c r="A888" i="1"/>
  <c r="B888" i="1"/>
  <c r="C888" i="1"/>
  <c r="E888" i="1"/>
  <c r="G888" i="1"/>
  <c r="K888" i="1"/>
  <c r="A889" i="1"/>
  <c r="B889" i="1"/>
  <c r="C889" i="1"/>
  <c r="E889" i="1"/>
  <c r="G889" i="1"/>
  <c r="K889" i="1"/>
  <c r="A890" i="1"/>
  <c r="B890" i="1"/>
  <c r="C890" i="1"/>
  <c r="E890" i="1"/>
  <c r="G890" i="1"/>
  <c r="K890" i="1"/>
  <c r="A891" i="1"/>
  <c r="B891" i="1"/>
  <c r="C891" i="1"/>
  <c r="E891" i="1"/>
  <c r="G891" i="1"/>
  <c r="K891" i="1"/>
  <c r="A892" i="1"/>
  <c r="B892" i="1"/>
  <c r="C892" i="1"/>
  <c r="E892" i="1"/>
  <c r="G892" i="1"/>
  <c r="K892" i="1"/>
  <c r="A893" i="1"/>
  <c r="B893" i="1"/>
  <c r="C893" i="1"/>
  <c r="E893" i="1"/>
  <c r="G893" i="1"/>
  <c r="K893" i="1"/>
  <c r="A894" i="1"/>
  <c r="B894" i="1"/>
  <c r="C894" i="1"/>
  <c r="E894" i="1"/>
  <c r="G894" i="1"/>
  <c r="K894" i="1"/>
  <c r="A895" i="1"/>
  <c r="B895" i="1"/>
  <c r="C895" i="1"/>
  <c r="E895" i="1"/>
  <c r="G895" i="1"/>
  <c r="K895" i="1"/>
  <c r="A896" i="1"/>
  <c r="B896" i="1"/>
  <c r="C896" i="1"/>
  <c r="E896" i="1"/>
  <c r="G896" i="1"/>
  <c r="K896" i="1"/>
  <c r="A897" i="1"/>
  <c r="B897" i="1"/>
  <c r="C897" i="1"/>
  <c r="E897" i="1"/>
  <c r="G897" i="1"/>
  <c r="K897" i="1"/>
  <c r="A898" i="1"/>
  <c r="B898" i="1"/>
  <c r="C898" i="1"/>
  <c r="E898" i="1"/>
  <c r="G898" i="1"/>
  <c r="K898" i="1"/>
  <c r="A899" i="1"/>
  <c r="B899" i="1"/>
  <c r="C899" i="1"/>
  <c r="E899" i="1"/>
  <c r="G899" i="1"/>
  <c r="K899" i="1"/>
  <c r="A900" i="1"/>
  <c r="B900" i="1"/>
  <c r="C900" i="1"/>
  <c r="E900" i="1"/>
  <c r="G900" i="1"/>
  <c r="K900" i="1"/>
  <c r="A901" i="1"/>
  <c r="B901" i="1"/>
  <c r="C901" i="1"/>
  <c r="E901" i="1"/>
  <c r="G901" i="1"/>
  <c r="K901" i="1"/>
  <c r="A902" i="1"/>
  <c r="B902" i="1"/>
  <c r="C902" i="1"/>
  <c r="E902" i="1"/>
  <c r="G902" i="1"/>
  <c r="K902" i="1"/>
  <c r="A903" i="1"/>
  <c r="B903" i="1"/>
  <c r="C903" i="1"/>
  <c r="E903" i="1"/>
  <c r="G903" i="1"/>
  <c r="K903" i="1"/>
  <c r="A904" i="1"/>
  <c r="B904" i="1"/>
  <c r="C904" i="1"/>
  <c r="E904" i="1"/>
  <c r="G904" i="1"/>
  <c r="K904" i="1"/>
  <c r="A905" i="1"/>
  <c r="B905" i="1"/>
  <c r="C905" i="1"/>
  <c r="E905" i="1"/>
  <c r="G905" i="1"/>
  <c r="K905" i="1"/>
  <c r="A906" i="1"/>
  <c r="B906" i="1"/>
  <c r="C906" i="1"/>
  <c r="E906" i="1"/>
  <c r="G906" i="1"/>
  <c r="K906" i="1"/>
  <c r="A907" i="1"/>
  <c r="B907" i="1"/>
  <c r="C907" i="1"/>
  <c r="E907" i="1"/>
  <c r="G907" i="1"/>
  <c r="K907" i="1"/>
  <c r="A908" i="1"/>
  <c r="B908" i="1"/>
  <c r="C908" i="1"/>
  <c r="E908" i="1"/>
  <c r="G908" i="1"/>
  <c r="K908" i="1"/>
  <c r="A909" i="1"/>
  <c r="B909" i="1"/>
  <c r="C909" i="1"/>
  <c r="E909" i="1"/>
  <c r="G909" i="1"/>
  <c r="K909" i="1"/>
  <c r="A910" i="1"/>
  <c r="B910" i="1"/>
  <c r="C910" i="1"/>
  <c r="E910" i="1"/>
  <c r="G910" i="1"/>
  <c r="K910" i="1"/>
  <c r="A911" i="1"/>
  <c r="B911" i="1"/>
  <c r="C911" i="1"/>
  <c r="E911" i="1"/>
  <c r="G911" i="1"/>
  <c r="K911" i="1"/>
  <c r="A912" i="1"/>
  <c r="B912" i="1"/>
  <c r="C912" i="1"/>
  <c r="E912" i="1"/>
  <c r="G912" i="1"/>
  <c r="K912" i="1"/>
  <c r="A913" i="1"/>
  <c r="B913" i="1"/>
  <c r="C913" i="1"/>
  <c r="E913" i="1"/>
  <c r="G913" i="1"/>
  <c r="K913" i="1"/>
  <c r="A914" i="1"/>
  <c r="B914" i="1"/>
  <c r="C914" i="1"/>
  <c r="E914" i="1"/>
  <c r="G914" i="1"/>
  <c r="K914" i="1"/>
  <c r="A915" i="1"/>
  <c r="B915" i="1"/>
  <c r="C915" i="1"/>
  <c r="E915" i="1"/>
  <c r="G915" i="1"/>
  <c r="K915" i="1"/>
  <c r="A916" i="1"/>
  <c r="B916" i="1"/>
  <c r="C916" i="1"/>
  <c r="E916" i="1"/>
  <c r="G916" i="1"/>
  <c r="K916" i="1"/>
  <c r="A917" i="1"/>
  <c r="B917" i="1"/>
  <c r="C917" i="1"/>
  <c r="E917" i="1"/>
  <c r="G917" i="1"/>
  <c r="K917" i="1"/>
  <c r="A918" i="1"/>
  <c r="B918" i="1"/>
  <c r="C918" i="1"/>
  <c r="E918" i="1"/>
  <c r="G918" i="1"/>
  <c r="K918" i="1"/>
  <c r="A919" i="1"/>
  <c r="B919" i="1"/>
  <c r="C919" i="1"/>
  <c r="E919" i="1"/>
  <c r="G919" i="1"/>
  <c r="K919" i="1"/>
  <c r="A920" i="1"/>
  <c r="B920" i="1"/>
  <c r="C920" i="1"/>
  <c r="E920" i="1"/>
  <c r="G920" i="1"/>
  <c r="K920" i="1"/>
  <c r="A921" i="1"/>
  <c r="B921" i="1"/>
  <c r="C921" i="1"/>
  <c r="E921" i="1"/>
  <c r="G921" i="1"/>
  <c r="K921" i="1"/>
  <c r="A922" i="1"/>
  <c r="B922" i="1"/>
  <c r="C922" i="1"/>
  <c r="E922" i="1"/>
  <c r="G922" i="1"/>
  <c r="K922" i="1"/>
  <c r="A923" i="1"/>
  <c r="B923" i="1"/>
  <c r="C923" i="1"/>
  <c r="E923" i="1"/>
  <c r="G923" i="1"/>
  <c r="K923" i="1"/>
  <c r="A924" i="1"/>
  <c r="B924" i="1"/>
  <c r="C924" i="1"/>
  <c r="E924" i="1"/>
  <c r="G924" i="1"/>
  <c r="K924" i="1"/>
  <c r="A925" i="1"/>
  <c r="B925" i="1"/>
  <c r="C925" i="1"/>
  <c r="E925" i="1"/>
  <c r="G925" i="1"/>
  <c r="K925" i="1"/>
  <c r="A926" i="1"/>
  <c r="B926" i="1"/>
  <c r="C926" i="1"/>
  <c r="E926" i="1"/>
  <c r="G926" i="1"/>
  <c r="K926" i="1"/>
  <c r="A927" i="1"/>
  <c r="B927" i="1"/>
  <c r="C927" i="1"/>
  <c r="E927" i="1"/>
  <c r="G927" i="1"/>
  <c r="K927" i="1"/>
  <c r="A928" i="1"/>
  <c r="B928" i="1"/>
  <c r="C928" i="1"/>
  <c r="E928" i="1"/>
  <c r="G928" i="1"/>
  <c r="K928" i="1"/>
  <c r="A929" i="1"/>
  <c r="B929" i="1"/>
  <c r="C929" i="1"/>
  <c r="E929" i="1"/>
  <c r="G929" i="1"/>
  <c r="K929" i="1"/>
  <c r="A930" i="1"/>
  <c r="B930" i="1"/>
  <c r="C930" i="1"/>
  <c r="E930" i="1"/>
  <c r="G930" i="1"/>
  <c r="K930" i="1"/>
  <c r="A931" i="1"/>
  <c r="B931" i="1"/>
  <c r="C931" i="1"/>
  <c r="E931" i="1"/>
  <c r="G931" i="1"/>
  <c r="K931" i="1"/>
  <c r="A932" i="1"/>
  <c r="B932" i="1"/>
  <c r="C932" i="1"/>
  <c r="E932" i="1"/>
  <c r="G932" i="1"/>
  <c r="K932" i="1"/>
  <c r="A933" i="1"/>
  <c r="B933" i="1"/>
  <c r="C933" i="1"/>
  <c r="E933" i="1"/>
  <c r="G933" i="1"/>
  <c r="K933" i="1"/>
  <c r="A934" i="1"/>
  <c r="B934" i="1"/>
  <c r="C934" i="1"/>
  <c r="E934" i="1"/>
  <c r="G934" i="1"/>
  <c r="K934" i="1"/>
  <c r="A935" i="1"/>
  <c r="B935" i="1"/>
  <c r="C935" i="1"/>
  <c r="E935" i="1"/>
  <c r="G935" i="1"/>
  <c r="K935" i="1"/>
  <c r="A936" i="1"/>
  <c r="B936" i="1"/>
  <c r="C936" i="1"/>
  <c r="E936" i="1"/>
  <c r="G936" i="1"/>
  <c r="K936" i="1"/>
  <c r="A937" i="1"/>
  <c r="B937" i="1"/>
  <c r="C937" i="1"/>
  <c r="E937" i="1"/>
  <c r="G937" i="1"/>
  <c r="K937" i="1"/>
  <c r="A938" i="1"/>
  <c r="B938" i="1"/>
  <c r="C938" i="1"/>
  <c r="E938" i="1"/>
  <c r="G938" i="1"/>
  <c r="K938" i="1"/>
  <c r="A939" i="1"/>
  <c r="B939" i="1"/>
  <c r="C939" i="1"/>
  <c r="E939" i="1"/>
  <c r="G939" i="1"/>
  <c r="K939" i="1"/>
  <c r="A940" i="1"/>
  <c r="B940" i="1"/>
  <c r="C940" i="1"/>
  <c r="E940" i="1"/>
  <c r="G940" i="1"/>
  <c r="K940" i="1"/>
  <c r="A941" i="1"/>
  <c r="B941" i="1"/>
  <c r="C941" i="1"/>
  <c r="E941" i="1"/>
  <c r="G941" i="1"/>
  <c r="K941" i="1"/>
  <c r="A942" i="1"/>
  <c r="B942" i="1"/>
  <c r="C942" i="1"/>
  <c r="E942" i="1"/>
  <c r="G942" i="1"/>
  <c r="K942" i="1"/>
  <c r="A943" i="1"/>
  <c r="B943" i="1"/>
  <c r="C943" i="1"/>
  <c r="E943" i="1"/>
  <c r="G943" i="1"/>
  <c r="K943" i="1"/>
  <c r="A944" i="1"/>
  <c r="B944" i="1"/>
  <c r="C944" i="1"/>
  <c r="E944" i="1"/>
  <c r="G944" i="1"/>
  <c r="K944" i="1"/>
  <c r="A945" i="1"/>
  <c r="B945" i="1"/>
  <c r="C945" i="1"/>
  <c r="E945" i="1"/>
  <c r="G945" i="1"/>
  <c r="K945" i="1"/>
  <c r="A946" i="1"/>
  <c r="B946" i="1"/>
  <c r="C946" i="1"/>
  <c r="E946" i="1"/>
  <c r="G946" i="1"/>
  <c r="K946" i="1"/>
  <c r="A947" i="1"/>
  <c r="B947" i="1"/>
  <c r="C947" i="1"/>
  <c r="E947" i="1"/>
  <c r="G947" i="1"/>
  <c r="K947" i="1"/>
  <c r="A948" i="1"/>
  <c r="B948" i="1"/>
  <c r="C948" i="1"/>
  <c r="E948" i="1"/>
  <c r="G948" i="1"/>
  <c r="K948" i="1"/>
  <c r="A949" i="1"/>
  <c r="B949" i="1"/>
  <c r="C949" i="1"/>
  <c r="E949" i="1"/>
  <c r="G949" i="1"/>
  <c r="K949" i="1"/>
  <c r="A950" i="1"/>
  <c r="B950" i="1"/>
  <c r="C950" i="1"/>
  <c r="E950" i="1"/>
  <c r="G950" i="1"/>
  <c r="K950" i="1"/>
  <c r="A951" i="1"/>
  <c r="B951" i="1"/>
  <c r="C951" i="1"/>
  <c r="E951" i="1"/>
  <c r="G951" i="1"/>
  <c r="K951" i="1"/>
  <c r="A952" i="1"/>
  <c r="B952" i="1"/>
  <c r="C952" i="1"/>
  <c r="E952" i="1"/>
  <c r="G952" i="1"/>
  <c r="K952" i="1"/>
  <c r="A953" i="1"/>
  <c r="B953" i="1"/>
  <c r="C953" i="1"/>
  <c r="E953" i="1"/>
  <c r="G953" i="1"/>
  <c r="K953" i="1"/>
  <c r="A954" i="1"/>
  <c r="B954" i="1"/>
  <c r="C954" i="1"/>
  <c r="E954" i="1"/>
  <c r="G954" i="1"/>
  <c r="K954" i="1"/>
  <c r="A955" i="1"/>
  <c r="B955" i="1"/>
  <c r="C955" i="1"/>
  <c r="E955" i="1"/>
  <c r="G955" i="1"/>
  <c r="K955" i="1"/>
  <c r="A956" i="1"/>
  <c r="B956" i="1"/>
  <c r="C956" i="1"/>
  <c r="E956" i="1"/>
  <c r="G956" i="1"/>
  <c r="K956" i="1"/>
  <c r="A957" i="1"/>
  <c r="B957" i="1"/>
  <c r="C957" i="1"/>
  <c r="E957" i="1"/>
  <c r="G957" i="1"/>
  <c r="K957" i="1"/>
  <c r="A958" i="1"/>
  <c r="B958" i="1"/>
  <c r="C958" i="1"/>
  <c r="E958" i="1"/>
  <c r="G958" i="1"/>
  <c r="K958" i="1"/>
  <c r="A959" i="1"/>
  <c r="B959" i="1"/>
  <c r="C959" i="1"/>
  <c r="E959" i="1"/>
  <c r="G959" i="1"/>
  <c r="K959" i="1"/>
  <c r="A960" i="1"/>
  <c r="B960" i="1"/>
  <c r="C960" i="1"/>
  <c r="E960" i="1"/>
  <c r="G960" i="1"/>
  <c r="K960" i="1"/>
  <c r="A961" i="1"/>
  <c r="B961" i="1"/>
  <c r="C961" i="1"/>
  <c r="E961" i="1"/>
  <c r="G961" i="1"/>
  <c r="K961" i="1"/>
  <c r="A962" i="1"/>
  <c r="B962" i="1"/>
  <c r="C962" i="1"/>
  <c r="E962" i="1"/>
  <c r="G962" i="1"/>
  <c r="K962" i="1"/>
  <c r="A963" i="1"/>
  <c r="B963" i="1"/>
  <c r="C963" i="1"/>
  <c r="E963" i="1"/>
  <c r="G963" i="1"/>
  <c r="K963" i="1"/>
  <c r="A964" i="1"/>
  <c r="B964" i="1"/>
  <c r="C964" i="1"/>
  <c r="E964" i="1"/>
  <c r="G964" i="1"/>
  <c r="K964" i="1"/>
  <c r="A965" i="1"/>
  <c r="B965" i="1"/>
  <c r="C965" i="1"/>
  <c r="E965" i="1"/>
  <c r="G965" i="1"/>
  <c r="K965" i="1"/>
  <c r="A966" i="1"/>
  <c r="B966" i="1"/>
  <c r="C966" i="1"/>
  <c r="E966" i="1"/>
  <c r="G966" i="1"/>
  <c r="K966" i="1"/>
  <c r="A967" i="1"/>
  <c r="B967" i="1"/>
  <c r="C967" i="1"/>
  <c r="E967" i="1"/>
  <c r="G967" i="1"/>
  <c r="K967" i="1"/>
  <c r="A968" i="1"/>
  <c r="B968" i="1"/>
  <c r="C968" i="1"/>
  <c r="E968" i="1"/>
  <c r="G968" i="1"/>
  <c r="K968" i="1"/>
  <c r="A969" i="1"/>
  <c r="B969" i="1"/>
  <c r="C969" i="1"/>
  <c r="E969" i="1"/>
  <c r="G969" i="1"/>
  <c r="K969" i="1"/>
  <c r="A970" i="1"/>
  <c r="B970" i="1"/>
  <c r="C970" i="1"/>
  <c r="E970" i="1"/>
  <c r="G970" i="1"/>
  <c r="K970" i="1"/>
  <c r="A971" i="1"/>
  <c r="B971" i="1"/>
  <c r="C971" i="1"/>
  <c r="E971" i="1"/>
  <c r="G971" i="1"/>
  <c r="K971" i="1"/>
  <c r="A972" i="1"/>
  <c r="B972" i="1"/>
  <c r="C972" i="1"/>
  <c r="E972" i="1"/>
  <c r="G972" i="1"/>
  <c r="K972" i="1"/>
  <c r="A973" i="1"/>
  <c r="B973" i="1"/>
  <c r="C973" i="1"/>
  <c r="E973" i="1"/>
  <c r="G973" i="1"/>
  <c r="K973" i="1"/>
  <c r="A974" i="1"/>
  <c r="B974" i="1"/>
  <c r="C974" i="1"/>
  <c r="E974" i="1"/>
  <c r="G974" i="1"/>
  <c r="K974" i="1"/>
  <c r="A975" i="1"/>
  <c r="B975" i="1"/>
  <c r="C975" i="1"/>
  <c r="E975" i="1"/>
  <c r="G975" i="1"/>
  <c r="K975" i="1"/>
  <c r="A976" i="1"/>
  <c r="B976" i="1"/>
  <c r="C976" i="1"/>
  <c r="E976" i="1"/>
  <c r="G976" i="1"/>
  <c r="K976" i="1"/>
  <c r="A977" i="1"/>
  <c r="B977" i="1"/>
  <c r="C977" i="1"/>
  <c r="E977" i="1"/>
  <c r="G977" i="1"/>
  <c r="K977" i="1"/>
  <c r="A978" i="1"/>
  <c r="B978" i="1"/>
  <c r="C978" i="1"/>
  <c r="E978" i="1"/>
  <c r="G978" i="1"/>
  <c r="K978" i="1"/>
  <c r="A979" i="1"/>
  <c r="B979" i="1"/>
  <c r="C979" i="1"/>
  <c r="E979" i="1"/>
  <c r="G979" i="1"/>
  <c r="K979" i="1"/>
  <c r="A980" i="1"/>
  <c r="B980" i="1"/>
  <c r="C980" i="1"/>
  <c r="E980" i="1"/>
  <c r="G980" i="1"/>
  <c r="K980" i="1"/>
  <c r="A981" i="1"/>
  <c r="B981" i="1"/>
  <c r="C981" i="1"/>
  <c r="E981" i="1"/>
  <c r="G981" i="1"/>
  <c r="K981" i="1"/>
  <c r="A982" i="1"/>
  <c r="B982" i="1"/>
  <c r="C982" i="1"/>
  <c r="E982" i="1"/>
  <c r="G982" i="1"/>
  <c r="K982" i="1"/>
  <c r="A983" i="1"/>
  <c r="B983" i="1"/>
  <c r="C983" i="1"/>
  <c r="E983" i="1"/>
  <c r="G983" i="1"/>
  <c r="K983" i="1"/>
  <c r="A984" i="1"/>
  <c r="B984" i="1"/>
  <c r="C984" i="1"/>
  <c r="E984" i="1"/>
  <c r="G984" i="1"/>
  <c r="K984" i="1"/>
  <c r="A985" i="1"/>
  <c r="B985" i="1"/>
  <c r="C985" i="1"/>
  <c r="E985" i="1"/>
  <c r="G985" i="1"/>
  <c r="K985" i="1"/>
  <c r="A986" i="1"/>
  <c r="B986" i="1"/>
  <c r="C986" i="1"/>
  <c r="E986" i="1"/>
  <c r="G986" i="1"/>
  <c r="K986" i="1"/>
  <c r="A987" i="1"/>
  <c r="B987" i="1"/>
  <c r="C987" i="1"/>
  <c r="E987" i="1"/>
  <c r="G987" i="1"/>
  <c r="K987" i="1"/>
  <c r="A988" i="1"/>
  <c r="B988" i="1"/>
  <c r="C988" i="1"/>
  <c r="E988" i="1"/>
  <c r="G988" i="1"/>
  <c r="K988" i="1"/>
  <c r="A989" i="1"/>
  <c r="B989" i="1"/>
  <c r="C989" i="1"/>
  <c r="E989" i="1"/>
  <c r="G989" i="1"/>
  <c r="K989" i="1"/>
  <c r="A990" i="1"/>
  <c r="B990" i="1"/>
  <c r="C990" i="1"/>
  <c r="E990" i="1"/>
  <c r="G990" i="1"/>
  <c r="K990" i="1"/>
  <c r="A991" i="1"/>
  <c r="B991" i="1"/>
  <c r="C991" i="1"/>
  <c r="E991" i="1"/>
  <c r="G991" i="1"/>
  <c r="K991" i="1"/>
  <c r="A992" i="1"/>
  <c r="B992" i="1"/>
  <c r="C992" i="1"/>
  <c r="E992" i="1"/>
  <c r="G992" i="1"/>
  <c r="K992" i="1"/>
  <c r="A993" i="1"/>
  <c r="B993" i="1"/>
  <c r="C993" i="1"/>
  <c r="E993" i="1"/>
  <c r="G993" i="1"/>
  <c r="K993" i="1"/>
  <c r="A994" i="1"/>
  <c r="B994" i="1"/>
  <c r="C994" i="1"/>
  <c r="E994" i="1"/>
  <c r="G994" i="1"/>
  <c r="K994" i="1"/>
  <c r="A995" i="1"/>
  <c r="B995" i="1"/>
  <c r="C995" i="1"/>
  <c r="E995" i="1"/>
  <c r="G995" i="1"/>
  <c r="K995" i="1"/>
  <c r="A996" i="1"/>
  <c r="B996" i="1"/>
  <c r="C996" i="1"/>
  <c r="E996" i="1"/>
  <c r="G996" i="1"/>
  <c r="K996" i="1"/>
  <c r="A997" i="1"/>
  <c r="B997" i="1"/>
  <c r="C997" i="1"/>
  <c r="E997" i="1"/>
  <c r="G997" i="1"/>
  <c r="K997" i="1"/>
  <c r="A998" i="1"/>
  <c r="B998" i="1"/>
  <c r="C998" i="1"/>
  <c r="E998" i="1"/>
  <c r="G998" i="1"/>
  <c r="K998" i="1"/>
  <c r="A999" i="1"/>
  <c r="B999" i="1"/>
  <c r="C999" i="1"/>
  <c r="E999" i="1"/>
  <c r="G999" i="1"/>
  <c r="K999" i="1"/>
  <c r="A1000" i="1"/>
  <c r="B1000" i="1"/>
  <c r="C1000" i="1"/>
  <c r="E1000" i="1"/>
  <c r="G1000" i="1"/>
  <c r="K1000" i="1"/>
  <c r="A1001" i="1"/>
  <c r="B1001" i="1"/>
  <c r="C1001" i="1"/>
  <c r="E1001" i="1"/>
  <c r="G1001" i="1"/>
  <c r="K1001" i="1"/>
  <c r="A1002" i="1"/>
  <c r="B1002" i="1"/>
  <c r="C1002" i="1"/>
  <c r="E1002" i="1"/>
  <c r="G1002" i="1"/>
  <c r="K1002" i="1"/>
  <c r="A1003" i="1"/>
  <c r="B1003" i="1"/>
  <c r="C1003" i="1"/>
  <c r="E1003" i="1"/>
  <c r="G1003" i="1"/>
  <c r="K1003" i="1"/>
  <c r="A1004" i="1"/>
  <c r="B1004" i="1"/>
  <c r="C1004" i="1"/>
  <c r="E1004" i="1"/>
  <c r="G1004" i="1"/>
  <c r="K1004" i="1"/>
  <c r="A1005" i="1"/>
  <c r="B1005" i="1"/>
  <c r="C1005" i="1"/>
  <c r="E1005" i="1"/>
  <c r="G1005" i="1"/>
  <c r="K1005" i="1"/>
  <c r="A1006" i="1"/>
  <c r="B1006" i="1"/>
  <c r="C1006" i="1"/>
  <c r="E1006" i="1"/>
  <c r="G1006" i="1"/>
  <c r="K1006" i="1"/>
  <c r="A1007" i="1"/>
  <c r="B1007" i="1"/>
  <c r="C1007" i="1"/>
  <c r="E1007" i="1"/>
  <c r="G1007" i="1"/>
  <c r="K1007" i="1"/>
  <c r="A1008" i="1"/>
  <c r="B1008" i="1"/>
  <c r="C1008" i="1"/>
  <c r="E1008" i="1"/>
  <c r="G1008" i="1"/>
  <c r="K1008" i="1"/>
  <c r="A1009" i="1"/>
  <c r="B1009" i="1"/>
  <c r="C1009" i="1"/>
  <c r="E1009" i="1"/>
  <c r="G1009" i="1"/>
  <c r="K1009" i="1"/>
  <c r="A1010" i="1"/>
  <c r="B1010" i="1"/>
  <c r="C1010" i="1"/>
  <c r="E1010" i="1"/>
  <c r="G1010" i="1"/>
  <c r="K1010" i="1"/>
  <c r="A1011" i="1"/>
  <c r="B1011" i="1"/>
  <c r="C1011" i="1"/>
  <c r="E1011" i="1"/>
  <c r="G1011" i="1"/>
  <c r="K1011" i="1"/>
  <c r="A1012" i="1"/>
  <c r="B1012" i="1"/>
  <c r="C1012" i="1"/>
  <c r="E1012" i="1"/>
  <c r="G1012" i="1"/>
  <c r="K1012" i="1"/>
  <c r="A1013" i="1"/>
  <c r="B1013" i="1"/>
  <c r="C1013" i="1"/>
  <c r="E1013" i="1"/>
  <c r="G1013" i="1"/>
  <c r="K1013" i="1"/>
  <c r="A1014" i="1"/>
  <c r="B1014" i="1"/>
  <c r="C1014" i="1"/>
  <c r="E1014" i="1"/>
  <c r="G1014" i="1"/>
  <c r="K1014" i="1"/>
  <c r="A1015" i="1"/>
  <c r="B1015" i="1"/>
  <c r="C1015" i="1"/>
  <c r="E1015" i="1"/>
  <c r="G1015" i="1"/>
  <c r="K1015" i="1"/>
  <c r="A1016" i="1"/>
  <c r="B1016" i="1"/>
  <c r="C1016" i="1"/>
  <c r="E1016" i="1"/>
  <c r="G1016" i="1"/>
  <c r="K1016" i="1"/>
  <c r="A1017" i="1"/>
  <c r="B1017" i="1"/>
  <c r="C1017" i="1"/>
  <c r="E1017" i="1"/>
  <c r="G1017" i="1"/>
  <c r="K1017" i="1"/>
  <c r="A1018" i="1"/>
  <c r="B1018" i="1"/>
  <c r="C1018" i="1"/>
  <c r="E1018" i="1"/>
  <c r="G1018" i="1"/>
  <c r="K1018" i="1"/>
  <c r="A1019" i="1"/>
  <c r="B1019" i="1"/>
  <c r="C1019" i="1"/>
  <c r="E1019" i="1"/>
  <c r="G1019" i="1"/>
  <c r="K1019" i="1"/>
  <c r="A1020" i="1"/>
  <c r="B1020" i="1"/>
  <c r="C1020" i="1"/>
  <c r="E1020" i="1"/>
  <c r="G1020" i="1"/>
  <c r="K1020" i="1"/>
  <c r="A1021" i="1"/>
  <c r="B1021" i="1"/>
  <c r="C1021" i="1"/>
  <c r="E1021" i="1"/>
  <c r="G1021" i="1"/>
  <c r="K1021" i="1"/>
  <c r="A1022" i="1"/>
  <c r="B1022" i="1"/>
  <c r="C1022" i="1"/>
  <c r="E1022" i="1"/>
  <c r="G1022" i="1"/>
  <c r="K1022" i="1"/>
  <c r="A1023" i="1"/>
  <c r="B1023" i="1"/>
  <c r="C1023" i="1"/>
  <c r="E1023" i="1"/>
  <c r="G1023" i="1"/>
  <c r="K1023" i="1"/>
  <c r="A1024" i="1"/>
  <c r="B1024" i="1"/>
  <c r="C1024" i="1"/>
  <c r="E1024" i="1"/>
  <c r="G1024" i="1"/>
  <c r="K1024" i="1"/>
  <c r="A1025" i="1"/>
  <c r="B1025" i="1"/>
  <c r="C1025" i="1"/>
  <c r="E1025" i="1"/>
  <c r="G1025" i="1"/>
  <c r="K1025" i="1"/>
  <c r="A1026" i="1"/>
  <c r="B1026" i="1"/>
  <c r="C1026" i="1"/>
  <c r="E1026" i="1"/>
  <c r="G1026" i="1"/>
  <c r="K1026" i="1"/>
  <c r="A1027" i="1"/>
  <c r="B1027" i="1"/>
  <c r="C1027" i="1"/>
  <c r="E1027" i="1"/>
  <c r="G1027" i="1"/>
  <c r="K1027" i="1"/>
  <c r="A1028" i="1"/>
  <c r="B1028" i="1"/>
  <c r="C1028" i="1"/>
  <c r="E1028" i="1"/>
  <c r="G1028" i="1"/>
  <c r="K1028" i="1"/>
  <c r="A1029" i="1"/>
  <c r="B1029" i="1"/>
  <c r="C1029" i="1"/>
  <c r="E1029" i="1"/>
  <c r="G1029" i="1"/>
  <c r="K1029" i="1"/>
  <c r="A1030" i="1"/>
  <c r="B1030" i="1"/>
  <c r="C1030" i="1"/>
  <c r="E1030" i="1"/>
  <c r="G1030" i="1"/>
  <c r="K1030" i="1"/>
  <c r="A1031" i="1"/>
  <c r="B1031" i="1"/>
  <c r="C1031" i="1"/>
  <c r="E1031" i="1"/>
  <c r="G1031" i="1"/>
  <c r="K1031" i="1"/>
  <c r="A1032" i="1"/>
  <c r="B1032" i="1"/>
  <c r="C1032" i="1"/>
  <c r="E1032" i="1"/>
  <c r="G1032" i="1"/>
  <c r="K1032" i="1"/>
  <c r="A1033" i="1"/>
  <c r="B1033" i="1"/>
  <c r="C1033" i="1"/>
  <c r="E1033" i="1"/>
  <c r="G1033" i="1"/>
  <c r="K1033" i="1"/>
  <c r="A1034" i="1"/>
  <c r="B1034" i="1"/>
  <c r="C1034" i="1"/>
  <c r="E1034" i="1"/>
  <c r="G1034" i="1"/>
  <c r="K1034" i="1"/>
  <c r="A1035" i="1"/>
  <c r="B1035" i="1"/>
  <c r="C1035" i="1"/>
  <c r="E1035" i="1"/>
  <c r="G1035" i="1"/>
  <c r="K1035" i="1"/>
  <c r="A1036" i="1"/>
  <c r="B1036" i="1"/>
  <c r="C1036" i="1"/>
  <c r="E1036" i="1"/>
  <c r="G1036" i="1"/>
  <c r="K1036" i="1"/>
  <c r="A1037" i="1"/>
  <c r="B1037" i="1"/>
  <c r="C1037" i="1"/>
  <c r="E1037" i="1"/>
  <c r="G1037" i="1"/>
  <c r="K1037" i="1"/>
  <c r="A1038" i="1"/>
  <c r="B1038" i="1"/>
  <c r="C1038" i="1"/>
  <c r="E1038" i="1"/>
  <c r="G1038" i="1"/>
  <c r="K1038" i="1"/>
  <c r="A1039" i="1"/>
  <c r="B1039" i="1"/>
  <c r="C1039" i="1"/>
  <c r="E1039" i="1"/>
  <c r="G1039" i="1"/>
  <c r="K1039" i="1"/>
  <c r="A1040" i="1"/>
  <c r="B1040" i="1"/>
  <c r="C1040" i="1"/>
  <c r="E1040" i="1"/>
  <c r="G1040" i="1"/>
  <c r="K1040" i="1"/>
  <c r="A1041" i="1"/>
  <c r="B1041" i="1"/>
  <c r="C1041" i="1"/>
  <c r="E1041" i="1"/>
  <c r="G1041" i="1"/>
  <c r="K1041" i="1"/>
  <c r="A1042" i="1"/>
  <c r="B1042" i="1"/>
  <c r="C1042" i="1"/>
  <c r="E1042" i="1"/>
  <c r="G1042" i="1"/>
  <c r="K1042" i="1"/>
  <c r="A1043" i="1"/>
  <c r="B1043" i="1"/>
  <c r="C1043" i="1"/>
  <c r="E1043" i="1"/>
  <c r="G1043" i="1"/>
  <c r="K1043" i="1"/>
  <c r="A1044" i="1"/>
  <c r="B1044" i="1"/>
  <c r="C1044" i="1"/>
  <c r="E1044" i="1"/>
  <c r="G1044" i="1"/>
  <c r="K1044" i="1"/>
  <c r="A1045" i="1"/>
  <c r="B1045" i="1"/>
  <c r="C1045" i="1"/>
  <c r="E1045" i="1"/>
  <c r="G1045" i="1"/>
  <c r="K1045" i="1"/>
  <c r="A1046" i="1"/>
  <c r="B1046" i="1"/>
  <c r="C1046" i="1"/>
  <c r="E1046" i="1"/>
  <c r="G1046" i="1"/>
  <c r="K1046" i="1"/>
  <c r="A1047" i="1"/>
  <c r="B1047" i="1"/>
  <c r="C1047" i="1"/>
  <c r="E1047" i="1"/>
  <c r="G1047" i="1"/>
  <c r="K1047" i="1"/>
  <c r="A1048" i="1"/>
  <c r="B1048" i="1"/>
  <c r="C1048" i="1"/>
  <c r="E1048" i="1"/>
  <c r="G1048" i="1"/>
  <c r="K1048" i="1"/>
  <c r="A1049" i="1"/>
  <c r="B1049" i="1"/>
  <c r="C1049" i="1"/>
  <c r="E1049" i="1"/>
  <c r="G1049" i="1"/>
  <c r="K1049" i="1"/>
  <c r="A1050" i="1"/>
  <c r="B1050" i="1"/>
  <c r="C1050" i="1"/>
  <c r="E1050" i="1"/>
  <c r="G1050" i="1"/>
  <c r="K1050" i="1"/>
  <c r="A1051" i="1"/>
  <c r="B1051" i="1"/>
  <c r="C1051" i="1"/>
  <c r="E1051" i="1"/>
  <c r="G1051" i="1"/>
  <c r="K1051" i="1"/>
  <c r="A1052" i="1"/>
  <c r="B1052" i="1"/>
  <c r="C1052" i="1"/>
  <c r="E1052" i="1"/>
  <c r="G1052" i="1"/>
  <c r="K1052" i="1"/>
  <c r="A1053" i="1"/>
  <c r="B1053" i="1"/>
  <c r="C1053" i="1"/>
  <c r="E1053" i="1"/>
  <c r="G1053" i="1"/>
  <c r="K1053" i="1"/>
  <c r="A1054" i="1"/>
  <c r="B1054" i="1"/>
  <c r="C1054" i="1"/>
  <c r="E1054" i="1"/>
  <c r="G1054" i="1"/>
  <c r="K1054" i="1"/>
  <c r="A1055" i="1"/>
  <c r="B1055" i="1"/>
  <c r="C1055" i="1"/>
  <c r="E1055" i="1"/>
  <c r="G1055" i="1"/>
  <c r="K1055" i="1"/>
  <c r="A1056" i="1"/>
  <c r="B1056" i="1"/>
  <c r="C1056" i="1"/>
  <c r="E1056" i="1"/>
  <c r="G1056" i="1"/>
  <c r="K1056" i="1"/>
  <c r="A1057" i="1"/>
  <c r="B1057" i="1"/>
  <c r="C1057" i="1"/>
  <c r="E1057" i="1"/>
  <c r="G1057" i="1"/>
  <c r="K1057" i="1"/>
  <c r="A1058" i="1"/>
  <c r="B1058" i="1"/>
  <c r="C1058" i="1"/>
  <c r="E1058" i="1"/>
  <c r="G1058" i="1"/>
  <c r="K1058" i="1"/>
  <c r="A1059" i="1"/>
  <c r="B1059" i="1"/>
  <c r="C1059" i="1"/>
  <c r="E1059" i="1"/>
  <c r="G1059" i="1"/>
  <c r="K1059" i="1"/>
  <c r="A1060" i="1"/>
  <c r="B1060" i="1"/>
  <c r="C1060" i="1"/>
  <c r="E1060" i="1"/>
  <c r="G1060" i="1"/>
  <c r="K1060" i="1"/>
  <c r="A1061" i="1"/>
  <c r="B1061" i="1"/>
  <c r="C1061" i="1"/>
  <c r="E1061" i="1"/>
  <c r="G1061" i="1"/>
  <c r="K1061" i="1"/>
  <c r="A1062" i="1"/>
  <c r="B1062" i="1"/>
  <c r="C1062" i="1"/>
  <c r="E1062" i="1"/>
  <c r="G1062" i="1"/>
  <c r="K1062" i="1"/>
  <c r="A1063" i="1"/>
  <c r="B1063" i="1"/>
  <c r="C1063" i="1"/>
  <c r="E1063" i="1"/>
  <c r="G1063" i="1"/>
  <c r="K1063" i="1"/>
  <c r="A1064" i="1"/>
  <c r="B1064" i="1"/>
  <c r="C1064" i="1"/>
  <c r="E1064" i="1"/>
  <c r="G1064" i="1"/>
  <c r="K1064" i="1"/>
  <c r="A1065" i="1"/>
  <c r="B1065" i="1"/>
  <c r="C1065" i="1"/>
  <c r="E1065" i="1"/>
  <c r="G1065" i="1"/>
  <c r="K1065" i="1"/>
  <c r="A1066" i="1"/>
  <c r="B1066" i="1"/>
  <c r="C1066" i="1"/>
  <c r="E1066" i="1"/>
  <c r="G1066" i="1"/>
  <c r="K1066" i="1"/>
  <c r="A1067" i="1"/>
  <c r="B1067" i="1"/>
  <c r="C1067" i="1"/>
  <c r="E1067" i="1"/>
  <c r="G1067" i="1"/>
  <c r="K1067" i="1"/>
  <c r="A1068" i="1"/>
  <c r="B1068" i="1"/>
  <c r="C1068" i="1"/>
  <c r="E1068" i="1"/>
  <c r="G1068" i="1"/>
  <c r="K1068" i="1"/>
  <c r="A1069" i="1"/>
  <c r="B1069" i="1"/>
  <c r="C1069" i="1"/>
  <c r="E1069" i="1"/>
  <c r="G1069" i="1"/>
  <c r="K1069" i="1"/>
  <c r="A1070" i="1"/>
  <c r="B1070" i="1"/>
  <c r="C1070" i="1"/>
  <c r="E1070" i="1"/>
  <c r="G1070" i="1"/>
  <c r="K1070" i="1"/>
  <c r="A1071" i="1"/>
  <c r="B1071" i="1"/>
  <c r="C1071" i="1"/>
  <c r="E1071" i="1"/>
  <c r="G1071" i="1"/>
  <c r="K1071" i="1"/>
  <c r="A1072" i="1"/>
  <c r="B1072" i="1"/>
  <c r="C1072" i="1"/>
  <c r="E1072" i="1"/>
  <c r="G1072" i="1"/>
  <c r="K1072" i="1"/>
  <c r="A1073" i="1"/>
  <c r="B1073" i="1"/>
  <c r="C1073" i="1"/>
  <c r="E1073" i="1"/>
  <c r="G1073" i="1"/>
  <c r="K1073" i="1"/>
  <c r="A1074" i="1"/>
  <c r="B1074" i="1"/>
  <c r="C1074" i="1"/>
  <c r="E1074" i="1"/>
  <c r="G1074" i="1"/>
  <c r="K1074" i="1"/>
  <c r="A1075" i="1"/>
  <c r="B1075" i="1"/>
  <c r="C1075" i="1"/>
  <c r="E1075" i="1"/>
  <c r="G1075" i="1"/>
  <c r="K1075" i="1"/>
  <c r="A1076" i="1"/>
  <c r="B1076" i="1"/>
  <c r="C1076" i="1"/>
  <c r="E1076" i="1"/>
  <c r="G1076" i="1"/>
  <c r="K1076" i="1"/>
  <c r="A1077" i="1"/>
  <c r="B1077" i="1"/>
  <c r="C1077" i="1"/>
  <c r="E1077" i="1"/>
  <c r="G1077" i="1"/>
  <c r="K1077" i="1"/>
  <c r="A1078" i="1"/>
  <c r="B1078" i="1"/>
  <c r="C1078" i="1"/>
  <c r="E1078" i="1"/>
  <c r="G1078" i="1"/>
  <c r="K1078" i="1"/>
  <c r="A1079" i="1"/>
  <c r="B1079" i="1"/>
  <c r="C1079" i="1"/>
  <c r="E1079" i="1"/>
  <c r="G1079" i="1"/>
  <c r="K1079" i="1"/>
  <c r="A1080" i="1"/>
  <c r="B1080" i="1"/>
  <c r="C1080" i="1"/>
  <c r="E1080" i="1"/>
  <c r="G1080" i="1"/>
  <c r="K1080" i="1"/>
  <c r="A1081" i="1"/>
  <c r="B1081" i="1"/>
  <c r="C1081" i="1"/>
  <c r="E1081" i="1"/>
  <c r="G1081" i="1"/>
  <c r="K1081" i="1"/>
  <c r="A1082" i="1"/>
  <c r="B1082" i="1"/>
  <c r="C1082" i="1"/>
  <c r="E1082" i="1"/>
  <c r="G1082" i="1"/>
  <c r="K1082" i="1"/>
  <c r="A1083" i="1"/>
  <c r="B1083" i="1"/>
  <c r="C1083" i="1"/>
  <c r="E1083" i="1"/>
  <c r="G1083" i="1"/>
  <c r="K1083" i="1"/>
  <c r="A1084" i="1"/>
  <c r="B1084" i="1"/>
  <c r="C1084" i="1"/>
  <c r="E1084" i="1"/>
  <c r="G1084" i="1"/>
  <c r="K1084" i="1"/>
  <c r="A1085" i="1"/>
  <c r="B1085" i="1"/>
  <c r="C1085" i="1"/>
  <c r="E1085" i="1"/>
  <c r="G1085" i="1"/>
  <c r="K1085" i="1"/>
  <c r="A1086" i="1"/>
  <c r="B1086" i="1"/>
  <c r="C1086" i="1"/>
  <c r="E1086" i="1"/>
  <c r="G1086" i="1"/>
  <c r="K1086" i="1"/>
  <c r="A1087" i="1"/>
  <c r="B1087" i="1"/>
  <c r="C1087" i="1"/>
  <c r="E1087" i="1"/>
  <c r="G1087" i="1"/>
  <c r="K1087" i="1"/>
  <c r="A1088" i="1"/>
  <c r="B1088" i="1"/>
  <c r="C1088" i="1"/>
  <c r="E1088" i="1"/>
  <c r="G1088" i="1"/>
  <c r="K1088" i="1"/>
  <c r="A1089" i="1"/>
  <c r="B1089" i="1"/>
  <c r="C1089" i="1"/>
  <c r="E1089" i="1"/>
  <c r="G1089" i="1"/>
  <c r="K1089" i="1"/>
  <c r="A1090" i="1"/>
  <c r="B1090" i="1"/>
  <c r="C1090" i="1"/>
  <c r="E1090" i="1"/>
  <c r="G1090" i="1"/>
  <c r="K1090" i="1"/>
  <c r="A1091" i="1"/>
  <c r="B1091" i="1"/>
  <c r="C1091" i="1"/>
  <c r="E1091" i="1"/>
  <c r="G1091" i="1"/>
  <c r="K1091" i="1"/>
  <c r="A1092" i="1"/>
  <c r="B1092" i="1"/>
  <c r="C1092" i="1"/>
  <c r="E1092" i="1"/>
  <c r="G1092" i="1"/>
  <c r="K1092" i="1"/>
  <c r="A1093" i="1"/>
  <c r="B1093" i="1"/>
  <c r="C1093" i="1"/>
  <c r="E1093" i="1"/>
  <c r="G1093" i="1"/>
  <c r="K1093" i="1"/>
  <c r="A1094" i="1"/>
  <c r="B1094" i="1"/>
  <c r="C1094" i="1"/>
  <c r="E1094" i="1"/>
  <c r="G1094" i="1"/>
  <c r="K1094" i="1"/>
  <c r="A1095" i="1"/>
  <c r="B1095" i="1"/>
  <c r="C1095" i="1"/>
  <c r="E1095" i="1"/>
  <c r="G1095" i="1"/>
  <c r="K1095" i="1"/>
  <c r="A1096" i="1"/>
  <c r="B1096" i="1"/>
  <c r="C1096" i="1"/>
  <c r="E1096" i="1"/>
  <c r="G1096" i="1"/>
  <c r="K1096" i="1"/>
  <c r="A1097" i="1"/>
  <c r="B1097" i="1"/>
  <c r="C1097" i="1"/>
  <c r="E1097" i="1"/>
  <c r="G1097" i="1"/>
  <c r="K1097" i="1"/>
  <c r="A1098" i="1"/>
  <c r="B1098" i="1"/>
  <c r="C1098" i="1"/>
  <c r="E1098" i="1"/>
  <c r="G1098" i="1"/>
  <c r="K1098" i="1"/>
  <c r="A1099" i="1"/>
  <c r="B1099" i="1"/>
  <c r="C1099" i="1"/>
  <c r="E1099" i="1"/>
  <c r="G1099" i="1"/>
  <c r="K1099" i="1"/>
  <c r="A1100" i="1"/>
  <c r="B1100" i="1"/>
  <c r="C1100" i="1"/>
  <c r="E1100" i="1"/>
  <c r="G1100" i="1"/>
  <c r="K1100" i="1"/>
  <c r="A1101" i="1"/>
  <c r="B1101" i="1"/>
  <c r="C1101" i="1"/>
  <c r="E1101" i="1"/>
  <c r="G1101" i="1"/>
  <c r="K1101" i="1"/>
  <c r="A1102" i="1"/>
  <c r="B1102" i="1"/>
  <c r="C1102" i="1"/>
  <c r="E1102" i="1"/>
  <c r="G1102" i="1"/>
  <c r="K1102" i="1"/>
  <c r="A1103" i="1"/>
  <c r="B1103" i="1"/>
  <c r="C1103" i="1"/>
  <c r="E1103" i="1"/>
  <c r="G1103" i="1"/>
  <c r="K1103" i="1"/>
  <c r="A1104" i="1"/>
  <c r="B1104" i="1"/>
  <c r="C1104" i="1"/>
  <c r="E1104" i="1"/>
  <c r="G1104" i="1"/>
  <c r="K1104" i="1"/>
  <c r="A1105" i="1"/>
  <c r="B1105" i="1"/>
  <c r="C1105" i="1"/>
  <c r="E1105" i="1"/>
  <c r="G1105" i="1"/>
  <c r="K1105" i="1"/>
  <c r="A1106" i="1"/>
  <c r="B1106" i="1"/>
  <c r="C1106" i="1"/>
  <c r="E1106" i="1"/>
  <c r="G1106" i="1"/>
  <c r="K1106" i="1"/>
  <c r="A1107" i="1"/>
  <c r="B1107" i="1"/>
  <c r="C1107" i="1"/>
  <c r="E1107" i="1"/>
  <c r="G1107" i="1"/>
  <c r="K1107" i="1"/>
  <c r="A1108" i="1"/>
  <c r="B1108" i="1"/>
  <c r="C1108" i="1"/>
  <c r="E1108" i="1"/>
  <c r="G1108" i="1"/>
  <c r="K1108" i="1"/>
  <c r="A1109" i="1"/>
  <c r="B1109" i="1"/>
  <c r="C1109" i="1"/>
  <c r="E1109" i="1"/>
  <c r="G1109" i="1"/>
  <c r="K1109" i="1"/>
  <c r="A1110" i="1"/>
  <c r="B1110" i="1"/>
  <c r="C1110" i="1"/>
  <c r="E1110" i="1"/>
  <c r="G1110" i="1"/>
  <c r="K1110" i="1"/>
  <c r="A1111" i="1"/>
  <c r="B1111" i="1"/>
  <c r="C1111" i="1"/>
  <c r="E1111" i="1"/>
  <c r="G1111" i="1"/>
  <c r="K1111" i="1"/>
  <c r="A1112" i="1"/>
  <c r="B1112" i="1"/>
  <c r="C1112" i="1"/>
  <c r="E1112" i="1"/>
  <c r="G1112" i="1"/>
  <c r="K1112" i="1"/>
  <c r="A1113" i="1"/>
  <c r="B1113" i="1"/>
  <c r="C1113" i="1"/>
  <c r="E1113" i="1"/>
  <c r="G1113" i="1"/>
  <c r="K1113" i="1"/>
  <c r="A1114" i="1"/>
  <c r="B1114" i="1"/>
  <c r="C1114" i="1"/>
  <c r="E1114" i="1"/>
  <c r="G1114" i="1"/>
  <c r="K1114" i="1"/>
  <c r="A1115" i="1"/>
  <c r="B1115" i="1"/>
  <c r="C1115" i="1"/>
  <c r="E1115" i="1"/>
  <c r="G1115" i="1"/>
  <c r="K1115" i="1"/>
  <c r="A1116" i="1"/>
  <c r="B1116" i="1"/>
  <c r="C1116" i="1"/>
  <c r="E1116" i="1"/>
  <c r="G1116" i="1"/>
  <c r="K1116" i="1"/>
  <c r="A1117" i="1"/>
  <c r="B1117" i="1"/>
  <c r="C1117" i="1"/>
  <c r="E1117" i="1"/>
  <c r="G1117" i="1"/>
  <c r="K1117" i="1"/>
  <c r="A1118" i="1"/>
  <c r="B1118" i="1"/>
  <c r="C1118" i="1"/>
  <c r="E1118" i="1"/>
  <c r="G1118" i="1"/>
  <c r="K1118" i="1"/>
  <c r="A1119" i="1"/>
  <c r="B1119" i="1"/>
  <c r="C1119" i="1"/>
  <c r="E1119" i="1"/>
  <c r="G1119" i="1"/>
  <c r="K1119" i="1"/>
  <c r="A1120" i="1"/>
  <c r="B1120" i="1"/>
  <c r="C1120" i="1"/>
  <c r="E1120" i="1"/>
  <c r="G1120" i="1"/>
  <c r="K1120" i="1"/>
  <c r="A1121" i="1"/>
  <c r="B1121" i="1"/>
  <c r="C1121" i="1"/>
  <c r="E1121" i="1"/>
  <c r="G1121" i="1"/>
  <c r="K1121" i="1"/>
  <c r="A1122" i="1"/>
  <c r="B1122" i="1"/>
  <c r="C1122" i="1"/>
  <c r="E1122" i="1"/>
  <c r="G1122" i="1"/>
  <c r="K1122" i="1"/>
  <c r="A1123" i="1"/>
  <c r="B1123" i="1"/>
  <c r="C1123" i="1"/>
  <c r="E1123" i="1"/>
  <c r="G1123" i="1"/>
  <c r="K1123" i="1"/>
  <c r="A1124" i="1"/>
  <c r="B1124" i="1"/>
  <c r="C1124" i="1"/>
  <c r="E1124" i="1"/>
  <c r="G1124" i="1"/>
  <c r="K1124" i="1"/>
  <c r="A1125" i="1"/>
  <c r="B1125" i="1"/>
  <c r="C1125" i="1"/>
  <c r="E1125" i="1"/>
  <c r="G1125" i="1"/>
  <c r="K1125" i="1"/>
  <c r="A1126" i="1"/>
  <c r="B1126" i="1"/>
  <c r="C1126" i="1"/>
  <c r="E1126" i="1"/>
  <c r="G1126" i="1"/>
  <c r="K1126" i="1"/>
  <c r="A1127" i="1"/>
  <c r="B1127" i="1"/>
  <c r="C1127" i="1"/>
  <c r="E1127" i="1"/>
  <c r="G1127" i="1"/>
  <c r="K1127" i="1"/>
  <c r="A1128" i="1"/>
  <c r="B1128" i="1"/>
  <c r="C1128" i="1"/>
  <c r="E1128" i="1"/>
  <c r="G1128" i="1"/>
  <c r="K1128" i="1"/>
  <c r="A1129" i="1"/>
  <c r="B1129" i="1"/>
  <c r="C1129" i="1"/>
  <c r="E1129" i="1"/>
  <c r="G1129" i="1"/>
  <c r="K1129" i="1"/>
  <c r="A1130" i="1"/>
  <c r="B1130" i="1"/>
  <c r="C1130" i="1"/>
  <c r="E1130" i="1"/>
  <c r="G1130" i="1"/>
  <c r="K1130" i="1"/>
  <c r="A1131" i="1"/>
  <c r="B1131" i="1"/>
  <c r="C1131" i="1"/>
  <c r="E1131" i="1"/>
  <c r="G1131" i="1"/>
  <c r="K1131" i="1"/>
  <c r="A1132" i="1"/>
  <c r="B1132" i="1"/>
  <c r="C1132" i="1"/>
  <c r="E1132" i="1"/>
  <c r="G1132" i="1"/>
  <c r="K1132" i="1"/>
  <c r="A1133" i="1"/>
  <c r="B1133" i="1"/>
  <c r="C1133" i="1"/>
  <c r="E1133" i="1"/>
  <c r="G1133" i="1"/>
  <c r="K1133" i="1"/>
  <c r="A1134" i="1"/>
  <c r="B1134" i="1"/>
  <c r="C1134" i="1"/>
  <c r="E1134" i="1"/>
  <c r="G1134" i="1"/>
  <c r="K1134" i="1"/>
  <c r="A1135" i="1"/>
  <c r="B1135" i="1"/>
  <c r="C1135" i="1"/>
  <c r="E1135" i="1"/>
  <c r="G1135" i="1"/>
  <c r="K1135" i="1"/>
  <c r="A1136" i="1"/>
  <c r="B1136" i="1"/>
  <c r="C1136" i="1"/>
  <c r="E1136" i="1"/>
  <c r="G1136" i="1"/>
  <c r="K1136" i="1"/>
  <c r="A1137" i="1"/>
  <c r="B1137" i="1"/>
  <c r="C1137" i="1"/>
  <c r="E1137" i="1"/>
  <c r="G1137" i="1"/>
  <c r="K1137" i="1"/>
  <c r="A1138" i="1"/>
  <c r="B1138" i="1"/>
  <c r="C1138" i="1"/>
  <c r="E1138" i="1"/>
  <c r="G1138" i="1"/>
  <c r="K1138" i="1"/>
  <c r="A1139" i="1"/>
  <c r="B1139" i="1"/>
  <c r="C1139" i="1"/>
  <c r="E1139" i="1"/>
  <c r="G1139" i="1"/>
  <c r="K1139" i="1"/>
  <c r="A1140" i="1"/>
  <c r="B1140" i="1"/>
  <c r="C1140" i="1"/>
  <c r="E1140" i="1"/>
  <c r="G1140" i="1"/>
  <c r="K1140" i="1"/>
  <c r="A1141" i="1"/>
  <c r="B1141" i="1"/>
  <c r="C1141" i="1"/>
  <c r="E1141" i="1"/>
  <c r="G1141" i="1"/>
  <c r="K1141" i="1"/>
  <c r="A1142" i="1"/>
  <c r="B1142" i="1"/>
  <c r="C1142" i="1"/>
  <c r="E1142" i="1"/>
  <c r="G1142" i="1"/>
  <c r="K1142" i="1"/>
  <c r="A1143" i="1"/>
  <c r="B1143" i="1"/>
  <c r="C1143" i="1"/>
  <c r="E1143" i="1"/>
  <c r="G1143" i="1"/>
  <c r="K1143" i="1"/>
  <c r="A1144" i="1"/>
  <c r="B1144" i="1"/>
  <c r="C1144" i="1"/>
  <c r="E1144" i="1"/>
  <c r="G1144" i="1"/>
  <c r="K1144" i="1"/>
  <c r="A1145" i="1"/>
  <c r="B1145" i="1"/>
  <c r="C1145" i="1"/>
  <c r="E1145" i="1"/>
  <c r="G1145" i="1"/>
  <c r="K1145" i="1"/>
  <c r="A1146" i="1"/>
  <c r="B1146" i="1"/>
  <c r="C1146" i="1"/>
  <c r="E1146" i="1"/>
  <c r="G1146" i="1"/>
  <c r="K1146" i="1"/>
  <c r="A1147" i="1"/>
  <c r="B1147" i="1"/>
  <c r="C1147" i="1"/>
  <c r="E1147" i="1"/>
  <c r="G1147" i="1"/>
  <c r="K1147" i="1"/>
  <c r="A1148" i="1"/>
  <c r="B1148" i="1"/>
  <c r="C1148" i="1"/>
  <c r="E1148" i="1"/>
  <c r="G1148" i="1"/>
  <c r="K1148" i="1"/>
  <c r="A1149" i="1"/>
  <c r="B1149" i="1"/>
  <c r="C1149" i="1"/>
  <c r="E1149" i="1"/>
  <c r="G1149" i="1"/>
  <c r="K1149" i="1"/>
  <c r="A1150" i="1"/>
  <c r="B1150" i="1"/>
  <c r="C1150" i="1"/>
  <c r="E1150" i="1"/>
  <c r="G1150" i="1"/>
  <c r="K1150" i="1"/>
  <c r="A1151" i="1"/>
  <c r="B1151" i="1"/>
  <c r="C1151" i="1"/>
  <c r="E1151" i="1"/>
  <c r="G1151" i="1"/>
  <c r="K1151" i="1"/>
  <c r="A1152" i="1"/>
  <c r="B1152" i="1"/>
  <c r="C1152" i="1"/>
  <c r="E1152" i="1"/>
  <c r="G1152" i="1"/>
  <c r="K1152" i="1"/>
  <c r="A1153" i="1"/>
  <c r="B1153" i="1"/>
  <c r="C1153" i="1"/>
  <c r="E1153" i="1"/>
  <c r="G1153" i="1"/>
  <c r="K1153" i="1"/>
  <c r="A1154" i="1"/>
  <c r="B1154" i="1"/>
  <c r="C1154" i="1"/>
  <c r="E1154" i="1"/>
  <c r="G1154" i="1"/>
  <c r="K1154" i="1"/>
  <c r="A1155" i="1"/>
  <c r="B1155" i="1"/>
  <c r="C1155" i="1"/>
  <c r="E1155" i="1"/>
  <c r="G1155" i="1"/>
  <c r="K1155" i="1"/>
  <c r="A1156" i="1"/>
  <c r="B1156" i="1"/>
  <c r="C1156" i="1"/>
  <c r="E1156" i="1"/>
  <c r="G1156" i="1"/>
  <c r="K1156" i="1"/>
  <c r="A1157" i="1"/>
  <c r="B1157" i="1"/>
  <c r="C1157" i="1"/>
  <c r="E1157" i="1"/>
  <c r="G1157" i="1"/>
  <c r="K1157" i="1"/>
  <c r="A1158" i="1"/>
  <c r="B1158" i="1"/>
  <c r="C1158" i="1"/>
  <c r="E1158" i="1"/>
  <c r="G1158" i="1"/>
  <c r="K1158" i="1"/>
  <c r="A1159" i="1"/>
  <c r="B1159" i="1"/>
  <c r="C1159" i="1"/>
  <c r="E1159" i="1"/>
  <c r="G1159" i="1"/>
  <c r="K1159" i="1"/>
  <c r="A1160" i="1"/>
  <c r="B1160" i="1"/>
  <c r="C1160" i="1"/>
  <c r="E1160" i="1"/>
  <c r="G1160" i="1"/>
  <c r="K1160" i="1"/>
  <c r="A1161" i="1"/>
  <c r="B1161" i="1"/>
  <c r="C1161" i="1"/>
  <c r="E1161" i="1"/>
  <c r="G1161" i="1"/>
  <c r="K1161" i="1"/>
  <c r="A1162" i="1"/>
  <c r="B1162" i="1"/>
  <c r="C1162" i="1"/>
  <c r="E1162" i="1"/>
  <c r="G1162" i="1"/>
  <c r="K1162" i="1"/>
  <c r="A1163" i="1"/>
  <c r="B1163" i="1"/>
  <c r="C1163" i="1"/>
  <c r="E1163" i="1"/>
  <c r="G1163" i="1"/>
  <c r="K1163" i="1"/>
  <c r="A1164" i="1"/>
  <c r="B1164" i="1"/>
  <c r="C1164" i="1"/>
  <c r="E1164" i="1"/>
  <c r="G1164" i="1"/>
  <c r="K1164" i="1"/>
  <c r="A1165" i="1"/>
  <c r="B1165" i="1"/>
  <c r="C1165" i="1"/>
  <c r="E1165" i="1"/>
  <c r="G1165" i="1"/>
  <c r="K1165" i="1"/>
  <c r="A1166" i="1"/>
  <c r="B1166" i="1"/>
  <c r="C1166" i="1"/>
  <c r="E1166" i="1"/>
  <c r="G1166" i="1"/>
  <c r="K1166" i="1"/>
  <c r="A1167" i="1"/>
  <c r="B1167" i="1"/>
  <c r="C1167" i="1"/>
  <c r="E1167" i="1"/>
  <c r="G1167" i="1"/>
  <c r="K1167" i="1"/>
  <c r="A1168" i="1"/>
  <c r="B1168" i="1"/>
  <c r="C1168" i="1"/>
  <c r="E1168" i="1"/>
  <c r="G1168" i="1"/>
  <c r="K1168" i="1"/>
  <c r="A1169" i="1"/>
  <c r="B1169" i="1"/>
  <c r="C1169" i="1"/>
  <c r="E1169" i="1"/>
  <c r="G1169" i="1"/>
  <c r="K1169" i="1"/>
  <c r="A1170" i="1"/>
  <c r="B1170" i="1"/>
  <c r="C1170" i="1"/>
  <c r="E1170" i="1"/>
  <c r="G1170" i="1"/>
  <c r="K1170" i="1"/>
  <c r="A1171" i="1"/>
  <c r="B1171" i="1"/>
  <c r="C1171" i="1"/>
  <c r="E1171" i="1"/>
  <c r="G1171" i="1"/>
  <c r="K1171" i="1"/>
  <c r="A1172" i="1"/>
  <c r="B1172" i="1"/>
  <c r="C1172" i="1"/>
  <c r="E1172" i="1"/>
  <c r="G1172" i="1"/>
  <c r="K1172" i="1"/>
  <c r="A1173" i="1"/>
  <c r="B1173" i="1"/>
  <c r="C1173" i="1"/>
  <c r="E1173" i="1"/>
  <c r="G1173" i="1"/>
  <c r="K1173" i="1"/>
  <c r="A1174" i="1"/>
  <c r="B1174" i="1"/>
  <c r="C1174" i="1"/>
  <c r="E1174" i="1"/>
  <c r="G1174" i="1"/>
  <c r="K1174" i="1"/>
  <c r="A1175" i="1"/>
  <c r="B1175" i="1"/>
  <c r="C1175" i="1"/>
  <c r="E1175" i="1"/>
  <c r="G1175" i="1"/>
  <c r="K1175" i="1"/>
  <c r="A1176" i="1"/>
  <c r="B1176" i="1"/>
  <c r="C1176" i="1"/>
  <c r="E1176" i="1"/>
  <c r="G1176" i="1"/>
  <c r="K1176" i="1"/>
  <c r="A1177" i="1"/>
  <c r="B1177" i="1"/>
  <c r="C1177" i="1"/>
  <c r="E1177" i="1"/>
  <c r="G1177" i="1"/>
  <c r="K1177" i="1"/>
  <c r="A1178" i="1"/>
  <c r="B1178" i="1"/>
  <c r="C1178" i="1"/>
  <c r="E1178" i="1"/>
  <c r="G1178" i="1"/>
  <c r="K1178" i="1"/>
  <c r="A1179" i="1"/>
  <c r="B1179" i="1"/>
  <c r="C1179" i="1"/>
  <c r="E1179" i="1"/>
  <c r="G1179" i="1"/>
  <c r="K1179" i="1"/>
  <c r="A1180" i="1"/>
  <c r="B1180" i="1"/>
  <c r="C1180" i="1"/>
  <c r="E1180" i="1"/>
  <c r="G1180" i="1"/>
  <c r="K1180" i="1"/>
  <c r="A1181" i="1"/>
  <c r="B1181" i="1"/>
  <c r="C1181" i="1"/>
  <c r="E1181" i="1"/>
  <c r="G1181" i="1"/>
  <c r="K1181" i="1"/>
  <c r="A1182" i="1"/>
  <c r="B1182" i="1"/>
  <c r="C1182" i="1"/>
  <c r="E1182" i="1"/>
  <c r="G1182" i="1"/>
  <c r="K1182" i="1"/>
  <c r="A1183" i="1"/>
  <c r="B1183" i="1"/>
  <c r="C1183" i="1"/>
  <c r="E1183" i="1"/>
  <c r="G1183" i="1"/>
  <c r="K1183" i="1"/>
  <c r="A1184" i="1"/>
  <c r="B1184" i="1"/>
  <c r="C1184" i="1"/>
  <c r="E1184" i="1"/>
  <c r="G1184" i="1"/>
  <c r="K1184" i="1"/>
  <c r="A1185" i="1"/>
  <c r="B1185" i="1"/>
  <c r="C1185" i="1"/>
  <c r="E1185" i="1"/>
  <c r="G1185" i="1"/>
  <c r="K1185" i="1"/>
  <c r="A1186" i="1"/>
  <c r="B1186" i="1"/>
  <c r="C1186" i="1"/>
  <c r="E1186" i="1"/>
  <c r="G1186" i="1"/>
  <c r="K1186" i="1"/>
  <c r="A1187" i="1"/>
  <c r="B1187" i="1"/>
  <c r="C1187" i="1"/>
  <c r="E1187" i="1"/>
  <c r="G1187" i="1"/>
  <c r="K1187" i="1"/>
  <c r="A1188" i="1"/>
  <c r="B1188" i="1"/>
  <c r="C1188" i="1"/>
  <c r="E1188" i="1"/>
  <c r="G1188" i="1"/>
  <c r="K1188" i="1"/>
  <c r="A1189" i="1"/>
  <c r="B1189" i="1"/>
  <c r="C1189" i="1"/>
  <c r="E1189" i="1"/>
  <c r="G1189" i="1"/>
  <c r="K1189" i="1"/>
  <c r="A1190" i="1"/>
  <c r="B1190" i="1"/>
  <c r="C1190" i="1"/>
  <c r="E1190" i="1"/>
  <c r="G1190" i="1"/>
  <c r="K1190" i="1"/>
  <c r="A1191" i="1"/>
  <c r="B1191" i="1"/>
  <c r="C1191" i="1"/>
  <c r="E1191" i="1"/>
  <c r="G1191" i="1"/>
  <c r="K1191" i="1"/>
  <c r="A1192" i="1"/>
  <c r="B1192" i="1"/>
  <c r="C1192" i="1"/>
  <c r="E1192" i="1"/>
  <c r="G1192" i="1"/>
  <c r="K1192" i="1"/>
  <c r="A1193" i="1"/>
  <c r="B1193" i="1"/>
  <c r="C1193" i="1"/>
  <c r="E1193" i="1"/>
  <c r="G1193" i="1"/>
  <c r="K1193" i="1"/>
  <c r="A1194" i="1"/>
  <c r="B1194" i="1"/>
  <c r="C1194" i="1"/>
  <c r="E1194" i="1"/>
  <c r="G1194" i="1"/>
  <c r="K1194" i="1"/>
  <c r="A1195" i="1"/>
  <c r="B1195" i="1"/>
  <c r="C1195" i="1"/>
  <c r="E1195" i="1"/>
  <c r="G1195" i="1"/>
  <c r="K1195" i="1"/>
  <c r="A1196" i="1"/>
  <c r="B1196" i="1"/>
  <c r="C1196" i="1"/>
  <c r="E1196" i="1"/>
  <c r="G1196" i="1"/>
  <c r="K1196" i="1"/>
  <c r="A1197" i="1"/>
  <c r="B1197" i="1"/>
  <c r="C1197" i="1"/>
  <c r="E1197" i="1"/>
  <c r="G1197" i="1"/>
  <c r="K1197" i="1"/>
  <c r="A1198" i="1"/>
  <c r="B1198" i="1"/>
  <c r="C1198" i="1"/>
  <c r="E1198" i="1"/>
  <c r="G1198" i="1"/>
  <c r="K1198" i="1"/>
  <c r="A1199" i="1"/>
  <c r="B1199" i="1"/>
  <c r="C1199" i="1"/>
  <c r="E1199" i="1"/>
  <c r="G1199" i="1"/>
  <c r="K1199" i="1"/>
  <c r="A1200" i="1"/>
  <c r="B1200" i="1"/>
  <c r="C1200" i="1"/>
  <c r="E1200" i="1"/>
  <c r="G1200" i="1"/>
  <c r="K1200" i="1"/>
  <c r="A1201" i="1"/>
  <c r="B1201" i="1"/>
  <c r="C1201" i="1"/>
  <c r="E1201" i="1"/>
  <c r="G1201" i="1"/>
  <c r="K1201" i="1"/>
  <c r="A1202" i="1"/>
  <c r="B1202" i="1"/>
  <c r="C1202" i="1"/>
  <c r="E1202" i="1"/>
  <c r="G1202" i="1"/>
  <c r="K1202" i="1"/>
  <c r="A1203" i="1"/>
  <c r="B1203" i="1"/>
  <c r="C1203" i="1"/>
  <c r="E1203" i="1"/>
  <c r="G1203" i="1"/>
  <c r="K1203" i="1"/>
  <c r="A1204" i="1"/>
  <c r="B1204" i="1"/>
  <c r="C1204" i="1"/>
  <c r="E1204" i="1"/>
  <c r="G1204" i="1"/>
  <c r="K1204" i="1"/>
  <c r="A1205" i="1"/>
  <c r="B1205" i="1"/>
  <c r="C1205" i="1"/>
  <c r="E1205" i="1"/>
  <c r="G1205" i="1"/>
  <c r="K1205" i="1"/>
  <c r="A1206" i="1"/>
  <c r="B1206" i="1"/>
  <c r="C1206" i="1"/>
  <c r="E1206" i="1"/>
  <c r="G1206" i="1"/>
  <c r="K1206" i="1"/>
  <c r="A1207" i="1"/>
  <c r="B1207" i="1"/>
  <c r="C1207" i="1"/>
  <c r="E1207" i="1"/>
  <c r="G1207" i="1"/>
  <c r="K1207" i="1"/>
  <c r="A1208" i="1"/>
  <c r="B1208" i="1"/>
  <c r="C1208" i="1"/>
  <c r="E1208" i="1"/>
  <c r="G1208" i="1"/>
  <c r="K1208" i="1"/>
  <c r="A1209" i="1"/>
  <c r="B1209" i="1"/>
  <c r="C1209" i="1"/>
  <c r="E1209" i="1"/>
  <c r="G1209" i="1"/>
  <c r="K1209" i="1"/>
  <c r="A1210" i="1"/>
  <c r="B1210" i="1"/>
  <c r="C1210" i="1"/>
  <c r="E1210" i="1"/>
  <c r="G1210" i="1"/>
  <c r="K1210" i="1"/>
  <c r="A1211" i="1"/>
  <c r="B1211" i="1"/>
  <c r="C1211" i="1"/>
  <c r="E1211" i="1"/>
  <c r="G1211" i="1"/>
  <c r="K1211" i="1"/>
  <c r="A1212" i="1"/>
  <c r="B1212" i="1"/>
  <c r="C1212" i="1"/>
  <c r="E1212" i="1"/>
  <c r="G1212" i="1"/>
  <c r="K1212" i="1"/>
  <c r="A1213" i="1"/>
  <c r="B1213" i="1"/>
  <c r="C1213" i="1"/>
  <c r="E1213" i="1"/>
  <c r="G1213" i="1"/>
  <c r="K1213" i="1"/>
  <c r="A1214" i="1"/>
  <c r="B1214" i="1"/>
  <c r="C1214" i="1"/>
  <c r="E1214" i="1"/>
  <c r="G1214" i="1"/>
  <c r="K1214" i="1"/>
  <c r="A1215" i="1"/>
  <c r="B1215" i="1"/>
  <c r="C1215" i="1"/>
  <c r="E1215" i="1"/>
  <c r="G1215" i="1"/>
  <c r="K1215" i="1"/>
  <c r="A1216" i="1"/>
  <c r="B1216" i="1"/>
  <c r="C1216" i="1"/>
  <c r="E1216" i="1"/>
  <c r="G1216" i="1"/>
  <c r="K1216" i="1"/>
  <c r="A1217" i="1"/>
  <c r="B1217" i="1"/>
  <c r="C1217" i="1"/>
  <c r="E1217" i="1"/>
  <c r="G1217" i="1"/>
  <c r="K1217" i="1"/>
  <c r="A1218" i="1"/>
  <c r="B1218" i="1"/>
  <c r="C1218" i="1"/>
  <c r="E1218" i="1"/>
  <c r="G1218" i="1"/>
  <c r="K1218" i="1"/>
  <c r="A1219" i="1"/>
  <c r="B1219" i="1"/>
  <c r="C1219" i="1"/>
  <c r="E1219" i="1"/>
  <c r="G1219" i="1"/>
  <c r="K1219" i="1"/>
  <c r="A1220" i="1"/>
  <c r="B1220" i="1"/>
  <c r="C1220" i="1"/>
  <c r="E1220" i="1"/>
  <c r="G1220" i="1"/>
  <c r="K1220" i="1"/>
  <c r="A1221" i="1"/>
  <c r="B1221" i="1"/>
  <c r="C1221" i="1"/>
  <c r="E1221" i="1"/>
  <c r="G1221" i="1"/>
  <c r="K1221" i="1"/>
  <c r="A1222" i="1"/>
  <c r="B1222" i="1"/>
  <c r="C1222" i="1"/>
  <c r="E1222" i="1"/>
  <c r="G1222" i="1"/>
  <c r="K1222" i="1"/>
  <c r="A1223" i="1"/>
  <c r="B1223" i="1"/>
  <c r="C1223" i="1"/>
  <c r="E1223" i="1"/>
  <c r="G1223" i="1"/>
  <c r="K1223" i="1"/>
  <c r="A1224" i="1"/>
  <c r="B1224" i="1"/>
  <c r="C1224" i="1"/>
  <c r="E1224" i="1"/>
  <c r="G1224" i="1"/>
  <c r="K1224" i="1"/>
  <c r="A1225" i="1"/>
  <c r="B1225" i="1"/>
  <c r="C1225" i="1"/>
  <c r="E1225" i="1"/>
  <c r="G1225" i="1"/>
  <c r="K1225" i="1"/>
  <c r="A1226" i="1"/>
  <c r="B1226" i="1"/>
  <c r="C1226" i="1"/>
  <c r="E1226" i="1"/>
  <c r="G1226" i="1"/>
  <c r="K1226" i="1"/>
  <c r="A1227" i="1"/>
  <c r="B1227" i="1"/>
  <c r="C1227" i="1"/>
  <c r="E1227" i="1"/>
  <c r="G1227" i="1"/>
  <c r="K1227" i="1"/>
  <c r="A1228" i="1"/>
  <c r="B1228" i="1"/>
  <c r="C1228" i="1"/>
  <c r="E1228" i="1"/>
  <c r="G1228" i="1"/>
  <c r="K1228" i="1"/>
  <c r="A1229" i="1"/>
  <c r="B1229" i="1"/>
  <c r="C1229" i="1"/>
  <c r="E1229" i="1"/>
  <c r="G1229" i="1"/>
  <c r="K1229" i="1"/>
  <c r="A1230" i="1"/>
  <c r="B1230" i="1"/>
  <c r="C1230" i="1"/>
  <c r="E1230" i="1"/>
  <c r="G1230" i="1"/>
  <c r="K1230" i="1"/>
  <c r="A1231" i="1"/>
  <c r="B1231" i="1"/>
  <c r="C1231" i="1"/>
  <c r="E1231" i="1"/>
  <c r="G1231" i="1"/>
  <c r="K1231" i="1"/>
  <c r="A1232" i="1"/>
  <c r="B1232" i="1"/>
  <c r="C1232" i="1"/>
  <c r="E1232" i="1"/>
  <c r="G1232" i="1"/>
  <c r="K1232" i="1"/>
  <c r="A1233" i="1"/>
  <c r="B1233" i="1"/>
  <c r="C1233" i="1"/>
  <c r="E1233" i="1"/>
  <c r="G1233" i="1"/>
  <c r="K1233" i="1"/>
  <c r="A1234" i="1"/>
  <c r="B1234" i="1"/>
  <c r="C1234" i="1"/>
  <c r="E1234" i="1"/>
  <c r="G1234" i="1"/>
  <c r="K1234" i="1"/>
  <c r="A1235" i="1"/>
  <c r="B1235" i="1"/>
  <c r="C1235" i="1"/>
  <c r="E1235" i="1"/>
  <c r="G1235" i="1"/>
  <c r="K1235" i="1"/>
  <c r="A1236" i="1"/>
  <c r="B1236" i="1"/>
  <c r="C1236" i="1"/>
  <c r="E1236" i="1"/>
  <c r="G1236" i="1"/>
  <c r="K1236" i="1"/>
  <c r="A1237" i="1"/>
  <c r="B1237" i="1"/>
  <c r="C1237" i="1"/>
  <c r="E1237" i="1"/>
  <c r="G1237" i="1"/>
  <c r="K1237" i="1"/>
  <c r="A1238" i="1"/>
  <c r="B1238" i="1"/>
  <c r="C1238" i="1"/>
  <c r="E1238" i="1"/>
  <c r="G1238" i="1"/>
  <c r="K1238" i="1"/>
  <c r="A1239" i="1"/>
  <c r="B1239" i="1"/>
  <c r="C1239" i="1"/>
  <c r="E1239" i="1"/>
  <c r="G1239" i="1"/>
  <c r="K1239" i="1"/>
  <c r="A1240" i="1"/>
  <c r="B1240" i="1"/>
  <c r="C1240" i="1"/>
  <c r="E1240" i="1"/>
  <c r="G1240" i="1"/>
  <c r="K1240" i="1"/>
  <c r="A1241" i="1"/>
  <c r="B1241" i="1"/>
  <c r="C1241" i="1"/>
  <c r="E1241" i="1"/>
  <c r="G1241" i="1"/>
  <c r="K1241" i="1"/>
  <c r="A1242" i="1"/>
  <c r="B1242" i="1"/>
  <c r="C1242" i="1"/>
  <c r="E1242" i="1"/>
  <c r="G1242" i="1"/>
  <c r="K1242" i="1"/>
  <c r="A1243" i="1"/>
  <c r="B1243" i="1"/>
  <c r="C1243" i="1"/>
  <c r="E1243" i="1"/>
  <c r="G1243" i="1"/>
  <c r="K1243" i="1"/>
  <c r="A1244" i="1"/>
  <c r="B1244" i="1"/>
  <c r="C1244" i="1"/>
  <c r="E1244" i="1"/>
  <c r="G1244" i="1"/>
  <c r="K1244" i="1"/>
  <c r="A1245" i="1"/>
  <c r="B1245" i="1"/>
  <c r="C1245" i="1"/>
  <c r="E1245" i="1"/>
  <c r="G1245" i="1"/>
  <c r="K1245" i="1"/>
  <c r="A1246" i="1"/>
  <c r="B1246" i="1"/>
  <c r="C1246" i="1"/>
  <c r="E1246" i="1"/>
  <c r="G1246" i="1"/>
  <c r="K1246" i="1"/>
  <c r="A1247" i="1"/>
  <c r="B1247" i="1"/>
  <c r="C1247" i="1"/>
  <c r="E1247" i="1"/>
  <c r="G1247" i="1"/>
  <c r="K1247" i="1"/>
  <c r="A1248" i="1"/>
  <c r="B1248" i="1"/>
  <c r="C1248" i="1"/>
  <c r="E1248" i="1"/>
  <c r="G1248" i="1"/>
  <c r="K1248" i="1"/>
  <c r="A1249" i="1"/>
  <c r="B1249" i="1"/>
  <c r="C1249" i="1"/>
  <c r="E1249" i="1"/>
  <c r="G1249" i="1"/>
  <c r="K1249" i="1"/>
  <c r="A1250" i="1"/>
  <c r="B1250" i="1"/>
  <c r="C1250" i="1"/>
  <c r="E1250" i="1"/>
  <c r="G1250" i="1"/>
  <c r="K1250" i="1"/>
  <c r="A1251" i="1"/>
  <c r="B1251" i="1"/>
  <c r="C1251" i="1"/>
  <c r="E1251" i="1"/>
  <c r="G1251" i="1"/>
  <c r="K1251" i="1"/>
  <c r="A1252" i="1"/>
  <c r="B1252" i="1"/>
  <c r="C1252" i="1"/>
  <c r="E1252" i="1"/>
  <c r="G1252" i="1"/>
  <c r="K1252" i="1"/>
  <c r="A1253" i="1"/>
  <c r="B1253" i="1"/>
  <c r="C1253" i="1"/>
  <c r="E1253" i="1"/>
  <c r="G1253" i="1"/>
  <c r="K1253" i="1"/>
  <c r="A1254" i="1"/>
  <c r="B1254" i="1"/>
  <c r="C1254" i="1"/>
  <c r="E1254" i="1"/>
  <c r="G1254" i="1"/>
  <c r="K1254" i="1"/>
  <c r="A1255" i="1"/>
  <c r="B1255" i="1"/>
  <c r="C1255" i="1"/>
  <c r="E1255" i="1"/>
  <c r="G1255" i="1"/>
  <c r="K1255" i="1"/>
  <c r="A1256" i="1"/>
  <c r="B1256" i="1"/>
  <c r="C1256" i="1"/>
  <c r="E1256" i="1"/>
  <c r="G1256" i="1"/>
  <c r="K1256" i="1"/>
  <c r="A1257" i="1"/>
  <c r="B1257" i="1"/>
  <c r="C1257" i="1"/>
  <c r="E1257" i="1"/>
  <c r="G1257" i="1"/>
  <c r="K1257" i="1"/>
  <c r="A1258" i="1"/>
  <c r="B1258" i="1"/>
  <c r="C1258" i="1"/>
  <c r="E1258" i="1"/>
  <c r="G1258" i="1"/>
  <c r="K1258" i="1"/>
  <c r="A1259" i="1"/>
  <c r="B1259" i="1"/>
  <c r="C1259" i="1"/>
  <c r="E1259" i="1"/>
  <c r="G1259" i="1"/>
  <c r="K1259" i="1"/>
  <c r="A1260" i="1"/>
  <c r="B1260" i="1"/>
  <c r="C1260" i="1"/>
  <c r="E1260" i="1"/>
  <c r="G1260" i="1"/>
  <c r="K1260" i="1"/>
  <c r="A1261" i="1"/>
  <c r="B1261" i="1"/>
  <c r="C1261" i="1"/>
  <c r="E1261" i="1"/>
  <c r="G1261" i="1"/>
  <c r="K1261" i="1"/>
  <c r="A1262" i="1"/>
  <c r="B1262" i="1"/>
  <c r="C1262" i="1"/>
  <c r="E1262" i="1"/>
  <c r="G1262" i="1"/>
  <c r="K1262" i="1"/>
  <c r="A1263" i="1"/>
  <c r="B1263" i="1"/>
  <c r="C1263" i="1"/>
  <c r="E1263" i="1"/>
  <c r="G1263" i="1"/>
  <c r="K1263" i="1"/>
  <c r="A1264" i="1"/>
  <c r="B1264" i="1"/>
  <c r="C1264" i="1"/>
  <c r="E1264" i="1"/>
  <c r="G1264" i="1"/>
  <c r="K1264" i="1"/>
  <c r="A1265" i="1"/>
  <c r="B1265" i="1"/>
  <c r="C1265" i="1"/>
  <c r="E1265" i="1"/>
  <c r="G1265" i="1"/>
  <c r="K1265" i="1"/>
  <c r="A1266" i="1"/>
  <c r="B1266" i="1"/>
  <c r="C1266" i="1"/>
  <c r="E1266" i="1"/>
  <c r="G1266" i="1"/>
  <c r="K1266" i="1"/>
  <c r="A1267" i="1"/>
  <c r="B1267" i="1"/>
  <c r="C1267" i="1"/>
  <c r="E1267" i="1"/>
  <c r="G1267" i="1"/>
  <c r="K1267" i="1"/>
  <c r="A1268" i="1"/>
  <c r="B1268" i="1"/>
  <c r="C1268" i="1"/>
  <c r="E1268" i="1"/>
  <c r="G1268" i="1"/>
  <c r="K1268" i="1"/>
  <c r="A1269" i="1"/>
  <c r="B1269" i="1"/>
  <c r="C1269" i="1"/>
  <c r="E1269" i="1"/>
  <c r="G1269" i="1"/>
  <c r="K1269" i="1"/>
  <c r="A1270" i="1"/>
  <c r="B1270" i="1"/>
  <c r="C1270" i="1"/>
  <c r="E1270" i="1"/>
  <c r="G1270" i="1"/>
  <c r="K1270" i="1"/>
  <c r="A1271" i="1"/>
  <c r="B1271" i="1"/>
  <c r="C1271" i="1"/>
  <c r="E1271" i="1"/>
  <c r="G1271" i="1"/>
  <c r="K1271" i="1"/>
  <c r="A1272" i="1"/>
  <c r="B1272" i="1"/>
  <c r="C1272" i="1"/>
  <c r="E1272" i="1"/>
  <c r="G1272" i="1"/>
  <c r="K1272" i="1"/>
  <c r="A1273" i="1"/>
  <c r="B1273" i="1"/>
  <c r="C1273" i="1"/>
  <c r="E1273" i="1"/>
  <c r="G1273" i="1"/>
  <c r="K1273" i="1"/>
  <c r="A1274" i="1"/>
  <c r="B1274" i="1"/>
  <c r="C1274" i="1"/>
  <c r="E1274" i="1"/>
  <c r="G1274" i="1"/>
  <c r="K1274" i="1"/>
  <c r="A1275" i="1"/>
  <c r="B1275" i="1"/>
  <c r="C1275" i="1"/>
  <c r="E1275" i="1"/>
  <c r="G1275" i="1"/>
  <c r="K1275" i="1"/>
  <c r="A1276" i="1"/>
  <c r="B1276" i="1"/>
  <c r="C1276" i="1"/>
  <c r="E1276" i="1"/>
  <c r="G1276" i="1"/>
  <c r="K1276" i="1"/>
  <c r="A1277" i="1"/>
  <c r="B1277" i="1"/>
  <c r="C1277" i="1"/>
  <c r="E1277" i="1"/>
  <c r="G1277" i="1"/>
  <c r="K1277" i="1"/>
  <c r="A1278" i="1"/>
  <c r="B1278" i="1"/>
  <c r="C1278" i="1"/>
  <c r="E1278" i="1"/>
  <c r="G1278" i="1"/>
  <c r="K1278" i="1"/>
  <c r="A1279" i="1"/>
  <c r="B1279" i="1"/>
  <c r="C1279" i="1"/>
  <c r="E1279" i="1"/>
  <c r="G1279" i="1"/>
  <c r="K1279" i="1"/>
  <c r="A1280" i="1"/>
  <c r="B1280" i="1"/>
  <c r="C1280" i="1"/>
  <c r="E1280" i="1"/>
  <c r="G1280" i="1"/>
  <c r="K1280" i="1"/>
  <c r="A1281" i="1"/>
  <c r="B1281" i="1"/>
  <c r="C1281" i="1"/>
  <c r="E1281" i="1"/>
  <c r="G1281" i="1"/>
  <c r="K1281" i="1"/>
  <c r="A1282" i="1"/>
  <c r="B1282" i="1"/>
  <c r="C1282" i="1"/>
  <c r="E1282" i="1"/>
  <c r="G1282" i="1"/>
  <c r="K1282" i="1"/>
  <c r="A1283" i="1"/>
  <c r="B1283" i="1"/>
  <c r="C1283" i="1"/>
  <c r="E1283" i="1"/>
  <c r="G1283" i="1"/>
  <c r="K1283" i="1"/>
  <c r="A1284" i="1"/>
  <c r="B1284" i="1"/>
  <c r="C1284" i="1"/>
  <c r="E1284" i="1"/>
  <c r="G1284" i="1"/>
  <c r="K1284" i="1"/>
  <c r="A1285" i="1"/>
  <c r="B1285" i="1"/>
  <c r="C1285" i="1"/>
  <c r="E1285" i="1"/>
  <c r="G1285" i="1"/>
  <c r="K1285" i="1"/>
  <c r="A1286" i="1"/>
  <c r="B1286" i="1"/>
  <c r="C1286" i="1"/>
  <c r="E1286" i="1"/>
  <c r="G1286" i="1"/>
  <c r="K1286" i="1"/>
  <c r="A1287" i="1"/>
  <c r="B1287" i="1"/>
  <c r="C1287" i="1"/>
  <c r="E1287" i="1"/>
  <c r="G1287" i="1"/>
  <c r="K1287" i="1"/>
  <c r="A1288" i="1"/>
  <c r="B1288" i="1"/>
  <c r="C1288" i="1"/>
  <c r="E1288" i="1"/>
  <c r="G1288" i="1"/>
  <c r="K1288" i="1"/>
  <c r="A1289" i="1"/>
  <c r="B1289" i="1"/>
  <c r="C1289" i="1"/>
  <c r="E1289" i="1"/>
  <c r="G1289" i="1"/>
  <c r="K1289" i="1"/>
  <c r="A1290" i="1"/>
  <c r="B1290" i="1"/>
  <c r="C1290" i="1"/>
  <c r="E1290" i="1"/>
  <c r="G1290" i="1"/>
  <c r="K1290" i="1"/>
  <c r="A1291" i="1"/>
  <c r="B1291" i="1"/>
  <c r="C1291" i="1"/>
  <c r="E1291" i="1"/>
  <c r="G1291" i="1"/>
  <c r="K1291" i="1"/>
  <c r="A1292" i="1"/>
  <c r="B1292" i="1"/>
  <c r="C1292" i="1"/>
  <c r="E1292" i="1"/>
  <c r="G1292" i="1"/>
  <c r="K1292" i="1"/>
  <c r="A1293" i="1"/>
  <c r="B1293" i="1"/>
  <c r="C1293" i="1"/>
  <c r="E1293" i="1"/>
  <c r="G1293" i="1"/>
  <c r="K1293" i="1"/>
  <c r="A1294" i="1"/>
  <c r="B1294" i="1"/>
  <c r="C1294" i="1"/>
  <c r="E1294" i="1"/>
  <c r="G1294" i="1"/>
  <c r="K1294" i="1"/>
  <c r="A1295" i="1"/>
  <c r="B1295" i="1"/>
  <c r="C1295" i="1"/>
  <c r="E1295" i="1"/>
  <c r="G1295" i="1"/>
  <c r="K1295" i="1"/>
  <c r="A1296" i="1"/>
  <c r="B1296" i="1"/>
  <c r="C1296" i="1"/>
  <c r="E1296" i="1"/>
  <c r="G1296" i="1"/>
  <c r="K1296" i="1"/>
  <c r="A1297" i="1"/>
  <c r="B1297" i="1"/>
  <c r="C1297" i="1"/>
  <c r="E1297" i="1"/>
  <c r="G1297" i="1"/>
  <c r="K1297" i="1"/>
  <c r="A1298" i="1"/>
  <c r="B1298" i="1"/>
  <c r="C1298" i="1"/>
  <c r="E1298" i="1"/>
  <c r="G1298" i="1"/>
  <c r="K1298" i="1"/>
  <c r="A1299" i="1"/>
  <c r="B1299" i="1"/>
  <c r="C1299" i="1"/>
  <c r="E1299" i="1"/>
  <c r="G1299" i="1"/>
  <c r="K1299" i="1"/>
  <c r="A1300" i="1"/>
  <c r="B1300" i="1"/>
  <c r="C1300" i="1"/>
  <c r="E1300" i="1"/>
  <c r="G1300" i="1"/>
  <c r="K1300" i="1"/>
  <c r="A1301" i="1"/>
  <c r="B1301" i="1"/>
  <c r="C1301" i="1"/>
  <c r="E1301" i="1"/>
  <c r="G1301" i="1"/>
  <c r="K1301" i="1"/>
  <c r="A1302" i="1"/>
  <c r="B1302" i="1"/>
  <c r="C1302" i="1"/>
  <c r="E1302" i="1"/>
  <c r="G1302" i="1"/>
  <c r="K1302" i="1"/>
  <c r="A1303" i="1"/>
  <c r="B1303" i="1"/>
  <c r="C1303" i="1"/>
  <c r="E1303" i="1"/>
  <c r="G1303" i="1"/>
  <c r="K1303" i="1"/>
  <c r="A1304" i="1"/>
  <c r="B1304" i="1"/>
  <c r="C1304" i="1"/>
  <c r="E1304" i="1"/>
  <c r="G1304" i="1"/>
  <c r="K1304" i="1"/>
  <c r="A1305" i="1"/>
  <c r="B1305" i="1"/>
  <c r="C1305" i="1"/>
  <c r="E1305" i="1"/>
  <c r="G1305" i="1"/>
  <c r="K1305" i="1"/>
  <c r="A1306" i="1"/>
  <c r="B1306" i="1"/>
  <c r="C1306" i="1"/>
  <c r="E1306" i="1"/>
  <c r="G1306" i="1"/>
  <c r="K1306" i="1"/>
  <c r="A1307" i="1"/>
  <c r="B1307" i="1"/>
  <c r="C1307" i="1"/>
  <c r="E1307" i="1"/>
  <c r="G1307" i="1"/>
  <c r="K1307" i="1"/>
  <c r="A1308" i="1"/>
  <c r="B1308" i="1"/>
  <c r="C1308" i="1"/>
  <c r="E1308" i="1"/>
  <c r="G1308" i="1"/>
  <c r="K1308" i="1"/>
  <c r="A1309" i="1"/>
  <c r="B1309" i="1"/>
  <c r="C1309" i="1"/>
  <c r="E1309" i="1"/>
  <c r="G1309" i="1"/>
  <c r="K1309" i="1"/>
  <c r="A1310" i="1"/>
  <c r="B1310" i="1"/>
  <c r="C1310" i="1"/>
  <c r="E1310" i="1"/>
  <c r="G1310" i="1"/>
  <c r="K1310" i="1"/>
  <c r="A1311" i="1"/>
  <c r="B1311" i="1"/>
  <c r="C1311" i="1"/>
  <c r="E1311" i="1"/>
  <c r="G1311" i="1"/>
  <c r="K1311" i="1"/>
  <c r="A1312" i="1"/>
  <c r="B1312" i="1"/>
  <c r="C1312" i="1"/>
  <c r="E1312" i="1"/>
  <c r="G1312" i="1"/>
  <c r="K1312" i="1"/>
  <c r="A1313" i="1"/>
  <c r="B1313" i="1"/>
  <c r="C1313" i="1"/>
  <c r="E1313" i="1"/>
  <c r="G1313" i="1"/>
  <c r="K1313" i="1"/>
  <c r="A1314" i="1"/>
  <c r="B1314" i="1"/>
  <c r="C1314" i="1"/>
  <c r="E1314" i="1"/>
  <c r="G1314" i="1"/>
  <c r="K1314" i="1"/>
  <c r="A1315" i="1"/>
  <c r="B1315" i="1"/>
  <c r="C1315" i="1"/>
  <c r="E1315" i="1"/>
  <c r="G1315" i="1"/>
  <c r="K1315" i="1"/>
  <c r="A1316" i="1"/>
  <c r="B1316" i="1"/>
  <c r="C1316" i="1"/>
  <c r="E1316" i="1"/>
  <c r="G1316" i="1"/>
  <c r="K1316" i="1"/>
  <c r="A1317" i="1"/>
  <c r="B1317" i="1"/>
  <c r="C1317" i="1"/>
  <c r="E1317" i="1"/>
  <c r="G1317" i="1"/>
  <c r="K1317" i="1"/>
  <c r="A1318" i="1"/>
  <c r="B1318" i="1"/>
  <c r="C1318" i="1"/>
  <c r="E1318" i="1"/>
  <c r="G1318" i="1"/>
  <c r="K1318" i="1"/>
  <c r="A1319" i="1"/>
  <c r="B1319" i="1"/>
  <c r="C1319" i="1"/>
  <c r="E1319" i="1"/>
  <c r="G1319" i="1"/>
  <c r="K1319" i="1"/>
  <c r="A1320" i="1"/>
  <c r="B1320" i="1"/>
  <c r="C1320" i="1"/>
  <c r="E1320" i="1"/>
  <c r="G1320" i="1"/>
  <c r="K1320" i="1"/>
  <c r="A1321" i="1"/>
  <c r="B1321" i="1"/>
  <c r="C1321" i="1"/>
  <c r="E1321" i="1"/>
  <c r="G1321" i="1"/>
  <c r="K1321" i="1"/>
  <c r="A1322" i="1"/>
  <c r="B1322" i="1"/>
  <c r="C1322" i="1"/>
  <c r="E1322" i="1"/>
  <c r="G1322" i="1"/>
  <c r="K1322" i="1"/>
  <c r="A1323" i="1"/>
  <c r="B1323" i="1"/>
  <c r="C1323" i="1"/>
  <c r="E1323" i="1"/>
  <c r="G1323" i="1"/>
  <c r="K1323" i="1"/>
  <c r="A1324" i="1"/>
  <c r="B1324" i="1"/>
  <c r="C1324" i="1"/>
  <c r="E1324" i="1"/>
  <c r="G1324" i="1"/>
  <c r="K1324" i="1"/>
  <c r="A1325" i="1"/>
  <c r="B1325" i="1"/>
  <c r="C1325" i="1"/>
  <c r="E1325" i="1"/>
  <c r="G1325" i="1"/>
  <c r="K1325" i="1"/>
  <c r="A1326" i="1"/>
  <c r="B1326" i="1"/>
  <c r="C1326" i="1"/>
  <c r="E1326" i="1"/>
  <c r="G1326" i="1"/>
  <c r="K1326" i="1"/>
  <c r="A1327" i="1"/>
  <c r="B1327" i="1"/>
  <c r="C1327" i="1"/>
  <c r="E1327" i="1"/>
  <c r="G1327" i="1"/>
  <c r="K1327" i="1"/>
  <c r="A1328" i="1"/>
  <c r="B1328" i="1"/>
  <c r="C1328" i="1"/>
  <c r="E1328" i="1"/>
  <c r="G1328" i="1"/>
  <c r="K1328" i="1"/>
  <c r="A1329" i="1"/>
  <c r="B1329" i="1"/>
  <c r="C1329" i="1"/>
  <c r="E1329" i="1"/>
  <c r="G1329" i="1"/>
  <c r="K1329" i="1"/>
  <c r="A1330" i="1"/>
  <c r="B1330" i="1"/>
  <c r="C1330" i="1"/>
  <c r="E1330" i="1"/>
  <c r="G1330" i="1"/>
  <c r="K1330" i="1"/>
  <c r="A1331" i="1"/>
  <c r="B1331" i="1"/>
  <c r="C1331" i="1"/>
  <c r="E1331" i="1"/>
  <c r="G1331" i="1"/>
  <c r="K1331" i="1"/>
  <c r="A1332" i="1"/>
  <c r="B1332" i="1"/>
  <c r="C1332" i="1"/>
  <c r="E1332" i="1"/>
  <c r="G1332" i="1"/>
  <c r="K1332" i="1"/>
  <c r="A1333" i="1"/>
  <c r="B1333" i="1"/>
  <c r="C1333" i="1"/>
  <c r="E1333" i="1"/>
  <c r="G1333" i="1"/>
  <c r="K1333" i="1"/>
  <c r="A1334" i="1"/>
  <c r="B1334" i="1"/>
  <c r="C1334" i="1"/>
  <c r="E1334" i="1"/>
  <c r="G1334" i="1"/>
  <c r="K1334" i="1"/>
  <c r="A1335" i="1"/>
  <c r="B1335" i="1"/>
  <c r="C1335" i="1"/>
  <c r="E1335" i="1"/>
  <c r="G1335" i="1"/>
  <c r="K1335" i="1"/>
  <c r="A1336" i="1"/>
  <c r="B1336" i="1"/>
  <c r="C1336" i="1"/>
  <c r="E1336" i="1"/>
  <c r="G1336" i="1"/>
  <c r="K1336" i="1"/>
  <c r="A1337" i="1"/>
  <c r="B1337" i="1"/>
  <c r="C1337" i="1"/>
  <c r="E1337" i="1"/>
  <c r="G1337" i="1"/>
  <c r="K1337" i="1"/>
  <c r="A1338" i="1"/>
  <c r="B1338" i="1"/>
  <c r="C1338" i="1"/>
  <c r="E1338" i="1"/>
  <c r="G1338" i="1"/>
  <c r="K1338" i="1"/>
  <c r="A1339" i="1"/>
  <c r="B1339" i="1"/>
  <c r="C1339" i="1"/>
  <c r="E1339" i="1"/>
  <c r="G1339" i="1"/>
  <c r="K1339" i="1"/>
  <c r="A1340" i="1"/>
  <c r="B1340" i="1"/>
  <c r="C1340" i="1"/>
  <c r="E1340" i="1"/>
  <c r="G1340" i="1"/>
  <c r="K1340" i="1"/>
  <c r="A1341" i="1"/>
  <c r="B1341" i="1"/>
  <c r="C1341" i="1"/>
  <c r="E1341" i="1"/>
  <c r="G1341" i="1"/>
  <c r="K1341" i="1"/>
  <c r="A1342" i="1"/>
  <c r="B1342" i="1"/>
  <c r="C1342" i="1"/>
  <c r="E1342" i="1"/>
  <c r="G1342" i="1"/>
  <c r="K1342" i="1"/>
  <c r="A1343" i="1"/>
  <c r="B1343" i="1"/>
  <c r="C1343" i="1"/>
  <c r="E1343" i="1"/>
  <c r="G1343" i="1"/>
  <c r="K1343" i="1"/>
  <c r="A1344" i="1"/>
  <c r="B1344" i="1"/>
  <c r="C1344" i="1"/>
  <c r="E1344" i="1"/>
  <c r="G1344" i="1"/>
  <c r="K1344" i="1"/>
  <c r="A1345" i="1"/>
  <c r="B1345" i="1"/>
  <c r="C1345" i="1"/>
  <c r="E1345" i="1"/>
  <c r="G1345" i="1"/>
  <c r="K1345" i="1"/>
  <c r="A1346" i="1"/>
  <c r="B1346" i="1"/>
  <c r="C1346" i="1"/>
  <c r="E1346" i="1"/>
  <c r="G1346" i="1"/>
  <c r="K1346" i="1"/>
  <c r="A1347" i="1"/>
  <c r="B1347" i="1"/>
  <c r="C1347" i="1"/>
  <c r="E1347" i="1"/>
  <c r="G1347" i="1"/>
  <c r="K1347" i="1"/>
  <c r="A1348" i="1"/>
  <c r="B1348" i="1"/>
  <c r="C1348" i="1"/>
  <c r="E1348" i="1"/>
  <c r="G1348" i="1"/>
  <c r="K1348" i="1"/>
  <c r="A1349" i="1"/>
  <c r="B1349" i="1"/>
  <c r="C1349" i="1"/>
  <c r="E1349" i="1"/>
  <c r="G1349" i="1"/>
  <c r="K1349" i="1"/>
  <c r="A1350" i="1"/>
  <c r="B1350" i="1"/>
  <c r="C1350" i="1"/>
  <c r="E1350" i="1"/>
  <c r="G1350" i="1"/>
  <c r="K1350" i="1"/>
  <c r="A1351" i="1"/>
  <c r="B1351" i="1"/>
  <c r="C1351" i="1"/>
  <c r="E1351" i="1"/>
  <c r="G1351" i="1"/>
  <c r="K1351" i="1"/>
  <c r="A1352" i="1"/>
  <c r="B1352" i="1"/>
  <c r="C1352" i="1"/>
  <c r="E1352" i="1"/>
  <c r="G1352" i="1"/>
  <c r="K1352" i="1"/>
  <c r="A1353" i="1"/>
  <c r="B1353" i="1"/>
  <c r="C1353" i="1"/>
  <c r="E1353" i="1"/>
  <c r="G1353" i="1"/>
  <c r="K1353" i="1"/>
  <c r="A1354" i="1"/>
  <c r="B1354" i="1"/>
  <c r="C1354" i="1"/>
  <c r="E1354" i="1"/>
  <c r="G1354" i="1"/>
  <c r="K1354" i="1"/>
  <c r="A1355" i="1"/>
  <c r="B1355" i="1"/>
  <c r="C1355" i="1"/>
  <c r="E1355" i="1"/>
  <c r="G1355" i="1"/>
  <c r="K1355" i="1"/>
  <c r="A1356" i="1"/>
  <c r="B1356" i="1"/>
  <c r="C1356" i="1"/>
  <c r="E1356" i="1"/>
  <c r="G1356" i="1"/>
  <c r="K1356" i="1"/>
  <c r="A1357" i="1"/>
  <c r="B1357" i="1"/>
  <c r="C1357" i="1"/>
  <c r="E1357" i="1"/>
  <c r="G1357" i="1"/>
  <c r="K1357" i="1"/>
  <c r="A1358" i="1"/>
  <c r="B1358" i="1"/>
  <c r="C1358" i="1"/>
  <c r="E1358" i="1"/>
  <c r="G1358" i="1"/>
  <c r="K1358" i="1"/>
  <c r="A1359" i="1"/>
  <c r="B1359" i="1"/>
  <c r="C1359" i="1"/>
  <c r="E1359" i="1"/>
  <c r="G1359" i="1"/>
  <c r="K1359" i="1"/>
  <c r="A1360" i="1"/>
  <c r="B1360" i="1"/>
  <c r="C1360" i="1"/>
  <c r="E1360" i="1"/>
  <c r="G1360" i="1"/>
  <c r="K1360" i="1"/>
  <c r="A1361" i="1"/>
  <c r="B1361" i="1"/>
  <c r="C1361" i="1"/>
  <c r="E1361" i="1"/>
  <c r="G1361" i="1"/>
  <c r="K1361" i="1"/>
  <c r="A1362" i="1"/>
  <c r="B1362" i="1"/>
  <c r="C1362" i="1"/>
  <c r="E1362" i="1"/>
  <c r="G1362" i="1"/>
  <c r="K1362" i="1"/>
  <c r="A1363" i="1"/>
  <c r="B1363" i="1"/>
  <c r="C1363" i="1"/>
  <c r="E1363" i="1"/>
  <c r="G1363" i="1"/>
  <c r="K1363" i="1"/>
  <c r="A1364" i="1"/>
  <c r="B1364" i="1"/>
  <c r="C1364" i="1"/>
  <c r="E1364" i="1"/>
  <c r="G1364" i="1"/>
  <c r="K1364" i="1"/>
  <c r="A1365" i="1"/>
  <c r="B1365" i="1"/>
  <c r="C1365" i="1"/>
  <c r="E1365" i="1"/>
  <c r="G1365" i="1"/>
  <c r="K1365" i="1"/>
  <c r="A1366" i="1"/>
  <c r="B1366" i="1"/>
  <c r="C1366" i="1"/>
  <c r="E1366" i="1"/>
  <c r="G1366" i="1"/>
  <c r="K1366" i="1"/>
  <c r="A1367" i="1"/>
  <c r="B1367" i="1"/>
  <c r="C1367" i="1"/>
  <c r="E1367" i="1"/>
  <c r="G1367" i="1"/>
  <c r="K1367" i="1"/>
  <c r="A1368" i="1"/>
  <c r="B1368" i="1"/>
  <c r="C1368" i="1"/>
  <c r="E1368" i="1"/>
  <c r="G1368" i="1"/>
  <c r="K1368" i="1"/>
  <c r="A1369" i="1"/>
  <c r="B1369" i="1"/>
  <c r="C1369" i="1"/>
  <c r="E1369" i="1"/>
  <c r="G1369" i="1"/>
  <c r="K1369" i="1"/>
  <c r="A1370" i="1"/>
  <c r="B1370" i="1"/>
  <c r="C1370" i="1"/>
  <c r="E1370" i="1"/>
  <c r="G1370" i="1"/>
  <c r="K1370" i="1"/>
  <c r="A1371" i="1"/>
  <c r="B1371" i="1"/>
  <c r="C1371" i="1"/>
  <c r="E1371" i="1"/>
  <c r="G1371" i="1"/>
  <c r="K1371" i="1"/>
  <c r="A1372" i="1"/>
  <c r="B1372" i="1"/>
  <c r="C1372" i="1"/>
  <c r="E1372" i="1"/>
  <c r="G1372" i="1"/>
  <c r="K1372" i="1"/>
  <c r="A1373" i="1"/>
  <c r="B1373" i="1"/>
  <c r="C1373" i="1"/>
  <c r="E1373" i="1"/>
  <c r="G1373" i="1"/>
  <c r="K1373" i="1"/>
  <c r="A1374" i="1"/>
  <c r="B1374" i="1"/>
  <c r="C1374" i="1"/>
  <c r="E1374" i="1"/>
  <c r="G1374" i="1"/>
  <c r="K1374" i="1"/>
  <c r="A1375" i="1"/>
  <c r="B1375" i="1"/>
  <c r="C1375" i="1"/>
  <c r="E1375" i="1"/>
  <c r="G1375" i="1"/>
  <c r="K1375" i="1"/>
  <c r="A1376" i="1"/>
  <c r="B1376" i="1"/>
  <c r="C1376" i="1"/>
  <c r="E1376" i="1"/>
  <c r="G1376" i="1"/>
  <c r="K1376" i="1"/>
  <c r="A1377" i="1"/>
  <c r="B1377" i="1"/>
  <c r="C1377" i="1"/>
  <c r="E1377" i="1"/>
  <c r="G1377" i="1"/>
  <c r="K1377" i="1"/>
  <c r="A1378" i="1"/>
  <c r="B1378" i="1"/>
  <c r="C1378" i="1"/>
  <c r="E1378" i="1"/>
  <c r="G1378" i="1"/>
  <c r="K1378" i="1"/>
  <c r="A1379" i="1"/>
  <c r="B1379" i="1"/>
  <c r="C1379" i="1"/>
  <c r="E1379" i="1"/>
  <c r="G1379" i="1"/>
  <c r="K1379" i="1"/>
  <c r="A1380" i="1"/>
  <c r="B1380" i="1"/>
  <c r="C1380" i="1"/>
  <c r="E1380" i="1"/>
  <c r="G1380" i="1"/>
  <c r="K1380" i="1"/>
  <c r="A1381" i="1"/>
  <c r="B1381" i="1"/>
  <c r="C1381" i="1"/>
  <c r="E1381" i="1"/>
  <c r="G1381" i="1"/>
  <c r="K1381" i="1"/>
  <c r="A1382" i="1"/>
  <c r="B1382" i="1"/>
  <c r="C1382" i="1"/>
  <c r="E1382" i="1"/>
  <c r="G1382" i="1"/>
  <c r="K1382" i="1"/>
  <c r="A1383" i="1"/>
  <c r="B1383" i="1"/>
  <c r="C1383" i="1"/>
  <c r="E1383" i="1"/>
  <c r="G1383" i="1"/>
  <c r="K1383" i="1"/>
  <c r="A1384" i="1"/>
  <c r="B1384" i="1"/>
  <c r="C1384" i="1"/>
  <c r="E1384" i="1"/>
  <c r="G1384" i="1"/>
  <c r="K1384" i="1"/>
  <c r="A1385" i="1"/>
  <c r="B1385" i="1"/>
  <c r="C1385" i="1"/>
  <c r="E1385" i="1"/>
  <c r="G1385" i="1"/>
  <c r="K1385" i="1"/>
  <c r="A1386" i="1"/>
  <c r="B1386" i="1"/>
  <c r="C1386" i="1"/>
  <c r="E1386" i="1"/>
  <c r="G1386" i="1"/>
  <c r="K1386" i="1"/>
  <c r="A1387" i="1"/>
  <c r="B1387" i="1"/>
  <c r="C1387" i="1"/>
  <c r="E1387" i="1"/>
  <c r="G1387" i="1"/>
  <c r="K1387" i="1"/>
  <c r="A1388" i="1"/>
  <c r="B1388" i="1"/>
  <c r="C1388" i="1"/>
  <c r="E1388" i="1"/>
  <c r="G1388" i="1"/>
  <c r="K1388" i="1"/>
  <c r="A1389" i="1"/>
  <c r="B1389" i="1"/>
  <c r="C1389" i="1"/>
  <c r="E1389" i="1"/>
  <c r="G1389" i="1"/>
  <c r="K1389" i="1"/>
  <c r="A1390" i="1"/>
  <c r="B1390" i="1"/>
  <c r="C1390" i="1"/>
  <c r="E1390" i="1"/>
  <c r="G1390" i="1"/>
  <c r="K1390" i="1"/>
  <c r="A1391" i="1"/>
  <c r="B1391" i="1"/>
  <c r="C1391" i="1"/>
  <c r="E1391" i="1"/>
  <c r="G1391" i="1"/>
  <c r="K1391" i="1"/>
  <c r="A1392" i="1"/>
  <c r="B1392" i="1"/>
  <c r="C1392" i="1"/>
  <c r="E1392" i="1"/>
  <c r="G1392" i="1"/>
  <c r="K1392" i="1"/>
  <c r="A1393" i="1"/>
  <c r="B1393" i="1"/>
  <c r="C1393" i="1"/>
  <c r="E1393" i="1"/>
  <c r="G1393" i="1"/>
  <c r="K1393" i="1"/>
  <c r="A1394" i="1"/>
  <c r="B1394" i="1"/>
  <c r="C1394" i="1"/>
  <c r="E1394" i="1"/>
  <c r="G1394" i="1"/>
  <c r="K1394" i="1"/>
  <c r="A1395" i="1"/>
  <c r="B1395" i="1"/>
  <c r="C1395" i="1"/>
  <c r="E1395" i="1"/>
  <c r="G1395" i="1"/>
  <c r="K1395" i="1"/>
  <c r="A1396" i="1"/>
  <c r="B1396" i="1"/>
  <c r="C1396" i="1"/>
  <c r="E1396" i="1"/>
  <c r="G1396" i="1"/>
  <c r="K1396" i="1"/>
  <c r="A1397" i="1"/>
  <c r="B1397" i="1"/>
  <c r="C1397" i="1"/>
  <c r="E1397" i="1"/>
  <c r="G1397" i="1"/>
  <c r="K1397" i="1"/>
  <c r="A1398" i="1"/>
  <c r="B1398" i="1"/>
  <c r="C1398" i="1"/>
  <c r="E1398" i="1"/>
  <c r="G1398" i="1"/>
  <c r="K1398" i="1"/>
  <c r="A1399" i="1"/>
  <c r="B1399" i="1"/>
  <c r="C1399" i="1"/>
  <c r="E1399" i="1"/>
  <c r="G1399" i="1"/>
  <c r="K1399" i="1"/>
  <c r="A1400" i="1"/>
  <c r="B1400" i="1"/>
  <c r="C1400" i="1"/>
  <c r="E1400" i="1"/>
  <c r="G1400" i="1"/>
  <c r="K1400" i="1"/>
  <c r="A1401" i="1"/>
  <c r="B1401" i="1"/>
  <c r="C1401" i="1"/>
  <c r="E1401" i="1"/>
  <c r="G1401" i="1"/>
  <c r="K1401" i="1"/>
  <c r="A1402" i="1"/>
  <c r="B1402" i="1"/>
  <c r="C1402" i="1"/>
  <c r="E1402" i="1"/>
  <c r="G1402" i="1"/>
  <c r="K1402" i="1"/>
  <c r="A1403" i="1"/>
  <c r="B1403" i="1"/>
  <c r="C1403" i="1"/>
  <c r="E1403" i="1"/>
  <c r="G1403" i="1"/>
  <c r="K1403" i="1"/>
  <c r="A1404" i="1"/>
  <c r="B1404" i="1"/>
  <c r="C1404" i="1"/>
  <c r="E1404" i="1"/>
  <c r="G1404" i="1"/>
  <c r="K1404" i="1"/>
  <c r="A1405" i="1"/>
  <c r="B1405" i="1"/>
  <c r="C1405" i="1"/>
  <c r="E1405" i="1"/>
  <c r="G1405" i="1"/>
  <c r="K1405" i="1"/>
  <c r="A1406" i="1"/>
  <c r="B1406" i="1"/>
  <c r="C1406" i="1"/>
  <c r="E1406" i="1"/>
  <c r="G1406" i="1"/>
  <c r="K1406" i="1"/>
  <c r="A1407" i="1"/>
  <c r="B1407" i="1"/>
  <c r="C1407" i="1"/>
  <c r="E1407" i="1"/>
  <c r="G1407" i="1"/>
  <c r="K1407" i="1"/>
  <c r="A1408" i="1"/>
  <c r="B1408" i="1"/>
  <c r="C1408" i="1"/>
  <c r="E1408" i="1"/>
  <c r="G1408" i="1"/>
  <c r="K1408" i="1"/>
  <c r="A1409" i="1"/>
  <c r="B1409" i="1"/>
  <c r="C1409" i="1"/>
  <c r="E1409" i="1"/>
  <c r="G1409" i="1"/>
  <c r="K1409" i="1"/>
  <c r="A1410" i="1"/>
  <c r="B1410" i="1"/>
  <c r="C1410" i="1"/>
  <c r="E1410" i="1"/>
  <c r="G1410" i="1"/>
  <c r="K1410" i="1"/>
  <c r="A1411" i="1"/>
  <c r="B1411" i="1"/>
  <c r="C1411" i="1"/>
  <c r="E1411" i="1"/>
  <c r="G1411" i="1"/>
  <c r="K1411" i="1"/>
  <c r="A1412" i="1"/>
  <c r="B1412" i="1"/>
  <c r="C1412" i="1"/>
  <c r="E1412" i="1"/>
  <c r="G1412" i="1"/>
  <c r="K1412" i="1"/>
  <c r="A1413" i="1"/>
  <c r="B1413" i="1"/>
  <c r="C1413" i="1"/>
  <c r="E1413" i="1"/>
  <c r="G1413" i="1"/>
  <c r="K1413" i="1"/>
  <c r="A1414" i="1"/>
  <c r="B1414" i="1"/>
  <c r="C1414" i="1"/>
  <c r="E1414" i="1"/>
  <c r="G1414" i="1"/>
  <c r="K1414" i="1"/>
  <c r="A1415" i="1"/>
  <c r="B1415" i="1"/>
  <c r="C1415" i="1"/>
  <c r="E1415" i="1"/>
  <c r="G1415" i="1"/>
  <c r="K1415" i="1"/>
  <c r="A1416" i="1"/>
  <c r="B1416" i="1"/>
  <c r="C1416" i="1"/>
  <c r="E1416" i="1"/>
  <c r="G1416" i="1"/>
  <c r="K1416" i="1"/>
  <c r="A1417" i="1"/>
  <c r="B1417" i="1"/>
  <c r="C1417" i="1"/>
  <c r="E1417" i="1"/>
  <c r="G1417" i="1"/>
  <c r="K1417" i="1"/>
  <c r="A1418" i="1"/>
  <c r="B1418" i="1"/>
  <c r="C1418" i="1"/>
  <c r="E1418" i="1"/>
  <c r="G1418" i="1"/>
  <c r="K1418" i="1"/>
  <c r="A1419" i="1"/>
  <c r="B1419" i="1"/>
  <c r="C1419" i="1"/>
  <c r="E1419" i="1"/>
  <c r="G1419" i="1"/>
  <c r="K1419" i="1"/>
  <c r="A1420" i="1"/>
  <c r="B1420" i="1"/>
  <c r="C1420" i="1"/>
  <c r="E1420" i="1"/>
  <c r="G1420" i="1"/>
  <c r="K1420" i="1"/>
  <c r="A1421" i="1"/>
  <c r="B1421" i="1"/>
  <c r="C1421" i="1"/>
  <c r="E1421" i="1"/>
  <c r="G1421" i="1"/>
  <c r="K1421" i="1"/>
  <c r="A1422" i="1"/>
  <c r="B1422" i="1"/>
  <c r="C1422" i="1"/>
  <c r="E1422" i="1"/>
  <c r="G1422" i="1"/>
  <c r="K1422" i="1"/>
  <c r="A1423" i="1"/>
  <c r="B1423" i="1"/>
  <c r="C1423" i="1"/>
  <c r="E1423" i="1"/>
  <c r="G1423" i="1"/>
  <c r="K1423" i="1"/>
  <c r="A1424" i="1"/>
  <c r="B1424" i="1"/>
  <c r="C1424" i="1"/>
  <c r="E1424" i="1"/>
  <c r="G1424" i="1"/>
  <c r="K1424" i="1"/>
  <c r="A1425" i="1"/>
  <c r="B1425" i="1"/>
  <c r="C1425" i="1"/>
  <c r="E1425" i="1"/>
  <c r="G1425" i="1"/>
  <c r="K1425" i="1"/>
  <c r="A1426" i="1"/>
  <c r="B1426" i="1"/>
  <c r="C1426" i="1"/>
  <c r="E1426" i="1"/>
  <c r="G1426" i="1"/>
  <c r="K1426" i="1"/>
  <c r="A1427" i="1"/>
  <c r="B1427" i="1"/>
  <c r="C1427" i="1"/>
  <c r="E1427" i="1"/>
  <c r="G1427" i="1"/>
  <c r="K1427" i="1"/>
  <c r="A1428" i="1"/>
  <c r="B1428" i="1"/>
  <c r="C1428" i="1"/>
  <c r="E1428" i="1"/>
  <c r="G1428" i="1"/>
  <c r="K1428" i="1"/>
  <c r="A1429" i="1"/>
  <c r="B1429" i="1"/>
  <c r="C1429" i="1"/>
  <c r="E1429" i="1"/>
  <c r="G1429" i="1"/>
  <c r="K1429" i="1"/>
  <c r="A1430" i="1"/>
  <c r="B1430" i="1"/>
  <c r="C1430" i="1"/>
  <c r="E1430" i="1"/>
  <c r="G1430" i="1"/>
  <c r="K1430" i="1"/>
  <c r="A1431" i="1"/>
  <c r="B1431" i="1"/>
  <c r="C1431" i="1"/>
  <c r="E1431" i="1"/>
  <c r="G1431" i="1"/>
  <c r="K1431" i="1"/>
  <c r="A1432" i="1"/>
  <c r="B1432" i="1"/>
  <c r="C1432" i="1"/>
  <c r="E1432" i="1"/>
  <c r="G1432" i="1"/>
  <c r="K1432" i="1"/>
  <c r="A1433" i="1"/>
  <c r="B1433" i="1"/>
  <c r="C1433" i="1"/>
  <c r="E1433" i="1"/>
  <c r="G1433" i="1"/>
  <c r="K1433" i="1"/>
  <c r="A1434" i="1"/>
  <c r="B1434" i="1"/>
  <c r="C1434" i="1"/>
  <c r="E1434" i="1"/>
  <c r="G1434" i="1"/>
  <c r="K1434" i="1"/>
  <c r="A1435" i="1"/>
  <c r="B1435" i="1"/>
  <c r="C1435" i="1"/>
  <c r="E1435" i="1"/>
  <c r="G1435" i="1"/>
  <c r="K1435" i="1"/>
  <c r="A1436" i="1"/>
  <c r="B1436" i="1"/>
  <c r="C1436" i="1"/>
  <c r="E1436" i="1"/>
  <c r="G1436" i="1"/>
  <c r="K1436" i="1"/>
  <c r="A1437" i="1"/>
  <c r="B1437" i="1"/>
  <c r="C1437" i="1"/>
  <c r="E1437" i="1"/>
  <c r="G1437" i="1"/>
  <c r="K1437" i="1"/>
  <c r="A1438" i="1"/>
  <c r="B1438" i="1"/>
  <c r="C1438" i="1"/>
  <c r="E1438" i="1"/>
  <c r="G1438" i="1"/>
  <c r="K1438" i="1"/>
  <c r="A1439" i="1"/>
  <c r="B1439" i="1"/>
  <c r="C1439" i="1"/>
  <c r="E1439" i="1"/>
  <c r="G1439" i="1"/>
  <c r="K1439" i="1"/>
  <c r="A1440" i="1"/>
  <c r="B1440" i="1"/>
  <c r="C1440" i="1"/>
  <c r="E1440" i="1"/>
  <c r="G1440" i="1"/>
  <c r="K1440" i="1"/>
  <c r="A1441" i="1"/>
  <c r="B1441" i="1"/>
  <c r="C1441" i="1"/>
  <c r="E1441" i="1"/>
  <c r="G1441" i="1"/>
  <c r="K1441" i="1"/>
  <c r="A1442" i="1"/>
  <c r="B1442" i="1"/>
  <c r="C1442" i="1"/>
  <c r="E1442" i="1"/>
  <c r="G1442" i="1"/>
  <c r="K1442" i="1"/>
  <c r="A1443" i="1"/>
  <c r="B1443" i="1"/>
  <c r="C1443" i="1"/>
  <c r="E1443" i="1"/>
  <c r="G1443" i="1"/>
  <c r="K1443" i="1"/>
  <c r="A1444" i="1"/>
  <c r="B1444" i="1"/>
  <c r="C1444" i="1"/>
  <c r="E1444" i="1"/>
  <c r="G1444" i="1"/>
  <c r="K1444" i="1"/>
  <c r="A1445" i="1"/>
  <c r="B1445" i="1"/>
  <c r="C1445" i="1"/>
  <c r="E1445" i="1"/>
  <c r="G1445" i="1"/>
  <c r="K1445" i="1"/>
  <c r="A1446" i="1"/>
  <c r="B1446" i="1"/>
  <c r="C1446" i="1"/>
  <c r="E1446" i="1"/>
  <c r="G1446" i="1"/>
  <c r="K1446" i="1"/>
  <c r="A1447" i="1"/>
  <c r="B1447" i="1"/>
  <c r="C1447" i="1"/>
  <c r="E1447" i="1"/>
  <c r="G1447" i="1"/>
  <c r="K1447" i="1"/>
  <c r="A1448" i="1"/>
  <c r="B1448" i="1"/>
  <c r="C1448" i="1"/>
  <c r="E1448" i="1"/>
  <c r="G1448" i="1"/>
  <c r="K1448" i="1"/>
  <c r="A1449" i="1"/>
  <c r="B1449" i="1"/>
  <c r="C1449" i="1"/>
  <c r="E1449" i="1"/>
  <c r="G1449" i="1"/>
  <c r="K1449" i="1"/>
  <c r="A1450" i="1"/>
  <c r="B1450" i="1"/>
  <c r="C1450" i="1"/>
  <c r="E1450" i="1"/>
  <c r="G1450" i="1"/>
  <c r="K1450" i="1"/>
  <c r="A1451" i="1"/>
  <c r="B1451" i="1"/>
  <c r="C1451" i="1"/>
  <c r="E1451" i="1"/>
  <c r="G1451" i="1"/>
  <c r="K1451" i="1"/>
  <c r="A1452" i="1"/>
  <c r="B1452" i="1"/>
  <c r="C1452" i="1"/>
  <c r="E1452" i="1"/>
  <c r="G1452" i="1"/>
  <c r="K1452" i="1"/>
  <c r="A1453" i="1"/>
  <c r="B1453" i="1"/>
  <c r="C1453" i="1"/>
  <c r="E1453" i="1"/>
  <c r="G1453" i="1"/>
  <c r="K1453" i="1"/>
  <c r="A1454" i="1"/>
  <c r="B1454" i="1"/>
  <c r="C1454" i="1"/>
  <c r="E1454" i="1"/>
  <c r="G1454" i="1"/>
  <c r="K1454" i="1"/>
  <c r="A1455" i="1"/>
  <c r="B1455" i="1"/>
  <c r="C1455" i="1"/>
  <c r="E1455" i="1"/>
  <c r="G1455" i="1"/>
  <c r="K1455" i="1"/>
  <c r="A1456" i="1"/>
  <c r="B1456" i="1"/>
  <c r="C1456" i="1"/>
  <c r="E1456" i="1"/>
  <c r="G1456" i="1"/>
  <c r="K1456" i="1"/>
  <c r="A1457" i="1"/>
  <c r="B1457" i="1"/>
  <c r="C1457" i="1"/>
  <c r="E1457" i="1"/>
  <c r="G1457" i="1"/>
  <c r="K1457" i="1"/>
  <c r="A1458" i="1"/>
  <c r="B1458" i="1"/>
  <c r="C1458" i="1"/>
  <c r="E1458" i="1"/>
  <c r="G1458" i="1"/>
  <c r="K1458" i="1"/>
  <c r="A1459" i="1"/>
  <c r="B1459" i="1"/>
  <c r="C1459" i="1"/>
  <c r="E1459" i="1"/>
  <c r="G1459" i="1"/>
  <c r="K1459" i="1"/>
  <c r="A1460" i="1"/>
  <c r="B1460" i="1"/>
  <c r="C1460" i="1"/>
  <c r="E1460" i="1"/>
  <c r="G1460" i="1"/>
  <c r="K1460" i="1"/>
  <c r="A1461" i="1"/>
  <c r="B1461" i="1"/>
  <c r="C1461" i="1"/>
  <c r="E1461" i="1"/>
  <c r="G1461" i="1"/>
  <c r="K1461" i="1"/>
  <c r="A1462" i="1"/>
  <c r="B1462" i="1"/>
  <c r="C1462" i="1"/>
  <c r="E1462" i="1"/>
  <c r="G1462" i="1"/>
  <c r="K1462" i="1"/>
  <c r="A1463" i="1"/>
  <c r="B1463" i="1"/>
  <c r="C1463" i="1"/>
  <c r="E1463" i="1"/>
  <c r="G1463" i="1"/>
  <c r="K1463" i="1"/>
  <c r="A1464" i="1"/>
  <c r="B1464" i="1"/>
  <c r="C1464" i="1"/>
  <c r="E1464" i="1"/>
  <c r="G1464" i="1"/>
  <c r="K1464" i="1"/>
  <c r="A1465" i="1"/>
  <c r="B1465" i="1"/>
  <c r="C1465" i="1"/>
  <c r="E1465" i="1"/>
  <c r="G1465" i="1"/>
  <c r="K1465" i="1"/>
  <c r="A1466" i="1"/>
  <c r="B1466" i="1"/>
  <c r="C1466" i="1"/>
  <c r="E1466" i="1"/>
  <c r="G1466" i="1"/>
  <c r="K1466" i="1"/>
  <c r="A1467" i="1"/>
  <c r="B1467" i="1"/>
  <c r="C1467" i="1"/>
  <c r="E1467" i="1"/>
  <c r="G1467" i="1"/>
  <c r="K1467" i="1"/>
  <c r="A1468" i="1"/>
  <c r="B1468" i="1"/>
  <c r="C1468" i="1"/>
  <c r="E1468" i="1"/>
  <c r="G1468" i="1"/>
  <c r="K1468" i="1"/>
  <c r="A1469" i="1"/>
  <c r="B1469" i="1"/>
  <c r="C1469" i="1"/>
  <c r="E1469" i="1"/>
  <c r="G1469" i="1"/>
  <c r="K1469" i="1"/>
  <c r="A1470" i="1"/>
  <c r="B1470" i="1"/>
  <c r="C1470" i="1"/>
  <c r="E1470" i="1"/>
  <c r="G1470" i="1"/>
  <c r="K1470" i="1"/>
  <c r="A1471" i="1"/>
  <c r="B1471" i="1"/>
  <c r="C1471" i="1"/>
  <c r="E1471" i="1"/>
  <c r="G1471" i="1"/>
  <c r="K1471" i="1"/>
  <c r="A1472" i="1"/>
  <c r="B1472" i="1"/>
  <c r="C1472" i="1"/>
  <c r="E1472" i="1"/>
  <c r="G1472" i="1"/>
  <c r="K1472" i="1"/>
  <c r="A1473" i="1"/>
  <c r="B1473" i="1"/>
  <c r="C1473" i="1"/>
  <c r="E1473" i="1"/>
  <c r="G1473" i="1"/>
  <c r="K1473" i="1"/>
  <c r="A1474" i="1"/>
  <c r="B1474" i="1"/>
  <c r="C1474" i="1"/>
  <c r="E1474" i="1"/>
  <c r="G1474" i="1"/>
  <c r="K1474" i="1"/>
  <c r="A1475" i="1"/>
  <c r="B1475" i="1"/>
  <c r="C1475" i="1"/>
  <c r="E1475" i="1"/>
  <c r="G1475" i="1"/>
  <c r="K1475" i="1"/>
  <c r="A1476" i="1"/>
  <c r="B1476" i="1"/>
  <c r="C1476" i="1"/>
  <c r="E1476" i="1"/>
  <c r="G1476" i="1"/>
  <c r="K1476" i="1"/>
  <c r="A1477" i="1"/>
  <c r="B1477" i="1"/>
  <c r="C1477" i="1"/>
  <c r="E1477" i="1"/>
  <c r="G1477" i="1"/>
  <c r="K1477" i="1"/>
  <c r="A1478" i="1"/>
  <c r="B1478" i="1"/>
  <c r="C1478" i="1"/>
  <c r="E1478" i="1"/>
  <c r="G1478" i="1"/>
  <c r="K1478" i="1"/>
  <c r="A1479" i="1"/>
  <c r="B1479" i="1"/>
  <c r="C1479" i="1"/>
  <c r="E1479" i="1"/>
  <c r="G1479" i="1"/>
  <c r="K1479" i="1"/>
  <c r="A1480" i="1"/>
  <c r="B1480" i="1"/>
  <c r="C1480" i="1"/>
  <c r="E1480" i="1"/>
  <c r="G1480" i="1"/>
  <c r="K1480" i="1"/>
  <c r="A1481" i="1"/>
  <c r="B1481" i="1"/>
  <c r="C1481" i="1"/>
  <c r="E1481" i="1"/>
  <c r="G1481" i="1"/>
  <c r="K1481" i="1"/>
  <c r="A1482" i="1"/>
  <c r="B1482" i="1"/>
  <c r="C1482" i="1"/>
  <c r="E1482" i="1"/>
  <c r="G1482" i="1"/>
  <c r="K1482" i="1"/>
  <c r="A1483" i="1"/>
  <c r="B1483" i="1"/>
  <c r="C1483" i="1"/>
  <c r="E1483" i="1"/>
  <c r="G1483" i="1"/>
  <c r="K1483" i="1"/>
  <c r="A1484" i="1"/>
  <c r="B1484" i="1"/>
  <c r="C1484" i="1"/>
  <c r="E1484" i="1"/>
  <c r="G1484" i="1"/>
  <c r="K1484" i="1"/>
  <c r="A1485" i="1"/>
  <c r="B1485" i="1"/>
  <c r="C1485" i="1"/>
  <c r="E1485" i="1"/>
  <c r="G1485" i="1"/>
  <c r="K1485" i="1"/>
  <c r="A1486" i="1"/>
  <c r="B1486" i="1"/>
  <c r="C1486" i="1"/>
  <c r="E1486" i="1"/>
  <c r="G1486" i="1"/>
  <c r="K1486" i="1"/>
  <c r="A1487" i="1"/>
  <c r="B1487" i="1"/>
  <c r="C1487" i="1"/>
  <c r="E1487" i="1"/>
  <c r="G1487" i="1"/>
  <c r="K1487" i="1"/>
  <c r="A1488" i="1"/>
  <c r="B1488" i="1"/>
  <c r="C1488" i="1"/>
  <c r="E1488" i="1"/>
  <c r="G1488" i="1"/>
  <c r="K1488" i="1"/>
  <c r="A1489" i="1"/>
  <c r="B1489" i="1"/>
  <c r="C1489" i="1"/>
  <c r="E1489" i="1"/>
  <c r="G1489" i="1"/>
  <c r="K1489" i="1"/>
  <c r="A1490" i="1"/>
  <c r="B1490" i="1"/>
  <c r="C1490" i="1"/>
  <c r="E1490" i="1"/>
  <c r="G1490" i="1"/>
  <c r="K1490" i="1"/>
  <c r="A1491" i="1"/>
  <c r="B1491" i="1"/>
  <c r="C1491" i="1"/>
  <c r="E1491" i="1"/>
  <c r="G1491" i="1"/>
  <c r="K1491" i="1"/>
  <c r="A1492" i="1"/>
  <c r="B1492" i="1"/>
  <c r="C1492" i="1"/>
  <c r="E1492" i="1"/>
  <c r="G1492" i="1"/>
  <c r="K1492" i="1"/>
  <c r="A1493" i="1"/>
  <c r="B1493" i="1"/>
  <c r="C1493" i="1"/>
  <c r="E1493" i="1"/>
  <c r="G1493" i="1"/>
  <c r="K1493" i="1"/>
  <c r="A1494" i="1"/>
  <c r="B1494" i="1"/>
  <c r="C1494" i="1"/>
  <c r="E1494" i="1"/>
  <c r="G1494" i="1"/>
  <c r="K1494" i="1"/>
  <c r="A1495" i="1"/>
  <c r="B1495" i="1"/>
  <c r="C1495" i="1"/>
  <c r="E1495" i="1"/>
  <c r="G1495" i="1"/>
  <c r="K1495" i="1"/>
  <c r="A1496" i="1"/>
  <c r="B1496" i="1"/>
  <c r="C1496" i="1"/>
  <c r="E1496" i="1"/>
  <c r="G1496" i="1"/>
  <c r="K1496" i="1"/>
  <c r="A1497" i="1"/>
  <c r="B1497" i="1"/>
  <c r="C1497" i="1"/>
  <c r="E1497" i="1"/>
  <c r="G1497" i="1"/>
  <c r="K1497" i="1"/>
  <c r="A1498" i="1"/>
  <c r="B1498" i="1"/>
  <c r="C1498" i="1"/>
  <c r="E1498" i="1"/>
  <c r="G1498" i="1"/>
  <c r="K1498" i="1"/>
  <c r="A1499" i="1"/>
  <c r="B1499" i="1"/>
  <c r="C1499" i="1"/>
  <c r="E1499" i="1"/>
  <c r="G1499" i="1"/>
  <c r="K1499" i="1"/>
  <c r="A1500" i="1"/>
  <c r="B1500" i="1"/>
  <c r="C1500" i="1"/>
  <c r="E1500" i="1"/>
  <c r="G1500" i="1"/>
  <c r="K1500" i="1"/>
  <c r="A1501" i="1"/>
  <c r="B1501" i="1"/>
  <c r="C1501" i="1"/>
  <c r="E1501" i="1"/>
  <c r="G1501" i="1"/>
  <c r="K1501" i="1"/>
  <c r="A1502" i="1"/>
  <c r="B1502" i="1"/>
  <c r="C1502" i="1"/>
  <c r="E1502" i="1"/>
  <c r="G1502" i="1"/>
  <c r="K1502" i="1"/>
  <c r="A1503" i="1"/>
  <c r="B1503" i="1"/>
  <c r="C1503" i="1"/>
  <c r="E1503" i="1"/>
  <c r="G1503" i="1"/>
  <c r="K1503" i="1"/>
  <c r="A1504" i="1"/>
  <c r="B1504" i="1"/>
  <c r="C1504" i="1"/>
  <c r="E1504" i="1"/>
  <c r="G1504" i="1"/>
  <c r="K1504" i="1"/>
  <c r="A1505" i="1"/>
  <c r="B1505" i="1"/>
  <c r="C1505" i="1"/>
  <c r="E1505" i="1"/>
  <c r="G1505" i="1"/>
  <c r="K1505" i="1"/>
  <c r="A1506" i="1"/>
  <c r="B1506" i="1"/>
  <c r="C1506" i="1"/>
  <c r="E1506" i="1"/>
  <c r="G1506" i="1"/>
  <c r="K1506" i="1"/>
  <c r="A1507" i="1"/>
  <c r="B1507" i="1"/>
  <c r="C1507" i="1"/>
  <c r="E1507" i="1"/>
  <c r="G1507" i="1"/>
  <c r="K1507" i="1"/>
  <c r="A1508" i="1"/>
  <c r="B1508" i="1"/>
  <c r="C1508" i="1"/>
  <c r="E1508" i="1"/>
  <c r="G1508" i="1"/>
  <c r="K1508" i="1"/>
  <c r="A1509" i="1"/>
  <c r="B1509" i="1"/>
  <c r="C1509" i="1"/>
  <c r="E1509" i="1"/>
  <c r="G1509" i="1"/>
  <c r="K1509" i="1"/>
  <c r="A1510" i="1"/>
  <c r="B1510" i="1"/>
  <c r="C1510" i="1"/>
  <c r="E1510" i="1"/>
  <c r="G1510" i="1"/>
  <c r="K1510" i="1"/>
  <c r="A1511" i="1"/>
  <c r="B1511" i="1"/>
  <c r="C1511" i="1"/>
  <c r="E1511" i="1"/>
  <c r="G1511" i="1"/>
  <c r="K1511" i="1"/>
  <c r="A1512" i="1"/>
  <c r="B1512" i="1"/>
  <c r="C1512" i="1"/>
  <c r="E1512" i="1"/>
  <c r="G1512" i="1"/>
  <c r="K1512" i="1"/>
  <c r="A1513" i="1"/>
  <c r="B1513" i="1"/>
  <c r="C1513" i="1"/>
  <c r="E1513" i="1"/>
  <c r="G1513" i="1"/>
  <c r="K1513" i="1"/>
  <c r="A1514" i="1"/>
  <c r="B1514" i="1"/>
  <c r="C1514" i="1"/>
  <c r="E1514" i="1"/>
  <c r="G1514" i="1"/>
  <c r="K1514" i="1"/>
  <c r="A1515" i="1"/>
  <c r="B1515" i="1"/>
  <c r="C1515" i="1"/>
  <c r="E1515" i="1"/>
  <c r="G1515" i="1"/>
  <c r="K1515" i="1"/>
  <c r="A1516" i="1"/>
  <c r="B1516" i="1"/>
  <c r="C1516" i="1"/>
  <c r="E1516" i="1"/>
  <c r="G1516" i="1"/>
  <c r="K1516" i="1"/>
  <c r="A1517" i="1"/>
  <c r="B1517" i="1"/>
  <c r="C1517" i="1"/>
  <c r="E1517" i="1"/>
  <c r="G1517" i="1"/>
  <c r="K1517" i="1"/>
  <c r="A1518" i="1"/>
  <c r="B1518" i="1"/>
  <c r="C1518" i="1"/>
  <c r="E1518" i="1"/>
  <c r="G1518" i="1"/>
  <c r="K1518" i="1"/>
  <c r="A1519" i="1"/>
  <c r="B1519" i="1"/>
  <c r="C1519" i="1"/>
  <c r="E1519" i="1"/>
  <c r="G1519" i="1"/>
  <c r="K1519" i="1"/>
  <c r="A1520" i="1"/>
  <c r="B1520" i="1"/>
  <c r="C1520" i="1"/>
  <c r="E1520" i="1"/>
  <c r="G1520" i="1"/>
  <c r="K1520" i="1"/>
  <c r="A1521" i="1"/>
  <c r="B1521" i="1"/>
  <c r="C1521" i="1"/>
  <c r="E1521" i="1"/>
  <c r="G1521" i="1"/>
  <c r="K1521" i="1"/>
  <c r="A1522" i="1"/>
  <c r="B1522" i="1"/>
  <c r="C1522" i="1"/>
  <c r="E1522" i="1"/>
  <c r="G1522" i="1"/>
  <c r="K1522" i="1"/>
  <c r="A1523" i="1"/>
  <c r="B1523" i="1"/>
  <c r="C1523" i="1"/>
  <c r="E1523" i="1"/>
  <c r="G1523" i="1"/>
  <c r="K1523" i="1"/>
  <c r="A1524" i="1"/>
  <c r="B1524" i="1"/>
  <c r="C1524" i="1"/>
  <c r="E1524" i="1"/>
  <c r="G1524" i="1"/>
  <c r="K1524" i="1"/>
  <c r="A1525" i="1"/>
  <c r="B1525" i="1"/>
  <c r="C1525" i="1"/>
  <c r="E1525" i="1"/>
  <c r="G1525" i="1"/>
  <c r="K1525" i="1"/>
  <c r="A1526" i="1"/>
  <c r="B1526" i="1"/>
  <c r="C1526" i="1"/>
  <c r="E1526" i="1"/>
  <c r="G1526" i="1"/>
  <c r="K1526" i="1"/>
  <c r="A1527" i="1"/>
  <c r="B1527" i="1"/>
  <c r="C1527" i="1"/>
  <c r="E1527" i="1"/>
  <c r="G1527" i="1"/>
  <c r="K1527" i="1"/>
  <c r="A1528" i="1"/>
  <c r="B1528" i="1"/>
  <c r="C1528" i="1"/>
  <c r="E1528" i="1"/>
  <c r="G1528" i="1"/>
  <c r="K1528" i="1"/>
  <c r="A1529" i="1"/>
  <c r="B1529" i="1"/>
  <c r="C1529" i="1"/>
  <c r="E1529" i="1"/>
  <c r="G1529" i="1"/>
  <c r="K1529" i="1"/>
  <c r="A1530" i="1"/>
  <c r="B1530" i="1"/>
  <c r="C1530" i="1"/>
  <c r="E1530" i="1"/>
  <c r="G1530" i="1"/>
  <c r="K1530" i="1"/>
  <c r="A1531" i="1"/>
  <c r="B1531" i="1"/>
  <c r="C1531" i="1"/>
  <c r="E1531" i="1"/>
  <c r="G1531" i="1"/>
  <c r="K1531" i="1"/>
  <c r="A1532" i="1"/>
  <c r="B1532" i="1"/>
  <c r="C1532" i="1"/>
  <c r="E1532" i="1"/>
  <c r="G1532" i="1"/>
  <c r="K1532" i="1"/>
  <c r="A1533" i="1"/>
  <c r="B1533" i="1"/>
  <c r="C1533" i="1"/>
  <c r="E1533" i="1"/>
  <c r="G1533" i="1"/>
  <c r="K1533" i="1"/>
  <c r="A1534" i="1"/>
  <c r="B1534" i="1"/>
  <c r="C1534" i="1"/>
  <c r="E1534" i="1"/>
  <c r="G1534" i="1"/>
  <c r="K1534" i="1"/>
  <c r="A1535" i="1"/>
  <c r="B1535" i="1"/>
  <c r="C1535" i="1"/>
  <c r="E1535" i="1"/>
  <c r="G1535" i="1"/>
  <c r="K1535" i="1"/>
  <c r="A1536" i="1"/>
  <c r="B1536" i="1"/>
  <c r="C1536" i="1"/>
  <c r="E1536" i="1"/>
  <c r="G1536" i="1"/>
  <c r="K1536" i="1"/>
  <c r="A1537" i="1"/>
  <c r="B1537" i="1"/>
  <c r="C1537" i="1"/>
  <c r="E1537" i="1"/>
  <c r="G1537" i="1"/>
  <c r="K1537" i="1"/>
  <c r="A1538" i="1"/>
  <c r="B1538" i="1"/>
  <c r="C1538" i="1"/>
  <c r="E1538" i="1"/>
  <c r="G1538" i="1"/>
  <c r="K1538" i="1"/>
  <c r="A1539" i="1"/>
  <c r="B1539" i="1"/>
  <c r="C1539" i="1"/>
  <c r="E1539" i="1"/>
  <c r="G1539" i="1"/>
  <c r="K1539" i="1"/>
  <c r="A1540" i="1"/>
  <c r="B1540" i="1"/>
  <c r="C1540" i="1"/>
  <c r="E1540" i="1"/>
  <c r="G1540" i="1"/>
  <c r="K1540" i="1"/>
  <c r="A1541" i="1"/>
  <c r="B1541" i="1"/>
  <c r="C1541" i="1"/>
  <c r="E1541" i="1"/>
  <c r="G1541" i="1"/>
  <c r="K1541" i="1"/>
  <c r="A1542" i="1"/>
  <c r="B1542" i="1"/>
  <c r="C1542" i="1"/>
  <c r="E1542" i="1"/>
  <c r="G1542" i="1"/>
  <c r="K1542" i="1"/>
  <c r="A1543" i="1"/>
  <c r="B1543" i="1"/>
  <c r="C1543" i="1"/>
  <c r="E1543" i="1"/>
  <c r="G1543" i="1"/>
  <c r="K1543" i="1"/>
  <c r="A1544" i="1"/>
  <c r="B1544" i="1"/>
  <c r="C1544" i="1"/>
  <c r="E1544" i="1"/>
  <c r="G1544" i="1"/>
  <c r="K1544" i="1"/>
  <c r="A1545" i="1"/>
  <c r="B1545" i="1"/>
  <c r="C1545" i="1"/>
  <c r="E1545" i="1"/>
  <c r="G1545" i="1"/>
  <c r="K1545" i="1"/>
  <c r="A1546" i="1"/>
  <c r="B1546" i="1"/>
  <c r="C1546" i="1"/>
  <c r="E1546" i="1"/>
  <c r="G1546" i="1"/>
  <c r="K1546" i="1"/>
  <c r="A1547" i="1"/>
  <c r="B1547" i="1"/>
  <c r="C1547" i="1"/>
  <c r="E1547" i="1"/>
  <c r="G1547" i="1"/>
  <c r="K1547" i="1"/>
  <c r="A1548" i="1"/>
  <c r="B1548" i="1"/>
  <c r="C1548" i="1"/>
  <c r="E1548" i="1"/>
  <c r="G1548" i="1"/>
  <c r="K1548" i="1"/>
  <c r="A1549" i="1"/>
  <c r="B1549" i="1"/>
  <c r="C1549" i="1"/>
  <c r="E1549" i="1"/>
  <c r="G1549" i="1"/>
  <c r="K1549" i="1"/>
  <c r="A1550" i="1"/>
  <c r="B1550" i="1"/>
  <c r="C1550" i="1"/>
  <c r="E1550" i="1"/>
  <c r="G1550" i="1"/>
  <c r="K1550" i="1"/>
  <c r="A1551" i="1"/>
  <c r="B1551" i="1"/>
  <c r="C1551" i="1"/>
  <c r="E1551" i="1"/>
  <c r="G1551" i="1"/>
  <c r="K1551" i="1"/>
  <c r="A1552" i="1"/>
  <c r="B1552" i="1"/>
  <c r="C1552" i="1"/>
  <c r="E1552" i="1"/>
  <c r="G1552" i="1"/>
  <c r="K1552" i="1"/>
  <c r="A1553" i="1"/>
  <c r="B1553" i="1"/>
  <c r="C1553" i="1"/>
  <c r="E1553" i="1"/>
  <c r="G1553" i="1"/>
  <c r="K1553" i="1"/>
  <c r="A1554" i="1"/>
  <c r="B1554" i="1"/>
  <c r="C1554" i="1"/>
  <c r="E1554" i="1"/>
  <c r="G1554" i="1"/>
  <c r="K1554" i="1"/>
  <c r="A1555" i="1"/>
  <c r="B1555" i="1"/>
  <c r="C1555" i="1"/>
  <c r="E1555" i="1"/>
  <c r="G1555" i="1"/>
  <c r="K1555" i="1"/>
  <c r="A1556" i="1"/>
  <c r="B1556" i="1"/>
  <c r="C1556" i="1"/>
  <c r="E1556" i="1"/>
  <c r="G1556" i="1"/>
  <c r="K1556" i="1"/>
  <c r="A1557" i="1"/>
  <c r="B1557" i="1"/>
  <c r="C1557" i="1"/>
  <c r="E1557" i="1"/>
  <c r="G1557" i="1"/>
  <c r="K1557" i="1"/>
  <c r="A1558" i="1"/>
  <c r="B1558" i="1"/>
  <c r="C1558" i="1"/>
  <c r="E1558" i="1"/>
  <c r="G1558" i="1"/>
  <c r="K1558" i="1"/>
  <c r="A1559" i="1"/>
  <c r="B1559" i="1"/>
  <c r="C1559" i="1"/>
  <c r="E1559" i="1"/>
  <c r="G1559" i="1"/>
  <c r="K1559" i="1"/>
  <c r="A1560" i="1"/>
  <c r="B1560" i="1"/>
  <c r="C1560" i="1"/>
  <c r="E1560" i="1"/>
  <c r="G1560" i="1"/>
  <c r="K1560" i="1"/>
  <c r="A1561" i="1"/>
  <c r="B1561" i="1"/>
  <c r="C1561" i="1"/>
  <c r="E1561" i="1"/>
  <c r="G1561" i="1"/>
  <c r="K1561" i="1"/>
  <c r="A1562" i="1"/>
  <c r="B1562" i="1"/>
  <c r="C1562" i="1"/>
  <c r="E1562" i="1"/>
  <c r="G1562" i="1"/>
  <c r="K1562" i="1"/>
  <c r="A1563" i="1"/>
  <c r="B1563" i="1"/>
  <c r="C1563" i="1"/>
  <c r="E1563" i="1"/>
  <c r="G1563" i="1"/>
  <c r="K1563" i="1"/>
  <c r="A1564" i="1"/>
  <c r="B1564" i="1"/>
  <c r="C1564" i="1"/>
  <c r="E1564" i="1"/>
  <c r="G1564" i="1"/>
  <c r="K1564" i="1"/>
  <c r="A1565" i="1"/>
  <c r="B1565" i="1"/>
  <c r="C1565" i="1"/>
  <c r="E1565" i="1"/>
  <c r="G1565" i="1"/>
  <c r="K1565" i="1"/>
  <c r="A1566" i="1"/>
  <c r="B1566" i="1"/>
  <c r="C1566" i="1"/>
  <c r="E1566" i="1"/>
  <c r="G1566" i="1"/>
  <c r="K1566" i="1"/>
  <c r="A1567" i="1"/>
  <c r="B1567" i="1"/>
  <c r="C1567" i="1"/>
  <c r="E1567" i="1"/>
  <c r="G1567" i="1"/>
  <c r="K1567" i="1"/>
  <c r="A1568" i="1"/>
  <c r="B1568" i="1"/>
  <c r="C1568" i="1"/>
  <c r="E1568" i="1"/>
  <c r="G1568" i="1"/>
  <c r="K1568" i="1"/>
  <c r="A1569" i="1"/>
  <c r="B1569" i="1"/>
  <c r="C1569" i="1"/>
  <c r="E1569" i="1"/>
  <c r="G1569" i="1"/>
  <c r="K1569" i="1"/>
  <c r="A1570" i="1"/>
  <c r="B1570" i="1"/>
  <c r="C1570" i="1"/>
  <c r="E1570" i="1"/>
  <c r="G1570" i="1"/>
  <c r="K1570" i="1"/>
  <c r="A1571" i="1"/>
  <c r="B1571" i="1"/>
  <c r="C1571" i="1"/>
  <c r="E1571" i="1"/>
  <c r="G1571" i="1"/>
  <c r="K1571" i="1"/>
  <c r="A1572" i="1"/>
  <c r="B1572" i="1"/>
  <c r="C1572" i="1"/>
  <c r="E1572" i="1"/>
  <c r="G1572" i="1"/>
  <c r="K1572" i="1"/>
  <c r="A1573" i="1"/>
  <c r="B1573" i="1"/>
  <c r="C1573" i="1"/>
  <c r="E1573" i="1"/>
  <c r="G1573" i="1"/>
  <c r="K1573" i="1"/>
  <c r="A1574" i="1"/>
  <c r="B1574" i="1"/>
  <c r="C1574" i="1"/>
  <c r="E1574" i="1"/>
  <c r="G1574" i="1"/>
  <c r="K1574" i="1"/>
  <c r="A1575" i="1"/>
  <c r="B1575" i="1"/>
  <c r="C1575" i="1"/>
  <c r="E1575" i="1"/>
  <c r="G1575" i="1"/>
  <c r="K1575" i="1"/>
  <c r="A1576" i="1"/>
  <c r="B1576" i="1"/>
  <c r="C1576" i="1"/>
  <c r="E1576" i="1"/>
  <c r="G1576" i="1"/>
  <c r="K1576" i="1"/>
  <c r="A1577" i="1"/>
  <c r="B1577" i="1"/>
  <c r="C1577" i="1"/>
  <c r="E1577" i="1"/>
  <c r="G1577" i="1"/>
  <c r="K1577" i="1"/>
  <c r="A1578" i="1"/>
  <c r="B1578" i="1"/>
  <c r="C1578" i="1"/>
  <c r="E1578" i="1"/>
  <c r="G1578" i="1"/>
  <c r="K1578" i="1"/>
  <c r="A1579" i="1"/>
  <c r="B1579" i="1"/>
  <c r="C1579" i="1"/>
  <c r="E1579" i="1"/>
  <c r="G1579" i="1"/>
  <c r="K1579" i="1"/>
  <c r="A1580" i="1"/>
  <c r="B1580" i="1"/>
  <c r="C1580" i="1"/>
  <c r="E1580" i="1"/>
  <c r="G1580" i="1"/>
  <c r="K1580" i="1"/>
  <c r="A1581" i="1"/>
  <c r="B1581" i="1"/>
  <c r="C1581" i="1"/>
  <c r="E1581" i="1"/>
  <c r="G1581" i="1"/>
  <c r="K1581" i="1"/>
  <c r="A1582" i="1"/>
  <c r="B1582" i="1"/>
  <c r="C1582" i="1"/>
  <c r="E1582" i="1"/>
  <c r="G1582" i="1"/>
  <c r="K1582" i="1"/>
  <c r="A1583" i="1"/>
  <c r="B1583" i="1"/>
  <c r="C1583" i="1"/>
  <c r="E1583" i="1"/>
  <c r="G1583" i="1"/>
  <c r="K1583" i="1"/>
  <c r="A1584" i="1"/>
  <c r="B1584" i="1"/>
  <c r="C1584" i="1"/>
  <c r="E1584" i="1"/>
  <c r="G1584" i="1"/>
  <c r="K1584" i="1"/>
  <c r="A1585" i="1"/>
  <c r="B1585" i="1"/>
  <c r="C1585" i="1"/>
  <c r="E1585" i="1"/>
  <c r="G1585" i="1"/>
  <c r="K1585" i="1"/>
  <c r="A1586" i="1"/>
  <c r="B1586" i="1"/>
  <c r="C1586" i="1"/>
  <c r="E1586" i="1"/>
  <c r="G1586" i="1"/>
  <c r="K1586" i="1"/>
  <c r="A1587" i="1"/>
  <c r="B1587" i="1"/>
  <c r="C1587" i="1"/>
  <c r="E1587" i="1"/>
  <c r="G1587" i="1"/>
  <c r="K1587" i="1"/>
  <c r="A1588" i="1"/>
  <c r="B1588" i="1"/>
  <c r="C1588" i="1"/>
  <c r="E1588" i="1"/>
  <c r="G1588" i="1"/>
  <c r="K1588" i="1"/>
  <c r="A1589" i="1"/>
  <c r="B1589" i="1"/>
  <c r="C1589" i="1"/>
  <c r="E1589" i="1"/>
  <c r="G1589" i="1"/>
  <c r="K1589" i="1"/>
  <c r="A1590" i="1"/>
  <c r="B1590" i="1"/>
  <c r="C1590" i="1"/>
  <c r="E1590" i="1"/>
  <c r="G1590" i="1"/>
  <c r="K1590" i="1"/>
  <c r="A1591" i="1"/>
  <c r="B1591" i="1"/>
  <c r="C1591" i="1"/>
  <c r="E1591" i="1"/>
  <c r="G1591" i="1"/>
  <c r="K1591" i="1"/>
  <c r="A1592" i="1"/>
  <c r="B1592" i="1"/>
  <c r="C1592" i="1"/>
  <c r="E1592" i="1"/>
  <c r="G1592" i="1"/>
  <c r="K1592" i="1"/>
  <c r="A1593" i="1"/>
  <c r="B1593" i="1"/>
  <c r="C1593" i="1"/>
  <c r="E1593" i="1"/>
  <c r="G1593" i="1"/>
  <c r="K1593" i="1"/>
  <c r="A1594" i="1"/>
  <c r="B1594" i="1"/>
  <c r="C1594" i="1"/>
  <c r="E1594" i="1"/>
  <c r="G1594" i="1"/>
  <c r="K1594" i="1"/>
  <c r="A1595" i="1"/>
  <c r="B1595" i="1"/>
  <c r="C1595" i="1"/>
  <c r="E1595" i="1"/>
  <c r="G1595" i="1"/>
  <c r="K1595" i="1"/>
  <c r="A1596" i="1"/>
  <c r="B1596" i="1"/>
  <c r="C1596" i="1"/>
  <c r="E1596" i="1"/>
  <c r="G1596" i="1"/>
  <c r="K1596" i="1"/>
  <c r="A1597" i="1"/>
  <c r="B1597" i="1"/>
  <c r="C1597" i="1"/>
  <c r="E1597" i="1"/>
  <c r="G1597" i="1"/>
  <c r="K1597" i="1"/>
  <c r="A1598" i="1"/>
  <c r="B1598" i="1"/>
  <c r="C1598" i="1"/>
  <c r="E1598" i="1"/>
  <c r="G1598" i="1"/>
  <c r="K1598" i="1"/>
  <c r="A1599" i="1"/>
  <c r="B1599" i="1"/>
  <c r="C1599" i="1"/>
  <c r="E1599" i="1"/>
  <c r="G1599" i="1"/>
  <c r="K1599" i="1"/>
  <c r="A1600" i="1"/>
  <c r="B1600" i="1"/>
  <c r="C1600" i="1"/>
  <c r="E1600" i="1"/>
  <c r="G1600" i="1"/>
  <c r="K1600" i="1"/>
  <c r="A1601" i="1"/>
  <c r="B1601" i="1"/>
  <c r="C1601" i="1"/>
  <c r="E1601" i="1"/>
  <c r="G1601" i="1"/>
  <c r="K1601" i="1"/>
  <c r="A1602" i="1"/>
  <c r="B1602" i="1"/>
  <c r="C1602" i="1"/>
  <c r="E1602" i="1"/>
  <c r="G1602" i="1"/>
  <c r="K1602" i="1"/>
  <c r="A1603" i="1"/>
  <c r="B1603" i="1"/>
  <c r="C1603" i="1"/>
  <c r="E1603" i="1"/>
  <c r="G1603" i="1"/>
  <c r="K1603" i="1"/>
  <c r="A1604" i="1"/>
  <c r="B1604" i="1"/>
  <c r="C1604" i="1"/>
  <c r="E1604" i="1"/>
  <c r="G1604" i="1"/>
  <c r="K1604" i="1"/>
  <c r="A1605" i="1"/>
  <c r="B1605" i="1"/>
  <c r="C1605" i="1"/>
  <c r="E1605" i="1"/>
  <c r="G1605" i="1"/>
  <c r="K1605" i="1"/>
  <c r="A1606" i="1"/>
  <c r="B1606" i="1"/>
  <c r="C1606" i="1"/>
  <c r="E1606" i="1"/>
  <c r="G1606" i="1"/>
  <c r="K1606" i="1"/>
  <c r="A1607" i="1"/>
  <c r="B1607" i="1"/>
  <c r="C1607" i="1"/>
  <c r="E1607" i="1"/>
  <c r="G1607" i="1"/>
  <c r="K1607" i="1"/>
  <c r="A1608" i="1"/>
  <c r="B1608" i="1"/>
  <c r="C1608" i="1"/>
  <c r="E1608" i="1"/>
  <c r="G1608" i="1"/>
  <c r="K1608" i="1"/>
  <c r="A1609" i="1"/>
  <c r="B1609" i="1"/>
  <c r="C1609" i="1"/>
  <c r="E1609" i="1"/>
  <c r="G1609" i="1"/>
  <c r="K1609" i="1"/>
  <c r="A1610" i="1"/>
  <c r="B1610" i="1"/>
  <c r="C1610" i="1"/>
  <c r="E1610" i="1"/>
  <c r="G1610" i="1"/>
  <c r="K1610" i="1"/>
  <c r="A1611" i="1"/>
  <c r="B1611" i="1"/>
  <c r="C1611" i="1"/>
  <c r="E1611" i="1"/>
  <c r="G1611" i="1"/>
  <c r="K1611" i="1"/>
  <c r="A1612" i="1"/>
  <c r="B1612" i="1"/>
  <c r="C1612" i="1"/>
  <c r="E1612" i="1"/>
  <c r="G1612" i="1"/>
  <c r="K1612" i="1"/>
  <c r="A1613" i="1"/>
  <c r="B1613" i="1"/>
  <c r="C1613" i="1"/>
  <c r="E1613" i="1"/>
  <c r="G1613" i="1"/>
  <c r="K1613" i="1"/>
  <c r="A1614" i="1"/>
  <c r="B1614" i="1"/>
  <c r="C1614" i="1"/>
  <c r="E1614" i="1"/>
  <c r="G1614" i="1"/>
  <c r="K1614" i="1"/>
  <c r="A1615" i="1"/>
  <c r="B1615" i="1"/>
  <c r="C1615" i="1"/>
  <c r="E1615" i="1"/>
  <c r="G1615" i="1"/>
  <c r="K1615" i="1"/>
  <c r="A1616" i="1"/>
  <c r="B1616" i="1"/>
  <c r="C1616" i="1"/>
  <c r="E1616" i="1"/>
  <c r="G1616" i="1"/>
  <c r="K1616" i="1"/>
  <c r="A1617" i="1"/>
  <c r="B1617" i="1"/>
  <c r="C1617" i="1"/>
  <c r="E1617" i="1"/>
  <c r="G1617" i="1"/>
  <c r="K1617" i="1"/>
  <c r="A1618" i="1"/>
  <c r="B1618" i="1"/>
  <c r="C1618" i="1"/>
  <c r="E1618" i="1"/>
  <c r="G1618" i="1"/>
  <c r="K1618" i="1"/>
  <c r="A1619" i="1"/>
  <c r="B1619" i="1"/>
  <c r="C1619" i="1"/>
  <c r="E1619" i="1"/>
  <c r="G1619" i="1"/>
  <c r="K1619" i="1"/>
  <c r="A1620" i="1"/>
  <c r="B1620" i="1"/>
  <c r="C1620" i="1"/>
  <c r="E1620" i="1"/>
  <c r="G1620" i="1"/>
  <c r="K1620" i="1"/>
  <c r="A1621" i="1"/>
  <c r="B1621" i="1"/>
  <c r="C1621" i="1"/>
  <c r="E1621" i="1"/>
  <c r="G1621" i="1"/>
  <c r="K1621" i="1"/>
  <c r="A1622" i="1"/>
  <c r="B1622" i="1"/>
  <c r="C1622" i="1"/>
  <c r="E1622" i="1"/>
  <c r="G1622" i="1"/>
  <c r="K1622" i="1"/>
  <c r="A1623" i="1"/>
  <c r="B1623" i="1"/>
  <c r="C1623" i="1"/>
  <c r="E1623" i="1"/>
  <c r="G1623" i="1"/>
  <c r="K1623" i="1"/>
  <c r="A1624" i="1"/>
  <c r="B1624" i="1"/>
  <c r="C1624" i="1"/>
  <c r="E1624" i="1"/>
  <c r="G1624" i="1"/>
  <c r="K1624" i="1"/>
  <c r="A1625" i="1"/>
  <c r="B1625" i="1"/>
  <c r="C1625" i="1"/>
  <c r="E1625" i="1"/>
  <c r="G1625" i="1"/>
  <c r="K1625" i="1"/>
  <c r="A1626" i="1"/>
  <c r="B1626" i="1"/>
  <c r="C1626" i="1"/>
  <c r="E1626" i="1"/>
  <c r="G1626" i="1"/>
  <c r="K1626" i="1"/>
  <c r="A1627" i="1"/>
  <c r="B1627" i="1"/>
  <c r="C1627" i="1"/>
  <c r="E1627" i="1"/>
  <c r="G1627" i="1"/>
  <c r="K1627" i="1"/>
  <c r="A1628" i="1"/>
  <c r="B1628" i="1"/>
  <c r="C1628" i="1"/>
  <c r="E1628" i="1"/>
  <c r="G1628" i="1"/>
  <c r="K1628" i="1"/>
  <c r="A1629" i="1"/>
  <c r="B1629" i="1"/>
  <c r="C1629" i="1"/>
  <c r="E1629" i="1"/>
  <c r="G1629" i="1"/>
  <c r="K1629" i="1"/>
  <c r="A1630" i="1"/>
  <c r="B1630" i="1"/>
  <c r="C1630" i="1"/>
  <c r="E1630" i="1"/>
  <c r="G1630" i="1"/>
  <c r="K1630" i="1"/>
  <c r="A1631" i="1"/>
  <c r="B1631" i="1"/>
  <c r="C1631" i="1"/>
  <c r="E1631" i="1"/>
  <c r="G1631" i="1"/>
  <c r="K1631" i="1"/>
  <c r="A1632" i="1"/>
  <c r="B1632" i="1"/>
  <c r="C1632" i="1"/>
  <c r="E1632" i="1"/>
  <c r="G1632" i="1"/>
  <c r="K1632" i="1"/>
  <c r="A1633" i="1"/>
  <c r="B1633" i="1"/>
  <c r="C1633" i="1"/>
  <c r="E1633" i="1"/>
  <c r="G1633" i="1"/>
  <c r="K1633" i="1"/>
  <c r="A1634" i="1"/>
  <c r="B1634" i="1"/>
  <c r="C1634" i="1"/>
  <c r="E1634" i="1"/>
  <c r="G1634" i="1"/>
  <c r="K1634" i="1"/>
  <c r="A1635" i="1"/>
  <c r="B1635" i="1"/>
  <c r="C1635" i="1"/>
  <c r="E1635" i="1"/>
  <c r="G1635" i="1"/>
  <c r="K1635" i="1"/>
  <c r="A1636" i="1"/>
  <c r="B1636" i="1"/>
  <c r="C1636" i="1"/>
  <c r="E1636" i="1"/>
  <c r="G1636" i="1"/>
  <c r="K1636" i="1"/>
  <c r="A1637" i="1"/>
  <c r="B1637" i="1"/>
  <c r="C1637" i="1"/>
  <c r="E1637" i="1"/>
  <c r="G1637" i="1"/>
  <c r="K1637" i="1"/>
  <c r="A1638" i="1"/>
  <c r="B1638" i="1"/>
  <c r="C1638" i="1"/>
  <c r="E1638" i="1"/>
  <c r="G1638" i="1"/>
  <c r="K1638" i="1"/>
  <c r="A1639" i="1"/>
  <c r="B1639" i="1"/>
  <c r="C1639" i="1"/>
  <c r="E1639" i="1"/>
  <c r="G1639" i="1"/>
  <c r="K1639" i="1"/>
  <c r="A1640" i="1"/>
  <c r="B1640" i="1"/>
  <c r="C1640" i="1"/>
  <c r="E1640" i="1"/>
  <c r="G1640" i="1"/>
  <c r="K1640" i="1"/>
  <c r="A1641" i="1"/>
  <c r="B1641" i="1"/>
  <c r="C1641" i="1"/>
  <c r="E1641" i="1"/>
  <c r="G1641" i="1"/>
  <c r="K1641" i="1"/>
  <c r="A1642" i="1"/>
  <c r="B1642" i="1"/>
  <c r="C1642" i="1"/>
  <c r="E1642" i="1"/>
  <c r="G1642" i="1"/>
  <c r="K1642" i="1"/>
  <c r="A1643" i="1"/>
  <c r="B1643" i="1"/>
  <c r="C1643" i="1"/>
  <c r="E1643" i="1"/>
  <c r="G1643" i="1"/>
  <c r="K1643" i="1"/>
  <c r="A1644" i="1"/>
  <c r="B1644" i="1"/>
  <c r="C1644" i="1"/>
  <c r="E1644" i="1"/>
  <c r="G1644" i="1"/>
  <c r="K1644" i="1"/>
  <c r="A1645" i="1"/>
  <c r="B1645" i="1"/>
  <c r="C1645" i="1"/>
  <c r="E1645" i="1"/>
  <c r="G1645" i="1"/>
  <c r="K1645" i="1"/>
  <c r="A1646" i="1"/>
  <c r="B1646" i="1"/>
  <c r="C1646" i="1"/>
  <c r="E1646" i="1"/>
  <c r="G1646" i="1"/>
  <c r="K1646" i="1"/>
  <c r="A1647" i="1"/>
  <c r="B1647" i="1"/>
  <c r="C1647" i="1"/>
  <c r="E1647" i="1"/>
  <c r="G1647" i="1"/>
  <c r="K1647" i="1"/>
  <c r="A1648" i="1"/>
  <c r="B1648" i="1"/>
  <c r="C1648" i="1"/>
  <c r="E1648" i="1"/>
  <c r="G1648" i="1"/>
  <c r="K1648" i="1"/>
  <c r="A1649" i="1"/>
  <c r="B1649" i="1"/>
  <c r="C1649" i="1"/>
  <c r="E1649" i="1"/>
  <c r="G1649" i="1"/>
  <c r="K1649" i="1"/>
  <c r="A1650" i="1"/>
  <c r="B1650" i="1"/>
  <c r="C1650" i="1"/>
  <c r="E1650" i="1"/>
  <c r="G1650" i="1"/>
  <c r="K1650" i="1"/>
  <c r="A1651" i="1"/>
  <c r="B1651" i="1"/>
  <c r="C1651" i="1"/>
  <c r="E1651" i="1"/>
  <c r="G1651" i="1"/>
  <c r="K1651" i="1"/>
  <c r="A1652" i="1"/>
  <c r="B1652" i="1"/>
  <c r="C1652" i="1"/>
  <c r="E1652" i="1"/>
  <c r="G1652" i="1"/>
  <c r="K1652" i="1"/>
  <c r="A1653" i="1"/>
  <c r="B1653" i="1"/>
  <c r="C1653" i="1"/>
  <c r="E1653" i="1"/>
  <c r="G1653" i="1"/>
  <c r="K1653" i="1"/>
  <c r="A1654" i="1"/>
  <c r="B1654" i="1"/>
  <c r="C1654" i="1"/>
  <c r="E1654" i="1"/>
  <c r="G1654" i="1"/>
  <c r="K1654" i="1"/>
  <c r="A1655" i="1"/>
  <c r="B1655" i="1"/>
  <c r="C1655" i="1"/>
  <c r="E1655" i="1"/>
  <c r="G1655" i="1"/>
  <c r="K1655" i="1"/>
  <c r="A1656" i="1"/>
  <c r="B1656" i="1"/>
  <c r="C1656" i="1"/>
  <c r="E1656" i="1"/>
  <c r="G1656" i="1"/>
  <c r="K1656" i="1"/>
  <c r="A1657" i="1"/>
  <c r="B1657" i="1"/>
  <c r="C1657" i="1"/>
  <c r="E1657" i="1"/>
  <c r="G1657" i="1"/>
  <c r="K1657" i="1"/>
  <c r="A1658" i="1"/>
  <c r="B1658" i="1"/>
  <c r="C1658" i="1"/>
  <c r="E1658" i="1"/>
  <c r="G1658" i="1"/>
  <c r="K1658" i="1"/>
  <c r="A1659" i="1"/>
  <c r="B1659" i="1"/>
  <c r="C1659" i="1"/>
  <c r="E1659" i="1"/>
  <c r="G1659" i="1"/>
  <c r="K1659" i="1"/>
  <c r="A1660" i="1"/>
  <c r="B1660" i="1"/>
  <c r="C1660" i="1"/>
  <c r="E1660" i="1"/>
  <c r="G1660" i="1"/>
  <c r="K1660" i="1"/>
  <c r="A1661" i="1"/>
  <c r="B1661" i="1"/>
  <c r="C1661" i="1"/>
  <c r="E1661" i="1"/>
  <c r="G1661" i="1"/>
  <c r="K1661" i="1"/>
  <c r="A1662" i="1"/>
  <c r="B1662" i="1"/>
  <c r="C1662" i="1"/>
  <c r="E1662" i="1"/>
  <c r="G1662" i="1"/>
  <c r="K1662" i="1"/>
  <c r="A1663" i="1"/>
  <c r="B1663" i="1"/>
  <c r="C1663" i="1"/>
  <c r="E1663" i="1"/>
  <c r="G1663" i="1"/>
  <c r="K1663" i="1"/>
  <c r="A1664" i="1"/>
  <c r="B1664" i="1"/>
  <c r="C1664" i="1"/>
  <c r="E1664" i="1"/>
  <c r="G1664" i="1"/>
  <c r="K1664" i="1"/>
  <c r="A1665" i="1"/>
  <c r="B1665" i="1"/>
  <c r="C1665" i="1"/>
  <c r="E1665" i="1"/>
  <c r="G1665" i="1"/>
  <c r="K1665" i="1"/>
  <c r="A1666" i="1"/>
  <c r="B1666" i="1"/>
  <c r="C1666" i="1"/>
  <c r="E1666" i="1"/>
  <c r="G1666" i="1"/>
  <c r="K1666" i="1"/>
  <c r="A1667" i="1"/>
  <c r="B1667" i="1"/>
  <c r="C1667" i="1"/>
  <c r="E1667" i="1"/>
  <c r="G1667" i="1"/>
  <c r="K1667" i="1"/>
  <c r="A1668" i="1"/>
  <c r="B1668" i="1"/>
  <c r="C1668" i="1"/>
  <c r="E1668" i="1"/>
  <c r="G1668" i="1"/>
  <c r="K1668" i="1"/>
  <c r="A1669" i="1"/>
  <c r="B1669" i="1"/>
  <c r="C1669" i="1"/>
  <c r="E1669" i="1"/>
  <c r="G1669" i="1"/>
  <c r="K1669" i="1"/>
  <c r="A1670" i="1"/>
  <c r="B1670" i="1"/>
  <c r="C1670" i="1"/>
  <c r="E1670" i="1"/>
  <c r="G1670" i="1"/>
  <c r="K1670" i="1"/>
  <c r="A1671" i="1"/>
  <c r="B1671" i="1"/>
  <c r="C1671" i="1"/>
  <c r="E1671" i="1"/>
  <c r="G1671" i="1"/>
  <c r="K1671" i="1"/>
  <c r="A1672" i="1"/>
  <c r="B1672" i="1"/>
  <c r="C1672" i="1"/>
  <c r="E1672" i="1"/>
  <c r="G1672" i="1"/>
  <c r="K1672" i="1"/>
  <c r="A1673" i="1"/>
  <c r="B1673" i="1"/>
  <c r="C1673" i="1"/>
  <c r="E1673" i="1"/>
  <c r="G1673" i="1"/>
  <c r="K1673" i="1"/>
  <c r="A1674" i="1"/>
  <c r="B1674" i="1"/>
  <c r="C1674" i="1"/>
  <c r="E1674" i="1"/>
  <c r="G1674" i="1"/>
  <c r="K1674" i="1"/>
  <c r="A1675" i="1"/>
  <c r="B1675" i="1"/>
  <c r="C1675" i="1"/>
  <c r="E1675" i="1"/>
  <c r="G1675" i="1"/>
  <c r="K1675" i="1"/>
  <c r="A1676" i="1"/>
  <c r="B1676" i="1"/>
  <c r="C1676" i="1"/>
  <c r="E1676" i="1"/>
  <c r="G1676" i="1"/>
  <c r="K1676" i="1"/>
  <c r="A1677" i="1"/>
  <c r="B1677" i="1"/>
  <c r="C1677" i="1"/>
  <c r="E1677" i="1"/>
  <c r="G1677" i="1"/>
  <c r="K1677" i="1"/>
  <c r="A1678" i="1"/>
  <c r="B1678" i="1"/>
  <c r="C1678" i="1"/>
  <c r="E1678" i="1"/>
  <c r="G1678" i="1"/>
  <c r="K1678" i="1"/>
  <c r="A1679" i="1"/>
  <c r="B1679" i="1"/>
  <c r="C1679" i="1"/>
  <c r="E1679" i="1"/>
  <c r="G1679" i="1"/>
  <c r="K1679" i="1"/>
  <c r="A1680" i="1"/>
  <c r="B1680" i="1"/>
  <c r="C1680" i="1"/>
  <c r="E1680" i="1"/>
  <c r="G1680" i="1"/>
  <c r="K1680" i="1"/>
  <c r="A1681" i="1"/>
  <c r="B1681" i="1"/>
  <c r="C1681" i="1"/>
  <c r="E1681" i="1"/>
  <c r="G1681" i="1"/>
  <c r="K1681" i="1"/>
  <c r="A1682" i="1"/>
  <c r="B1682" i="1"/>
  <c r="C1682" i="1"/>
  <c r="E1682" i="1"/>
  <c r="G1682" i="1"/>
  <c r="K1682" i="1"/>
  <c r="A1683" i="1"/>
  <c r="B1683" i="1"/>
  <c r="C1683" i="1"/>
  <c r="E1683" i="1"/>
  <c r="G1683" i="1"/>
  <c r="K1683" i="1"/>
  <c r="A1684" i="1"/>
  <c r="B1684" i="1"/>
  <c r="C1684" i="1"/>
  <c r="E1684" i="1"/>
  <c r="G1684" i="1"/>
  <c r="K1684" i="1"/>
  <c r="A1685" i="1"/>
  <c r="B1685" i="1"/>
  <c r="C1685" i="1"/>
  <c r="E1685" i="1"/>
  <c r="G1685" i="1"/>
  <c r="K1685" i="1"/>
  <c r="A1686" i="1"/>
  <c r="B1686" i="1"/>
  <c r="C1686" i="1"/>
  <c r="E1686" i="1"/>
  <c r="G1686" i="1"/>
  <c r="K1686" i="1"/>
  <c r="A1687" i="1"/>
  <c r="B1687" i="1"/>
  <c r="C1687" i="1"/>
  <c r="E1687" i="1"/>
  <c r="G1687" i="1"/>
  <c r="K1687" i="1"/>
  <c r="A1688" i="1"/>
  <c r="B1688" i="1"/>
  <c r="C1688" i="1"/>
  <c r="E1688" i="1"/>
  <c r="G1688" i="1"/>
  <c r="K1688" i="1"/>
  <c r="A1689" i="1"/>
  <c r="B1689" i="1"/>
  <c r="C1689" i="1"/>
  <c r="E1689" i="1"/>
  <c r="G1689" i="1"/>
  <c r="K1689" i="1"/>
  <c r="A1690" i="1"/>
  <c r="B1690" i="1"/>
  <c r="C1690" i="1"/>
  <c r="E1690" i="1"/>
  <c r="G1690" i="1"/>
  <c r="K1690" i="1"/>
  <c r="A1691" i="1"/>
  <c r="B1691" i="1"/>
  <c r="C1691" i="1"/>
  <c r="E1691" i="1"/>
  <c r="G1691" i="1"/>
  <c r="K1691" i="1"/>
  <c r="A1692" i="1"/>
  <c r="B1692" i="1"/>
  <c r="C1692" i="1"/>
  <c r="E1692" i="1"/>
  <c r="G1692" i="1"/>
  <c r="K1692" i="1"/>
  <c r="A1693" i="1"/>
  <c r="B1693" i="1"/>
  <c r="C1693" i="1"/>
  <c r="E1693" i="1"/>
  <c r="G1693" i="1"/>
  <c r="K1693" i="1"/>
  <c r="A1694" i="1"/>
  <c r="B1694" i="1"/>
  <c r="C1694" i="1"/>
  <c r="E1694" i="1"/>
  <c r="G1694" i="1"/>
  <c r="K1694" i="1"/>
  <c r="A1695" i="1"/>
  <c r="B1695" i="1"/>
  <c r="C1695" i="1"/>
  <c r="E1695" i="1"/>
  <c r="G1695" i="1"/>
  <c r="K1695" i="1"/>
  <c r="A1696" i="1"/>
  <c r="B1696" i="1"/>
  <c r="C1696" i="1"/>
  <c r="E1696" i="1"/>
  <c r="G1696" i="1"/>
  <c r="K1696" i="1"/>
  <c r="A1697" i="1"/>
  <c r="B1697" i="1"/>
  <c r="C1697" i="1"/>
  <c r="E1697" i="1"/>
  <c r="G1697" i="1"/>
  <c r="K1697" i="1"/>
  <c r="A1698" i="1"/>
  <c r="B1698" i="1"/>
  <c r="C1698" i="1"/>
  <c r="E1698" i="1"/>
  <c r="G1698" i="1"/>
  <c r="K1698" i="1"/>
  <c r="A1699" i="1"/>
  <c r="B1699" i="1"/>
  <c r="C1699" i="1"/>
  <c r="E1699" i="1"/>
  <c r="G1699" i="1"/>
  <c r="K1699" i="1"/>
  <c r="A1700" i="1"/>
  <c r="B1700" i="1"/>
  <c r="C1700" i="1"/>
  <c r="E1700" i="1"/>
  <c r="G1700" i="1"/>
  <c r="K1700" i="1"/>
  <c r="A1701" i="1"/>
  <c r="B1701" i="1"/>
  <c r="C1701" i="1"/>
  <c r="E1701" i="1"/>
  <c r="G1701" i="1"/>
  <c r="K1701" i="1"/>
  <c r="A1702" i="1"/>
  <c r="B1702" i="1"/>
  <c r="C1702" i="1"/>
  <c r="E1702" i="1"/>
  <c r="G1702" i="1"/>
  <c r="K1702" i="1"/>
  <c r="A1703" i="1"/>
  <c r="B1703" i="1"/>
  <c r="C1703" i="1"/>
  <c r="E1703" i="1"/>
  <c r="G1703" i="1"/>
  <c r="K1703" i="1"/>
  <c r="A1704" i="1"/>
  <c r="B1704" i="1"/>
  <c r="C1704" i="1"/>
  <c r="E1704" i="1"/>
  <c r="G1704" i="1"/>
  <c r="K1704" i="1"/>
  <c r="A1705" i="1"/>
  <c r="B1705" i="1"/>
  <c r="C1705" i="1"/>
  <c r="E1705" i="1"/>
  <c r="G1705" i="1"/>
  <c r="K1705" i="1"/>
  <c r="A1706" i="1"/>
  <c r="B1706" i="1"/>
  <c r="C1706" i="1"/>
  <c r="E1706" i="1"/>
  <c r="G1706" i="1"/>
  <c r="K1706" i="1"/>
  <c r="A1707" i="1"/>
  <c r="B1707" i="1"/>
  <c r="C1707" i="1"/>
  <c r="E1707" i="1"/>
  <c r="G1707" i="1"/>
  <c r="K1707" i="1"/>
  <c r="A1708" i="1"/>
  <c r="B1708" i="1"/>
  <c r="C1708" i="1"/>
  <c r="E1708" i="1"/>
  <c r="G1708" i="1"/>
  <c r="K1708" i="1"/>
  <c r="A1709" i="1"/>
  <c r="B1709" i="1"/>
  <c r="C1709" i="1"/>
  <c r="E1709" i="1"/>
  <c r="G1709" i="1"/>
  <c r="K1709" i="1"/>
  <c r="A1710" i="1"/>
  <c r="B1710" i="1"/>
  <c r="C1710" i="1"/>
  <c r="E1710" i="1"/>
  <c r="G1710" i="1"/>
  <c r="K1710" i="1"/>
  <c r="A1711" i="1"/>
  <c r="B1711" i="1"/>
  <c r="C1711" i="1"/>
  <c r="E1711" i="1"/>
  <c r="G1711" i="1"/>
  <c r="K1711" i="1"/>
  <c r="A1712" i="1"/>
  <c r="B1712" i="1"/>
  <c r="C1712" i="1"/>
  <c r="E1712" i="1"/>
  <c r="G1712" i="1"/>
  <c r="K1712" i="1"/>
  <c r="A1713" i="1"/>
  <c r="B1713" i="1"/>
  <c r="C1713" i="1"/>
  <c r="E1713" i="1"/>
  <c r="G1713" i="1"/>
  <c r="K1713" i="1"/>
  <c r="A1714" i="1"/>
  <c r="B1714" i="1"/>
  <c r="C1714" i="1"/>
  <c r="E1714" i="1"/>
  <c r="G1714" i="1"/>
  <c r="K1714" i="1"/>
  <c r="A1715" i="1"/>
  <c r="B1715" i="1"/>
  <c r="C1715" i="1"/>
  <c r="E1715" i="1"/>
  <c r="G1715" i="1"/>
  <c r="K1715" i="1"/>
  <c r="A1716" i="1"/>
  <c r="B1716" i="1"/>
  <c r="C1716" i="1"/>
  <c r="E1716" i="1"/>
  <c r="G1716" i="1"/>
  <c r="K1716" i="1"/>
  <c r="A1717" i="1"/>
  <c r="B1717" i="1"/>
  <c r="C1717" i="1"/>
  <c r="E1717" i="1"/>
  <c r="G1717" i="1"/>
  <c r="K1717" i="1"/>
  <c r="A1718" i="1"/>
  <c r="B1718" i="1"/>
  <c r="C1718" i="1"/>
  <c r="E1718" i="1"/>
  <c r="G1718" i="1"/>
  <c r="K1718" i="1"/>
  <c r="A1719" i="1"/>
  <c r="B1719" i="1"/>
  <c r="C1719" i="1"/>
  <c r="E1719" i="1"/>
  <c r="G1719" i="1"/>
  <c r="K1719" i="1"/>
  <c r="A1720" i="1"/>
  <c r="B1720" i="1"/>
  <c r="C1720" i="1"/>
  <c r="E1720" i="1"/>
  <c r="G1720" i="1"/>
  <c r="K1720" i="1"/>
  <c r="A1721" i="1"/>
  <c r="B1721" i="1"/>
  <c r="C1721" i="1"/>
  <c r="E1721" i="1"/>
  <c r="G1721" i="1"/>
  <c r="K1721" i="1"/>
  <c r="A1722" i="1"/>
  <c r="B1722" i="1"/>
  <c r="C1722" i="1"/>
  <c r="E1722" i="1"/>
  <c r="G1722" i="1"/>
  <c r="K1722" i="1"/>
  <c r="A1723" i="1"/>
  <c r="B1723" i="1"/>
  <c r="C1723" i="1"/>
  <c r="E1723" i="1"/>
  <c r="G1723" i="1"/>
  <c r="K1723" i="1"/>
  <c r="A1724" i="1"/>
  <c r="B1724" i="1"/>
  <c r="C1724" i="1"/>
  <c r="E1724" i="1"/>
  <c r="G1724" i="1"/>
  <c r="K1724" i="1"/>
  <c r="A1725" i="1"/>
  <c r="B1725" i="1"/>
  <c r="C1725" i="1"/>
  <c r="E1725" i="1"/>
  <c r="G1725" i="1"/>
  <c r="K1725" i="1"/>
  <c r="A1726" i="1"/>
  <c r="B1726" i="1"/>
  <c r="C1726" i="1"/>
  <c r="E1726" i="1"/>
  <c r="G1726" i="1"/>
  <c r="K1726" i="1"/>
  <c r="A1727" i="1"/>
  <c r="B1727" i="1"/>
  <c r="C1727" i="1"/>
  <c r="E1727" i="1"/>
  <c r="G1727" i="1"/>
  <c r="K1727" i="1"/>
  <c r="A1728" i="1"/>
  <c r="B1728" i="1"/>
  <c r="C1728" i="1"/>
  <c r="E1728" i="1"/>
  <c r="G1728" i="1"/>
  <c r="K1728" i="1"/>
  <c r="A1729" i="1"/>
  <c r="B1729" i="1"/>
  <c r="C1729" i="1"/>
  <c r="E1729" i="1"/>
  <c r="G1729" i="1"/>
  <c r="K1729" i="1"/>
  <c r="A1730" i="1"/>
  <c r="B1730" i="1"/>
  <c r="C1730" i="1"/>
  <c r="E1730" i="1"/>
  <c r="G1730" i="1"/>
  <c r="K1730" i="1"/>
  <c r="A1731" i="1"/>
  <c r="B1731" i="1"/>
  <c r="C1731" i="1"/>
  <c r="E1731" i="1"/>
  <c r="G1731" i="1"/>
  <c r="K1731" i="1"/>
  <c r="A1732" i="1"/>
  <c r="B1732" i="1"/>
  <c r="C1732" i="1"/>
  <c r="E1732" i="1"/>
  <c r="G1732" i="1"/>
  <c r="K1732" i="1"/>
  <c r="A1733" i="1"/>
  <c r="B1733" i="1"/>
  <c r="C1733" i="1"/>
  <c r="E1733" i="1"/>
  <c r="G1733" i="1"/>
  <c r="K1733" i="1"/>
  <c r="A1734" i="1"/>
  <c r="B1734" i="1"/>
  <c r="C1734" i="1"/>
  <c r="E1734" i="1"/>
  <c r="G1734" i="1"/>
  <c r="K1734" i="1"/>
  <c r="A1735" i="1"/>
  <c r="B1735" i="1"/>
  <c r="C1735" i="1"/>
  <c r="E1735" i="1"/>
  <c r="G1735" i="1"/>
  <c r="K1735" i="1"/>
  <c r="A1736" i="1"/>
  <c r="B1736" i="1"/>
  <c r="C1736" i="1"/>
  <c r="E1736" i="1"/>
  <c r="G1736" i="1"/>
  <c r="K1736" i="1"/>
  <c r="A1737" i="1"/>
  <c r="B1737" i="1"/>
  <c r="C1737" i="1"/>
  <c r="E1737" i="1"/>
  <c r="G1737" i="1"/>
  <c r="K1737" i="1"/>
  <c r="A1738" i="1"/>
  <c r="B1738" i="1"/>
  <c r="C1738" i="1"/>
  <c r="E1738" i="1"/>
  <c r="G1738" i="1"/>
  <c r="K1738" i="1"/>
  <c r="A1739" i="1"/>
  <c r="B1739" i="1"/>
  <c r="C1739" i="1"/>
  <c r="E1739" i="1"/>
  <c r="G1739" i="1"/>
  <c r="K1739" i="1"/>
  <c r="A1740" i="1"/>
  <c r="B1740" i="1"/>
  <c r="C1740" i="1"/>
  <c r="E1740" i="1"/>
  <c r="G1740" i="1"/>
  <c r="K1740" i="1"/>
  <c r="A1741" i="1"/>
  <c r="B1741" i="1"/>
  <c r="C1741" i="1"/>
  <c r="E1741" i="1"/>
  <c r="G1741" i="1"/>
  <c r="K1741" i="1"/>
  <c r="A1742" i="1"/>
  <c r="B1742" i="1"/>
  <c r="C1742" i="1"/>
  <c r="E1742" i="1"/>
  <c r="G1742" i="1"/>
  <c r="K1742" i="1"/>
  <c r="A1743" i="1"/>
  <c r="B1743" i="1"/>
  <c r="C1743" i="1"/>
  <c r="E1743" i="1"/>
  <c r="G1743" i="1"/>
  <c r="K1743" i="1"/>
  <c r="A1744" i="1"/>
  <c r="B1744" i="1"/>
  <c r="C1744" i="1"/>
  <c r="E1744" i="1"/>
  <c r="G1744" i="1"/>
  <c r="K1744" i="1"/>
  <c r="A1745" i="1"/>
  <c r="B1745" i="1"/>
  <c r="C1745" i="1"/>
  <c r="E1745" i="1"/>
  <c r="G1745" i="1"/>
  <c r="K1745" i="1"/>
  <c r="A1746" i="1"/>
  <c r="B1746" i="1"/>
  <c r="C1746" i="1"/>
  <c r="E1746" i="1"/>
  <c r="G1746" i="1"/>
  <c r="K1746" i="1"/>
  <c r="A1747" i="1"/>
  <c r="B1747" i="1"/>
  <c r="C1747" i="1"/>
  <c r="E1747" i="1"/>
  <c r="G1747" i="1"/>
  <c r="K1747" i="1"/>
  <c r="A1748" i="1"/>
  <c r="B1748" i="1"/>
  <c r="C1748" i="1"/>
  <c r="E1748" i="1"/>
  <c r="G1748" i="1"/>
  <c r="K1748" i="1"/>
  <c r="A1749" i="1"/>
  <c r="B1749" i="1"/>
  <c r="C1749" i="1"/>
  <c r="E1749" i="1"/>
  <c r="G1749" i="1"/>
  <c r="K1749" i="1"/>
  <c r="A1750" i="1"/>
  <c r="B1750" i="1"/>
  <c r="C1750" i="1"/>
  <c r="E1750" i="1"/>
  <c r="G1750" i="1"/>
  <c r="K1750" i="1"/>
  <c r="A1751" i="1"/>
  <c r="B1751" i="1"/>
  <c r="C1751" i="1"/>
  <c r="E1751" i="1"/>
  <c r="G1751" i="1"/>
  <c r="K1751" i="1"/>
  <c r="A1752" i="1"/>
  <c r="B1752" i="1"/>
  <c r="C1752" i="1"/>
  <c r="E1752" i="1"/>
  <c r="G1752" i="1"/>
  <c r="K1752" i="1"/>
  <c r="A1753" i="1"/>
  <c r="B1753" i="1"/>
  <c r="C1753" i="1"/>
  <c r="E1753" i="1"/>
  <c r="G1753" i="1"/>
  <c r="K1753" i="1"/>
  <c r="A1754" i="1"/>
  <c r="B1754" i="1"/>
  <c r="C1754" i="1"/>
  <c r="E1754" i="1"/>
  <c r="G1754" i="1"/>
  <c r="K1754" i="1"/>
  <c r="A1755" i="1"/>
  <c r="B1755" i="1"/>
  <c r="C1755" i="1"/>
  <c r="E1755" i="1"/>
  <c r="G1755" i="1"/>
  <c r="K1755" i="1"/>
  <c r="A1756" i="1"/>
  <c r="B1756" i="1"/>
  <c r="C1756" i="1"/>
  <c r="E1756" i="1"/>
  <c r="G1756" i="1"/>
  <c r="K1756" i="1"/>
  <c r="A1757" i="1"/>
  <c r="B1757" i="1"/>
  <c r="C1757" i="1"/>
  <c r="E1757" i="1"/>
  <c r="G1757" i="1"/>
  <c r="K1757" i="1"/>
  <c r="A1758" i="1"/>
  <c r="B1758" i="1"/>
  <c r="C1758" i="1"/>
  <c r="E1758" i="1"/>
  <c r="G1758" i="1"/>
  <c r="K1758" i="1"/>
  <c r="A1759" i="1"/>
  <c r="B1759" i="1"/>
  <c r="C1759" i="1"/>
  <c r="E1759" i="1"/>
  <c r="G1759" i="1"/>
  <c r="K1759" i="1"/>
  <c r="A1760" i="1"/>
  <c r="B1760" i="1"/>
  <c r="C1760" i="1"/>
  <c r="E1760" i="1"/>
  <c r="G1760" i="1"/>
  <c r="K1760" i="1"/>
  <c r="A1761" i="1"/>
  <c r="B1761" i="1"/>
  <c r="C1761" i="1"/>
  <c r="E1761" i="1"/>
  <c r="G1761" i="1"/>
  <c r="K1761" i="1"/>
  <c r="A1762" i="1"/>
  <c r="B1762" i="1"/>
  <c r="C1762" i="1"/>
  <c r="E1762" i="1"/>
  <c r="G1762" i="1"/>
  <c r="K1762" i="1"/>
  <c r="A1763" i="1"/>
  <c r="B1763" i="1"/>
  <c r="C1763" i="1"/>
  <c r="E1763" i="1"/>
  <c r="G1763" i="1"/>
  <c r="K1763" i="1"/>
  <c r="A1764" i="1"/>
  <c r="B1764" i="1"/>
  <c r="C1764" i="1"/>
  <c r="E1764" i="1"/>
  <c r="G1764" i="1"/>
  <c r="K1764" i="1"/>
  <c r="A1765" i="1"/>
  <c r="B1765" i="1"/>
  <c r="C1765" i="1"/>
  <c r="E1765" i="1"/>
  <c r="G1765" i="1"/>
  <c r="K1765" i="1"/>
  <c r="A1766" i="1"/>
  <c r="B1766" i="1"/>
  <c r="C1766" i="1"/>
  <c r="E1766" i="1"/>
  <c r="G1766" i="1"/>
  <c r="K1766" i="1"/>
  <c r="A1767" i="1"/>
  <c r="B1767" i="1"/>
  <c r="C1767" i="1"/>
  <c r="E1767" i="1"/>
  <c r="G1767" i="1"/>
  <c r="K1767" i="1"/>
  <c r="A1768" i="1"/>
  <c r="B1768" i="1"/>
  <c r="C1768" i="1"/>
  <c r="E1768" i="1"/>
  <c r="G1768" i="1"/>
  <c r="K1768" i="1"/>
  <c r="A1769" i="1"/>
  <c r="B1769" i="1"/>
  <c r="C1769" i="1"/>
  <c r="E1769" i="1"/>
  <c r="G1769" i="1"/>
  <c r="K1769" i="1"/>
  <c r="A1770" i="1"/>
  <c r="B1770" i="1"/>
  <c r="C1770" i="1"/>
  <c r="E1770" i="1"/>
  <c r="G1770" i="1"/>
  <c r="K1770" i="1"/>
  <c r="A1771" i="1"/>
  <c r="B1771" i="1"/>
  <c r="C1771" i="1"/>
  <c r="E1771" i="1"/>
  <c r="G1771" i="1"/>
  <c r="K1771" i="1"/>
  <c r="A1772" i="1"/>
  <c r="B1772" i="1"/>
  <c r="C1772" i="1"/>
  <c r="E1772" i="1"/>
  <c r="G1772" i="1"/>
  <c r="K1772" i="1"/>
  <c r="A1773" i="1"/>
  <c r="B1773" i="1"/>
  <c r="C1773" i="1"/>
  <c r="E1773" i="1"/>
  <c r="G1773" i="1"/>
  <c r="K1773" i="1"/>
  <c r="A1774" i="1"/>
  <c r="B1774" i="1"/>
  <c r="C1774" i="1"/>
  <c r="E1774" i="1"/>
  <c r="G1774" i="1"/>
  <c r="K1774" i="1"/>
  <c r="A1775" i="1"/>
  <c r="B1775" i="1"/>
  <c r="C1775" i="1"/>
  <c r="E1775" i="1"/>
  <c r="G1775" i="1"/>
  <c r="K1775" i="1"/>
  <c r="A1776" i="1"/>
  <c r="B1776" i="1"/>
  <c r="C1776" i="1"/>
  <c r="E1776" i="1"/>
  <c r="G1776" i="1"/>
  <c r="K1776" i="1"/>
  <c r="A1777" i="1"/>
  <c r="B1777" i="1"/>
  <c r="C1777" i="1"/>
  <c r="E1777" i="1"/>
  <c r="G1777" i="1"/>
  <c r="K1777" i="1"/>
  <c r="A1778" i="1"/>
  <c r="B1778" i="1"/>
  <c r="C1778" i="1"/>
  <c r="E1778" i="1"/>
  <c r="G1778" i="1"/>
  <c r="K1778" i="1"/>
  <c r="A1779" i="1"/>
  <c r="B1779" i="1"/>
  <c r="C1779" i="1"/>
  <c r="E1779" i="1"/>
  <c r="G1779" i="1"/>
  <c r="K1779" i="1"/>
  <c r="A1780" i="1"/>
  <c r="B1780" i="1"/>
  <c r="C1780" i="1"/>
  <c r="E1780" i="1"/>
  <c r="G1780" i="1"/>
  <c r="K1780" i="1"/>
  <c r="A1781" i="1"/>
  <c r="B1781" i="1"/>
  <c r="C1781" i="1"/>
  <c r="E1781" i="1"/>
  <c r="G1781" i="1"/>
  <c r="K1781" i="1"/>
  <c r="A1782" i="1"/>
  <c r="B1782" i="1"/>
  <c r="C1782" i="1"/>
  <c r="E1782" i="1"/>
  <c r="G1782" i="1"/>
  <c r="K1782" i="1"/>
  <c r="A1783" i="1"/>
  <c r="B1783" i="1"/>
  <c r="C1783" i="1"/>
  <c r="E1783" i="1"/>
  <c r="G1783" i="1"/>
  <c r="K1783" i="1"/>
  <c r="A1784" i="1"/>
  <c r="B1784" i="1"/>
  <c r="C1784" i="1"/>
  <c r="E1784" i="1"/>
  <c r="G1784" i="1"/>
  <c r="K1784" i="1"/>
  <c r="A1785" i="1"/>
  <c r="B1785" i="1"/>
  <c r="C1785" i="1"/>
  <c r="E1785" i="1"/>
  <c r="G1785" i="1"/>
  <c r="K1785" i="1"/>
  <c r="A1786" i="1"/>
  <c r="B1786" i="1"/>
  <c r="C1786" i="1"/>
  <c r="E1786" i="1"/>
  <c r="G1786" i="1"/>
  <c r="K1786" i="1"/>
  <c r="A1787" i="1"/>
  <c r="B1787" i="1"/>
  <c r="C1787" i="1"/>
  <c r="E1787" i="1"/>
  <c r="G1787" i="1"/>
  <c r="K1787" i="1"/>
  <c r="A1788" i="1"/>
  <c r="B1788" i="1"/>
  <c r="C1788" i="1"/>
  <c r="E1788" i="1"/>
  <c r="G1788" i="1"/>
  <c r="K1788" i="1"/>
  <c r="A1789" i="1"/>
  <c r="B1789" i="1"/>
  <c r="C1789" i="1"/>
  <c r="E1789" i="1"/>
  <c r="G1789" i="1"/>
  <c r="K1789" i="1"/>
  <c r="A1790" i="1"/>
  <c r="B1790" i="1"/>
  <c r="C1790" i="1"/>
  <c r="E1790" i="1"/>
  <c r="G1790" i="1"/>
  <c r="K1790" i="1"/>
  <c r="A1791" i="1"/>
  <c r="B1791" i="1"/>
  <c r="C1791" i="1"/>
  <c r="E1791" i="1"/>
  <c r="G1791" i="1"/>
  <c r="K1791" i="1"/>
  <c r="A1792" i="1"/>
  <c r="B1792" i="1"/>
  <c r="C1792" i="1"/>
  <c r="E1792" i="1"/>
  <c r="G1792" i="1"/>
  <c r="K1792" i="1"/>
  <c r="A1793" i="1"/>
  <c r="B1793" i="1"/>
  <c r="C1793" i="1"/>
  <c r="E1793" i="1"/>
  <c r="G1793" i="1"/>
  <c r="K1793" i="1"/>
  <c r="A1794" i="1"/>
  <c r="B1794" i="1"/>
  <c r="C1794" i="1"/>
  <c r="E1794" i="1"/>
  <c r="G1794" i="1"/>
  <c r="K1794" i="1"/>
  <c r="A1795" i="1"/>
  <c r="B1795" i="1"/>
  <c r="C1795" i="1"/>
  <c r="E1795" i="1"/>
  <c r="G1795" i="1"/>
  <c r="K1795" i="1"/>
  <c r="A1796" i="1"/>
  <c r="B1796" i="1"/>
  <c r="C1796" i="1"/>
  <c r="E1796" i="1"/>
  <c r="G1796" i="1"/>
  <c r="K1796" i="1"/>
  <c r="A1797" i="1"/>
  <c r="B1797" i="1"/>
  <c r="C1797" i="1"/>
  <c r="E1797" i="1"/>
  <c r="G1797" i="1"/>
  <c r="K1797" i="1"/>
  <c r="A1798" i="1"/>
  <c r="B1798" i="1"/>
  <c r="C1798" i="1"/>
  <c r="E1798" i="1"/>
  <c r="G1798" i="1"/>
  <c r="K1798" i="1"/>
  <c r="A1799" i="1"/>
  <c r="B1799" i="1"/>
  <c r="C1799" i="1"/>
  <c r="E1799" i="1"/>
  <c r="G1799" i="1"/>
  <c r="K1799" i="1"/>
  <c r="A1800" i="1"/>
  <c r="B1800" i="1"/>
  <c r="C1800" i="1"/>
  <c r="E1800" i="1"/>
  <c r="G1800" i="1"/>
  <c r="K1800" i="1"/>
  <c r="A1801" i="1"/>
  <c r="B1801" i="1"/>
  <c r="C1801" i="1"/>
  <c r="E1801" i="1"/>
  <c r="G1801" i="1"/>
  <c r="K1801" i="1"/>
  <c r="A1802" i="1"/>
  <c r="B1802" i="1"/>
  <c r="C1802" i="1"/>
  <c r="E1802" i="1"/>
  <c r="G1802" i="1"/>
  <c r="K1802" i="1"/>
  <c r="A1803" i="1"/>
  <c r="B1803" i="1"/>
  <c r="C1803" i="1"/>
  <c r="E1803" i="1"/>
  <c r="G1803" i="1"/>
  <c r="K1803" i="1"/>
  <c r="A1804" i="1"/>
  <c r="B1804" i="1"/>
  <c r="C1804" i="1"/>
  <c r="E1804" i="1"/>
  <c r="G1804" i="1"/>
  <c r="K1804" i="1"/>
  <c r="A1805" i="1"/>
  <c r="B1805" i="1"/>
  <c r="C1805" i="1"/>
  <c r="E1805" i="1"/>
  <c r="G1805" i="1"/>
  <c r="K1805" i="1"/>
  <c r="A1806" i="1"/>
  <c r="B1806" i="1"/>
  <c r="C1806" i="1"/>
  <c r="E1806" i="1"/>
  <c r="G1806" i="1"/>
  <c r="K1806" i="1"/>
  <c r="A1807" i="1"/>
  <c r="B1807" i="1"/>
  <c r="C1807" i="1"/>
  <c r="E1807" i="1"/>
  <c r="G1807" i="1"/>
  <c r="K1807" i="1"/>
  <c r="A1808" i="1"/>
  <c r="B1808" i="1"/>
  <c r="C1808" i="1"/>
  <c r="E1808" i="1"/>
  <c r="G1808" i="1"/>
  <c r="K1808" i="1"/>
  <c r="A1809" i="1"/>
  <c r="B1809" i="1"/>
  <c r="C1809" i="1"/>
  <c r="E1809" i="1"/>
  <c r="G1809" i="1"/>
  <c r="K1809" i="1"/>
  <c r="A1810" i="1"/>
  <c r="B1810" i="1"/>
  <c r="C1810" i="1"/>
  <c r="E1810" i="1"/>
  <c r="G1810" i="1"/>
  <c r="K1810" i="1"/>
  <c r="A1811" i="1"/>
  <c r="B1811" i="1"/>
  <c r="C1811" i="1"/>
  <c r="E1811" i="1"/>
  <c r="G1811" i="1"/>
  <c r="K1811" i="1"/>
  <c r="A1812" i="1"/>
  <c r="B1812" i="1"/>
  <c r="C1812" i="1"/>
  <c r="E1812" i="1"/>
  <c r="G1812" i="1"/>
  <c r="K1812" i="1"/>
  <c r="A1813" i="1"/>
  <c r="B1813" i="1"/>
  <c r="C1813" i="1"/>
  <c r="E1813" i="1"/>
  <c r="G1813" i="1"/>
  <c r="K1813" i="1"/>
  <c r="A1814" i="1"/>
  <c r="B1814" i="1"/>
  <c r="C1814" i="1"/>
  <c r="E1814" i="1"/>
  <c r="G1814" i="1"/>
  <c r="K1814" i="1"/>
  <c r="A1815" i="1"/>
  <c r="B1815" i="1"/>
  <c r="C1815" i="1"/>
  <c r="E1815" i="1"/>
  <c r="G1815" i="1"/>
  <c r="K1815" i="1"/>
  <c r="A1816" i="1"/>
  <c r="B1816" i="1"/>
  <c r="C1816" i="1"/>
  <c r="E1816" i="1"/>
  <c r="G1816" i="1"/>
  <c r="K1816" i="1"/>
  <c r="A1817" i="1"/>
  <c r="B1817" i="1"/>
  <c r="C1817" i="1"/>
  <c r="E1817" i="1"/>
  <c r="G1817" i="1"/>
  <c r="K1817" i="1"/>
  <c r="A1818" i="1"/>
  <c r="B1818" i="1"/>
  <c r="C1818" i="1"/>
  <c r="E1818" i="1"/>
  <c r="G1818" i="1"/>
  <c r="K1818" i="1"/>
  <c r="A1819" i="1"/>
  <c r="B1819" i="1"/>
  <c r="C1819" i="1"/>
  <c r="E1819" i="1"/>
  <c r="G1819" i="1"/>
  <c r="K1819" i="1"/>
  <c r="A1820" i="1"/>
  <c r="B1820" i="1"/>
  <c r="C1820" i="1"/>
  <c r="E1820" i="1"/>
  <c r="G1820" i="1"/>
  <c r="K1820" i="1"/>
  <c r="A1821" i="1"/>
  <c r="B1821" i="1"/>
  <c r="C1821" i="1"/>
  <c r="E1821" i="1"/>
  <c r="G1821" i="1"/>
  <c r="K1821" i="1"/>
  <c r="A1822" i="1"/>
  <c r="B1822" i="1"/>
  <c r="C1822" i="1"/>
  <c r="E1822" i="1"/>
  <c r="G1822" i="1"/>
  <c r="K1822" i="1"/>
  <c r="A1823" i="1"/>
  <c r="B1823" i="1"/>
  <c r="C1823" i="1"/>
  <c r="E1823" i="1"/>
  <c r="G1823" i="1"/>
  <c r="K1823" i="1"/>
  <c r="A1824" i="1"/>
  <c r="B1824" i="1"/>
  <c r="C1824" i="1"/>
  <c r="E1824" i="1"/>
  <c r="G1824" i="1"/>
  <c r="K1824" i="1"/>
  <c r="A1825" i="1"/>
  <c r="B1825" i="1"/>
  <c r="C1825" i="1"/>
  <c r="E1825" i="1"/>
  <c r="G1825" i="1"/>
  <c r="K1825" i="1"/>
  <c r="A1826" i="1"/>
  <c r="B1826" i="1"/>
  <c r="C1826" i="1"/>
  <c r="E1826" i="1"/>
  <c r="G1826" i="1"/>
  <c r="K1826" i="1"/>
  <c r="A1827" i="1"/>
  <c r="B1827" i="1"/>
  <c r="C1827" i="1"/>
  <c r="E1827" i="1"/>
  <c r="G1827" i="1"/>
  <c r="K1827" i="1"/>
  <c r="A1828" i="1"/>
  <c r="B1828" i="1"/>
  <c r="C1828" i="1"/>
  <c r="E1828" i="1"/>
  <c r="G1828" i="1"/>
  <c r="K1828" i="1"/>
  <c r="A1829" i="1"/>
  <c r="B1829" i="1"/>
  <c r="C1829" i="1"/>
  <c r="E1829" i="1"/>
  <c r="G1829" i="1"/>
  <c r="K1829" i="1"/>
  <c r="A1830" i="1"/>
  <c r="B1830" i="1"/>
  <c r="C1830" i="1"/>
  <c r="E1830" i="1"/>
  <c r="G1830" i="1"/>
  <c r="K1830" i="1"/>
  <c r="A1831" i="1"/>
  <c r="B1831" i="1"/>
  <c r="C1831" i="1"/>
  <c r="E1831" i="1"/>
  <c r="G1831" i="1"/>
  <c r="K1831" i="1"/>
  <c r="A1832" i="1"/>
  <c r="B1832" i="1"/>
  <c r="C1832" i="1"/>
  <c r="E1832" i="1"/>
  <c r="G1832" i="1"/>
  <c r="K1832" i="1"/>
  <c r="A1833" i="1"/>
  <c r="B1833" i="1"/>
  <c r="C1833" i="1"/>
  <c r="E1833" i="1"/>
  <c r="G1833" i="1"/>
  <c r="K1833" i="1"/>
  <c r="A1834" i="1"/>
  <c r="B1834" i="1"/>
  <c r="C1834" i="1"/>
  <c r="E1834" i="1"/>
  <c r="G1834" i="1"/>
  <c r="K1834" i="1"/>
  <c r="A1835" i="1"/>
  <c r="B1835" i="1"/>
  <c r="C1835" i="1"/>
  <c r="E1835" i="1"/>
  <c r="G1835" i="1"/>
  <c r="K1835" i="1"/>
  <c r="A1836" i="1"/>
  <c r="B1836" i="1"/>
  <c r="C1836" i="1"/>
  <c r="E1836" i="1"/>
  <c r="G1836" i="1"/>
  <c r="K1836" i="1"/>
  <c r="A1837" i="1"/>
  <c r="B1837" i="1"/>
  <c r="C1837" i="1"/>
  <c r="E1837" i="1"/>
  <c r="G1837" i="1"/>
  <c r="K1837" i="1"/>
  <c r="A1838" i="1"/>
  <c r="B1838" i="1"/>
  <c r="C1838" i="1"/>
  <c r="E1838" i="1"/>
  <c r="G1838" i="1"/>
  <c r="K1838" i="1"/>
  <c r="A1839" i="1"/>
  <c r="B1839" i="1"/>
  <c r="C1839" i="1"/>
  <c r="E1839" i="1"/>
  <c r="G1839" i="1"/>
  <c r="K1839" i="1"/>
  <c r="A1840" i="1"/>
  <c r="B1840" i="1"/>
  <c r="C1840" i="1"/>
  <c r="E1840" i="1"/>
  <c r="G1840" i="1"/>
  <c r="K1840" i="1"/>
  <c r="A1841" i="1"/>
  <c r="B1841" i="1"/>
  <c r="C1841" i="1"/>
  <c r="E1841" i="1"/>
  <c r="G1841" i="1"/>
  <c r="K1841" i="1"/>
  <c r="A1842" i="1"/>
  <c r="B1842" i="1"/>
  <c r="C1842" i="1"/>
  <c r="E1842" i="1"/>
  <c r="G1842" i="1"/>
  <c r="K1842" i="1"/>
  <c r="A1843" i="1"/>
  <c r="B1843" i="1"/>
  <c r="C1843" i="1"/>
  <c r="E1843" i="1"/>
  <c r="G1843" i="1"/>
  <c r="K1843" i="1"/>
  <c r="A1844" i="1"/>
  <c r="B1844" i="1"/>
  <c r="C1844" i="1"/>
  <c r="E1844" i="1"/>
  <c r="G1844" i="1"/>
  <c r="K1844" i="1"/>
  <c r="A1845" i="1"/>
  <c r="B1845" i="1"/>
  <c r="C1845" i="1"/>
  <c r="E1845" i="1"/>
  <c r="G1845" i="1"/>
  <c r="K1845" i="1"/>
  <c r="A1846" i="1"/>
  <c r="B1846" i="1"/>
  <c r="C1846" i="1"/>
  <c r="E1846" i="1"/>
  <c r="G1846" i="1"/>
  <c r="K1846" i="1"/>
  <c r="A1847" i="1"/>
  <c r="B1847" i="1"/>
  <c r="C1847" i="1"/>
  <c r="E1847" i="1"/>
  <c r="G1847" i="1"/>
  <c r="K1847" i="1"/>
  <c r="A1848" i="1"/>
  <c r="B1848" i="1"/>
  <c r="C1848" i="1"/>
  <c r="E1848" i="1"/>
  <c r="G1848" i="1"/>
  <c r="K1848" i="1"/>
  <c r="A1849" i="1"/>
  <c r="B1849" i="1"/>
  <c r="C1849" i="1"/>
  <c r="E1849" i="1"/>
  <c r="G1849" i="1"/>
  <c r="K1849" i="1"/>
  <c r="A1850" i="1"/>
  <c r="B1850" i="1"/>
  <c r="C1850" i="1"/>
  <c r="E1850" i="1"/>
  <c r="G1850" i="1"/>
  <c r="K1850" i="1"/>
  <c r="A1851" i="1"/>
  <c r="B1851" i="1"/>
  <c r="C1851" i="1"/>
  <c r="E1851" i="1"/>
  <c r="G1851" i="1"/>
  <c r="K1851" i="1"/>
  <c r="A1852" i="1"/>
  <c r="B1852" i="1"/>
  <c r="C1852" i="1"/>
  <c r="E1852" i="1"/>
  <c r="G1852" i="1"/>
  <c r="K1852" i="1"/>
  <c r="A1853" i="1"/>
  <c r="B1853" i="1"/>
  <c r="C1853" i="1"/>
  <c r="E1853" i="1"/>
  <c r="G1853" i="1"/>
  <c r="K1853" i="1"/>
  <c r="A1854" i="1"/>
  <c r="B1854" i="1"/>
  <c r="C1854" i="1"/>
  <c r="E1854" i="1"/>
  <c r="G1854" i="1"/>
  <c r="K1854" i="1"/>
  <c r="A1855" i="1"/>
  <c r="B1855" i="1"/>
  <c r="C1855" i="1"/>
  <c r="E1855" i="1"/>
  <c r="G1855" i="1"/>
  <c r="K1855" i="1"/>
  <c r="A1856" i="1"/>
  <c r="B1856" i="1"/>
  <c r="C1856" i="1"/>
  <c r="E1856" i="1"/>
  <c r="G1856" i="1"/>
  <c r="K1856" i="1"/>
  <c r="A1857" i="1"/>
  <c r="B1857" i="1"/>
  <c r="C1857" i="1"/>
  <c r="E1857" i="1"/>
  <c r="G1857" i="1"/>
  <c r="K1857" i="1"/>
  <c r="A1858" i="1"/>
  <c r="B1858" i="1"/>
  <c r="C1858" i="1"/>
  <c r="E1858" i="1"/>
  <c r="G1858" i="1"/>
  <c r="K1858" i="1"/>
  <c r="A1859" i="1"/>
  <c r="B1859" i="1"/>
  <c r="C1859" i="1"/>
  <c r="E1859" i="1"/>
  <c r="G1859" i="1"/>
  <c r="K1859" i="1"/>
  <c r="A1860" i="1"/>
  <c r="B1860" i="1"/>
  <c r="C1860" i="1"/>
  <c r="E1860" i="1"/>
  <c r="G1860" i="1"/>
  <c r="K1860" i="1"/>
  <c r="A1861" i="1"/>
  <c r="B1861" i="1"/>
  <c r="C1861" i="1"/>
  <c r="E1861" i="1"/>
  <c r="G1861" i="1"/>
  <c r="K1861" i="1"/>
  <c r="A1862" i="1"/>
  <c r="B1862" i="1"/>
  <c r="C1862" i="1"/>
  <c r="E1862" i="1"/>
  <c r="G1862" i="1"/>
  <c r="K1862" i="1"/>
  <c r="A1863" i="1"/>
  <c r="B1863" i="1"/>
  <c r="C1863" i="1"/>
  <c r="E1863" i="1"/>
  <c r="G1863" i="1"/>
  <c r="K1863" i="1"/>
  <c r="A1864" i="1"/>
  <c r="B1864" i="1"/>
  <c r="C1864" i="1"/>
  <c r="E1864" i="1"/>
  <c r="G1864" i="1"/>
  <c r="K1864" i="1"/>
  <c r="A1865" i="1"/>
  <c r="B1865" i="1"/>
  <c r="C1865" i="1"/>
  <c r="E1865" i="1"/>
  <c r="G1865" i="1"/>
  <c r="K1865" i="1"/>
  <c r="A1866" i="1"/>
  <c r="B1866" i="1"/>
  <c r="C1866" i="1"/>
  <c r="E1866" i="1"/>
  <c r="G1866" i="1"/>
  <c r="K1866" i="1"/>
  <c r="A1867" i="1"/>
  <c r="B1867" i="1"/>
  <c r="C1867" i="1"/>
  <c r="E1867" i="1"/>
  <c r="G1867" i="1"/>
  <c r="K1867" i="1"/>
  <c r="A1868" i="1"/>
  <c r="B1868" i="1"/>
  <c r="C1868" i="1"/>
  <c r="E1868" i="1"/>
  <c r="G1868" i="1"/>
  <c r="K1868" i="1"/>
  <c r="A1869" i="1"/>
  <c r="B1869" i="1"/>
  <c r="C1869" i="1"/>
  <c r="E1869" i="1"/>
  <c r="G1869" i="1"/>
  <c r="K1869" i="1"/>
  <c r="A1870" i="1"/>
  <c r="B1870" i="1"/>
  <c r="C1870" i="1"/>
  <c r="E1870" i="1"/>
  <c r="G1870" i="1"/>
  <c r="K1870" i="1"/>
  <c r="A1871" i="1"/>
  <c r="B1871" i="1"/>
  <c r="C1871" i="1"/>
  <c r="E1871" i="1"/>
  <c r="G1871" i="1"/>
  <c r="K1871" i="1"/>
  <c r="A1872" i="1"/>
  <c r="B1872" i="1"/>
  <c r="C1872" i="1"/>
  <c r="E1872" i="1"/>
  <c r="G1872" i="1"/>
  <c r="K1872" i="1"/>
  <c r="A1873" i="1"/>
  <c r="B1873" i="1"/>
  <c r="C1873" i="1"/>
  <c r="E1873" i="1"/>
  <c r="G1873" i="1"/>
  <c r="K1873" i="1"/>
  <c r="A1874" i="1"/>
  <c r="B1874" i="1"/>
  <c r="C1874" i="1"/>
  <c r="E1874" i="1"/>
  <c r="G1874" i="1"/>
  <c r="K1874" i="1"/>
  <c r="A1875" i="1"/>
  <c r="B1875" i="1"/>
  <c r="C1875" i="1"/>
  <c r="E1875" i="1"/>
  <c r="G1875" i="1"/>
  <c r="K1875" i="1"/>
  <c r="A1876" i="1"/>
  <c r="B1876" i="1"/>
  <c r="C1876" i="1"/>
  <c r="E1876" i="1"/>
  <c r="G1876" i="1"/>
  <c r="K1876" i="1"/>
  <c r="A1877" i="1"/>
  <c r="B1877" i="1"/>
  <c r="C1877" i="1"/>
  <c r="E1877" i="1"/>
  <c r="G1877" i="1"/>
  <c r="K1877" i="1"/>
  <c r="A1878" i="1"/>
  <c r="B1878" i="1"/>
  <c r="C1878" i="1"/>
  <c r="E1878" i="1"/>
  <c r="G1878" i="1"/>
  <c r="K1878" i="1"/>
  <c r="A1879" i="1"/>
  <c r="B1879" i="1"/>
  <c r="C1879" i="1"/>
  <c r="E1879" i="1"/>
  <c r="G1879" i="1"/>
  <c r="K1879" i="1"/>
  <c r="A1880" i="1"/>
  <c r="B1880" i="1"/>
  <c r="C1880" i="1"/>
  <c r="E1880" i="1"/>
  <c r="G1880" i="1"/>
  <c r="K1880" i="1"/>
  <c r="A1881" i="1"/>
  <c r="B1881" i="1"/>
  <c r="C1881" i="1"/>
  <c r="E1881" i="1"/>
  <c r="G1881" i="1"/>
  <c r="K1881" i="1"/>
  <c r="A1882" i="1"/>
  <c r="B1882" i="1"/>
  <c r="C1882" i="1"/>
  <c r="E1882" i="1"/>
  <c r="G1882" i="1"/>
  <c r="K1882" i="1"/>
  <c r="A1883" i="1"/>
  <c r="B1883" i="1"/>
  <c r="C1883" i="1"/>
  <c r="E1883" i="1"/>
  <c r="G1883" i="1"/>
  <c r="K1883" i="1"/>
  <c r="A1884" i="1"/>
  <c r="B1884" i="1"/>
  <c r="C1884" i="1"/>
  <c r="E1884" i="1"/>
  <c r="G1884" i="1"/>
  <c r="K1884" i="1"/>
  <c r="A1885" i="1"/>
  <c r="B1885" i="1"/>
  <c r="C1885" i="1"/>
  <c r="E1885" i="1"/>
  <c r="G1885" i="1"/>
  <c r="K1885" i="1"/>
  <c r="A1886" i="1"/>
  <c r="B1886" i="1"/>
  <c r="C1886" i="1"/>
  <c r="E1886" i="1"/>
  <c r="G1886" i="1"/>
  <c r="K1886" i="1"/>
  <c r="A1887" i="1"/>
  <c r="B1887" i="1"/>
  <c r="C1887" i="1"/>
  <c r="E1887" i="1"/>
  <c r="G1887" i="1"/>
  <c r="K1887" i="1"/>
  <c r="A1888" i="1"/>
  <c r="B1888" i="1"/>
  <c r="C1888" i="1"/>
  <c r="E1888" i="1"/>
  <c r="G1888" i="1"/>
  <c r="K1888" i="1"/>
  <c r="A1889" i="1"/>
  <c r="B1889" i="1"/>
  <c r="C1889" i="1"/>
  <c r="E1889" i="1"/>
  <c r="G1889" i="1"/>
  <c r="K1889" i="1"/>
  <c r="A1890" i="1"/>
  <c r="B1890" i="1"/>
  <c r="C1890" i="1"/>
  <c r="E1890" i="1"/>
  <c r="G1890" i="1"/>
  <c r="K1890" i="1"/>
  <c r="A1891" i="1"/>
  <c r="B1891" i="1"/>
  <c r="C1891" i="1"/>
  <c r="E1891" i="1"/>
  <c r="G1891" i="1"/>
  <c r="K1891" i="1"/>
  <c r="A1892" i="1"/>
  <c r="B1892" i="1"/>
  <c r="C1892" i="1"/>
  <c r="E1892" i="1"/>
  <c r="G1892" i="1"/>
  <c r="K1892" i="1"/>
  <c r="A1893" i="1"/>
  <c r="B1893" i="1"/>
  <c r="C1893" i="1"/>
  <c r="E1893" i="1"/>
  <c r="G1893" i="1"/>
  <c r="K1893" i="1"/>
  <c r="A1894" i="1"/>
  <c r="B1894" i="1"/>
  <c r="C1894" i="1"/>
  <c r="E1894" i="1"/>
  <c r="G1894" i="1"/>
  <c r="K1894" i="1"/>
  <c r="A1895" i="1"/>
  <c r="B1895" i="1"/>
  <c r="C1895" i="1"/>
  <c r="E1895" i="1"/>
  <c r="G1895" i="1"/>
  <c r="K1895" i="1"/>
  <c r="A1896" i="1"/>
  <c r="B1896" i="1"/>
  <c r="C1896" i="1"/>
  <c r="E1896" i="1"/>
  <c r="G1896" i="1"/>
  <c r="K1896" i="1"/>
  <c r="A1897" i="1"/>
  <c r="B1897" i="1"/>
  <c r="C1897" i="1"/>
  <c r="E1897" i="1"/>
  <c r="G1897" i="1"/>
  <c r="K1897" i="1"/>
  <c r="A1898" i="1"/>
  <c r="B1898" i="1"/>
  <c r="C1898" i="1"/>
  <c r="E1898" i="1"/>
  <c r="G1898" i="1"/>
  <c r="K1898" i="1"/>
  <c r="A1899" i="1"/>
  <c r="B1899" i="1"/>
  <c r="C1899" i="1"/>
  <c r="E1899" i="1"/>
  <c r="G1899" i="1"/>
  <c r="K1899" i="1"/>
  <c r="A1900" i="1"/>
  <c r="B1900" i="1"/>
  <c r="C1900" i="1"/>
  <c r="E1900" i="1"/>
  <c r="G1900" i="1"/>
  <c r="K1900" i="1"/>
  <c r="A1901" i="1"/>
  <c r="B1901" i="1"/>
  <c r="C1901" i="1"/>
  <c r="E1901" i="1"/>
  <c r="G1901" i="1"/>
  <c r="K1901" i="1"/>
  <c r="A1902" i="1"/>
  <c r="B1902" i="1"/>
  <c r="C1902" i="1"/>
  <c r="E1902" i="1"/>
  <c r="G1902" i="1"/>
  <c r="K1902" i="1"/>
  <c r="A1903" i="1"/>
  <c r="B1903" i="1"/>
  <c r="C1903" i="1"/>
  <c r="E1903" i="1"/>
  <c r="G1903" i="1"/>
  <c r="K1903" i="1"/>
  <c r="A1904" i="1"/>
  <c r="B1904" i="1"/>
  <c r="C1904" i="1"/>
  <c r="E1904" i="1"/>
  <c r="G1904" i="1"/>
  <c r="K1904" i="1"/>
  <c r="A1905" i="1"/>
  <c r="B1905" i="1"/>
  <c r="C1905" i="1"/>
  <c r="E1905" i="1"/>
  <c r="G1905" i="1"/>
  <c r="K1905" i="1"/>
  <c r="A1906" i="1"/>
  <c r="B1906" i="1"/>
  <c r="C1906" i="1"/>
  <c r="E1906" i="1"/>
  <c r="G1906" i="1"/>
  <c r="K1906" i="1"/>
  <c r="A1907" i="1"/>
  <c r="B1907" i="1"/>
  <c r="C1907" i="1"/>
  <c r="E1907" i="1"/>
  <c r="G1907" i="1"/>
  <c r="K1907" i="1"/>
  <c r="A1908" i="1"/>
  <c r="B1908" i="1"/>
  <c r="C1908" i="1"/>
  <c r="E1908" i="1"/>
  <c r="G1908" i="1"/>
  <c r="K1908" i="1"/>
  <c r="A1909" i="1"/>
  <c r="B1909" i="1"/>
  <c r="C1909" i="1"/>
  <c r="E1909" i="1"/>
  <c r="G1909" i="1"/>
  <c r="K1909" i="1"/>
  <c r="A1910" i="1"/>
  <c r="B1910" i="1"/>
  <c r="C1910" i="1"/>
  <c r="E1910" i="1"/>
  <c r="G1910" i="1"/>
  <c r="K1910" i="1"/>
  <c r="A1911" i="1"/>
  <c r="B1911" i="1"/>
  <c r="C1911" i="1"/>
  <c r="E1911" i="1"/>
  <c r="G1911" i="1"/>
  <c r="K1911" i="1"/>
  <c r="A1912" i="1"/>
  <c r="B1912" i="1"/>
  <c r="C1912" i="1"/>
  <c r="E1912" i="1"/>
  <c r="G1912" i="1"/>
  <c r="K1912" i="1"/>
  <c r="A1913" i="1"/>
  <c r="B1913" i="1"/>
  <c r="C1913" i="1"/>
  <c r="E1913" i="1"/>
  <c r="G1913" i="1"/>
  <c r="K1913" i="1"/>
  <c r="A1914" i="1"/>
  <c r="B1914" i="1"/>
  <c r="C1914" i="1"/>
  <c r="E1914" i="1"/>
  <c r="G1914" i="1"/>
  <c r="K1914" i="1"/>
  <c r="A1915" i="1"/>
  <c r="B1915" i="1"/>
  <c r="C1915" i="1"/>
  <c r="E1915" i="1"/>
  <c r="G1915" i="1"/>
  <c r="K1915" i="1"/>
  <c r="A1916" i="1"/>
  <c r="B1916" i="1"/>
  <c r="C1916" i="1"/>
  <c r="E1916" i="1"/>
  <c r="G1916" i="1"/>
  <c r="K1916" i="1"/>
  <c r="A1917" i="1"/>
  <c r="B1917" i="1"/>
  <c r="C1917" i="1"/>
  <c r="E1917" i="1"/>
  <c r="G1917" i="1"/>
  <c r="K1917" i="1"/>
  <c r="A1918" i="1"/>
  <c r="B1918" i="1"/>
  <c r="C1918" i="1"/>
  <c r="E1918" i="1"/>
  <c r="G1918" i="1"/>
  <c r="K1918" i="1"/>
  <c r="A1919" i="1"/>
  <c r="B1919" i="1"/>
  <c r="C1919" i="1"/>
  <c r="E1919" i="1"/>
  <c r="G1919" i="1"/>
  <c r="K1919" i="1"/>
  <c r="A1920" i="1"/>
  <c r="B1920" i="1"/>
  <c r="C1920" i="1"/>
  <c r="E1920" i="1"/>
  <c r="G1920" i="1"/>
  <c r="K1920" i="1"/>
  <c r="A1921" i="1"/>
  <c r="B1921" i="1"/>
  <c r="C1921" i="1"/>
  <c r="E1921" i="1"/>
  <c r="G1921" i="1"/>
  <c r="K1921" i="1"/>
  <c r="A1922" i="1"/>
  <c r="B1922" i="1"/>
  <c r="C1922" i="1"/>
  <c r="E1922" i="1"/>
  <c r="G1922" i="1"/>
  <c r="K1922" i="1"/>
  <c r="A1923" i="1"/>
  <c r="B1923" i="1"/>
  <c r="C1923" i="1"/>
  <c r="E1923" i="1"/>
  <c r="G1923" i="1"/>
  <c r="K1923" i="1"/>
  <c r="A1924" i="1"/>
  <c r="B1924" i="1"/>
  <c r="C1924" i="1"/>
  <c r="E1924" i="1"/>
  <c r="G1924" i="1"/>
  <c r="K1924" i="1"/>
  <c r="A1925" i="1"/>
  <c r="B1925" i="1"/>
  <c r="C1925" i="1"/>
  <c r="E1925" i="1"/>
  <c r="G1925" i="1"/>
  <c r="K1925" i="1"/>
  <c r="A1926" i="1"/>
  <c r="B1926" i="1"/>
  <c r="C1926" i="1"/>
  <c r="E1926" i="1"/>
  <c r="G1926" i="1"/>
  <c r="K1926" i="1"/>
  <c r="A1927" i="1"/>
  <c r="B1927" i="1"/>
  <c r="C1927" i="1"/>
  <c r="E1927" i="1"/>
  <c r="G1927" i="1"/>
  <c r="K1927" i="1"/>
  <c r="A1928" i="1"/>
  <c r="B1928" i="1"/>
  <c r="C1928" i="1"/>
  <c r="E1928" i="1"/>
  <c r="G1928" i="1"/>
  <c r="K1928" i="1"/>
  <c r="A1929" i="1"/>
  <c r="B1929" i="1"/>
  <c r="C1929" i="1"/>
  <c r="E1929" i="1"/>
  <c r="G1929" i="1"/>
  <c r="K1929" i="1"/>
  <c r="A1930" i="1"/>
  <c r="B1930" i="1"/>
  <c r="C1930" i="1"/>
  <c r="E1930" i="1"/>
  <c r="G1930" i="1"/>
  <c r="K1930" i="1"/>
  <c r="A1931" i="1"/>
  <c r="B1931" i="1"/>
  <c r="C1931" i="1"/>
  <c r="E1931" i="1"/>
  <c r="G1931" i="1"/>
  <c r="K1931" i="1"/>
  <c r="A1932" i="1"/>
  <c r="B1932" i="1"/>
  <c r="C1932" i="1"/>
  <c r="E1932" i="1"/>
  <c r="G1932" i="1"/>
  <c r="K1932" i="1"/>
  <c r="A1933" i="1"/>
  <c r="B1933" i="1"/>
  <c r="C1933" i="1"/>
  <c r="E1933" i="1"/>
  <c r="G1933" i="1"/>
  <c r="K1933" i="1"/>
  <c r="A1934" i="1"/>
  <c r="B1934" i="1"/>
  <c r="C1934" i="1"/>
  <c r="E1934" i="1"/>
  <c r="G1934" i="1"/>
  <c r="K1934" i="1"/>
  <c r="A1935" i="1"/>
  <c r="B1935" i="1"/>
  <c r="C1935" i="1"/>
  <c r="E1935" i="1"/>
  <c r="G1935" i="1"/>
  <c r="K1935" i="1"/>
  <c r="A1936" i="1"/>
  <c r="B1936" i="1"/>
  <c r="C1936" i="1"/>
  <c r="E1936" i="1"/>
  <c r="G1936" i="1"/>
  <c r="K1936" i="1"/>
  <c r="A1937" i="1"/>
  <c r="B1937" i="1"/>
  <c r="C1937" i="1"/>
  <c r="E1937" i="1"/>
  <c r="G1937" i="1"/>
  <c r="K1937" i="1"/>
  <c r="A1938" i="1"/>
  <c r="B1938" i="1"/>
  <c r="C1938" i="1"/>
  <c r="E1938" i="1"/>
  <c r="G1938" i="1"/>
  <c r="K1938" i="1"/>
  <c r="A1939" i="1"/>
  <c r="B1939" i="1"/>
  <c r="C1939" i="1"/>
  <c r="E1939" i="1"/>
  <c r="G1939" i="1"/>
  <c r="K1939" i="1"/>
  <c r="A1940" i="1"/>
  <c r="B1940" i="1"/>
  <c r="C1940" i="1"/>
  <c r="E1940" i="1"/>
  <c r="G1940" i="1"/>
  <c r="K1940" i="1"/>
  <c r="A1941" i="1"/>
  <c r="B1941" i="1"/>
  <c r="C1941" i="1"/>
  <c r="E1941" i="1"/>
  <c r="G1941" i="1"/>
  <c r="K1941" i="1"/>
  <c r="A1942" i="1"/>
  <c r="B1942" i="1"/>
  <c r="C1942" i="1"/>
  <c r="E1942" i="1"/>
  <c r="G1942" i="1"/>
  <c r="K1942" i="1"/>
  <c r="A1943" i="1"/>
  <c r="B1943" i="1"/>
  <c r="C1943" i="1"/>
  <c r="E1943" i="1"/>
  <c r="G1943" i="1"/>
  <c r="K1943" i="1"/>
  <c r="A1944" i="1"/>
  <c r="B1944" i="1"/>
  <c r="C1944" i="1"/>
  <c r="E1944" i="1"/>
  <c r="G1944" i="1"/>
  <c r="K1944" i="1"/>
  <c r="A1945" i="1"/>
  <c r="B1945" i="1"/>
  <c r="C1945" i="1"/>
  <c r="E1945" i="1"/>
  <c r="G1945" i="1"/>
  <c r="K1945" i="1"/>
  <c r="A1946" i="1"/>
  <c r="B1946" i="1"/>
  <c r="C1946" i="1"/>
  <c r="E1946" i="1"/>
  <c r="G1946" i="1"/>
  <c r="K1946" i="1"/>
  <c r="A1947" i="1"/>
  <c r="B1947" i="1"/>
  <c r="C1947" i="1"/>
  <c r="E1947" i="1"/>
  <c r="G1947" i="1"/>
  <c r="K1947" i="1"/>
  <c r="A1948" i="1"/>
  <c r="B1948" i="1"/>
  <c r="C1948" i="1"/>
  <c r="E1948" i="1"/>
  <c r="G1948" i="1"/>
  <c r="K1948" i="1"/>
  <c r="A1949" i="1"/>
  <c r="B1949" i="1"/>
  <c r="C1949" i="1"/>
  <c r="E1949" i="1"/>
  <c r="G1949" i="1"/>
  <c r="K1949" i="1"/>
  <c r="A1950" i="1"/>
  <c r="B1950" i="1"/>
  <c r="C1950" i="1"/>
  <c r="E1950" i="1"/>
  <c r="G1950" i="1"/>
  <c r="K1950" i="1"/>
  <c r="A1951" i="1"/>
  <c r="B1951" i="1"/>
  <c r="C1951" i="1"/>
  <c r="E1951" i="1"/>
  <c r="G1951" i="1"/>
  <c r="K1951" i="1"/>
  <c r="A1952" i="1"/>
  <c r="B1952" i="1"/>
  <c r="C1952" i="1"/>
  <c r="E1952" i="1"/>
  <c r="G1952" i="1"/>
  <c r="K1952" i="1"/>
  <c r="A1953" i="1"/>
  <c r="B1953" i="1"/>
  <c r="C1953" i="1"/>
  <c r="E1953" i="1"/>
  <c r="G1953" i="1"/>
  <c r="K1953" i="1"/>
  <c r="A1954" i="1"/>
  <c r="B1954" i="1"/>
  <c r="C1954" i="1"/>
  <c r="E1954" i="1"/>
  <c r="G1954" i="1"/>
  <c r="K1954" i="1"/>
  <c r="A1955" i="1"/>
  <c r="B1955" i="1"/>
  <c r="C1955" i="1"/>
  <c r="E1955" i="1"/>
  <c r="G1955" i="1"/>
  <c r="K1955" i="1"/>
  <c r="A1956" i="1"/>
  <c r="B1956" i="1"/>
  <c r="C1956" i="1"/>
  <c r="E1956" i="1"/>
  <c r="G1956" i="1"/>
  <c r="K1956" i="1"/>
  <c r="A1957" i="1"/>
  <c r="B1957" i="1"/>
  <c r="C1957" i="1"/>
  <c r="E1957" i="1"/>
  <c r="G1957" i="1"/>
  <c r="K1957" i="1"/>
  <c r="A1958" i="1"/>
  <c r="B1958" i="1"/>
  <c r="C1958" i="1"/>
  <c r="E1958" i="1"/>
  <c r="G1958" i="1"/>
  <c r="K1958" i="1"/>
  <c r="A1959" i="1"/>
  <c r="B1959" i="1"/>
  <c r="C1959" i="1"/>
  <c r="E1959" i="1"/>
  <c r="G1959" i="1"/>
  <c r="K1959" i="1"/>
  <c r="A1960" i="1"/>
  <c r="B1960" i="1"/>
  <c r="C1960" i="1"/>
  <c r="E1960" i="1"/>
  <c r="G1960" i="1"/>
  <c r="K1960" i="1"/>
  <c r="A1961" i="1"/>
  <c r="B1961" i="1"/>
  <c r="C1961" i="1"/>
  <c r="E1961" i="1"/>
  <c r="G1961" i="1"/>
  <c r="K1961" i="1"/>
  <c r="A1962" i="1"/>
  <c r="B1962" i="1"/>
  <c r="C1962" i="1"/>
  <c r="E1962" i="1"/>
  <c r="G1962" i="1"/>
  <c r="K1962" i="1"/>
  <c r="A1963" i="1"/>
  <c r="B1963" i="1"/>
  <c r="C1963" i="1"/>
  <c r="E1963" i="1"/>
  <c r="G1963" i="1"/>
  <c r="K1963" i="1"/>
  <c r="A1964" i="1"/>
  <c r="B1964" i="1"/>
  <c r="C1964" i="1"/>
  <c r="E1964" i="1"/>
  <c r="G1964" i="1"/>
  <c r="K1964" i="1"/>
  <c r="A1965" i="1"/>
  <c r="B1965" i="1"/>
  <c r="C1965" i="1"/>
  <c r="E1965" i="1"/>
  <c r="G1965" i="1"/>
  <c r="K1965" i="1"/>
  <c r="A1966" i="1"/>
  <c r="B1966" i="1"/>
  <c r="C1966" i="1"/>
  <c r="E1966" i="1"/>
  <c r="G1966" i="1"/>
  <c r="K1966" i="1"/>
  <c r="A1967" i="1"/>
  <c r="B1967" i="1"/>
  <c r="C1967" i="1"/>
  <c r="E1967" i="1"/>
  <c r="G1967" i="1"/>
  <c r="K1967" i="1"/>
  <c r="A1968" i="1"/>
  <c r="B1968" i="1"/>
  <c r="C1968" i="1"/>
  <c r="E1968" i="1"/>
  <c r="G1968" i="1"/>
  <c r="K1968" i="1"/>
  <c r="A1969" i="1"/>
  <c r="B1969" i="1"/>
  <c r="C1969" i="1"/>
  <c r="E1969" i="1"/>
  <c r="G1969" i="1"/>
  <c r="K1969" i="1"/>
  <c r="A1970" i="1"/>
  <c r="B1970" i="1"/>
  <c r="C1970" i="1"/>
  <c r="E1970" i="1"/>
  <c r="G1970" i="1"/>
  <c r="K1970" i="1"/>
  <c r="A1971" i="1"/>
  <c r="B1971" i="1"/>
  <c r="C1971" i="1"/>
  <c r="E1971" i="1"/>
  <c r="G1971" i="1"/>
  <c r="K1971" i="1"/>
  <c r="A1972" i="1"/>
  <c r="B1972" i="1"/>
  <c r="C1972" i="1"/>
  <c r="E1972" i="1"/>
  <c r="G1972" i="1"/>
  <c r="K1972" i="1"/>
  <c r="A1973" i="1"/>
  <c r="B1973" i="1"/>
  <c r="C1973" i="1"/>
  <c r="E1973" i="1"/>
  <c r="G1973" i="1"/>
  <c r="K1973" i="1"/>
  <c r="A1974" i="1"/>
  <c r="B1974" i="1"/>
  <c r="C1974" i="1"/>
  <c r="E1974" i="1"/>
  <c r="G1974" i="1"/>
  <c r="K1974" i="1"/>
  <c r="A1975" i="1"/>
  <c r="B1975" i="1"/>
  <c r="C1975" i="1"/>
  <c r="E1975" i="1"/>
  <c r="G1975" i="1"/>
  <c r="K1975" i="1"/>
  <c r="A1976" i="1"/>
  <c r="B1976" i="1"/>
  <c r="C1976" i="1"/>
  <c r="E1976" i="1"/>
  <c r="G1976" i="1"/>
  <c r="K1976" i="1"/>
  <c r="A1977" i="1"/>
  <c r="B1977" i="1"/>
  <c r="C1977" i="1"/>
  <c r="E1977" i="1"/>
  <c r="G1977" i="1"/>
  <c r="K1977" i="1"/>
  <c r="A1978" i="1"/>
  <c r="B1978" i="1"/>
  <c r="C1978" i="1"/>
  <c r="E1978" i="1"/>
  <c r="G1978" i="1"/>
  <c r="K1978" i="1"/>
  <c r="A1979" i="1"/>
  <c r="B1979" i="1"/>
  <c r="C1979" i="1"/>
  <c r="E1979" i="1"/>
  <c r="G1979" i="1"/>
  <c r="K1979" i="1"/>
  <c r="A1980" i="1"/>
  <c r="B1980" i="1"/>
  <c r="C1980" i="1"/>
  <c r="E1980" i="1"/>
  <c r="G1980" i="1"/>
  <c r="K1980" i="1"/>
  <c r="A1981" i="1"/>
  <c r="B1981" i="1"/>
  <c r="C1981" i="1"/>
  <c r="E1981" i="1"/>
  <c r="G1981" i="1"/>
  <c r="K1981" i="1"/>
  <c r="A1982" i="1"/>
  <c r="B1982" i="1"/>
  <c r="C1982" i="1"/>
  <c r="E1982" i="1"/>
  <c r="G1982" i="1"/>
  <c r="K1982" i="1"/>
  <c r="A1983" i="1"/>
  <c r="B1983" i="1"/>
  <c r="C1983" i="1"/>
  <c r="E1983" i="1"/>
  <c r="G1983" i="1"/>
  <c r="K1983" i="1"/>
  <c r="A1984" i="1"/>
  <c r="B1984" i="1"/>
  <c r="C1984" i="1"/>
  <c r="E1984" i="1"/>
  <c r="G1984" i="1"/>
  <c r="K1984" i="1"/>
  <c r="A1985" i="1"/>
  <c r="B1985" i="1"/>
  <c r="C1985" i="1"/>
  <c r="E1985" i="1"/>
  <c r="G1985" i="1"/>
  <c r="K1985" i="1"/>
  <c r="A1986" i="1"/>
  <c r="B1986" i="1"/>
  <c r="C1986" i="1"/>
  <c r="E1986" i="1"/>
  <c r="G1986" i="1"/>
  <c r="K1986" i="1"/>
  <c r="A1987" i="1"/>
  <c r="B1987" i="1"/>
  <c r="C1987" i="1"/>
  <c r="E1987" i="1"/>
  <c r="G1987" i="1"/>
  <c r="K1987" i="1"/>
  <c r="A1988" i="1"/>
  <c r="B1988" i="1"/>
  <c r="C1988" i="1"/>
  <c r="E1988" i="1"/>
  <c r="G1988" i="1"/>
  <c r="K1988" i="1"/>
  <c r="A1989" i="1"/>
  <c r="B1989" i="1"/>
  <c r="C1989" i="1"/>
  <c r="E1989" i="1"/>
  <c r="G1989" i="1"/>
  <c r="K1989" i="1"/>
  <c r="A1990" i="1"/>
  <c r="B1990" i="1"/>
  <c r="C1990" i="1"/>
  <c r="E1990" i="1"/>
  <c r="G1990" i="1"/>
  <c r="K1990" i="1"/>
  <c r="A1991" i="1"/>
  <c r="B1991" i="1"/>
  <c r="C1991" i="1"/>
  <c r="E1991" i="1"/>
  <c r="G1991" i="1"/>
  <c r="K1991" i="1"/>
  <c r="A1992" i="1"/>
  <c r="B1992" i="1"/>
  <c r="C1992" i="1"/>
  <c r="E1992" i="1"/>
  <c r="G1992" i="1"/>
  <c r="K1992" i="1"/>
  <c r="A1993" i="1"/>
  <c r="B1993" i="1"/>
  <c r="C1993" i="1"/>
  <c r="E1993" i="1"/>
  <c r="G1993" i="1"/>
  <c r="K1993" i="1"/>
  <c r="A1994" i="1"/>
  <c r="B1994" i="1"/>
  <c r="C1994" i="1"/>
  <c r="E1994" i="1"/>
  <c r="G1994" i="1"/>
  <c r="K1994" i="1"/>
  <c r="A1995" i="1"/>
  <c r="B1995" i="1"/>
  <c r="C1995" i="1"/>
  <c r="E1995" i="1"/>
  <c r="G1995" i="1"/>
  <c r="K1995" i="1"/>
  <c r="A1996" i="1"/>
  <c r="B1996" i="1"/>
  <c r="C1996" i="1"/>
  <c r="E1996" i="1"/>
  <c r="G1996" i="1"/>
  <c r="K1996" i="1"/>
  <c r="A1997" i="1"/>
  <c r="B1997" i="1"/>
  <c r="C1997" i="1"/>
  <c r="E1997" i="1"/>
  <c r="G1997" i="1"/>
  <c r="K1997" i="1"/>
  <c r="A1998" i="1"/>
  <c r="B1998" i="1"/>
  <c r="C1998" i="1"/>
  <c r="E1998" i="1"/>
  <c r="G1998" i="1"/>
  <c r="K1998" i="1"/>
  <c r="A1999" i="1"/>
  <c r="B1999" i="1"/>
  <c r="C1999" i="1"/>
  <c r="E1999" i="1"/>
  <c r="G1999" i="1"/>
  <c r="K1999" i="1"/>
  <c r="A2000" i="1"/>
  <c r="B2000" i="1"/>
  <c r="C2000" i="1"/>
  <c r="E2000" i="1"/>
  <c r="G2000" i="1"/>
  <c r="K2000" i="1"/>
  <c r="A2001" i="1"/>
  <c r="B2001" i="1"/>
  <c r="C2001" i="1"/>
  <c r="E2001" i="1"/>
  <c r="G2001" i="1"/>
  <c r="K2001" i="1"/>
  <c r="A2002" i="1"/>
  <c r="B2002" i="1"/>
  <c r="C2002" i="1"/>
  <c r="E2002" i="1"/>
  <c r="G2002" i="1"/>
  <c r="K2002" i="1"/>
  <c r="A2003" i="1"/>
  <c r="B2003" i="1"/>
  <c r="C2003" i="1"/>
  <c r="E2003" i="1"/>
  <c r="G2003" i="1"/>
  <c r="K2003" i="1"/>
  <c r="A2004" i="1"/>
  <c r="B2004" i="1"/>
  <c r="C2004" i="1"/>
  <c r="E2004" i="1"/>
  <c r="G2004" i="1"/>
  <c r="K2004" i="1"/>
  <c r="A2005" i="1"/>
  <c r="B2005" i="1"/>
  <c r="C2005" i="1"/>
  <c r="E2005" i="1"/>
  <c r="G2005" i="1"/>
  <c r="K2005" i="1"/>
  <c r="A2006" i="1"/>
  <c r="B2006" i="1"/>
  <c r="C2006" i="1"/>
  <c r="E2006" i="1"/>
  <c r="G2006" i="1"/>
  <c r="K2006" i="1"/>
  <c r="A2007" i="1"/>
  <c r="B2007" i="1"/>
  <c r="C2007" i="1"/>
  <c r="E2007" i="1"/>
  <c r="G2007" i="1"/>
  <c r="K2007" i="1"/>
  <c r="A2008" i="1"/>
  <c r="B2008" i="1"/>
  <c r="C2008" i="1"/>
  <c r="E2008" i="1"/>
  <c r="G2008" i="1"/>
  <c r="K2008" i="1"/>
  <c r="A2009" i="1"/>
  <c r="B2009" i="1"/>
  <c r="C2009" i="1"/>
  <c r="E2009" i="1"/>
  <c r="G2009" i="1"/>
  <c r="K2009" i="1"/>
  <c r="A2010" i="1"/>
  <c r="B2010" i="1"/>
  <c r="C2010" i="1"/>
  <c r="E2010" i="1"/>
  <c r="G2010" i="1"/>
  <c r="K2010" i="1"/>
  <c r="A2011" i="1"/>
  <c r="B2011" i="1"/>
  <c r="C2011" i="1"/>
  <c r="E2011" i="1"/>
  <c r="G2011" i="1"/>
  <c r="K2011" i="1"/>
  <c r="A2012" i="1"/>
  <c r="B2012" i="1"/>
  <c r="C2012" i="1"/>
  <c r="E2012" i="1"/>
  <c r="G2012" i="1"/>
  <c r="K2012" i="1"/>
  <c r="A2013" i="1"/>
  <c r="B2013" i="1"/>
  <c r="C2013" i="1"/>
  <c r="E2013" i="1"/>
  <c r="G2013" i="1"/>
  <c r="K2013" i="1"/>
  <c r="A2014" i="1"/>
  <c r="B2014" i="1"/>
  <c r="C2014" i="1"/>
  <c r="E2014" i="1"/>
  <c r="G2014" i="1"/>
  <c r="K2014" i="1"/>
  <c r="A2015" i="1"/>
  <c r="B2015" i="1"/>
  <c r="C2015" i="1"/>
  <c r="E2015" i="1"/>
  <c r="G2015" i="1"/>
  <c r="K2015" i="1"/>
  <c r="A2016" i="1"/>
  <c r="B2016" i="1"/>
  <c r="C2016" i="1"/>
  <c r="E2016" i="1"/>
  <c r="G2016" i="1"/>
  <c r="K2016" i="1"/>
  <c r="A2017" i="1"/>
  <c r="B2017" i="1"/>
  <c r="C2017" i="1"/>
  <c r="E2017" i="1"/>
  <c r="G2017" i="1"/>
  <c r="K2017" i="1"/>
  <c r="A2018" i="1"/>
  <c r="B2018" i="1"/>
  <c r="C2018" i="1"/>
  <c r="E2018" i="1"/>
  <c r="G2018" i="1"/>
  <c r="K2018" i="1"/>
  <c r="A2019" i="1"/>
  <c r="B2019" i="1"/>
  <c r="C2019" i="1"/>
  <c r="E2019" i="1"/>
  <c r="G2019" i="1"/>
  <c r="K2019" i="1"/>
  <c r="A2020" i="1"/>
  <c r="B2020" i="1"/>
  <c r="C2020" i="1"/>
  <c r="E2020" i="1"/>
  <c r="G2020" i="1"/>
  <c r="K2020" i="1"/>
  <c r="A2021" i="1"/>
  <c r="B2021" i="1"/>
  <c r="C2021" i="1"/>
  <c r="E2021" i="1"/>
  <c r="G2021" i="1"/>
  <c r="K2021" i="1"/>
  <c r="A2022" i="1"/>
  <c r="B2022" i="1"/>
  <c r="C2022" i="1"/>
  <c r="E2022" i="1"/>
  <c r="G2022" i="1"/>
  <c r="K2022" i="1"/>
  <c r="A2023" i="1"/>
  <c r="B2023" i="1"/>
  <c r="C2023" i="1"/>
  <c r="E2023" i="1"/>
  <c r="G2023" i="1"/>
  <c r="K2023" i="1"/>
  <c r="A2024" i="1"/>
  <c r="B2024" i="1"/>
  <c r="C2024" i="1"/>
  <c r="E2024" i="1"/>
  <c r="G2024" i="1"/>
  <c r="K2024" i="1"/>
  <c r="A2025" i="1"/>
  <c r="B2025" i="1"/>
  <c r="C2025" i="1"/>
  <c r="E2025" i="1"/>
  <c r="G2025" i="1"/>
  <c r="K2025" i="1"/>
  <c r="A2026" i="1"/>
  <c r="B2026" i="1"/>
  <c r="C2026" i="1"/>
  <c r="E2026" i="1"/>
  <c r="G2026" i="1"/>
  <c r="K2026" i="1"/>
  <c r="A2027" i="1"/>
  <c r="B2027" i="1"/>
  <c r="C2027" i="1"/>
  <c r="E2027" i="1"/>
  <c r="G2027" i="1"/>
  <c r="K2027" i="1"/>
  <c r="A2028" i="1"/>
  <c r="B2028" i="1"/>
  <c r="C2028" i="1"/>
  <c r="E2028" i="1"/>
  <c r="G2028" i="1"/>
  <c r="K2028" i="1"/>
  <c r="A2029" i="1"/>
  <c r="B2029" i="1"/>
  <c r="C2029" i="1"/>
  <c r="E2029" i="1"/>
  <c r="G2029" i="1"/>
  <c r="K2029" i="1"/>
  <c r="A2030" i="1"/>
  <c r="B2030" i="1"/>
  <c r="C2030" i="1"/>
  <c r="E2030" i="1"/>
  <c r="G2030" i="1"/>
  <c r="K2030" i="1"/>
  <c r="A2031" i="1"/>
  <c r="B2031" i="1"/>
  <c r="C2031" i="1"/>
  <c r="E2031" i="1"/>
  <c r="G2031" i="1"/>
  <c r="K2031" i="1"/>
  <c r="A2032" i="1"/>
  <c r="B2032" i="1"/>
  <c r="C2032" i="1"/>
  <c r="E2032" i="1"/>
  <c r="G2032" i="1"/>
  <c r="K2032" i="1"/>
  <c r="A2033" i="1"/>
  <c r="B2033" i="1"/>
  <c r="C2033" i="1"/>
  <c r="E2033" i="1"/>
  <c r="G2033" i="1"/>
  <c r="K2033" i="1"/>
  <c r="A2034" i="1"/>
  <c r="B2034" i="1"/>
  <c r="C2034" i="1"/>
  <c r="E2034" i="1"/>
  <c r="G2034" i="1"/>
  <c r="K2034" i="1"/>
  <c r="A2035" i="1"/>
  <c r="B2035" i="1"/>
  <c r="C2035" i="1"/>
  <c r="E2035" i="1"/>
  <c r="G2035" i="1"/>
  <c r="K2035" i="1"/>
  <c r="A2036" i="1"/>
  <c r="B2036" i="1"/>
  <c r="C2036" i="1"/>
  <c r="E2036" i="1"/>
  <c r="G2036" i="1"/>
  <c r="K2036" i="1"/>
  <c r="A2037" i="1"/>
  <c r="B2037" i="1"/>
  <c r="C2037" i="1"/>
  <c r="E2037" i="1"/>
  <c r="G2037" i="1"/>
  <c r="K2037" i="1"/>
  <c r="A2038" i="1"/>
  <c r="B2038" i="1"/>
  <c r="C2038" i="1"/>
  <c r="E2038" i="1"/>
  <c r="G2038" i="1"/>
  <c r="K2038" i="1"/>
  <c r="A2039" i="1"/>
  <c r="B2039" i="1"/>
  <c r="C2039" i="1"/>
  <c r="E2039" i="1"/>
  <c r="G2039" i="1"/>
  <c r="K2039" i="1"/>
  <c r="A2040" i="1"/>
  <c r="B2040" i="1"/>
  <c r="C2040" i="1"/>
  <c r="E2040" i="1"/>
  <c r="G2040" i="1"/>
  <c r="K2040" i="1"/>
  <c r="A2041" i="1"/>
  <c r="B2041" i="1"/>
  <c r="C2041" i="1"/>
  <c r="E2041" i="1"/>
  <c r="G2041" i="1"/>
  <c r="K2041" i="1"/>
  <c r="A2042" i="1"/>
  <c r="B2042" i="1"/>
  <c r="C2042" i="1"/>
  <c r="E2042" i="1"/>
  <c r="G2042" i="1"/>
  <c r="K2042" i="1"/>
  <c r="A2043" i="1"/>
  <c r="B2043" i="1"/>
  <c r="C2043" i="1"/>
  <c r="E2043" i="1"/>
  <c r="G2043" i="1"/>
  <c r="K2043" i="1"/>
  <c r="A2044" i="1"/>
  <c r="B2044" i="1"/>
  <c r="C2044" i="1"/>
  <c r="E2044" i="1"/>
  <c r="G2044" i="1"/>
  <c r="K2044" i="1"/>
  <c r="A2045" i="1"/>
  <c r="B2045" i="1"/>
  <c r="C2045" i="1"/>
  <c r="E2045" i="1"/>
  <c r="G2045" i="1"/>
  <c r="K2045" i="1"/>
  <c r="A2046" i="1"/>
  <c r="B2046" i="1"/>
  <c r="C2046" i="1"/>
  <c r="E2046" i="1"/>
  <c r="G2046" i="1"/>
  <c r="K2046" i="1"/>
  <c r="A2047" i="1"/>
  <c r="B2047" i="1"/>
  <c r="C2047" i="1"/>
  <c r="E2047" i="1"/>
  <c r="G2047" i="1"/>
  <c r="K2047" i="1"/>
  <c r="A2048" i="1"/>
  <c r="B2048" i="1"/>
  <c r="C2048" i="1"/>
  <c r="E2048" i="1"/>
  <c r="G2048" i="1"/>
  <c r="K2048" i="1"/>
  <c r="A2049" i="1"/>
  <c r="B2049" i="1"/>
  <c r="C2049" i="1"/>
  <c r="E2049" i="1"/>
  <c r="G2049" i="1"/>
  <c r="K2049" i="1"/>
  <c r="A2050" i="1"/>
  <c r="B2050" i="1"/>
  <c r="C2050" i="1"/>
  <c r="E2050" i="1"/>
  <c r="G2050" i="1"/>
  <c r="K2050" i="1"/>
  <c r="A2051" i="1"/>
  <c r="B2051" i="1"/>
  <c r="C2051" i="1"/>
  <c r="E2051" i="1"/>
  <c r="G2051" i="1"/>
  <c r="K2051" i="1"/>
  <c r="A2052" i="1"/>
  <c r="B2052" i="1"/>
  <c r="C2052" i="1"/>
  <c r="E2052" i="1"/>
  <c r="G2052" i="1"/>
  <c r="K2052" i="1"/>
  <c r="A2053" i="1"/>
  <c r="B2053" i="1"/>
  <c r="C2053" i="1"/>
  <c r="E2053" i="1"/>
  <c r="G2053" i="1"/>
  <c r="K2053" i="1"/>
  <c r="A2054" i="1"/>
  <c r="B2054" i="1"/>
  <c r="C2054" i="1"/>
  <c r="E2054" i="1"/>
  <c r="G2054" i="1"/>
  <c r="K2054" i="1"/>
  <c r="A2055" i="1"/>
  <c r="B2055" i="1"/>
  <c r="C2055" i="1"/>
  <c r="E2055" i="1"/>
  <c r="G2055" i="1"/>
  <c r="K2055" i="1"/>
  <c r="A2056" i="1"/>
  <c r="B2056" i="1"/>
  <c r="C2056" i="1"/>
  <c r="E2056" i="1"/>
  <c r="G2056" i="1"/>
  <c r="K2056" i="1"/>
  <c r="A2057" i="1"/>
  <c r="B2057" i="1"/>
  <c r="C2057" i="1"/>
  <c r="E2057" i="1"/>
  <c r="G2057" i="1"/>
  <c r="K2057" i="1"/>
  <c r="A2058" i="1"/>
  <c r="B2058" i="1"/>
  <c r="C2058" i="1"/>
  <c r="E2058" i="1"/>
  <c r="G2058" i="1"/>
  <c r="K2058" i="1"/>
  <c r="A2059" i="1"/>
  <c r="B2059" i="1"/>
  <c r="C2059" i="1"/>
  <c r="E2059" i="1"/>
  <c r="G2059" i="1"/>
  <c r="K2059" i="1"/>
  <c r="A2060" i="1"/>
  <c r="B2060" i="1"/>
  <c r="C2060" i="1"/>
  <c r="E2060" i="1"/>
  <c r="G2060" i="1"/>
  <c r="K2060" i="1"/>
  <c r="A2061" i="1"/>
  <c r="B2061" i="1"/>
  <c r="C2061" i="1"/>
  <c r="E2061" i="1"/>
  <c r="G2061" i="1"/>
  <c r="K2061" i="1"/>
  <c r="A2062" i="1"/>
  <c r="B2062" i="1"/>
  <c r="C2062" i="1"/>
  <c r="E2062" i="1"/>
  <c r="G2062" i="1"/>
  <c r="K2062" i="1"/>
  <c r="A2063" i="1"/>
  <c r="B2063" i="1"/>
  <c r="C2063" i="1"/>
  <c r="E2063" i="1"/>
  <c r="G2063" i="1"/>
  <c r="K2063" i="1"/>
  <c r="A2064" i="1"/>
  <c r="B2064" i="1"/>
  <c r="C2064" i="1"/>
  <c r="E2064" i="1"/>
  <c r="G2064" i="1"/>
  <c r="K2064" i="1"/>
  <c r="A2065" i="1"/>
  <c r="B2065" i="1"/>
  <c r="C2065" i="1"/>
  <c r="E2065" i="1"/>
  <c r="G2065" i="1"/>
  <c r="K2065" i="1"/>
  <c r="A2066" i="1"/>
  <c r="B2066" i="1"/>
  <c r="C2066" i="1"/>
  <c r="E2066" i="1"/>
  <c r="G2066" i="1"/>
  <c r="K2066" i="1"/>
  <c r="A2067" i="1"/>
  <c r="B2067" i="1"/>
  <c r="C2067" i="1"/>
  <c r="E2067" i="1"/>
  <c r="G2067" i="1"/>
  <c r="K2067" i="1"/>
  <c r="A2068" i="1"/>
  <c r="B2068" i="1"/>
  <c r="C2068" i="1"/>
  <c r="E2068" i="1"/>
  <c r="G2068" i="1"/>
  <c r="K2068" i="1"/>
  <c r="A2069" i="1"/>
  <c r="B2069" i="1"/>
  <c r="C2069" i="1"/>
  <c r="E2069" i="1"/>
  <c r="G2069" i="1"/>
  <c r="K2069" i="1"/>
  <c r="A2070" i="1"/>
  <c r="B2070" i="1"/>
  <c r="C2070" i="1"/>
  <c r="E2070" i="1"/>
  <c r="G2070" i="1"/>
  <c r="K2070" i="1"/>
  <c r="A2071" i="1"/>
  <c r="B2071" i="1"/>
  <c r="C2071" i="1"/>
  <c r="E2071" i="1"/>
  <c r="G2071" i="1"/>
  <c r="K2071" i="1"/>
  <c r="A2072" i="1"/>
  <c r="B2072" i="1"/>
  <c r="C2072" i="1"/>
  <c r="E2072" i="1"/>
  <c r="G2072" i="1"/>
  <c r="K2072" i="1"/>
  <c r="A2073" i="1"/>
  <c r="B2073" i="1"/>
  <c r="C2073" i="1"/>
  <c r="E2073" i="1"/>
  <c r="G2073" i="1"/>
  <c r="K2073" i="1"/>
  <c r="A2074" i="1"/>
  <c r="B2074" i="1"/>
  <c r="C2074" i="1"/>
  <c r="E2074" i="1"/>
  <c r="G2074" i="1"/>
  <c r="K2074" i="1"/>
  <c r="A2075" i="1"/>
  <c r="B2075" i="1"/>
  <c r="C2075" i="1"/>
  <c r="E2075" i="1"/>
  <c r="G2075" i="1"/>
  <c r="K2075" i="1"/>
  <c r="A2076" i="1"/>
  <c r="B2076" i="1"/>
  <c r="C2076" i="1"/>
  <c r="E2076" i="1"/>
  <c r="G2076" i="1"/>
  <c r="K2076" i="1"/>
  <c r="A2077" i="1"/>
  <c r="B2077" i="1"/>
  <c r="C2077" i="1"/>
  <c r="E2077" i="1"/>
  <c r="G2077" i="1"/>
  <c r="K2077" i="1"/>
  <c r="A2078" i="1"/>
  <c r="B2078" i="1"/>
  <c r="C2078" i="1"/>
  <c r="E2078" i="1"/>
  <c r="G2078" i="1"/>
  <c r="K2078" i="1"/>
  <c r="A2079" i="1"/>
  <c r="B2079" i="1"/>
  <c r="C2079" i="1"/>
  <c r="E2079" i="1"/>
  <c r="G2079" i="1"/>
  <c r="K2079" i="1"/>
  <c r="A2080" i="1"/>
  <c r="B2080" i="1"/>
  <c r="C2080" i="1"/>
  <c r="E2080" i="1"/>
  <c r="G2080" i="1"/>
  <c r="K2080" i="1"/>
  <c r="A2081" i="1"/>
  <c r="B2081" i="1"/>
  <c r="C2081" i="1"/>
  <c r="E2081" i="1"/>
  <c r="G2081" i="1"/>
  <c r="K2081" i="1"/>
  <c r="A2082" i="1"/>
  <c r="B2082" i="1"/>
  <c r="C2082" i="1"/>
  <c r="E2082" i="1"/>
  <c r="G2082" i="1"/>
  <c r="K2082" i="1"/>
  <c r="A2083" i="1"/>
  <c r="B2083" i="1"/>
  <c r="C2083" i="1"/>
  <c r="E2083" i="1"/>
  <c r="G2083" i="1"/>
  <c r="K2083" i="1"/>
  <c r="A2084" i="1"/>
  <c r="B2084" i="1"/>
  <c r="C2084" i="1"/>
  <c r="E2084" i="1"/>
  <c r="G2084" i="1"/>
  <c r="K2084" i="1"/>
  <c r="A2085" i="1"/>
  <c r="B2085" i="1"/>
  <c r="C2085" i="1"/>
  <c r="E2085" i="1"/>
  <c r="G2085" i="1"/>
  <c r="K2085" i="1"/>
  <c r="A2086" i="1"/>
  <c r="B2086" i="1"/>
  <c r="C2086" i="1"/>
  <c r="E2086" i="1"/>
  <c r="G2086" i="1"/>
  <c r="K2086" i="1"/>
  <c r="A2087" i="1"/>
  <c r="B2087" i="1"/>
  <c r="C2087" i="1"/>
  <c r="E2087" i="1"/>
  <c r="G2087" i="1"/>
  <c r="K2087" i="1"/>
  <c r="A2088" i="1"/>
  <c r="B2088" i="1"/>
  <c r="C2088" i="1"/>
  <c r="E2088" i="1"/>
  <c r="G2088" i="1"/>
  <c r="K2088" i="1"/>
  <c r="A2089" i="1"/>
  <c r="B2089" i="1"/>
  <c r="C2089" i="1"/>
  <c r="E2089" i="1"/>
  <c r="G2089" i="1"/>
  <c r="K2089" i="1"/>
  <c r="A2090" i="1"/>
  <c r="B2090" i="1"/>
  <c r="C2090" i="1"/>
  <c r="E2090" i="1"/>
  <c r="G2090" i="1"/>
  <c r="K2090" i="1"/>
  <c r="A2091" i="1"/>
  <c r="B2091" i="1"/>
  <c r="C2091" i="1"/>
  <c r="E2091" i="1"/>
  <c r="G2091" i="1"/>
  <c r="K2091" i="1"/>
  <c r="A2092" i="1"/>
  <c r="B2092" i="1"/>
  <c r="C2092" i="1"/>
  <c r="E2092" i="1"/>
  <c r="G2092" i="1"/>
  <c r="K2092" i="1"/>
  <c r="A2093" i="1"/>
  <c r="B2093" i="1"/>
  <c r="C2093" i="1"/>
  <c r="E2093" i="1"/>
  <c r="G2093" i="1"/>
  <c r="K2093" i="1"/>
  <c r="A2094" i="1"/>
  <c r="B2094" i="1"/>
  <c r="C2094" i="1"/>
  <c r="E2094" i="1"/>
  <c r="G2094" i="1"/>
  <c r="K2094" i="1"/>
  <c r="A2095" i="1"/>
  <c r="B2095" i="1"/>
  <c r="C2095" i="1"/>
  <c r="E2095" i="1"/>
  <c r="G2095" i="1"/>
  <c r="K2095" i="1"/>
  <c r="A2096" i="1"/>
  <c r="B2096" i="1"/>
  <c r="C2096" i="1"/>
  <c r="E2096" i="1"/>
  <c r="G2096" i="1"/>
  <c r="K2096" i="1"/>
  <c r="A2097" i="1"/>
  <c r="B2097" i="1"/>
  <c r="C2097" i="1"/>
  <c r="E2097" i="1"/>
  <c r="G2097" i="1"/>
  <c r="K2097" i="1"/>
  <c r="A2098" i="1"/>
  <c r="B2098" i="1"/>
  <c r="C2098" i="1"/>
  <c r="E2098" i="1"/>
  <c r="G2098" i="1"/>
  <c r="K2098" i="1"/>
  <c r="A2099" i="1"/>
  <c r="B2099" i="1"/>
  <c r="C2099" i="1"/>
  <c r="E2099" i="1"/>
  <c r="G2099" i="1"/>
  <c r="K2099" i="1"/>
  <c r="A2100" i="1"/>
  <c r="B2100" i="1"/>
  <c r="C2100" i="1"/>
  <c r="E2100" i="1"/>
  <c r="G2100" i="1"/>
  <c r="K2100" i="1"/>
  <c r="A2101" i="1"/>
  <c r="B2101" i="1"/>
  <c r="C2101" i="1"/>
  <c r="E2101" i="1"/>
  <c r="G2101" i="1"/>
  <c r="K2101" i="1"/>
  <c r="A2102" i="1"/>
  <c r="B2102" i="1"/>
  <c r="C2102" i="1"/>
  <c r="E2102" i="1"/>
  <c r="G2102" i="1"/>
  <c r="K2102" i="1"/>
  <c r="A2103" i="1"/>
  <c r="B2103" i="1"/>
  <c r="C2103" i="1"/>
  <c r="E2103" i="1"/>
  <c r="G2103" i="1"/>
  <c r="K2103" i="1"/>
  <c r="A2104" i="1"/>
  <c r="B2104" i="1"/>
  <c r="C2104" i="1"/>
  <c r="E2104" i="1"/>
  <c r="G2104" i="1"/>
  <c r="K2104" i="1"/>
  <c r="A2105" i="1"/>
  <c r="B2105" i="1"/>
  <c r="C2105" i="1"/>
  <c r="E2105" i="1"/>
  <c r="G2105" i="1"/>
  <c r="K2105" i="1"/>
  <c r="A2106" i="1"/>
  <c r="B2106" i="1"/>
  <c r="C2106" i="1"/>
  <c r="E2106" i="1"/>
  <c r="G2106" i="1"/>
  <c r="K2106" i="1"/>
  <c r="A2107" i="1"/>
  <c r="B2107" i="1"/>
  <c r="C2107" i="1"/>
  <c r="E2107" i="1"/>
  <c r="G2107" i="1"/>
  <c r="K2107" i="1"/>
  <c r="A2108" i="1"/>
  <c r="B2108" i="1"/>
  <c r="C2108" i="1"/>
  <c r="E2108" i="1"/>
  <c r="G2108" i="1"/>
  <c r="K2108" i="1"/>
  <c r="A2109" i="1"/>
  <c r="B2109" i="1"/>
  <c r="C2109" i="1"/>
  <c r="E2109" i="1"/>
  <c r="G2109" i="1"/>
  <c r="K2109" i="1"/>
  <c r="A2110" i="1"/>
  <c r="B2110" i="1"/>
  <c r="C2110" i="1"/>
  <c r="E2110" i="1"/>
  <c r="G2110" i="1"/>
  <c r="K2110" i="1"/>
  <c r="A2111" i="1"/>
  <c r="B2111" i="1"/>
  <c r="C2111" i="1"/>
  <c r="E2111" i="1"/>
  <c r="G2111" i="1"/>
  <c r="K2111" i="1"/>
  <c r="A2112" i="1"/>
  <c r="B2112" i="1"/>
  <c r="C2112" i="1"/>
  <c r="E2112" i="1"/>
  <c r="G2112" i="1"/>
  <c r="K2112" i="1"/>
  <c r="A2113" i="1"/>
  <c r="B2113" i="1"/>
  <c r="C2113" i="1"/>
  <c r="E2113" i="1"/>
  <c r="G2113" i="1"/>
  <c r="K2113" i="1"/>
  <c r="A2114" i="1"/>
  <c r="B2114" i="1"/>
  <c r="C2114" i="1"/>
  <c r="E2114" i="1"/>
  <c r="G2114" i="1"/>
  <c r="K2114" i="1"/>
  <c r="A2115" i="1"/>
  <c r="B2115" i="1"/>
  <c r="C2115" i="1"/>
  <c r="E2115" i="1"/>
  <c r="G2115" i="1"/>
  <c r="K2115" i="1"/>
  <c r="A2116" i="1"/>
  <c r="B2116" i="1"/>
  <c r="C2116" i="1"/>
  <c r="E2116" i="1"/>
  <c r="G2116" i="1"/>
  <c r="K2116" i="1"/>
  <c r="A2117" i="1"/>
  <c r="B2117" i="1"/>
  <c r="C2117" i="1"/>
  <c r="E2117" i="1"/>
  <c r="G2117" i="1"/>
  <c r="K2117" i="1"/>
  <c r="A2118" i="1"/>
  <c r="B2118" i="1"/>
  <c r="C2118" i="1"/>
  <c r="E2118" i="1"/>
  <c r="G2118" i="1"/>
  <c r="K2118" i="1"/>
  <c r="A2119" i="1"/>
  <c r="B2119" i="1"/>
  <c r="C2119" i="1"/>
  <c r="E2119" i="1"/>
  <c r="G2119" i="1"/>
  <c r="K2119" i="1"/>
  <c r="A2120" i="1"/>
  <c r="B2120" i="1"/>
  <c r="C2120" i="1"/>
  <c r="E2120" i="1"/>
  <c r="G2120" i="1"/>
  <c r="K2120" i="1"/>
  <c r="A2121" i="1"/>
  <c r="B2121" i="1"/>
  <c r="C2121" i="1"/>
  <c r="E2121" i="1"/>
  <c r="G2121" i="1"/>
  <c r="K2121" i="1"/>
  <c r="A2122" i="1"/>
  <c r="B2122" i="1"/>
  <c r="C2122" i="1"/>
  <c r="E2122" i="1"/>
  <c r="G2122" i="1"/>
  <c r="K2122" i="1"/>
  <c r="A2123" i="1"/>
  <c r="B2123" i="1"/>
  <c r="C2123" i="1"/>
  <c r="E2123" i="1"/>
  <c r="G2123" i="1"/>
  <c r="K2123" i="1"/>
  <c r="A2124" i="1"/>
  <c r="B2124" i="1"/>
  <c r="C2124" i="1"/>
  <c r="E2124" i="1"/>
  <c r="G2124" i="1"/>
  <c r="K2124" i="1"/>
  <c r="A2125" i="1"/>
  <c r="B2125" i="1"/>
  <c r="C2125" i="1"/>
  <c r="E2125" i="1"/>
  <c r="G2125" i="1"/>
  <c r="K2125" i="1"/>
  <c r="A2126" i="1"/>
  <c r="B2126" i="1"/>
  <c r="C2126" i="1"/>
  <c r="E2126" i="1"/>
  <c r="G2126" i="1"/>
  <c r="K2126" i="1"/>
  <c r="A2127" i="1"/>
  <c r="B2127" i="1"/>
  <c r="C2127" i="1"/>
  <c r="E2127" i="1"/>
  <c r="G2127" i="1"/>
  <c r="K2127" i="1"/>
  <c r="A2128" i="1"/>
  <c r="B2128" i="1"/>
  <c r="C2128" i="1"/>
  <c r="E2128" i="1"/>
  <c r="G2128" i="1"/>
  <c r="K2128" i="1"/>
  <c r="A2129" i="1"/>
  <c r="B2129" i="1"/>
  <c r="C2129" i="1"/>
  <c r="E2129" i="1"/>
  <c r="G2129" i="1"/>
  <c r="K2129" i="1"/>
  <c r="A2130" i="1"/>
  <c r="B2130" i="1"/>
  <c r="C2130" i="1"/>
  <c r="E2130" i="1"/>
  <c r="G2130" i="1"/>
  <c r="K2130" i="1"/>
  <c r="A2131" i="1"/>
  <c r="B2131" i="1"/>
  <c r="C2131" i="1"/>
  <c r="E2131" i="1"/>
  <c r="G2131" i="1"/>
  <c r="K2131" i="1"/>
  <c r="A2132" i="1"/>
  <c r="B2132" i="1"/>
  <c r="C2132" i="1"/>
  <c r="E2132" i="1"/>
  <c r="G2132" i="1"/>
  <c r="K2132" i="1"/>
  <c r="A2133" i="1"/>
  <c r="B2133" i="1"/>
  <c r="C2133" i="1"/>
  <c r="E2133" i="1"/>
  <c r="G2133" i="1"/>
  <c r="K2133" i="1"/>
  <c r="A2134" i="1"/>
  <c r="B2134" i="1"/>
  <c r="C2134" i="1"/>
  <c r="E2134" i="1"/>
  <c r="G2134" i="1"/>
  <c r="K2134" i="1"/>
  <c r="A2135" i="1"/>
  <c r="B2135" i="1"/>
  <c r="C2135" i="1"/>
  <c r="E2135" i="1"/>
  <c r="G2135" i="1"/>
  <c r="K2135" i="1"/>
  <c r="A2136" i="1"/>
  <c r="B2136" i="1"/>
  <c r="C2136" i="1"/>
  <c r="E2136" i="1"/>
  <c r="G2136" i="1"/>
  <c r="K2136" i="1"/>
  <c r="A2137" i="1"/>
  <c r="B2137" i="1"/>
  <c r="C2137" i="1"/>
  <c r="E2137" i="1"/>
  <c r="G2137" i="1"/>
  <c r="K2137" i="1"/>
  <c r="A2138" i="1"/>
  <c r="B2138" i="1"/>
  <c r="C2138" i="1"/>
  <c r="E2138" i="1"/>
  <c r="G2138" i="1"/>
  <c r="K2138" i="1"/>
  <c r="A2139" i="1"/>
  <c r="B2139" i="1"/>
  <c r="C2139" i="1"/>
  <c r="E2139" i="1"/>
  <c r="G2139" i="1"/>
  <c r="K2139" i="1"/>
  <c r="A2140" i="1"/>
  <c r="B2140" i="1"/>
  <c r="C2140" i="1"/>
  <c r="E2140" i="1"/>
  <c r="G2140" i="1"/>
  <c r="K2140" i="1"/>
  <c r="A2141" i="1"/>
  <c r="B2141" i="1"/>
  <c r="C2141" i="1"/>
  <c r="E2141" i="1"/>
  <c r="G2141" i="1"/>
  <c r="K2141" i="1"/>
  <c r="A2142" i="1"/>
  <c r="B2142" i="1"/>
  <c r="C2142" i="1"/>
  <c r="E2142" i="1"/>
  <c r="G2142" i="1"/>
  <c r="K2142" i="1"/>
  <c r="A2143" i="1"/>
  <c r="B2143" i="1"/>
  <c r="C2143" i="1"/>
  <c r="E2143" i="1"/>
  <c r="G2143" i="1"/>
  <c r="K2143" i="1"/>
  <c r="A2144" i="1"/>
  <c r="B2144" i="1"/>
  <c r="C2144" i="1"/>
  <c r="E2144" i="1"/>
  <c r="G2144" i="1"/>
  <c r="K2144" i="1"/>
  <c r="A2145" i="1"/>
  <c r="B2145" i="1"/>
  <c r="C2145" i="1"/>
  <c r="E2145" i="1"/>
  <c r="G2145" i="1"/>
  <c r="K2145" i="1"/>
  <c r="A2146" i="1"/>
  <c r="B2146" i="1"/>
  <c r="C2146" i="1"/>
  <c r="E2146" i="1"/>
  <c r="G2146" i="1"/>
  <c r="K2146" i="1"/>
  <c r="A2147" i="1"/>
  <c r="B2147" i="1"/>
  <c r="C2147" i="1"/>
  <c r="E2147" i="1"/>
  <c r="G2147" i="1"/>
  <c r="K2147" i="1"/>
  <c r="A2148" i="1"/>
  <c r="B2148" i="1"/>
  <c r="C2148" i="1"/>
  <c r="E2148" i="1"/>
  <c r="G2148" i="1"/>
  <c r="K2148" i="1"/>
  <c r="A2149" i="1"/>
  <c r="B2149" i="1"/>
  <c r="C2149" i="1"/>
  <c r="E2149" i="1"/>
  <c r="G2149" i="1"/>
  <c r="K2149" i="1"/>
  <c r="A2150" i="1"/>
  <c r="B2150" i="1"/>
  <c r="C2150" i="1"/>
  <c r="E2150" i="1"/>
  <c r="G2150" i="1"/>
  <c r="K2150" i="1"/>
  <c r="A2151" i="1"/>
  <c r="B2151" i="1"/>
  <c r="C2151" i="1"/>
  <c r="E2151" i="1"/>
  <c r="G2151" i="1"/>
  <c r="K2151" i="1"/>
  <c r="A2152" i="1"/>
  <c r="B2152" i="1"/>
  <c r="C2152" i="1"/>
  <c r="E2152" i="1"/>
  <c r="G2152" i="1"/>
  <c r="K2152" i="1"/>
  <c r="A2153" i="1"/>
  <c r="B2153" i="1"/>
  <c r="C2153" i="1"/>
  <c r="E2153" i="1"/>
  <c r="G2153" i="1"/>
  <c r="K2153" i="1"/>
  <c r="A2154" i="1"/>
  <c r="B2154" i="1"/>
  <c r="C2154" i="1"/>
  <c r="E2154" i="1"/>
  <c r="G2154" i="1"/>
  <c r="K2154" i="1"/>
  <c r="A2155" i="1"/>
  <c r="B2155" i="1"/>
  <c r="C2155" i="1"/>
  <c r="E2155" i="1"/>
  <c r="G2155" i="1"/>
  <c r="K2155" i="1"/>
  <c r="A2156" i="1"/>
  <c r="B2156" i="1"/>
  <c r="C2156" i="1"/>
  <c r="E2156" i="1"/>
  <c r="G2156" i="1"/>
  <c r="K2156" i="1"/>
  <c r="A2157" i="1"/>
  <c r="B2157" i="1"/>
  <c r="C2157" i="1"/>
  <c r="E2157" i="1"/>
  <c r="G2157" i="1"/>
  <c r="K2157" i="1"/>
  <c r="A2158" i="1"/>
  <c r="B2158" i="1"/>
  <c r="C2158" i="1"/>
  <c r="E2158" i="1"/>
  <c r="G2158" i="1"/>
  <c r="K2158" i="1"/>
  <c r="A2159" i="1"/>
  <c r="B2159" i="1"/>
  <c r="C2159" i="1"/>
  <c r="E2159" i="1"/>
  <c r="G2159" i="1"/>
  <c r="K2159" i="1"/>
  <c r="A2160" i="1"/>
  <c r="B2160" i="1"/>
  <c r="C2160" i="1"/>
  <c r="E2160" i="1"/>
  <c r="G2160" i="1"/>
  <c r="K2160" i="1"/>
  <c r="A2161" i="1"/>
  <c r="B2161" i="1"/>
  <c r="C2161" i="1"/>
  <c r="E2161" i="1"/>
  <c r="G2161" i="1"/>
  <c r="K2161" i="1"/>
  <c r="A2162" i="1"/>
  <c r="B2162" i="1"/>
  <c r="C2162" i="1"/>
  <c r="E2162" i="1"/>
  <c r="G2162" i="1"/>
  <c r="K2162" i="1"/>
  <c r="A2163" i="1"/>
  <c r="B2163" i="1"/>
  <c r="C2163" i="1"/>
  <c r="E2163" i="1"/>
  <c r="G2163" i="1"/>
  <c r="K2163" i="1"/>
  <c r="A2164" i="1"/>
  <c r="B2164" i="1"/>
  <c r="C2164" i="1"/>
  <c r="E2164" i="1"/>
  <c r="G2164" i="1"/>
  <c r="K2164" i="1"/>
  <c r="A2165" i="1"/>
  <c r="B2165" i="1"/>
  <c r="C2165" i="1"/>
  <c r="E2165" i="1"/>
  <c r="G2165" i="1"/>
  <c r="K2165" i="1"/>
  <c r="A2166" i="1"/>
  <c r="B2166" i="1"/>
  <c r="C2166" i="1"/>
  <c r="E2166" i="1"/>
  <c r="G2166" i="1"/>
  <c r="K2166" i="1"/>
  <c r="A2167" i="1"/>
  <c r="B2167" i="1"/>
  <c r="C2167" i="1"/>
  <c r="E2167" i="1"/>
  <c r="G2167" i="1"/>
  <c r="K2167" i="1"/>
  <c r="A2168" i="1"/>
  <c r="B2168" i="1"/>
  <c r="C2168" i="1"/>
  <c r="E2168" i="1"/>
  <c r="G2168" i="1"/>
  <c r="K2168" i="1"/>
  <c r="A2169" i="1"/>
  <c r="B2169" i="1"/>
  <c r="C2169" i="1"/>
  <c r="E2169" i="1"/>
  <c r="G2169" i="1"/>
  <c r="K2169" i="1"/>
  <c r="A2170" i="1"/>
  <c r="B2170" i="1"/>
  <c r="C2170" i="1"/>
  <c r="E2170" i="1"/>
  <c r="G2170" i="1"/>
  <c r="K2170" i="1"/>
  <c r="A2171" i="1"/>
  <c r="B2171" i="1"/>
  <c r="C2171" i="1"/>
  <c r="E2171" i="1"/>
  <c r="G2171" i="1"/>
  <c r="K2171" i="1"/>
  <c r="A2172" i="1"/>
  <c r="B2172" i="1"/>
  <c r="C2172" i="1"/>
  <c r="E2172" i="1"/>
  <c r="G2172" i="1"/>
  <c r="K2172" i="1"/>
  <c r="A2173" i="1"/>
  <c r="B2173" i="1"/>
  <c r="C2173" i="1"/>
  <c r="E2173" i="1"/>
  <c r="G2173" i="1"/>
  <c r="K2173" i="1"/>
  <c r="A2174" i="1"/>
  <c r="B2174" i="1"/>
  <c r="C2174" i="1"/>
  <c r="E2174" i="1"/>
  <c r="G2174" i="1"/>
  <c r="K2174" i="1"/>
  <c r="A2175" i="1"/>
  <c r="B2175" i="1"/>
  <c r="C2175" i="1"/>
  <c r="E2175" i="1"/>
  <c r="G2175" i="1"/>
  <c r="K2175" i="1"/>
  <c r="A2176" i="1"/>
  <c r="B2176" i="1"/>
  <c r="C2176" i="1"/>
  <c r="E2176" i="1"/>
  <c r="G2176" i="1"/>
  <c r="K2176" i="1"/>
  <c r="A2177" i="1"/>
  <c r="B2177" i="1"/>
  <c r="C2177" i="1"/>
  <c r="E2177" i="1"/>
  <c r="G2177" i="1"/>
  <c r="K2177" i="1"/>
  <c r="A2178" i="1"/>
  <c r="B2178" i="1"/>
  <c r="C2178" i="1"/>
  <c r="E2178" i="1"/>
  <c r="G2178" i="1"/>
  <c r="K2178" i="1"/>
  <c r="A2179" i="1"/>
  <c r="B2179" i="1"/>
  <c r="C2179" i="1"/>
  <c r="E2179" i="1"/>
  <c r="G2179" i="1"/>
  <c r="K2179" i="1"/>
  <c r="A2180" i="1"/>
  <c r="B2180" i="1"/>
  <c r="C2180" i="1"/>
  <c r="E2180" i="1"/>
  <c r="G2180" i="1"/>
  <c r="K2180" i="1"/>
  <c r="A2181" i="1"/>
  <c r="B2181" i="1"/>
  <c r="C2181" i="1"/>
  <c r="E2181" i="1"/>
  <c r="G2181" i="1"/>
  <c r="K2181" i="1"/>
  <c r="A2182" i="1"/>
  <c r="B2182" i="1"/>
  <c r="C2182" i="1"/>
  <c r="E2182" i="1"/>
  <c r="G2182" i="1"/>
  <c r="K2182" i="1"/>
  <c r="A2183" i="1"/>
  <c r="B2183" i="1"/>
  <c r="C2183" i="1"/>
  <c r="E2183" i="1"/>
  <c r="G2183" i="1"/>
  <c r="K2183" i="1"/>
  <c r="A2184" i="1"/>
  <c r="B2184" i="1"/>
  <c r="C2184" i="1"/>
  <c r="E2184" i="1"/>
  <c r="G2184" i="1"/>
  <c r="K2184" i="1"/>
  <c r="A2185" i="1"/>
  <c r="B2185" i="1"/>
  <c r="C2185" i="1"/>
  <c r="E2185" i="1"/>
  <c r="G2185" i="1"/>
  <c r="K2185" i="1"/>
  <c r="A2186" i="1"/>
  <c r="B2186" i="1"/>
  <c r="C2186" i="1"/>
  <c r="E2186" i="1"/>
  <c r="G2186" i="1"/>
  <c r="K2186" i="1"/>
  <c r="A2187" i="1"/>
  <c r="B2187" i="1"/>
  <c r="C2187" i="1"/>
  <c r="E2187" i="1"/>
  <c r="G2187" i="1"/>
  <c r="K2187" i="1"/>
  <c r="A2188" i="1"/>
  <c r="B2188" i="1"/>
  <c r="C2188" i="1"/>
  <c r="E2188" i="1"/>
  <c r="G2188" i="1"/>
  <c r="K2188" i="1"/>
  <c r="A2189" i="1"/>
  <c r="B2189" i="1"/>
  <c r="C2189" i="1"/>
  <c r="E2189" i="1"/>
  <c r="G2189" i="1"/>
  <c r="K2189" i="1"/>
  <c r="A2190" i="1"/>
  <c r="B2190" i="1"/>
  <c r="C2190" i="1"/>
  <c r="E2190" i="1"/>
  <c r="G2190" i="1"/>
  <c r="K2190" i="1"/>
  <c r="A2191" i="1"/>
  <c r="B2191" i="1"/>
  <c r="C2191" i="1"/>
  <c r="E2191" i="1"/>
  <c r="G2191" i="1"/>
  <c r="K2191" i="1"/>
  <c r="A2192" i="1"/>
  <c r="B2192" i="1"/>
  <c r="C2192" i="1"/>
  <c r="E2192" i="1"/>
  <c r="G2192" i="1"/>
  <c r="K2192" i="1"/>
  <c r="A2193" i="1"/>
  <c r="B2193" i="1"/>
  <c r="C2193" i="1"/>
  <c r="E2193" i="1"/>
  <c r="G2193" i="1"/>
  <c r="K2193" i="1"/>
  <c r="A2194" i="1"/>
  <c r="B2194" i="1"/>
  <c r="C2194" i="1"/>
  <c r="E2194" i="1"/>
  <c r="G2194" i="1"/>
  <c r="K2194" i="1"/>
  <c r="A2195" i="1"/>
  <c r="B2195" i="1"/>
  <c r="C2195" i="1"/>
  <c r="E2195" i="1"/>
  <c r="G2195" i="1"/>
  <c r="K2195" i="1"/>
  <c r="A2196" i="1"/>
  <c r="B2196" i="1"/>
  <c r="C2196" i="1"/>
  <c r="E2196" i="1"/>
  <c r="G2196" i="1"/>
  <c r="K2196" i="1"/>
  <c r="A2197" i="1"/>
  <c r="B2197" i="1"/>
  <c r="C2197" i="1"/>
  <c r="E2197" i="1"/>
  <c r="G2197" i="1"/>
  <c r="K2197" i="1"/>
  <c r="A2198" i="1"/>
  <c r="B2198" i="1"/>
  <c r="C2198" i="1"/>
  <c r="E2198" i="1"/>
  <c r="G2198" i="1"/>
  <c r="K2198" i="1"/>
  <c r="A2199" i="1"/>
  <c r="B2199" i="1"/>
  <c r="C2199" i="1"/>
  <c r="E2199" i="1"/>
  <c r="G2199" i="1"/>
  <c r="K2199" i="1"/>
  <c r="A2200" i="1"/>
  <c r="B2200" i="1"/>
  <c r="C2200" i="1"/>
  <c r="E2200" i="1"/>
  <c r="G2200" i="1"/>
  <c r="K2200" i="1"/>
  <c r="A2201" i="1"/>
  <c r="B2201" i="1"/>
  <c r="C2201" i="1"/>
  <c r="E2201" i="1"/>
  <c r="G2201" i="1"/>
  <c r="K2201" i="1"/>
  <c r="A2202" i="1"/>
  <c r="B2202" i="1"/>
  <c r="C2202" i="1"/>
  <c r="E2202" i="1"/>
  <c r="G2202" i="1"/>
  <c r="K2202" i="1"/>
  <c r="A2203" i="1"/>
  <c r="B2203" i="1"/>
  <c r="C2203" i="1"/>
  <c r="E2203" i="1"/>
  <c r="G2203" i="1"/>
  <c r="K2203" i="1"/>
  <c r="A2204" i="1"/>
  <c r="B2204" i="1"/>
  <c r="C2204" i="1"/>
  <c r="E2204" i="1"/>
  <c r="G2204" i="1"/>
  <c r="K2204" i="1"/>
  <c r="A2205" i="1"/>
  <c r="B2205" i="1"/>
  <c r="C2205" i="1"/>
  <c r="E2205" i="1"/>
  <c r="G2205" i="1"/>
  <c r="K2205" i="1"/>
  <c r="A2206" i="1"/>
  <c r="B2206" i="1"/>
  <c r="C2206" i="1"/>
  <c r="E2206" i="1"/>
  <c r="G2206" i="1"/>
  <c r="K2206" i="1"/>
  <c r="A2207" i="1"/>
  <c r="B2207" i="1"/>
  <c r="C2207" i="1"/>
  <c r="E2207" i="1"/>
  <c r="G2207" i="1"/>
  <c r="K2207" i="1"/>
  <c r="A2208" i="1"/>
  <c r="B2208" i="1"/>
  <c r="C2208" i="1"/>
  <c r="E2208" i="1"/>
  <c r="G2208" i="1"/>
  <c r="K2208" i="1"/>
  <c r="A2209" i="1"/>
  <c r="B2209" i="1"/>
  <c r="C2209" i="1"/>
  <c r="E2209" i="1"/>
  <c r="G2209" i="1"/>
  <c r="K2209" i="1"/>
  <c r="A2210" i="1"/>
  <c r="B2210" i="1"/>
  <c r="C2210" i="1"/>
  <c r="E2210" i="1"/>
  <c r="G2210" i="1"/>
  <c r="K2210" i="1"/>
  <c r="A2211" i="1"/>
  <c r="B2211" i="1"/>
  <c r="C2211" i="1"/>
  <c r="E2211" i="1"/>
  <c r="G2211" i="1"/>
  <c r="K2211" i="1"/>
  <c r="A2212" i="1"/>
  <c r="B2212" i="1"/>
  <c r="C2212" i="1"/>
  <c r="E2212" i="1"/>
  <c r="G2212" i="1"/>
  <c r="K2212" i="1"/>
  <c r="A2213" i="1"/>
  <c r="B2213" i="1"/>
  <c r="C2213" i="1"/>
  <c r="E2213" i="1"/>
  <c r="G2213" i="1"/>
  <c r="K2213" i="1"/>
  <c r="A2214" i="1"/>
  <c r="B2214" i="1"/>
  <c r="C2214" i="1"/>
  <c r="E2214" i="1"/>
  <c r="G2214" i="1"/>
  <c r="K2214" i="1"/>
  <c r="A2215" i="1"/>
  <c r="B2215" i="1"/>
  <c r="C2215" i="1"/>
  <c r="E2215" i="1"/>
  <c r="G2215" i="1"/>
  <c r="K2215" i="1"/>
  <c r="A2216" i="1"/>
  <c r="B2216" i="1"/>
  <c r="C2216" i="1"/>
  <c r="E2216" i="1"/>
  <c r="G2216" i="1"/>
  <c r="K2216" i="1"/>
  <c r="A2217" i="1"/>
  <c r="B2217" i="1"/>
  <c r="C2217" i="1"/>
  <c r="E2217" i="1"/>
  <c r="G2217" i="1"/>
  <c r="K2217" i="1"/>
  <c r="A2218" i="1"/>
  <c r="B2218" i="1"/>
  <c r="C2218" i="1"/>
  <c r="E2218" i="1"/>
  <c r="G2218" i="1"/>
  <c r="K2218" i="1"/>
  <c r="A2219" i="1"/>
  <c r="B2219" i="1"/>
  <c r="C2219" i="1"/>
  <c r="E2219" i="1"/>
  <c r="G2219" i="1"/>
  <c r="K2219" i="1"/>
  <c r="A2220" i="1"/>
  <c r="B2220" i="1"/>
  <c r="C2220" i="1"/>
  <c r="E2220" i="1"/>
  <c r="G2220" i="1"/>
  <c r="K2220" i="1"/>
  <c r="A2221" i="1"/>
  <c r="B2221" i="1"/>
  <c r="C2221" i="1"/>
  <c r="E2221" i="1"/>
  <c r="G2221" i="1"/>
  <c r="K2221" i="1"/>
  <c r="A2222" i="1"/>
  <c r="B2222" i="1"/>
  <c r="C2222" i="1"/>
  <c r="E2222" i="1"/>
  <c r="G2222" i="1"/>
  <c r="K2222" i="1"/>
  <c r="A2223" i="1"/>
  <c r="B2223" i="1"/>
  <c r="C2223" i="1"/>
  <c r="E2223" i="1"/>
  <c r="G2223" i="1"/>
  <c r="K2223" i="1"/>
  <c r="A2224" i="1"/>
  <c r="B2224" i="1"/>
  <c r="C2224" i="1"/>
  <c r="E2224" i="1"/>
  <c r="G2224" i="1"/>
  <c r="K2224" i="1"/>
  <c r="A2225" i="1"/>
  <c r="B2225" i="1"/>
  <c r="C2225" i="1"/>
  <c r="E2225" i="1"/>
  <c r="G2225" i="1"/>
  <c r="K2225" i="1"/>
  <c r="A2226" i="1"/>
  <c r="B2226" i="1"/>
  <c r="C2226" i="1"/>
  <c r="E2226" i="1"/>
  <c r="G2226" i="1"/>
  <c r="K2226" i="1"/>
  <c r="A2227" i="1"/>
  <c r="B2227" i="1"/>
  <c r="C2227" i="1"/>
  <c r="E2227" i="1"/>
  <c r="G2227" i="1"/>
  <c r="K2227" i="1"/>
  <c r="A2228" i="1"/>
  <c r="B2228" i="1"/>
  <c r="C2228" i="1"/>
  <c r="E2228" i="1"/>
  <c r="G2228" i="1"/>
  <c r="K2228" i="1"/>
  <c r="A2229" i="1"/>
  <c r="B2229" i="1"/>
  <c r="C2229" i="1"/>
  <c r="E2229" i="1"/>
  <c r="G2229" i="1"/>
  <c r="K2229" i="1"/>
  <c r="A2230" i="1"/>
  <c r="B2230" i="1"/>
  <c r="C2230" i="1"/>
  <c r="E2230" i="1"/>
  <c r="G2230" i="1"/>
  <c r="K2230" i="1"/>
  <c r="A2231" i="1"/>
  <c r="B2231" i="1"/>
  <c r="C2231" i="1"/>
  <c r="E2231" i="1"/>
  <c r="G2231" i="1"/>
  <c r="K2231" i="1"/>
  <c r="A2232" i="1"/>
  <c r="B2232" i="1"/>
  <c r="C2232" i="1"/>
  <c r="E2232" i="1"/>
  <c r="G2232" i="1"/>
  <c r="K2232" i="1"/>
  <c r="A2233" i="1"/>
  <c r="B2233" i="1"/>
  <c r="C2233" i="1"/>
  <c r="E2233" i="1"/>
  <c r="G2233" i="1"/>
  <c r="K2233" i="1"/>
  <c r="A2234" i="1"/>
  <c r="B2234" i="1"/>
  <c r="C2234" i="1"/>
  <c r="E2234" i="1"/>
  <c r="G2234" i="1"/>
  <c r="K2234" i="1"/>
  <c r="A2235" i="1"/>
  <c r="B2235" i="1"/>
  <c r="C2235" i="1"/>
  <c r="E2235" i="1"/>
  <c r="G2235" i="1"/>
  <c r="K2235" i="1"/>
  <c r="A2236" i="1"/>
  <c r="B2236" i="1"/>
  <c r="C2236" i="1"/>
  <c r="E2236" i="1"/>
  <c r="G2236" i="1"/>
  <c r="K2236" i="1"/>
  <c r="A2237" i="1"/>
  <c r="B2237" i="1"/>
  <c r="C2237" i="1"/>
  <c r="E2237" i="1"/>
  <c r="G2237" i="1"/>
  <c r="K2237" i="1"/>
  <c r="A2238" i="1"/>
  <c r="B2238" i="1"/>
  <c r="C2238" i="1"/>
  <c r="E2238" i="1"/>
  <c r="G2238" i="1"/>
  <c r="K2238" i="1"/>
  <c r="A2239" i="1"/>
  <c r="B2239" i="1"/>
  <c r="C2239" i="1"/>
  <c r="E2239" i="1"/>
  <c r="G2239" i="1"/>
  <c r="K2239" i="1"/>
  <c r="A2240" i="1"/>
  <c r="B2240" i="1"/>
  <c r="C2240" i="1"/>
  <c r="E2240" i="1"/>
  <c r="G2240" i="1"/>
  <c r="K2240" i="1"/>
  <c r="A2241" i="1"/>
  <c r="B2241" i="1"/>
  <c r="C2241" i="1"/>
  <c r="E2241" i="1"/>
  <c r="G2241" i="1"/>
  <c r="K2241" i="1"/>
  <c r="A2242" i="1"/>
  <c r="B2242" i="1"/>
  <c r="C2242" i="1"/>
  <c r="E2242" i="1"/>
  <c r="G2242" i="1"/>
  <c r="K2242" i="1"/>
  <c r="A2243" i="1"/>
  <c r="B2243" i="1"/>
  <c r="C2243" i="1"/>
  <c r="E2243" i="1"/>
  <c r="G2243" i="1"/>
  <c r="K2243" i="1"/>
  <c r="A2244" i="1"/>
  <c r="B2244" i="1"/>
  <c r="C2244" i="1"/>
  <c r="E2244" i="1"/>
  <c r="G2244" i="1"/>
  <c r="K2244" i="1"/>
  <c r="A2245" i="1"/>
  <c r="B2245" i="1"/>
  <c r="C2245" i="1"/>
  <c r="E2245" i="1"/>
  <c r="G2245" i="1"/>
  <c r="K2245" i="1"/>
  <c r="A2246" i="1"/>
  <c r="B2246" i="1"/>
  <c r="C2246" i="1"/>
  <c r="E2246" i="1"/>
  <c r="G2246" i="1"/>
  <c r="K2246" i="1"/>
  <c r="A2247" i="1"/>
  <c r="B2247" i="1"/>
  <c r="C2247" i="1"/>
  <c r="E2247" i="1"/>
  <c r="G2247" i="1"/>
  <c r="K2247" i="1"/>
  <c r="A2248" i="1"/>
  <c r="B2248" i="1"/>
  <c r="C2248" i="1"/>
  <c r="E2248" i="1"/>
  <c r="G2248" i="1"/>
  <c r="K2248" i="1"/>
  <c r="A2249" i="1"/>
  <c r="B2249" i="1"/>
  <c r="C2249" i="1"/>
  <c r="E2249" i="1"/>
  <c r="G2249" i="1"/>
  <c r="K2249" i="1"/>
  <c r="A2250" i="1"/>
  <c r="B2250" i="1"/>
  <c r="C2250" i="1"/>
  <c r="E2250" i="1"/>
  <c r="G2250" i="1"/>
  <c r="K2250" i="1"/>
  <c r="A2251" i="1"/>
  <c r="B2251" i="1"/>
  <c r="C2251" i="1"/>
  <c r="E2251" i="1"/>
  <c r="G2251" i="1"/>
  <c r="K2251" i="1"/>
  <c r="A2252" i="1"/>
  <c r="B2252" i="1"/>
  <c r="C2252" i="1"/>
  <c r="E2252" i="1"/>
  <c r="G2252" i="1"/>
  <c r="K2252" i="1"/>
  <c r="A2253" i="1"/>
  <c r="B2253" i="1"/>
  <c r="C2253" i="1"/>
  <c r="E2253" i="1"/>
  <c r="G2253" i="1"/>
  <c r="K2253" i="1"/>
  <c r="A2254" i="1"/>
  <c r="B2254" i="1"/>
  <c r="C2254" i="1"/>
  <c r="E2254" i="1"/>
  <c r="G2254" i="1"/>
  <c r="K2254" i="1"/>
  <c r="A2255" i="1"/>
  <c r="B2255" i="1"/>
  <c r="C2255" i="1"/>
  <c r="E2255" i="1"/>
  <c r="G2255" i="1"/>
  <c r="K2255" i="1"/>
  <c r="A2256" i="1"/>
  <c r="B2256" i="1"/>
  <c r="C2256" i="1"/>
  <c r="E2256" i="1"/>
  <c r="G2256" i="1"/>
  <c r="K2256" i="1"/>
  <c r="A2257" i="1"/>
  <c r="B2257" i="1"/>
  <c r="C2257" i="1"/>
  <c r="E2257" i="1"/>
  <c r="G2257" i="1"/>
  <c r="K2257" i="1"/>
  <c r="A2258" i="1"/>
  <c r="B2258" i="1"/>
  <c r="C2258" i="1"/>
  <c r="E2258" i="1"/>
  <c r="G2258" i="1"/>
  <c r="K2258" i="1"/>
  <c r="A2259" i="1"/>
  <c r="B2259" i="1"/>
  <c r="C2259" i="1"/>
  <c r="E2259" i="1"/>
  <c r="G2259" i="1"/>
  <c r="K2259" i="1"/>
  <c r="A2260" i="1"/>
  <c r="B2260" i="1"/>
  <c r="C2260" i="1"/>
  <c r="E2260" i="1"/>
  <c r="G2260" i="1"/>
  <c r="K2260" i="1"/>
  <c r="A2261" i="1"/>
  <c r="B2261" i="1"/>
  <c r="C2261" i="1"/>
  <c r="E2261" i="1"/>
  <c r="G2261" i="1"/>
  <c r="K2261" i="1"/>
  <c r="A2262" i="1"/>
  <c r="B2262" i="1"/>
  <c r="C2262" i="1"/>
  <c r="E2262" i="1"/>
  <c r="G2262" i="1"/>
  <c r="K2262" i="1"/>
  <c r="A2263" i="1"/>
  <c r="B2263" i="1"/>
  <c r="C2263" i="1"/>
  <c r="E2263" i="1"/>
  <c r="G2263" i="1"/>
  <c r="K2263" i="1"/>
  <c r="A2264" i="1"/>
  <c r="B2264" i="1"/>
  <c r="C2264" i="1"/>
  <c r="E2264" i="1"/>
  <c r="G2264" i="1"/>
  <c r="K2264" i="1"/>
  <c r="A2265" i="1"/>
  <c r="B2265" i="1"/>
  <c r="C2265" i="1"/>
  <c r="E2265" i="1"/>
  <c r="G2265" i="1"/>
  <c r="K2265" i="1"/>
  <c r="A2266" i="1"/>
  <c r="B2266" i="1"/>
  <c r="C2266" i="1"/>
  <c r="E2266" i="1"/>
  <c r="G2266" i="1"/>
  <c r="K2266" i="1"/>
  <c r="A2267" i="1"/>
  <c r="B2267" i="1"/>
  <c r="C2267" i="1"/>
  <c r="E2267" i="1"/>
  <c r="G2267" i="1"/>
  <c r="K2267" i="1"/>
  <c r="A2268" i="1"/>
  <c r="B2268" i="1"/>
  <c r="C2268" i="1"/>
  <c r="E2268" i="1"/>
  <c r="G2268" i="1"/>
  <c r="K2268" i="1"/>
  <c r="A2269" i="1"/>
  <c r="B2269" i="1"/>
  <c r="C2269" i="1"/>
  <c r="E2269" i="1"/>
  <c r="G2269" i="1"/>
  <c r="K2269" i="1"/>
  <c r="A2270" i="1"/>
  <c r="B2270" i="1"/>
  <c r="C2270" i="1"/>
  <c r="E2270" i="1"/>
  <c r="G2270" i="1"/>
  <c r="K2270" i="1"/>
  <c r="A2271" i="1"/>
  <c r="B2271" i="1"/>
  <c r="C2271" i="1"/>
  <c r="E2271" i="1"/>
  <c r="G2271" i="1"/>
  <c r="K2271" i="1"/>
  <c r="A2272" i="1"/>
  <c r="B2272" i="1"/>
  <c r="C2272" i="1"/>
  <c r="E2272" i="1"/>
  <c r="G2272" i="1"/>
  <c r="K2272" i="1"/>
  <c r="A2273" i="1"/>
  <c r="B2273" i="1"/>
  <c r="C2273" i="1"/>
  <c r="E2273" i="1"/>
  <c r="G2273" i="1"/>
  <c r="K2273" i="1"/>
  <c r="A2274" i="1"/>
  <c r="B2274" i="1"/>
  <c r="C2274" i="1"/>
  <c r="E2274" i="1"/>
  <c r="G2274" i="1"/>
  <c r="K2274" i="1"/>
  <c r="A2275" i="1"/>
  <c r="B2275" i="1"/>
  <c r="C2275" i="1"/>
  <c r="E2275" i="1"/>
  <c r="G2275" i="1"/>
  <c r="K2275" i="1"/>
  <c r="A2276" i="1"/>
  <c r="B2276" i="1"/>
  <c r="C2276" i="1"/>
  <c r="E2276" i="1"/>
  <c r="G2276" i="1"/>
  <c r="K2276" i="1"/>
  <c r="A2277" i="1"/>
  <c r="B2277" i="1"/>
  <c r="C2277" i="1"/>
  <c r="E2277" i="1"/>
  <c r="G2277" i="1"/>
  <c r="K2277" i="1"/>
  <c r="A2278" i="1"/>
  <c r="B2278" i="1"/>
  <c r="C2278" i="1"/>
  <c r="E2278" i="1"/>
  <c r="G2278" i="1"/>
  <c r="K2278" i="1"/>
  <c r="A2279" i="1"/>
  <c r="B2279" i="1"/>
  <c r="C2279" i="1"/>
  <c r="E2279" i="1"/>
  <c r="G2279" i="1"/>
  <c r="K2279" i="1"/>
  <c r="A2280" i="1"/>
  <c r="B2280" i="1"/>
  <c r="C2280" i="1"/>
  <c r="E2280" i="1"/>
  <c r="G2280" i="1"/>
  <c r="K2280" i="1"/>
  <c r="A2281" i="1"/>
  <c r="B2281" i="1"/>
  <c r="C2281" i="1"/>
  <c r="E2281" i="1"/>
  <c r="G2281" i="1"/>
  <c r="K2281" i="1"/>
  <c r="A2282" i="1"/>
  <c r="B2282" i="1"/>
  <c r="C2282" i="1"/>
  <c r="E2282" i="1"/>
  <c r="G2282" i="1"/>
  <c r="K2282" i="1"/>
  <c r="A2283" i="1"/>
  <c r="B2283" i="1"/>
  <c r="C2283" i="1"/>
  <c r="E2283" i="1"/>
  <c r="G2283" i="1"/>
  <c r="K2283" i="1"/>
  <c r="A2284" i="1"/>
  <c r="B2284" i="1"/>
  <c r="C2284" i="1"/>
  <c r="E2284" i="1"/>
  <c r="G2284" i="1"/>
  <c r="K2284" i="1"/>
  <c r="A2285" i="1"/>
  <c r="B2285" i="1"/>
  <c r="C2285" i="1"/>
  <c r="E2285" i="1"/>
  <c r="G2285" i="1"/>
  <c r="K2285" i="1"/>
  <c r="A2286" i="1"/>
  <c r="B2286" i="1"/>
  <c r="C2286" i="1"/>
  <c r="E2286" i="1"/>
  <c r="G2286" i="1"/>
  <c r="K2286" i="1"/>
  <c r="A2287" i="1"/>
  <c r="B2287" i="1"/>
  <c r="C2287" i="1"/>
  <c r="E2287" i="1"/>
  <c r="G2287" i="1"/>
  <c r="K2287" i="1"/>
  <c r="A2288" i="1"/>
  <c r="B2288" i="1"/>
  <c r="C2288" i="1"/>
  <c r="E2288" i="1"/>
  <c r="G2288" i="1"/>
  <c r="K2288" i="1"/>
  <c r="A2289" i="1"/>
  <c r="B2289" i="1"/>
  <c r="C2289" i="1"/>
  <c r="E2289" i="1"/>
  <c r="G2289" i="1"/>
  <c r="K2289" i="1"/>
  <c r="A2290" i="1"/>
  <c r="B2290" i="1"/>
  <c r="C2290" i="1"/>
  <c r="E2290" i="1"/>
  <c r="G2290" i="1"/>
  <c r="K2290" i="1"/>
  <c r="A2291" i="1"/>
  <c r="B2291" i="1"/>
  <c r="C2291" i="1"/>
  <c r="E2291" i="1"/>
  <c r="G2291" i="1"/>
  <c r="K2291" i="1"/>
  <c r="A2292" i="1"/>
  <c r="B2292" i="1"/>
  <c r="C2292" i="1"/>
  <c r="E2292" i="1"/>
  <c r="G2292" i="1"/>
  <c r="K2292" i="1"/>
  <c r="A2293" i="1"/>
  <c r="B2293" i="1"/>
  <c r="C2293" i="1"/>
  <c r="E2293" i="1"/>
  <c r="G2293" i="1"/>
  <c r="K2293" i="1"/>
  <c r="A2294" i="1"/>
  <c r="B2294" i="1"/>
  <c r="C2294" i="1"/>
  <c r="E2294" i="1"/>
  <c r="G2294" i="1"/>
  <c r="K2294" i="1"/>
  <c r="A2295" i="1"/>
  <c r="B2295" i="1"/>
  <c r="C2295" i="1"/>
  <c r="E2295" i="1"/>
  <c r="G2295" i="1"/>
  <c r="K2295" i="1"/>
  <c r="A2296" i="1"/>
  <c r="B2296" i="1"/>
  <c r="C2296" i="1"/>
  <c r="E2296" i="1"/>
  <c r="G2296" i="1"/>
  <c r="K2296" i="1"/>
  <c r="A2297" i="1"/>
  <c r="B2297" i="1"/>
  <c r="C2297" i="1"/>
  <c r="E2297" i="1"/>
  <c r="G2297" i="1"/>
  <c r="K2297" i="1"/>
  <c r="A2298" i="1"/>
  <c r="B2298" i="1"/>
  <c r="C2298" i="1"/>
  <c r="E2298" i="1"/>
  <c r="G2298" i="1"/>
  <c r="K2298" i="1"/>
  <c r="A2299" i="1"/>
  <c r="B2299" i="1"/>
  <c r="C2299" i="1"/>
  <c r="E2299" i="1"/>
  <c r="G2299" i="1"/>
  <c r="K2299" i="1"/>
  <c r="A2300" i="1"/>
  <c r="B2300" i="1"/>
  <c r="C2300" i="1"/>
  <c r="E2300" i="1"/>
  <c r="G2300" i="1"/>
  <c r="K2300" i="1"/>
  <c r="A2301" i="1"/>
  <c r="B2301" i="1"/>
  <c r="C2301" i="1"/>
  <c r="E2301" i="1"/>
  <c r="G2301" i="1"/>
  <c r="K2301" i="1"/>
  <c r="A2302" i="1"/>
  <c r="B2302" i="1"/>
  <c r="C2302" i="1"/>
  <c r="E2302" i="1"/>
  <c r="G2302" i="1"/>
  <c r="K2302" i="1"/>
  <c r="A2303" i="1"/>
  <c r="B2303" i="1"/>
  <c r="C2303" i="1"/>
  <c r="E2303" i="1"/>
  <c r="G2303" i="1"/>
  <c r="K2303" i="1"/>
  <c r="A2304" i="1"/>
  <c r="B2304" i="1"/>
  <c r="C2304" i="1"/>
  <c r="E2304" i="1"/>
  <c r="G2304" i="1"/>
  <c r="K2304" i="1"/>
  <c r="A2305" i="1"/>
  <c r="B2305" i="1"/>
  <c r="C2305" i="1"/>
  <c r="E2305" i="1"/>
  <c r="G2305" i="1"/>
  <c r="K2305" i="1"/>
  <c r="A2306" i="1"/>
  <c r="B2306" i="1"/>
  <c r="C2306" i="1"/>
  <c r="E2306" i="1"/>
  <c r="G2306" i="1"/>
  <c r="K2306" i="1"/>
  <c r="A2307" i="1"/>
  <c r="B2307" i="1"/>
  <c r="C2307" i="1"/>
  <c r="E2307" i="1"/>
  <c r="G2307" i="1"/>
  <c r="K2307" i="1"/>
  <c r="A2308" i="1"/>
  <c r="B2308" i="1"/>
  <c r="C2308" i="1"/>
  <c r="E2308" i="1"/>
  <c r="G2308" i="1"/>
  <c r="K2308" i="1"/>
  <c r="A2309" i="1"/>
  <c r="B2309" i="1"/>
  <c r="C2309" i="1"/>
  <c r="E2309" i="1"/>
  <c r="G2309" i="1"/>
  <c r="K2309" i="1"/>
  <c r="A2310" i="1"/>
  <c r="B2310" i="1"/>
  <c r="C2310" i="1"/>
  <c r="E2310" i="1"/>
  <c r="G2310" i="1"/>
  <c r="K2310" i="1"/>
  <c r="A2311" i="1"/>
  <c r="B2311" i="1"/>
  <c r="C2311" i="1"/>
  <c r="E2311" i="1"/>
  <c r="G2311" i="1"/>
  <c r="K2311" i="1"/>
  <c r="A2312" i="1"/>
  <c r="B2312" i="1"/>
  <c r="C2312" i="1"/>
  <c r="E2312" i="1"/>
  <c r="G2312" i="1"/>
  <c r="K2312" i="1"/>
  <c r="A2313" i="1"/>
  <c r="B2313" i="1"/>
  <c r="C2313" i="1"/>
  <c r="E2313" i="1"/>
  <c r="G2313" i="1"/>
  <c r="K2313" i="1"/>
  <c r="A2314" i="1"/>
  <c r="B2314" i="1"/>
  <c r="C2314" i="1"/>
  <c r="E2314" i="1"/>
  <c r="G2314" i="1"/>
  <c r="K2314" i="1"/>
  <c r="A2315" i="1"/>
  <c r="B2315" i="1"/>
  <c r="C2315" i="1"/>
  <c r="E2315" i="1"/>
  <c r="G2315" i="1"/>
  <c r="K2315" i="1"/>
  <c r="A2316" i="1"/>
  <c r="B2316" i="1"/>
  <c r="C2316" i="1"/>
  <c r="E2316" i="1"/>
  <c r="G2316" i="1"/>
  <c r="K2316" i="1"/>
  <c r="A2317" i="1"/>
  <c r="B2317" i="1"/>
  <c r="C2317" i="1"/>
  <c r="E2317" i="1"/>
  <c r="G2317" i="1"/>
  <c r="K2317" i="1"/>
  <c r="A2318" i="1"/>
  <c r="B2318" i="1"/>
  <c r="C2318" i="1"/>
  <c r="E2318" i="1"/>
  <c r="G2318" i="1"/>
  <c r="K2318" i="1"/>
  <c r="A2319" i="1"/>
  <c r="B2319" i="1"/>
  <c r="C2319" i="1"/>
  <c r="E2319" i="1"/>
  <c r="G2319" i="1"/>
  <c r="K2319" i="1"/>
  <c r="A2320" i="1"/>
  <c r="B2320" i="1"/>
  <c r="C2320" i="1"/>
  <c r="E2320" i="1"/>
  <c r="G2320" i="1"/>
  <c r="K2320" i="1"/>
  <c r="A2321" i="1"/>
  <c r="B2321" i="1"/>
  <c r="C2321" i="1"/>
  <c r="E2321" i="1"/>
  <c r="G2321" i="1"/>
  <c r="K2321" i="1"/>
  <c r="A2322" i="1"/>
  <c r="B2322" i="1"/>
  <c r="C2322" i="1"/>
  <c r="E2322" i="1"/>
  <c r="G2322" i="1"/>
  <c r="K2322" i="1"/>
  <c r="A2323" i="1"/>
  <c r="B2323" i="1"/>
  <c r="C2323" i="1"/>
  <c r="E2323" i="1"/>
  <c r="G2323" i="1"/>
  <c r="K2323" i="1"/>
  <c r="A2324" i="1"/>
  <c r="B2324" i="1"/>
  <c r="C2324" i="1"/>
  <c r="E2324" i="1"/>
  <c r="G2324" i="1"/>
  <c r="K2324" i="1"/>
  <c r="A2325" i="1"/>
  <c r="B2325" i="1"/>
  <c r="C2325" i="1"/>
  <c r="E2325" i="1"/>
  <c r="G2325" i="1"/>
  <c r="K2325" i="1"/>
  <c r="A2326" i="1"/>
  <c r="B2326" i="1"/>
  <c r="C2326" i="1"/>
  <c r="E2326" i="1"/>
  <c r="G2326" i="1"/>
  <c r="K2326" i="1"/>
  <c r="A2327" i="1"/>
  <c r="B2327" i="1"/>
  <c r="C2327" i="1"/>
  <c r="E2327" i="1"/>
  <c r="G2327" i="1"/>
  <c r="K2327" i="1"/>
  <c r="A2328" i="1"/>
  <c r="B2328" i="1"/>
  <c r="C2328" i="1"/>
  <c r="E2328" i="1"/>
  <c r="G2328" i="1"/>
  <c r="K2328" i="1"/>
  <c r="A2329" i="1"/>
  <c r="B2329" i="1"/>
  <c r="C2329" i="1"/>
  <c r="E2329" i="1"/>
  <c r="G2329" i="1"/>
  <c r="K2329" i="1"/>
  <c r="A2330" i="1"/>
  <c r="B2330" i="1"/>
  <c r="C2330" i="1"/>
  <c r="E2330" i="1"/>
  <c r="G2330" i="1"/>
  <c r="K2330" i="1"/>
  <c r="A2331" i="1"/>
  <c r="B2331" i="1"/>
  <c r="C2331" i="1"/>
  <c r="E2331" i="1"/>
  <c r="G2331" i="1"/>
  <c r="K2331" i="1"/>
  <c r="A2332" i="1"/>
  <c r="B2332" i="1"/>
  <c r="C2332" i="1"/>
  <c r="E2332" i="1"/>
  <c r="G2332" i="1"/>
  <c r="K2332" i="1"/>
  <c r="A2333" i="1"/>
  <c r="B2333" i="1"/>
  <c r="C2333" i="1"/>
  <c r="E2333" i="1"/>
  <c r="G2333" i="1"/>
  <c r="K2333" i="1"/>
  <c r="A2334" i="1"/>
  <c r="B2334" i="1"/>
  <c r="C2334" i="1"/>
  <c r="E2334" i="1"/>
  <c r="G2334" i="1"/>
  <c r="K2334" i="1"/>
  <c r="A2335" i="1"/>
  <c r="B2335" i="1"/>
  <c r="C2335" i="1"/>
  <c r="E2335" i="1"/>
  <c r="G2335" i="1"/>
  <c r="K2335" i="1"/>
  <c r="A2336" i="1"/>
  <c r="B2336" i="1"/>
  <c r="C2336" i="1"/>
  <c r="E2336" i="1"/>
  <c r="G2336" i="1"/>
  <c r="K2336" i="1"/>
  <c r="A2337" i="1"/>
  <c r="B2337" i="1"/>
  <c r="C2337" i="1"/>
  <c r="E2337" i="1"/>
  <c r="G2337" i="1"/>
  <c r="K2337" i="1"/>
  <c r="A2338" i="1"/>
  <c r="B2338" i="1"/>
  <c r="C2338" i="1"/>
  <c r="E2338" i="1"/>
  <c r="G2338" i="1"/>
  <c r="K2338" i="1"/>
  <c r="A2339" i="1"/>
  <c r="B2339" i="1"/>
  <c r="C2339" i="1"/>
  <c r="E2339" i="1"/>
  <c r="G2339" i="1"/>
  <c r="K2339" i="1"/>
  <c r="A2340" i="1"/>
  <c r="B2340" i="1"/>
  <c r="C2340" i="1"/>
  <c r="E2340" i="1"/>
  <c r="G2340" i="1"/>
  <c r="K2340" i="1"/>
  <c r="A2341" i="1"/>
  <c r="B2341" i="1"/>
  <c r="C2341" i="1"/>
  <c r="E2341" i="1"/>
  <c r="G2341" i="1"/>
  <c r="K2341" i="1"/>
  <c r="A2342" i="1"/>
  <c r="B2342" i="1"/>
  <c r="C2342" i="1"/>
  <c r="E2342" i="1"/>
  <c r="G2342" i="1"/>
  <c r="K2342" i="1"/>
  <c r="A2343" i="1"/>
  <c r="B2343" i="1"/>
  <c r="C2343" i="1"/>
  <c r="E2343" i="1"/>
  <c r="G2343" i="1"/>
  <c r="K2343" i="1"/>
  <c r="A2344" i="1"/>
  <c r="B2344" i="1"/>
  <c r="C2344" i="1"/>
  <c r="E2344" i="1"/>
  <c r="G2344" i="1"/>
  <c r="K2344" i="1"/>
  <c r="A2345" i="1"/>
  <c r="B2345" i="1"/>
  <c r="C2345" i="1"/>
  <c r="E2345" i="1"/>
  <c r="G2345" i="1"/>
  <c r="K2345" i="1"/>
  <c r="A2346" i="1"/>
  <c r="B2346" i="1"/>
  <c r="C2346" i="1"/>
  <c r="E2346" i="1"/>
  <c r="G2346" i="1"/>
  <c r="K2346" i="1"/>
  <c r="A2347" i="1"/>
  <c r="B2347" i="1"/>
  <c r="C2347" i="1"/>
  <c r="E2347" i="1"/>
  <c r="G2347" i="1"/>
  <c r="K2347" i="1"/>
  <c r="A2348" i="1"/>
  <c r="B2348" i="1"/>
  <c r="C2348" i="1"/>
  <c r="E2348" i="1"/>
  <c r="G2348" i="1"/>
  <c r="K2348" i="1"/>
  <c r="A2349" i="1"/>
  <c r="B2349" i="1"/>
  <c r="C2349" i="1"/>
  <c r="E2349" i="1"/>
  <c r="G2349" i="1"/>
  <c r="K2349" i="1"/>
  <c r="A2350" i="1"/>
  <c r="B2350" i="1"/>
  <c r="C2350" i="1"/>
  <c r="E2350" i="1"/>
  <c r="G2350" i="1"/>
  <c r="K2350" i="1"/>
  <c r="A2351" i="1"/>
  <c r="B2351" i="1"/>
  <c r="C2351" i="1"/>
  <c r="E2351" i="1"/>
  <c r="G2351" i="1"/>
  <c r="K2351" i="1"/>
  <c r="A2352" i="1"/>
  <c r="B2352" i="1"/>
  <c r="C2352" i="1"/>
  <c r="E2352" i="1"/>
  <c r="G2352" i="1"/>
  <c r="K2352" i="1"/>
  <c r="A2353" i="1"/>
  <c r="B2353" i="1"/>
  <c r="C2353" i="1"/>
  <c r="E2353" i="1"/>
  <c r="G2353" i="1"/>
  <c r="K2353" i="1"/>
  <c r="A2354" i="1"/>
  <c r="B2354" i="1"/>
  <c r="C2354" i="1"/>
  <c r="E2354" i="1"/>
  <c r="G2354" i="1"/>
  <c r="K2354" i="1"/>
  <c r="A2355" i="1"/>
  <c r="B2355" i="1"/>
  <c r="C2355" i="1"/>
  <c r="E2355" i="1"/>
  <c r="G2355" i="1"/>
  <c r="K2355" i="1"/>
  <c r="A2356" i="1"/>
  <c r="B2356" i="1"/>
  <c r="C2356" i="1"/>
  <c r="E2356" i="1"/>
  <c r="G2356" i="1"/>
  <c r="K2356" i="1"/>
  <c r="A2357" i="1"/>
  <c r="B2357" i="1"/>
  <c r="C2357" i="1"/>
  <c r="E2357" i="1"/>
  <c r="G2357" i="1"/>
  <c r="K2357" i="1"/>
  <c r="A2358" i="1"/>
  <c r="B2358" i="1"/>
  <c r="C2358" i="1"/>
  <c r="E2358" i="1"/>
  <c r="G2358" i="1"/>
  <c r="K2358" i="1"/>
  <c r="A2359" i="1"/>
  <c r="B2359" i="1"/>
  <c r="C2359" i="1"/>
  <c r="E2359" i="1"/>
  <c r="G2359" i="1"/>
  <c r="K2359" i="1"/>
  <c r="A2360" i="1"/>
  <c r="B2360" i="1"/>
  <c r="C2360" i="1"/>
  <c r="E2360" i="1"/>
  <c r="G2360" i="1"/>
  <c r="K2360" i="1"/>
  <c r="A2361" i="1"/>
  <c r="B2361" i="1"/>
  <c r="C2361" i="1"/>
  <c r="E2361" i="1"/>
  <c r="G2361" i="1"/>
  <c r="K2361" i="1"/>
  <c r="A2362" i="1"/>
  <c r="B2362" i="1"/>
  <c r="C2362" i="1"/>
  <c r="E2362" i="1"/>
  <c r="G2362" i="1"/>
  <c r="K2362" i="1"/>
  <c r="A2363" i="1"/>
  <c r="B2363" i="1"/>
  <c r="C2363" i="1"/>
  <c r="E2363" i="1"/>
  <c r="G2363" i="1"/>
  <c r="K2363" i="1"/>
  <c r="A2364" i="1"/>
  <c r="B2364" i="1"/>
  <c r="C2364" i="1"/>
  <c r="E2364" i="1"/>
  <c r="G2364" i="1"/>
  <c r="K2364" i="1"/>
  <c r="A2365" i="1"/>
  <c r="B2365" i="1"/>
  <c r="C2365" i="1"/>
  <c r="E2365" i="1"/>
  <c r="G2365" i="1"/>
  <c r="K2365" i="1"/>
  <c r="A2366" i="1"/>
  <c r="B2366" i="1"/>
  <c r="C2366" i="1"/>
  <c r="E2366" i="1"/>
  <c r="G2366" i="1"/>
  <c r="K2366" i="1"/>
  <c r="A2367" i="1"/>
  <c r="B2367" i="1"/>
  <c r="C2367" i="1"/>
  <c r="E2367" i="1"/>
  <c r="G2367" i="1"/>
  <c r="K2367" i="1"/>
  <c r="A2368" i="1"/>
  <c r="B2368" i="1"/>
  <c r="C2368" i="1"/>
  <c r="E2368" i="1"/>
  <c r="G2368" i="1"/>
  <c r="K2368" i="1"/>
  <c r="A2369" i="1"/>
  <c r="B2369" i="1"/>
  <c r="C2369" i="1"/>
  <c r="E2369" i="1"/>
  <c r="G2369" i="1"/>
  <c r="K2369" i="1"/>
  <c r="A2370" i="1"/>
  <c r="B2370" i="1"/>
  <c r="C2370" i="1"/>
  <c r="E2370" i="1"/>
  <c r="G2370" i="1"/>
  <c r="K2370" i="1"/>
  <c r="A2371" i="1"/>
  <c r="B2371" i="1"/>
  <c r="C2371" i="1"/>
  <c r="E2371" i="1"/>
  <c r="G2371" i="1"/>
  <c r="K2371" i="1"/>
  <c r="A2372" i="1"/>
  <c r="B2372" i="1"/>
  <c r="C2372" i="1"/>
  <c r="E2372" i="1"/>
  <c r="G2372" i="1"/>
  <c r="K2372" i="1"/>
  <c r="A2373" i="1"/>
  <c r="B2373" i="1"/>
  <c r="C2373" i="1"/>
  <c r="E2373" i="1"/>
  <c r="G2373" i="1"/>
  <c r="K2373" i="1"/>
  <c r="A2374" i="1"/>
  <c r="B2374" i="1"/>
  <c r="C2374" i="1"/>
  <c r="E2374" i="1"/>
  <c r="G2374" i="1"/>
  <c r="K2374" i="1"/>
  <c r="A2375" i="1"/>
  <c r="B2375" i="1"/>
  <c r="C2375" i="1"/>
  <c r="E2375" i="1"/>
  <c r="G2375" i="1"/>
  <c r="K2375" i="1"/>
  <c r="A2376" i="1"/>
  <c r="B2376" i="1"/>
  <c r="C2376" i="1"/>
  <c r="E2376" i="1"/>
  <c r="G2376" i="1"/>
  <c r="K2376" i="1"/>
  <c r="A2377" i="1"/>
  <c r="B2377" i="1"/>
  <c r="C2377" i="1"/>
  <c r="E2377" i="1"/>
  <c r="G2377" i="1"/>
  <c r="K2377" i="1"/>
  <c r="A2378" i="1"/>
  <c r="B2378" i="1"/>
  <c r="C2378" i="1"/>
  <c r="E2378" i="1"/>
  <c r="G2378" i="1"/>
  <c r="K2378" i="1"/>
  <c r="A2379" i="1"/>
  <c r="B2379" i="1"/>
  <c r="C2379" i="1"/>
  <c r="E2379" i="1"/>
  <c r="G2379" i="1"/>
  <c r="K2379" i="1"/>
  <c r="A2380" i="1"/>
  <c r="B2380" i="1"/>
  <c r="C2380" i="1"/>
  <c r="E2380" i="1"/>
  <c r="G2380" i="1"/>
  <c r="K2380" i="1"/>
  <c r="A2381" i="1"/>
  <c r="B2381" i="1"/>
  <c r="C2381" i="1"/>
  <c r="E2381" i="1"/>
  <c r="G2381" i="1"/>
  <c r="K2381" i="1"/>
  <c r="A2382" i="1"/>
  <c r="B2382" i="1"/>
  <c r="C2382" i="1"/>
  <c r="E2382" i="1"/>
  <c r="G2382" i="1"/>
  <c r="K2382" i="1"/>
  <c r="A2383" i="1"/>
  <c r="B2383" i="1"/>
  <c r="C2383" i="1"/>
  <c r="E2383" i="1"/>
  <c r="G2383" i="1"/>
  <c r="K2383" i="1"/>
  <c r="A2384" i="1"/>
  <c r="B2384" i="1"/>
  <c r="C2384" i="1"/>
  <c r="E2384" i="1"/>
  <c r="G2384" i="1"/>
  <c r="K2384" i="1"/>
  <c r="A2385" i="1"/>
  <c r="B2385" i="1"/>
  <c r="C2385" i="1"/>
  <c r="E2385" i="1"/>
  <c r="G2385" i="1"/>
  <c r="K2385" i="1"/>
  <c r="A2386" i="1"/>
  <c r="B2386" i="1"/>
  <c r="C2386" i="1"/>
  <c r="E2386" i="1"/>
  <c r="G2386" i="1"/>
  <c r="K2386" i="1"/>
  <c r="A2387" i="1"/>
  <c r="B2387" i="1"/>
  <c r="C2387" i="1"/>
  <c r="E2387" i="1"/>
  <c r="G2387" i="1"/>
  <c r="K2387" i="1"/>
  <c r="A2388" i="1"/>
  <c r="B2388" i="1"/>
  <c r="C2388" i="1"/>
  <c r="E2388" i="1"/>
  <c r="G2388" i="1"/>
  <c r="K2388" i="1"/>
  <c r="A2389" i="1"/>
  <c r="B2389" i="1"/>
  <c r="C2389" i="1"/>
  <c r="E2389" i="1"/>
  <c r="G2389" i="1"/>
  <c r="K2389" i="1"/>
  <c r="A2390" i="1"/>
  <c r="B2390" i="1"/>
  <c r="C2390" i="1"/>
  <c r="E2390" i="1"/>
  <c r="G2390" i="1"/>
  <c r="K2390" i="1"/>
  <c r="A2391" i="1"/>
  <c r="B2391" i="1"/>
  <c r="C2391" i="1"/>
  <c r="E2391" i="1"/>
  <c r="G2391" i="1"/>
  <c r="K2391" i="1"/>
  <c r="A2392" i="1"/>
  <c r="B2392" i="1"/>
  <c r="C2392" i="1"/>
  <c r="E2392" i="1"/>
  <c r="G2392" i="1"/>
  <c r="K2392" i="1"/>
  <c r="A2393" i="1"/>
  <c r="B2393" i="1"/>
  <c r="C2393" i="1"/>
  <c r="E2393" i="1"/>
  <c r="G2393" i="1"/>
  <c r="K2393" i="1"/>
  <c r="A2394" i="1"/>
  <c r="B2394" i="1"/>
  <c r="C2394" i="1"/>
  <c r="E2394" i="1"/>
  <c r="G2394" i="1"/>
  <c r="K2394" i="1"/>
  <c r="A2395" i="1"/>
  <c r="B2395" i="1"/>
  <c r="C2395" i="1"/>
  <c r="E2395" i="1"/>
  <c r="G2395" i="1"/>
  <c r="K2395" i="1"/>
  <c r="A2396" i="1"/>
  <c r="B2396" i="1"/>
  <c r="C2396" i="1"/>
  <c r="E2396" i="1"/>
  <c r="G2396" i="1"/>
  <c r="K2396" i="1"/>
  <c r="A2397" i="1"/>
  <c r="B2397" i="1"/>
  <c r="C2397" i="1"/>
  <c r="E2397" i="1"/>
  <c r="G2397" i="1"/>
  <c r="K2397" i="1"/>
  <c r="A2398" i="1"/>
  <c r="B2398" i="1"/>
  <c r="C2398" i="1"/>
  <c r="E2398" i="1"/>
  <c r="G2398" i="1"/>
  <c r="K2398" i="1"/>
  <c r="A2399" i="1"/>
  <c r="B2399" i="1"/>
  <c r="C2399" i="1"/>
  <c r="E2399" i="1"/>
  <c r="G2399" i="1"/>
  <c r="K2399" i="1"/>
  <c r="A2400" i="1"/>
  <c r="B2400" i="1"/>
  <c r="C2400" i="1"/>
  <c r="E2400" i="1"/>
  <c r="G2400" i="1"/>
  <c r="K2400" i="1"/>
  <c r="A2401" i="1"/>
  <c r="B2401" i="1"/>
  <c r="C2401" i="1"/>
  <c r="E2401" i="1"/>
  <c r="G2401" i="1"/>
  <c r="K2401" i="1"/>
  <c r="A2402" i="1"/>
  <c r="B2402" i="1"/>
  <c r="C2402" i="1"/>
  <c r="E2402" i="1"/>
  <c r="G2402" i="1"/>
  <c r="K2402" i="1"/>
  <c r="A2403" i="1"/>
  <c r="B2403" i="1"/>
  <c r="C2403" i="1"/>
  <c r="E2403" i="1"/>
  <c r="G2403" i="1"/>
  <c r="K2403" i="1"/>
  <c r="A2404" i="1"/>
  <c r="B2404" i="1"/>
  <c r="C2404" i="1"/>
  <c r="E2404" i="1"/>
  <c r="G2404" i="1"/>
  <c r="K2404" i="1"/>
  <c r="A2405" i="1"/>
  <c r="B2405" i="1"/>
  <c r="C2405" i="1"/>
  <c r="E2405" i="1"/>
  <c r="G2405" i="1"/>
  <c r="K2405" i="1"/>
  <c r="A2406" i="1"/>
  <c r="B2406" i="1"/>
  <c r="C2406" i="1"/>
  <c r="E2406" i="1"/>
  <c r="G2406" i="1"/>
  <c r="K2406" i="1"/>
  <c r="A2407" i="1"/>
  <c r="B2407" i="1"/>
  <c r="C2407" i="1"/>
  <c r="E2407" i="1"/>
  <c r="G2407" i="1"/>
  <c r="K2407" i="1"/>
  <c r="A2408" i="1"/>
  <c r="B2408" i="1"/>
  <c r="C2408" i="1"/>
  <c r="E2408" i="1"/>
  <c r="G2408" i="1"/>
  <c r="K2408" i="1"/>
  <c r="A2409" i="1"/>
  <c r="B2409" i="1"/>
  <c r="C2409" i="1"/>
  <c r="E2409" i="1"/>
  <c r="G2409" i="1"/>
  <c r="K2409" i="1"/>
  <c r="A2410" i="1"/>
  <c r="B2410" i="1"/>
  <c r="C2410" i="1"/>
  <c r="E2410" i="1"/>
  <c r="G2410" i="1"/>
  <c r="K2410" i="1"/>
  <c r="A2411" i="1"/>
  <c r="B2411" i="1"/>
  <c r="C2411" i="1"/>
  <c r="E2411" i="1"/>
  <c r="G2411" i="1"/>
  <c r="K2411" i="1"/>
  <c r="A2412" i="1"/>
  <c r="B2412" i="1"/>
  <c r="C2412" i="1"/>
  <c r="E2412" i="1"/>
  <c r="G2412" i="1"/>
  <c r="K2412" i="1"/>
  <c r="A2413" i="1"/>
  <c r="B2413" i="1"/>
  <c r="C2413" i="1"/>
  <c r="E2413" i="1"/>
  <c r="G2413" i="1"/>
  <c r="K2413" i="1"/>
  <c r="A2414" i="1"/>
  <c r="B2414" i="1"/>
  <c r="C2414" i="1"/>
  <c r="E2414" i="1"/>
  <c r="G2414" i="1"/>
  <c r="K2414" i="1"/>
  <c r="A2415" i="1"/>
  <c r="B2415" i="1"/>
  <c r="C2415" i="1"/>
  <c r="E2415" i="1"/>
  <c r="G2415" i="1"/>
  <c r="K2415" i="1"/>
  <c r="A2416" i="1"/>
  <c r="B2416" i="1"/>
  <c r="C2416" i="1"/>
  <c r="E2416" i="1"/>
  <c r="G2416" i="1"/>
  <c r="K2416" i="1"/>
  <c r="A2417" i="1"/>
  <c r="B2417" i="1"/>
  <c r="C2417" i="1"/>
  <c r="E2417" i="1"/>
  <c r="G2417" i="1"/>
  <c r="K2417" i="1"/>
  <c r="A2418" i="1"/>
  <c r="B2418" i="1"/>
  <c r="C2418" i="1"/>
  <c r="E2418" i="1"/>
  <c r="G2418" i="1"/>
  <c r="K2418" i="1"/>
  <c r="A2419" i="1"/>
  <c r="B2419" i="1"/>
  <c r="C2419" i="1"/>
  <c r="E2419" i="1"/>
  <c r="G2419" i="1"/>
  <c r="K2419" i="1"/>
  <c r="A2420" i="1"/>
  <c r="B2420" i="1"/>
  <c r="C2420" i="1"/>
  <c r="E2420" i="1"/>
  <c r="G2420" i="1"/>
  <c r="K2420" i="1"/>
  <c r="A2421" i="1"/>
  <c r="B2421" i="1"/>
  <c r="C2421" i="1"/>
  <c r="E2421" i="1"/>
  <c r="G2421" i="1"/>
  <c r="K2421" i="1"/>
  <c r="A2422" i="1"/>
  <c r="B2422" i="1"/>
  <c r="C2422" i="1"/>
  <c r="E2422" i="1"/>
  <c r="G2422" i="1"/>
  <c r="K2422" i="1"/>
  <c r="A2423" i="1"/>
  <c r="B2423" i="1"/>
  <c r="C2423" i="1"/>
  <c r="E2423" i="1"/>
  <c r="G2423" i="1"/>
  <c r="K2423" i="1"/>
  <c r="A2424" i="1"/>
  <c r="B2424" i="1"/>
  <c r="C2424" i="1"/>
  <c r="E2424" i="1"/>
  <c r="G2424" i="1"/>
  <c r="K2424" i="1"/>
  <c r="A2425" i="1"/>
  <c r="B2425" i="1"/>
  <c r="C2425" i="1"/>
  <c r="E2425" i="1"/>
  <c r="G2425" i="1"/>
  <c r="K2425" i="1"/>
  <c r="A2426" i="1"/>
  <c r="B2426" i="1"/>
  <c r="C2426" i="1"/>
  <c r="E2426" i="1"/>
  <c r="G2426" i="1"/>
  <c r="K2426" i="1"/>
  <c r="A2427" i="1"/>
  <c r="B2427" i="1"/>
  <c r="C2427" i="1"/>
  <c r="E2427" i="1"/>
  <c r="G2427" i="1"/>
  <c r="K2427" i="1"/>
  <c r="A2428" i="1"/>
  <c r="B2428" i="1"/>
  <c r="C2428" i="1"/>
  <c r="E2428" i="1"/>
  <c r="G2428" i="1"/>
  <c r="K2428" i="1"/>
  <c r="A2429" i="1"/>
  <c r="B2429" i="1"/>
  <c r="C2429" i="1"/>
  <c r="E2429" i="1"/>
  <c r="G2429" i="1"/>
  <c r="K2429" i="1"/>
  <c r="A2430" i="1"/>
  <c r="B2430" i="1"/>
  <c r="C2430" i="1"/>
  <c r="E2430" i="1"/>
  <c r="G2430" i="1"/>
  <c r="K2430" i="1"/>
  <c r="A2431" i="1"/>
  <c r="B2431" i="1"/>
  <c r="C2431" i="1"/>
  <c r="E2431" i="1"/>
  <c r="G2431" i="1"/>
  <c r="K2431" i="1"/>
  <c r="A2432" i="1"/>
  <c r="B2432" i="1"/>
  <c r="C2432" i="1"/>
  <c r="E2432" i="1"/>
  <c r="G2432" i="1"/>
  <c r="K2432" i="1"/>
  <c r="A2433" i="1"/>
  <c r="B2433" i="1"/>
  <c r="C2433" i="1"/>
  <c r="E2433" i="1"/>
  <c r="G2433" i="1"/>
  <c r="K2433" i="1"/>
  <c r="A2434" i="1"/>
  <c r="B2434" i="1"/>
  <c r="C2434" i="1"/>
  <c r="E2434" i="1"/>
  <c r="G2434" i="1"/>
  <c r="K2434" i="1"/>
  <c r="A2435" i="1"/>
  <c r="B2435" i="1"/>
  <c r="C2435" i="1"/>
  <c r="E2435" i="1"/>
  <c r="G2435" i="1"/>
  <c r="K2435" i="1"/>
  <c r="A2436" i="1"/>
  <c r="B2436" i="1"/>
  <c r="C2436" i="1"/>
  <c r="E2436" i="1"/>
  <c r="G2436" i="1"/>
  <c r="K2436" i="1"/>
  <c r="A2437" i="1"/>
  <c r="B2437" i="1"/>
  <c r="C2437" i="1"/>
  <c r="E2437" i="1"/>
  <c r="G2437" i="1"/>
  <c r="K2437" i="1"/>
  <c r="A2438" i="1"/>
  <c r="B2438" i="1"/>
  <c r="C2438" i="1"/>
  <c r="E2438" i="1"/>
  <c r="G2438" i="1"/>
  <c r="K2438" i="1"/>
  <c r="A2439" i="1"/>
  <c r="B2439" i="1"/>
  <c r="C2439" i="1"/>
  <c r="E2439" i="1"/>
  <c r="G2439" i="1"/>
  <c r="K2439" i="1"/>
  <c r="A2440" i="1"/>
  <c r="B2440" i="1"/>
  <c r="C2440" i="1"/>
  <c r="E2440" i="1"/>
  <c r="G2440" i="1"/>
  <c r="K2440" i="1"/>
  <c r="A2441" i="1"/>
  <c r="B2441" i="1"/>
  <c r="C2441" i="1"/>
  <c r="E2441" i="1"/>
  <c r="G2441" i="1"/>
  <c r="K2441" i="1"/>
  <c r="A2442" i="1"/>
  <c r="B2442" i="1"/>
  <c r="C2442" i="1"/>
  <c r="E2442" i="1"/>
  <c r="G2442" i="1"/>
  <c r="K2442" i="1"/>
  <c r="A2443" i="1"/>
  <c r="B2443" i="1"/>
  <c r="C2443" i="1"/>
  <c r="E2443" i="1"/>
  <c r="G2443" i="1"/>
  <c r="K2443" i="1"/>
  <c r="A2444" i="1"/>
  <c r="B2444" i="1"/>
  <c r="C2444" i="1"/>
  <c r="E2444" i="1"/>
  <c r="G2444" i="1"/>
  <c r="K2444" i="1"/>
  <c r="A2445" i="1"/>
  <c r="B2445" i="1"/>
  <c r="C2445" i="1"/>
  <c r="E2445" i="1"/>
  <c r="G2445" i="1"/>
  <c r="K2445" i="1"/>
  <c r="A2446" i="1"/>
  <c r="B2446" i="1"/>
  <c r="C2446" i="1"/>
  <c r="E2446" i="1"/>
  <c r="G2446" i="1"/>
  <c r="K2446" i="1"/>
  <c r="A2447" i="1"/>
  <c r="B2447" i="1"/>
  <c r="C2447" i="1"/>
  <c r="E2447" i="1"/>
  <c r="G2447" i="1"/>
  <c r="K2447" i="1"/>
  <c r="A2448" i="1"/>
  <c r="B2448" i="1"/>
  <c r="C2448" i="1"/>
  <c r="E2448" i="1"/>
  <c r="G2448" i="1"/>
  <c r="K2448" i="1"/>
  <c r="A2449" i="1"/>
  <c r="B2449" i="1"/>
  <c r="C2449" i="1"/>
  <c r="E2449" i="1"/>
  <c r="G2449" i="1"/>
  <c r="K2449" i="1"/>
  <c r="A2450" i="1"/>
  <c r="B2450" i="1"/>
  <c r="C2450" i="1"/>
  <c r="E2450" i="1"/>
  <c r="G2450" i="1"/>
  <c r="K2450" i="1"/>
  <c r="A2451" i="1"/>
  <c r="B2451" i="1"/>
  <c r="C2451" i="1"/>
  <c r="E2451" i="1"/>
  <c r="G2451" i="1"/>
  <c r="K2451" i="1"/>
  <c r="A2452" i="1"/>
  <c r="B2452" i="1"/>
  <c r="C2452" i="1"/>
  <c r="E2452" i="1"/>
  <c r="G2452" i="1"/>
  <c r="K2452" i="1"/>
  <c r="A2453" i="1"/>
  <c r="B2453" i="1"/>
  <c r="C2453" i="1"/>
  <c r="E2453" i="1"/>
  <c r="G2453" i="1"/>
  <c r="K2453" i="1"/>
  <c r="A2454" i="1"/>
  <c r="B2454" i="1"/>
  <c r="C2454" i="1"/>
  <c r="E2454" i="1"/>
  <c r="G2454" i="1"/>
  <c r="K2454" i="1"/>
  <c r="A2455" i="1"/>
  <c r="B2455" i="1"/>
  <c r="C2455" i="1"/>
  <c r="E2455" i="1"/>
  <c r="G2455" i="1"/>
  <c r="K2455" i="1"/>
  <c r="A2456" i="1"/>
  <c r="B2456" i="1"/>
  <c r="C2456" i="1"/>
  <c r="E2456" i="1"/>
  <c r="G2456" i="1"/>
  <c r="K2456" i="1"/>
  <c r="A2457" i="1"/>
  <c r="B2457" i="1"/>
  <c r="C2457" i="1"/>
  <c r="E2457" i="1"/>
  <c r="G2457" i="1"/>
  <c r="K2457" i="1"/>
  <c r="A2458" i="1"/>
  <c r="B2458" i="1"/>
  <c r="C2458" i="1"/>
  <c r="E2458" i="1"/>
  <c r="G2458" i="1"/>
  <c r="K2458" i="1"/>
  <c r="A2459" i="1"/>
  <c r="B2459" i="1"/>
  <c r="C2459" i="1"/>
  <c r="E2459" i="1"/>
  <c r="G2459" i="1"/>
  <c r="K2459" i="1"/>
  <c r="A2460" i="1"/>
  <c r="B2460" i="1"/>
  <c r="C2460" i="1"/>
  <c r="E2460" i="1"/>
  <c r="G2460" i="1"/>
  <c r="K2460" i="1"/>
  <c r="A2461" i="1"/>
  <c r="B2461" i="1"/>
  <c r="C2461" i="1"/>
  <c r="E2461" i="1"/>
  <c r="G2461" i="1"/>
  <c r="K2461" i="1"/>
  <c r="A2462" i="1"/>
  <c r="B2462" i="1"/>
  <c r="C2462" i="1"/>
  <c r="E2462" i="1"/>
  <c r="G2462" i="1"/>
  <c r="K2462" i="1"/>
  <c r="A2463" i="1"/>
  <c r="B2463" i="1"/>
  <c r="C2463" i="1"/>
  <c r="E2463" i="1"/>
  <c r="G2463" i="1"/>
  <c r="K2463" i="1"/>
  <c r="A2464" i="1"/>
  <c r="B2464" i="1"/>
  <c r="C2464" i="1"/>
  <c r="E2464" i="1"/>
  <c r="G2464" i="1"/>
  <c r="K2464" i="1"/>
  <c r="A2465" i="1"/>
  <c r="B2465" i="1"/>
  <c r="C2465" i="1"/>
  <c r="E2465" i="1"/>
  <c r="G2465" i="1"/>
  <c r="K2465" i="1"/>
  <c r="A2466" i="1"/>
  <c r="B2466" i="1"/>
  <c r="C2466" i="1"/>
  <c r="E2466" i="1"/>
  <c r="G2466" i="1"/>
  <c r="K2466" i="1"/>
  <c r="A2467" i="1"/>
  <c r="B2467" i="1"/>
  <c r="C2467" i="1"/>
  <c r="E2467" i="1"/>
  <c r="G2467" i="1"/>
  <c r="K2467" i="1"/>
  <c r="A2468" i="1"/>
  <c r="B2468" i="1"/>
  <c r="C2468" i="1"/>
  <c r="E2468" i="1"/>
  <c r="G2468" i="1"/>
  <c r="K2468" i="1"/>
  <c r="A2469" i="1"/>
  <c r="B2469" i="1"/>
  <c r="C2469" i="1"/>
  <c r="E2469" i="1"/>
  <c r="G2469" i="1"/>
  <c r="K2469" i="1"/>
  <c r="A2470" i="1"/>
  <c r="B2470" i="1"/>
  <c r="C2470" i="1"/>
  <c r="E2470" i="1"/>
  <c r="G2470" i="1"/>
  <c r="K2470" i="1"/>
  <c r="A2471" i="1"/>
  <c r="B2471" i="1"/>
  <c r="C2471" i="1"/>
  <c r="E2471" i="1"/>
  <c r="G2471" i="1"/>
  <c r="K2471" i="1"/>
  <c r="A2472" i="1"/>
  <c r="B2472" i="1"/>
  <c r="C2472" i="1"/>
  <c r="E2472" i="1"/>
  <c r="G2472" i="1"/>
  <c r="K2472" i="1"/>
  <c r="A2473" i="1"/>
  <c r="B2473" i="1"/>
  <c r="C2473" i="1"/>
  <c r="E2473" i="1"/>
  <c r="G2473" i="1"/>
  <c r="K2473" i="1"/>
  <c r="A2474" i="1"/>
  <c r="B2474" i="1"/>
  <c r="C2474" i="1"/>
  <c r="E2474" i="1"/>
  <c r="G2474" i="1"/>
  <c r="K2474" i="1"/>
  <c r="A2475" i="1"/>
  <c r="B2475" i="1"/>
  <c r="C2475" i="1"/>
  <c r="E2475" i="1"/>
  <c r="G2475" i="1"/>
  <c r="K2475" i="1"/>
  <c r="A2476" i="1"/>
  <c r="B2476" i="1"/>
  <c r="C2476" i="1"/>
  <c r="E2476" i="1"/>
  <c r="G2476" i="1"/>
  <c r="K2476" i="1"/>
  <c r="A2477" i="1"/>
  <c r="B2477" i="1"/>
  <c r="C2477" i="1"/>
  <c r="E2477" i="1"/>
  <c r="G2477" i="1"/>
  <c r="K2477" i="1"/>
  <c r="A2478" i="1"/>
  <c r="B2478" i="1"/>
  <c r="C2478" i="1"/>
  <c r="E2478" i="1"/>
  <c r="G2478" i="1"/>
  <c r="K2478" i="1"/>
  <c r="A2479" i="1"/>
  <c r="B2479" i="1"/>
  <c r="C2479" i="1"/>
  <c r="E2479" i="1"/>
  <c r="G2479" i="1"/>
  <c r="K2479" i="1"/>
  <c r="A2480" i="1"/>
  <c r="B2480" i="1"/>
  <c r="C2480" i="1"/>
  <c r="E2480" i="1"/>
  <c r="G2480" i="1"/>
  <c r="K2480" i="1"/>
  <c r="A2481" i="1"/>
  <c r="B2481" i="1"/>
  <c r="C2481" i="1"/>
  <c r="E2481" i="1"/>
  <c r="G2481" i="1"/>
  <c r="K2481" i="1"/>
  <c r="A2482" i="1"/>
  <c r="B2482" i="1"/>
  <c r="C2482" i="1"/>
  <c r="E2482" i="1"/>
  <c r="G2482" i="1"/>
  <c r="K2482" i="1"/>
  <c r="A2483" i="1"/>
  <c r="B2483" i="1"/>
  <c r="C2483" i="1"/>
  <c r="E2483" i="1"/>
  <c r="G2483" i="1"/>
  <c r="K2483" i="1"/>
  <c r="A2484" i="1"/>
  <c r="B2484" i="1"/>
  <c r="C2484" i="1"/>
  <c r="E2484" i="1"/>
  <c r="G2484" i="1"/>
  <c r="K2484" i="1"/>
  <c r="A2485" i="1"/>
  <c r="B2485" i="1"/>
  <c r="C2485" i="1"/>
  <c r="E2485" i="1"/>
  <c r="G2485" i="1"/>
  <c r="K2485" i="1"/>
  <c r="A2486" i="1"/>
  <c r="B2486" i="1"/>
  <c r="C2486" i="1"/>
  <c r="E2486" i="1"/>
  <c r="G2486" i="1"/>
  <c r="K2486" i="1"/>
  <c r="A2487" i="1"/>
  <c r="B2487" i="1"/>
  <c r="C2487" i="1"/>
  <c r="E2487" i="1"/>
  <c r="G2487" i="1"/>
  <c r="K2487" i="1"/>
  <c r="A2488" i="1"/>
  <c r="B2488" i="1"/>
  <c r="C2488" i="1"/>
  <c r="E2488" i="1"/>
  <c r="G2488" i="1"/>
  <c r="K2488" i="1"/>
  <c r="A2489" i="1"/>
  <c r="B2489" i="1"/>
  <c r="C2489" i="1"/>
  <c r="E2489" i="1"/>
  <c r="G2489" i="1"/>
  <c r="K2489" i="1"/>
  <c r="A2490" i="1"/>
  <c r="B2490" i="1"/>
  <c r="C2490" i="1"/>
  <c r="E2490" i="1"/>
  <c r="G2490" i="1"/>
  <c r="K2490" i="1"/>
  <c r="A2491" i="1"/>
  <c r="B2491" i="1"/>
  <c r="C2491" i="1"/>
  <c r="E2491" i="1"/>
  <c r="G2491" i="1"/>
  <c r="K2491" i="1"/>
  <c r="A2492" i="1"/>
  <c r="B2492" i="1"/>
  <c r="C2492" i="1"/>
  <c r="E2492" i="1"/>
  <c r="G2492" i="1"/>
  <c r="K2492" i="1"/>
  <c r="A2493" i="1"/>
  <c r="B2493" i="1"/>
  <c r="C2493" i="1"/>
  <c r="E2493" i="1"/>
  <c r="G2493" i="1"/>
  <c r="K2493" i="1"/>
  <c r="A2494" i="1"/>
  <c r="B2494" i="1"/>
  <c r="C2494" i="1"/>
  <c r="E2494" i="1"/>
  <c r="G2494" i="1"/>
  <c r="K2494" i="1"/>
  <c r="A2495" i="1"/>
  <c r="B2495" i="1"/>
  <c r="C2495" i="1"/>
  <c r="E2495" i="1"/>
  <c r="G2495" i="1"/>
  <c r="K2495" i="1"/>
  <c r="A2496" i="1"/>
  <c r="B2496" i="1"/>
  <c r="C2496" i="1"/>
  <c r="E2496" i="1"/>
  <c r="G2496" i="1"/>
  <c r="K2496" i="1"/>
  <c r="A2497" i="1"/>
  <c r="B2497" i="1"/>
  <c r="C2497" i="1"/>
  <c r="E2497" i="1"/>
  <c r="G2497" i="1"/>
  <c r="K2497" i="1"/>
  <c r="A2498" i="1"/>
  <c r="B2498" i="1"/>
  <c r="C2498" i="1"/>
  <c r="E2498" i="1"/>
  <c r="G2498" i="1"/>
  <c r="K2498" i="1"/>
  <c r="A2499" i="1"/>
  <c r="B2499" i="1"/>
  <c r="C2499" i="1"/>
  <c r="E2499" i="1"/>
  <c r="G2499" i="1"/>
  <c r="K2499" i="1"/>
  <c r="A2500" i="1"/>
  <c r="B2500" i="1"/>
  <c r="C2500" i="1"/>
  <c r="E2500" i="1"/>
  <c r="G2500" i="1"/>
  <c r="K2500" i="1"/>
  <c r="A2501" i="1"/>
  <c r="B2501" i="1"/>
  <c r="C2501" i="1"/>
  <c r="E2501" i="1"/>
  <c r="G2501" i="1"/>
  <c r="K2501" i="1"/>
  <c r="A2502" i="1"/>
  <c r="B2502" i="1"/>
  <c r="C2502" i="1"/>
  <c r="E2502" i="1"/>
  <c r="G2502" i="1"/>
  <c r="K2502" i="1"/>
  <c r="A2503" i="1"/>
  <c r="B2503" i="1"/>
  <c r="C2503" i="1"/>
  <c r="E2503" i="1"/>
  <c r="G2503" i="1"/>
  <c r="K2503" i="1"/>
  <c r="A2504" i="1"/>
  <c r="B2504" i="1"/>
  <c r="C2504" i="1"/>
  <c r="E2504" i="1"/>
  <c r="G2504" i="1"/>
  <c r="K2504" i="1"/>
  <c r="A2505" i="1"/>
  <c r="B2505" i="1"/>
  <c r="C2505" i="1"/>
  <c r="E2505" i="1"/>
  <c r="G2505" i="1"/>
  <c r="K2505" i="1"/>
  <c r="A2506" i="1"/>
  <c r="B2506" i="1"/>
  <c r="C2506" i="1"/>
  <c r="E2506" i="1"/>
  <c r="G2506" i="1"/>
  <c r="K2506" i="1"/>
  <c r="A2507" i="1"/>
  <c r="B2507" i="1"/>
  <c r="C2507" i="1"/>
  <c r="E2507" i="1"/>
  <c r="G2507" i="1"/>
  <c r="K2507" i="1"/>
  <c r="A2508" i="1"/>
  <c r="B2508" i="1"/>
  <c r="C2508" i="1"/>
  <c r="E2508" i="1"/>
  <c r="G2508" i="1"/>
  <c r="K2508" i="1"/>
  <c r="A2509" i="1"/>
  <c r="B2509" i="1"/>
  <c r="C2509" i="1"/>
  <c r="E2509" i="1"/>
  <c r="G2509" i="1"/>
  <c r="K2509" i="1"/>
  <c r="A2510" i="1"/>
  <c r="B2510" i="1"/>
  <c r="C2510" i="1"/>
  <c r="E2510" i="1"/>
  <c r="G2510" i="1"/>
  <c r="K2510" i="1"/>
  <c r="A2511" i="1"/>
  <c r="B2511" i="1"/>
  <c r="C2511" i="1"/>
  <c r="E2511" i="1"/>
  <c r="G2511" i="1"/>
  <c r="K2511" i="1"/>
  <c r="A2512" i="1"/>
  <c r="B2512" i="1"/>
  <c r="C2512" i="1"/>
  <c r="E2512" i="1"/>
  <c r="G2512" i="1"/>
  <c r="K2512" i="1"/>
  <c r="A2513" i="1"/>
  <c r="B2513" i="1"/>
  <c r="C2513" i="1"/>
  <c r="E2513" i="1"/>
  <c r="G2513" i="1"/>
  <c r="K2513" i="1"/>
  <c r="A2514" i="1"/>
  <c r="B2514" i="1"/>
  <c r="C2514" i="1"/>
  <c r="E2514" i="1"/>
  <c r="G2514" i="1"/>
  <c r="K2514" i="1"/>
  <c r="A2515" i="1"/>
  <c r="B2515" i="1"/>
  <c r="C2515" i="1"/>
  <c r="E2515" i="1"/>
  <c r="G2515" i="1"/>
  <c r="K2515" i="1"/>
  <c r="A2516" i="1"/>
  <c r="B2516" i="1"/>
  <c r="C2516" i="1"/>
  <c r="E2516" i="1"/>
  <c r="G2516" i="1"/>
  <c r="K2516" i="1"/>
  <c r="A2517" i="1"/>
  <c r="B2517" i="1"/>
  <c r="C2517" i="1"/>
  <c r="E2517" i="1"/>
  <c r="G2517" i="1"/>
  <c r="K2517" i="1"/>
  <c r="A2518" i="1"/>
  <c r="B2518" i="1"/>
  <c r="C2518" i="1"/>
  <c r="E2518" i="1"/>
  <c r="G2518" i="1"/>
  <c r="K2518" i="1"/>
  <c r="A2519" i="1"/>
  <c r="B2519" i="1"/>
  <c r="C2519" i="1"/>
  <c r="E2519" i="1"/>
  <c r="G2519" i="1"/>
  <c r="K2519" i="1"/>
  <c r="A2520" i="1"/>
  <c r="B2520" i="1"/>
  <c r="C2520" i="1"/>
  <c r="E2520" i="1"/>
  <c r="G2520" i="1"/>
  <c r="K2520" i="1"/>
  <c r="A2521" i="1"/>
  <c r="B2521" i="1"/>
  <c r="C2521" i="1"/>
  <c r="E2521" i="1"/>
  <c r="G2521" i="1"/>
  <c r="K2521" i="1"/>
  <c r="A2522" i="1"/>
  <c r="B2522" i="1"/>
  <c r="C2522" i="1"/>
  <c r="E2522" i="1"/>
  <c r="G2522" i="1"/>
  <c r="K2522" i="1"/>
  <c r="A2523" i="1"/>
  <c r="B2523" i="1"/>
  <c r="C2523" i="1"/>
  <c r="E2523" i="1"/>
  <c r="G2523" i="1"/>
  <c r="K2523" i="1"/>
  <c r="A2524" i="1"/>
  <c r="B2524" i="1"/>
  <c r="C2524" i="1"/>
  <c r="E2524" i="1"/>
  <c r="G2524" i="1"/>
  <c r="K2524" i="1"/>
  <c r="A2525" i="1"/>
  <c r="B2525" i="1"/>
  <c r="C2525" i="1"/>
  <c r="E2525" i="1"/>
  <c r="G2525" i="1"/>
  <c r="K2525" i="1"/>
  <c r="A2526" i="1"/>
  <c r="B2526" i="1"/>
  <c r="C2526" i="1"/>
  <c r="E2526" i="1"/>
  <c r="G2526" i="1"/>
  <c r="K2526" i="1"/>
  <c r="A2527" i="1"/>
  <c r="B2527" i="1"/>
  <c r="C2527" i="1"/>
  <c r="E2527" i="1"/>
  <c r="G2527" i="1"/>
  <c r="K2527" i="1"/>
  <c r="A2528" i="1"/>
  <c r="B2528" i="1"/>
  <c r="C2528" i="1"/>
  <c r="E2528" i="1"/>
  <c r="G2528" i="1"/>
  <c r="K2528" i="1"/>
  <c r="A2529" i="1"/>
  <c r="B2529" i="1"/>
  <c r="C2529" i="1"/>
  <c r="E2529" i="1"/>
  <c r="G2529" i="1"/>
  <c r="K2529" i="1"/>
  <c r="A2530" i="1"/>
  <c r="B2530" i="1"/>
  <c r="C2530" i="1"/>
  <c r="E2530" i="1"/>
  <c r="G2530" i="1"/>
  <c r="K2530" i="1"/>
  <c r="A2531" i="1"/>
  <c r="B2531" i="1"/>
  <c r="C2531" i="1"/>
  <c r="E2531" i="1"/>
  <c r="G2531" i="1"/>
  <c r="K2531" i="1"/>
  <c r="A2532" i="1"/>
  <c r="B2532" i="1"/>
  <c r="C2532" i="1"/>
  <c r="E2532" i="1"/>
  <c r="G2532" i="1"/>
  <c r="K2532" i="1"/>
  <c r="A2533" i="1"/>
  <c r="B2533" i="1"/>
  <c r="C2533" i="1"/>
  <c r="E2533" i="1"/>
  <c r="G2533" i="1"/>
  <c r="K2533" i="1"/>
  <c r="A2534" i="1"/>
  <c r="B2534" i="1"/>
  <c r="C2534" i="1"/>
  <c r="E2534" i="1"/>
  <c r="G2534" i="1"/>
  <c r="K2534" i="1"/>
  <c r="A2535" i="1"/>
  <c r="B2535" i="1"/>
  <c r="C2535" i="1"/>
  <c r="E2535" i="1"/>
  <c r="G2535" i="1"/>
  <c r="K2535" i="1"/>
  <c r="A2536" i="1"/>
  <c r="B2536" i="1"/>
  <c r="C2536" i="1"/>
  <c r="E2536" i="1"/>
  <c r="G2536" i="1"/>
  <c r="K2536" i="1"/>
  <c r="A2537" i="1"/>
  <c r="B2537" i="1"/>
  <c r="C2537" i="1"/>
  <c r="E2537" i="1"/>
  <c r="G2537" i="1"/>
  <c r="K2537" i="1"/>
  <c r="A2538" i="1"/>
  <c r="B2538" i="1"/>
  <c r="C2538" i="1"/>
  <c r="E2538" i="1"/>
  <c r="G2538" i="1"/>
  <c r="K2538" i="1"/>
  <c r="A2539" i="1"/>
  <c r="B2539" i="1"/>
  <c r="C2539" i="1"/>
  <c r="E2539" i="1"/>
  <c r="G2539" i="1"/>
  <c r="K2539" i="1"/>
  <c r="A2540" i="1"/>
  <c r="B2540" i="1"/>
  <c r="C2540" i="1"/>
  <c r="E2540" i="1"/>
  <c r="G2540" i="1"/>
  <c r="K2540" i="1"/>
  <c r="A2541" i="1"/>
  <c r="B2541" i="1"/>
  <c r="C2541" i="1"/>
  <c r="E2541" i="1"/>
  <c r="G2541" i="1"/>
  <c r="K2541" i="1"/>
  <c r="A2542" i="1"/>
  <c r="B2542" i="1"/>
  <c r="C2542" i="1"/>
  <c r="E2542" i="1"/>
  <c r="G2542" i="1"/>
  <c r="K2542" i="1"/>
  <c r="A2543" i="1"/>
  <c r="B2543" i="1"/>
  <c r="C2543" i="1"/>
  <c r="E2543" i="1"/>
  <c r="G2543" i="1"/>
  <c r="K2543" i="1"/>
  <c r="A2544" i="1"/>
  <c r="B2544" i="1"/>
  <c r="C2544" i="1"/>
  <c r="E2544" i="1"/>
  <c r="G2544" i="1"/>
  <c r="K2544" i="1"/>
  <c r="A2545" i="1"/>
  <c r="B2545" i="1"/>
  <c r="C2545" i="1"/>
  <c r="E2545" i="1"/>
  <c r="G2545" i="1"/>
  <c r="K2545" i="1"/>
  <c r="A2546" i="1"/>
  <c r="B2546" i="1"/>
  <c r="C2546" i="1"/>
  <c r="E2546" i="1"/>
  <c r="G2546" i="1"/>
  <c r="K2546" i="1"/>
  <c r="A2547" i="1"/>
  <c r="B2547" i="1"/>
  <c r="C2547" i="1"/>
  <c r="E2547" i="1"/>
  <c r="G2547" i="1"/>
  <c r="K2547" i="1"/>
  <c r="A2548" i="1"/>
  <c r="B2548" i="1"/>
  <c r="C2548" i="1"/>
  <c r="E2548" i="1"/>
  <c r="G2548" i="1"/>
  <c r="K2548" i="1"/>
  <c r="A2549" i="1"/>
  <c r="B2549" i="1"/>
  <c r="C2549" i="1"/>
  <c r="E2549" i="1"/>
  <c r="G2549" i="1"/>
  <c r="K2549" i="1"/>
  <c r="A2550" i="1"/>
  <c r="B2550" i="1"/>
  <c r="C2550" i="1"/>
  <c r="E2550" i="1"/>
  <c r="G2550" i="1"/>
  <c r="K2550" i="1"/>
  <c r="A2551" i="1"/>
  <c r="B2551" i="1"/>
  <c r="C2551" i="1"/>
  <c r="E2551" i="1"/>
  <c r="G2551" i="1"/>
  <c r="K2551" i="1"/>
  <c r="A2552" i="1"/>
  <c r="B2552" i="1"/>
  <c r="C2552" i="1"/>
  <c r="E2552" i="1"/>
  <c r="G2552" i="1"/>
  <c r="K2552" i="1"/>
  <c r="A2553" i="1"/>
  <c r="B2553" i="1"/>
  <c r="C2553" i="1"/>
  <c r="E2553" i="1"/>
  <c r="G2553" i="1"/>
  <c r="K2553" i="1"/>
  <c r="A2554" i="1"/>
  <c r="B2554" i="1"/>
  <c r="C2554" i="1"/>
  <c r="E2554" i="1"/>
  <c r="G2554" i="1"/>
  <c r="K2554" i="1"/>
  <c r="A2555" i="1"/>
  <c r="B2555" i="1"/>
  <c r="C2555" i="1"/>
  <c r="E2555" i="1"/>
  <c r="G2555" i="1"/>
  <c r="K2555" i="1"/>
  <c r="A2556" i="1"/>
  <c r="B2556" i="1"/>
  <c r="C2556" i="1"/>
  <c r="E2556" i="1"/>
  <c r="G2556" i="1"/>
  <c r="K2556" i="1"/>
  <c r="A2557" i="1"/>
  <c r="B2557" i="1"/>
  <c r="C2557" i="1"/>
  <c r="E2557" i="1"/>
  <c r="G2557" i="1"/>
  <c r="K2557" i="1"/>
  <c r="A2558" i="1"/>
  <c r="B2558" i="1"/>
  <c r="C2558" i="1"/>
  <c r="E2558" i="1"/>
  <c r="G2558" i="1"/>
  <c r="K2558" i="1"/>
  <c r="A2559" i="1"/>
  <c r="B2559" i="1"/>
  <c r="C2559" i="1"/>
  <c r="E2559" i="1"/>
  <c r="G2559" i="1"/>
  <c r="K2559" i="1"/>
  <c r="A2560" i="1"/>
  <c r="B2560" i="1"/>
  <c r="C2560" i="1"/>
  <c r="E2560" i="1"/>
  <c r="G2560" i="1"/>
  <c r="K2560" i="1"/>
  <c r="A2561" i="1"/>
  <c r="B2561" i="1"/>
  <c r="C2561" i="1"/>
  <c r="E2561" i="1"/>
  <c r="G2561" i="1"/>
  <c r="K2561" i="1"/>
  <c r="A2562" i="1"/>
  <c r="B2562" i="1"/>
  <c r="C2562" i="1"/>
  <c r="E2562" i="1"/>
  <c r="G2562" i="1"/>
  <c r="K2562" i="1"/>
  <c r="A2563" i="1"/>
  <c r="B2563" i="1"/>
  <c r="C2563" i="1"/>
  <c r="E2563" i="1"/>
  <c r="G2563" i="1"/>
  <c r="K2563" i="1"/>
  <c r="A2564" i="1"/>
  <c r="B2564" i="1"/>
  <c r="C2564" i="1"/>
  <c r="E2564" i="1"/>
  <c r="G2564" i="1"/>
  <c r="K2564" i="1"/>
  <c r="A2565" i="1"/>
  <c r="B2565" i="1"/>
  <c r="C2565" i="1"/>
  <c r="E2565" i="1"/>
  <c r="G2565" i="1"/>
  <c r="K2565" i="1"/>
  <c r="A2566" i="1"/>
  <c r="B2566" i="1"/>
  <c r="C2566" i="1"/>
  <c r="E2566" i="1"/>
  <c r="G2566" i="1"/>
  <c r="K2566" i="1"/>
  <c r="A2567" i="1"/>
  <c r="B2567" i="1"/>
  <c r="C2567" i="1"/>
  <c r="E2567" i="1"/>
  <c r="G2567" i="1"/>
  <c r="K2567" i="1"/>
  <c r="A2568" i="1"/>
  <c r="B2568" i="1"/>
  <c r="C2568" i="1"/>
  <c r="E2568" i="1"/>
  <c r="G2568" i="1"/>
  <c r="K2568" i="1"/>
  <c r="A2569" i="1"/>
  <c r="B2569" i="1"/>
  <c r="C2569" i="1"/>
  <c r="E2569" i="1"/>
  <c r="G2569" i="1"/>
  <c r="K2569" i="1"/>
  <c r="A2570" i="1"/>
  <c r="B2570" i="1"/>
  <c r="C2570" i="1"/>
  <c r="E2570" i="1"/>
  <c r="G2570" i="1"/>
  <c r="K2570" i="1"/>
  <c r="A2571" i="1"/>
  <c r="B2571" i="1"/>
  <c r="C2571" i="1"/>
  <c r="E2571" i="1"/>
  <c r="G2571" i="1"/>
  <c r="K2571" i="1"/>
  <c r="A2572" i="1"/>
  <c r="B2572" i="1"/>
  <c r="C2572" i="1"/>
  <c r="E2572" i="1"/>
  <c r="G2572" i="1"/>
  <c r="K2572" i="1"/>
  <c r="A2573" i="1"/>
  <c r="B2573" i="1"/>
  <c r="C2573" i="1"/>
  <c r="E2573" i="1"/>
  <c r="G2573" i="1"/>
  <c r="K2573" i="1"/>
  <c r="A2574" i="1"/>
  <c r="B2574" i="1"/>
  <c r="C2574" i="1"/>
  <c r="E2574" i="1"/>
  <c r="G2574" i="1"/>
  <c r="K2574" i="1"/>
  <c r="A2575" i="1"/>
  <c r="B2575" i="1"/>
  <c r="C2575" i="1"/>
  <c r="E2575" i="1"/>
  <c r="G2575" i="1"/>
  <c r="K2575" i="1"/>
  <c r="A2576" i="1"/>
  <c r="B2576" i="1"/>
  <c r="C2576" i="1"/>
  <c r="E2576" i="1"/>
  <c r="G2576" i="1"/>
  <c r="K2576" i="1"/>
  <c r="A2577" i="1"/>
  <c r="B2577" i="1"/>
  <c r="C2577" i="1"/>
  <c r="E2577" i="1"/>
  <c r="G2577" i="1"/>
  <c r="K2577" i="1"/>
  <c r="A2578" i="1"/>
  <c r="B2578" i="1"/>
  <c r="C2578" i="1"/>
  <c r="E2578" i="1"/>
  <c r="G2578" i="1"/>
  <c r="K2578" i="1"/>
  <c r="A2579" i="1"/>
  <c r="B2579" i="1"/>
  <c r="C2579" i="1"/>
  <c r="E2579" i="1"/>
  <c r="G2579" i="1"/>
  <c r="K2579" i="1"/>
  <c r="A2580" i="1"/>
  <c r="B2580" i="1"/>
  <c r="C2580" i="1"/>
  <c r="E2580" i="1"/>
  <c r="G2580" i="1"/>
  <c r="K2580" i="1"/>
  <c r="A2581" i="1"/>
  <c r="B2581" i="1"/>
  <c r="C2581" i="1"/>
  <c r="E2581" i="1"/>
  <c r="G2581" i="1"/>
  <c r="K2581" i="1"/>
  <c r="A2582" i="1"/>
  <c r="B2582" i="1"/>
  <c r="C2582" i="1"/>
  <c r="E2582" i="1"/>
  <c r="G2582" i="1"/>
  <c r="K2582" i="1"/>
  <c r="A2583" i="1"/>
  <c r="B2583" i="1"/>
  <c r="C2583" i="1"/>
  <c r="E2583" i="1"/>
  <c r="G2583" i="1"/>
  <c r="K2583" i="1"/>
  <c r="A2584" i="1"/>
  <c r="B2584" i="1"/>
  <c r="C2584" i="1"/>
  <c r="E2584" i="1"/>
  <c r="G2584" i="1"/>
  <c r="K2584" i="1"/>
  <c r="A2585" i="1"/>
  <c r="B2585" i="1"/>
  <c r="C2585" i="1"/>
  <c r="E2585" i="1"/>
  <c r="G2585" i="1"/>
  <c r="K2585" i="1"/>
  <c r="A2586" i="1"/>
  <c r="B2586" i="1"/>
  <c r="C2586" i="1"/>
  <c r="E2586" i="1"/>
  <c r="G2586" i="1"/>
  <c r="K2586" i="1"/>
  <c r="A2587" i="1"/>
  <c r="B2587" i="1"/>
  <c r="C2587" i="1"/>
  <c r="E2587" i="1"/>
  <c r="G2587" i="1"/>
  <c r="K2587" i="1"/>
  <c r="A2588" i="1"/>
  <c r="B2588" i="1"/>
  <c r="C2588" i="1"/>
  <c r="E2588" i="1"/>
  <c r="G2588" i="1"/>
  <c r="K2588" i="1"/>
  <c r="A2589" i="1"/>
  <c r="B2589" i="1"/>
  <c r="C2589" i="1"/>
  <c r="E2589" i="1"/>
  <c r="G2589" i="1"/>
  <c r="K2589" i="1"/>
  <c r="A2590" i="1"/>
  <c r="B2590" i="1"/>
  <c r="C2590" i="1"/>
  <c r="E2590" i="1"/>
  <c r="G2590" i="1"/>
  <c r="K2590" i="1"/>
  <c r="A2591" i="1"/>
  <c r="B2591" i="1"/>
  <c r="C2591" i="1"/>
  <c r="E2591" i="1"/>
  <c r="G2591" i="1"/>
  <c r="K2591" i="1"/>
  <c r="A2592" i="1"/>
  <c r="B2592" i="1"/>
  <c r="C2592" i="1"/>
  <c r="E2592" i="1"/>
  <c r="G2592" i="1"/>
  <c r="K2592" i="1"/>
  <c r="A2593" i="1"/>
  <c r="B2593" i="1"/>
  <c r="C2593" i="1"/>
  <c r="E2593" i="1"/>
  <c r="G2593" i="1"/>
  <c r="K2593" i="1"/>
  <c r="A2594" i="1"/>
  <c r="B2594" i="1"/>
  <c r="C2594" i="1"/>
  <c r="E2594" i="1"/>
  <c r="G2594" i="1"/>
  <c r="K2594" i="1"/>
  <c r="A2595" i="1"/>
  <c r="B2595" i="1"/>
  <c r="C2595" i="1"/>
  <c r="E2595" i="1"/>
  <c r="G2595" i="1"/>
  <c r="K2595" i="1"/>
  <c r="A2596" i="1"/>
  <c r="B2596" i="1"/>
  <c r="C2596" i="1"/>
  <c r="E2596" i="1"/>
  <c r="G2596" i="1"/>
  <c r="K2596" i="1"/>
  <c r="A2597" i="1"/>
  <c r="B2597" i="1"/>
  <c r="C2597" i="1"/>
  <c r="E2597" i="1"/>
  <c r="G2597" i="1"/>
  <c r="K2597" i="1"/>
  <c r="A2598" i="1"/>
  <c r="B2598" i="1"/>
  <c r="C2598" i="1"/>
  <c r="E2598" i="1"/>
  <c r="G2598" i="1"/>
  <c r="K2598" i="1"/>
  <c r="A2599" i="1"/>
  <c r="B2599" i="1"/>
  <c r="C2599" i="1"/>
  <c r="E2599" i="1"/>
  <c r="G2599" i="1"/>
  <c r="K2599" i="1"/>
  <c r="A2600" i="1"/>
  <c r="B2600" i="1"/>
  <c r="C2600" i="1"/>
  <c r="E2600" i="1"/>
  <c r="G2600" i="1"/>
  <c r="K2600" i="1"/>
  <c r="A2601" i="1"/>
  <c r="B2601" i="1"/>
  <c r="C2601" i="1"/>
  <c r="E2601" i="1"/>
  <c r="G2601" i="1"/>
  <c r="K2601" i="1"/>
  <c r="A2602" i="1"/>
  <c r="B2602" i="1"/>
  <c r="C2602" i="1"/>
  <c r="E2602" i="1"/>
  <c r="G2602" i="1"/>
  <c r="K2602" i="1"/>
  <c r="A2603" i="1"/>
  <c r="B2603" i="1"/>
  <c r="C2603" i="1"/>
  <c r="E2603" i="1"/>
  <c r="G2603" i="1"/>
  <c r="K2603" i="1"/>
  <c r="A2604" i="1"/>
  <c r="B2604" i="1"/>
  <c r="C2604" i="1"/>
  <c r="E2604" i="1"/>
  <c r="G2604" i="1"/>
  <c r="K2604" i="1"/>
  <c r="A2605" i="1"/>
  <c r="B2605" i="1"/>
  <c r="C2605" i="1"/>
  <c r="E2605" i="1"/>
  <c r="G2605" i="1"/>
  <c r="K2605" i="1"/>
  <c r="A2606" i="1"/>
  <c r="B2606" i="1"/>
  <c r="C2606" i="1"/>
  <c r="E2606" i="1"/>
  <c r="G2606" i="1"/>
  <c r="K2606" i="1"/>
  <c r="A2607" i="1"/>
  <c r="B2607" i="1"/>
  <c r="C2607" i="1"/>
  <c r="E2607" i="1"/>
  <c r="G2607" i="1"/>
  <c r="K2607" i="1"/>
  <c r="A2608" i="1"/>
  <c r="B2608" i="1"/>
  <c r="C2608" i="1"/>
  <c r="E2608" i="1"/>
  <c r="G2608" i="1"/>
  <c r="K2608" i="1"/>
  <c r="A2609" i="1"/>
  <c r="B2609" i="1"/>
  <c r="C2609" i="1"/>
  <c r="E2609" i="1"/>
  <c r="G2609" i="1"/>
  <c r="K2609" i="1"/>
  <c r="A2610" i="1"/>
  <c r="B2610" i="1"/>
  <c r="C2610" i="1"/>
  <c r="E2610" i="1"/>
  <c r="G2610" i="1"/>
  <c r="K2610" i="1"/>
  <c r="A2611" i="1"/>
  <c r="B2611" i="1"/>
  <c r="C2611" i="1"/>
  <c r="E2611" i="1"/>
  <c r="G2611" i="1"/>
  <c r="K2611" i="1"/>
  <c r="A2612" i="1"/>
  <c r="B2612" i="1"/>
  <c r="C2612" i="1"/>
  <c r="E2612" i="1"/>
  <c r="G2612" i="1"/>
  <c r="K2612" i="1"/>
  <c r="A2613" i="1"/>
  <c r="B2613" i="1"/>
  <c r="C2613" i="1"/>
  <c r="E2613" i="1"/>
  <c r="G2613" i="1"/>
  <c r="K2613" i="1"/>
  <c r="A2614" i="1"/>
  <c r="B2614" i="1"/>
  <c r="C2614" i="1"/>
  <c r="E2614" i="1"/>
  <c r="G2614" i="1"/>
  <c r="K2614" i="1"/>
  <c r="A2615" i="1"/>
  <c r="B2615" i="1"/>
  <c r="C2615" i="1"/>
  <c r="E2615" i="1"/>
  <c r="G2615" i="1"/>
  <c r="K2615" i="1"/>
  <c r="A2616" i="1"/>
  <c r="B2616" i="1"/>
  <c r="C2616" i="1"/>
  <c r="E2616" i="1"/>
  <c r="G2616" i="1"/>
  <c r="K2616" i="1"/>
  <c r="A2617" i="1"/>
  <c r="B2617" i="1"/>
  <c r="C2617" i="1"/>
  <c r="E2617" i="1"/>
  <c r="G2617" i="1"/>
  <c r="K2617" i="1"/>
  <c r="A2618" i="1"/>
  <c r="B2618" i="1"/>
  <c r="C2618" i="1"/>
  <c r="E2618" i="1"/>
  <c r="G2618" i="1"/>
  <c r="K2618" i="1"/>
  <c r="A2619" i="1"/>
  <c r="B2619" i="1"/>
  <c r="C2619" i="1"/>
  <c r="E2619" i="1"/>
  <c r="G2619" i="1"/>
  <c r="K2619" i="1"/>
  <c r="A2620" i="1"/>
  <c r="B2620" i="1"/>
  <c r="C2620" i="1"/>
  <c r="E2620" i="1"/>
  <c r="G2620" i="1"/>
  <c r="K2620" i="1"/>
  <c r="A2621" i="1"/>
  <c r="B2621" i="1"/>
  <c r="C2621" i="1"/>
  <c r="E2621" i="1"/>
  <c r="G2621" i="1"/>
  <c r="K2621" i="1"/>
  <c r="A2622" i="1"/>
  <c r="B2622" i="1"/>
  <c r="C2622" i="1"/>
  <c r="E2622" i="1"/>
  <c r="G2622" i="1"/>
  <c r="K2622" i="1"/>
  <c r="A2623" i="1"/>
  <c r="B2623" i="1"/>
  <c r="C2623" i="1"/>
  <c r="E2623" i="1"/>
  <c r="G2623" i="1"/>
  <c r="K2623" i="1"/>
  <c r="A2624" i="1"/>
  <c r="B2624" i="1"/>
  <c r="C2624" i="1"/>
  <c r="E2624" i="1"/>
  <c r="G2624" i="1"/>
  <c r="K2624" i="1"/>
  <c r="A2625" i="1"/>
  <c r="B2625" i="1"/>
  <c r="C2625" i="1"/>
  <c r="E2625" i="1"/>
  <c r="G2625" i="1"/>
  <c r="K2625" i="1"/>
  <c r="A2626" i="1"/>
  <c r="B2626" i="1"/>
  <c r="C2626" i="1"/>
  <c r="E2626" i="1"/>
  <c r="G2626" i="1"/>
  <c r="K2626" i="1"/>
  <c r="A2627" i="1"/>
  <c r="B2627" i="1"/>
  <c r="C2627" i="1"/>
  <c r="E2627" i="1"/>
  <c r="G2627" i="1"/>
  <c r="K2627" i="1"/>
  <c r="A2628" i="1"/>
  <c r="B2628" i="1"/>
  <c r="C2628" i="1"/>
  <c r="E2628" i="1"/>
  <c r="G2628" i="1"/>
  <c r="K2628" i="1"/>
  <c r="A2629" i="1"/>
  <c r="B2629" i="1"/>
  <c r="C2629" i="1"/>
  <c r="E2629" i="1"/>
  <c r="G2629" i="1"/>
  <c r="K2629" i="1"/>
  <c r="A2630" i="1"/>
  <c r="B2630" i="1"/>
  <c r="C2630" i="1"/>
  <c r="E2630" i="1"/>
  <c r="G2630" i="1"/>
  <c r="K2630" i="1"/>
  <c r="A2631" i="1"/>
  <c r="B2631" i="1"/>
  <c r="C2631" i="1"/>
  <c r="E2631" i="1"/>
  <c r="G2631" i="1"/>
  <c r="K2631" i="1"/>
  <c r="A2632" i="1"/>
  <c r="B2632" i="1"/>
  <c r="C2632" i="1"/>
  <c r="E2632" i="1"/>
  <c r="G2632" i="1"/>
  <c r="K2632" i="1"/>
  <c r="A2633" i="1"/>
  <c r="B2633" i="1"/>
  <c r="C2633" i="1"/>
  <c r="E2633" i="1"/>
  <c r="G2633" i="1"/>
  <c r="K2633" i="1"/>
  <c r="A2634" i="1"/>
  <c r="B2634" i="1"/>
  <c r="C2634" i="1"/>
  <c r="E2634" i="1"/>
  <c r="G2634" i="1"/>
  <c r="K2634" i="1"/>
  <c r="A2635" i="1"/>
  <c r="B2635" i="1"/>
  <c r="C2635" i="1"/>
  <c r="E2635" i="1"/>
  <c r="G2635" i="1"/>
  <c r="K2635" i="1"/>
  <c r="A2636" i="1"/>
  <c r="B2636" i="1"/>
  <c r="C2636" i="1"/>
  <c r="E2636" i="1"/>
  <c r="G2636" i="1"/>
  <c r="K2636" i="1"/>
  <c r="A2637" i="1"/>
  <c r="B2637" i="1"/>
  <c r="C2637" i="1"/>
  <c r="E2637" i="1"/>
  <c r="G2637" i="1"/>
  <c r="K2637" i="1"/>
  <c r="A2638" i="1"/>
  <c r="B2638" i="1"/>
  <c r="C2638" i="1"/>
  <c r="E2638" i="1"/>
  <c r="G2638" i="1"/>
  <c r="K2638" i="1"/>
  <c r="A2639" i="1"/>
  <c r="B2639" i="1"/>
  <c r="C2639" i="1"/>
  <c r="E2639" i="1"/>
  <c r="G2639" i="1"/>
  <c r="K2639" i="1"/>
  <c r="A2640" i="1"/>
  <c r="B2640" i="1"/>
  <c r="C2640" i="1"/>
  <c r="E2640" i="1"/>
  <c r="G2640" i="1"/>
  <c r="K2640" i="1"/>
  <c r="A2641" i="1"/>
  <c r="B2641" i="1"/>
  <c r="C2641" i="1"/>
  <c r="E2641" i="1"/>
  <c r="G2641" i="1"/>
  <c r="K2641" i="1"/>
  <c r="A2642" i="1"/>
  <c r="B2642" i="1"/>
  <c r="C2642" i="1"/>
  <c r="E2642" i="1"/>
  <c r="G2642" i="1"/>
  <c r="K2642" i="1"/>
  <c r="A2643" i="1"/>
  <c r="B2643" i="1"/>
  <c r="C2643" i="1"/>
  <c r="E2643" i="1"/>
  <c r="G2643" i="1"/>
  <c r="K2643" i="1"/>
  <c r="A2644" i="1"/>
  <c r="B2644" i="1"/>
  <c r="C2644" i="1"/>
  <c r="E2644" i="1"/>
  <c r="G2644" i="1"/>
  <c r="K2644" i="1"/>
  <c r="A2645" i="1"/>
  <c r="B2645" i="1"/>
  <c r="C2645" i="1"/>
  <c r="E2645" i="1"/>
  <c r="G2645" i="1"/>
  <c r="K2645" i="1"/>
  <c r="A2646" i="1"/>
  <c r="B2646" i="1"/>
  <c r="C2646" i="1"/>
  <c r="E2646" i="1"/>
  <c r="G2646" i="1"/>
  <c r="K2646" i="1"/>
  <c r="A2647" i="1"/>
  <c r="B2647" i="1"/>
  <c r="C2647" i="1"/>
  <c r="E2647" i="1"/>
  <c r="G2647" i="1"/>
  <c r="K2647" i="1"/>
  <c r="A2648" i="1"/>
  <c r="B2648" i="1"/>
  <c r="C2648" i="1"/>
  <c r="E2648" i="1"/>
  <c r="G2648" i="1"/>
  <c r="K2648" i="1"/>
  <c r="A2649" i="1"/>
  <c r="B2649" i="1"/>
  <c r="C2649" i="1"/>
  <c r="E2649" i="1"/>
  <c r="G2649" i="1"/>
  <c r="K2649" i="1"/>
  <c r="A2650" i="1"/>
  <c r="B2650" i="1"/>
  <c r="C2650" i="1"/>
  <c r="E2650" i="1"/>
  <c r="G2650" i="1"/>
  <c r="K2650" i="1"/>
  <c r="A2651" i="1"/>
  <c r="B2651" i="1"/>
  <c r="C2651" i="1"/>
  <c r="E2651" i="1"/>
  <c r="G2651" i="1"/>
  <c r="K2651" i="1"/>
  <c r="A2652" i="1"/>
  <c r="B2652" i="1"/>
  <c r="C2652" i="1"/>
  <c r="E2652" i="1"/>
  <c r="G2652" i="1"/>
  <c r="K2652" i="1"/>
  <c r="A2653" i="1"/>
  <c r="B2653" i="1"/>
  <c r="C2653" i="1"/>
  <c r="E2653" i="1"/>
  <c r="G2653" i="1"/>
  <c r="K2653" i="1"/>
  <c r="A2654" i="1"/>
  <c r="B2654" i="1"/>
  <c r="C2654" i="1"/>
  <c r="E2654" i="1"/>
  <c r="G2654" i="1"/>
  <c r="K2654" i="1"/>
  <c r="A2655" i="1"/>
  <c r="B2655" i="1"/>
  <c r="C2655" i="1"/>
  <c r="E2655" i="1"/>
  <c r="G2655" i="1"/>
  <c r="K2655" i="1"/>
  <c r="A2656" i="1"/>
  <c r="B2656" i="1"/>
  <c r="C2656" i="1"/>
  <c r="E2656" i="1"/>
  <c r="G2656" i="1"/>
  <c r="K2656" i="1"/>
  <c r="A2657" i="1"/>
  <c r="B2657" i="1"/>
  <c r="C2657" i="1"/>
  <c r="E2657" i="1"/>
  <c r="G2657" i="1"/>
  <c r="K2657" i="1"/>
  <c r="A2658" i="1"/>
  <c r="B2658" i="1"/>
  <c r="C2658" i="1"/>
  <c r="E2658" i="1"/>
  <c r="G2658" i="1"/>
  <c r="K2658" i="1"/>
  <c r="A2659" i="1"/>
  <c r="B2659" i="1"/>
  <c r="C2659" i="1"/>
  <c r="E2659" i="1"/>
  <c r="G2659" i="1"/>
  <c r="K2659" i="1"/>
  <c r="A2660" i="1"/>
  <c r="B2660" i="1"/>
  <c r="C2660" i="1"/>
  <c r="E2660" i="1"/>
  <c r="G2660" i="1"/>
  <c r="K2660" i="1"/>
  <c r="A2661" i="1"/>
  <c r="B2661" i="1"/>
  <c r="C2661" i="1"/>
  <c r="E2661" i="1"/>
  <c r="G2661" i="1"/>
  <c r="K2661" i="1"/>
  <c r="A2662" i="1"/>
  <c r="B2662" i="1"/>
  <c r="C2662" i="1"/>
  <c r="E2662" i="1"/>
  <c r="G2662" i="1"/>
  <c r="K2662" i="1"/>
  <c r="A2663" i="1"/>
  <c r="B2663" i="1"/>
  <c r="C2663" i="1"/>
  <c r="E2663" i="1"/>
  <c r="G2663" i="1"/>
  <c r="K2663" i="1"/>
  <c r="A2664" i="1"/>
  <c r="B2664" i="1"/>
  <c r="C2664" i="1"/>
  <c r="E2664" i="1"/>
  <c r="G2664" i="1"/>
  <c r="K2664" i="1"/>
  <c r="A2665" i="1"/>
  <c r="B2665" i="1"/>
  <c r="C2665" i="1"/>
  <c r="E2665" i="1"/>
  <c r="G2665" i="1"/>
  <c r="K2665" i="1"/>
  <c r="A2666" i="1"/>
  <c r="B2666" i="1"/>
  <c r="C2666" i="1"/>
  <c r="E2666" i="1"/>
  <c r="G2666" i="1"/>
  <c r="K2666" i="1"/>
  <c r="A2667" i="1"/>
  <c r="B2667" i="1"/>
  <c r="C2667" i="1"/>
  <c r="E2667" i="1"/>
  <c r="G2667" i="1"/>
  <c r="K2667" i="1"/>
  <c r="A2668" i="1"/>
  <c r="B2668" i="1"/>
  <c r="C2668" i="1"/>
  <c r="E2668" i="1"/>
  <c r="G2668" i="1"/>
  <c r="K2668" i="1"/>
  <c r="A2669" i="1"/>
  <c r="B2669" i="1"/>
  <c r="C2669" i="1"/>
  <c r="E2669" i="1"/>
  <c r="G2669" i="1"/>
  <c r="K2669" i="1"/>
  <c r="A2670" i="1"/>
  <c r="B2670" i="1"/>
  <c r="C2670" i="1"/>
  <c r="E2670" i="1"/>
  <c r="G2670" i="1"/>
  <c r="K2670" i="1"/>
  <c r="A2671" i="1"/>
  <c r="B2671" i="1"/>
  <c r="C2671" i="1"/>
  <c r="E2671" i="1"/>
  <c r="G2671" i="1"/>
  <c r="K2671" i="1"/>
  <c r="A2672" i="1"/>
  <c r="B2672" i="1"/>
  <c r="C2672" i="1"/>
  <c r="E2672" i="1"/>
  <c r="G2672" i="1"/>
  <c r="K2672" i="1"/>
  <c r="A2673" i="1"/>
  <c r="B2673" i="1"/>
  <c r="C2673" i="1"/>
  <c r="E2673" i="1"/>
  <c r="G2673" i="1"/>
  <c r="K2673" i="1"/>
  <c r="A2674" i="1"/>
  <c r="B2674" i="1"/>
  <c r="C2674" i="1"/>
  <c r="E2674" i="1"/>
  <c r="G2674" i="1"/>
  <c r="K2674" i="1"/>
  <c r="A2675" i="1"/>
  <c r="B2675" i="1"/>
  <c r="C2675" i="1"/>
  <c r="E2675" i="1"/>
  <c r="G2675" i="1"/>
  <c r="K2675" i="1"/>
  <c r="A2676" i="1"/>
  <c r="B2676" i="1"/>
  <c r="C2676" i="1"/>
  <c r="E2676" i="1"/>
  <c r="G2676" i="1"/>
  <c r="K2676" i="1"/>
  <c r="A2677" i="1"/>
  <c r="B2677" i="1"/>
  <c r="C2677" i="1"/>
  <c r="E2677" i="1"/>
  <c r="G2677" i="1"/>
  <c r="K2677" i="1"/>
  <c r="A2678" i="1"/>
  <c r="B2678" i="1"/>
  <c r="C2678" i="1"/>
  <c r="E2678" i="1"/>
  <c r="G2678" i="1"/>
  <c r="K2678" i="1"/>
  <c r="A2679" i="1"/>
  <c r="B2679" i="1"/>
  <c r="C2679" i="1"/>
  <c r="E2679" i="1"/>
  <c r="G2679" i="1"/>
  <c r="K2679" i="1"/>
  <c r="A2680" i="1"/>
  <c r="B2680" i="1"/>
  <c r="C2680" i="1"/>
  <c r="E2680" i="1"/>
  <c r="G2680" i="1"/>
  <c r="K2680" i="1"/>
  <c r="A2681" i="1"/>
  <c r="B2681" i="1"/>
  <c r="C2681" i="1"/>
  <c r="E2681" i="1"/>
  <c r="G2681" i="1"/>
  <c r="K2681" i="1"/>
  <c r="A2682" i="1"/>
  <c r="B2682" i="1"/>
  <c r="C2682" i="1"/>
  <c r="E2682" i="1"/>
  <c r="G2682" i="1"/>
  <c r="K2682" i="1"/>
  <c r="A2683" i="1"/>
  <c r="B2683" i="1"/>
  <c r="C2683" i="1"/>
  <c r="E2683" i="1"/>
  <c r="G2683" i="1"/>
  <c r="K2683" i="1"/>
  <c r="A2684" i="1"/>
  <c r="B2684" i="1"/>
  <c r="C2684" i="1"/>
  <c r="E2684" i="1"/>
  <c r="G2684" i="1"/>
  <c r="K2684" i="1"/>
  <c r="A2685" i="1"/>
  <c r="B2685" i="1"/>
  <c r="C2685" i="1"/>
  <c r="E2685" i="1"/>
  <c r="G2685" i="1"/>
  <c r="K2685" i="1"/>
  <c r="A2686" i="1"/>
  <c r="B2686" i="1"/>
  <c r="C2686" i="1"/>
  <c r="E2686" i="1"/>
  <c r="G2686" i="1"/>
  <c r="K2686" i="1"/>
  <c r="A2687" i="1"/>
  <c r="B2687" i="1"/>
  <c r="C2687" i="1"/>
  <c r="E2687" i="1"/>
  <c r="G2687" i="1"/>
  <c r="K2687" i="1"/>
  <c r="A2688" i="1"/>
  <c r="B2688" i="1"/>
  <c r="C2688" i="1"/>
  <c r="E2688" i="1"/>
  <c r="G2688" i="1"/>
  <c r="K2688" i="1"/>
  <c r="A2689" i="1"/>
  <c r="B2689" i="1"/>
  <c r="C2689" i="1"/>
  <c r="E2689" i="1"/>
  <c r="G2689" i="1"/>
  <c r="K2689" i="1"/>
  <c r="A2690" i="1"/>
  <c r="B2690" i="1"/>
  <c r="C2690" i="1"/>
  <c r="E2690" i="1"/>
  <c r="G2690" i="1"/>
  <c r="K2690" i="1"/>
  <c r="A2691" i="1"/>
  <c r="B2691" i="1"/>
  <c r="C2691" i="1"/>
  <c r="E2691" i="1"/>
  <c r="G2691" i="1"/>
  <c r="K2691" i="1"/>
  <c r="A2692" i="1"/>
  <c r="B2692" i="1"/>
  <c r="C2692" i="1"/>
  <c r="E2692" i="1"/>
  <c r="G2692" i="1"/>
  <c r="K2692" i="1"/>
  <c r="A2693" i="1"/>
  <c r="B2693" i="1"/>
  <c r="C2693" i="1"/>
  <c r="E2693" i="1"/>
  <c r="G2693" i="1"/>
  <c r="K2693" i="1"/>
  <c r="A2694" i="1"/>
  <c r="B2694" i="1"/>
  <c r="C2694" i="1"/>
  <c r="E2694" i="1"/>
  <c r="G2694" i="1"/>
  <c r="K2694" i="1"/>
  <c r="A2695" i="1"/>
  <c r="B2695" i="1"/>
  <c r="C2695" i="1"/>
  <c r="E2695" i="1"/>
  <c r="G2695" i="1"/>
  <c r="K2695" i="1"/>
  <c r="A2696" i="1"/>
  <c r="B2696" i="1"/>
  <c r="C2696" i="1"/>
  <c r="E2696" i="1"/>
  <c r="G2696" i="1"/>
  <c r="K2696" i="1"/>
  <c r="A2697" i="1"/>
  <c r="B2697" i="1"/>
  <c r="C2697" i="1"/>
  <c r="E2697" i="1"/>
  <c r="G2697" i="1"/>
  <c r="K2697" i="1"/>
  <c r="A2698" i="1"/>
  <c r="B2698" i="1"/>
  <c r="C2698" i="1"/>
  <c r="E2698" i="1"/>
  <c r="G2698" i="1"/>
  <c r="K2698" i="1"/>
  <c r="A2699" i="1"/>
  <c r="B2699" i="1"/>
  <c r="C2699" i="1"/>
  <c r="E2699" i="1"/>
  <c r="G2699" i="1"/>
  <c r="K2699" i="1"/>
  <c r="A2700" i="1"/>
  <c r="B2700" i="1"/>
  <c r="C2700" i="1"/>
  <c r="E2700" i="1"/>
  <c r="G2700" i="1"/>
  <c r="K2700" i="1"/>
  <c r="A2701" i="1"/>
  <c r="B2701" i="1"/>
  <c r="C2701" i="1"/>
  <c r="E2701" i="1"/>
  <c r="G2701" i="1"/>
  <c r="K2701" i="1"/>
  <c r="A2702" i="1"/>
  <c r="B2702" i="1"/>
  <c r="C2702" i="1"/>
  <c r="E2702" i="1"/>
  <c r="G2702" i="1"/>
  <c r="K2702" i="1"/>
  <c r="A2703" i="1"/>
  <c r="B2703" i="1"/>
  <c r="C2703" i="1"/>
  <c r="E2703" i="1"/>
  <c r="G2703" i="1"/>
  <c r="K2703" i="1"/>
  <c r="A2704" i="1"/>
  <c r="B2704" i="1"/>
  <c r="C2704" i="1"/>
  <c r="E2704" i="1"/>
  <c r="G2704" i="1"/>
  <c r="K2704" i="1"/>
  <c r="A2705" i="1"/>
  <c r="B2705" i="1"/>
  <c r="C2705" i="1"/>
  <c r="E2705" i="1"/>
  <c r="G2705" i="1"/>
  <c r="K2705" i="1"/>
  <c r="A2706" i="1"/>
  <c r="B2706" i="1"/>
  <c r="C2706" i="1"/>
  <c r="E2706" i="1"/>
  <c r="G2706" i="1"/>
  <c r="K2706" i="1"/>
  <c r="A2707" i="1"/>
  <c r="B2707" i="1"/>
  <c r="C2707" i="1"/>
  <c r="E2707" i="1"/>
  <c r="G2707" i="1"/>
  <c r="K2707" i="1"/>
  <c r="A2708" i="1"/>
  <c r="B2708" i="1"/>
  <c r="C2708" i="1"/>
  <c r="E2708" i="1"/>
  <c r="G2708" i="1"/>
  <c r="K2708" i="1"/>
  <c r="A2709" i="1"/>
  <c r="B2709" i="1"/>
  <c r="C2709" i="1"/>
  <c r="E2709" i="1"/>
  <c r="G2709" i="1"/>
  <c r="K2709" i="1"/>
  <c r="A2710" i="1"/>
  <c r="B2710" i="1"/>
  <c r="C2710" i="1"/>
  <c r="E2710" i="1"/>
  <c r="G2710" i="1"/>
  <c r="K2710" i="1"/>
  <c r="A2711" i="1"/>
  <c r="B2711" i="1"/>
  <c r="C2711" i="1"/>
  <c r="E2711" i="1"/>
  <c r="G2711" i="1"/>
  <c r="K2711" i="1"/>
  <c r="A2712" i="1"/>
  <c r="B2712" i="1"/>
  <c r="C2712" i="1"/>
  <c r="E2712" i="1"/>
  <c r="G2712" i="1"/>
  <c r="K2712" i="1"/>
  <c r="A2713" i="1"/>
  <c r="B2713" i="1"/>
  <c r="C2713" i="1"/>
  <c r="E2713" i="1"/>
  <c r="G2713" i="1"/>
  <c r="K2713" i="1"/>
  <c r="A2714" i="1"/>
  <c r="B2714" i="1"/>
  <c r="C2714" i="1"/>
  <c r="E2714" i="1"/>
  <c r="G2714" i="1"/>
  <c r="K2714" i="1"/>
  <c r="A2715" i="1"/>
  <c r="B2715" i="1"/>
  <c r="C2715" i="1"/>
  <c r="E2715" i="1"/>
  <c r="G2715" i="1"/>
  <c r="K2715" i="1"/>
  <c r="A2716" i="1"/>
  <c r="B2716" i="1"/>
  <c r="C2716" i="1"/>
  <c r="E2716" i="1"/>
  <c r="G2716" i="1"/>
  <c r="K2716" i="1"/>
  <c r="A2717" i="1"/>
  <c r="B2717" i="1"/>
  <c r="C2717" i="1"/>
  <c r="E2717" i="1"/>
  <c r="G2717" i="1"/>
  <c r="K2717" i="1"/>
  <c r="A2718" i="1"/>
  <c r="B2718" i="1"/>
  <c r="C2718" i="1"/>
  <c r="E2718" i="1"/>
  <c r="G2718" i="1"/>
  <c r="K2718" i="1"/>
  <c r="A2719" i="1"/>
  <c r="B2719" i="1"/>
  <c r="C2719" i="1"/>
  <c r="E2719" i="1"/>
  <c r="G2719" i="1"/>
  <c r="K2719" i="1"/>
  <c r="A2720" i="1"/>
  <c r="B2720" i="1"/>
  <c r="C2720" i="1"/>
  <c r="E2720" i="1"/>
  <c r="G2720" i="1"/>
  <c r="K2720" i="1"/>
  <c r="A2721" i="1"/>
  <c r="B2721" i="1"/>
  <c r="C2721" i="1"/>
  <c r="E2721" i="1"/>
  <c r="G2721" i="1"/>
  <c r="K2721" i="1"/>
  <c r="A2722" i="1"/>
  <c r="B2722" i="1"/>
  <c r="C2722" i="1"/>
  <c r="E2722" i="1"/>
  <c r="G2722" i="1"/>
  <c r="K2722" i="1"/>
  <c r="A2723" i="1"/>
  <c r="B2723" i="1"/>
  <c r="C2723" i="1"/>
  <c r="E2723" i="1"/>
  <c r="G2723" i="1"/>
  <c r="K2723" i="1"/>
  <c r="A2724" i="1"/>
  <c r="B2724" i="1"/>
  <c r="C2724" i="1"/>
  <c r="E2724" i="1"/>
  <c r="G2724" i="1"/>
  <c r="K2724" i="1"/>
  <c r="A2725" i="1"/>
  <c r="B2725" i="1"/>
  <c r="C2725" i="1"/>
  <c r="E2725" i="1"/>
  <c r="G2725" i="1"/>
  <c r="K2725" i="1"/>
  <c r="A2726" i="1"/>
  <c r="B2726" i="1"/>
  <c r="C2726" i="1"/>
  <c r="E2726" i="1"/>
  <c r="G2726" i="1"/>
  <c r="K2726" i="1"/>
  <c r="A2727" i="1"/>
  <c r="B2727" i="1"/>
  <c r="C2727" i="1"/>
  <c r="E2727" i="1"/>
  <c r="G2727" i="1"/>
  <c r="K2727" i="1"/>
  <c r="A2728" i="1"/>
  <c r="B2728" i="1"/>
  <c r="C2728" i="1"/>
  <c r="E2728" i="1"/>
  <c r="G2728" i="1"/>
  <c r="K2728" i="1"/>
  <c r="A2729" i="1"/>
  <c r="B2729" i="1"/>
  <c r="C2729" i="1"/>
  <c r="E2729" i="1"/>
  <c r="G2729" i="1"/>
  <c r="K2729" i="1"/>
  <c r="A2730" i="1"/>
  <c r="B2730" i="1"/>
  <c r="C2730" i="1"/>
  <c r="E2730" i="1"/>
  <c r="G2730" i="1"/>
  <c r="K2730" i="1"/>
  <c r="A2731" i="1"/>
  <c r="B2731" i="1"/>
  <c r="C2731" i="1"/>
  <c r="E2731" i="1"/>
  <c r="G2731" i="1"/>
  <c r="K2731" i="1"/>
  <c r="A2732" i="1"/>
  <c r="B2732" i="1"/>
  <c r="C2732" i="1"/>
  <c r="E2732" i="1"/>
  <c r="G2732" i="1"/>
  <c r="K2732" i="1"/>
  <c r="A2733" i="1"/>
  <c r="B2733" i="1"/>
  <c r="C2733" i="1"/>
  <c r="E2733" i="1"/>
  <c r="G2733" i="1"/>
  <c r="K2733" i="1"/>
  <c r="A2734" i="1"/>
  <c r="B2734" i="1"/>
  <c r="C2734" i="1"/>
  <c r="E2734" i="1"/>
  <c r="G2734" i="1"/>
  <c r="K2734" i="1"/>
  <c r="A2735" i="1"/>
  <c r="B2735" i="1"/>
  <c r="C2735" i="1"/>
  <c r="E2735" i="1"/>
  <c r="G2735" i="1"/>
  <c r="K2735" i="1"/>
  <c r="A2736" i="1"/>
  <c r="B2736" i="1"/>
  <c r="C2736" i="1"/>
  <c r="E2736" i="1"/>
  <c r="G2736" i="1"/>
  <c r="K2736" i="1"/>
  <c r="A2737" i="1"/>
  <c r="B2737" i="1"/>
  <c r="C2737" i="1"/>
  <c r="E2737" i="1"/>
  <c r="G2737" i="1"/>
  <c r="K2737" i="1"/>
  <c r="A2738" i="1"/>
  <c r="B2738" i="1"/>
  <c r="C2738" i="1"/>
  <c r="E2738" i="1"/>
  <c r="G2738" i="1"/>
  <c r="K2738" i="1"/>
  <c r="A2739" i="1"/>
  <c r="B2739" i="1"/>
  <c r="C2739" i="1"/>
  <c r="E2739" i="1"/>
  <c r="G2739" i="1"/>
  <c r="K2739" i="1"/>
  <c r="A2740" i="1"/>
  <c r="B2740" i="1"/>
  <c r="C2740" i="1"/>
  <c r="E2740" i="1"/>
  <c r="G2740" i="1"/>
  <c r="K2740" i="1"/>
  <c r="A2741" i="1"/>
  <c r="B2741" i="1"/>
  <c r="C2741" i="1"/>
  <c r="E2741" i="1"/>
  <c r="G2741" i="1"/>
  <c r="K2741" i="1"/>
  <c r="A2742" i="1"/>
  <c r="B2742" i="1"/>
  <c r="C2742" i="1"/>
  <c r="E2742" i="1"/>
  <c r="G2742" i="1"/>
  <c r="K2742" i="1"/>
  <c r="A2743" i="1"/>
  <c r="B2743" i="1"/>
  <c r="C2743" i="1"/>
  <c r="E2743" i="1"/>
  <c r="G2743" i="1"/>
  <c r="K2743" i="1"/>
  <c r="A2744" i="1"/>
  <c r="B2744" i="1"/>
  <c r="C2744" i="1"/>
  <c r="E2744" i="1"/>
  <c r="G2744" i="1"/>
  <c r="K2744" i="1"/>
  <c r="A2745" i="1"/>
  <c r="B2745" i="1"/>
  <c r="C2745" i="1"/>
  <c r="E2745" i="1"/>
  <c r="G2745" i="1"/>
  <c r="K2745" i="1"/>
  <c r="A2746" i="1"/>
  <c r="B2746" i="1"/>
  <c r="C2746" i="1"/>
  <c r="E2746" i="1"/>
  <c r="G2746" i="1"/>
  <c r="K2746" i="1"/>
  <c r="A2747" i="1"/>
  <c r="B2747" i="1"/>
  <c r="C2747" i="1"/>
  <c r="E2747" i="1"/>
  <c r="G2747" i="1"/>
  <c r="K2747" i="1"/>
  <c r="A2748" i="1"/>
  <c r="B2748" i="1"/>
  <c r="C2748" i="1"/>
  <c r="E2748" i="1"/>
  <c r="G2748" i="1"/>
  <c r="K2748" i="1"/>
  <c r="A2749" i="1"/>
  <c r="B2749" i="1"/>
  <c r="C2749" i="1"/>
  <c r="E2749" i="1"/>
  <c r="G2749" i="1"/>
  <c r="K2749" i="1"/>
  <c r="A2750" i="1"/>
  <c r="B2750" i="1"/>
  <c r="C2750" i="1"/>
  <c r="E2750" i="1"/>
  <c r="G2750" i="1"/>
  <c r="K2750" i="1"/>
  <c r="A2751" i="1"/>
  <c r="B2751" i="1"/>
  <c r="C2751" i="1"/>
  <c r="E2751" i="1"/>
  <c r="G2751" i="1"/>
  <c r="K2751" i="1"/>
  <c r="A2752" i="1"/>
  <c r="B2752" i="1"/>
  <c r="C2752" i="1"/>
  <c r="E2752" i="1"/>
  <c r="G2752" i="1"/>
  <c r="K2752" i="1"/>
  <c r="A2753" i="1"/>
  <c r="B2753" i="1"/>
  <c r="C2753" i="1"/>
  <c r="E2753" i="1"/>
  <c r="G2753" i="1"/>
  <c r="K2753" i="1"/>
  <c r="A2754" i="1"/>
  <c r="B2754" i="1"/>
  <c r="C2754" i="1"/>
  <c r="E2754" i="1"/>
  <c r="G2754" i="1"/>
  <c r="K2754" i="1"/>
  <c r="A2755" i="1"/>
  <c r="B2755" i="1"/>
  <c r="C2755" i="1"/>
  <c r="E2755" i="1"/>
  <c r="G2755" i="1"/>
  <c r="K2755" i="1"/>
  <c r="A2756" i="1"/>
  <c r="B2756" i="1"/>
  <c r="C2756" i="1"/>
  <c r="E2756" i="1"/>
  <c r="G2756" i="1"/>
  <c r="K2756" i="1"/>
  <c r="A2757" i="1"/>
  <c r="B2757" i="1"/>
  <c r="C2757" i="1"/>
  <c r="E2757" i="1"/>
  <c r="G2757" i="1"/>
  <c r="K2757" i="1"/>
  <c r="A2758" i="1"/>
  <c r="B2758" i="1"/>
  <c r="C2758" i="1"/>
  <c r="E2758" i="1"/>
  <c r="G2758" i="1"/>
  <c r="K2758" i="1"/>
  <c r="A2759" i="1"/>
  <c r="B2759" i="1"/>
  <c r="C2759" i="1"/>
  <c r="E2759" i="1"/>
  <c r="G2759" i="1"/>
  <c r="K2759" i="1"/>
  <c r="A2760" i="1"/>
  <c r="B2760" i="1"/>
  <c r="C2760" i="1"/>
  <c r="E2760" i="1"/>
  <c r="G2760" i="1"/>
  <c r="K2760" i="1"/>
  <c r="A2761" i="1"/>
  <c r="B2761" i="1"/>
  <c r="C2761" i="1"/>
  <c r="E2761" i="1"/>
  <c r="G2761" i="1"/>
  <c r="K2761" i="1"/>
  <c r="A2762" i="1"/>
  <c r="B2762" i="1"/>
  <c r="C2762" i="1"/>
  <c r="E2762" i="1"/>
  <c r="G2762" i="1"/>
  <c r="K2762" i="1"/>
  <c r="A2763" i="1"/>
  <c r="B2763" i="1"/>
  <c r="C2763" i="1"/>
  <c r="E2763" i="1"/>
  <c r="G2763" i="1"/>
  <c r="K2763" i="1"/>
  <c r="A2764" i="1"/>
  <c r="B2764" i="1"/>
  <c r="C2764" i="1"/>
  <c r="E2764" i="1"/>
  <c r="G2764" i="1"/>
  <c r="K2764" i="1"/>
  <c r="A2765" i="1"/>
  <c r="B2765" i="1"/>
  <c r="C2765" i="1"/>
  <c r="E2765" i="1"/>
  <c r="G2765" i="1"/>
  <c r="K2765" i="1"/>
  <c r="A2766" i="1"/>
  <c r="B2766" i="1"/>
  <c r="C2766" i="1"/>
  <c r="E2766" i="1"/>
  <c r="G2766" i="1"/>
  <c r="K2766" i="1"/>
  <c r="A2767" i="1"/>
  <c r="B2767" i="1"/>
  <c r="C2767" i="1"/>
  <c r="E2767" i="1"/>
  <c r="G2767" i="1"/>
  <c r="K2767" i="1"/>
  <c r="A2768" i="1"/>
  <c r="B2768" i="1"/>
  <c r="C2768" i="1"/>
  <c r="E2768" i="1"/>
  <c r="G2768" i="1"/>
  <c r="K2768" i="1"/>
  <c r="A2769" i="1"/>
  <c r="B2769" i="1"/>
  <c r="C2769" i="1"/>
  <c r="E2769" i="1"/>
  <c r="G2769" i="1"/>
  <c r="K2769" i="1"/>
  <c r="A2770" i="1"/>
  <c r="B2770" i="1"/>
  <c r="C2770" i="1"/>
  <c r="E2770" i="1"/>
  <c r="G2770" i="1"/>
  <c r="K2770" i="1"/>
  <c r="A2771" i="1"/>
  <c r="B2771" i="1"/>
  <c r="C2771" i="1"/>
  <c r="E2771" i="1"/>
  <c r="G2771" i="1"/>
  <c r="K2771" i="1"/>
  <c r="A2772" i="1"/>
  <c r="B2772" i="1"/>
  <c r="C2772" i="1"/>
  <c r="E2772" i="1"/>
  <c r="G2772" i="1"/>
  <c r="K2772" i="1"/>
  <c r="A2773" i="1"/>
  <c r="B2773" i="1"/>
  <c r="C2773" i="1"/>
  <c r="E2773" i="1"/>
  <c r="G2773" i="1"/>
  <c r="K2773" i="1"/>
  <c r="A2774" i="1"/>
  <c r="B2774" i="1"/>
  <c r="C2774" i="1"/>
  <c r="E2774" i="1"/>
  <c r="G2774" i="1"/>
  <c r="K2774" i="1"/>
  <c r="A2775" i="1"/>
  <c r="B2775" i="1"/>
  <c r="C2775" i="1"/>
  <c r="E2775" i="1"/>
  <c r="G2775" i="1"/>
  <c r="K2775" i="1"/>
  <c r="A2776" i="1"/>
  <c r="B2776" i="1"/>
  <c r="C2776" i="1"/>
  <c r="E2776" i="1"/>
  <c r="G2776" i="1"/>
  <c r="K2776" i="1"/>
  <c r="A2777" i="1"/>
  <c r="B2777" i="1"/>
  <c r="C2777" i="1"/>
  <c r="E2777" i="1"/>
  <c r="G2777" i="1"/>
  <c r="K2777" i="1"/>
  <c r="A2778" i="1"/>
  <c r="B2778" i="1"/>
  <c r="C2778" i="1"/>
  <c r="E2778" i="1"/>
  <c r="G2778" i="1"/>
  <c r="K2778" i="1"/>
  <c r="A2779" i="1"/>
  <c r="B2779" i="1"/>
  <c r="C2779" i="1"/>
  <c r="E2779" i="1"/>
  <c r="G2779" i="1"/>
  <c r="K2779" i="1"/>
  <c r="A2780" i="1"/>
  <c r="B2780" i="1"/>
  <c r="C2780" i="1"/>
  <c r="E2780" i="1"/>
  <c r="G2780" i="1"/>
  <c r="K2780" i="1"/>
  <c r="A2781" i="1"/>
  <c r="B2781" i="1"/>
  <c r="C2781" i="1"/>
  <c r="E2781" i="1"/>
  <c r="G2781" i="1"/>
  <c r="K2781" i="1"/>
  <c r="A2782" i="1"/>
  <c r="B2782" i="1"/>
  <c r="C2782" i="1"/>
  <c r="E2782" i="1"/>
  <c r="G2782" i="1"/>
  <c r="K2782" i="1"/>
  <c r="A2783" i="1"/>
  <c r="B2783" i="1"/>
  <c r="C2783" i="1"/>
  <c r="E2783" i="1"/>
  <c r="G2783" i="1"/>
  <c r="K2783" i="1"/>
  <c r="A2784" i="1"/>
  <c r="B2784" i="1"/>
  <c r="C2784" i="1"/>
  <c r="E2784" i="1"/>
  <c r="G2784" i="1"/>
  <c r="K2784" i="1"/>
  <c r="A2785" i="1"/>
  <c r="B2785" i="1"/>
  <c r="C2785" i="1"/>
  <c r="E2785" i="1"/>
  <c r="G2785" i="1"/>
  <c r="K2785" i="1"/>
  <c r="A2786" i="1"/>
  <c r="B2786" i="1"/>
  <c r="C2786" i="1"/>
  <c r="E2786" i="1"/>
  <c r="G2786" i="1"/>
  <c r="K2786" i="1"/>
  <c r="A2787" i="1"/>
  <c r="B2787" i="1"/>
  <c r="C2787" i="1"/>
  <c r="E2787" i="1"/>
  <c r="G2787" i="1"/>
  <c r="K2787" i="1"/>
  <c r="A2788" i="1"/>
  <c r="B2788" i="1"/>
  <c r="C2788" i="1"/>
  <c r="E2788" i="1"/>
  <c r="G2788" i="1"/>
  <c r="K2788" i="1"/>
  <c r="A2789" i="1"/>
  <c r="B2789" i="1"/>
  <c r="C2789" i="1"/>
  <c r="E2789" i="1"/>
  <c r="G2789" i="1"/>
  <c r="K2789" i="1"/>
  <c r="A2790" i="1"/>
  <c r="B2790" i="1"/>
  <c r="C2790" i="1"/>
  <c r="E2790" i="1"/>
  <c r="G2790" i="1"/>
  <c r="K2790" i="1"/>
  <c r="A2791" i="1"/>
  <c r="B2791" i="1"/>
  <c r="C2791" i="1"/>
  <c r="E2791" i="1"/>
  <c r="G2791" i="1"/>
  <c r="K2791" i="1"/>
  <c r="A2792" i="1"/>
  <c r="B2792" i="1"/>
  <c r="C2792" i="1"/>
  <c r="E2792" i="1"/>
  <c r="G2792" i="1"/>
  <c r="K2792" i="1"/>
  <c r="A2793" i="1"/>
  <c r="B2793" i="1"/>
  <c r="C2793" i="1"/>
  <c r="E2793" i="1"/>
  <c r="G2793" i="1"/>
  <c r="K2793" i="1"/>
  <c r="A2794" i="1"/>
  <c r="B2794" i="1"/>
  <c r="C2794" i="1"/>
  <c r="E2794" i="1"/>
  <c r="G2794" i="1"/>
  <c r="K2794" i="1"/>
  <c r="A2795" i="1"/>
  <c r="B2795" i="1"/>
  <c r="C2795" i="1"/>
  <c r="E2795" i="1"/>
  <c r="G2795" i="1"/>
  <c r="K2795" i="1"/>
  <c r="A2796" i="1"/>
  <c r="B2796" i="1"/>
  <c r="C2796" i="1"/>
  <c r="E2796" i="1"/>
  <c r="G2796" i="1"/>
  <c r="K2796" i="1"/>
  <c r="A2797" i="1"/>
  <c r="B2797" i="1"/>
  <c r="C2797" i="1"/>
  <c r="E2797" i="1"/>
  <c r="G2797" i="1"/>
  <c r="K2797" i="1"/>
  <c r="A2798" i="1"/>
  <c r="B2798" i="1"/>
  <c r="C2798" i="1"/>
  <c r="E2798" i="1"/>
  <c r="G2798" i="1"/>
  <c r="K2798" i="1"/>
  <c r="A2799" i="1"/>
  <c r="B2799" i="1"/>
  <c r="C2799" i="1"/>
  <c r="E2799" i="1"/>
  <c r="G2799" i="1"/>
  <c r="K2799" i="1"/>
  <c r="A2800" i="1"/>
  <c r="B2800" i="1"/>
  <c r="C2800" i="1"/>
  <c r="E2800" i="1"/>
  <c r="G2800" i="1"/>
  <c r="K2800" i="1"/>
  <c r="A2801" i="1"/>
  <c r="B2801" i="1"/>
  <c r="C2801" i="1"/>
  <c r="E2801" i="1"/>
  <c r="G2801" i="1"/>
  <c r="K2801" i="1"/>
  <c r="A2802" i="1"/>
  <c r="B2802" i="1"/>
  <c r="C2802" i="1"/>
  <c r="E2802" i="1"/>
  <c r="G2802" i="1"/>
  <c r="K2802" i="1"/>
  <c r="A2803" i="1"/>
  <c r="B2803" i="1"/>
  <c r="C2803" i="1"/>
  <c r="E2803" i="1"/>
  <c r="G2803" i="1"/>
  <c r="K2803" i="1"/>
  <c r="A2804" i="1"/>
  <c r="B2804" i="1"/>
  <c r="C2804" i="1"/>
  <c r="E2804" i="1"/>
  <c r="G2804" i="1"/>
  <c r="K2804" i="1"/>
  <c r="A2805" i="1"/>
  <c r="B2805" i="1"/>
  <c r="C2805" i="1"/>
  <c r="E2805" i="1"/>
  <c r="G2805" i="1"/>
  <c r="K2805" i="1"/>
  <c r="A2806" i="1"/>
  <c r="B2806" i="1"/>
  <c r="C2806" i="1"/>
  <c r="E2806" i="1"/>
  <c r="G2806" i="1"/>
  <c r="K2806" i="1"/>
  <c r="A2807" i="1"/>
  <c r="B2807" i="1"/>
  <c r="C2807" i="1"/>
  <c r="E2807" i="1"/>
  <c r="G2807" i="1"/>
  <c r="K2807" i="1"/>
  <c r="A2808" i="1"/>
  <c r="B2808" i="1"/>
  <c r="C2808" i="1"/>
  <c r="E2808" i="1"/>
  <c r="G2808" i="1"/>
  <c r="K2808" i="1"/>
  <c r="A2809" i="1"/>
  <c r="B2809" i="1"/>
  <c r="C2809" i="1"/>
  <c r="E2809" i="1"/>
  <c r="G2809" i="1"/>
  <c r="K2809" i="1"/>
  <c r="A2810" i="1"/>
  <c r="B2810" i="1"/>
  <c r="C2810" i="1"/>
  <c r="E2810" i="1"/>
  <c r="G2810" i="1"/>
  <c r="K2810" i="1"/>
  <c r="A2811" i="1"/>
  <c r="B2811" i="1"/>
  <c r="C2811" i="1"/>
  <c r="E2811" i="1"/>
  <c r="G2811" i="1"/>
  <c r="K2811" i="1"/>
  <c r="A2812" i="1"/>
  <c r="B2812" i="1"/>
  <c r="C2812" i="1"/>
  <c r="E2812" i="1"/>
  <c r="G2812" i="1"/>
  <c r="K2812" i="1"/>
  <c r="A2813" i="1"/>
  <c r="B2813" i="1"/>
  <c r="C2813" i="1"/>
  <c r="E2813" i="1"/>
  <c r="G2813" i="1"/>
  <c r="K2813" i="1"/>
  <c r="A2814" i="1"/>
  <c r="B2814" i="1"/>
  <c r="C2814" i="1"/>
  <c r="E2814" i="1"/>
  <c r="G2814" i="1"/>
  <c r="K2814" i="1"/>
  <c r="A2815" i="1"/>
  <c r="B2815" i="1"/>
  <c r="C2815" i="1"/>
  <c r="E2815" i="1"/>
  <c r="G2815" i="1"/>
  <c r="K2815" i="1"/>
  <c r="A2816" i="1"/>
  <c r="B2816" i="1"/>
  <c r="C2816" i="1"/>
  <c r="E2816" i="1"/>
  <c r="G2816" i="1"/>
  <c r="K2816" i="1"/>
  <c r="A2817" i="1"/>
  <c r="B2817" i="1"/>
  <c r="C2817" i="1"/>
  <c r="E2817" i="1"/>
  <c r="G2817" i="1"/>
  <c r="K2817" i="1"/>
  <c r="A2818" i="1"/>
  <c r="B2818" i="1"/>
  <c r="C2818" i="1"/>
  <c r="E2818" i="1"/>
  <c r="G2818" i="1"/>
  <c r="K2818" i="1"/>
  <c r="A2819" i="1"/>
  <c r="B2819" i="1"/>
  <c r="C2819" i="1"/>
  <c r="E2819" i="1"/>
  <c r="G2819" i="1"/>
  <c r="K2819" i="1"/>
  <c r="A2820" i="1"/>
  <c r="B2820" i="1"/>
  <c r="C2820" i="1"/>
  <c r="E2820" i="1"/>
  <c r="G2820" i="1"/>
  <c r="K2820" i="1"/>
  <c r="A2821" i="1"/>
  <c r="B2821" i="1"/>
  <c r="C2821" i="1"/>
  <c r="E2821" i="1"/>
  <c r="G2821" i="1"/>
  <c r="K2821" i="1"/>
  <c r="A2822" i="1"/>
  <c r="B2822" i="1"/>
  <c r="C2822" i="1"/>
  <c r="E2822" i="1"/>
  <c r="G2822" i="1"/>
  <c r="K2822" i="1"/>
  <c r="A2823" i="1"/>
  <c r="B2823" i="1"/>
  <c r="C2823" i="1"/>
  <c r="E2823" i="1"/>
  <c r="G2823" i="1"/>
  <c r="K2823" i="1"/>
  <c r="A2824" i="1"/>
  <c r="B2824" i="1"/>
  <c r="C2824" i="1"/>
  <c r="E2824" i="1"/>
  <c r="G2824" i="1"/>
  <c r="K2824" i="1"/>
  <c r="A2825" i="1"/>
  <c r="B2825" i="1"/>
  <c r="C2825" i="1"/>
  <c r="E2825" i="1"/>
  <c r="G2825" i="1"/>
  <c r="K2825" i="1"/>
  <c r="A2826" i="1"/>
  <c r="B2826" i="1"/>
  <c r="C2826" i="1"/>
  <c r="E2826" i="1"/>
  <c r="G2826" i="1"/>
  <c r="K2826" i="1"/>
  <c r="A2827" i="1"/>
  <c r="B2827" i="1"/>
  <c r="C2827" i="1"/>
  <c r="E2827" i="1"/>
  <c r="G2827" i="1"/>
  <c r="K2827" i="1"/>
  <c r="A2828" i="1"/>
  <c r="B2828" i="1"/>
  <c r="C2828" i="1"/>
  <c r="E2828" i="1"/>
  <c r="G2828" i="1"/>
  <c r="K2828" i="1"/>
  <c r="A2829" i="1"/>
  <c r="B2829" i="1"/>
  <c r="C2829" i="1"/>
  <c r="E2829" i="1"/>
  <c r="G2829" i="1"/>
  <c r="K2829" i="1"/>
  <c r="A2830" i="1"/>
  <c r="B2830" i="1"/>
  <c r="C2830" i="1"/>
  <c r="E2830" i="1"/>
  <c r="G2830" i="1"/>
  <c r="K2830" i="1"/>
  <c r="A2831" i="1"/>
  <c r="B2831" i="1"/>
  <c r="C2831" i="1"/>
  <c r="E2831" i="1"/>
  <c r="G2831" i="1"/>
  <c r="K2831" i="1"/>
  <c r="A2832" i="1"/>
  <c r="B2832" i="1"/>
  <c r="C2832" i="1"/>
  <c r="E2832" i="1"/>
  <c r="G2832" i="1"/>
  <c r="K2832" i="1"/>
  <c r="A2833" i="1"/>
  <c r="B2833" i="1"/>
  <c r="C2833" i="1"/>
  <c r="E2833" i="1"/>
  <c r="G2833" i="1"/>
  <c r="K2833" i="1"/>
  <c r="A2834" i="1"/>
  <c r="B2834" i="1"/>
  <c r="C2834" i="1"/>
  <c r="E2834" i="1"/>
  <c r="G2834" i="1"/>
  <c r="K2834" i="1"/>
  <c r="A2835" i="1"/>
  <c r="B2835" i="1"/>
  <c r="C2835" i="1"/>
  <c r="E2835" i="1"/>
  <c r="G2835" i="1"/>
  <c r="K2835" i="1"/>
  <c r="A2836" i="1"/>
  <c r="B2836" i="1"/>
  <c r="C2836" i="1"/>
  <c r="E2836" i="1"/>
  <c r="G2836" i="1"/>
  <c r="K2836" i="1"/>
  <c r="A2837" i="1"/>
  <c r="B2837" i="1"/>
  <c r="C2837" i="1"/>
  <c r="E2837" i="1"/>
  <c r="G2837" i="1"/>
  <c r="K2837" i="1"/>
  <c r="A2838" i="1"/>
  <c r="B2838" i="1"/>
  <c r="C2838" i="1"/>
  <c r="E2838" i="1"/>
  <c r="G2838" i="1"/>
  <c r="K2838" i="1"/>
  <c r="A2839" i="1"/>
  <c r="B2839" i="1"/>
  <c r="C2839" i="1"/>
  <c r="E2839" i="1"/>
  <c r="G2839" i="1"/>
  <c r="K2839" i="1"/>
  <c r="A2840" i="1"/>
  <c r="B2840" i="1"/>
  <c r="C2840" i="1"/>
  <c r="E2840" i="1"/>
  <c r="G2840" i="1"/>
  <c r="K2840" i="1"/>
  <c r="A2841" i="1"/>
  <c r="B2841" i="1"/>
  <c r="C2841" i="1"/>
  <c r="E2841" i="1"/>
  <c r="G2841" i="1"/>
  <c r="K2841" i="1"/>
  <c r="A2842" i="1"/>
  <c r="B2842" i="1"/>
  <c r="C2842" i="1"/>
  <c r="E2842" i="1"/>
  <c r="G2842" i="1"/>
  <c r="K2842" i="1"/>
  <c r="A2843" i="1"/>
  <c r="B2843" i="1"/>
  <c r="C2843" i="1"/>
  <c r="E2843" i="1"/>
  <c r="G2843" i="1"/>
  <c r="K2843" i="1"/>
  <c r="A2844" i="1"/>
  <c r="B2844" i="1"/>
  <c r="C2844" i="1"/>
  <c r="E2844" i="1"/>
  <c r="G2844" i="1"/>
  <c r="K2844" i="1"/>
  <c r="A2845" i="1"/>
  <c r="B2845" i="1"/>
  <c r="C2845" i="1"/>
  <c r="E2845" i="1"/>
  <c r="G2845" i="1"/>
  <c r="K2845" i="1"/>
  <c r="A2846" i="1"/>
  <c r="B2846" i="1"/>
  <c r="C2846" i="1"/>
  <c r="E2846" i="1"/>
  <c r="G2846" i="1"/>
  <c r="K2846" i="1"/>
  <c r="A2847" i="1"/>
  <c r="B2847" i="1"/>
  <c r="C2847" i="1"/>
  <c r="E2847" i="1"/>
  <c r="G2847" i="1"/>
  <c r="K2847" i="1"/>
  <c r="A2848" i="1"/>
  <c r="B2848" i="1"/>
  <c r="C2848" i="1"/>
  <c r="E2848" i="1"/>
  <c r="G2848" i="1"/>
  <c r="K2848" i="1"/>
  <c r="A2849" i="1"/>
  <c r="B2849" i="1"/>
  <c r="C2849" i="1"/>
  <c r="E2849" i="1"/>
  <c r="G2849" i="1"/>
  <c r="K2849" i="1"/>
  <c r="A2850" i="1"/>
  <c r="B2850" i="1"/>
  <c r="C2850" i="1"/>
  <c r="E2850" i="1"/>
  <c r="G2850" i="1"/>
  <c r="K2850" i="1"/>
  <c r="A2851" i="1"/>
  <c r="B2851" i="1"/>
  <c r="C2851" i="1"/>
  <c r="E2851" i="1"/>
  <c r="G2851" i="1"/>
  <c r="K2851" i="1"/>
  <c r="A2852" i="1"/>
  <c r="B2852" i="1"/>
  <c r="C2852" i="1"/>
  <c r="E2852" i="1"/>
  <c r="G2852" i="1"/>
  <c r="K2852" i="1"/>
  <c r="A2853" i="1"/>
  <c r="B2853" i="1"/>
  <c r="C2853" i="1"/>
  <c r="E2853" i="1"/>
  <c r="G2853" i="1"/>
  <c r="K2853" i="1"/>
  <c r="A2854" i="1"/>
  <c r="B2854" i="1"/>
  <c r="C2854" i="1"/>
  <c r="E2854" i="1"/>
  <c r="G2854" i="1"/>
  <c r="K2854" i="1"/>
  <c r="A2855" i="1"/>
  <c r="B2855" i="1"/>
  <c r="C2855" i="1"/>
  <c r="E2855" i="1"/>
  <c r="G2855" i="1"/>
  <c r="K2855" i="1"/>
  <c r="A2856" i="1"/>
  <c r="B2856" i="1"/>
  <c r="C2856" i="1"/>
  <c r="E2856" i="1"/>
  <c r="G2856" i="1"/>
  <c r="K2856" i="1"/>
  <c r="A2857" i="1"/>
  <c r="B2857" i="1"/>
  <c r="C2857" i="1"/>
  <c r="E2857" i="1"/>
  <c r="G2857" i="1"/>
  <c r="K2857" i="1"/>
  <c r="A2858" i="1"/>
  <c r="B2858" i="1"/>
  <c r="C2858" i="1"/>
  <c r="E2858" i="1"/>
  <c r="G2858" i="1"/>
  <c r="K2858" i="1"/>
  <c r="A2859" i="1"/>
  <c r="B2859" i="1"/>
  <c r="C2859" i="1"/>
  <c r="E2859" i="1"/>
  <c r="G2859" i="1"/>
  <c r="K2859" i="1"/>
  <c r="A2860" i="1"/>
  <c r="B2860" i="1"/>
  <c r="C2860" i="1"/>
  <c r="E2860" i="1"/>
  <c r="G2860" i="1"/>
  <c r="K2860" i="1"/>
  <c r="A2861" i="1"/>
  <c r="B2861" i="1"/>
  <c r="C2861" i="1"/>
  <c r="E2861" i="1"/>
  <c r="G2861" i="1"/>
  <c r="K2861" i="1"/>
  <c r="A2862" i="1"/>
  <c r="B2862" i="1"/>
  <c r="C2862" i="1"/>
  <c r="E2862" i="1"/>
  <c r="G2862" i="1"/>
  <c r="K2862" i="1"/>
  <c r="A2863" i="1"/>
  <c r="B2863" i="1"/>
  <c r="C2863" i="1"/>
  <c r="E2863" i="1"/>
  <c r="G2863" i="1"/>
  <c r="K2863" i="1"/>
  <c r="A2864" i="1"/>
  <c r="B2864" i="1"/>
  <c r="C2864" i="1"/>
  <c r="E2864" i="1"/>
  <c r="G2864" i="1"/>
  <c r="K2864" i="1"/>
  <c r="A2865" i="1"/>
  <c r="B2865" i="1"/>
  <c r="C2865" i="1"/>
  <c r="E2865" i="1"/>
  <c r="G2865" i="1"/>
  <c r="K2865" i="1"/>
  <c r="A2866" i="1"/>
  <c r="B2866" i="1"/>
  <c r="C2866" i="1"/>
  <c r="E2866" i="1"/>
  <c r="G2866" i="1"/>
  <c r="K2866" i="1"/>
  <c r="A2867" i="1"/>
  <c r="B2867" i="1"/>
  <c r="C2867" i="1"/>
  <c r="E2867" i="1"/>
  <c r="G2867" i="1"/>
  <c r="K2867" i="1"/>
  <c r="A2868" i="1"/>
  <c r="B2868" i="1"/>
  <c r="C2868" i="1"/>
  <c r="E2868" i="1"/>
  <c r="G2868" i="1"/>
  <c r="K2868" i="1"/>
  <c r="A2869" i="1"/>
  <c r="B2869" i="1"/>
  <c r="C2869" i="1"/>
  <c r="E2869" i="1"/>
  <c r="G2869" i="1"/>
  <c r="K2869" i="1"/>
  <c r="A2870" i="1"/>
  <c r="B2870" i="1"/>
  <c r="C2870" i="1"/>
  <c r="E2870" i="1"/>
  <c r="G2870" i="1"/>
  <c r="K2870" i="1"/>
  <c r="A2871" i="1"/>
  <c r="B2871" i="1"/>
  <c r="C2871" i="1"/>
  <c r="E2871" i="1"/>
  <c r="G2871" i="1"/>
  <c r="K2871" i="1"/>
  <c r="A2872" i="1"/>
  <c r="B2872" i="1"/>
  <c r="C2872" i="1"/>
  <c r="E2872" i="1"/>
  <c r="G2872" i="1"/>
  <c r="K2872" i="1"/>
  <c r="A2873" i="1"/>
  <c r="B2873" i="1"/>
  <c r="C2873" i="1"/>
  <c r="E2873" i="1"/>
  <c r="G2873" i="1"/>
  <c r="K2873" i="1"/>
  <c r="A2874" i="1"/>
  <c r="B2874" i="1"/>
  <c r="C2874" i="1"/>
  <c r="E2874" i="1"/>
  <c r="G2874" i="1"/>
  <c r="K2874" i="1"/>
  <c r="A2875" i="1"/>
  <c r="B2875" i="1"/>
  <c r="C2875" i="1"/>
  <c r="E2875" i="1"/>
  <c r="G2875" i="1"/>
  <c r="K2875" i="1"/>
  <c r="A2876" i="1"/>
  <c r="B2876" i="1"/>
  <c r="C2876" i="1"/>
  <c r="E2876" i="1"/>
  <c r="G2876" i="1"/>
  <c r="K2876" i="1"/>
  <c r="A2877" i="1"/>
  <c r="B2877" i="1"/>
  <c r="C2877" i="1"/>
  <c r="E2877" i="1"/>
  <c r="G2877" i="1"/>
  <c r="K2877" i="1"/>
  <c r="A2878" i="1"/>
  <c r="B2878" i="1"/>
  <c r="C2878" i="1"/>
  <c r="E2878" i="1"/>
  <c r="G2878" i="1"/>
  <c r="K2878" i="1"/>
  <c r="A2879" i="1"/>
  <c r="B2879" i="1"/>
  <c r="C2879" i="1"/>
  <c r="E2879" i="1"/>
  <c r="G2879" i="1"/>
  <c r="K2879" i="1"/>
  <c r="A2880" i="1"/>
  <c r="B2880" i="1"/>
  <c r="C2880" i="1"/>
  <c r="E2880" i="1"/>
  <c r="G2880" i="1"/>
  <c r="K2880" i="1"/>
  <c r="A2881" i="1"/>
  <c r="B2881" i="1"/>
  <c r="C2881" i="1"/>
  <c r="E2881" i="1"/>
  <c r="G2881" i="1"/>
  <c r="K2881" i="1"/>
  <c r="A2882" i="1"/>
  <c r="B2882" i="1"/>
  <c r="C2882" i="1"/>
  <c r="E2882" i="1"/>
  <c r="G2882" i="1"/>
  <c r="K2882" i="1"/>
  <c r="A2883" i="1"/>
  <c r="B2883" i="1"/>
  <c r="C2883" i="1"/>
  <c r="E2883" i="1"/>
  <c r="G2883" i="1"/>
  <c r="K2883" i="1"/>
  <c r="A2884" i="1"/>
  <c r="B2884" i="1"/>
  <c r="C2884" i="1"/>
  <c r="E2884" i="1"/>
  <c r="G2884" i="1"/>
  <c r="K2884" i="1"/>
  <c r="A2885" i="1"/>
  <c r="B2885" i="1"/>
  <c r="C2885" i="1"/>
  <c r="E2885" i="1"/>
  <c r="G2885" i="1"/>
  <c r="K2885" i="1"/>
  <c r="A2886" i="1"/>
  <c r="B2886" i="1"/>
  <c r="C2886" i="1"/>
  <c r="E2886" i="1"/>
  <c r="G2886" i="1"/>
  <c r="K2886" i="1"/>
  <c r="A2887" i="1"/>
  <c r="B2887" i="1"/>
  <c r="C2887" i="1"/>
  <c r="E2887" i="1"/>
  <c r="G2887" i="1"/>
  <c r="K2887" i="1"/>
  <c r="A2888" i="1"/>
  <c r="B2888" i="1"/>
  <c r="C2888" i="1"/>
  <c r="E2888" i="1"/>
  <c r="G2888" i="1"/>
  <c r="K2888" i="1"/>
  <c r="A2889" i="1"/>
  <c r="B2889" i="1"/>
  <c r="C2889" i="1"/>
  <c r="E2889" i="1"/>
  <c r="G2889" i="1"/>
  <c r="K2889" i="1"/>
  <c r="A2890" i="1"/>
  <c r="B2890" i="1"/>
  <c r="C2890" i="1"/>
  <c r="E2890" i="1"/>
  <c r="G2890" i="1"/>
  <c r="K2890" i="1"/>
  <c r="A2891" i="1"/>
  <c r="B2891" i="1"/>
  <c r="C2891" i="1"/>
  <c r="E2891" i="1"/>
  <c r="G2891" i="1"/>
  <c r="K2891" i="1"/>
  <c r="A2892" i="1"/>
  <c r="B2892" i="1"/>
  <c r="C2892" i="1"/>
  <c r="E2892" i="1"/>
  <c r="G2892" i="1"/>
  <c r="K2892" i="1"/>
  <c r="A2893" i="1"/>
  <c r="B2893" i="1"/>
  <c r="C2893" i="1"/>
  <c r="E2893" i="1"/>
  <c r="G2893" i="1"/>
  <c r="K2893" i="1"/>
  <c r="A2894" i="1"/>
  <c r="B2894" i="1"/>
  <c r="C2894" i="1"/>
  <c r="E2894" i="1"/>
  <c r="G2894" i="1"/>
  <c r="K2894" i="1"/>
  <c r="A2895" i="1"/>
  <c r="B2895" i="1"/>
  <c r="C2895" i="1"/>
  <c r="E2895" i="1"/>
  <c r="G2895" i="1"/>
  <c r="K2895" i="1"/>
  <c r="A2896" i="1"/>
  <c r="B2896" i="1"/>
  <c r="C2896" i="1"/>
  <c r="E2896" i="1"/>
  <c r="G2896" i="1"/>
  <c r="K2896" i="1"/>
  <c r="A2897" i="1"/>
  <c r="B2897" i="1"/>
  <c r="C2897" i="1"/>
  <c r="E2897" i="1"/>
  <c r="G2897" i="1"/>
  <c r="K2897" i="1"/>
  <c r="A2898" i="1"/>
  <c r="B2898" i="1"/>
  <c r="C2898" i="1"/>
  <c r="E2898" i="1"/>
  <c r="G2898" i="1"/>
  <c r="K2898" i="1"/>
  <c r="A2899" i="1"/>
  <c r="B2899" i="1"/>
  <c r="C2899" i="1"/>
  <c r="E2899" i="1"/>
  <c r="G2899" i="1"/>
  <c r="K2899" i="1"/>
  <c r="A2900" i="1"/>
  <c r="B2900" i="1"/>
  <c r="C2900" i="1"/>
  <c r="E2900" i="1"/>
  <c r="G2900" i="1"/>
  <c r="K2900" i="1"/>
  <c r="A2901" i="1"/>
  <c r="B2901" i="1"/>
  <c r="C2901" i="1"/>
  <c r="E2901" i="1"/>
  <c r="G2901" i="1"/>
  <c r="K2901" i="1"/>
  <c r="A2902" i="1"/>
  <c r="B2902" i="1"/>
  <c r="C2902" i="1"/>
  <c r="E2902" i="1"/>
  <c r="G2902" i="1"/>
  <c r="K2902" i="1"/>
  <c r="A2903" i="1"/>
  <c r="B2903" i="1"/>
  <c r="C2903" i="1"/>
  <c r="E2903" i="1"/>
  <c r="G2903" i="1"/>
  <c r="K2903" i="1"/>
  <c r="A2904" i="1"/>
  <c r="B2904" i="1"/>
  <c r="C2904" i="1"/>
  <c r="E2904" i="1"/>
  <c r="G2904" i="1"/>
  <c r="K2904" i="1"/>
  <c r="A2905" i="1"/>
  <c r="B2905" i="1"/>
  <c r="C2905" i="1"/>
  <c r="E2905" i="1"/>
  <c r="G2905" i="1"/>
  <c r="K2905" i="1"/>
  <c r="A2906" i="1"/>
  <c r="B2906" i="1"/>
  <c r="C2906" i="1"/>
  <c r="E2906" i="1"/>
  <c r="G2906" i="1"/>
  <c r="K2906" i="1"/>
  <c r="A2907" i="1"/>
  <c r="B2907" i="1"/>
  <c r="C2907" i="1"/>
  <c r="E2907" i="1"/>
  <c r="G2907" i="1"/>
  <c r="K2907" i="1"/>
  <c r="A2908" i="1"/>
  <c r="B2908" i="1"/>
  <c r="C2908" i="1"/>
  <c r="E2908" i="1"/>
  <c r="G2908" i="1"/>
  <c r="K2908" i="1"/>
  <c r="A2909" i="1"/>
  <c r="B2909" i="1"/>
  <c r="C2909" i="1"/>
  <c r="E2909" i="1"/>
  <c r="G2909" i="1"/>
  <c r="K2909" i="1"/>
  <c r="A2910" i="1"/>
  <c r="B2910" i="1"/>
  <c r="C2910" i="1"/>
  <c r="E2910" i="1"/>
  <c r="G2910" i="1"/>
  <c r="K2910" i="1"/>
  <c r="A2911" i="1"/>
  <c r="B2911" i="1"/>
  <c r="C2911" i="1"/>
  <c r="E2911" i="1"/>
  <c r="G2911" i="1"/>
  <c r="K2911" i="1"/>
  <c r="A2912" i="1"/>
  <c r="B2912" i="1"/>
  <c r="C2912" i="1"/>
  <c r="E2912" i="1"/>
  <c r="G2912" i="1"/>
  <c r="K2912" i="1"/>
  <c r="A2913" i="1"/>
  <c r="B2913" i="1"/>
  <c r="C2913" i="1"/>
  <c r="E2913" i="1"/>
  <c r="G2913" i="1"/>
  <c r="K2913" i="1"/>
  <c r="A2914" i="1"/>
  <c r="B2914" i="1"/>
  <c r="C2914" i="1"/>
  <c r="E2914" i="1"/>
  <c r="G2914" i="1"/>
  <c r="K2914" i="1"/>
  <c r="A2915" i="1"/>
  <c r="B2915" i="1"/>
  <c r="C2915" i="1"/>
  <c r="E2915" i="1"/>
  <c r="G2915" i="1"/>
  <c r="K2915" i="1"/>
  <c r="A2916" i="1"/>
  <c r="B2916" i="1"/>
  <c r="C2916" i="1"/>
  <c r="E2916" i="1"/>
  <c r="G2916" i="1"/>
  <c r="K2916" i="1"/>
  <c r="A2917" i="1"/>
  <c r="B2917" i="1"/>
  <c r="C2917" i="1"/>
  <c r="E2917" i="1"/>
  <c r="G2917" i="1"/>
  <c r="K2917" i="1"/>
  <c r="A2918" i="1"/>
  <c r="B2918" i="1"/>
  <c r="C2918" i="1"/>
  <c r="E2918" i="1"/>
  <c r="G2918" i="1"/>
  <c r="K2918" i="1"/>
  <c r="A2919" i="1"/>
  <c r="B2919" i="1"/>
  <c r="C2919" i="1"/>
  <c r="E2919" i="1"/>
  <c r="G2919" i="1"/>
  <c r="K2919" i="1"/>
  <c r="A2920" i="1"/>
  <c r="B2920" i="1"/>
  <c r="C2920" i="1"/>
  <c r="E2920" i="1"/>
  <c r="G2920" i="1"/>
  <c r="K2920" i="1"/>
  <c r="A2921" i="1"/>
  <c r="B2921" i="1"/>
  <c r="C2921" i="1"/>
  <c r="E2921" i="1"/>
  <c r="G2921" i="1"/>
  <c r="K2921" i="1"/>
  <c r="A2922" i="1"/>
  <c r="B2922" i="1"/>
  <c r="C2922" i="1"/>
  <c r="E2922" i="1"/>
  <c r="G2922" i="1"/>
  <c r="K2922" i="1"/>
  <c r="A2923" i="1"/>
  <c r="B2923" i="1"/>
  <c r="C2923" i="1"/>
  <c r="E2923" i="1"/>
  <c r="G2923" i="1"/>
  <c r="K2923" i="1"/>
  <c r="A2924" i="1"/>
  <c r="B2924" i="1"/>
  <c r="C2924" i="1"/>
  <c r="E2924" i="1"/>
  <c r="G2924" i="1"/>
  <c r="K2924" i="1"/>
  <c r="A2925" i="1"/>
  <c r="B2925" i="1"/>
  <c r="C2925" i="1"/>
  <c r="E2925" i="1"/>
  <c r="G2925" i="1"/>
  <c r="K2925" i="1"/>
  <c r="A2926" i="1"/>
  <c r="B2926" i="1"/>
  <c r="C2926" i="1"/>
  <c r="E2926" i="1"/>
  <c r="G2926" i="1"/>
  <c r="K2926" i="1"/>
  <c r="A2927" i="1"/>
  <c r="B2927" i="1"/>
  <c r="C2927" i="1"/>
  <c r="E2927" i="1"/>
  <c r="G2927" i="1"/>
  <c r="K2927" i="1"/>
  <c r="A2928" i="1"/>
  <c r="B2928" i="1"/>
  <c r="C2928" i="1"/>
  <c r="E2928" i="1"/>
  <c r="G2928" i="1"/>
  <c r="K2928" i="1"/>
  <c r="A2929" i="1"/>
  <c r="B2929" i="1"/>
  <c r="C2929" i="1"/>
  <c r="E2929" i="1"/>
  <c r="G2929" i="1"/>
  <c r="K2929" i="1"/>
  <c r="A2930" i="1"/>
  <c r="B2930" i="1"/>
  <c r="C2930" i="1"/>
  <c r="E2930" i="1"/>
  <c r="G2930" i="1"/>
  <c r="K2930" i="1"/>
  <c r="A2931" i="1"/>
  <c r="B2931" i="1"/>
  <c r="C2931" i="1"/>
  <c r="E2931" i="1"/>
  <c r="G2931" i="1"/>
  <c r="K2931" i="1"/>
  <c r="A2932" i="1"/>
  <c r="B2932" i="1"/>
  <c r="C2932" i="1"/>
  <c r="E2932" i="1"/>
  <c r="G2932" i="1"/>
  <c r="K2932" i="1"/>
  <c r="A2933" i="1"/>
  <c r="B2933" i="1"/>
  <c r="C2933" i="1"/>
  <c r="E2933" i="1"/>
  <c r="G2933" i="1"/>
  <c r="K2933" i="1"/>
  <c r="A2934" i="1"/>
  <c r="B2934" i="1"/>
  <c r="C2934" i="1"/>
  <c r="E2934" i="1"/>
  <c r="G2934" i="1"/>
  <c r="K2934" i="1"/>
  <c r="A2935" i="1"/>
  <c r="B2935" i="1"/>
  <c r="C2935" i="1"/>
  <c r="E2935" i="1"/>
  <c r="G2935" i="1"/>
  <c r="K2935" i="1"/>
  <c r="A2936" i="1"/>
  <c r="B2936" i="1"/>
  <c r="C2936" i="1"/>
  <c r="E2936" i="1"/>
  <c r="G2936" i="1"/>
  <c r="K2936" i="1"/>
  <c r="A2937" i="1"/>
  <c r="B2937" i="1"/>
  <c r="C2937" i="1"/>
  <c r="E2937" i="1"/>
  <c r="G2937" i="1"/>
  <c r="K2937" i="1"/>
  <c r="A2938" i="1"/>
  <c r="B2938" i="1"/>
  <c r="C2938" i="1"/>
  <c r="E2938" i="1"/>
  <c r="G2938" i="1"/>
  <c r="K2938" i="1"/>
  <c r="A2939" i="1"/>
  <c r="B2939" i="1"/>
  <c r="C2939" i="1"/>
  <c r="E2939" i="1"/>
  <c r="G2939" i="1"/>
  <c r="K2939" i="1"/>
  <c r="A2940" i="1"/>
  <c r="B2940" i="1"/>
  <c r="C2940" i="1"/>
  <c r="E2940" i="1"/>
  <c r="G2940" i="1"/>
  <c r="K2940" i="1"/>
  <c r="A2941" i="1"/>
  <c r="B2941" i="1"/>
  <c r="C2941" i="1"/>
  <c r="E2941" i="1"/>
  <c r="G2941" i="1"/>
  <c r="K2941" i="1"/>
  <c r="A2942" i="1"/>
  <c r="B2942" i="1"/>
  <c r="C2942" i="1"/>
  <c r="E2942" i="1"/>
  <c r="G2942" i="1"/>
  <c r="K2942" i="1"/>
  <c r="A2943" i="1"/>
  <c r="B2943" i="1"/>
  <c r="C2943" i="1"/>
  <c r="E2943" i="1"/>
  <c r="G2943" i="1"/>
  <c r="K2943" i="1"/>
  <c r="A2944" i="1"/>
  <c r="B2944" i="1"/>
  <c r="C2944" i="1"/>
  <c r="E2944" i="1"/>
  <c r="G2944" i="1"/>
  <c r="K2944" i="1"/>
  <c r="A2945" i="1"/>
  <c r="B2945" i="1"/>
  <c r="C2945" i="1"/>
  <c r="E2945" i="1"/>
  <c r="G2945" i="1"/>
  <c r="K2945" i="1"/>
  <c r="A2946" i="1"/>
  <c r="B2946" i="1"/>
  <c r="C2946" i="1"/>
  <c r="E2946" i="1"/>
  <c r="G2946" i="1"/>
  <c r="K2946" i="1"/>
  <c r="A2947" i="1"/>
  <c r="B2947" i="1"/>
  <c r="C2947" i="1"/>
  <c r="E2947" i="1"/>
  <c r="G2947" i="1"/>
  <c r="K2947" i="1"/>
  <c r="A2948" i="1"/>
  <c r="B2948" i="1"/>
  <c r="C2948" i="1"/>
  <c r="E2948" i="1"/>
  <c r="G2948" i="1"/>
  <c r="K2948" i="1"/>
  <c r="A2949" i="1"/>
  <c r="B2949" i="1"/>
  <c r="C2949" i="1"/>
  <c r="E2949" i="1"/>
  <c r="G2949" i="1"/>
  <c r="K2949" i="1"/>
  <c r="A2950" i="1"/>
  <c r="B2950" i="1"/>
  <c r="C2950" i="1"/>
  <c r="E2950" i="1"/>
  <c r="G2950" i="1"/>
  <c r="K2950" i="1"/>
  <c r="A2951" i="1"/>
  <c r="B2951" i="1"/>
  <c r="C2951" i="1"/>
  <c r="E2951" i="1"/>
  <c r="G2951" i="1"/>
  <c r="K2951" i="1"/>
  <c r="A2952" i="1"/>
  <c r="B2952" i="1"/>
  <c r="C2952" i="1"/>
  <c r="E2952" i="1"/>
  <c r="G2952" i="1"/>
  <c r="K2952" i="1"/>
  <c r="A2953" i="1"/>
  <c r="B2953" i="1"/>
  <c r="C2953" i="1"/>
  <c r="E2953" i="1"/>
  <c r="G2953" i="1"/>
  <c r="K2953" i="1"/>
  <c r="A2954" i="1"/>
  <c r="B2954" i="1"/>
  <c r="C2954" i="1"/>
  <c r="E2954" i="1"/>
  <c r="G2954" i="1"/>
  <c r="K2954" i="1"/>
  <c r="A2955" i="1"/>
  <c r="B2955" i="1"/>
  <c r="C2955" i="1"/>
  <c r="E2955" i="1"/>
  <c r="G2955" i="1"/>
  <c r="K2955" i="1"/>
  <c r="A2956" i="1"/>
  <c r="B2956" i="1"/>
  <c r="C2956" i="1"/>
  <c r="E2956" i="1"/>
  <c r="G2956" i="1"/>
  <c r="K2956" i="1"/>
  <c r="A2957" i="1"/>
  <c r="B2957" i="1"/>
  <c r="C2957" i="1"/>
  <c r="E2957" i="1"/>
  <c r="G2957" i="1"/>
  <c r="K2957" i="1"/>
  <c r="A2958" i="1"/>
  <c r="B2958" i="1"/>
  <c r="C2958" i="1"/>
  <c r="E2958" i="1"/>
  <c r="G2958" i="1"/>
  <c r="K2958" i="1"/>
  <c r="A2959" i="1"/>
  <c r="B2959" i="1"/>
  <c r="C2959" i="1"/>
  <c r="E2959" i="1"/>
  <c r="G2959" i="1"/>
  <c r="K2959" i="1"/>
  <c r="A2960" i="1"/>
  <c r="B2960" i="1"/>
  <c r="C2960" i="1"/>
  <c r="E2960" i="1"/>
  <c r="G2960" i="1"/>
  <c r="K2960" i="1"/>
  <c r="A2961" i="1"/>
  <c r="B2961" i="1"/>
  <c r="C2961" i="1"/>
  <c r="E2961" i="1"/>
  <c r="G2961" i="1"/>
  <c r="K2961" i="1"/>
  <c r="A2962" i="1"/>
  <c r="B2962" i="1"/>
  <c r="C2962" i="1"/>
  <c r="E2962" i="1"/>
  <c r="G2962" i="1"/>
  <c r="K2962" i="1"/>
  <c r="A2963" i="1"/>
  <c r="B2963" i="1"/>
  <c r="C2963" i="1"/>
  <c r="E2963" i="1"/>
  <c r="G2963" i="1"/>
  <c r="K2963" i="1"/>
  <c r="A2964" i="1"/>
  <c r="B2964" i="1"/>
  <c r="C2964" i="1"/>
  <c r="E2964" i="1"/>
  <c r="G2964" i="1"/>
  <c r="K2964" i="1"/>
  <c r="A2965" i="1"/>
  <c r="B2965" i="1"/>
  <c r="C2965" i="1"/>
  <c r="E2965" i="1"/>
  <c r="G2965" i="1"/>
  <c r="K2965" i="1"/>
  <c r="A2966" i="1"/>
  <c r="B2966" i="1"/>
  <c r="C2966" i="1"/>
  <c r="E2966" i="1"/>
  <c r="G2966" i="1"/>
  <c r="K2966" i="1"/>
  <c r="A2967" i="1"/>
  <c r="B2967" i="1"/>
  <c r="C2967" i="1"/>
  <c r="E2967" i="1"/>
  <c r="G2967" i="1"/>
  <c r="K2967" i="1"/>
  <c r="A2968" i="1"/>
  <c r="B2968" i="1"/>
  <c r="C2968" i="1"/>
  <c r="E2968" i="1"/>
  <c r="G2968" i="1"/>
  <c r="K2968" i="1"/>
  <c r="A2969" i="1"/>
  <c r="B2969" i="1"/>
  <c r="C2969" i="1"/>
  <c r="E2969" i="1"/>
  <c r="G2969" i="1"/>
  <c r="K2969" i="1"/>
  <c r="A2970" i="1"/>
  <c r="B2970" i="1"/>
  <c r="C2970" i="1"/>
  <c r="E2970" i="1"/>
  <c r="G2970" i="1"/>
  <c r="K2970" i="1"/>
  <c r="A2971" i="1"/>
  <c r="B2971" i="1"/>
  <c r="C2971" i="1"/>
  <c r="E2971" i="1"/>
  <c r="G2971" i="1"/>
  <c r="K2971" i="1"/>
  <c r="A2972" i="1"/>
  <c r="B2972" i="1"/>
  <c r="C2972" i="1"/>
  <c r="E2972" i="1"/>
  <c r="G2972" i="1"/>
  <c r="K2972" i="1"/>
  <c r="A2973" i="1"/>
  <c r="B2973" i="1"/>
  <c r="C2973" i="1"/>
  <c r="E2973" i="1"/>
  <c r="G2973" i="1"/>
  <c r="K2973" i="1"/>
  <c r="A2974" i="1"/>
  <c r="B2974" i="1"/>
  <c r="C2974" i="1"/>
  <c r="E2974" i="1"/>
  <c r="G2974" i="1"/>
  <c r="K2974" i="1"/>
  <c r="A2975" i="1"/>
  <c r="B2975" i="1"/>
  <c r="C2975" i="1"/>
  <c r="E2975" i="1"/>
  <c r="G2975" i="1"/>
  <c r="K2975" i="1"/>
  <c r="A2976" i="1"/>
  <c r="B2976" i="1"/>
  <c r="C2976" i="1"/>
  <c r="E2976" i="1"/>
  <c r="G2976" i="1"/>
  <c r="K2976" i="1"/>
  <c r="A2977" i="1"/>
  <c r="B2977" i="1"/>
  <c r="C2977" i="1"/>
  <c r="E2977" i="1"/>
  <c r="G2977" i="1"/>
  <c r="K2977" i="1"/>
  <c r="A2978" i="1"/>
  <c r="B2978" i="1"/>
  <c r="C2978" i="1"/>
  <c r="E2978" i="1"/>
  <c r="G2978" i="1"/>
  <c r="K2978" i="1"/>
  <c r="A2979" i="1"/>
  <c r="B2979" i="1"/>
  <c r="C2979" i="1"/>
  <c r="E2979" i="1"/>
  <c r="G2979" i="1"/>
  <c r="K2979" i="1"/>
  <c r="A2980" i="1"/>
  <c r="B2980" i="1"/>
  <c r="C2980" i="1"/>
  <c r="E2980" i="1"/>
  <c r="G2980" i="1"/>
  <c r="K2980" i="1"/>
  <c r="A2981" i="1"/>
  <c r="B2981" i="1"/>
  <c r="C2981" i="1"/>
  <c r="E2981" i="1"/>
  <c r="G2981" i="1"/>
  <c r="K2981" i="1"/>
  <c r="A2982" i="1"/>
  <c r="B2982" i="1"/>
  <c r="C2982" i="1"/>
  <c r="E2982" i="1"/>
  <c r="G2982" i="1"/>
  <c r="K2982" i="1"/>
  <c r="A2983" i="1"/>
  <c r="B2983" i="1"/>
  <c r="C2983" i="1"/>
  <c r="E2983" i="1"/>
  <c r="G2983" i="1"/>
  <c r="K2983" i="1"/>
  <c r="A2984" i="1"/>
  <c r="B2984" i="1"/>
  <c r="C2984" i="1"/>
  <c r="E2984" i="1"/>
  <c r="G2984" i="1"/>
  <c r="K2984" i="1"/>
  <c r="A2985" i="1"/>
  <c r="B2985" i="1"/>
  <c r="C2985" i="1"/>
  <c r="E2985" i="1"/>
  <c r="G2985" i="1"/>
  <c r="K2985" i="1"/>
  <c r="A2986" i="1"/>
  <c r="B2986" i="1"/>
  <c r="C2986" i="1"/>
  <c r="E2986" i="1"/>
  <c r="G2986" i="1"/>
  <c r="K2986" i="1"/>
  <c r="A2987" i="1"/>
  <c r="B2987" i="1"/>
  <c r="C2987" i="1"/>
  <c r="E2987" i="1"/>
  <c r="G2987" i="1"/>
  <c r="K2987" i="1"/>
  <c r="A2988" i="1"/>
  <c r="B2988" i="1"/>
  <c r="C2988" i="1"/>
  <c r="E2988" i="1"/>
  <c r="G2988" i="1"/>
  <c r="K2988" i="1"/>
  <c r="A2989" i="1"/>
  <c r="B2989" i="1"/>
  <c r="C2989" i="1"/>
  <c r="E2989" i="1"/>
  <c r="G2989" i="1"/>
  <c r="K2989" i="1"/>
  <c r="A2990" i="1"/>
  <c r="B2990" i="1"/>
  <c r="C2990" i="1"/>
  <c r="E2990" i="1"/>
  <c r="G2990" i="1"/>
  <c r="K2990" i="1"/>
  <c r="A2991" i="1"/>
  <c r="B2991" i="1"/>
  <c r="C2991" i="1"/>
  <c r="E2991" i="1"/>
  <c r="G2991" i="1"/>
  <c r="K2991" i="1"/>
  <c r="A2992" i="1"/>
  <c r="B2992" i="1"/>
  <c r="C2992" i="1"/>
  <c r="E2992" i="1"/>
  <c r="G2992" i="1"/>
  <c r="K2992" i="1"/>
  <c r="A2993" i="1"/>
  <c r="B2993" i="1"/>
  <c r="C2993" i="1"/>
  <c r="E2993" i="1"/>
  <c r="G2993" i="1"/>
  <c r="K2993" i="1"/>
  <c r="A2994" i="1"/>
  <c r="B2994" i="1"/>
  <c r="C2994" i="1"/>
  <c r="E2994" i="1"/>
  <c r="G2994" i="1"/>
  <c r="K2994" i="1"/>
  <c r="A2995" i="1"/>
  <c r="B2995" i="1"/>
  <c r="C2995" i="1"/>
  <c r="E2995" i="1"/>
  <c r="G2995" i="1"/>
  <c r="K2995" i="1"/>
  <c r="A2996" i="1"/>
  <c r="B2996" i="1"/>
  <c r="C2996" i="1"/>
  <c r="E2996" i="1"/>
  <c r="G2996" i="1"/>
  <c r="K2996" i="1"/>
  <c r="A2997" i="1"/>
  <c r="B2997" i="1"/>
  <c r="C2997" i="1"/>
  <c r="E2997" i="1"/>
  <c r="G2997" i="1"/>
  <c r="K2997" i="1"/>
  <c r="A2998" i="1"/>
  <c r="B2998" i="1"/>
  <c r="C2998" i="1"/>
  <c r="E2998" i="1"/>
  <c r="G2998" i="1"/>
  <c r="K2998" i="1"/>
  <c r="A2999" i="1"/>
  <c r="B2999" i="1"/>
  <c r="C2999" i="1"/>
  <c r="E2999" i="1"/>
  <c r="G2999" i="1"/>
  <c r="K2999" i="1"/>
  <c r="A3000" i="1"/>
  <c r="B3000" i="1"/>
  <c r="C3000" i="1"/>
  <c r="E3000" i="1"/>
  <c r="G3000" i="1"/>
  <c r="K3000" i="1"/>
  <c r="A3001" i="1"/>
  <c r="B3001" i="1"/>
  <c r="C3001" i="1"/>
  <c r="E3001" i="1"/>
  <c r="G3001" i="1"/>
  <c r="K3001" i="1"/>
  <c r="A3002" i="1"/>
  <c r="B3002" i="1"/>
  <c r="C3002" i="1"/>
  <c r="E3002" i="1"/>
  <c r="G3002" i="1"/>
  <c r="K3002" i="1"/>
  <c r="A3003" i="1"/>
  <c r="B3003" i="1"/>
  <c r="C3003" i="1"/>
  <c r="E3003" i="1"/>
  <c r="G3003" i="1"/>
  <c r="K3003" i="1"/>
  <c r="A3004" i="1"/>
  <c r="B3004" i="1"/>
  <c r="C3004" i="1"/>
  <c r="E3004" i="1"/>
  <c r="G3004" i="1"/>
  <c r="K3004" i="1"/>
  <c r="A3005" i="1"/>
  <c r="B3005" i="1"/>
  <c r="C3005" i="1"/>
  <c r="E3005" i="1"/>
  <c r="G3005" i="1"/>
  <c r="K3005" i="1"/>
  <c r="A3006" i="1"/>
  <c r="B3006" i="1"/>
  <c r="C3006" i="1"/>
  <c r="E3006" i="1"/>
  <c r="G3006" i="1"/>
  <c r="K3006" i="1"/>
  <c r="A3007" i="1"/>
  <c r="B3007" i="1"/>
  <c r="C3007" i="1"/>
  <c r="E3007" i="1"/>
  <c r="G3007" i="1"/>
  <c r="K3007" i="1"/>
  <c r="A3008" i="1"/>
  <c r="B3008" i="1"/>
  <c r="C3008" i="1"/>
  <c r="E3008" i="1"/>
  <c r="G3008" i="1"/>
  <c r="K3008" i="1"/>
  <c r="A3009" i="1"/>
  <c r="B3009" i="1"/>
  <c r="C3009" i="1"/>
  <c r="E3009" i="1"/>
  <c r="G3009" i="1"/>
  <c r="K3009" i="1"/>
  <c r="A3010" i="1"/>
  <c r="B3010" i="1"/>
  <c r="C3010" i="1"/>
  <c r="E3010" i="1"/>
  <c r="G3010" i="1"/>
  <c r="K3010" i="1"/>
  <c r="A3011" i="1"/>
  <c r="B3011" i="1"/>
  <c r="C3011" i="1"/>
  <c r="E3011" i="1"/>
  <c r="G3011" i="1"/>
  <c r="K3011" i="1"/>
  <c r="A3012" i="1"/>
  <c r="B3012" i="1"/>
  <c r="C3012" i="1"/>
  <c r="E3012" i="1"/>
  <c r="G3012" i="1"/>
  <c r="K3012" i="1"/>
  <c r="A3013" i="1"/>
  <c r="B3013" i="1"/>
  <c r="C3013" i="1"/>
  <c r="E3013" i="1"/>
  <c r="G3013" i="1"/>
  <c r="K3013" i="1"/>
  <c r="A3014" i="1"/>
  <c r="B3014" i="1"/>
  <c r="C3014" i="1"/>
  <c r="E3014" i="1"/>
  <c r="G3014" i="1"/>
  <c r="K3014" i="1"/>
  <c r="A3015" i="1"/>
  <c r="B3015" i="1"/>
  <c r="C3015" i="1"/>
  <c r="E3015" i="1"/>
  <c r="G3015" i="1"/>
  <c r="K3015" i="1"/>
  <c r="A3016" i="1"/>
  <c r="B3016" i="1"/>
  <c r="C3016" i="1"/>
  <c r="E3016" i="1"/>
  <c r="G3016" i="1"/>
  <c r="K3016" i="1"/>
  <c r="A3017" i="1"/>
  <c r="B3017" i="1"/>
  <c r="C3017" i="1"/>
  <c r="E3017" i="1"/>
  <c r="G3017" i="1"/>
  <c r="K3017" i="1"/>
  <c r="A3018" i="1"/>
  <c r="B3018" i="1"/>
  <c r="C3018" i="1"/>
  <c r="E3018" i="1"/>
  <c r="G3018" i="1"/>
  <c r="K3018" i="1"/>
  <c r="A3019" i="1"/>
  <c r="B3019" i="1"/>
  <c r="C3019" i="1"/>
  <c r="E3019" i="1"/>
  <c r="G3019" i="1"/>
  <c r="K3019" i="1"/>
  <c r="A3020" i="1"/>
  <c r="B3020" i="1"/>
  <c r="C3020" i="1"/>
  <c r="E3020" i="1"/>
  <c r="G3020" i="1"/>
  <c r="K3020" i="1"/>
  <c r="A3021" i="1"/>
  <c r="B3021" i="1"/>
  <c r="C3021" i="1"/>
  <c r="E3021" i="1"/>
  <c r="G3021" i="1"/>
  <c r="K3021" i="1"/>
  <c r="A3022" i="1"/>
  <c r="B3022" i="1"/>
  <c r="C3022" i="1"/>
  <c r="E3022" i="1"/>
  <c r="G3022" i="1"/>
  <c r="K3022" i="1"/>
  <c r="A3023" i="1"/>
  <c r="B3023" i="1"/>
  <c r="C3023" i="1"/>
  <c r="E3023" i="1"/>
  <c r="G3023" i="1"/>
  <c r="K3023" i="1"/>
  <c r="A3024" i="1"/>
  <c r="B3024" i="1"/>
  <c r="C3024" i="1"/>
  <c r="E3024" i="1"/>
  <c r="G3024" i="1"/>
  <c r="K3024" i="1"/>
  <c r="A3025" i="1"/>
  <c r="B3025" i="1"/>
  <c r="C3025" i="1"/>
  <c r="E3025" i="1"/>
  <c r="G3025" i="1"/>
  <c r="K3025" i="1"/>
  <c r="A3026" i="1"/>
  <c r="B3026" i="1"/>
  <c r="C3026" i="1"/>
  <c r="E3026" i="1"/>
  <c r="G3026" i="1"/>
  <c r="K3026" i="1"/>
  <c r="A3027" i="1"/>
  <c r="B3027" i="1"/>
  <c r="C3027" i="1"/>
  <c r="E3027" i="1"/>
  <c r="G3027" i="1"/>
  <c r="K3027" i="1"/>
  <c r="A3028" i="1"/>
  <c r="B3028" i="1"/>
  <c r="C3028" i="1"/>
  <c r="E3028" i="1"/>
  <c r="G3028" i="1"/>
  <c r="K3028" i="1"/>
  <c r="A3029" i="1"/>
  <c r="B3029" i="1"/>
  <c r="C3029" i="1"/>
  <c r="E3029" i="1"/>
  <c r="G3029" i="1"/>
  <c r="K3029" i="1"/>
  <c r="A3030" i="1"/>
  <c r="B3030" i="1"/>
  <c r="C3030" i="1"/>
  <c r="E3030" i="1"/>
  <c r="G3030" i="1"/>
  <c r="K3030" i="1"/>
  <c r="A3031" i="1"/>
  <c r="B3031" i="1"/>
  <c r="C3031" i="1"/>
  <c r="E3031" i="1"/>
  <c r="G3031" i="1"/>
  <c r="K3031" i="1"/>
  <c r="A3032" i="1"/>
  <c r="B3032" i="1"/>
  <c r="C3032" i="1"/>
  <c r="E3032" i="1"/>
  <c r="G3032" i="1"/>
  <c r="K3032" i="1"/>
  <c r="A3033" i="1"/>
  <c r="B3033" i="1"/>
  <c r="C3033" i="1"/>
  <c r="E3033" i="1"/>
  <c r="G3033" i="1"/>
  <c r="K3033" i="1"/>
  <c r="A3034" i="1"/>
  <c r="B3034" i="1"/>
  <c r="C3034" i="1"/>
  <c r="E3034" i="1"/>
  <c r="G3034" i="1"/>
  <c r="K3034" i="1"/>
  <c r="A3035" i="1"/>
  <c r="B3035" i="1"/>
  <c r="C3035" i="1"/>
  <c r="E3035" i="1"/>
  <c r="G3035" i="1"/>
  <c r="K3035" i="1"/>
  <c r="A3036" i="1"/>
  <c r="B3036" i="1"/>
  <c r="C3036" i="1"/>
  <c r="E3036" i="1"/>
  <c r="G3036" i="1"/>
  <c r="K3036" i="1"/>
  <c r="A3037" i="1"/>
  <c r="B3037" i="1"/>
  <c r="C3037" i="1"/>
  <c r="E3037" i="1"/>
  <c r="G3037" i="1"/>
  <c r="K3037" i="1"/>
  <c r="A3038" i="1"/>
  <c r="B3038" i="1"/>
  <c r="C3038" i="1"/>
  <c r="E3038" i="1"/>
  <c r="G3038" i="1"/>
  <c r="K3038" i="1"/>
  <c r="A3039" i="1"/>
  <c r="B3039" i="1"/>
  <c r="C3039" i="1"/>
  <c r="E3039" i="1"/>
  <c r="G3039" i="1"/>
  <c r="K3039" i="1"/>
  <c r="A3040" i="1"/>
  <c r="B3040" i="1"/>
  <c r="C3040" i="1"/>
  <c r="E3040" i="1"/>
  <c r="G3040" i="1"/>
  <c r="K3040" i="1"/>
  <c r="A3041" i="1"/>
  <c r="B3041" i="1"/>
  <c r="C3041" i="1"/>
  <c r="E3041" i="1"/>
  <c r="G3041" i="1"/>
  <c r="K3041" i="1"/>
  <c r="A3042" i="1"/>
  <c r="B3042" i="1"/>
  <c r="C3042" i="1"/>
  <c r="E3042" i="1"/>
  <c r="G3042" i="1"/>
  <c r="K3042" i="1"/>
  <c r="A3043" i="1"/>
  <c r="B3043" i="1"/>
  <c r="C3043" i="1"/>
  <c r="E3043" i="1"/>
  <c r="G3043" i="1"/>
  <c r="K3043" i="1"/>
  <c r="A3044" i="1"/>
  <c r="B3044" i="1"/>
  <c r="C3044" i="1"/>
  <c r="E3044" i="1"/>
  <c r="G3044" i="1"/>
  <c r="K3044" i="1"/>
  <c r="A3045" i="1"/>
  <c r="B3045" i="1"/>
  <c r="C3045" i="1"/>
  <c r="E3045" i="1"/>
  <c r="G3045" i="1"/>
  <c r="K3045" i="1"/>
  <c r="A3046" i="1"/>
  <c r="B3046" i="1"/>
  <c r="C3046" i="1"/>
  <c r="E3046" i="1"/>
  <c r="G3046" i="1"/>
  <c r="K3046" i="1"/>
  <c r="A3047" i="1"/>
  <c r="B3047" i="1"/>
  <c r="C3047" i="1"/>
  <c r="E3047" i="1"/>
  <c r="G3047" i="1"/>
  <c r="K3047" i="1"/>
  <c r="A3048" i="1"/>
  <c r="B3048" i="1"/>
  <c r="C3048" i="1"/>
  <c r="E3048" i="1"/>
  <c r="G3048" i="1"/>
  <c r="K3048" i="1"/>
  <c r="A3049" i="1"/>
  <c r="B3049" i="1"/>
  <c r="C3049" i="1"/>
  <c r="E3049" i="1"/>
  <c r="G3049" i="1"/>
  <c r="K3049" i="1"/>
  <c r="A3050" i="1"/>
  <c r="B3050" i="1"/>
  <c r="C3050" i="1"/>
  <c r="E3050" i="1"/>
  <c r="G3050" i="1"/>
  <c r="K3050" i="1"/>
  <c r="A3051" i="1"/>
  <c r="B3051" i="1"/>
  <c r="C3051" i="1"/>
  <c r="E3051" i="1"/>
  <c r="G3051" i="1"/>
  <c r="K3051" i="1"/>
  <c r="A3052" i="1"/>
  <c r="B3052" i="1"/>
  <c r="C3052" i="1"/>
  <c r="E3052" i="1"/>
  <c r="G3052" i="1"/>
  <c r="K3052" i="1"/>
  <c r="A3053" i="1"/>
  <c r="B3053" i="1"/>
  <c r="C3053" i="1"/>
  <c r="E3053" i="1"/>
  <c r="G3053" i="1"/>
  <c r="K3053" i="1"/>
  <c r="A3054" i="1"/>
  <c r="B3054" i="1"/>
  <c r="C3054" i="1"/>
  <c r="E3054" i="1"/>
  <c r="G3054" i="1"/>
  <c r="K3054" i="1"/>
  <c r="A3055" i="1"/>
  <c r="B3055" i="1"/>
  <c r="C3055" i="1"/>
  <c r="E3055" i="1"/>
  <c r="G3055" i="1"/>
  <c r="K3055" i="1"/>
  <c r="A3056" i="1"/>
  <c r="B3056" i="1"/>
  <c r="C3056" i="1"/>
  <c r="E3056" i="1"/>
  <c r="G3056" i="1"/>
  <c r="K3056" i="1"/>
  <c r="A3057" i="1"/>
  <c r="B3057" i="1"/>
  <c r="C3057" i="1"/>
  <c r="E3057" i="1"/>
  <c r="G3057" i="1"/>
  <c r="K3057" i="1"/>
  <c r="A3058" i="1"/>
  <c r="B3058" i="1"/>
  <c r="C3058" i="1"/>
  <c r="E3058" i="1"/>
  <c r="G3058" i="1"/>
  <c r="K3058" i="1"/>
  <c r="A3059" i="1"/>
  <c r="B3059" i="1"/>
  <c r="C3059" i="1"/>
  <c r="E3059" i="1"/>
  <c r="G3059" i="1"/>
  <c r="K3059" i="1"/>
  <c r="A3060" i="1"/>
  <c r="B3060" i="1"/>
  <c r="C3060" i="1"/>
  <c r="E3060" i="1"/>
  <c r="G3060" i="1"/>
  <c r="K3060" i="1"/>
  <c r="A3061" i="1"/>
  <c r="B3061" i="1"/>
  <c r="C3061" i="1"/>
  <c r="E3061" i="1"/>
  <c r="G3061" i="1"/>
  <c r="K3061" i="1"/>
  <c r="A3062" i="1"/>
  <c r="B3062" i="1"/>
  <c r="C3062" i="1"/>
  <c r="E3062" i="1"/>
  <c r="G3062" i="1"/>
  <c r="K3062" i="1"/>
  <c r="A3063" i="1"/>
  <c r="B3063" i="1"/>
  <c r="C3063" i="1"/>
  <c r="E3063" i="1"/>
  <c r="G3063" i="1"/>
  <c r="K3063" i="1"/>
  <c r="A3064" i="1"/>
  <c r="B3064" i="1"/>
  <c r="C3064" i="1"/>
  <c r="E3064" i="1"/>
  <c r="G3064" i="1"/>
  <c r="K3064" i="1"/>
  <c r="A3065" i="1"/>
  <c r="B3065" i="1"/>
  <c r="C3065" i="1"/>
  <c r="E3065" i="1"/>
  <c r="G3065" i="1"/>
  <c r="K3065" i="1"/>
  <c r="A3066" i="1"/>
  <c r="B3066" i="1"/>
  <c r="C3066" i="1"/>
  <c r="E3066" i="1"/>
  <c r="G3066" i="1"/>
  <c r="K3066" i="1"/>
  <c r="A3067" i="1"/>
  <c r="B3067" i="1"/>
  <c r="C3067" i="1"/>
  <c r="E3067" i="1"/>
  <c r="G3067" i="1"/>
  <c r="K3067" i="1"/>
  <c r="A3068" i="1"/>
  <c r="B3068" i="1"/>
  <c r="C3068" i="1"/>
  <c r="E3068" i="1"/>
  <c r="G3068" i="1"/>
  <c r="K3068" i="1"/>
  <c r="A3069" i="1"/>
  <c r="B3069" i="1"/>
  <c r="C3069" i="1"/>
  <c r="E3069" i="1"/>
  <c r="G3069" i="1"/>
  <c r="K3069" i="1"/>
  <c r="A3070" i="1"/>
  <c r="B3070" i="1"/>
  <c r="C3070" i="1"/>
  <c r="E3070" i="1"/>
  <c r="G3070" i="1"/>
  <c r="K3070" i="1"/>
  <c r="A3071" i="1"/>
  <c r="B3071" i="1"/>
  <c r="C3071" i="1"/>
  <c r="E3071" i="1"/>
  <c r="G3071" i="1"/>
  <c r="K3071" i="1"/>
  <c r="A3072" i="1"/>
  <c r="B3072" i="1"/>
  <c r="C3072" i="1"/>
  <c r="E3072" i="1"/>
  <c r="G3072" i="1"/>
  <c r="K3072" i="1"/>
  <c r="A3073" i="1"/>
  <c r="B3073" i="1"/>
  <c r="C3073" i="1"/>
  <c r="E3073" i="1"/>
  <c r="G3073" i="1"/>
  <c r="K3073" i="1"/>
  <c r="A3074" i="1"/>
  <c r="B3074" i="1"/>
  <c r="C3074" i="1"/>
  <c r="E3074" i="1"/>
  <c r="G3074" i="1"/>
  <c r="K3074" i="1"/>
  <c r="A3075" i="1"/>
  <c r="B3075" i="1"/>
  <c r="C3075" i="1"/>
  <c r="E3075" i="1"/>
  <c r="G3075" i="1"/>
  <c r="K3075" i="1"/>
  <c r="A3076" i="1"/>
  <c r="B3076" i="1"/>
  <c r="C3076" i="1"/>
  <c r="E3076" i="1"/>
  <c r="G3076" i="1"/>
  <c r="K3076" i="1"/>
  <c r="A3077" i="1"/>
  <c r="B3077" i="1"/>
  <c r="C3077" i="1"/>
  <c r="E3077" i="1"/>
  <c r="G3077" i="1"/>
  <c r="K3077" i="1"/>
  <c r="A3078" i="1"/>
  <c r="B3078" i="1"/>
  <c r="C3078" i="1"/>
  <c r="E3078" i="1"/>
  <c r="G3078" i="1"/>
  <c r="K3078" i="1"/>
  <c r="A3079" i="1"/>
  <c r="B3079" i="1"/>
  <c r="C3079" i="1"/>
  <c r="E3079" i="1"/>
  <c r="G3079" i="1"/>
  <c r="K3079" i="1"/>
  <c r="A3080" i="1"/>
  <c r="B3080" i="1"/>
  <c r="C3080" i="1"/>
  <c r="E3080" i="1"/>
  <c r="G3080" i="1"/>
  <c r="K3080" i="1"/>
  <c r="A3081" i="1"/>
  <c r="B3081" i="1"/>
  <c r="C3081" i="1"/>
  <c r="E3081" i="1"/>
  <c r="G3081" i="1"/>
  <c r="K3081" i="1"/>
  <c r="A3082" i="1"/>
  <c r="B3082" i="1"/>
  <c r="C3082" i="1"/>
  <c r="E3082" i="1"/>
  <c r="G3082" i="1"/>
  <c r="K3082" i="1"/>
  <c r="A3083" i="1"/>
  <c r="B3083" i="1"/>
  <c r="C3083" i="1"/>
  <c r="E3083" i="1"/>
  <c r="G3083" i="1"/>
  <c r="K3083" i="1"/>
  <c r="A3084" i="1"/>
  <c r="B3084" i="1"/>
  <c r="C3084" i="1"/>
  <c r="E3084" i="1"/>
  <c r="G3084" i="1"/>
  <c r="K3084" i="1"/>
  <c r="A3085" i="1"/>
  <c r="B3085" i="1"/>
  <c r="C3085" i="1"/>
  <c r="E3085" i="1"/>
  <c r="G3085" i="1"/>
  <c r="K3085" i="1"/>
  <c r="A3086" i="1"/>
  <c r="B3086" i="1"/>
  <c r="C3086" i="1"/>
  <c r="E3086" i="1"/>
  <c r="G3086" i="1"/>
  <c r="K3086" i="1"/>
  <c r="A3087" i="1"/>
  <c r="B3087" i="1"/>
  <c r="C3087" i="1"/>
  <c r="E3087" i="1"/>
  <c r="G3087" i="1"/>
  <c r="K3087" i="1"/>
  <c r="A3088" i="1"/>
  <c r="B3088" i="1"/>
  <c r="C3088" i="1"/>
  <c r="E3088" i="1"/>
  <c r="G3088" i="1"/>
  <c r="K3088" i="1"/>
  <c r="A3089" i="1"/>
  <c r="B3089" i="1"/>
  <c r="C3089" i="1"/>
  <c r="E3089" i="1"/>
  <c r="G3089" i="1"/>
  <c r="K3089" i="1"/>
  <c r="A3090" i="1"/>
  <c r="B3090" i="1"/>
  <c r="C3090" i="1"/>
  <c r="E3090" i="1"/>
  <c r="G3090" i="1"/>
  <c r="K3090" i="1"/>
  <c r="A3091" i="1"/>
  <c r="B3091" i="1"/>
  <c r="C3091" i="1"/>
  <c r="E3091" i="1"/>
  <c r="G3091" i="1"/>
  <c r="K3091" i="1"/>
  <c r="A3092" i="1"/>
  <c r="B3092" i="1"/>
  <c r="C3092" i="1"/>
  <c r="E3092" i="1"/>
  <c r="G3092" i="1"/>
  <c r="K3092" i="1"/>
  <c r="A3093" i="1"/>
  <c r="B3093" i="1"/>
  <c r="C3093" i="1"/>
  <c r="E3093" i="1"/>
  <c r="G3093" i="1"/>
  <c r="K3093" i="1"/>
  <c r="A3094" i="1"/>
  <c r="B3094" i="1"/>
  <c r="C3094" i="1"/>
  <c r="E3094" i="1"/>
  <c r="G3094" i="1"/>
  <c r="K3094" i="1"/>
  <c r="A3095" i="1"/>
  <c r="B3095" i="1"/>
  <c r="C3095" i="1"/>
  <c r="E3095" i="1"/>
  <c r="G3095" i="1"/>
  <c r="K3095" i="1"/>
  <c r="A3096" i="1"/>
  <c r="B3096" i="1"/>
  <c r="C3096" i="1"/>
  <c r="E3096" i="1"/>
  <c r="G3096" i="1"/>
  <c r="K3096" i="1"/>
  <c r="A3097" i="1"/>
  <c r="B3097" i="1"/>
  <c r="C3097" i="1"/>
  <c r="E3097" i="1"/>
  <c r="G3097" i="1"/>
  <c r="K3097" i="1"/>
  <c r="A3098" i="1"/>
  <c r="B3098" i="1"/>
  <c r="C3098" i="1"/>
  <c r="E3098" i="1"/>
  <c r="G3098" i="1"/>
  <c r="K3098" i="1"/>
  <c r="A3099" i="1"/>
  <c r="B3099" i="1"/>
  <c r="C3099" i="1"/>
  <c r="E3099" i="1"/>
  <c r="G3099" i="1"/>
  <c r="K3099" i="1"/>
  <c r="A3100" i="1"/>
  <c r="B3100" i="1"/>
  <c r="C3100" i="1"/>
  <c r="E3100" i="1"/>
  <c r="G3100" i="1"/>
  <c r="K3100" i="1"/>
  <c r="A3101" i="1"/>
  <c r="B3101" i="1"/>
  <c r="C3101" i="1"/>
  <c r="E3101" i="1"/>
  <c r="G3101" i="1"/>
  <c r="K3101" i="1"/>
  <c r="A3102" i="1"/>
  <c r="B3102" i="1"/>
  <c r="C3102" i="1"/>
  <c r="E3102" i="1"/>
  <c r="G3102" i="1"/>
  <c r="K3102" i="1"/>
  <c r="A3103" i="1"/>
  <c r="B3103" i="1"/>
  <c r="C3103" i="1"/>
  <c r="E3103" i="1"/>
  <c r="G3103" i="1"/>
  <c r="K3103" i="1"/>
  <c r="A3104" i="1"/>
  <c r="B3104" i="1"/>
  <c r="C3104" i="1"/>
  <c r="E3104" i="1"/>
  <c r="G3104" i="1"/>
  <c r="K3104" i="1"/>
  <c r="A3105" i="1"/>
  <c r="B3105" i="1"/>
  <c r="C3105" i="1"/>
  <c r="E3105" i="1"/>
  <c r="G3105" i="1"/>
  <c r="K3105" i="1"/>
  <c r="A3106" i="1"/>
  <c r="B3106" i="1"/>
  <c r="C3106" i="1"/>
  <c r="E3106" i="1"/>
  <c r="G3106" i="1"/>
  <c r="K3106" i="1"/>
  <c r="A3107" i="1"/>
  <c r="B3107" i="1"/>
  <c r="C3107" i="1"/>
  <c r="E3107" i="1"/>
  <c r="G3107" i="1"/>
  <c r="K3107" i="1"/>
  <c r="A3108" i="1"/>
  <c r="B3108" i="1"/>
  <c r="C3108" i="1"/>
  <c r="E3108" i="1"/>
  <c r="G3108" i="1"/>
  <c r="K3108" i="1"/>
  <c r="A3109" i="1"/>
  <c r="B3109" i="1"/>
  <c r="C3109" i="1"/>
  <c r="E3109" i="1"/>
  <c r="G3109" i="1"/>
  <c r="K3109" i="1"/>
  <c r="A3110" i="1"/>
  <c r="B3110" i="1"/>
  <c r="C3110" i="1"/>
  <c r="E3110" i="1"/>
  <c r="G3110" i="1"/>
  <c r="K3110" i="1"/>
  <c r="A3111" i="1"/>
  <c r="B3111" i="1"/>
  <c r="C3111" i="1"/>
  <c r="E3111" i="1"/>
  <c r="G3111" i="1"/>
  <c r="K3111" i="1"/>
  <c r="A3112" i="1"/>
  <c r="B3112" i="1"/>
  <c r="C3112" i="1"/>
  <c r="E3112" i="1"/>
  <c r="G3112" i="1"/>
  <c r="K3112" i="1"/>
  <c r="A3113" i="1"/>
  <c r="B3113" i="1"/>
  <c r="C3113" i="1"/>
  <c r="E3113" i="1"/>
  <c r="G3113" i="1"/>
  <c r="K3113" i="1"/>
  <c r="A3114" i="1"/>
  <c r="B3114" i="1"/>
  <c r="C3114" i="1"/>
  <c r="E3114" i="1"/>
  <c r="G3114" i="1"/>
  <c r="K3114" i="1"/>
  <c r="A3115" i="1"/>
  <c r="B3115" i="1"/>
  <c r="C3115" i="1"/>
  <c r="E3115" i="1"/>
  <c r="G3115" i="1"/>
  <c r="K3115" i="1"/>
  <c r="A3116" i="1"/>
  <c r="B3116" i="1"/>
  <c r="C3116" i="1"/>
  <c r="E3116" i="1"/>
  <c r="G3116" i="1"/>
  <c r="K3116" i="1"/>
  <c r="A3117" i="1"/>
  <c r="B3117" i="1"/>
  <c r="C3117" i="1"/>
  <c r="E3117" i="1"/>
  <c r="G3117" i="1"/>
  <c r="K3117" i="1"/>
  <c r="A3118" i="1"/>
  <c r="B3118" i="1"/>
  <c r="C3118" i="1"/>
  <c r="E3118" i="1"/>
  <c r="G3118" i="1"/>
  <c r="K3118" i="1"/>
  <c r="A3119" i="1"/>
  <c r="B3119" i="1"/>
  <c r="C3119" i="1"/>
  <c r="E3119" i="1"/>
  <c r="G3119" i="1"/>
  <c r="K3119" i="1"/>
  <c r="A3120" i="1"/>
  <c r="B3120" i="1"/>
  <c r="C3120" i="1"/>
  <c r="E3120" i="1"/>
  <c r="G3120" i="1"/>
  <c r="K3120" i="1"/>
  <c r="A3121" i="1"/>
  <c r="B3121" i="1"/>
  <c r="C3121" i="1"/>
  <c r="E3121" i="1"/>
  <c r="G3121" i="1"/>
  <c r="K3121" i="1"/>
  <c r="A3122" i="1"/>
  <c r="B3122" i="1"/>
  <c r="C3122" i="1"/>
  <c r="E3122" i="1"/>
  <c r="G3122" i="1"/>
  <c r="K3122" i="1"/>
  <c r="A3123" i="1"/>
  <c r="B3123" i="1"/>
  <c r="C3123" i="1"/>
  <c r="E3123" i="1"/>
  <c r="G3123" i="1"/>
  <c r="K3123" i="1"/>
  <c r="A3124" i="1"/>
  <c r="B3124" i="1"/>
  <c r="C3124" i="1"/>
  <c r="E3124" i="1"/>
  <c r="G3124" i="1"/>
  <c r="K3124" i="1"/>
  <c r="A3125" i="1"/>
  <c r="B3125" i="1"/>
  <c r="C3125" i="1"/>
  <c r="E3125" i="1"/>
  <c r="G3125" i="1"/>
  <c r="K3125" i="1"/>
  <c r="A3126" i="1"/>
  <c r="B3126" i="1"/>
  <c r="C3126" i="1"/>
  <c r="E3126" i="1"/>
  <c r="G3126" i="1"/>
  <c r="K3126" i="1"/>
  <c r="A3127" i="1"/>
  <c r="B3127" i="1"/>
  <c r="C3127" i="1"/>
  <c r="E3127" i="1"/>
  <c r="G3127" i="1"/>
  <c r="K3127" i="1"/>
  <c r="A3128" i="1"/>
  <c r="B3128" i="1"/>
  <c r="C3128" i="1"/>
  <c r="E3128" i="1"/>
  <c r="G3128" i="1"/>
  <c r="K3128" i="1"/>
  <c r="A3129" i="1"/>
  <c r="B3129" i="1"/>
  <c r="C3129" i="1"/>
  <c r="E3129" i="1"/>
  <c r="G3129" i="1"/>
  <c r="K3129" i="1"/>
  <c r="A3130" i="1"/>
  <c r="B3130" i="1"/>
  <c r="C3130" i="1"/>
  <c r="E3130" i="1"/>
  <c r="G3130" i="1"/>
  <c r="K3130" i="1"/>
  <c r="A3131" i="1"/>
  <c r="B3131" i="1"/>
  <c r="C3131" i="1"/>
  <c r="E3131" i="1"/>
  <c r="G3131" i="1"/>
  <c r="K3131" i="1"/>
  <c r="A3132" i="1"/>
  <c r="B3132" i="1"/>
  <c r="C3132" i="1"/>
  <c r="E3132" i="1"/>
  <c r="G3132" i="1"/>
  <c r="K3132" i="1"/>
  <c r="A3133" i="1"/>
  <c r="B3133" i="1"/>
  <c r="C3133" i="1"/>
  <c r="E3133" i="1"/>
  <c r="G3133" i="1"/>
  <c r="K3133" i="1"/>
  <c r="A3134" i="1"/>
  <c r="B3134" i="1"/>
  <c r="C3134" i="1"/>
  <c r="E3134" i="1"/>
  <c r="G3134" i="1"/>
  <c r="K3134" i="1"/>
  <c r="A3135" i="1"/>
  <c r="B3135" i="1"/>
  <c r="C3135" i="1"/>
  <c r="E3135" i="1"/>
  <c r="G3135" i="1"/>
  <c r="K3135" i="1"/>
  <c r="A3136" i="1"/>
  <c r="B3136" i="1"/>
  <c r="C3136" i="1"/>
  <c r="E3136" i="1"/>
  <c r="G3136" i="1"/>
  <c r="K3136" i="1"/>
  <c r="A3137" i="1"/>
  <c r="B3137" i="1"/>
  <c r="C3137" i="1"/>
  <c r="E3137" i="1"/>
  <c r="G3137" i="1"/>
  <c r="K3137" i="1"/>
  <c r="A3138" i="1"/>
  <c r="B3138" i="1"/>
  <c r="C3138" i="1"/>
  <c r="E3138" i="1"/>
  <c r="G3138" i="1"/>
  <c r="K3138" i="1"/>
  <c r="A3139" i="1"/>
  <c r="B3139" i="1"/>
  <c r="C3139" i="1"/>
  <c r="E3139" i="1"/>
  <c r="G3139" i="1"/>
  <c r="K3139" i="1"/>
  <c r="A3140" i="1"/>
  <c r="B3140" i="1"/>
  <c r="C3140" i="1"/>
  <c r="E3140" i="1"/>
  <c r="G3140" i="1"/>
  <c r="K3140" i="1"/>
  <c r="A3141" i="1"/>
  <c r="B3141" i="1"/>
  <c r="C3141" i="1"/>
  <c r="E3141" i="1"/>
  <c r="G3141" i="1"/>
  <c r="K3141" i="1"/>
  <c r="A3142" i="1"/>
  <c r="B3142" i="1"/>
  <c r="C3142" i="1"/>
  <c r="E3142" i="1"/>
  <c r="G3142" i="1"/>
  <c r="K3142" i="1"/>
  <c r="A3143" i="1"/>
  <c r="B3143" i="1"/>
  <c r="C3143" i="1"/>
  <c r="E3143" i="1"/>
  <c r="G3143" i="1"/>
  <c r="K3143" i="1"/>
  <c r="A3144" i="1"/>
  <c r="B3144" i="1"/>
  <c r="C3144" i="1"/>
  <c r="E3144" i="1"/>
  <c r="G3144" i="1"/>
  <c r="K3144" i="1"/>
  <c r="A3145" i="1"/>
  <c r="B3145" i="1"/>
  <c r="C3145" i="1"/>
  <c r="E3145" i="1"/>
  <c r="G3145" i="1"/>
  <c r="K3145" i="1"/>
  <c r="A3146" i="1"/>
  <c r="B3146" i="1"/>
  <c r="C3146" i="1"/>
  <c r="E3146" i="1"/>
  <c r="G3146" i="1"/>
  <c r="K3146" i="1"/>
  <c r="A3147" i="1"/>
  <c r="B3147" i="1"/>
  <c r="C3147" i="1"/>
  <c r="E3147" i="1"/>
  <c r="G3147" i="1"/>
  <c r="K3147" i="1"/>
  <c r="A3148" i="1"/>
  <c r="B3148" i="1"/>
  <c r="C3148" i="1"/>
  <c r="E3148" i="1"/>
  <c r="G3148" i="1"/>
  <c r="K3148" i="1"/>
  <c r="A3149" i="1"/>
  <c r="B3149" i="1"/>
  <c r="C3149" i="1"/>
  <c r="E3149" i="1"/>
  <c r="G3149" i="1"/>
  <c r="K3149" i="1"/>
  <c r="A3150" i="1"/>
  <c r="B3150" i="1"/>
  <c r="C3150" i="1"/>
  <c r="E3150" i="1"/>
  <c r="G3150" i="1"/>
  <c r="K3150" i="1"/>
  <c r="A3151" i="1"/>
  <c r="B3151" i="1"/>
  <c r="C3151" i="1"/>
  <c r="E3151" i="1"/>
  <c r="G3151" i="1"/>
  <c r="K3151" i="1"/>
  <c r="A3152" i="1"/>
  <c r="B3152" i="1"/>
  <c r="C3152" i="1"/>
  <c r="E3152" i="1"/>
  <c r="G3152" i="1"/>
  <c r="K3152" i="1"/>
  <c r="A3153" i="1"/>
  <c r="B3153" i="1"/>
  <c r="C3153" i="1"/>
  <c r="E3153" i="1"/>
  <c r="G3153" i="1"/>
  <c r="K3153" i="1"/>
  <c r="A3154" i="1"/>
  <c r="B3154" i="1"/>
  <c r="C3154" i="1"/>
  <c r="E3154" i="1"/>
  <c r="G3154" i="1"/>
  <c r="K3154" i="1"/>
  <c r="A3155" i="1"/>
  <c r="B3155" i="1"/>
  <c r="C3155" i="1"/>
  <c r="E3155" i="1"/>
  <c r="G3155" i="1"/>
  <c r="K3155" i="1"/>
  <c r="A3156" i="1"/>
  <c r="B3156" i="1"/>
  <c r="C3156" i="1"/>
  <c r="E3156" i="1"/>
  <c r="G3156" i="1"/>
  <c r="K3156" i="1"/>
  <c r="A3157" i="1"/>
  <c r="B3157" i="1"/>
  <c r="C3157" i="1"/>
  <c r="E3157" i="1"/>
  <c r="G3157" i="1"/>
  <c r="K3157" i="1"/>
  <c r="A3158" i="1"/>
  <c r="B3158" i="1"/>
  <c r="C3158" i="1"/>
  <c r="E3158" i="1"/>
  <c r="G3158" i="1"/>
  <c r="K3158" i="1"/>
  <c r="A3159" i="1"/>
  <c r="B3159" i="1"/>
  <c r="C3159" i="1"/>
  <c r="E3159" i="1"/>
  <c r="G3159" i="1"/>
  <c r="K3159" i="1"/>
  <c r="A3160" i="1"/>
  <c r="B3160" i="1"/>
  <c r="C3160" i="1"/>
  <c r="E3160" i="1"/>
  <c r="G3160" i="1"/>
  <c r="K3160" i="1"/>
  <c r="A3161" i="1"/>
  <c r="B3161" i="1"/>
  <c r="C3161" i="1"/>
  <c r="E3161" i="1"/>
  <c r="G3161" i="1"/>
  <c r="K3161" i="1"/>
  <c r="A3162" i="1"/>
  <c r="B3162" i="1"/>
  <c r="C3162" i="1"/>
  <c r="E3162" i="1"/>
  <c r="G3162" i="1"/>
  <c r="K3162" i="1"/>
  <c r="A3163" i="1"/>
  <c r="B3163" i="1"/>
  <c r="C3163" i="1"/>
  <c r="E3163" i="1"/>
  <c r="G3163" i="1"/>
  <c r="K3163" i="1"/>
  <c r="A3164" i="1"/>
  <c r="B3164" i="1"/>
  <c r="C3164" i="1"/>
  <c r="E3164" i="1"/>
  <c r="G3164" i="1"/>
  <c r="K3164" i="1"/>
  <c r="A3165" i="1"/>
  <c r="B3165" i="1"/>
  <c r="C3165" i="1"/>
  <c r="E3165" i="1"/>
  <c r="G3165" i="1"/>
  <c r="K3165" i="1"/>
  <c r="A3166" i="1"/>
  <c r="B3166" i="1"/>
  <c r="C3166" i="1"/>
  <c r="E3166" i="1"/>
  <c r="G3166" i="1"/>
  <c r="K3166" i="1"/>
  <c r="A3167" i="1"/>
  <c r="B3167" i="1"/>
  <c r="C3167" i="1"/>
  <c r="E3167" i="1"/>
  <c r="G3167" i="1"/>
  <c r="K3167" i="1"/>
  <c r="A3168" i="1"/>
  <c r="B3168" i="1"/>
  <c r="C3168" i="1"/>
  <c r="E3168" i="1"/>
  <c r="G3168" i="1"/>
  <c r="K3168" i="1"/>
  <c r="A3169" i="1"/>
  <c r="B3169" i="1"/>
  <c r="C3169" i="1"/>
  <c r="E3169" i="1"/>
  <c r="G3169" i="1"/>
  <c r="K3169" i="1"/>
  <c r="A3170" i="1"/>
  <c r="B3170" i="1"/>
  <c r="C3170" i="1"/>
  <c r="E3170" i="1"/>
  <c r="G3170" i="1"/>
  <c r="K3170" i="1"/>
  <c r="A3171" i="1"/>
  <c r="B3171" i="1"/>
  <c r="C3171" i="1"/>
  <c r="E3171" i="1"/>
  <c r="G3171" i="1"/>
  <c r="K3171" i="1"/>
  <c r="A3172" i="1"/>
  <c r="B3172" i="1"/>
  <c r="C3172" i="1"/>
  <c r="E3172" i="1"/>
  <c r="G3172" i="1"/>
  <c r="K3172" i="1"/>
  <c r="A3173" i="1"/>
  <c r="B3173" i="1"/>
  <c r="C3173" i="1"/>
  <c r="E3173" i="1"/>
  <c r="G3173" i="1"/>
  <c r="K3173" i="1"/>
  <c r="A3174" i="1"/>
  <c r="B3174" i="1"/>
  <c r="C3174" i="1"/>
  <c r="E3174" i="1"/>
  <c r="G3174" i="1"/>
  <c r="K3174" i="1"/>
  <c r="A3175" i="1"/>
  <c r="B3175" i="1"/>
  <c r="C3175" i="1"/>
  <c r="E3175" i="1"/>
  <c r="G3175" i="1"/>
  <c r="K3175" i="1"/>
  <c r="A3176" i="1"/>
  <c r="B3176" i="1"/>
  <c r="C3176" i="1"/>
  <c r="E3176" i="1"/>
  <c r="G3176" i="1"/>
  <c r="K3176" i="1"/>
  <c r="A3177" i="1"/>
  <c r="B3177" i="1"/>
  <c r="C3177" i="1"/>
  <c r="E3177" i="1"/>
  <c r="G3177" i="1"/>
  <c r="K3177" i="1"/>
  <c r="A3178" i="1"/>
  <c r="B3178" i="1"/>
  <c r="C3178" i="1"/>
  <c r="E3178" i="1"/>
  <c r="G3178" i="1"/>
  <c r="K3178" i="1"/>
  <c r="A3179" i="1"/>
  <c r="B3179" i="1"/>
  <c r="C3179" i="1"/>
  <c r="E3179" i="1"/>
  <c r="G3179" i="1"/>
  <c r="K3179" i="1"/>
  <c r="A3180" i="1"/>
  <c r="B3180" i="1"/>
  <c r="C3180" i="1"/>
  <c r="E3180" i="1"/>
  <c r="G3180" i="1"/>
  <c r="K3180" i="1"/>
  <c r="A3181" i="1"/>
  <c r="B3181" i="1"/>
  <c r="C3181" i="1"/>
  <c r="E3181" i="1"/>
  <c r="G3181" i="1"/>
  <c r="K3181" i="1"/>
  <c r="A3182" i="1"/>
  <c r="B3182" i="1"/>
  <c r="C3182" i="1"/>
  <c r="E3182" i="1"/>
  <c r="G3182" i="1"/>
  <c r="K3182" i="1"/>
  <c r="A3183" i="1"/>
  <c r="B3183" i="1"/>
  <c r="C3183" i="1"/>
  <c r="E3183" i="1"/>
  <c r="G3183" i="1"/>
  <c r="K3183" i="1"/>
  <c r="A3184" i="1"/>
  <c r="B3184" i="1"/>
  <c r="C3184" i="1"/>
  <c r="E3184" i="1"/>
  <c r="G3184" i="1"/>
  <c r="K3184" i="1"/>
  <c r="A3185" i="1"/>
  <c r="B3185" i="1"/>
  <c r="C3185" i="1"/>
  <c r="E3185" i="1"/>
  <c r="G3185" i="1"/>
  <c r="K3185" i="1"/>
  <c r="A3186" i="1"/>
  <c r="B3186" i="1"/>
  <c r="C3186" i="1"/>
  <c r="E3186" i="1"/>
  <c r="G3186" i="1"/>
  <c r="K3186" i="1"/>
  <c r="A3187" i="1"/>
  <c r="B3187" i="1"/>
  <c r="C3187" i="1"/>
  <c r="E3187" i="1"/>
  <c r="G3187" i="1"/>
  <c r="K3187" i="1"/>
  <c r="A3188" i="1"/>
  <c r="B3188" i="1"/>
  <c r="C3188" i="1"/>
  <c r="E3188" i="1"/>
  <c r="G3188" i="1"/>
  <c r="K3188" i="1"/>
  <c r="A3189" i="1"/>
  <c r="B3189" i="1"/>
  <c r="C3189" i="1"/>
  <c r="E3189" i="1"/>
  <c r="G3189" i="1"/>
  <c r="K3189" i="1"/>
  <c r="A3190" i="1"/>
  <c r="B3190" i="1"/>
  <c r="C3190" i="1"/>
  <c r="E3190" i="1"/>
  <c r="G3190" i="1"/>
  <c r="K3190" i="1"/>
  <c r="A3191" i="1"/>
  <c r="B3191" i="1"/>
  <c r="C3191" i="1"/>
  <c r="E3191" i="1"/>
  <c r="G3191" i="1"/>
  <c r="K3191" i="1"/>
  <c r="A3192" i="1"/>
  <c r="B3192" i="1"/>
  <c r="C3192" i="1"/>
  <c r="E3192" i="1"/>
  <c r="G3192" i="1"/>
  <c r="K3192" i="1"/>
  <c r="A3193" i="1"/>
  <c r="B3193" i="1"/>
  <c r="C3193" i="1"/>
  <c r="E3193" i="1"/>
  <c r="G3193" i="1"/>
  <c r="K3193" i="1"/>
  <c r="A3194" i="1"/>
  <c r="B3194" i="1"/>
  <c r="C3194" i="1"/>
  <c r="E3194" i="1"/>
  <c r="G3194" i="1"/>
  <c r="K3194" i="1"/>
  <c r="A3195" i="1"/>
  <c r="B3195" i="1"/>
  <c r="C3195" i="1"/>
  <c r="E3195" i="1"/>
  <c r="G3195" i="1"/>
  <c r="K3195" i="1"/>
  <c r="A3196" i="1"/>
  <c r="B3196" i="1"/>
  <c r="C3196" i="1"/>
  <c r="E3196" i="1"/>
  <c r="G3196" i="1"/>
  <c r="K3196" i="1"/>
  <c r="A3197" i="1"/>
  <c r="B3197" i="1"/>
  <c r="C3197" i="1"/>
  <c r="E3197" i="1"/>
  <c r="G3197" i="1"/>
  <c r="K3197" i="1"/>
  <c r="A3198" i="1"/>
  <c r="B3198" i="1"/>
  <c r="C3198" i="1"/>
  <c r="E3198" i="1"/>
  <c r="G3198" i="1"/>
  <c r="K3198" i="1"/>
  <c r="A3199" i="1"/>
  <c r="B3199" i="1"/>
  <c r="C3199" i="1"/>
  <c r="E3199" i="1"/>
  <c r="G3199" i="1"/>
  <c r="K3199" i="1"/>
  <c r="A3200" i="1"/>
  <c r="B3200" i="1"/>
  <c r="C3200" i="1"/>
  <c r="E3200" i="1"/>
  <c r="G3200" i="1"/>
  <c r="K3200" i="1"/>
  <c r="A3201" i="1"/>
  <c r="B3201" i="1"/>
  <c r="C3201" i="1"/>
  <c r="E3201" i="1"/>
  <c r="G3201" i="1"/>
  <c r="K3201" i="1"/>
  <c r="A3202" i="1"/>
  <c r="B3202" i="1"/>
  <c r="C3202" i="1"/>
  <c r="E3202" i="1"/>
  <c r="G3202" i="1"/>
  <c r="K3202" i="1"/>
  <c r="A3203" i="1"/>
  <c r="B3203" i="1"/>
  <c r="C3203" i="1"/>
  <c r="E3203" i="1"/>
  <c r="G3203" i="1"/>
  <c r="K3203" i="1"/>
  <c r="A3204" i="1"/>
  <c r="B3204" i="1"/>
  <c r="C3204" i="1"/>
  <c r="E3204" i="1"/>
  <c r="G3204" i="1"/>
  <c r="K3204" i="1"/>
  <c r="A3205" i="1"/>
  <c r="B3205" i="1"/>
  <c r="C3205" i="1"/>
  <c r="E3205" i="1"/>
  <c r="G3205" i="1"/>
  <c r="K3205" i="1"/>
  <c r="A3206" i="1"/>
  <c r="B3206" i="1"/>
  <c r="C3206" i="1"/>
  <c r="E3206" i="1"/>
  <c r="G3206" i="1"/>
  <c r="K3206" i="1"/>
  <c r="A3207" i="1"/>
  <c r="B3207" i="1"/>
  <c r="C3207" i="1"/>
  <c r="E3207" i="1"/>
  <c r="G3207" i="1"/>
  <c r="K3207" i="1"/>
  <c r="A3208" i="1"/>
  <c r="B3208" i="1"/>
  <c r="C3208" i="1"/>
  <c r="E3208" i="1"/>
  <c r="G3208" i="1"/>
  <c r="K3208" i="1"/>
  <c r="A3209" i="1"/>
  <c r="B3209" i="1"/>
  <c r="C3209" i="1"/>
  <c r="E3209" i="1"/>
  <c r="G3209" i="1"/>
  <c r="K3209" i="1"/>
  <c r="A3210" i="1"/>
  <c r="B3210" i="1"/>
  <c r="C3210" i="1"/>
  <c r="E3210" i="1"/>
  <c r="G3210" i="1"/>
  <c r="K3210" i="1"/>
  <c r="A3211" i="1"/>
  <c r="B3211" i="1"/>
  <c r="C3211" i="1"/>
  <c r="E3211" i="1"/>
  <c r="G3211" i="1"/>
  <c r="K3211" i="1"/>
  <c r="A3212" i="1"/>
  <c r="B3212" i="1"/>
  <c r="C3212" i="1"/>
  <c r="E3212" i="1"/>
  <c r="G3212" i="1"/>
  <c r="K3212" i="1"/>
  <c r="A3213" i="1"/>
  <c r="B3213" i="1"/>
  <c r="C3213" i="1"/>
  <c r="E3213" i="1"/>
  <c r="G3213" i="1"/>
  <c r="K3213" i="1"/>
  <c r="A3214" i="1"/>
  <c r="B3214" i="1"/>
  <c r="C3214" i="1"/>
  <c r="E3214" i="1"/>
  <c r="G3214" i="1"/>
  <c r="K3214" i="1"/>
  <c r="A3215" i="1"/>
  <c r="B3215" i="1"/>
  <c r="C3215" i="1"/>
  <c r="E3215" i="1"/>
  <c r="G3215" i="1"/>
  <c r="K3215" i="1"/>
  <c r="A3216" i="1"/>
  <c r="B3216" i="1"/>
  <c r="C3216" i="1"/>
  <c r="E3216" i="1"/>
  <c r="G3216" i="1"/>
  <c r="K3216" i="1"/>
  <c r="A3217" i="1"/>
  <c r="B3217" i="1"/>
  <c r="C3217" i="1"/>
  <c r="E3217" i="1"/>
  <c r="G3217" i="1"/>
  <c r="K3217" i="1"/>
  <c r="A3218" i="1"/>
  <c r="B3218" i="1"/>
  <c r="C3218" i="1"/>
  <c r="E3218" i="1"/>
  <c r="G3218" i="1"/>
  <c r="K3218" i="1"/>
  <c r="A3219" i="1"/>
  <c r="B3219" i="1"/>
  <c r="C3219" i="1"/>
  <c r="E3219" i="1"/>
  <c r="G3219" i="1"/>
  <c r="K3219" i="1"/>
  <c r="A3220" i="1"/>
  <c r="B3220" i="1"/>
  <c r="C3220" i="1"/>
  <c r="E3220" i="1"/>
  <c r="G3220" i="1"/>
  <c r="K3220" i="1"/>
  <c r="A3221" i="1"/>
  <c r="B3221" i="1"/>
  <c r="C3221" i="1"/>
  <c r="E3221" i="1"/>
  <c r="G3221" i="1"/>
  <c r="K3221" i="1"/>
  <c r="A3222" i="1"/>
  <c r="B3222" i="1"/>
  <c r="C3222" i="1"/>
  <c r="E3222" i="1"/>
  <c r="G3222" i="1"/>
  <c r="K3222" i="1"/>
  <c r="A3223" i="1"/>
  <c r="B3223" i="1"/>
  <c r="C3223" i="1"/>
  <c r="E3223" i="1"/>
  <c r="G3223" i="1"/>
  <c r="K3223" i="1"/>
  <c r="A3224" i="1"/>
  <c r="B3224" i="1"/>
  <c r="C3224" i="1"/>
  <c r="E3224" i="1"/>
  <c r="G3224" i="1"/>
  <c r="K3224" i="1"/>
  <c r="A3225" i="1"/>
  <c r="B3225" i="1"/>
  <c r="C3225" i="1"/>
  <c r="E3225" i="1"/>
  <c r="G3225" i="1"/>
  <c r="K3225" i="1"/>
  <c r="A3226" i="1"/>
  <c r="B3226" i="1"/>
  <c r="C3226" i="1"/>
  <c r="E3226" i="1"/>
  <c r="G3226" i="1"/>
  <c r="K3226" i="1"/>
  <c r="A3227" i="1"/>
  <c r="B3227" i="1"/>
  <c r="C3227" i="1"/>
  <c r="E3227" i="1"/>
  <c r="G3227" i="1"/>
  <c r="K3227" i="1"/>
  <c r="A3228" i="1"/>
  <c r="B3228" i="1"/>
  <c r="C3228" i="1"/>
  <c r="E3228" i="1"/>
  <c r="G3228" i="1"/>
  <c r="K3228" i="1"/>
  <c r="A3229" i="1"/>
  <c r="B3229" i="1"/>
  <c r="C3229" i="1"/>
  <c r="E3229" i="1"/>
  <c r="G3229" i="1"/>
  <c r="K3229" i="1"/>
  <c r="A3230" i="1"/>
  <c r="B3230" i="1"/>
  <c r="C3230" i="1"/>
  <c r="E3230" i="1"/>
  <c r="G3230" i="1"/>
  <c r="K3230" i="1"/>
  <c r="A3231" i="1"/>
  <c r="B3231" i="1"/>
  <c r="C3231" i="1"/>
  <c r="E3231" i="1"/>
  <c r="G3231" i="1"/>
  <c r="K3231" i="1"/>
  <c r="A3232" i="1"/>
  <c r="B3232" i="1"/>
  <c r="C3232" i="1"/>
  <c r="E3232" i="1"/>
  <c r="G3232" i="1"/>
  <c r="K3232" i="1"/>
  <c r="A3233" i="1"/>
  <c r="B3233" i="1"/>
  <c r="C3233" i="1"/>
  <c r="E3233" i="1"/>
  <c r="G3233" i="1"/>
  <c r="K3233" i="1"/>
  <c r="A3234" i="1"/>
  <c r="B3234" i="1"/>
  <c r="C3234" i="1"/>
  <c r="E3234" i="1"/>
  <c r="G3234" i="1"/>
  <c r="K3234" i="1"/>
  <c r="A3235" i="1"/>
  <c r="B3235" i="1"/>
  <c r="C3235" i="1"/>
  <c r="E3235" i="1"/>
  <c r="G3235" i="1"/>
  <c r="K3235" i="1"/>
  <c r="A3236" i="1"/>
  <c r="B3236" i="1"/>
  <c r="C3236" i="1"/>
  <c r="E3236" i="1"/>
  <c r="G3236" i="1"/>
  <c r="K3236" i="1"/>
  <c r="A3237" i="1"/>
  <c r="B3237" i="1"/>
  <c r="C3237" i="1"/>
  <c r="E3237" i="1"/>
  <c r="G3237" i="1"/>
  <c r="K3237" i="1"/>
  <c r="A3238" i="1"/>
  <c r="B3238" i="1"/>
  <c r="C3238" i="1"/>
  <c r="E3238" i="1"/>
  <c r="G3238" i="1"/>
  <c r="K3238" i="1"/>
  <c r="A3239" i="1"/>
  <c r="B3239" i="1"/>
  <c r="C3239" i="1"/>
  <c r="E3239" i="1"/>
  <c r="G3239" i="1"/>
  <c r="K3239" i="1"/>
  <c r="A3240" i="1"/>
  <c r="B3240" i="1"/>
  <c r="C3240" i="1"/>
  <c r="E3240" i="1"/>
  <c r="G3240" i="1"/>
  <c r="K3240" i="1"/>
  <c r="A3241" i="1"/>
  <c r="B3241" i="1"/>
  <c r="C3241" i="1"/>
  <c r="E3241" i="1"/>
  <c r="G3241" i="1"/>
  <c r="K3241" i="1"/>
  <c r="A3242" i="1"/>
  <c r="B3242" i="1"/>
  <c r="C3242" i="1"/>
  <c r="E3242" i="1"/>
  <c r="G3242" i="1"/>
  <c r="K3242" i="1"/>
  <c r="A3243" i="1"/>
  <c r="B3243" i="1"/>
  <c r="C3243" i="1"/>
  <c r="E3243" i="1"/>
  <c r="G3243" i="1"/>
  <c r="K3243" i="1"/>
  <c r="A3244" i="1"/>
  <c r="B3244" i="1"/>
  <c r="C3244" i="1"/>
  <c r="E3244" i="1"/>
  <c r="G3244" i="1"/>
  <c r="K3244" i="1"/>
  <c r="A3245" i="1"/>
  <c r="B3245" i="1"/>
  <c r="C3245" i="1"/>
  <c r="E3245" i="1"/>
  <c r="G3245" i="1"/>
  <c r="K3245" i="1"/>
  <c r="A3246" i="1"/>
  <c r="B3246" i="1"/>
  <c r="C3246" i="1"/>
  <c r="E3246" i="1"/>
  <c r="G3246" i="1"/>
  <c r="K3246" i="1"/>
  <c r="A3247" i="1"/>
  <c r="B3247" i="1"/>
  <c r="C3247" i="1"/>
  <c r="E3247" i="1"/>
  <c r="G3247" i="1"/>
  <c r="K3247" i="1"/>
  <c r="A3248" i="1"/>
  <c r="B3248" i="1"/>
  <c r="C3248" i="1"/>
  <c r="E3248" i="1"/>
  <c r="G3248" i="1"/>
  <c r="K3248" i="1"/>
  <c r="A3249" i="1"/>
  <c r="B3249" i="1"/>
  <c r="C3249" i="1"/>
  <c r="E3249" i="1"/>
  <c r="G3249" i="1"/>
  <c r="K3249" i="1"/>
  <c r="A3250" i="1"/>
  <c r="B3250" i="1"/>
  <c r="C3250" i="1"/>
  <c r="E3250" i="1"/>
  <c r="G3250" i="1"/>
  <c r="K3250" i="1"/>
  <c r="A3251" i="1"/>
  <c r="B3251" i="1"/>
  <c r="C3251" i="1"/>
  <c r="E3251" i="1"/>
  <c r="G3251" i="1"/>
  <c r="K3251" i="1"/>
  <c r="A3252" i="1"/>
  <c r="B3252" i="1"/>
  <c r="C3252" i="1"/>
  <c r="E3252" i="1"/>
  <c r="G3252" i="1"/>
  <c r="K3252" i="1"/>
  <c r="A3253" i="1"/>
  <c r="B3253" i="1"/>
  <c r="C3253" i="1"/>
  <c r="E3253" i="1"/>
  <c r="G3253" i="1"/>
  <c r="K3253" i="1"/>
  <c r="A3254" i="1"/>
  <c r="B3254" i="1"/>
  <c r="C3254" i="1"/>
  <c r="E3254" i="1"/>
  <c r="G3254" i="1"/>
  <c r="K3254" i="1"/>
  <c r="A3255" i="1"/>
  <c r="B3255" i="1"/>
  <c r="C3255" i="1"/>
  <c r="E3255" i="1"/>
  <c r="G3255" i="1"/>
  <c r="K3255" i="1"/>
  <c r="A3256" i="1"/>
  <c r="B3256" i="1"/>
  <c r="C3256" i="1"/>
  <c r="E3256" i="1"/>
  <c r="G3256" i="1"/>
  <c r="K3256" i="1"/>
  <c r="A3257" i="1"/>
  <c r="B3257" i="1"/>
  <c r="C3257" i="1"/>
  <c r="E3257" i="1"/>
  <c r="G3257" i="1"/>
  <c r="K3257" i="1"/>
  <c r="A3258" i="1"/>
  <c r="B3258" i="1"/>
  <c r="C3258" i="1"/>
  <c r="E3258" i="1"/>
  <c r="G3258" i="1"/>
  <c r="K3258" i="1"/>
  <c r="A3259" i="1"/>
  <c r="B3259" i="1"/>
  <c r="C3259" i="1"/>
  <c r="E3259" i="1"/>
  <c r="G3259" i="1"/>
  <c r="K3259" i="1"/>
  <c r="A3260" i="1"/>
  <c r="B3260" i="1"/>
  <c r="C3260" i="1"/>
  <c r="E3260" i="1"/>
  <c r="G3260" i="1"/>
  <c r="K3260" i="1"/>
  <c r="A3261" i="1"/>
  <c r="B3261" i="1"/>
  <c r="C3261" i="1"/>
  <c r="E3261" i="1"/>
  <c r="G3261" i="1"/>
  <c r="K3261" i="1"/>
  <c r="A3262" i="1"/>
  <c r="B3262" i="1"/>
  <c r="C3262" i="1"/>
  <c r="E3262" i="1"/>
  <c r="G3262" i="1"/>
  <c r="K3262" i="1"/>
  <c r="A3263" i="1"/>
  <c r="B3263" i="1"/>
  <c r="C3263" i="1"/>
  <c r="E3263" i="1"/>
  <c r="G3263" i="1"/>
  <c r="K3263" i="1"/>
  <c r="A3264" i="1"/>
  <c r="B3264" i="1"/>
  <c r="C3264" i="1"/>
  <c r="E3264" i="1"/>
  <c r="G3264" i="1"/>
  <c r="K3264" i="1"/>
  <c r="A3265" i="1"/>
  <c r="B3265" i="1"/>
  <c r="C3265" i="1"/>
  <c r="E3265" i="1"/>
  <c r="G3265" i="1"/>
  <c r="K3265" i="1"/>
  <c r="A3266" i="1"/>
  <c r="B3266" i="1"/>
  <c r="C3266" i="1"/>
  <c r="E3266" i="1"/>
  <c r="G3266" i="1"/>
  <c r="K3266" i="1"/>
  <c r="A3267" i="1"/>
  <c r="B3267" i="1"/>
  <c r="C3267" i="1"/>
  <c r="E3267" i="1"/>
  <c r="G3267" i="1"/>
  <c r="K3267" i="1"/>
  <c r="A3268" i="1"/>
  <c r="B3268" i="1"/>
  <c r="C3268" i="1"/>
  <c r="E3268" i="1"/>
  <c r="G3268" i="1"/>
  <c r="K3268" i="1"/>
  <c r="A3269" i="1"/>
  <c r="B3269" i="1"/>
  <c r="C3269" i="1"/>
  <c r="E3269" i="1"/>
  <c r="G3269" i="1"/>
  <c r="K3269" i="1"/>
  <c r="A3270" i="1"/>
  <c r="B3270" i="1"/>
  <c r="C3270" i="1"/>
  <c r="E3270" i="1"/>
  <c r="G3270" i="1"/>
  <c r="K3270" i="1"/>
  <c r="A3271" i="1"/>
  <c r="B3271" i="1"/>
  <c r="C3271" i="1"/>
  <c r="E3271" i="1"/>
  <c r="G3271" i="1"/>
  <c r="K3271" i="1"/>
  <c r="A3272" i="1"/>
  <c r="B3272" i="1"/>
  <c r="C3272" i="1"/>
  <c r="E3272" i="1"/>
  <c r="G3272" i="1"/>
  <c r="K3272" i="1"/>
  <c r="A3273" i="1"/>
  <c r="B3273" i="1"/>
  <c r="C3273" i="1"/>
  <c r="E3273" i="1"/>
  <c r="G3273" i="1"/>
  <c r="K3273" i="1"/>
  <c r="A3274" i="1"/>
  <c r="B3274" i="1"/>
  <c r="C3274" i="1"/>
  <c r="E3274" i="1"/>
  <c r="G3274" i="1"/>
  <c r="K3274" i="1"/>
  <c r="A3275" i="1"/>
  <c r="B3275" i="1"/>
  <c r="C3275" i="1"/>
  <c r="E3275" i="1"/>
  <c r="G3275" i="1"/>
  <c r="K3275" i="1"/>
  <c r="A3276" i="1"/>
  <c r="B3276" i="1"/>
  <c r="C3276" i="1"/>
  <c r="E3276" i="1"/>
  <c r="G3276" i="1"/>
  <c r="K3276" i="1"/>
  <c r="A3277" i="1"/>
  <c r="B3277" i="1"/>
  <c r="C3277" i="1"/>
  <c r="E3277" i="1"/>
  <c r="G3277" i="1"/>
  <c r="K3277" i="1"/>
  <c r="A3278" i="1"/>
  <c r="B3278" i="1"/>
  <c r="C3278" i="1"/>
  <c r="E3278" i="1"/>
  <c r="G3278" i="1"/>
  <c r="K3278" i="1"/>
  <c r="A3279" i="1"/>
  <c r="B3279" i="1"/>
  <c r="C3279" i="1"/>
  <c r="E3279" i="1"/>
  <c r="G3279" i="1"/>
  <c r="K3279" i="1"/>
  <c r="A3280" i="1"/>
  <c r="B3280" i="1"/>
  <c r="C3280" i="1"/>
  <c r="E3280" i="1"/>
  <c r="G3280" i="1"/>
  <c r="K3280" i="1"/>
  <c r="A3281" i="1"/>
  <c r="B3281" i="1"/>
  <c r="C3281" i="1"/>
  <c r="E3281" i="1"/>
  <c r="G3281" i="1"/>
  <c r="K3281" i="1"/>
  <c r="A3282" i="1"/>
  <c r="B3282" i="1"/>
  <c r="C3282" i="1"/>
  <c r="E3282" i="1"/>
  <c r="G3282" i="1"/>
  <c r="K3282" i="1"/>
  <c r="A3283" i="1"/>
  <c r="B3283" i="1"/>
  <c r="C3283" i="1"/>
  <c r="E3283" i="1"/>
  <c r="G3283" i="1"/>
  <c r="K3283" i="1"/>
  <c r="A3284" i="1"/>
  <c r="B3284" i="1"/>
  <c r="C3284" i="1"/>
  <c r="E3284" i="1"/>
  <c r="G3284" i="1"/>
  <c r="K3284" i="1"/>
  <c r="A3285" i="1"/>
  <c r="B3285" i="1"/>
  <c r="C3285" i="1"/>
  <c r="E3285" i="1"/>
  <c r="G3285" i="1"/>
  <c r="K3285" i="1"/>
  <c r="A3286" i="1"/>
  <c r="B3286" i="1"/>
  <c r="C3286" i="1"/>
  <c r="E3286" i="1"/>
  <c r="G3286" i="1"/>
  <c r="K3286" i="1"/>
  <c r="A3287" i="1"/>
  <c r="B3287" i="1"/>
  <c r="C3287" i="1"/>
  <c r="E3287" i="1"/>
  <c r="G3287" i="1"/>
  <c r="K3287" i="1"/>
  <c r="A3288" i="1"/>
  <c r="B3288" i="1"/>
  <c r="C3288" i="1"/>
  <c r="E3288" i="1"/>
  <c r="G3288" i="1"/>
  <c r="K3288" i="1"/>
  <c r="A3289" i="1"/>
  <c r="B3289" i="1"/>
  <c r="C3289" i="1"/>
  <c r="E3289" i="1"/>
  <c r="G3289" i="1"/>
  <c r="K3289" i="1"/>
  <c r="A3290" i="1"/>
  <c r="B3290" i="1"/>
  <c r="C3290" i="1"/>
  <c r="E3290" i="1"/>
  <c r="G3290" i="1"/>
  <c r="K3290" i="1"/>
  <c r="A3291" i="1"/>
  <c r="B3291" i="1"/>
  <c r="C3291" i="1"/>
  <c r="E3291" i="1"/>
  <c r="G3291" i="1"/>
  <c r="K3291" i="1"/>
  <c r="A3292" i="1"/>
  <c r="B3292" i="1"/>
  <c r="C3292" i="1"/>
  <c r="E3292" i="1"/>
  <c r="G3292" i="1"/>
  <c r="K3292" i="1"/>
  <c r="A3293" i="1"/>
  <c r="B3293" i="1"/>
  <c r="C3293" i="1"/>
  <c r="E3293" i="1"/>
  <c r="G3293" i="1"/>
  <c r="K3293" i="1"/>
  <c r="A3294" i="1"/>
  <c r="B3294" i="1"/>
  <c r="C3294" i="1"/>
  <c r="E3294" i="1"/>
  <c r="G3294" i="1"/>
  <c r="K3294" i="1"/>
  <c r="A3295" i="1"/>
  <c r="B3295" i="1"/>
  <c r="C3295" i="1"/>
  <c r="E3295" i="1"/>
  <c r="G3295" i="1"/>
  <c r="K3295" i="1"/>
  <c r="A3296" i="1"/>
  <c r="B3296" i="1"/>
  <c r="C3296" i="1"/>
  <c r="E3296" i="1"/>
  <c r="G3296" i="1"/>
  <c r="K3296" i="1"/>
  <c r="A3297" i="1"/>
  <c r="B3297" i="1"/>
  <c r="C3297" i="1"/>
  <c r="E3297" i="1"/>
  <c r="G3297" i="1"/>
  <c r="K3297" i="1"/>
  <c r="A3298" i="1"/>
  <c r="B3298" i="1"/>
  <c r="C3298" i="1"/>
  <c r="E3298" i="1"/>
  <c r="G3298" i="1"/>
  <c r="K3298" i="1"/>
  <c r="A3299" i="1"/>
  <c r="B3299" i="1"/>
  <c r="C3299" i="1"/>
  <c r="E3299" i="1"/>
  <c r="G3299" i="1"/>
  <c r="K3299" i="1"/>
  <c r="A3300" i="1"/>
  <c r="B3300" i="1"/>
  <c r="C3300" i="1"/>
  <c r="E3300" i="1"/>
  <c r="G3300" i="1"/>
  <c r="K3300" i="1"/>
  <c r="A3301" i="1"/>
  <c r="B3301" i="1"/>
  <c r="C3301" i="1"/>
  <c r="E3301" i="1"/>
  <c r="G3301" i="1"/>
  <c r="K3301" i="1"/>
  <c r="A3302" i="1"/>
  <c r="B3302" i="1"/>
  <c r="C3302" i="1"/>
  <c r="E3302" i="1"/>
  <c r="G3302" i="1"/>
  <c r="K3302" i="1"/>
  <c r="A3303" i="1"/>
  <c r="B3303" i="1"/>
  <c r="C3303" i="1"/>
  <c r="E3303" i="1"/>
  <c r="G3303" i="1"/>
  <c r="K3303" i="1"/>
  <c r="A3304" i="1"/>
  <c r="B3304" i="1"/>
  <c r="C3304" i="1"/>
  <c r="E3304" i="1"/>
  <c r="G3304" i="1"/>
  <c r="K3304" i="1"/>
  <c r="A3305" i="1"/>
  <c r="B3305" i="1"/>
  <c r="C3305" i="1"/>
  <c r="E3305" i="1"/>
  <c r="G3305" i="1"/>
  <c r="K3305" i="1"/>
  <c r="A3306" i="1"/>
  <c r="B3306" i="1"/>
  <c r="C3306" i="1"/>
  <c r="E3306" i="1"/>
  <c r="G3306" i="1"/>
  <c r="K3306" i="1"/>
  <c r="A3307" i="1"/>
  <c r="B3307" i="1"/>
  <c r="C3307" i="1"/>
  <c r="E3307" i="1"/>
  <c r="G3307" i="1"/>
  <c r="K3307" i="1"/>
  <c r="A3308" i="1"/>
  <c r="B3308" i="1"/>
  <c r="C3308" i="1"/>
  <c r="E3308" i="1"/>
  <c r="G3308" i="1"/>
  <c r="K3308" i="1"/>
  <c r="A3309" i="1"/>
  <c r="B3309" i="1"/>
  <c r="C3309" i="1"/>
  <c r="E3309" i="1"/>
  <c r="G3309" i="1"/>
  <c r="K3309" i="1"/>
  <c r="A3310" i="1"/>
  <c r="B3310" i="1"/>
  <c r="C3310" i="1"/>
  <c r="E3310" i="1"/>
  <c r="G3310" i="1"/>
  <c r="K3310" i="1"/>
  <c r="A3311" i="1"/>
  <c r="B3311" i="1"/>
  <c r="C3311" i="1"/>
  <c r="E3311" i="1"/>
  <c r="G3311" i="1"/>
  <c r="K3311" i="1"/>
  <c r="A3312" i="1"/>
  <c r="B3312" i="1"/>
  <c r="C3312" i="1"/>
  <c r="E3312" i="1"/>
  <c r="G3312" i="1"/>
  <c r="K3312" i="1"/>
  <c r="A3313" i="1"/>
  <c r="B3313" i="1"/>
  <c r="C3313" i="1"/>
  <c r="E3313" i="1"/>
  <c r="G3313" i="1"/>
  <c r="K3313" i="1"/>
  <c r="A3314" i="1"/>
  <c r="B3314" i="1"/>
  <c r="C3314" i="1"/>
  <c r="E3314" i="1"/>
  <c r="G3314" i="1"/>
  <c r="K3314" i="1"/>
  <c r="A3315" i="1"/>
  <c r="B3315" i="1"/>
  <c r="C3315" i="1"/>
  <c r="E3315" i="1"/>
  <c r="G3315" i="1"/>
  <c r="K3315" i="1"/>
  <c r="A3316" i="1"/>
  <c r="B3316" i="1"/>
  <c r="C3316" i="1"/>
  <c r="E3316" i="1"/>
  <c r="G3316" i="1"/>
  <c r="K3316" i="1"/>
  <c r="A3317" i="1"/>
  <c r="B3317" i="1"/>
  <c r="C3317" i="1"/>
  <c r="E3317" i="1"/>
  <c r="G3317" i="1"/>
  <c r="K3317" i="1"/>
  <c r="A3318" i="1"/>
  <c r="B3318" i="1"/>
  <c r="C3318" i="1"/>
  <c r="E3318" i="1"/>
  <c r="G3318" i="1"/>
  <c r="K3318" i="1"/>
  <c r="A3319" i="1"/>
  <c r="B3319" i="1"/>
  <c r="C3319" i="1"/>
  <c r="E3319" i="1"/>
  <c r="G3319" i="1"/>
  <c r="K3319" i="1"/>
  <c r="A3320" i="1"/>
  <c r="B3320" i="1"/>
  <c r="C3320" i="1"/>
  <c r="E3320" i="1"/>
  <c r="G3320" i="1"/>
  <c r="K3320" i="1"/>
  <c r="A3321" i="1"/>
  <c r="B3321" i="1"/>
  <c r="C3321" i="1"/>
  <c r="E3321" i="1"/>
  <c r="G3321" i="1"/>
  <c r="K3321" i="1"/>
  <c r="A3322" i="1"/>
  <c r="B3322" i="1"/>
  <c r="C3322" i="1"/>
  <c r="E3322" i="1"/>
  <c r="G3322" i="1"/>
  <c r="K3322" i="1"/>
  <c r="A3323" i="1"/>
  <c r="B3323" i="1"/>
  <c r="C3323" i="1"/>
  <c r="E3323" i="1"/>
  <c r="G3323" i="1"/>
  <c r="K3323" i="1"/>
  <c r="A3324" i="1"/>
  <c r="B3324" i="1"/>
  <c r="C3324" i="1"/>
  <c r="E3324" i="1"/>
  <c r="G3324" i="1"/>
  <c r="K3324" i="1"/>
  <c r="A3325" i="1"/>
  <c r="B3325" i="1"/>
  <c r="C3325" i="1"/>
  <c r="E3325" i="1"/>
  <c r="G3325" i="1"/>
  <c r="K3325" i="1"/>
  <c r="A3326" i="1"/>
  <c r="B3326" i="1"/>
  <c r="C3326" i="1"/>
  <c r="E3326" i="1"/>
  <c r="G3326" i="1"/>
  <c r="K3326" i="1"/>
  <c r="A3327" i="1"/>
  <c r="B3327" i="1"/>
  <c r="C3327" i="1"/>
  <c r="E3327" i="1"/>
  <c r="G3327" i="1"/>
  <c r="K3327" i="1"/>
  <c r="A3328" i="1"/>
  <c r="B3328" i="1"/>
  <c r="C3328" i="1"/>
  <c r="E3328" i="1"/>
  <c r="G3328" i="1"/>
  <c r="K3328" i="1"/>
  <c r="A3329" i="1"/>
  <c r="B3329" i="1"/>
  <c r="C3329" i="1"/>
  <c r="E3329" i="1"/>
  <c r="G3329" i="1"/>
  <c r="K3329" i="1"/>
  <c r="A3330" i="1"/>
  <c r="B3330" i="1"/>
  <c r="C3330" i="1"/>
  <c r="E3330" i="1"/>
  <c r="G3330" i="1"/>
  <c r="K3330" i="1"/>
  <c r="A3331" i="1"/>
  <c r="B3331" i="1"/>
  <c r="C3331" i="1"/>
  <c r="E3331" i="1"/>
  <c r="G3331" i="1"/>
  <c r="K3331" i="1"/>
  <c r="A3332" i="1"/>
  <c r="B3332" i="1"/>
  <c r="C3332" i="1"/>
  <c r="E3332" i="1"/>
  <c r="G3332" i="1"/>
  <c r="K3332" i="1"/>
  <c r="A3333" i="1"/>
  <c r="B3333" i="1"/>
  <c r="C3333" i="1"/>
  <c r="E3333" i="1"/>
  <c r="G3333" i="1"/>
  <c r="K3333" i="1"/>
  <c r="A3334" i="1"/>
  <c r="B3334" i="1"/>
  <c r="C3334" i="1"/>
  <c r="E3334" i="1"/>
  <c r="G3334" i="1"/>
  <c r="K3334" i="1"/>
  <c r="A3335" i="1"/>
  <c r="B3335" i="1"/>
  <c r="C3335" i="1"/>
  <c r="E3335" i="1"/>
  <c r="G3335" i="1"/>
  <c r="K3335" i="1"/>
  <c r="A3336" i="1"/>
  <c r="B3336" i="1"/>
  <c r="C3336" i="1"/>
  <c r="E3336" i="1"/>
  <c r="G3336" i="1"/>
  <c r="K3336" i="1"/>
  <c r="A3337" i="1"/>
  <c r="B3337" i="1"/>
  <c r="C3337" i="1"/>
  <c r="E3337" i="1"/>
  <c r="G3337" i="1"/>
  <c r="K3337" i="1"/>
  <c r="A3338" i="1"/>
  <c r="B3338" i="1"/>
  <c r="C3338" i="1"/>
  <c r="E3338" i="1"/>
  <c r="G3338" i="1"/>
  <c r="K3338" i="1"/>
  <c r="A3339" i="1"/>
  <c r="B3339" i="1"/>
  <c r="C3339" i="1"/>
  <c r="E3339" i="1"/>
  <c r="G3339" i="1"/>
  <c r="K3339" i="1"/>
  <c r="A3340" i="1"/>
  <c r="B3340" i="1"/>
  <c r="C3340" i="1"/>
  <c r="E3340" i="1"/>
  <c r="G3340" i="1"/>
  <c r="K3340" i="1"/>
  <c r="A3341" i="1"/>
  <c r="B3341" i="1"/>
  <c r="C3341" i="1"/>
  <c r="E3341" i="1"/>
  <c r="G3341" i="1"/>
  <c r="K3341" i="1"/>
  <c r="A3342" i="1"/>
  <c r="B3342" i="1"/>
  <c r="C3342" i="1"/>
  <c r="E3342" i="1"/>
  <c r="G3342" i="1"/>
  <c r="K3342" i="1"/>
  <c r="A3343" i="1"/>
  <c r="B3343" i="1"/>
  <c r="C3343" i="1"/>
  <c r="E3343" i="1"/>
  <c r="G3343" i="1"/>
  <c r="K3343" i="1"/>
  <c r="A3344" i="1"/>
  <c r="B3344" i="1"/>
  <c r="C3344" i="1"/>
  <c r="E3344" i="1"/>
  <c r="G3344" i="1"/>
  <c r="K3344" i="1"/>
  <c r="A3345" i="1"/>
  <c r="B3345" i="1"/>
  <c r="C3345" i="1"/>
  <c r="E3345" i="1"/>
  <c r="G3345" i="1"/>
  <c r="K3345" i="1"/>
  <c r="A3346" i="1"/>
  <c r="B3346" i="1"/>
  <c r="C3346" i="1"/>
  <c r="E3346" i="1"/>
  <c r="G3346" i="1"/>
  <c r="K3346" i="1"/>
  <c r="A3347" i="1"/>
  <c r="B3347" i="1"/>
  <c r="C3347" i="1"/>
  <c r="E3347" i="1"/>
  <c r="G3347" i="1"/>
  <c r="K3347" i="1"/>
  <c r="A3348" i="1"/>
  <c r="B3348" i="1"/>
  <c r="C3348" i="1"/>
  <c r="E3348" i="1"/>
  <c r="G3348" i="1"/>
  <c r="K3348" i="1"/>
  <c r="A3349" i="1"/>
  <c r="B3349" i="1"/>
  <c r="C3349" i="1"/>
  <c r="E3349" i="1"/>
  <c r="G3349" i="1"/>
  <c r="K3349" i="1"/>
  <c r="A3350" i="1"/>
  <c r="B3350" i="1"/>
  <c r="C3350" i="1"/>
  <c r="E3350" i="1"/>
  <c r="G3350" i="1"/>
  <c r="K3350" i="1"/>
  <c r="A3351" i="1"/>
  <c r="B3351" i="1"/>
  <c r="C3351" i="1"/>
  <c r="E3351" i="1"/>
  <c r="G3351" i="1"/>
  <c r="K3351" i="1"/>
  <c r="A3352" i="1"/>
  <c r="B3352" i="1"/>
  <c r="C3352" i="1"/>
  <c r="E3352" i="1"/>
  <c r="G3352" i="1"/>
  <c r="K3352" i="1"/>
  <c r="A3353" i="1"/>
  <c r="B3353" i="1"/>
  <c r="C3353" i="1"/>
  <c r="E3353" i="1"/>
  <c r="G3353" i="1"/>
  <c r="K3353" i="1"/>
  <c r="A3354" i="1"/>
  <c r="B3354" i="1"/>
  <c r="C3354" i="1"/>
  <c r="E3354" i="1"/>
  <c r="G3354" i="1"/>
  <c r="K3354" i="1"/>
  <c r="A3355" i="1"/>
  <c r="B3355" i="1"/>
  <c r="C3355" i="1"/>
  <c r="E3355" i="1"/>
  <c r="G3355" i="1"/>
  <c r="K3355" i="1"/>
  <c r="A3356" i="1"/>
  <c r="B3356" i="1"/>
  <c r="C3356" i="1"/>
  <c r="E3356" i="1"/>
  <c r="G3356" i="1"/>
  <c r="K3356" i="1"/>
  <c r="A3357" i="1"/>
  <c r="B3357" i="1"/>
  <c r="C3357" i="1"/>
  <c r="E3357" i="1"/>
  <c r="G3357" i="1"/>
  <c r="K3357" i="1"/>
  <c r="A3358" i="1"/>
  <c r="B3358" i="1"/>
  <c r="C3358" i="1"/>
  <c r="E3358" i="1"/>
  <c r="G3358" i="1"/>
  <c r="K3358" i="1"/>
  <c r="A3359" i="1"/>
  <c r="B3359" i="1"/>
  <c r="C3359" i="1"/>
  <c r="E3359" i="1"/>
  <c r="G3359" i="1"/>
  <c r="K3359" i="1"/>
  <c r="A3360" i="1"/>
  <c r="B3360" i="1"/>
  <c r="C3360" i="1"/>
  <c r="E3360" i="1"/>
  <c r="G3360" i="1"/>
  <c r="K3360" i="1"/>
  <c r="A3361" i="1"/>
  <c r="B3361" i="1"/>
  <c r="C3361" i="1"/>
  <c r="E3361" i="1"/>
  <c r="G3361" i="1"/>
  <c r="K3361" i="1"/>
  <c r="A3362" i="1"/>
  <c r="B3362" i="1"/>
  <c r="C3362" i="1"/>
  <c r="E3362" i="1"/>
  <c r="G3362" i="1"/>
  <c r="K3362" i="1"/>
  <c r="A3363" i="1"/>
  <c r="B3363" i="1"/>
  <c r="C3363" i="1"/>
  <c r="E3363" i="1"/>
  <c r="G3363" i="1"/>
  <c r="K3363" i="1"/>
  <c r="A3364" i="1"/>
  <c r="B3364" i="1"/>
  <c r="C3364" i="1"/>
  <c r="E3364" i="1"/>
  <c r="G3364" i="1"/>
  <c r="K3364" i="1"/>
  <c r="A3365" i="1"/>
  <c r="B3365" i="1"/>
  <c r="C3365" i="1"/>
  <c r="E3365" i="1"/>
  <c r="G3365" i="1"/>
  <c r="K3365" i="1"/>
  <c r="A3366" i="1"/>
  <c r="B3366" i="1"/>
  <c r="C3366" i="1"/>
  <c r="E3366" i="1"/>
  <c r="G3366" i="1"/>
  <c r="K3366" i="1"/>
  <c r="A3367" i="1"/>
  <c r="B3367" i="1"/>
  <c r="C3367" i="1"/>
  <c r="E3367" i="1"/>
  <c r="G3367" i="1"/>
  <c r="K3367" i="1"/>
  <c r="A3368" i="1"/>
  <c r="B3368" i="1"/>
  <c r="C3368" i="1"/>
  <c r="E3368" i="1"/>
  <c r="G3368" i="1"/>
  <c r="K3368" i="1"/>
  <c r="A3369" i="1"/>
  <c r="B3369" i="1"/>
  <c r="C3369" i="1"/>
  <c r="E3369" i="1"/>
  <c r="G3369" i="1"/>
  <c r="K3369" i="1"/>
  <c r="A3370" i="1"/>
  <c r="B3370" i="1"/>
  <c r="C3370" i="1"/>
  <c r="E3370" i="1"/>
  <c r="G3370" i="1"/>
  <c r="K3370" i="1"/>
  <c r="A3371" i="1"/>
  <c r="B3371" i="1"/>
  <c r="C3371" i="1"/>
  <c r="E3371" i="1"/>
  <c r="G3371" i="1"/>
  <c r="K3371" i="1"/>
  <c r="A3372" i="1"/>
  <c r="B3372" i="1"/>
  <c r="C3372" i="1"/>
  <c r="E3372" i="1"/>
  <c r="G3372" i="1"/>
  <c r="K3372" i="1"/>
  <c r="A3373" i="1"/>
  <c r="B3373" i="1"/>
  <c r="C3373" i="1"/>
  <c r="E3373" i="1"/>
  <c r="G3373" i="1"/>
  <c r="K3373" i="1"/>
  <c r="A3374" i="1"/>
  <c r="B3374" i="1"/>
  <c r="C3374" i="1"/>
  <c r="E3374" i="1"/>
  <c r="G3374" i="1"/>
  <c r="K3374" i="1"/>
  <c r="A3375" i="1"/>
  <c r="B3375" i="1"/>
  <c r="C3375" i="1"/>
  <c r="E3375" i="1"/>
  <c r="G3375" i="1"/>
  <c r="K3375" i="1"/>
  <c r="A3376" i="1"/>
  <c r="B3376" i="1"/>
  <c r="C3376" i="1"/>
  <c r="E3376" i="1"/>
  <c r="G3376" i="1"/>
  <c r="K3376" i="1"/>
  <c r="A3377" i="1"/>
  <c r="B3377" i="1"/>
  <c r="C3377" i="1"/>
  <c r="E3377" i="1"/>
  <c r="G3377" i="1"/>
  <c r="K3377" i="1"/>
  <c r="A3378" i="1"/>
  <c r="B3378" i="1"/>
  <c r="C3378" i="1"/>
  <c r="E3378" i="1"/>
  <c r="G3378" i="1"/>
  <c r="K3378" i="1"/>
  <c r="A3379" i="1"/>
  <c r="B3379" i="1"/>
  <c r="C3379" i="1"/>
  <c r="E3379" i="1"/>
  <c r="G3379" i="1"/>
  <c r="K3379" i="1"/>
  <c r="A3380" i="1"/>
  <c r="B3380" i="1"/>
  <c r="C3380" i="1"/>
  <c r="E3380" i="1"/>
  <c r="G3380" i="1"/>
  <c r="K3380" i="1"/>
  <c r="A3381" i="1"/>
  <c r="B3381" i="1"/>
  <c r="C3381" i="1"/>
  <c r="E3381" i="1"/>
  <c r="G3381" i="1"/>
  <c r="K3381" i="1"/>
  <c r="A3382" i="1"/>
  <c r="B3382" i="1"/>
  <c r="C3382" i="1"/>
  <c r="E3382" i="1"/>
  <c r="G3382" i="1"/>
  <c r="K3382" i="1"/>
  <c r="A3383" i="1"/>
  <c r="B3383" i="1"/>
  <c r="C3383" i="1"/>
  <c r="E3383" i="1"/>
  <c r="G3383" i="1"/>
  <c r="K3383" i="1"/>
  <c r="A3384" i="1"/>
  <c r="B3384" i="1"/>
  <c r="C3384" i="1"/>
  <c r="E3384" i="1"/>
  <c r="G3384" i="1"/>
  <c r="K3384" i="1"/>
  <c r="A3385" i="1"/>
  <c r="B3385" i="1"/>
  <c r="C3385" i="1"/>
  <c r="E3385" i="1"/>
  <c r="G3385" i="1"/>
  <c r="K3385" i="1"/>
  <c r="A3386" i="1"/>
  <c r="B3386" i="1"/>
  <c r="C3386" i="1"/>
  <c r="E3386" i="1"/>
  <c r="G3386" i="1"/>
  <c r="K3386" i="1"/>
  <c r="A3387" i="1"/>
  <c r="B3387" i="1"/>
  <c r="C3387" i="1"/>
  <c r="E3387" i="1"/>
  <c r="G3387" i="1"/>
  <c r="K3387" i="1"/>
  <c r="A3388" i="1"/>
  <c r="B3388" i="1"/>
  <c r="C3388" i="1"/>
  <c r="E3388" i="1"/>
  <c r="G3388" i="1"/>
  <c r="K3388" i="1"/>
  <c r="A3389" i="1"/>
  <c r="B3389" i="1"/>
  <c r="C3389" i="1"/>
  <c r="E3389" i="1"/>
  <c r="G3389" i="1"/>
  <c r="K3389" i="1"/>
  <c r="A3390" i="1"/>
  <c r="B3390" i="1"/>
  <c r="C3390" i="1"/>
  <c r="E3390" i="1"/>
  <c r="G3390" i="1"/>
  <c r="K3390" i="1"/>
  <c r="A3391" i="1"/>
  <c r="B3391" i="1"/>
  <c r="C3391" i="1"/>
  <c r="E3391" i="1"/>
  <c r="G3391" i="1"/>
  <c r="K3391" i="1"/>
  <c r="A3392" i="1"/>
  <c r="B3392" i="1"/>
  <c r="C3392" i="1"/>
  <c r="E3392" i="1"/>
  <c r="G3392" i="1"/>
  <c r="K3392" i="1"/>
  <c r="A3393" i="1"/>
  <c r="B3393" i="1"/>
  <c r="C3393" i="1"/>
  <c r="E3393" i="1"/>
  <c r="G3393" i="1"/>
  <c r="K3393" i="1"/>
  <c r="A3394" i="1"/>
  <c r="B3394" i="1"/>
  <c r="C3394" i="1"/>
  <c r="E3394" i="1"/>
  <c r="G3394" i="1"/>
  <c r="K3394" i="1"/>
  <c r="A3395" i="1"/>
  <c r="B3395" i="1"/>
  <c r="C3395" i="1"/>
  <c r="E3395" i="1"/>
  <c r="G3395" i="1"/>
  <c r="K3395" i="1"/>
  <c r="A3396" i="1"/>
  <c r="B3396" i="1"/>
  <c r="C3396" i="1"/>
  <c r="E3396" i="1"/>
  <c r="G3396" i="1"/>
  <c r="K3396" i="1"/>
  <c r="A3397" i="1"/>
  <c r="B3397" i="1"/>
  <c r="C3397" i="1"/>
  <c r="E3397" i="1"/>
  <c r="G3397" i="1"/>
  <c r="K3397" i="1"/>
  <c r="A3398" i="1"/>
  <c r="B3398" i="1"/>
  <c r="C3398" i="1"/>
  <c r="E3398" i="1"/>
  <c r="G3398" i="1"/>
  <c r="K3398" i="1"/>
  <c r="A3399" i="1"/>
  <c r="B3399" i="1"/>
  <c r="C3399" i="1"/>
  <c r="E3399" i="1"/>
  <c r="G3399" i="1"/>
  <c r="K3399" i="1"/>
  <c r="A3400" i="1"/>
  <c r="B3400" i="1"/>
  <c r="C3400" i="1"/>
  <c r="E3400" i="1"/>
  <c r="G3400" i="1"/>
  <c r="K3400" i="1"/>
  <c r="A3401" i="1"/>
  <c r="B3401" i="1"/>
  <c r="C3401" i="1"/>
  <c r="E3401" i="1"/>
  <c r="G3401" i="1"/>
  <c r="K3401" i="1"/>
  <c r="A3402" i="1"/>
  <c r="B3402" i="1"/>
  <c r="C3402" i="1"/>
  <c r="E3402" i="1"/>
  <c r="G3402" i="1"/>
  <c r="K3402" i="1"/>
  <c r="A3403" i="1"/>
  <c r="B3403" i="1"/>
  <c r="C3403" i="1"/>
  <c r="E3403" i="1"/>
  <c r="G3403" i="1"/>
  <c r="K3403" i="1"/>
  <c r="A3404" i="1"/>
  <c r="B3404" i="1"/>
  <c r="C3404" i="1"/>
  <c r="E3404" i="1"/>
  <c r="G3404" i="1"/>
  <c r="K3404" i="1"/>
  <c r="A3405" i="1"/>
  <c r="B3405" i="1"/>
  <c r="C3405" i="1"/>
  <c r="E3405" i="1"/>
  <c r="G3405" i="1"/>
  <c r="K3405" i="1"/>
  <c r="A3406" i="1"/>
  <c r="B3406" i="1"/>
  <c r="C3406" i="1"/>
  <c r="E3406" i="1"/>
  <c r="G3406" i="1"/>
  <c r="K3406" i="1"/>
  <c r="A3407" i="1"/>
  <c r="B3407" i="1"/>
  <c r="C3407" i="1"/>
  <c r="E3407" i="1"/>
  <c r="G3407" i="1"/>
  <c r="K3407" i="1"/>
  <c r="A3408" i="1"/>
  <c r="B3408" i="1"/>
  <c r="C3408" i="1"/>
  <c r="E3408" i="1"/>
  <c r="G3408" i="1"/>
  <c r="K3408" i="1"/>
  <c r="A3409" i="1"/>
  <c r="B3409" i="1"/>
  <c r="C3409" i="1"/>
  <c r="E3409" i="1"/>
  <c r="G3409" i="1"/>
  <c r="K3409" i="1"/>
  <c r="A3410" i="1"/>
  <c r="B3410" i="1"/>
  <c r="C3410" i="1"/>
  <c r="E3410" i="1"/>
  <c r="G3410" i="1"/>
  <c r="K3410" i="1"/>
  <c r="A3411" i="1"/>
  <c r="B3411" i="1"/>
  <c r="C3411" i="1"/>
  <c r="E3411" i="1"/>
  <c r="G3411" i="1"/>
  <c r="K3411" i="1"/>
  <c r="A3412" i="1"/>
  <c r="B3412" i="1"/>
  <c r="C3412" i="1"/>
  <c r="E3412" i="1"/>
  <c r="G3412" i="1"/>
  <c r="K3412" i="1"/>
  <c r="A3413" i="1"/>
  <c r="B3413" i="1"/>
  <c r="C3413" i="1"/>
  <c r="E3413" i="1"/>
  <c r="G3413" i="1"/>
  <c r="K3413" i="1"/>
  <c r="A3414" i="1"/>
  <c r="B3414" i="1"/>
  <c r="C3414" i="1"/>
  <c r="E3414" i="1"/>
  <c r="G3414" i="1"/>
  <c r="K3414" i="1"/>
  <c r="A3415" i="1"/>
  <c r="B3415" i="1"/>
  <c r="C3415" i="1"/>
  <c r="E3415" i="1"/>
  <c r="G3415" i="1"/>
  <c r="K3415" i="1"/>
  <c r="A3416" i="1"/>
  <c r="B3416" i="1"/>
  <c r="C3416" i="1"/>
  <c r="E3416" i="1"/>
  <c r="G3416" i="1"/>
  <c r="K3416" i="1"/>
  <c r="A3417" i="1"/>
  <c r="B3417" i="1"/>
  <c r="C3417" i="1"/>
  <c r="E3417" i="1"/>
  <c r="G3417" i="1"/>
  <c r="K3417" i="1"/>
  <c r="A3418" i="1"/>
  <c r="B3418" i="1"/>
  <c r="C3418" i="1"/>
  <c r="E3418" i="1"/>
  <c r="G3418" i="1"/>
  <c r="K3418" i="1"/>
  <c r="A3419" i="1"/>
  <c r="B3419" i="1"/>
  <c r="C3419" i="1"/>
  <c r="E3419" i="1"/>
  <c r="G3419" i="1"/>
  <c r="K3419" i="1"/>
  <c r="A3420" i="1"/>
  <c r="B3420" i="1"/>
  <c r="C3420" i="1"/>
  <c r="E3420" i="1"/>
  <c r="G3420" i="1"/>
  <c r="K3420" i="1"/>
  <c r="A3421" i="1"/>
  <c r="B3421" i="1"/>
  <c r="C3421" i="1"/>
  <c r="E3421" i="1"/>
  <c r="G3421" i="1"/>
  <c r="K3421" i="1"/>
  <c r="A3422" i="1"/>
  <c r="B3422" i="1"/>
  <c r="C3422" i="1"/>
  <c r="E3422" i="1"/>
  <c r="G3422" i="1"/>
  <c r="K3422" i="1"/>
  <c r="A3423" i="1"/>
  <c r="B3423" i="1"/>
  <c r="C3423" i="1"/>
  <c r="E3423" i="1"/>
  <c r="G3423" i="1"/>
  <c r="K3423" i="1"/>
  <c r="A3424" i="1"/>
  <c r="B3424" i="1"/>
  <c r="C3424" i="1"/>
  <c r="E3424" i="1"/>
  <c r="G3424" i="1"/>
  <c r="K3424" i="1"/>
  <c r="A3425" i="1"/>
  <c r="B3425" i="1"/>
  <c r="C3425" i="1"/>
  <c r="E3425" i="1"/>
  <c r="G3425" i="1"/>
  <c r="K3425" i="1"/>
  <c r="A3426" i="1"/>
  <c r="B3426" i="1"/>
  <c r="C3426" i="1"/>
  <c r="E3426" i="1"/>
  <c r="G3426" i="1"/>
  <c r="K3426" i="1"/>
  <c r="A3427" i="1"/>
  <c r="B3427" i="1"/>
  <c r="C3427" i="1"/>
  <c r="E3427" i="1"/>
  <c r="G3427" i="1"/>
  <c r="K3427" i="1"/>
  <c r="A3428" i="1"/>
  <c r="B3428" i="1"/>
  <c r="C3428" i="1"/>
  <c r="E3428" i="1"/>
  <c r="G3428" i="1"/>
  <c r="K3428" i="1"/>
  <c r="A3429" i="1"/>
  <c r="B3429" i="1"/>
  <c r="C3429" i="1"/>
  <c r="E3429" i="1"/>
  <c r="G3429" i="1"/>
  <c r="K3429" i="1"/>
  <c r="A3430" i="1"/>
  <c r="B3430" i="1"/>
  <c r="C3430" i="1"/>
  <c r="E3430" i="1"/>
  <c r="G3430" i="1"/>
  <c r="K3430" i="1"/>
  <c r="A3431" i="1"/>
  <c r="B3431" i="1"/>
  <c r="C3431" i="1"/>
  <c r="E3431" i="1"/>
  <c r="G3431" i="1"/>
  <c r="K3431" i="1"/>
  <c r="A3432" i="1"/>
  <c r="B3432" i="1"/>
  <c r="C3432" i="1"/>
  <c r="E3432" i="1"/>
  <c r="G3432" i="1"/>
  <c r="K3432" i="1"/>
  <c r="A3433" i="1"/>
  <c r="B3433" i="1"/>
  <c r="C3433" i="1"/>
  <c r="E3433" i="1"/>
  <c r="G3433" i="1"/>
  <c r="K3433" i="1"/>
  <c r="A3434" i="1"/>
  <c r="B3434" i="1"/>
  <c r="C3434" i="1"/>
  <c r="E3434" i="1"/>
  <c r="G3434" i="1"/>
  <c r="K3434" i="1"/>
  <c r="A3435" i="1"/>
  <c r="B3435" i="1"/>
  <c r="C3435" i="1"/>
  <c r="E3435" i="1"/>
  <c r="G3435" i="1"/>
  <c r="K3435" i="1"/>
  <c r="A3436" i="1"/>
  <c r="B3436" i="1"/>
  <c r="C3436" i="1"/>
  <c r="E3436" i="1"/>
  <c r="G3436" i="1"/>
  <c r="K3436" i="1"/>
  <c r="A3437" i="1"/>
  <c r="B3437" i="1"/>
  <c r="C3437" i="1"/>
  <c r="E3437" i="1"/>
  <c r="G3437" i="1"/>
  <c r="K3437" i="1"/>
  <c r="A3438" i="1"/>
  <c r="B3438" i="1"/>
  <c r="C3438" i="1"/>
  <c r="E3438" i="1"/>
  <c r="G3438" i="1"/>
  <c r="K3438" i="1"/>
  <c r="A3439" i="1"/>
  <c r="B3439" i="1"/>
  <c r="C3439" i="1"/>
  <c r="E3439" i="1"/>
  <c r="G3439" i="1"/>
  <c r="K3439" i="1"/>
  <c r="A3440" i="1"/>
  <c r="B3440" i="1"/>
  <c r="C3440" i="1"/>
  <c r="E3440" i="1"/>
  <c r="G3440" i="1"/>
  <c r="K3440" i="1"/>
  <c r="A3441" i="1"/>
  <c r="B3441" i="1"/>
  <c r="C3441" i="1"/>
  <c r="E3441" i="1"/>
  <c r="G3441" i="1"/>
  <c r="K3441" i="1"/>
  <c r="A3442" i="1"/>
  <c r="B3442" i="1"/>
  <c r="C3442" i="1"/>
  <c r="E3442" i="1"/>
  <c r="G3442" i="1"/>
  <c r="K3442" i="1"/>
  <c r="A3443" i="1"/>
  <c r="B3443" i="1"/>
  <c r="C3443" i="1"/>
  <c r="E3443" i="1"/>
  <c r="G3443" i="1"/>
  <c r="K3443" i="1"/>
  <c r="A3444" i="1"/>
  <c r="B3444" i="1"/>
  <c r="C3444" i="1"/>
  <c r="E3444" i="1"/>
  <c r="G3444" i="1"/>
  <c r="K3444" i="1"/>
  <c r="A3445" i="1"/>
  <c r="B3445" i="1"/>
  <c r="C3445" i="1"/>
  <c r="E3445" i="1"/>
  <c r="G3445" i="1"/>
  <c r="K3445" i="1"/>
  <c r="A3446" i="1"/>
  <c r="B3446" i="1"/>
  <c r="C3446" i="1"/>
  <c r="E3446" i="1"/>
  <c r="G3446" i="1"/>
  <c r="K3446" i="1"/>
  <c r="A3447" i="1"/>
  <c r="B3447" i="1"/>
  <c r="C3447" i="1"/>
  <c r="E3447" i="1"/>
  <c r="G3447" i="1"/>
  <c r="K3447" i="1"/>
  <c r="A3448" i="1"/>
  <c r="B3448" i="1"/>
  <c r="C3448" i="1"/>
  <c r="E3448" i="1"/>
  <c r="G3448" i="1"/>
  <c r="K3448" i="1"/>
  <c r="A3449" i="1"/>
  <c r="B3449" i="1"/>
  <c r="C3449" i="1"/>
  <c r="E3449" i="1"/>
  <c r="G3449" i="1"/>
  <c r="K3449" i="1"/>
  <c r="A3450" i="1"/>
  <c r="B3450" i="1"/>
  <c r="C3450" i="1"/>
  <c r="E3450" i="1"/>
  <c r="G3450" i="1"/>
  <c r="K3450" i="1"/>
  <c r="A3451" i="1"/>
  <c r="B3451" i="1"/>
  <c r="C3451" i="1"/>
  <c r="E3451" i="1"/>
  <c r="G3451" i="1"/>
  <c r="K3451" i="1"/>
  <c r="A3452" i="1"/>
  <c r="B3452" i="1"/>
  <c r="C3452" i="1"/>
  <c r="E3452" i="1"/>
  <c r="G3452" i="1"/>
  <c r="K3452" i="1"/>
  <c r="A3453" i="1"/>
  <c r="B3453" i="1"/>
  <c r="C3453" i="1"/>
  <c r="E3453" i="1"/>
  <c r="G3453" i="1"/>
  <c r="K3453" i="1"/>
  <c r="A3454" i="1"/>
  <c r="B3454" i="1"/>
  <c r="C3454" i="1"/>
  <c r="E3454" i="1"/>
  <c r="G3454" i="1"/>
  <c r="K3454" i="1"/>
  <c r="A3455" i="1"/>
  <c r="B3455" i="1"/>
  <c r="C3455" i="1"/>
  <c r="E3455" i="1"/>
  <c r="G3455" i="1"/>
  <c r="K3455" i="1"/>
  <c r="A3456" i="1"/>
  <c r="B3456" i="1"/>
  <c r="C3456" i="1"/>
  <c r="E3456" i="1"/>
  <c r="G3456" i="1"/>
  <c r="K3456" i="1"/>
  <c r="A3457" i="1"/>
  <c r="B3457" i="1"/>
  <c r="C3457" i="1"/>
  <c r="E3457" i="1"/>
  <c r="G3457" i="1"/>
  <c r="K3457" i="1"/>
  <c r="A3458" i="1"/>
  <c r="B3458" i="1"/>
  <c r="C3458" i="1"/>
  <c r="E3458" i="1"/>
  <c r="G3458" i="1"/>
  <c r="K3458" i="1"/>
  <c r="A3459" i="1"/>
  <c r="B3459" i="1"/>
  <c r="C3459" i="1"/>
  <c r="E3459" i="1"/>
  <c r="G3459" i="1"/>
  <c r="K3459" i="1"/>
  <c r="A3460" i="1"/>
  <c r="B3460" i="1"/>
  <c r="C3460" i="1"/>
  <c r="E3460" i="1"/>
  <c r="G3460" i="1"/>
  <c r="K3460" i="1"/>
  <c r="A3461" i="1"/>
  <c r="B3461" i="1"/>
  <c r="C3461" i="1"/>
  <c r="E3461" i="1"/>
  <c r="G3461" i="1"/>
  <c r="K3461" i="1"/>
  <c r="A3462" i="1"/>
  <c r="B3462" i="1"/>
  <c r="C3462" i="1"/>
  <c r="E3462" i="1"/>
  <c r="G3462" i="1"/>
  <c r="K3462" i="1"/>
  <c r="A3463" i="1"/>
  <c r="B3463" i="1"/>
  <c r="C3463" i="1"/>
  <c r="E3463" i="1"/>
  <c r="G3463" i="1"/>
  <c r="K3463" i="1"/>
  <c r="A3464" i="1"/>
  <c r="B3464" i="1"/>
  <c r="C3464" i="1"/>
  <c r="E3464" i="1"/>
  <c r="G3464" i="1"/>
  <c r="K3464" i="1"/>
  <c r="A3465" i="1"/>
  <c r="B3465" i="1"/>
  <c r="C3465" i="1"/>
  <c r="E3465" i="1"/>
  <c r="G3465" i="1"/>
  <c r="K3465" i="1"/>
  <c r="A3466" i="1"/>
  <c r="B3466" i="1"/>
  <c r="C3466" i="1"/>
  <c r="E3466" i="1"/>
  <c r="G3466" i="1"/>
  <c r="K3466" i="1"/>
  <c r="A3467" i="1"/>
  <c r="B3467" i="1"/>
  <c r="C3467" i="1"/>
  <c r="E3467" i="1"/>
  <c r="G3467" i="1"/>
  <c r="K3467" i="1"/>
  <c r="A3468" i="1"/>
  <c r="B3468" i="1"/>
  <c r="C3468" i="1"/>
  <c r="E3468" i="1"/>
  <c r="G3468" i="1"/>
  <c r="K3468" i="1"/>
  <c r="A3469" i="1"/>
  <c r="B3469" i="1"/>
  <c r="C3469" i="1"/>
  <c r="E3469" i="1"/>
  <c r="G3469" i="1"/>
  <c r="K3469" i="1"/>
  <c r="A3470" i="1"/>
  <c r="B3470" i="1"/>
  <c r="C3470" i="1"/>
  <c r="E3470" i="1"/>
  <c r="G3470" i="1"/>
  <c r="K3470" i="1"/>
  <c r="A3471" i="1"/>
  <c r="B3471" i="1"/>
  <c r="C3471" i="1"/>
  <c r="E3471" i="1"/>
  <c r="G3471" i="1"/>
  <c r="K3471" i="1"/>
  <c r="A3472" i="1"/>
  <c r="B3472" i="1"/>
  <c r="C3472" i="1"/>
  <c r="E3472" i="1"/>
  <c r="G3472" i="1"/>
  <c r="K3472" i="1"/>
  <c r="A3473" i="1"/>
  <c r="B3473" i="1"/>
  <c r="C3473" i="1"/>
  <c r="E3473" i="1"/>
  <c r="G3473" i="1"/>
  <c r="K3473" i="1"/>
  <c r="A3474" i="1"/>
  <c r="B3474" i="1"/>
  <c r="C3474" i="1"/>
  <c r="E3474" i="1"/>
  <c r="G3474" i="1"/>
  <c r="K3474" i="1"/>
  <c r="A3475" i="1"/>
  <c r="B3475" i="1"/>
  <c r="C3475" i="1"/>
  <c r="E3475" i="1"/>
  <c r="G3475" i="1"/>
  <c r="K3475" i="1"/>
  <c r="A3476" i="1"/>
  <c r="B3476" i="1"/>
  <c r="C3476" i="1"/>
  <c r="E3476" i="1"/>
  <c r="G3476" i="1"/>
  <c r="K3476" i="1"/>
  <c r="A3477" i="1"/>
  <c r="B3477" i="1"/>
  <c r="C3477" i="1"/>
  <c r="E3477" i="1"/>
  <c r="G3477" i="1"/>
  <c r="K3477" i="1"/>
  <c r="A3478" i="1"/>
  <c r="B3478" i="1"/>
  <c r="C3478" i="1"/>
  <c r="E3478" i="1"/>
  <c r="G3478" i="1"/>
  <c r="K3478" i="1"/>
  <c r="A3479" i="1"/>
  <c r="B3479" i="1"/>
  <c r="C3479" i="1"/>
  <c r="E3479" i="1"/>
  <c r="G3479" i="1"/>
  <c r="K3479" i="1"/>
  <c r="A3480" i="1"/>
  <c r="B3480" i="1"/>
  <c r="C3480" i="1"/>
  <c r="E3480" i="1"/>
  <c r="G3480" i="1"/>
  <c r="K3480" i="1"/>
  <c r="A3481" i="1"/>
  <c r="B3481" i="1"/>
  <c r="C3481" i="1"/>
  <c r="E3481" i="1"/>
  <c r="G3481" i="1"/>
  <c r="K3481" i="1"/>
  <c r="A3482" i="1"/>
  <c r="B3482" i="1"/>
  <c r="C3482" i="1"/>
  <c r="E3482" i="1"/>
  <c r="G3482" i="1"/>
  <c r="K3482" i="1"/>
  <c r="A3483" i="1"/>
  <c r="B3483" i="1"/>
  <c r="C3483" i="1"/>
  <c r="E3483" i="1"/>
  <c r="G3483" i="1"/>
  <c r="K3483" i="1"/>
  <c r="A3484" i="1"/>
  <c r="B3484" i="1"/>
  <c r="C3484" i="1"/>
  <c r="E3484" i="1"/>
  <c r="G3484" i="1"/>
  <c r="K3484" i="1"/>
  <c r="A3485" i="1"/>
  <c r="B3485" i="1"/>
  <c r="C3485" i="1"/>
  <c r="E3485" i="1"/>
  <c r="G3485" i="1"/>
  <c r="K3485" i="1"/>
  <c r="A3486" i="1"/>
  <c r="B3486" i="1"/>
  <c r="C3486" i="1"/>
  <c r="E3486" i="1"/>
  <c r="G3486" i="1"/>
  <c r="K3486" i="1"/>
  <c r="A3487" i="1"/>
  <c r="B3487" i="1"/>
  <c r="C3487" i="1"/>
  <c r="E3487" i="1"/>
  <c r="G3487" i="1"/>
  <c r="K3487" i="1"/>
  <c r="A3488" i="1"/>
  <c r="B3488" i="1"/>
  <c r="C3488" i="1"/>
  <c r="E3488" i="1"/>
  <c r="G3488" i="1"/>
  <c r="K3488" i="1"/>
  <c r="A3489" i="1"/>
  <c r="B3489" i="1"/>
  <c r="C3489" i="1"/>
  <c r="E3489" i="1"/>
  <c r="G3489" i="1"/>
  <c r="K3489" i="1"/>
  <c r="A3490" i="1"/>
  <c r="B3490" i="1"/>
  <c r="C3490" i="1"/>
  <c r="E3490" i="1"/>
  <c r="G3490" i="1"/>
  <c r="K3490" i="1"/>
  <c r="A3491" i="1"/>
  <c r="B3491" i="1"/>
  <c r="C3491" i="1"/>
  <c r="E3491" i="1"/>
  <c r="G3491" i="1"/>
  <c r="K3491" i="1"/>
  <c r="A3492" i="1"/>
  <c r="B3492" i="1"/>
  <c r="C3492" i="1"/>
  <c r="E3492" i="1"/>
  <c r="G3492" i="1"/>
  <c r="K3492" i="1"/>
  <c r="A3493" i="1"/>
  <c r="B3493" i="1"/>
  <c r="C3493" i="1"/>
  <c r="E3493" i="1"/>
  <c r="G3493" i="1"/>
  <c r="K3493" i="1"/>
  <c r="A3494" i="1"/>
  <c r="B3494" i="1"/>
  <c r="C3494" i="1"/>
  <c r="E3494" i="1"/>
  <c r="G3494" i="1"/>
  <c r="K3494" i="1"/>
  <c r="A3495" i="1"/>
  <c r="B3495" i="1"/>
  <c r="C3495" i="1"/>
  <c r="E3495" i="1"/>
  <c r="G3495" i="1"/>
  <c r="K3495" i="1"/>
  <c r="A3496" i="1"/>
  <c r="B3496" i="1"/>
  <c r="C3496" i="1"/>
  <c r="E3496" i="1"/>
  <c r="G3496" i="1"/>
  <c r="K3496" i="1"/>
  <c r="A3497" i="1"/>
  <c r="B3497" i="1"/>
  <c r="C3497" i="1"/>
  <c r="E3497" i="1"/>
  <c r="G3497" i="1"/>
  <c r="K3497" i="1"/>
  <c r="A3498" i="1"/>
  <c r="B3498" i="1"/>
  <c r="C3498" i="1"/>
  <c r="E3498" i="1"/>
  <c r="G3498" i="1"/>
  <c r="K3498" i="1"/>
  <c r="A3499" i="1"/>
  <c r="B3499" i="1"/>
  <c r="C3499" i="1"/>
  <c r="E3499" i="1"/>
  <c r="G3499" i="1"/>
  <c r="K3499" i="1"/>
  <c r="A3500" i="1"/>
  <c r="B3500" i="1"/>
  <c r="C3500" i="1"/>
  <c r="E3500" i="1"/>
  <c r="G3500" i="1"/>
  <c r="K3500" i="1"/>
  <c r="A3501" i="1"/>
  <c r="B3501" i="1"/>
  <c r="C3501" i="1"/>
  <c r="E3501" i="1"/>
  <c r="G3501" i="1"/>
  <c r="K3501" i="1"/>
  <c r="A3502" i="1"/>
  <c r="B3502" i="1"/>
  <c r="C3502" i="1"/>
  <c r="E3502" i="1"/>
  <c r="G3502" i="1"/>
  <c r="K3502" i="1"/>
  <c r="A3503" i="1"/>
  <c r="B3503" i="1"/>
  <c r="C3503" i="1"/>
  <c r="E3503" i="1"/>
  <c r="G3503" i="1"/>
  <c r="K3503" i="1"/>
  <c r="A3504" i="1"/>
  <c r="B3504" i="1"/>
  <c r="C3504" i="1"/>
  <c r="E3504" i="1"/>
  <c r="G3504" i="1"/>
  <c r="K3504" i="1"/>
  <c r="A3505" i="1"/>
  <c r="B3505" i="1"/>
  <c r="C3505" i="1"/>
  <c r="E3505" i="1"/>
  <c r="G3505" i="1"/>
  <c r="K3505" i="1"/>
  <c r="A3506" i="1"/>
  <c r="B3506" i="1"/>
  <c r="C3506" i="1"/>
  <c r="E3506" i="1"/>
  <c r="G3506" i="1"/>
  <c r="K3506" i="1"/>
  <c r="A3507" i="1"/>
  <c r="B3507" i="1"/>
  <c r="C3507" i="1"/>
  <c r="E3507" i="1"/>
  <c r="G3507" i="1"/>
  <c r="K3507" i="1"/>
  <c r="A3508" i="1"/>
  <c r="B3508" i="1"/>
  <c r="C3508" i="1"/>
  <c r="E3508" i="1"/>
  <c r="G3508" i="1"/>
  <c r="K3508" i="1"/>
  <c r="A3509" i="1"/>
  <c r="B3509" i="1"/>
  <c r="C3509" i="1"/>
  <c r="E3509" i="1"/>
  <c r="G3509" i="1"/>
  <c r="K3509" i="1"/>
  <c r="A3510" i="1"/>
  <c r="B3510" i="1"/>
  <c r="C3510" i="1"/>
  <c r="E3510" i="1"/>
  <c r="G3510" i="1"/>
  <c r="K3510" i="1"/>
  <c r="A3511" i="1"/>
  <c r="B3511" i="1"/>
  <c r="C3511" i="1"/>
  <c r="E3511" i="1"/>
  <c r="G3511" i="1"/>
  <c r="K3511" i="1"/>
  <c r="A3512" i="1"/>
  <c r="B3512" i="1"/>
  <c r="C3512" i="1"/>
  <c r="E3512" i="1"/>
  <c r="G3512" i="1"/>
  <c r="K3512" i="1"/>
  <c r="A3513" i="1"/>
  <c r="B3513" i="1"/>
  <c r="C3513" i="1"/>
  <c r="E3513" i="1"/>
  <c r="G3513" i="1"/>
  <c r="K3513" i="1"/>
  <c r="A3514" i="1"/>
  <c r="B3514" i="1"/>
  <c r="C3514" i="1"/>
  <c r="E3514" i="1"/>
  <c r="G3514" i="1"/>
  <c r="K3514" i="1"/>
  <c r="A3515" i="1"/>
  <c r="B3515" i="1"/>
  <c r="C3515" i="1"/>
  <c r="E3515" i="1"/>
  <c r="G3515" i="1"/>
  <c r="K3515" i="1"/>
  <c r="A3516" i="1"/>
  <c r="B3516" i="1"/>
  <c r="C3516" i="1"/>
  <c r="E3516" i="1"/>
  <c r="G3516" i="1"/>
  <c r="K3516" i="1"/>
  <c r="A3517" i="1"/>
  <c r="B3517" i="1"/>
  <c r="C3517" i="1"/>
  <c r="E3517" i="1"/>
  <c r="G3517" i="1"/>
  <c r="K3517" i="1"/>
  <c r="A3518" i="1"/>
  <c r="B3518" i="1"/>
  <c r="C3518" i="1"/>
  <c r="E3518" i="1"/>
  <c r="G3518" i="1"/>
  <c r="K3518" i="1"/>
  <c r="A3519" i="1"/>
  <c r="B3519" i="1"/>
  <c r="C3519" i="1"/>
  <c r="E3519" i="1"/>
  <c r="G3519" i="1"/>
  <c r="K3519" i="1"/>
  <c r="A3520" i="1"/>
  <c r="B3520" i="1"/>
  <c r="C3520" i="1"/>
  <c r="E3520" i="1"/>
  <c r="G3520" i="1"/>
  <c r="K3520" i="1"/>
  <c r="A3521" i="1"/>
  <c r="B3521" i="1"/>
  <c r="C3521" i="1"/>
  <c r="E3521" i="1"/>
  <c r="G3521" i="1"/>
  <c r="K3521" i="1"/>
  <c r="A3522" i="1"/>
  <c r="B3522" i="1"/>
  <c r="C3522" i="1"/>
  <c r="E3522" i="1"/>
  <c r="G3522" i="1"/>
  <c r="K3522" i="1"/>
  <c r="A3523" i="1"/>
  <c r="B3523" i="1"/>
  <c r="C3523" i="1"/>
  <c r="E3523" i="1"/>
  <c r="G3523" i="1"/>
  <c r="K3523" i="1"/>
  <c r="A3524" i="1"/>
  <c r="B3524" i="1"/>
  <c r="C3524" i="1"/>
  <c r="E3524" i="1"/>
  <c r="G3524" i="1"/>
  <c r="K3524" i="1"/>
  <c r="A3525" i="1"/>
  <c r="B3525" i="1"/>
  <c r="C3525" i="1"/>
  <c r="E3525" i="1"/>
  <c r="G3525" i="1"/>
  <c r="K3525" i="1"/>
  <c r="A3526" i="1"/>
  <c r="B3526" i="1"/>
  <c r="C3526" i="1"/>
  <c r="E3526" i="1"/>
  <c r="G3526" i="1"/>
  <c r="K3526" i="1"/>
  <c r="A3527" i="1"/>
  <c r="B3527" i="1"/>
  <c r="C3527" i="1"/>
  <c r="E3527" i="1"/>
  <c r="G3527" i="1"/>
  <c r="K3527" i="1"/>
  <c r="A3528" i="1"/>
  <c r="B3528" i="1"/>
  <c r="C3528" i="1"/>
  <c r="E3528" i="1"/>
  <c r="G3528" i="1"/>
  <c r="K3528" i="1"/>
  <c r="A3529" i="1"/>
  <c r="B3529" i="1"/>
  <c r="C3529" i="1"/>
  <c r="E3529" i="1"/>
  <c r="G3529" i="1"/>
  <c r="K3529" i="1"/>
  <c r="A3530" i="1"/>
  <c r="B3530" i="1"/>
  <c r="C3530" i="1"/>
  <c r="E3530" i="1"/>
  <c r="G3530" i="1"/>
  <c r="K3530" i="1"/>
  <c r="A3531" i="1"/>
  <c r="B3531" i="1"/>
  <c r="C3531" i="1"/>
  <c r="E3531" i="1"/>
  <c r="G3531" i="1"/>
  <c r="K3531" i="1"/>
  <c r="A3532" i="1"/>
  <c r="B3532" i="1"/>
  <c r="C3532" i="1"/>
  <c r="E3532" i="1"/>
  <c r="G3532" i="1"/>
  <c r="K3532" i="1"/>
  <c r="A3533" i="1"/>
  <c r="B3533" i="1"/>
  <c r="C3533" i="1"/>
  <c r="E3533" i="1"/>
  <c r="G3533" i="1"/>
  <c r="K3533" i="1"/>
  <c r="A3534" i="1"/>
  <c r="B3534" i="1"/>
  <c r="C3534" i="1"/>
  <c r="E3534" i="1"/>
  <c r="G3534" i="1"/>
  <c r="K3534" i="1"/>
  <c r="A3535" i="1"/>
  <c r="B3535" i="1"/>
  <c r="C3535" i="1"/>
  <c r="E3535" i="1"/>
  <c r="G3535" i="1"/>
  <c r="K3535" i="1"/>
  <c r="A3536" i="1"/>
  <c r="B3536" i="1"/>
  <c r="C3536" i="1"/>
  <c r="E3536" i="1"/>
  <c r="G3536" i="1"/>
  <c r="K3536" i="1"/>
  <c r="A3537" i="1"/>
  <c r="B3537" i="1"/>
  <c r="C3537" i="1"/>
  <c r="E3537" i="1"/>
  <c r="G3537" i="1"/>
  <c r="K3537" i="1"/>
  <c r="A3538" i="1"/>
  <c r="B3538" i="1"/>
  <c r="C3538" i="1"/>
  <c r="E3538" i="1"/>
  <c r="G3538" i="1"/>
  <c r="K3538" i="1"/>
  <c r="A3539" i="1"/>
  <c r="B3539" i="1"/>
  <c r="C3539" i="1"/>
  <c r="E3539" i="1"/>
  <c r="G3539" i="1"/>
  <c r="K3539" i="1"/>
  <c r="A3540" i="1"/>
  <c r="B3540" i="1"/>
  <c r="C3540" i="1"/>
  <c r="E3540" i="1"/>
  <c r="G3540" i="1"/>
  <c r="K3540" i="1"/>
  <c r="A3541" i="1"/>
  <c r="B3541" i="1"/>
  <c r="C3541" i="1"/>
  <c r="E3541" i="1"/>
  <c r="G3541" i="1"/>
  <c r="K3541" i="1"/>
  <c r="A3542" i="1"/>
  <c r="B3542" i="1"/>
  <c r="C3542" i="1"/>
  <c r="E3542" i="1"/>
  <c r="G3542" i="1"/>
  <c r="K3542" i="1"/>
  <c r="A3543" i="1"/>
  <c r="B3543" i="1"/>
  <c r="C3543" i="1"/>
  <c r="E3543" i="1"/>
  <c r="G3543" i="1"/>
  <c r="K3543" i="1"/>
  <c r="A3544" i="1"/>
  <c r="B3544" i="1"/>
  <c r="C3544" i="1"/>
  <c r="E3544" i="1"/>
  <c r="G3544" i="1"/>
  <c r="K3544" i="1"/>
  <c r="A3545" i="1"/>
  <c r="B3545" i="1"/>
  <c r="C3545" i="1"/>
  <c r="E3545" i="1"/>
  <c r="G3545" i="1"/>
  <c r="K3545" i="1"/>
  <c r="A3546" i="1"/>
  <c r="B3546" i="1"/>
  <c r="C3546" i="1"/>
  <c r="E3546" i="1"/>
  <c r="G3546" i="1"/>
  <c r="K3546" i="1"/>
  <c r="A3547" i="1"/>
  <c r="B3547" i="1"/>
  <c r="C3547" i="1"/>
  <c r="E3547" i="1"/>
  <c r="G3547" i="1"/>
  <c r="K3547" i="1"/>
  <c r="A3548" i="1"/>
  <c r="B3548" i="1"/>
  <c r="C3548" i="1"/>
  <c r="E3548" i="1"/>
  <c r="G3548" i="1"/>
  <c r="K3548" i="1"/>
  <c r="A3549" i="1"/>
  <c r="B3549" i="1"/>
  <c r="C3549" i="1"/>
  <c r="E3549" i="1"/>
  <c r="G3549" i="1"/>
  <c r="K3549" i="1"/>
  <c r="A3550" i="1"/>
  <c r="B3550" i="1"/>
  <c r="C3550" i="1"/>
  <c r="E3550" i="1"/>
  <c r="G3550" i="1"/>
  <c r="K3550" i="1"/>
  <c r="A3551" i="1"/>
  <c r="B3551" i="1"/>
  <c r="C3551" i="1"/>
  <c r="E3551" i="1"/>
  <c r="G3551" i="1"/>
  <c r="K3551" i="1"/>
  <c r="A3552" i="1"/>
  <c r="B3552" i="1"/>
  <c r="C3552" i="1"/>
  <c r="E3552" i="1"/>
  <c r="G3552" i="1"/>
  <c r="K3552" i="1"/>
  <c r="A3553" i="1"/>
  <c r="B3553" i="1"/>
  <c r="C3553" i="1"/>
  <c r="E3553" i="1"/>
  <c r="G3553" i="1"/>
  <c r="K3553" i="1"/>
  <c r="A3554" i="1"/>
  <c r="B3554" i="1"/>
  <c r="C3554" i="1"/>
  <c r="E3554" i="1"/>
  <c r="G3554" i="1"/>
  <c r="K3554" i="1"/>
  <c r="A3555" i="1"/>
  <c r="B3555" i="1"/>
  <c r="C3555" i="1"/>
  <c r="E3555" i="1"/>
  <c r="G3555" i="1"/>
  <c r="K3555" i="1"/>
  <c r="A3556" i="1"/>
  <c r="B3556" i="1"/>
  <c r="C3556" i="1"/>
  <c r="E3556" i="1"/>
  <c r="G3556" i="1"/>
  <c r="K3556" i="1"/>
  <c r="A3557" i="1"/>
  <c r="B3557" i="1"/>
  <c r="C3557" i="1"/>
  <c r="E3557" i="1"/>
  <c r="G3557" i="1"/>
  <c r="K3557" i="1"/>
  <c r="A3558" i="1"/>
  <c r="B3558" i="1"/>
  <c r="C3558" i="1"/>
  <c r="E3558" i="1"/>
  <c r="G3558" i="1"/>
  <c r="K3558" i="1"/>
  <c r="A3559" i="1"/>
  <c r="B3559" i="1"/>
  <c r="C3559" i="1"/>
  <c r="E3559" i="1"/>
  <c r="G3559" i="1"/>
  <c r="K3559" i="1"/>
  <c r="A3560" i="1"/>
  <c r="B3560" i="1"/>
  <c r="C3560" i="1"/>
  <c r="E3560" i="1"/>
  <c r="G3560" i="1"/>
  <c r="K3560" i="1"/>
  <c r="A3561" i="1"/>
  <c r="B3561" i="1"/>
  <c r="C3561" i="1"/>
  <c r="E3561" i="1"/>
  <c r="G3561" i="1"/>
  <c r="K3561" i="1"/>
  <c r="A3562" i="1"/>
  <c r="B3562" i="1"/>
  <c r="C3562" i="1"/>
  <c r="E3562" i="1"/>
  <c r="G3562" i="1"/>
  <c r="K3562" i="1"/>
  <c r="A3563" i="1"/>
  <c r="B3563" i="1"/>
  <c r="C3563" i="1"/>
  <c r="E3563" i="1"/>
  <c r="G3563" i="1"/>
  <c r="K3563" i="1"/>
  <c r="A3564" i="1"/>
  <c r="B3564" i="1"/>
  <c r="C3564" i="1"/>
  <c r="E3564" i="1"/>
  <c r="G3564" i="1"/>
  <c r="K3564" i="1"/>
  <c r="A3565" i="1"/>
  <c r="B3565" i="1"/>
  <c r="C3565" i="1"/>
  <c r="E3565" i="1"/>
  <c r="G3565" i="1"/>
  <c r="K3565" i="1"/>
  <c r="A3566" i="1"/>
  <c r="B3566" i="1"/>
  <c r="C3566" i="1"/>
  <c r="E3566" i="1"/>
  <c r="G3566" i="1"/>
  <c r="K3566" i="1"/>
  <c r="A3567" i="1"/>
  <c r="B3567" i="1"/>
  <c r="C3567" i="1"/>
  <c r="E3567" i="1"/>
  <c r="G3567" i="1"/>
  <c r="K3567" i="1"/>
  <c r="A3568" i="1"/>
  <c r="B3568" i="1"/>
  <c r="C3568" i="1"/>
  <c r="E3568" i="1"/>
  <c r="G3568" i="1"/>
  <c r="K3568" i="1"/>
  <c r="A3569" i="1"/>
  <c r="B3569" i="1"/>
  <c r="C3569" i="1"/>
  <c r="E3569" i="1"/>
  <c r="G3569" i="1"/>
  <c r="K3569" i="1"/>
  <c r="A3570" i="1"/>
  <c r="B3570" i="1"/>
  <c r="C3570" i="1"/>
  <c r="E3570" i="1"/>
  <c r="G3570" i="1"/>
  <c r="K3570" i="1"/>
  <c r="A3571" i="1"/>
  <c r="B3571" i="1"/>
  <c r="C3571" i="1"/>
  <c r="E3571" i="1"/>
  <c r="G3571" i="1"/>
  <c r="K3571" i="1"/>
  <c r="A3572" i="1"/>
  <c r="B3572" i="1"/>
  <c r="C3572" i="1"/>
  <c r="E3572" i="1"/>
  <c r="G3572" i="1"/>
  <c r="K3572" i="1"/>
  <c r="A3573" i="1"/>
  <c r="B3573" i="1"/>
  <c r="C3573" i="1"/>
  <c r="E3573" i="1"/>
  <c r="G3573" i="1"/>
  <c r="K3573" i="1"/>
  <c r="A3574" i="1"/>
  <c r="B3574" i="1"/>
  <c r="C3574" i="1"/>
  <c r="E3574" i="1"/>
  <c r="G3574" i="1"/>
  <c r="K3574" i="1"/>
  <c r="A3575" i="1"/>
  <c r="B3575" i="1"/>
  <c r="C3575" i="1"/>
  <c r="E3575" i="1"/>
  <c r="G3575" i="1"/>
  <c r="K3575" i="1"/>
  <c r="A3576" i="1"/>
  <c r="B3576" i="1"/>
  <c r="C3576" i="1"/>
  <c r="E3576" i="1"/>
  <c r="G3576" i="1"/>
  <c r="K3576" i="1"/>
  <c r="A3577" i="1"/>
  <c r="B3577" i="1"/>
  <c r="C3577" i="1"/>
  <c r="E3577" i="1"/>
  <c r="G3577" i="1"/>
  <c r="K3577" i="1"/>
  <c r="A3578" i="1"/>
  <c r="B3578" i="1"/>
  <c r="C3578" i="1"/>
  <c r="E3578" i="1"/>
  <c r="G3578" i="1"/>
  <c r="K3578" i="1"/>
  <c r="A3579" i="1"/>
  <c r="B3579" i="1"/>
  <c r="C3579" i="1"/>
  <c r="E3579" i="1"/>
  <c r="G3579" i="1"/>
  <c r="K3579" i="1"/>
  <c r="A3580" i="1"/>
  <c r="B3580" i="1"/>
  <c r="C3580" i="1"/>
  <c r="E3580" i="1"/>
  <c r="G3580" i="1"/>
  <c r="K3580" i="1"/>
  <c r="A3581" i="1"/>
  <c r="B3581" i="1"/>
  <c r="C3581" i="1"/>
  <c r="E3581" i="1"/>
  <c r="G3581" i="1"/>
  <c r="K3581" i="1"/>
  <c r="A3582" i="1"/>
  <c r="B3582" i="1"/>
  <c r="C3582" i="1"/>
  <c r="E3582" i="1"/>
  <c r="G3582" i="1"/>
  <c r="K3582" i="1"/>
  <c r="A3583" i="1"/>
  <c r="B3583" i="1"/>
  <c r="C3583" i="1"/>
  <c r="E3583" i="1"/>
  <c r="G3583" i="1"/>
  <c r="K3583" i="1"/>
  <c r="A3584" i="1"/>
  <c r="B3584" i="1"/>
  <c r="C3584" i="1"/>
  <c r="E3584" i="1"/>
  <c r="G3584" i="1"/>
  <c r="K3584" i="1"/>
  <c r="A3585" i="1"/>
  <c r="B3585" i="1"/>
  <c r="C3585" i="1"/>
  <c r="E3585" i="1"/>
  <c r="G3585" i="1"/>
  <c r="K3585" i="1"/>
  <c r="A3586" i="1"/>
  <c r="B3586" i="1"/>
  <c r="C3586" i="1"/>
  <c r="E3586" i="1"/>
  <c r="G3586" i="1"/>
  <c r="K3586" i="1"/>
  <c r="A3587" i="1"/>
  <c r="B3587" i="1"/>
  <c r="C3587" i="1"/>
  <c r="E3587" i="1"/>
  <c r="G3587" i="1"/>
  <c r="K3587" i="1"/>
  <c r="A3588" i="1"/>
  <c r="B3588" i="1"/>
  <c r="C3588" i="1"/>
  <c r="E3588" i="1"/>
  <c r="G3588" i="1"/>
  <c r="K3588" i="1"/>
  <c r="A3589" i="1"/>
  <c r="B3589" i="1"/>
  <c r="C3589" i="1"/>
  <c r="E3589" i="1"/>
  <c r="G3589" i="1"/>
  <c r="K3589" i="1"/>
  <c r="A3590" i="1"/>
  <c r="B3590" i="1"/>
  <c r="C3590" i="1"/>
  <c r="E3590" i="1"/>
  <c r="G3590" i="1"/>
  <c r="K3590" i="1"/>
  <c r="A3591" i="1"/>
  <c r="B3591" i="1"/>
  <c r="C3591" i="1"/>
  <c r="E3591" i="1"/>
  <c r="G3591" i="1"/>
  <c r="K3591" i="1"/>
  <c r="A3592" i="1"/>
  <c r="B3592" i="1"/>
  <c r="C3592" i="1"/>
  <c r="E3592" i="1"/>
  <c r="G3592" i="1"/>
  <c r="K3592" i="1"/>
  <c r="A3593" i="1"/>
  <c r="B3593" i="1"/>
  <c r="C3593" i="1"/>
  <c r="E3593" i="1"/>
  <c r="G3593" i="1"/>
  <c r="K3593" i="1"/>
  <c r="A3594" i="1"/>
  <c r="B3594" i="1"/>
  <c r="C3594" i="1"/>
  <c r="E3594" i="1"/>
  <c r="G3594" i="1"/>
  <c r="K3594" i="1"/>
  <c r="A3595" i="1"/>
  <c r="B3595" i="1"/>
  <c r="C3595" i="1"/>
  <c r="E3595" i="1"/>
  <c r="G3595" i="1"/>
  <c r="K3595" i="1"/>
  <c r="A3596" i="1"/>
  <c r="B3596" i="1"/>
  <c r="C3596" i="1"/>
  <c r="E3596" i="1"/>
  <c r="G3596" i="1"/>
  <c r="K3596" i="1"/>
  <c r="A3597" i="1"/>
  <c r="B3597" i="1"/>
  <c r="C3597" i="1"/>
  <c r="E3597" i="1"/>
  <c r="G3597" i="1"/>
  <c r="K3597" i="1"/>
  <c r="A3598" i="1"/>
  <c r="B3598" i="1"/>
  <c r="C3598" i="1"/>
  <c r="E3598" i="1"/>
  <c r="G3598" i="1"/>
  <c r="K3598" i="1"/>
  <c r="A3599" i="1"/>
  <c r="B3599" i="1"/>
  <c r="C3599" i="1"/>
  <c r="E3599" i="1"/>
  <c r="G3599" i="1"/>
  <c r="K3599" i="1"/>
  <c r="A3600" i="1"/>
  <c r="B3600" i="1"/>
  <c r="C3600" i="1"/>
  <c r="E3600" i="1"/>
  <c r="G3600" i="1"/>
  <c r="K3600" i="1"/>
  <c r="A3601" i="1"/>
  <c r="B3601" i="1"/>
  <c r="C3601" i="1"/>
  <c r="E3601" i="1"/>
  <c r="G3601" i="1"/>
  <c r="K3601" i="1"/>
  <c r="A3602" i="1"/>
  <c r="B3602" i="1"/>
  <c r="C3602" i="1"/>
  <c r="E3602" i="1"/>
  <c r="G3602" i="1"/>
  <c r="K3602" i="1"/>
  <c r="A3603" i="1"/>
  <c r="B3603" i="1"/>
  <c r="C3603" i="1"/>
  <c r="E3603" i="1"/>
  <c r="G3603" i="1"/>
  <c r="K3603" i="1"/>
  <c r="A3604" i="1"/>
  <c r="B3604" i="1"/>
  <c r="C3604" i="1"/>
  <c r="E3604" i="1"/>
  <c r="G3604" i="1"/>
  <c r="K3604" i="1"/>
  <c r="A3605" i="1"/>
  <c r="B3605" i="1"/>
  <c r="C3605" i="1"/>
  <c r="E3605" i="1"/>
  <c r="G3605" i="1"/>
  <c r="K3605" i="1"/>
  <c r="A3606" i="1"/>
  <c r="B3606" i="1"/>
  <c r="C3606" i="1"/>
  <c r="E3606" i="1"/>
  <c r="G3606" i="1"/>
  <c r="K3606" i="1"/>
  <c r="A3607" i="1"/>
  <c r="B3607" i="1"/>
  <c r="C3607" i="1"/>
  <c r="E3607" i="1"/>
  <c r="G3607" i="1"/>
  <c r="K3607" i="1"/>
  <c r="A3608" i="1"/>
  <c r="B3608" i="1"/>
  <c r="C3608" i="1"/>
  <c r="E3608" i="1"/>
  <c r="G3608" i="1"/>
  <c r="K3608" i="1"/>
  <c r="A3609" i="1"/>
  <c r="B3609" i="1"/>
  <c r="C3609" i="1"/>
  <c r="E3609" i="1"/>
  <c r="G3609" i="1"/>
  <c r="K3609" i="1"/>
  <c r="A3610" i="1"/>
  <c r="B3610" i="1"/>
  <c r="C3610" i="1"/>
  <c r="E3610" i="1"/>
  <c r="G3610" i="1"/>
  <c r="K3610" i="1"/>
  <c r="A3611" i="1"/>
  <c r="B3611" i="1"/>
  <c r="C3611" i="1"/>
  <c r="E3611" i="1"/>
  <c r="G3611" i="1"/>
  <c r="K3611" i="1"/>
  <c r="A3612" i="1"/>
  <c r="B3612" i="1"/>
  <c r="C3612" i="1"/>
  <c r="E3612" i="1"/>
  <c r="G3612" i="1"/>
  <c r="K3612" i="1"/>
  <c r="A3613" i="1"/>
  <c r="B3613" i="1"/>
  <c r="C3613" i="1"/>
  <c r="E3613" i="1"/>
  <c r="G3613" i="1"/>
  <c r="K3613" i="1"/>
  <c r="A3614" i="1"/>
  <c r="B3614" i="1"/>
  <c r="C3614" i="1"/>
  <c r="E3614" i="1"/>
  <c r="G3614" i="1"/>
  <c r="K3614" i="1"/>
  <c r="A3615" i="1"/>
  <c r="B3615" i="1"/>
  <c r="C3615" i="1"/>
  <c r="E3615" i="1"/>
  <c r="G3615" i="1"/>
  <c r="K3615" i="1"/>
  <c r="A3616" i="1"/>
  <c r="B3616" i="1"/>
  <c r="C3616" i="1"/>
  <c r="E3616" i="1"/>
  <c r="G3616" i="1"/>
  <c r="K3616" i="1"/>
  <c r="A3617" i="1"/>
  <c r="B3617" i="1"/>
  <c r="C3617" i="1"/>
  <c r="E3617" i="1"/>
  <c r="G3617" i="1"/>
  <c r="K3617" i="1"/>
  <c r="A3618" i="1"/>
  <c r="B3618" i="1"/>
  <c r="C3618" i="1"/>
  <c r="E3618" i="1"/>
  <c r="G3618" i="1"/>
  <c r="K3618" i="1"/>
  <c r="A3619" i="1"/>
  <c r="B3619" i="1"/>
  <c r="C3619" i="1"/>
  <c r="E3619" i="1"/>
  <c r="G3619" i="1"/>
  <c r="K3619" i="1"/>
  <c r="A3620" i="1"/>
  <c r="B3620" i="1"/>
  <c r="C3620" i="1"/>
  <c r="E3620" i="1"/>
  <c r="G3620" i="1"/>
  <c r="K3620" i="1"/>
  <c r="A3621" i="1"/>
  <c r="B3621" i="1"/>
  <c r="C3621" i="1"/>
  <c r="E3621" i="1"/>
  <c r="G3621" i="1"/>
  <c r="K3621" i="1"/>
  <c r="A3622" i="1"/>
  <c r="B3622" i="1"/>
  <c r="C3622" i="1"/>
  <c r="E3622" i="1"/>
  <c r="G3622" i="1"/>
  <c r="K3622" i="1"/>
  <c r="A3623" i="1"/>
  <c r="B3623" i="1"/>
  <c r="C3623" i="1"/>
  <c r="E3623" i="1"/>
  <c r="G3623" i="1"/>
  <c r="K3623" i="1"/>
  <c r="A3624" i="1"/>
  <c r="B3624" i="1"/>
  <c r="C3624" i="1"/>
  <c r="E3624" i="1"/>
  <c r="G3624" i="1"/>
  <c r="K3624" i="1"/>
  <c r="A3625" i="1"/>
  <c r="B3625" i="1"/>
  <c r="C3625" i="1"/>
  <c r="E3625" i="1"/>
  <c r="G3625" i="1"/>
  <c r="K3625" i="1"/>
  <c r="A3626" i="1"/>
  <c r="B3626" i="1"/>
  <c r="C3626" i="1"/>
  <c r="E3626" i="1"/>
  <c r="G3626" i="1"/>
  <c r="K3626" i="1"/>
  <c r="A3627" i="1"/>
  <c r="B3627" i="1"/>
  <c r="C3627" i="1"/>
  <c r="E3627" i="1"/>
  <c r="G3627" i="1"/>
  <c r="K3627" i="1"/>
  <c r="A3628" i="1"/>
  <c r="B3628" i="1"/>
  <c r="C3628" i="1"/>
  <c r="E3628" i="1"/>
  <c r="G3628" i="1"/>
  <c r="K3628" i="1"/>
  <c r="A3629" i="1"/>
  <c r="B3629" i="1"/>
  <c r="C3629" i="1"/>
  <c r="E3629" i="1"/>
  <c r="G3629" i="1"/>
  <c r="K3629" i="1"/>
  <c r="A3630" i="1"/>
  <c r="B3630" i="1"/>
  <c r="C3630" i="1"/>
  <c r="E3630" i="1"/>
  <c r="G3630" i="1"/>
  <c r="K3630" i="1"/>
  <c r="A3631" i="1"/>
  <c r="B3631" i="1"/>
  <c r="C3631" i="1"/>
  <c r="E3631" i="1"/>
  <c r="G3631" i="1"/>
  <c r="K3631" i="1"/>
  <c r="A3632" i="1"/>
  <c r="B3632" i="1"/>
  <c r="C3632" i="1"/>
  <c r="E3632" i="1"/>
  <c r="G3632" i="1"/>
  <c r="K3632" i="1"/>
  <c r="A3633" i="1"/>
  <c r="B3633" i="1"/>
  <c r="C3633" i="1"/>
  <c r="E3633" i="1"/>
  <c r="G3633" i="1"/>
  <c r="K3633" i="1"/>
  <c r="A3634" i="1"/>
  <c r="B3634" i="1"/>
  <c r="C3634" i="1"/>
  <c r="E3634" i="1"/>
  <c r="G3634" i="1"/>
  <c r="K3634" i="1"/>
  <c r="A3635" i="1"/>
  <c r="B3635" i="1"/>
  <c r="C3635" i="1"/>
  <c r="E3635" i="1"/>
  <c r="G3635" i="1"/>
  <c r="K3635" i="1"/>
  <c r="A3636" i="1"/>
  <c r="B3636" i="1"/>
  <c r="C3636" i="1"/>
  <c r="E3636" i="1"/>
  <c r="G3636" i="1"/>
  <c r="K3636" i="1"/>
  <c r="A3637" i="1"/>
  <c r="B3637" i="1"/>
  <c r="C3637" i="1"/>
  <c r="E3637" i="1"/>
  <c r="G3637" i="1"/>
  <c r="K3637" i="1"/>
  <c r="A3638" i="1"/>
  <c r="B3638" i="1"/>
  <c r="C3638" i="1"/>
  <c r="E3638" i="1"/>
  <c r="G3638" i="1"/>
  <c r="K3638" i="1"/>
  <c r="A3639" i="1"/>
  <c r="B3639" i="1"/>
  <c r="C3639" i="1"/>
  <c r="E3639" i="1"/>
  <c r="G3639" i="1"/>
  <c r="K3639" i="1"/>
  <c r="A3640" i="1"/>
  <c r="B3640" i="1"/>
  <c r="C3640" i="1"/>
  <c r="E3640" i="1"/>
  <c r="G3640" i="1"/>
  <c r="K3640" i="1"/>
  <c r="A3641" i="1"/>
  <c r="B3641" i="1"/>
  <c r="C3641" i="1"/>
  <c r="E3641" i="1"/>
  <c r="G3641" i="1"/>
  <c r="K3641" i="1"/>
  <c r="A3642" i="1"/>
  <c r="B3642" i="1"/>
  <c r="C3642" i="1"/>
  <c r="E3642" i="1"/>
  <c r="G3642" i="1"/>
  <c r="K3642" i="1"/>
  <c r="A3643" i="1"/>
  <c r="B3643" i="1"/>
  <c r="C3643" i="1"/>
  <c r="E3643" i="1"/>
  <c r="G3643" i="1"/>
  <c r="K3643" i="1"/>
  <c r="A3644" i="1"/>
  <c r="B3644" i="1"/>
  <c r="C3644" i="1"/>
  <c r="E3644" i="1"/>
  <c r="G3644" i="1"/>
  <c r="K3644" i="1"/>
  <c r="A3645" i="1"/>
  <c r="B3645" i="1"/>
  <c r="C3645" i="1"/>
  <c r="E3645" i="1"/>
  <c r="G3645" i="1"/>
  <c r="K3645" i="1"/>
  <c r="A3646" i="1"/>
  <c r="B3646" i="1"/>
  <c r="C3646" i="1"/>
  <c r="E3646" i="1"/>
  <c r="G3646" i="1"/>
  <c r="K3646" i="1"/>
  <c r="A3647" i="1"/>
  <c r="B3647" i="1"/>
  <c r="C3647" i="1"/>
  <c r="E3647" i="1"/>
  <c r="G3647" i="1"/>
  <c r="K3647" i="1"/>
  <c r="A3648" i="1"/>
  <c r="B3648" i="1"/>
  <c r="C3648" i="1"/>
  <c r="E3648" i="1"/>
  <c r="G3648" i="1"/>
  <c r="K3648" i="1"/>
  <c r="A3649" i="1"/>
  <c r="B3649" i="1"/>
  <c r="C3649" i="1"/>
  <c r="E3649" i="1"/>
  <c r="G3649" i="1"/>
  <c r="K3649" i="1"/>
  <c r="A3650" i="1"/>
  <c r="B3650" i="1"/>
  <c r="C3650" i="1"/>
  <c r="E3650" i="1"/>
  <c r="G3650" i="1"/>
  <c r="K3650" i="1"/>
  <c r="A3651" i="1"/>
  <c r="B3651" i="1"/>
  <c r="C3651" i="1"/>
  <c r="E3651" i="1"/>
  <c r="G3651" i="1"/>
  <c r="K3651" i="1"/>
  <c r="A3652" i="1"/>
  <c r="B3652" i="1"/>
  <c r="C3652" i="1"/>
  <c r="E3652" i="1"/>
  <c r="G3652" i="1"/>
  <c r="K3652" i="1"/>
  <c r="A3653" i="1"/>
  <c r="B3653" i="1"/>
  <c r="C3653" i="1"/>
  <c r="E3653" i="1"/>
  <c r="G3653" i="1"/>
  <c r="K3653" i="1"/>
  <c r="A3654" i="1"/>
  <c r="B3654" i="1"/>
  <c r="C3654" i="1"/>
  <c r="E3654" i="1"/>
  <c r="G3654" i="1"/>
  <c r="K3654" i="1"/>
  <c r="A3655" i="1"/>
  <c r="B3655" i="1"/>
  <c r="C3655" i="1"/>
  <c r="E3655" i="1"/>
  <c r="G3655" i="1"/>
  <c r="K3655" i="1"/>
  <c r="A3656" i="1"/>
  <c r="B3656" i="1"/>
  <c r="C3656" i="1"/>
  <c r="E3656" i="1"/>
  <c r="G3656" i="1"/>
  <c r="K3656" i="1"/>
  <c r="A3657" i="1"/>
  <c r="B3657" i="1"/>
  <c r="C3657" i="1"/>
  <c r="E3657" i="1"/>
  <c r="G3657" i="1"/>
  <c r="K3657" i="1"/>
  <c r="A3658" i="1"/>
  <c r="B3658" i="1"/>
  <c r="C3658" i="1"/>
  <c r="E3658" i="1"/>
  <c r="G3658" i="1"/>
  <c r="K3658" i="1"/>
  <c r="A3659" i="1"/>
  <c r="B3659" i="1"/>
  <c r="C3659" i="1"/>
  <c r="E3659" i="1"/>
  <c r="G3659" i="1"/>
  <c r="K3659" i="1"/>
  <c r="A3660" i="1"/>
  <c r="B3660" i="1"/>
  <c r="C3660" i="1"/>
  <c r="E3660" i="1"/>
  <c r="G3660" i="1"/>
  <c r="K3660" i="1"/>
  <c r="A3661" i="1"/>
  <c r="B3661" i="1"/>
  <c r="C3661" i="1"/>
  <c r="E3661" i="1"/>
  <c r="G3661" i="1"/>
  <c r="K3661" i="1"/>
  <c r="A3662" i="1"/>
  <c r="B3662" i="1"/>
  <c r="C3662" i="1"/>
  <c r="E3662" i="1"/>
  <c r="G3662" i="1"/>
  <c r="K3662" i="1"/>
  <c r="A3663" i="1"/>
  <c r="B3663" i="1"/>
  <c r="C3663" i="1"/>
  <c r="E3663" i="1"/>
  <c r="G3663" i="1"/>
  <c r="K3663" i="1"/>
  <c r="A3664" i="1"/>
  <c r="B3664" i="1"/>
  <c r="C3664" i="1"/>
  <c r="E3664" i="1"/>
  <c r="G3664" i="1"/>
  <c r="K3664" i="1"/>
  <c r="A3665" i="1"/>
  <c r="B3665" i="1"/>
  <c r="C3665" i="1"/>
  <c r="E3665" i="1"/>
  <c r="G3665" i="1"/>
  <c r="K3665" i="1"/>
  <c r="A3666" i="1"/>
  <c r="B3666" i="1"/>
  <c r="C3666" i="1"/>
  <c r="E3666" i="1"/>
  <c r="G3666" i="1"/>
  <c r="K3666" i="1"/>
  <c r="A3667" i="1"/>
  <c r="B3667" i="1"/>
  <c r="C3667" i="1"/>
  <c r="E3667" i="1"/>
  <c r="G3667" i="1"/>
  <c r="K3667" i="1"/>
  <c r="A3668" i="1"/>
  <c r="B3668" i="1"/>
  <c r="C3668" i="1"/>
  <c r="E3668" i="1"/>
  <c r="G3668" i="1"/>
  <c r="K3668" i="1"/>
  <c r="A3669" i="1"/>
  <c r="B3669" i="1"/>
  <c r="C3669" i="1"/>
  <c r="E3669" i="1"/>
  <c r="G3669" i="1"/>
  <c r="K3669" i="1"/>
  <c r="A3670" i="1"/>
  <c r="B3670" i="1"/>
  <c r="C3670" i="1"/>
  <c r="E3670" i="1"/>
  <c r="G3670" i="1"/>
  <c r="K3670" i="1"/>
  <c r="A3671" i="1"/>
  <c r="B3671" i="1"/>
  <c r="C3671" i="1"/>
  <c r="E3671" i="1"/>
  <c r="G3671" i="1"/>
  <c r="K3671" i="1"/>
  <c r="A3672" i="1"/>
  <c r="B3672" i="1"/>
  <c r="C3672" i="1"/>
  <c r="E3672" i="1"/>
  <c r="G3672" i="1"/>
  <c r="K3672" i="1"/>
  <c r="A3673" i="1"/>
  <c r="B3673" i="1"/>
  <c r="C3673" i="1"/>
  <c r="E3673" i="1"/>
  <c r="G3673" i="1"/>
  <c r="K3673" i="1"/>
  <c r="A3674" i="1"/>
  <c r="B3674" i="1"/>
  <c r="C3674" i="1"/>
  <c r="E3674" i="1"/>
  <c r="G3674" i="1"/>
  <c r="K3674" i="1"/>
  <c r="A3675" i="1"/>
  <c r="B3675" i="1"/>
  <c r="C3675" i="1"/>
  <c r="E3675" i="1"/>
  <c r="G3675" i="1"/>
  <c r="K3675" i="1"/>
  <c r="A3676" i="1"/>
  <c r="B3676" i="1"/>
  <c r="C3676" i="1"/>
  <c r="E3676" i="1"/>
  <c r="G3676" i="1"/>
  <c r="K3676" i="1"/>
  <c r="A3677" i="1"/>
  <c r="B3677" i="1"/>
  <c r="C3677" i="1"/>
  <c r="E3677" i="1"/>
  <c r="G3677" i="1"/>
  <c r="K3677" i="1"/>
  <c r="A3678" i="1"/>
  <c r="B3678" i="1"/>
  <c r="C3678" i="1"/>
  <c r="E3678" i="1"/>
  <c r="G3678" i="1"/>
  <c r="K3678" i="1"/>
  <c r="A3679" i="1"/>
  <c r="B3679" i="1"/>
  <c r="C3679" i="1"/>
  <c r="E3679" i="1"/>
  <c r="G3679" i="1"/>
  <c r="K3679" i="1"/>
  <c r="A3680" i="1"/>
  <c r="B3680" i="1"/>
  <c r="C3680" i="1"/>
  <c r="E3680" i="1"/>
  <c r="G3680" i="1"/>
  <c r="K3680" i="1"/>
  <c r="A3681" i="1"/>
  <c r="B3681" i="1"/>
  <c r="C3681" i="1"/>
  <c r="E3681" i="1"/>
  <c r="G3681" i="1"/>
  <c r="K3681" i="1"/>
  <c r="A3682" i="1"/>
  <c r="B3682" i="1"/>
  <c r="C3682" i="1"/>
  <c r="E3682" i="1"/>
  <c r="G3682" i="1"/>
  <c r="K3682" i="1"/>
  <c r="A3683" i="1"/>
  <c r="B3683" i="1"/>
  <c r="C3683" i="1"/>
  <c r="E3683" i="1"/>
  <c r="G3683" i="1"/>
  <c r="K3683" i="1"/>
  <c r="A3684" i="1"/>
  <c r="B3684" i="1"/>
  <c r="C3684" i="1"/>
  <c r="E3684" i="1"/>
  <c r="G3684" i="1"/>
  <c r="K3684" i="1"/>
  <c r="A3685" i="1"/>
  <c r="B3685" i="1"/>
  <c r="C3685" i="1"/>
  <c r="E3685" i="1"/>
  <c r="G3685" i="1"/>
  <c r="K3685" i="1"/>
  <c r="A3686" i="1"/>
  <c r="B3686" i="1"/>
  <c r="C3686" i="1"/>
  <c r="E3686" i="1"/>
  <c r="G3686" i="1"/>
  <c r="K3686" i="1"/>
  <c r="A3687" i="1"/>
  <c r="B3687" i="1"/>
  <c r="C3687" i="1"/>
  <c r="E3687" i="1"/>
  <c r="G3687" i="1"/>
  <c r="K3687" i="1"/>
  <c r="A3688" i="1"/>
  <c r="B3688" i="1"/>
  <c r="C3688" i="1"/>
  <c r="E3688" i="1"/>
  <c r="G3688" i="1"/>
  <c r="K3688" i="1"/>
  <c r="A3689" i="1"/>
  <c r="B3689" i="1"/>
  <c r="C3689" i="1"/>
  <c r="E3689" i="1"/>
  <c r="G3689" i="1"/>
  <c r="K3689" i="1"/>
  <c r="A3690" i="1"/>
  <c r="B3690" i="1"/>
  <c r="C3690" i="1"/>
  <c r="E3690" i="1"/>
  <c r="G3690" i="1"/>
  <c r="K3690" i="1"/>
  <c r="A3691" i="1"/>
  <c r="B3691" i="1"/>
  <c r="C3691" i="1"/>
  <c r="E3691" i="1"/>
  <c r="G3691" i="1"/>
  <c r="K3691" i="1"/>
  <c r="A3692" i="1"/>
  <c r="B3692" i="1"/>
  <c r="C3692" i="1"/>
  <c r="E3692" i="1"/>
  <c r="G3692" i="1"/>
  <c r="K3692" i="1"/>
  <c r="A3693" i="1"/>
  <c r="B3693" i="1"/>
  <c r="C3693" i="1"/>
  <c r="E3693" i="1"/>
  <c r="G3693" i="1"/>
  <c r="K3693" i="1"/>
  <c r="A3694" i="1"/>
  <c r="B3694" i="1"/>
  <c r="C3694" i="1"/>
  <c r="E3694" i="1"/>
  <c r="G3694" i="1"/>
  <c r="K3694" i="1"/>
  <c r="A3695" i="1"/>
  <c r="B3695" i="1"/>
  <c r="C3695" i="1"/>
  <c r="E3695" i="1"/>
  <c r="G3695" i="1"/>
  <c r="K3695" i="1"/>
  <c r="A3696" i="1"/>
  <c r="B3696" i="1"/>
  <c r="C3696" i="1"/>
  <c r="E3696" i="1"/>
  <c r="G3696" i="1"/>
  <c r="K3696" i="1"/>
  <c r="A3697" i="1"/>
  <c r="B3697" i="1"/>
  <c r="C3697" i="1"/>
  <c r="E3697" i="1"/>
  <c r="G3697" i="1"/>
  <c r="K3697" i="1"/>
  <c r="A3698" i="1"/>
  <c r="B3698" i="1"/>
  <c r="C3698" i="1"/>
  <c r="E3698" i="1"/>
  <c r="G3698" i="1"/>
  <c r="K3698" i="1"/>
  <c r="A3699" i="1"/>
  <c r="B3699" i="1"/>
  <c r="C3699" i="1"/>
  <c r="E3699" i="1"/>
  <c r="G3699" i="1"/>
  <c r="K3699" i="1"/>
  <c r="A3700" i="1"/>
  <c r="B3700" i="1"/>
  <c r="C3700" i="1"/>
  <c r="E3700" i="1"/>
  <c r="G3700" i="1"/>
  <c r="K3700" i="1"/>
  <c r="A3701" i="1"/>
  <c r="B3701" i="1"/>
  <c r="C3701" i="1"/>
  <c r="E3701" i="1"/>
  <c r="G3701" i="1"/>
  <c r="K3701" i="1"/>
  <c r="A3702" i="1"/>
  <c r="B3702" i="1"/>
  <c r="C3702" i="1"/>
  <c r="E3702" i="1"/>
  <c r="G3702" i="1"/>
  <c r="K3702" i="1"/>
  <c r="A3703" i="1"/>
  <c r="B3703" i="1"/>
  <c r="C3703" i="1"/>
  <c r="E3703" i="1"/>
  <c r="G3703" i="1"/>
  <c r="K3703" i="1"/>
  <c r="A3704" i="1"/>
  <c r="B3704" i="1"/>
  <c r="C3704" i="1"/>
  <c r="E3704" i="1"/>
  <c r="G3704" i="1"/>
  <c r="K3704" i="1"/>
  <c r="A3705" i="1"/>
  <c r="B3705" i="1"/>
  <c r="C3705" i="1"/>
  <c r="E3705" i="1"/>
  <c r="G3705" i="1"/>
  <c r="K3705" i="1"/>
  <c r="A3706" i="1"/>
  <c r="B3706" i="1"/>
  <c r="C3706" i="1"/>
  <c r="E3706" i="1"/>
  <c r="G3706" i="1"/>
  <c r="K3706" i="1"/>
  <c r="A3707" i="1"/>
  <c r="B3707" i="1"/>
  <c r="C3707" i="1"/>
  <c r="E3707" i="1"/>
  <c r="G3707" i="1"/>
  <c r="K3707" i="1"/>
  <c r="A3708" i="1"/>
  <c r="B3708" i="1"/>
  <c r="C3708" i="1"/>
  <c r="E3708" i="1"/>
  <c r="G3708" i="1"/>
  <c r="K3708" i="1"/>
  <c r="A3709" i="1"/>
  <c r="B3709" i="1"/>
  <c r="C3709" i="1"/>
  <c r="E3709" i="1"/>
  <c r="G3709" i="1"/>
  <c r="K3709" i="1"/>
  <c r="A3710" i="1"/>
  <c r="B3710" i="1"/>
  <c r="C3710" i="1"/>
  <c r="E3710" i="1"/>
  <c r="G3710" i="1"/>
  <c r="K3710" i="1"/>
  <c r="A3711" i="1"/>
  <c r="B3711" i="1"/>
  <c r="C3711" i="1"/>
  <c r="E3711" i="1"/>
  <c r="G3711" i="1"/>
  <c r="K3711" i="1"/>
  <c r="A3712" i="1"/>
  <c r="B3712" i="1"/>
  <c r="C3712" i="1"/>
  <c r="E3712" i="1"/>
  <c r="G3712" i="1"/>
  <c r="K3712" i="1"/>
  <c r="A3713" i="1"/>
  <c r="B3713" i="1"/>
  <c r="C3713" i="1"/>
  <c r="E3713" i="1"/>
  <c r="G3713" i="1"/>
  <c r="K3713" i="1"/>
  <c r="A3714" i="1"/>
  <c r="B3714" i="1"/>
  <c r="C3714" i="1"/>
  <c r="E3714" i="1"/>
  <c r="G3714" i="1"/>
  <c r="K3714" i="1"/>
  <c r="A3715" i="1"/>
  <c r="B3715" i="1"/>
  <c r="C3715" i="1"/>
  <c r="E3715" i="1"/>
  <c r="G3715" i="1"/>
  <c r="K3715" i="1"/>
  <c r="A3716" i="1"/>
  <c r="B3716" i="1"/>
  <c r="C3716" i="1"/>
  <c r="E3716" i="1"/>
  <c r="G3716" i="1"/>
  <c r="K3716" i="1"/>
  <c r="A3717" i="1"/>
  <c r="B3717" i="1"/>
  <c r="C3717" i="1"/>
  <c r="E3717" i="1"/>
  <c r="G3717" i="1"/>
  <c r="K3717" i="1"/>
  <c r="A3718" i="1"/>
  <c r="B3718" i="1"/>
  <c r="C3718" i="1"/>
  <c r="E3718" i="1"/>
  <c r="G3718" i="1"/>
  <c r="K3718" i="1"/>
  <c r="A3719" i="1"/>
  <c r="B3719" i="1"/>
  <c r="C3719" i="1"/>
  <c r="E3719" i="1"/>
  <c r="G3719" i="1"/>
  <c r="K3719" i="1"/>
  <c r="A3720" i="1"/>
  <c r="B3720" i="1"/>
  <c r="C3720" i="1"/>
  <c r="E3720" i="1"/>
  <c r="G3720" i="1"/>
  <c r="K3720" i="1"/>
  <c r="A3721" i="1"/>
  <c r="B3721" i="1"/>
  <c r="C3721" i="1"/>
  <c r="E3721" i="1"/>
  <c r="G3721" i="1"/>
  <c r="K3721" i="1"/>
  <c r="A3722" i="1"/>
  <c r="B3722" i="1"/>
  <c r="C3722" i="1"/>
  <c r="E3722" i="1"/>
  <c r="G3722" i="1"/>
  <c r="K3722" i="1"/>
  <c r="A3723" i="1"/>
  <c r="B3723" i="1"/>
  <c r="C3723" i="1"/>
  <c r="E3723" i="1"/>
  <c r="G3723" i="1"/>
  <c r="K3723" i="1"/>
  <c r="A3724" i="1"/>
  <c r="B3724" i="1"/>
  <c r="C3724" i="1"/>
  <c r="E3724" i="1"/>
  <c r="G3724" i="1"/>
  <c r="K3724" i="1"/>
  <c r="A3725" i="1"/>
  <c r="B3725" i="1"/>
  <c r="C3725" i="1"/>
  <c r="E3725" i="1"/>
  <c r="G3725" i="1"/>
  <c r="K3725" i="1"/>
  <c r="A3726" i="1"/>
  <c r="B3726" i="1"/>
  <c r="C3726" i="1"/>
  <c r="E3726" i="1"/>
  <c r="G3726" i="1"/>
  <c r="K3726" i="1"/>
  <c r="A3727" i="1"/>
  <c r="B3727" i="1"/>
  <c r="C3727" i="1"/>
  <c r="E3727" i="1"/>
  <c r="G3727" i="1"/>
  <c r="K3727" i="1"/>
  <c r="A3728" i="1"/>
  <c r="B3728" i="1"/>
  <c r="C3728" i="1"/>
  <c r="E3728" i="1"/>
  <c r="G3728" i="1"/>
  <c r="K3728" i="1"/>
  <c r="A3729" i="1"/>
  <c r="B3729" i="1"/>
  <c r="C3729" i="1"/>
  <c r="E3729" i="1"/>
  <c r="G3729" i="1"/>
  <c r="K3729" i="1"/>
  <c r="A3730" i="1"/>
  <c r="B3730" i="1"/>
  <c r="C3730" i="1"/>
  <c r="E3730" i="1"/>
  <c r="G3730" i="1"/>
  <c r="K3730" i="1"/>
  <c r="A3731" i="1"/>
  <c r="B3731" i="1"/>
  <c r="C3731" i="1"/>
  <c r="E3731" i="1"/>
  <c r="G3731" i="1"/>
  <c r="K3731" i="1"/>
  <c r="A3732" i="1"/>
  <c r="B3732" i="1"/>
  <c r="C3732" i="1"/>
  <c r="E3732" i="1"/>
  <c r="G3732" i="1"/>
  <c r="K3732" i="1"/>
  <c r="A3733" i="1"/>
  <c r="B3733" i="1"/>
  <c r="C3733" i="1"/>
  <c r="E3733" i="1"/>
  <c r="G3733" i="1"/>
  <c r="K3733" i="1"/>
  <c r="A3734" i="1"/>
  <c r="B3734" i="1"/>
  <c r="C3734" i="1"/>
  <c r="E3734" i="1"/>
  <c r="G3734" i="1"/>
  <c r="K3734" i="1"/>
  <c r="A3735" i="1"/>
  <c r="B3735" i="1"/>
  <c r="C3735" i="1"/>
  <c r="E3735" i="1"/>
  <c r="G3735" i="1"/>
  <c r="K3735" i="1"/>
  <c r="A3736" i="1"/>
  <c r="B3736" i="1"/>
  <c r="C3736" i="1"/>
  <c r="E3736" i="1"/>
  <c r="G3736" i="1"/>
  <c r="K3736" i="1"/>
  <c r="A3737" i="1"/>
  <c r="B3737" i="1"/>
  <c r="C3737" i="1"/>
  <c r="E3737" i="1"/>
  <c r="G3737" i="1"/>
  <c r="K3737" i="1"/>
  <c r="A3738" i="1"/>
  <c r="B3738" i="1"/>
  <c r="C3738" i="1"/>
  <c r="E3738" i="1"/>
  <c r="G3738" i="1"/>
  <c r="K3738" i="1"/>
  <c r="A3739" i="1"/>
  <c r="B3739" i="1"/>
  <c r="C3739" i="1"/>
  <c r="E3739" i="1"/>
  <c r="G3739" i="1"/>
  <c r="K3739" i="1"/>
  <c r="A3740" i="1"/>
  <c r="B3740" i="1"/>
  <c r="C3740" i="1"/>
  <c r="E3740" i="1"/>
  <c r="G3740" i="1"/>
  <c r="K3740" i="1"/>
  <c r="A3741" i="1"/>
  <c r="B3741" i="1"/>
  <c r="C3741" i="1"/>
  <c r="E3741" i="1"/>
  <c r="G3741" i="1"/>
  <c r="K3741" i="1"/>
  <c r="A3742" i="1"/>
  <c r="B3742" i="1"/>
  <c r="C3742" i="1"/>
  <c r="E3742" i="1"/>
  <c r="G3742" i="1"/>
  <c r="K3742" i="1"/>
  <c r="A3743" i="1"/>
  <c r="B3743" i="1"/>
  <c r="C3743" i="1"/>
  <c r="E3743" i="1"/>
  <c r="G3743" i="1"/>
  <c r="K3743" i="1"/>
  <c r="A3744" i="1"/>
  <c r="B3744" i="1"/>
  <c r="C3744" i="1"/>
  <c r="E3744" i="1"/>
  <c r="G3744" i="1"/>
  <c r="K3744" i="1"/>
  <c r="A3745" i="1"/>
  <c r="B3745" i="1"/>
  <c r="C3745" i="1"/>
  <c r="E3745" i="1"/>
  <c r="G3745" i="1"/>
  <c r="K3745" i="1"/>
  <c r="A3746" i="1"/>
  <c r="B3746" i="1"/>
  <c r="C3746" i="1"/>
  <c r="E3746" i="1"/>
  <c r="G3746" i="1"/>
  <c r="K3746" i="1"/>
  <c r="A3747" i="1"/>
  <c r="B3747" i="1"/>
  <c r="C3747" i="1"/>
  <c r="E3747" i="1"/>
  <c r="G3747" i="1"/>
  <c r="K3747" i="1"/>
  <c r="A3748" i="1"/>
  <c r="B3748" i="1"/>
  <c r="C3748" i="1"/>
  <c r="E3748" i="1"/>
  <c r="G3748" i="1"/>
  <c r="K3748" i="1"/>
  <c r="A3749" i="1"/>
  <c r="B3749" i="1"/>
  <c r="C3749" i="1"/>
  <c r="E3749" i="1"/>
  <c r="G3749" i="1"/>
  <c r="K3749" i="1"/>
  <c r="A3750" i="1"/>
  <c r="B3750" i="1"/>
  <c r="C3750" i="1"/>
  <c r="E3750" i="1"/>
  <c r="G3750" i="1"/>
  <c r="K3750" i="1"/>
  <c r="A3751" i="1"/>
  <c r="B3751" i="1"/>
  <c r="C3751" i="1"/>
  <c r="E3751" i="1"/>
  <c r="G3751" i="1"/>
  <c r="K3751" i="1"/>
  <c r="A3752" i="1"/>
  <c r="B3752" i="1"/>
  <c r="C3752" i="1"/>
  <c r="E3752" i="1"/>
  <c r="G3752" i="1"/>
  <c r="K3752" i="1"/>
  <c r="A3753" i="1"/>
  <c r="B3753" i="1"/>
  <c r="C3753" i="1"/>
  <c r="E3753" i="1"/>
  <c r="G3753" i="1"/>
  <c r="K3753" i="1"/>
  <c r="A3754" i="1"/>
  <c r="B3754" i="1"/>
  <c r="C3754" i="1"/>
  <c r="E3754" i="1"/>
  <c r="G3754" i="1"/>
  <c r="K3754" i="1"/>
  <c r="A3755" i="1"/>
  <c r="B3755" i="1"/>
  <c r="C3755" i="1"/>
  <c r="E3755" i="1"/>
  <c r="G3755" i="1"/>
  <c r="K3755" i="1"/>
  <c r="A3756" i="1"/>
  <c r="B3756" i="1"/>
  <c r="C3756" i="1"/>
  <c r="E3756" i="1"/>
  <c r="G3756" i="1"/>
  <c r="K3756" i="1"/>
  <c r="A3757" i="1"/>
  <c r="B3757" i="1"/>
  <c r="C3757" i="1"/>
  <c r="E3757" i="1"/>
  <c r="G3757" i="1"/>
  <c r="K3757" i="1"/>
  <c r="A3758" i="1"/>
  <c r="B3758" i="1"/>
  <c r="C3758" i="1"/>
  <c r="E3758" i="1"/>
  <c r="G3758" i="1"/>
  <c r="K3758" i="1"/>
  <c r="A3759" i="1"/>
  <c r="B3759" i="1"/>
  <c r="C3759" i="1"/>
  <c r="E3759" i="1"/>
  <c r="G3759" i="1"/>
  <c r="K3759" i="1"/>
  <c r="A3760" i="1"/>
  <c r="B3760" i="1"/>
  <c r="C3760" i="1"/>
  <c r="E3760" i="1"/>
  <c r="G3760" i="1"/>
  <c r="K3760" i="1"/>
  <c r="A3761" i="1"/>
  <c r="B3761" i="1"/>
  <c r="C3761" i="1"/>
  <c r="E3761" i="1"/>
  <c r="G3761" i="1"/>
  <c r="K3761" i="1"/>
  <c r="A3762" i="1"/>
  <c r="B3762" i="1"/>
  <c r="C3762" i="1"/>
  <c r="E3762" i="1"/>
  <c r="G3762" i="1"/>
  <c r="K3762" i="1"/>
  <c r="A3763" i="1"/>
  <c r="B3763" i="1"/>
  <c r="C3763" i="1"/>
  <c r="E3763" i="1"/>
  <c r="G3763" i="1"/>
  <c r="K3763" i="1"/>
  <c r="A3764" i="1"/>
  <c r="B3764" i="1"/>
  <c r="C3764" i="1"/>
  <c r="E3764" i="1"/>
  <c r="G3764" i="1"/>
  <c r="K3764" i="1"/>
  <c r="A3765" i="1"/>
  <c r="B3765" i="1"/>
  <c r="C3765" i="1"/>
  <c r="E3765" i="1"/>
  <c r="G3765" i="1"/>
  <c r="K3765" i="1"/>
  <c r="A3766" i="1"/>
  <c r="B3766" i="1"/>
  <c r="C3766" i="1"/>
  <c r="E3766" i="1"/>
  <c r="G3766" i="1"/>
  <c r="K3766" i="1"/>
  <c r="A3767" i="1"/>
  <c r="B3767" i="1"/>
  <c r="C3767" i="1"/>
  <c r="E3767" i="1"/>
  <c r="G3767" i="1"/>
  <c r="K3767" i="1"/>
  <c r="A3768" i="1"/>
  <c r="B3768" i="1"/>
  <c r="C3768" i="1"/>
  <c r="E3768" i="1"/>
  <c r="G3768" i="1"/>
  <c r="K3768" i="1"/>
  <c r="A3769" i="1"/>
  <c r="B3769" i="1"/>
  <c r="C3769" i="1"/>
  <c r="E3769" i="1"/>
  <c r="G3769" i="1"/>
  <c r="K3769" i="1"/>
  <c r="A3770" i="1"/>
  <c r="B3770" i="1"/>
  <c r="C3770" i="1"/>
  <c r="E3770" i="1"/>
  <c r="G3770" i="1"/>
  <c r="K3770" i="1"/>
  <c r="A3771" i="1"/>
  <c r="B3771" i="1"/>
  <c r="C3771" i="1"/>
  <c r="E3771" i="1"/>
  <c r="G3771" i="1"/>
  <c r="K3771" i="1"/>
  <c r="A3772" i="1"/>
  <c r="B3772" i="1"/>
  <c r="C3772" i="1"/>
  <c r="E3772" i="1"/>
  <c r="G3772" i="1"/>
  <c r="K3772" i="1"/>
  <c r="A3773" i="1"/>
  <c r="B3773" i="1"/>
  <c r="C3773" i="1"/>
  <c r="E3773" i="1"/>
  <c r="G3773" i="1"/>
  <c r="K3773" i="1"/>
  <c r="A3774" i="1"/>
  <c r="B3774" i="1"/>
  <c r="C3774" i="1"/>
  <c r="E3774" i="1"/>
  <c r="G3774" i="1"/>
  <c r="K3774" i="1"/>
  <c r="A3775" i="1"/>
  <c r="B3775" i="1"/>
  <c r="C3775" i="1"/>
  <c r="E3775" i="1"/>
  <c r="G3775" i="1"/>
  <c r="K3775" i="1"/>
  <c r="A3776" i="1"/>
  <c r="B3776" i="1"/>
  <c r="C3776" i="1"/>
  <c r="E3776" i="1"/>
  <c r="G3776" i="1"/>
  <c r="K3776" i="1"/>
  <c r="A3777" i="1"/>
  <c r="B3777" i="1"/>
  <c r="C3777" i="1"/>
  <c r="E3777" i="1"/>
  <c r="G3777" i="1"/>
  <c r="K3777" i="1"/>
  <c r="A3778" i="1"/>
  <c r="B3778" i="1"/>
  <c r="C3778" i="1"/>
  <c r="E3778" i="1"/>
  <c r="G3778" i="1"/>
  <c r="K3778" i="1"/>
  <c r="A3779" i="1"/>
  <c r="B3779" i="1"/>
  <c r="C3779" i="1"/>
  <c r="E3779" i="1"/>
  <c r="G3779" i="1"/>
  <c r="K3779" i="1"/>
  <c r="A3780" i="1"/>
  <c r="B3780" i="1"/>
  <c r="C3780" i="1"/>
  <c r="E3780" i="1"/>
  <c r="G3780" i="1"/>
  <c r="K3780" i="1"/>
  <c r="A3781" i="1"/>
  <c r="B3781" i="1"/>
  <c r="C3781" i="1"/>
  <c r="E3781" i="1"/>
  <c r="G3781" i="1"/>
  <c r="K3781" i="1"/>
  <c r="A3782" i="1"/>
  <c r="B3782" i="1"/>
  <c r="C3782" i="1"/>
  <c r="E3782" i="1"/>
  <c r="G3782" i="1"/>
  <c r="K3782" i="1"/>
  <c r="A3783" i="1"/>
  <c r="B3783" i="1"/>
  <c r="C3783" i="1"/>
  <c r="E3783" i="1"/>
  <c r="G3783" i="1"/>
  <c r="K3783" i="1"/>
  <c r="A3784" i="1"/>
  <c r="B3784" i="1"/>
  <c r="C3784" i="1"/>
  <c r="E3784" i="1"/>
  <c r="G3784" i="1"/>
  <c r="K3784" i="1"/>
  <c r="A3785" i="1"/>
  <c r="B3785" i="1"/>
  <c r="C3785" i="1"/>
  <c r="E3785" i="1"/>
  <c r="G3785" i="1"/>
  <c r="K3785" i="1"/>
  <c r="A3786" i="1"/>
  <c r="B3786" i="1"/>
  <c r="C3786" i="1"/>
  <c r="E3786" i="1"/>
  <c r="G3786" i="1"/>
  <c r="K3786" i="1"/>
  <c r="A3787" i="1"/>
  <c r="B3787" i="1"/>
  <c r="C3787" i="1"/>
  <c r="E3787" i="1"/>
  <c r="G3787" i="1"/>
  <c r="K3787" i="1"/>
  <c r="A3788" i="1"/>
  <c r="B3788" i="1"/>
  <c r="C3788" i="1"/>
  <c r="E3788" i="1"/>
  <c r="G3788" i="1"/>
  <c r="K3788" i="1"/>
  <c r="A3789" i="1"/>
  <c r="B3789" i="1"/>
  <c r="C3789" i="1"/>
  <c r="E3789" i="1"/>
  <c r="G3789" i="1"/>
  <c r="K3789" i="1"/>
  <c r="A3790" i="1"/>
  <c r="B3790" i="1"/>
  <c r="C3790" i="1"/>
  <c r="E3790" i="1"/>
  <c r="G3790" i="1"/>
  <c r="K3790" i="1"/>
  <c r="A3791" i="1"/>
  <c r="B3791" i="1"/>
  <c r="C3791" i="1"/>
  <c r="E3791" i="1"/>
  <c r="G3791" i="1"/>
  <c r="K3791" i="1"/>
  <c r="A3792" i="1"/>
  <c r="B3792" i="1"/>
  <c r="C3792" i="1"/>
  <c r="E3792" i="1"/>
  <c r="G3792" i="1"/>
  <c r="K3792" i="1"/>
  <c r="A3793" i="1"/>
  <c r="B3793" i="1"/>
  <c r="C3793" i="1"/>
  <c r="E3793" i="1"/>
  <c r="G3793" i="1"/>
  <c r="K3793" i="1"/>
  <c r="A3794" i="1"/>
  <c r="B3794" i="1"/>
  <c r="C3794" i="1"/>
  <c r="E3794" i="1"/>
  <c r="G3794" i="1"/>
  <c r="K3794" i="1"/>
  <c r="A3795" i="1"/>
  <c r="B3795" i="1"/>
  <c r="C3795" i="1"/>
  <c r="E3795" i="1"/>
  <c r="G3795" i="1"/>
  <c r="K3795" i="1"/>
  <c r="A3796" i="1"/>
  <c r="B3796" i="1"/>
  <c r="C3796" i="1"/>
  <c r="E3796" i="1"/>
  <c r="G3796" i="1"/>
  <c r="K3796" i="1"/>
  <c r="A3797" i="1"/>
  <c r="B3797" i="1"/>
  <c r="C3797" i="1"/>
  <c r="E3797" i="1"/>
  <c r="G3797" i="1"/>
  <c r="K3797" i="1"/>
  <c r="A3798" i="1"/>
  <c r="B3798" i="1"/>
  <c r="C3798" i="1"/>
  <c r="E3798" i="1"/>
  <c r="G3798" i="1"/>
  <c r="K3798" i="1"/>
  <c r="A3799" i="1"/>
  <c r="B3799" i="1"/>
  <c r="C3799" i="1"/>
  <c r="E3799" i="1"/>
  <c r="G3799" i="1"/>
  <c r="K3799" i="1"/>
  <c r="A3800" i="1"/>
  <c r="B3800" i="1"/>
  <c r="C3800" i="1"/>
  <c r="E3800" i="1"/>
  <c r="G3800" i="1"/>
  <c r="K3800" i="1"/>
  <c r="A3801" i="1"/>
  <c r="B3801" i="1"/>
  <c r="C3801" i="1"/>
  <c r="E3801" i="1"/>
  <c r="G3801" i="1"/>
  <c r="K3801" i="1"/>
  <c r="A3802" i="1"/>
  <c r="B3802" i="1"/>
  <c r="C3802" i="1"/>
  <c r="E3802" i="1"/>
  <c r="G3802" i="1"/>
  <c r="K3802" i="1"/>
  <c r="A3803" i="1"/>
  <c r="B3803" i="1"/>
  <c r="C3803" i="1"/>
  <c r="E3803" i="1"/>
  <c r="G3803" i="1"/>
  <c r="K3803" i="1"/>
  <c r="A3804" i="1"/>
  <c r="B3804" i="1"/>
  <c r="C3804" i="1"/>
  <c r="E3804" i="1"/>
  <c r="G3804" i="1"/>
  <c r="K3804" i="1"/>
  <c r="A3805" i="1"/>
  <c r="B3805" i="1"/>
  <c r="C3805" i="1"/>
  <c r="E3805" i="1"/>
  <c r="G3805" i="1"/>
  <c r="K3805" i="1"/>
  <c r="A3806" i="1"/>
  <c r="B3806" i="1"/>
  <c r="C3806" i="1"/>
  <c r="E3806" i="1"/>
  <c r="G3806" i="1"/>
  <c r="K3806" i="1"/>
  <c r="A3807" i="1"/>
  <c r="B3807" i="1"/>
  <c r="C3807" i="1"/>
  <c r="E3807" i="1"/>
  <c r="G3807" i="1"/>
  <c r="K3807" i="1"/>
  <c r="A3808" i="1"/>
  <c r="B3808" i="1"/>
  <c r="C3808" i="1"/>
  <c r="E3808" i="1"/>
  <c r="G3808" i="1"/>
  <c r="K3808" i="1"/>
  <c r="A3809" i="1"/>
  <c r="B3809" i="1"/>
  <c r="C3809" i="1"/>
  <c r="E3809" i="1"/>
  <c r="G3809" i="1"/>
  <c r="K3809" i="1"/>
  <c r="A3810" i="1"/>
  <c r="B3810" i="1"/>
  <c r="C3810" i="1"/>
  <c r="E3810" i="1"/>
  <c r="G3810" i="1"/>
  <c r="K3810" i="1"/>
  <c r="A3811" i="1"/>
  <c r="B3811" i="1"/>
  <c r="C3811" i="1"/>
  <c r="E3811" i="1"/>
  <c r="G3811" i="1"/>
  <c r="K3811" i="1"/>
  <c r="A3812" i="1"/>
  <c r="B3812" i="1"/>
  <c r="C3812" i="1"/>
  <c r="E3812" i="1"/>
  <c r="G3812" i="1"/>
  <c r="K3812" i="1"/>
  <c r="A3813" i="1"/>
  <c r="B3813" i="1"/>
  <c r="C3813" i="1"/>
  <c r="E3813" i="1"/>
  <c r="G3813" i="1"/>
  <c r="K3813" i="1"/>
  <c r="A3814" i="1"/>
  <c r="B3814" i="1"/>
  <c r="C3814" i="1"/>
  <c r="E3814" i="1"/>
  <c r="G3814" i="1"/>
  <c r="K3814" i="1"/>
  <c r="A3815" i="1"/>
  <c r="B3815" i="1"/>
  <c r="C3815" i="1"/>
  <c r="E3815" i="1"/>
  <c r="G3815" i="1"/>
  <c r="K3815" i="1"/>
  <c r="A3816" i="1"/>
  <c r="B3816" i="1"/>
  <c r="C3816" i="1"/>
  <c r="E3816" i="1"/>
  <c r="G3816" i="1"/>
  <c r="K3816" i="1"/>
  <c r="A3817" i="1"/>
  <c r="B3817" i="1"/>
  <c r="C3817" i="1"/>
  <c r="E3817" i="1"/>
  <c r="G3817" i="1"/>
  <c r="K3817" i="1"/>
  <c r="A3818" i="1"/>
  <c r="B3818" i="1"/>
  <c r="C3818" i="1"/>
  <c r="E3818" i="1"/>
  <c r="G3818" i="1"/>
  <c r="K3818" i="1"/>
  <c r="A3819" i="1"/>
  <c r="B3819" i="1"/>
  <c r="C3819" i="1"/>
  <c r="E3819" i="1"/>
  <c r="G3819" i="1"/>
  <c r="K3819" i="1"/>
  <c r="A3820" i="1"/>
  <c r="B3820" i="1"/>
  <c r="C3820" i="1"/>
  <c r="E3820" i="1"/>
  <c r="G3820" i="1"/>
  <c r="K3820" i="1"/>
  <c r="A3821" i="1"/>
  <c r="B3821" i="1"/>
  <c r="C3821" i="1"/>
  <c r="E3821" i="1"/>
  <c r="G3821" i="1"/>
  <c r="K3821" i="1"/>
  <c r="A3822" i="1"/>
  <c r="B3822" i="1"/>
  <c r="C3822" i="1"/>
  <c r="E3822" i="1"/>
  <c r="G3822" i="1"/>
  <c r="K3822" i="1"/>
  <c r="A3823" i="1"/>
  <c r="B3823" i="1"/>
  <c r="C3823" i="1"/>
  <c r="E3823" i="1"/>
  <c r="G3823" i="1"/>
  <c r="K3823" i="1"/>
  <c r="A3824" i="1"/>
  <c r="B3824" i="1"/>
  <c r="C3824" i="1"/>
  <c r="E3824" i="1"/>
  <c r="G3824" i="1"/>
  <c r="K3824" i="1"/>
  <c r="A3825" i="1"/>
  <c r="B3825" i="1"/>
  <c r="C3825" i="1"/>
  <c r="E3825" i="1"/>
  <c r="G3825" i="1"/>
  <c r="K3825" i="1"/>
  <c r="A3826" i="1"/>
  <c r="B3826" i="1"/>
  <c r="C3826" i="1"/>
  <c r="E3826" i="1"/>
  <c r="G3826" i="1"/>
  <c r="K3826" i="1"/>
  <c r="A3827" i="1"/>
  <c r="B3827" i="1"/>
  <c r="C3827" i="1"/>
  <c r="E3827" i="1"/>
  <c r="G3827" i="1"/>
  <c r="K3827" i="1"/>
  <c r="A3828" i="1"/>
  <c r="B3828" i="1"/>
  <c r="C3828" i="1"/>
  <c r="E3828" i="1"/>
  <c r="G3828" i="1"/>
  <c r="K3828" i="1"/>
  <c r="A3829" i="1"/>
  <c r="B3829" i="1"/>
  <c r="C3829" i="1"/>
  <c r="E3829" i="1"/>
  <c r="G3829" i="1"/>
  <c r="K3829" i="1"/>
  <c r="A3830" i="1"/>
  <c r="B3830" i="1"/>
  <c r="C3830" i="1"/>
  <c r="E3830" i="1"/>
  <c r="G3830" i="1"/>
  <c r="K3830" i="1"/>
  <c r="A3831" i="1"/>
  <c r="B3831" i="1"/>
  <c r="C3831" i="1"/>
  <c r="E3831" i="1"/>
  <c r="G3831" i="1"/>
  <c r="K3831" i="1"/>
  <c r="A3832" i="1"/>
  <c r="B3832" i="1"/>
  <c r="C3832" i="1"/>
  <c r="E3832" i="1"/>
  <c r="G3832" i="1"/>
  <c r="K3832" i="1"/>
  <c r="A3833" i="1"/>
  <c r="B3833" i="1"/>
  <c r="C3833" i="1"/>
  <c r="E3833" i="1"/>
  <c r="G3833" i="1"/>
  <c r="K3833" i="1"/>
  <c r="A3834" i="1"/>
  <c r="B3834" i="1"/>
  <c r="C3834" i="1"/>
  <c r="E3834" i="1"/>
  <c r="G3834" i="1"/>
  <c r="K3834" i="1"/>
  <c r="A3835" i="1"/>
  <c r="B3835" i="1"/>
  <c r="C3835" i="1"/>
  <c r="E3835" i="1"/>
  <c r="G3835" i="1"/>
  <c r="K3835" i="1"/>
  <c r="A3836" i="1"/>
  <c r="B3836" i="1"/>
  <c r="C3836" i="1"/>
  <c r="E3836" i="1"/>
  <c r="G3836" i="1"/>
  <c r="K3836" i="1"/>
  <c r="A3837" i="1"/>
  <c r="B3837" i="1"/>
  <c r="C3837" i="1"/>
  <c r="E3837" i="1"/>
  <c r="G3837" i="1"/>
  <c r="K3837" i="1"/>
  <c r="A3838" i="1"/>
  <c r="B3838" i="1"/>
  <c r="C3838" i="1"/>
  <c r="E3838" i="1"/>
  <c r="G3838" i="1"/>
  <c r="K3838" i="1"/>
  <c r="A3839" i="1"/>
  <c r="B3839" i="1"/>
  <c r="C3839" i="1"/>
  <c r="E3839" i="1"/>
  <c r="G3839" i="1"/>
  <c r="K3839" i="1"/>
  <c r="A3840" i="1"/>
  <c r="B3840" i="1"/>
  <c r="C3840" i="1"/>
  <c r="E3840" i="1"/>
  <c r="G3840" i="1"/>
  <c r="K3840" i="1"/>
  <c r="A3841" i="1"/>
  <c r="B3841" i="1"/>
  <c r="C3841" i="1"/>
  <c r="E3841" i="1"/>
  <c r="G3841" i="1"/>
  <c r="K3841" i="1"/>
  <c r="A3842" i="1"/>
  <c r="B3842" i="1"/>
  <c r="C3842" i="1"/>
  <c r="E3842" i="1"/>
  <c r="G3842" i="1"/>
  <c r="K3842" i="1"/>
  <c r="A3843" i="1"/>
  <c r="B3843" i="1"/>
  <c r="C3843" i="1"/>
  <c r="E3843" i="1"/>
  <c r="G3843" i="1"/>
  <c r="K3843" i="1"/>
  <c r="A3844" i="1"/>
  <c r="B3844" i="1"/>
  <c r="C3844" i="1"/>
  <c r="E3844" i="1"/>
  <c r="G3844" i="1"/>
  <c r="K3844" i="1"/>
  <c r="A3845" i="1"/>
  <c r="B3845" i="1"/>
  <c r="C3845" i="1"/>
  <c r="E3845" i="1"/>
  <c r="G3845" i="1"/>
  <c r="K3845" i="1"/>
  <c r="A3846" i="1"/>
  <c r="B3846" i="1"/>
  <c r="C3846" i="1"/>
  <c r="E3846" i="1"/>
  <c r="G3846" i="1"/>
  <c r="K3846" i="1"/>
  <c r="A3847" i="1"/>
  <c r="B3847" i="1"/>
  <c r="C3847" i="1"/>
  <c r="E3847" i="1"/>
  <c r="G3847" i="1"/>
  <c r="K3847" i="1"/>
  <c r="A3848" i="1"/>
  <c r="B3848" i="1"/>
  <c r="C3848" i="1"/>
  <c r="E3848" i="1"/>
  <c r="G3848" i="1"/>
  <c r="K3848" i="1"/>
  <c r="A3849" i="1"/>
  <c r="B3849" i="1"/>
  <c r="C3849" i="1"/>
  <c r="E3849" i="1"/>
  <c r="G3849" i="1"/>
  <c r="K3849" i="1"/>
  <c r="A3850" i="1"/>
  <c r="B3850" i="1"/>
  <c r="C3850" i="1"/>
  <c r="E3850" i="1"/>
  <c r="G3850" i="1"/>
  <c r="K3850" i="1"/>
  <c r="A3851" i="1"/>
  <c r="B3851" i="1"/>
  <c r="C3851" i="1"/>
  <c r="E3851" i="1"/>
  <c r="G3851" i="1"/>
  <c r="K3851" i="1"/>
  <c r="A3852" i="1"/>
  <c r="B3852" i="1"/>
  <c r="C3852" i="1"/>
  <c r="E3852" i="1"/>
  <c r="G3852" i="1"/>
  <c r="K3852" i="1"/>
  <c r="A3853" i="1"/>
  <c r="B3853" i="1"/>
  <c r="C3853" i="1"/>
  <c r="E3853" i="1"/>
  <c r="G3853" i="1"/>
  <c r="K3853" i="1"/>
  <c r="A3854" i="1"/>
  <c r="B3854" i="1"/>
  <c r="C3854" i="1"/>
  <c r="E3854" i="1"/>
  <c r="G3854" i="1"/>
  <c r="K3854" i="1"/>
  <c r="A3855" i="1"/>
  <c r="B3855" i="1"/>
  <c r="C3855" i="1"/>
  <c r="E3855" i="1"/>
  <c r="G3855" i="1"/>
  <c r="K3855" i="1"/>
  <c r="A3856" i="1"/>
  <c r="B3856" i="1"/>
  <c r="C3856" i="1"/>
  <c r="E3856" i="1"/>
  <c r="G3856" i="1"/>
  <c r="K3856" i="1"/>
  <c r="A3857" i="1"/>
  <c r="B3857" i="1"/>
  <c r="C3857" i="1"/>
  <c r="E3857" i="1"/>
  <c r="G3857" i="1"/>
  <c r="K3857" i="1"/>
  <c r="A3858" i="1"/>
  <c r="B3858" i="1"/>
  <c r="C3858" i="1"/>
  <c r="E3858" i="1"/>
  <c r="G3858" i="1"/>
  <c r="K3858" i="1"/>
  <c r="A3859" i="1"/>
  <c r="B3859" i="1"/>
  <c r="C3859" i="1"/>
  <c r="E3859" i="1"/>
  <c r="G3859" i="1"/>
  <c r="K3859" i="1"/>
  <c r="A3860" i="1"/>
  <c r="B3860" i="1"/>
  <c r="C3860" i="1"/>
  <c r="E3860" i="1"/>
  <c r="G3860" i="1"/>
  <c r="K3860" i="1"/>
  <c r="A3861" i="1"/>
  <c r="B3861" i="1"/>
  <c r="C3861" i="1"/>
  <c r="E3861" i="1"/>
  <c r="G3861" i="1"/>
  <c r="K3861" i="1"/>
  <c r="A3862" i="1"/>
  <c r="B3862" i="1"/>
  <c r="C3862" i="1"/>
  <c r="E3862" i="1"/>
  <c r="G3862" i="1"/>
  <c r="K3862" i="1"/>
  <c r="A3863" i="1"/>
  <c r="B3863" i="1"/>
  <c r="C3863" i="1"/>
  <c r="E3863" i="1"/>
  <c r="G3863" i="1"/>
  <c r="K3863" i="1"/>
  <c r="A3864" i="1"/>
  <c r="B3864" i="1"/>
  <c r="C3864" i="1"/>
  <c r="E3864" i="1"/>
  <c r="G3864" i="1"/>
  <c r="K3864" i="1"/>
  <c r="A3865" i="1"/>
  <c r="B3865" i="1"/>
  <c r="C3865" i="1"/>
  <c r="E3865" i="1"/>
  <c r="G3865" i="1"/>
  <c r="K3865" i="1"/>
  <c r="A3866" i="1"/>
  <c r="B3866" i="1"/>
  <c r="C3866" i="1"/>
  <c r="E3866" i="1"/>
  <c r="G3866" i="1"/>
  <c r="K3866" i="1"/>
  <c r="A3867" i="1"/>
  <c r="B3867" i="1"/>
  <c r="C3867" i="1"/>
  <c r="E3867" i="1"/>
  <c r="G3867" i="1"/>
  <c r="K3867" i="1"/>
  <c r="A3868" i="1"/>
  <c r="B3868" i="1"/>
  <c r="C3868" i="1"/>
  <c r="E3868" i="1"/>
  <c r="G3868" i="1"/>
  <c r="K3868" i="1"/>
  <c r="A3869" i="1"/>
  <c r="B3869" i="1"/>
  <c r="C3869" i="1"/>
  <c r="E3869" i="1"/>
  <c r="G3869" i="1"/>
  <c r="K3869" i="1"/>
  <c r="A3870" i="1"/>
  <c r="B3870" i="1"/>
  <c r="C3870" i="1"/>
  <c r="E3870" i="1"/>
  <c r="G3870" i="1"/>
  <c r="K3870" i="1"/>
  <c r="A3871" i="1"/>
  <c r="B3871" i="1"/>
  <c r="C3871" i="1"/>
  <c r="E3871" i="1"/>
  <c r="G3871" i="1"/>
  <c r="K3871" i="1"/>
  <c r="A3872" i="1"/>
  <c r="B3872" i="1"/>
  <c r="C3872" i="1"/>
  <c r="E3872" i="1"/>
  <c r="G3872" i="1"/>
  <c r="K3872" i="1"/>
  <c r="A3873" i="1"/>
  <c r="B3873" i="1"/>
  <c r="C3873" i="1"/>
  <c r="E3873" i="1"/>
  <c r="G3873" i="1"/>
  <c r="K3873" i="1"/>
  <c r="A3874" i="1"/>
  <c r="B3874" i="1"/>
  <c r="C3874" i="1"/>
  <c r="E3874" i="1"/>
  <c r="G3874" i="1"/>
  <c r="K3874" i="1"/>
  <c r="A3875" i="1"/>
  <c r="B3875" i="1"/>
  <c r="C3875" i="1"/>
  <c r="E3875" i="1"/>
  <c r="G3875" i="1"/>
  <c r="K3875" i="1"/>
  <c r="A3876" i="1"/>
  <c r="B3876" i="1"/>
  <c r="C3876" i="1"/>
  <c r="E3876" i="1"/>
  <c r="G3876" i="1"/>
  <c r="K3876" i="1"/>
  <c r="A3877" i="1"/>
  <c r="B3877" i="1"/>
  <c r="C3877" i="1"/>
  <c r="E3877" i="1"/>
  <c r="G3877" i="1"/>
  <c r="K3877" i="1"/>
  <c r="A3878" i="1"/>
  <c r="B3878" i="1"/>
  <c r="C3878" i="1"/>
  <c r="E3878" i="1"/>
  <c r="G3878" i="1"/>
  <c r="K3878" i="1"/>
  <c r="A3879" i="1"/>
  <c r="B3879" i="1"/>
  <c r="C3879" i="1"/>
  <c r="E3879" i="1"/>
  <c r="G3879" i="1"/>
  <c r="K3879" i="1"/>
  <c r="A3880" i="1"/>
  <c r="B3880" i="1"/>
  <c r="C3880" i="1"/>
  <c r="E3880" i="1"/>
  <c r="G3880" i="1"/>
  <c r="K3880" i="1"/>
  <c r="A3881" i="1"/>
  <c r="B3881" i="1"/>
  <c r="C3881" i="1"/>
  <c r="E3881" i="1"/>
  <c r="G3881" i="1"/>
  <c r="K3881" i="1"/>
  <c r="A3882" i="1"/>
  <c r="B3882" i="1"/>
  <c r="C3882" i="1"/>
  <c r="E3882" i="1"/>
  <c r="G3882" i="1"/>
  <c r="K3882" i="1"/>
  <c r="A3883" i="1"/>
  <c r="B3883" i="1"/>
  <c r="C3883" i="1"/>
  <c r="E3883" i="1"/>
  <c r="G3883" i="1"/>
  <c r="K3883" i="1"/>
  <c r="A3884" i="1"/>
  <c r="B3884" i="1"/>
  <c r="C3884" i="1"/>
  <c r="E3884" i="1"/>
  <c r="G3884" i="1"/>
  <c r="K3884" i="1"/>
  <c r="A3885" i="1"/>
  <c r="B3885" i="1"/>
  <c r="C3885" i="1"/>
  <c r="E3885" i="1"/>
  <c r="G3885" i="1"/>
  <c r="K3885" i="1"/>
  <c r="A3886" i="1"/>
  <c r="B3886" i="1"/>
  <c r="C3886" i="1"/>
  <c r="E3886" i="1"/>
  <c r="G3886" i="1"/>
  <c r="K3886" i="1"/>
  <c r="A3887" i="1"/>
  <c r="B3887" i="1"/>
  <c r="C3887" i="1"/>
  <c r="E3887" i="1"/>
  <c r="G3887" i="1"/>
  <c r="K3887" i="1"/>
  <c r="A3888" i="1"/>
  <c r="B3888" i="1"/>
  <c r="C3888" i="1"/>
  <c r="E3888" i="1"/>
  <c r="G3888" i="1"/>
  <c r="K3888" i="1"/>
  <c r="A3889" i="1"/>
  <c r="B3889" i="1"/>
  <c r="C3889" i="1"/>
  <c r="E3889" i="1"/>
  <c r="G3889" i="1"/>
  <c r="K3889" i="1"/>
  <c r="A3890" i="1"/>
  <c r="B3890" i="1"/>
  <c r="C3890" i="1"/>
  <c r="E3890" i="1"/>
  <c r="G3890" i="1"/>
  <c r="K3890" i="1"/>
  <c r="A3891" i="1"/>
  <c r="B3891" i="1"/>
  <c r="C3891" i="1"/>
  <c r="E3891" i="1"/>
  <c r="G3891" i="1"/>
  <c r="K3891" i="1"/>
  <c r="A3892" i="1"/>
  <c r="B3892" i="1"/>
  <c r="C3892" i="1"/>
  <c r="E3892" i="1"/>
  <c r="G3892" i="1"/>
  <c r="K3892" i="1"/>
  <c r="A3893" i="1"/>
  <c r="B3893" i="1"/>
  <c r="C3893" i="1"/>
  <c r="E3893" i="1"/>
  <c r="G3893" i="1"/>
  <c r="K3893" i="1"/>
  <c r="A3894" i="1"/>
  <c r="B3894" i="1"/>
  <c r="C3894" i="1"/>
  <c r="E3894" i="1"/>
  <c r="G3894" i="1"/>
  <c r="K3894" i="1"/>
  <c r="A3895" i="1"/>
  <c r="B3895" i="1"/>
  <c r="C3895" i="1"/>
  <c r="E3895" i="1"/>
  <c r="G3895" i="1"/>
  <c r="K3895" i="1"/>
  <c r="A3896" i="1"/>
  <c r="B3896" i="1"/>
  <c r="C3896" i="1"/>
  <c r="E3896" i="1"/>
  <c r="G3896" i="1"/>
  <c r="K3896" i="1"/>
  <c r="A3897" i="1"/>
  <c r="B3897" i="1"/>
  <c r="C3897" i="1"/>
  <c r="E3897" i="1"/>
  <c r="G3897" i="1"/>
  <c r="K3897" i="1"/>
  <c r="A3898" i="1"/>
  <c r="B3898" i="1"/>
  <c r="C3898" i="1"/>
  <c r="E3898" i="1"/>
  <c r="G3898" i="1"/>
  <c r="K3898" i="1"/>
  <c r="A3899" i="1"/>
  <c r="B3899" i="1"/>
  <c r="C3899" i="1"/>
  <c r="E3899" i="1"/>
  <c r="G3899" i="1"/>
  <c r="K3899" i="1"/>
  <c r="A3900" i="1"/>
  <c r="B3900" i="1"/>
  <c r="C3900" i="1"/>
  <c r="E3900" i="1"/>
  <c r="G3900" i="1"/>
  <c r="K3900" i="1"/>
  <c r="A3901" i="1"/>
  <c r="B3901" i="1"/>
  <c r="C3901" i="1"/>
  <c r="E3901" i="1"/>
  <c r="G3901" i="1"/>
  <c r="K3901" i="1"/>
  <c r="A3902" i="1"/>
  <c r="B3902" i="1"/>
  <c r="C3902" i="1"/>
  <c r="E3902" i="1"/>
  <c r="G3902" i="1"/>
  <c r="K3902" i="1"/>
  <c r="A3903" i="1"/>
  <c r="B3903" i="1"/>
  <c r="C3903" i="1"/>
  <c r="E3903" i="1"/>
  <c r="G3903" i="1"/>
  <c r="K3903" i="1"/>
  <c r="A3904" i="1"/>
  <c r="B3904" i="1"/>
  <c r="C3904" i="1"/>
  <c r="E3904" i="1"/>
  <c r="G3904" i="1"/>
  <c r="K3904" i="1"/>
  <c r="A3905" i="1"/>
  <c r="B3905" i="1"/>
  <c r="C3905" i="1"/>
  <c r="E3905" i="1"/>
  <c r="G3905" i="1"/>
  <c r="K3905" i="1"/>
  <c r="A3906" i="1"/>
  <c r="B3906" i="1"/>
  <c r="C3906" i="1"/>
  <c r="E3906" i="1"/>
  <c r="G3906" i="1"/>
  <c r="K3906" i="1"/>
  <c r="A3907" i="1"/>
  <c r="B3907" i="1"/>
  <c r="C3907" i="1"/>
  <c r="E3907" i="1"/>
  <c r="G3907" i="1"/>
  <c r="K3907" i="1"/>
  <c r="A3908" i="1"/>
  <c r="B3908" i="1"/>
  <c r="C3908" i="1"/>
  <c r="E3908" i="1"/>
  <c r="G3908" i="1"/>
  <c r="K3908" i="1"/>
  <c r="A3909" i="1"/>
  <c r="B3909" i="1"/>
  <c r="C3909" i="1"/>
  <c r="E3909" i="1"/>
  <c r="G3909" i="1"/>
  <c r="K3909" i="1"/>
  <c r="A3910" i="1"/>
  <c r="B3910" i="1"/>
  <c r="C3910" i="1"/>
  <c r="E3910" i="1"/>
  <c r="G3910" i="1"/>
  <c r="K3910" i="1"/>
  <c r="A3911" i="1"/>
  <c r="B3911" i="1"/>
  <c r="C3911" i="1"/>
  <c r="E3911" i="1"/>
  <c r="G3911" i="1"/>
  <c r="K3911" i="1"/>
  <c r="A3912" i="1"/>
  <c r="B3912" i="1"/>
  <c r="C3912" i="1"/>
  <c r="E3912" i="1"/>
  <c r="G3912" i="1"/>
  <c r="K3912" i="1"/>
  <c r="A3913" i="1"/>
  <c r="B3913" i="1"/>
  <c r="C3913" i="1"/>
  <c r="E3913" i="1"/>
  <c r="G3913" i="1"/>
  <c r="K3913" i="1"/>
  <c r="A3914" i="1"/>
  <c r="B3914" i="1"/>
  <c r="C3914" i="1"/>
  <c r="E3914" i="1"/>
  <c r="G3914" i="1"/>
  <c r="K3914" i="1"/>
  <c r="A3915" i="1"/>
  <c r="B3915" i="1"/>
  <c r="C3915" i="1"/>
  <c r="E3915" i="1"/>
  <c r="G3915" i="1"/>
  <c r="K3915" i="1"/>
  <c r="A3916" i="1"/>
  <c r="B3916" i="1"/>
  <c r="C3916" i="1"/>
  <c r="E3916" i="1"/>
  <c r="G3916" i="1"/>
  <c r="K3916" i="1"/>
  <c r="A3917" i="1"/>
  <c r="B3917" i="1"/>
  <c r="C3917" i="1"/>
  <c r="E3917" i="1"/>
  <c r="G3917" i="1"/>
  <c r="K3917" i="1"/>
  <c r="A3918" i="1"/>
  <c r="B3918" i="1"/>
  <c r="C3918" i="1"/>
  <c r="E3918" i="1"/>
  <c r="G3918" i="1"/>
  <c r="K3918" i="1"/>
  <c r="A3919" i="1"/>
  <c r="B3919" i="1"/>
  <c r="C3919" i="1"/>
  <c r="E3919" i="1"/>
  <c r="G3919" i="1"/>
  <c r="K3919" i="1"/>
  <c r="A3920" i="1"/>
  <c r="B3920" i="1"/>
  <c r="C3920" i="1"/>
  <c r="E3920" i="1"/>
  <c r="G3920" i="1"/>
  <c r="K3920" i="1"/>
  <c r="A3921" i="1"/>
  <c r="B3921" i="1"/>
  <c r="C3921" i="1"/>
  <c r="E3921" i="1"/>
  <c r="G3921" i="1"/>
  <c r="K3921" i="1"/>
  <c r="A3922" i="1"/>
  <c r="B3922" i="1"/>
  <c r="C3922" i="1"/>
  <c r="E3922" i="1"/>
  <c r="G3922" i="1"/>
  <c r="K3922" i="1"/>
  <c r="A3923" i="1"/>
  <c r="B3923" i="1"/>
  <c r="C3923" i="1"/>
  <c r="E3923" i="1"/>
  <c r="G3923" i="1"/>
  <c r="K3923" i="1"/>
  <c r="A3924" i="1"/>
  <c r="B3924" i="1"/>
  <c r="C3924" i="1"/>
  <c r="E3924" i="1"/>
  <c r="G3924" i="1"/>
  <c r="K3924" i="1"/>
  <c r="A3925" i="1"/>
  <c r="B3925" i="1"/>
  <c r="C3925" i="1"/>
  <c r="E3925" i="1"/>
  <c r="G3925" i="1"/>
  <c r="K3925" i="1"/>
  <c r="A3926" i="1"/>
  <c r="B3926" i="1"/>
  <c r="C3926" i="1"/>
  <c r="E3926" i="1"/>
  <c r="G3926" i="1"/>
  <c r="K3926" i="1"/>
  <c r="A3927" i="1"/>
  <c r="B3927" i="1"/>
  <c r="C3927" i="1"/>
  <c r="E3927" i="1"/>
  <c r="G3927" i="1"/>
  <c r="K3927" i="1"/>
  <c r="A3928" i="1"/>
  <c r="B3928" i="1"/>
  <c r="C3928" i="1"/>
  <c r="E3928" i="1"/>
  <c r="G3928" i="1"/>
  <c r="K3928" i="1"/>
  <c r="A3929" i="1"/>
  <c r="B3929" i="1"/>
  <c r="C3929" i="1"/>
  <c r="E3929" i="1"/>
  <c r="G3929" i="1"/>
  <c r="K3929" i="1"/>
  <c r="A3930" i="1"/>
  <c r="B3930" i="1"/>
  <c r="C3930" i="1"/>
  <c r="E3930" i="1"/>
  <c r="G3930" i="1"/>
  <c r="K3930" i="1"/>
  <c r="A3931" i="1"/>
  <c r="B3931" i="1"/>
  <c r="C3931" i="1"/>
  <c r="E3931" i="1"/>
  <c r="G3931" i="1"/>
  <c r="K3931" i="1"/>
  <c r="A3932" i="1"/>
  <c r="B3932" i="1"/>
  <c r="C3932" i="1"/>
  <c r="E3932" i="1"/>
  <c r="G3932" i="1"/>
  <c r="K3932" i="1"/>
  <c r="A3933" i="1"/>
  <c r="B3933" i="1"/>
  <c r="C3933" i="1"/>
  <c r="E3933" i="1"/>
  <c r="G3933" i="1"/>
  <c r="K3933" i="1"/>
  <c r="A3934" i="1"/>
  <c r="B3934" i="1"/>
  <c r="C3934" i="1"/>
  <c r="E3934" i="1"/>
  <c r="G3934" i="1"/>
  <c r="K3934" i="1"/>
  <c r="A3935" i="1"/>
  <c r="B3935" i="1"/>
  <c r="C3935" i="1"/>
  <c r="E3935" i="1"/>
  <c r="G3935" i="1"/>
  <c r="K3935" i="1"/>
  <c r="A3936" i="1"/>
  <c r="B3936" i="1"/>
  <c r="C3936" i="1"/>
  <c r="E3936" i="1"/>
  <c r="G3936" i="1"/>
  <c r="K3936" i="1"/>
  <c r="A3937" i="1"/>
  <c r="B3937" i="1"/>
  <c r="C3937" i="1"/>
  <c r="E3937" i="1"/>
  <c r="G3937" i="1"/>
  <c r="K3937" i="1"/>
  <c r="A3938" i="1"/>
  <c r="B3938" i="1"/>
  <c r="C3938" i="1"/>
  <c r="E3938" i="1"/>
  <c r="G3938" i="1"/>
  <c r="K3938" i="1"/>
  <c r="A3939" i="1"/>
  <c r="B3939" i="1"/>
  <c r="C3939" i="1"/>
  <c r="E3939" i="1"/>
  <c r="G3939" i="1"/>
  <c r="K3939" i="1"/>
  <c r="A3940" i="1"/>
  <c r="B3940" i="1"/>
  <c r="C3940" i="1"/>
  <c r="E3940" i="1"/>
  <c r="G3940" i="1"/>
  <c r="K3940" i="1"/>
  <c r="A3941" i="1"/>
  <c r="B3941" i="1"/>
  <c r="C3941" i="1"/>
  <c r="E3941" i="1"/>
  <c r="G3941" i="1"/>
  <c r="K3941" i="1"/>
  <c r="A3942" i="1"/>
  <c r="B3942" i="1"/>
  <c r="C3942" i="1"/>
  <c r="E3942" i="1"/>
  <c r="G3942" i="1"/>
  <c r="K3942" i="1"/>
  <c r="A3943" i="1"/>
  <c r="B3943" i="1"/>
  <c r="C3943" i="1"/>
  <c r="E3943" i="1"/>
  <c r="G3943" i="1"/>
  <c r="K3943" i="1"/>
  <c r="A3944" i="1"/>
  <c r="B3944" i="1"/>
  <c r="C3944" i="1"/>
  <c r="E3944" i="1"/>
  <c r="G3944" i="1"/>
  <c r="K3944" i="1"/>
  <c r="A3945" i="1"/>
  <c r="B3945" i="1"/>
  <c r="C3945" i="1"/>
  <c r="E3945" i="1"/>
  <c r="G3945" i="1"/>
  <c r="K3945" i="1"/>
  <c r="A3946" i="1"/>
  <c r="B3946" i="1"/>
  <c r="C3946" i="1"/>
  <c r="E3946" i="1"/>
  <c r="G3946" i="1"/>
  <c r="K3946" i="1"/>
  <c r="A3947" i="1"/>
  <c r="B3947" i="1"/>
  <c r="C3947" i="1"/>
  <c r="E3947" i="1"/>
  <c r="G3947" i="1"/>
  <c r="K3947" i="1"/>
  <c r="A3948" i="1"/>
  <c r="B3948" i="1"/>
  <c r="C3948" i="1"/>
  <c r="E3948" i="1"/>
  <c r="G3948" i="1"/>
  <c r="K3948" i="1"/>
  <c r="A3949" i="1"/>
  <c r="B3949" i="1"/>
  <c r="C3949" i="1"/>
  <c r="E3949" i="1"/>
  <c r="G3949" i="1"/>
  <c r="K3949" i="1"/>
  <c r="A3950" i="1"/>
  <c r="B3950" i="1"/>
  <c r="C3950" i="1"/>
  <c r="E3950" i="1"/>
  <c r="G3950" i="1"/>
  <c r="K3950" i="1"/>
  <c r="A3951" i="1"/>
  <c r="B3951" i="1"/>
  <c r="C3951" i="1"/>
  <c r="E3951" i="1"/>
  <c r="G3951" i="1"/>
  <c r="K3951" i="1"/>
  <c r="A3952" i="1"/>
  <c r="B3952" i="1"/>
  <c r="C3952" i="1"/>
  <c r="E3952" i="1"/>
  <c r="G3952" i="1"/>
  <c r="K3952" i="1"/>
  <c r="A3953" i="1"/>
  <c r="B3953" i="1"/>
  <c r="C3953" i="1"/>
  <c r="E3953" i="1"/>
  <c r="G3953" i="1"/>
  <c r="K3953" i="1"/>
  <c r="A3954" i="1"/>
  <c r="B3954" i="1"/>
  <c r="C3954" i="1"/>
  <c r="E3954" i="1"/>
  <c r="G3954" i="1"/>
  <c r="K3954" i="1"/>
  <c r="A3955" i="1"/>
  <c r="B3955" i="1"/>
  <c r="C3955" i="1"/>
  <c r="E3955" i="1"/>
  <c r="G3955" i="1"/>
  <c r="K3955" i="1"/>
  <c r="A3956" i="1"/>
  <c r="B3956" i="1"/>
  <c r="C3956" i="1"/>
  <c r="E3956" i="1"/>
  <c r="G3956" i="1"/>
  <c r="K3956" i="1"/>
  <c r="A3957" i="1"/>
  <c r="B3957" i="1"/>
  <c r="C3957" i="1"/>
  <c r="E3957" i="1"/>
  <c r="G3957" i="1"/>
  <c r="K3957" i="1"/>
  <c r="A3958" i="1"/>
  <c r="B3958" i="1"/>
  <c r="C3958" i="1"/>
  <c r="E3958" i="1"/>
  <c r="G3958" i="1"/>
  <c r="K3958" i="1"/>
  <c r="A3959" i="1"/>
  <c r="B3959" i="1"/>
  <c r="C3959" i="1"/>
  <c r="E3959" i="1"/>
  <c r="G3959" i="1"/>
  <c r="K3959" i="1"/>
  <c r="A3960" i="1"/>
  <c r="B3960" i="1"/>
  <c r="C3960" i="1"/>
  <c r="E3960" i="1"/>
  <c r="G3960" i="1"/>
  <c r="K3960" i="1"/>
  <c r="A3961" i="1"/>
  <c r="B3961" i="1"/>
  <c r="C3961" i="1"/>
  <c r="E3961" i="1"/>
  <c r="G3961" i="1"/>
  <c r="K3961" i="1"/>
  <c r="A3962" i="1"/>
  <c r="B3962" i="1"/>
  <c r="C3962" i="1"/>
  <c r="E3962" i="1"/>
  <c r="G3962" i="1"/>
  <c r="K3962" i="1"/>
  <c r="A3963" i="1"/>
  <c r="B3963" i="1"/>
  <c r="C3963" i="1"/>
  <c r="E3963" i="1"/>
  <c r="G3963" i="1"/>
  <c r="K3963" i="1"/>
  <c r="A3964" i="1"/>
  <c r="B3964" i="1"/>
  <c r="C3964" i="1"/>
  <c r="E3964" i="1"/>
  <c r="G3964" i="1"/>
  <c r="K3964" i="1"/>
  <c r="A3965" i="1"/>
  <c r="B3965" i="1"/>
  <c r="C3965" i="1"/>
  <c r="E3965" i="1"/>
  <c r="G3965" i="1"/>
  <c r="K3965" i="1"/>
  <c r="A3966" i="1"/>
  <c r="B3966" i="1"/>
  <c r="C3966" i="1"/>
  <c r="E3966" i="1"/>
  <c r="G3966" i="1"/>
  <c r="K3966" i="1"/>
  <c r="A3967" i="1"/>
  <c r="B3967" i="1"/>
  <c r="C3967" i="1"/>
  <c r="E3967" i="1"/>
  <c r="G3967" i="1"/>
  <c r="K3967" i="1"/>
  <c r="A3968" i="1"/>
  <c r="B3968" i="1"/>
  <c r="C3968" i="1"/>
  <c r="E3968" i="1"/>
  <c r="G3968" i="1"/>
  <c r="K3968" i="1"/>
  <c r="A3969" i="1"/>
  <c r="B3969" i="1"/>
  <c r="C3969" i="1"/>
  <c r="E3969" i="1"/>
  <c r="G3969" i="1"/>
  <c r="K3969" i="1"/>
  <c r="A3970" i="1"/>
  <c r="B3970" i="1"/>
  <c r="C3970" i="1"/>
  <c r="E3970" i="1"/>
  <c r="G3970" i="1"/>
  <c r="K3970" i="1"/>
  <c r="A3971" i="1"/>
  <c r="B3971" i="1"/>
  <c r="C3971" i="1"/>
  <c r="E3971" i="1"/>
  <c r="G3971" i="1"/>
  <c r="K3971" i="1"/>
  <c r="A3972" i="1"/>
  <c r="B3972" i="1"/>
  <c r="C3972" i="1"/>
  <c r="E3972" i="1"/>
  <c r="G3972" i="1"/>
  <c r="K3972" i="1"/>
  <c r="A3973" i="1"/>
  <c r="B3973" i="1"/>
  <c r="C3973" i="1"/>
  <c r="E3973" i="1"/>
  <c r="G3973" i="1"/>
  <c r="K3973" i="1"/>
  <c r="A3974" i="1"/>
  <c r="B3974" i="1"/>
  <c r="C3974" i="1"/>
  <c r="E3974" i="1"/>
  <c r="G3974" i="1"/>
  <c r="K3974" i="1"/>
  <c r="A3975" i="1"/>
  <c r="B3975" i="1"/>
  <c r="C3975" i="1"/>
  <c r="E3975" i="1"/>
  <c r="G3975" i="1"/>
  <c r="K3975" i="1"/>
  <c r="A3976" i="1"/>
  <c r="B3976" i="1"/>
  <c r="C3976" i="1"/>
  <c r="E3976" i="1"/>
  <c r="G3976" i="1"/>
  <c r="K3976" i="1"/>
  <c r="A3977" i="1"/>
  <c r="B3977" i="1"/>
  <c r="C3977" i="1"/>
  <c r="E3977" i="1"/>
  <c r="G3977" i="1"/>
  <c r="K3977" i="1"/>
  <c r="A3978" i="1"/>
  <c r="B3978" i="1"/>
  <c r="C3978" i="1"/>
  <c r="E3978" i="1"/>
  <c r="G3978" i="1"/>
  <c r="K3978" i="1"/>
  <c r="A3979" i="1"/>
  <c r="B3979" i="1"/>
  <c r="C3979" i="1"/>
  <c r="E3979" i="1"/>
  <c r="G3979" i="1"/>
  <c r="K3979" i="1"/>
  <c r="A3980" i="1"/>
  <c r="B3980" i="1"/>
  <c r="C3980" i="1"/>
  <c r="E3980" i="1"/>
  <c r="G3980" i="1"/>
  <c r="K3980" i="1"/>
  <c r="A3981" i="1"/>
  <c r="B3981" i="1"/>
  <c r="C3981" i="1"/>
  <c r="E3981" i="1"/>
  <c r="G3981" i="1"/>
  <c r="K3981" i="1"/>
  <c r="A3982" i="1"/>
  <c r="B3982" i="1"/>
  <c r="C3982" i="1"/>
  <c r="E3982" i="1"/>
  <c r="G3982" i="1"/>
  <c r="K3982" i="1"/>
  <c r="A3983" i="1"/>
  <c r="B3983" i="1"/>
  <c r="C3983" i="1"/>
  <c r="E3983" i="1"/>
  <c r="G3983" i="1"/>
  <c r="K3983" i="1"/>
  <c r="A3984" i="1"/>
  <c r="B3984" i="1"/>
  <c r="C3984" i="1"/>
  <c r="E3984" i="1"/>
  <c r="G3984" i="1"/>
  <c r="K3984" i="1"/>
  <c r="A3985" i="1"/>
  <c r="B3985" i="1"/>
  <c r="C3985" i="1"/>
  <c r="E3985" i="1"/>
  <c r="G3985" i="1"/>
  <c r="K3985" i="1"/>
  <c r="A3986" i="1"/>
  <c r="B3986" i="1"/>
  <c r="C3986" i="1"/>
  <c r="E3986" i="1"/>
  <c r="G3986" i="1"/>
  <c r="K3986" i="1"/>
  <c r="A3987" i="1"/>
  <c r="B3987" i="1"/>
  <c r="C3987" i="1"/>
  <c r="E3987" i="1"/>
  <c r="G3987" i="1"/>
  <c r="K3987" i="1"/>
  <c r="A3988" i="1"/>
  <c r="B3988" i="1"/>
  <c r="C3988" i="1"/>
  <c r="E3988" i="1"/>
  <c r="G3988" i="1"/>
  <c r="K3988" i="1"/>
  <c r="A3989" i="1"/>
  <c r="B3989" i="1"/>
  <c r="C3989" i="1"/>
  <c r="E3989" i="1"/>
  <c r="G3989" i="1"/>
  <c r="K3989" i="1"/>
  <c r="A3990" i="1"/>
  <c r="B3990" i="1"/>
  <c r="C3990" i="1"/>
  <c r="E3990" i="1"/>
  <c r="G3990" i="1"/>
  <c r="K3990" i="1"/>
  <c r="A3991" i="1"/>
  <c r="B3991" i="1"/>
  <c r="C3991" i="1"/>
  <c r="E3991" i="1"/>
  <c r="G3991" i="1"/>
  <c r="K3991" i="1"/>
  <c r="A3992" i="1"/>
  <c r="B3992" i="1"/>
  <c r="C3992" i="1"/>
  <c r="E3992" i="1"/>
  <c r="G3992" i="1"/>
  <c r="K3992" i="1"/>
  <c r="A3993" i="1"/>
  <c r="B3993" i="1"/>
  <c r="C3993" i="1"/>
  <c r="E3993" i="1"/>
  <c r="G3993" i="1"/>
  <c r="K3993" i="1"/>
  <c r="A3994" i="1"/>
  <c r="B3994" i="1"/>
  <c r="C3994" i="1"/>
  <c r="E3994" i="1"/>
  <c r="G3994" i="1"/>
  <c r="K3994" i="1"/>
  <c r="A3995" i="1"/>
  <c r="B3995" i="1"/>
  <c r="C3995" i="1"/>
  <c r="E3995" i="1"/>
  <c r="G3995" i="1"/>
  <c r="K3995" i="1"/>
  <c r="A3996" i="1"/>
  <c r="B3996" i="1"/>
  <c r="C3996" i="1"/>
  <c r="E3996" i="1"/>
  <c r="G3996" i="1"/>
  <c r="K3996" i="1"/>
  <c r="A3997" i="1"/>
  <c r="B3997" i="1"/>
  <c r="C3997" i="1"/>
  <c r="E3997" i="1"/>
  <c r="G3997" i="1"/>
  <c r="K3997" i="1"/>
  <c r="A3998" i="1"/>
  <c r="B3998" i="1"/>
  <c r="C3998" i="1"/>
  <c r="E3998" i="1"/>
  <c r="G3998" i="1"/>
  <c r="K3998" i="1"/>
  <c r="A3999" i="1"/>
  <c r="B3999" i="1"/>
  <c r="C3999" i="1"/>
  <c r="E3999" i="1"/>
  <c r="G3999" i="1"/>
  <c r="K3999" i="1"/>
  <c r="A4000" i="1"/>
  <c r="B4000" i="1"/>
  <c r="C4000" i="1"/>
  <c r="E4000" i="1"/>
  <c r="G4000" i="1"/>
  <c r="K4000" i="1"/>
  <c r="A4001" i="1"/>
  <c r="B4001" i="1"/>
  <c r="C4001" i="1"/>
  <c r="E4001" i="1"/>
  <c r="G4001" i="1"/>
  <c r="K4001" i="1"/>
  <c r="A4002" i="1"/>
  <c r="B4002" i="1"/>
  <c r="C4002" i="1"/>
  <c r="E4002" i="1"/>
  <c r="G4002" i="1"/>
  <c r="K4002" i="1"/>
  <c r="A4003" i="1"/>
  <c r="B4003" i="1"/>
  <c r="C4003" i="1"/>
  <c r="E4003" i="1"/>
  <c r="G4003" i="1"/>
  <c r="K4003" i="1"/>
  <c r="A4004" i="1"/>
  <c r="B4004" i="1"/>
  <c r="C4004" i="1"/>
  <c r="E4004" i="1"/>
  <c r="G4004" i="1"/>
  <c r="K4004" i="1"/>
  <c r="A4005" i="1"/>
  <c r="B4005" i="1"/>
  <c r="C4005" i="1"/>
  <c r="E4005" i="1"/>
  <c r="G4005" i="1"/>
  <c r="K4005" i="1"/>
  <c r="A4006" i="1"/>
  <c r="B4006" i="1"/>
  <c r="C4006" i="1"/>
  <c r="E4006" i="1"/>
  <c r="G4006" i="1"/>
  <c r="K4006" i="1"/>
  <c r="A4007" i="1"/>
  <c r="B4007" i="1"/>
  <c r="C4007" i="1"/>
  <c r="E4007" i="1"/>
  <c r="G4007" i="1"/>
  <c r="K4007" i="1"/>
  <c r="A4008" i="1"/>
  <c r="B4008" i="1"/>
  <c r="C4008" i="1"/>
  <c r="E4008" i="1"/>
  <c r="G4008" i="1"/>
  <c r="K4008" i="1"/>
  <c r="A4009" i="1"/>
  <c r="B4009" i="1"/>
  <c r="C4009" i="1"/>
  <c r="E4009" i="1"/>
  <c r="G4009" i="1"/>
  <c r="K4009" i="1"/>
  <c r="A4010" i="1"/>
  <c r="B4010" i="1"/>
  <c r="C4010" i="1"/>
  <c r="E4010" i="1"/>
  <c r="G4010" i="1"/>
  <c r="K4010" i="1"/>
  <c r="A4011" i="1"/>
  <c r="B4011" i="1"/>
  <c r="C4011" i="1"/>
  <c r="E4011" i="1"/>
  <c r="G4011" i="1"/>
  <c r="K4011" i="1"/>
  <c r="A4012" i="1"/>
  <c r="B4012" i="1"/>
  <c r="C4012" i="1"/>
  <c r="E4012" i="1"/>
  <c r="G4012" i="1"/>
  <c r="K4012" i="1"/>
  <c r="A4013" i="1"/>
  <c r="B4013" i="1"/>
  <c r="C4013" i="1"/>
  <c r="E4013" i="1"/>
  <c r="G4013" i="1"/>
  <c r="K4013" i="1"/>
  <c r="A4014" i="1"/>
  <c r="B4014" i="1"/>
  <c r="C4014" i="1"/>
  <c r="E4014" i="1"/>
  <c r="G4014" i="1"/>
  <c r="K4014" i="1"/>
  <c r="A4015" i="1"/>
  <c r="B4015" i="1"/>
  <c r="C4015" i="1"/>
  <c r="E4015" i="1"/>
  <c r="G4015" i="1"/>
  <c r="K4015" i="1"/>
  <c r="A4016" i="1"/>
  <c r="B4016" i="1"/>
  <c r="C4016" i="1"/>
  <c r="E4016" i="1"/>
  <c r="G4016" i="1"/>
  <c r="K4016" i="1"/>
  <c r="A4017" i="1"/>
  <c r="B4017" i="1"/>
  <c r="C4017" i="1"/>
  <c r="E4017" i="1"/>
  <c r="G4017" i="1"/>
  <c r="K4017" i="1"/>
  <c r="A4018" i="1"/>
  <c r="B4018" i="1"/>
  <c r="C4018" i="1"/>
  <c r="E4018" i="1"/>
  <c r="G4018" i="1"/>
  <c r="K4018" i="1"/>
  <c r="A4019" i="1"/>
  <c r="B4019" i="1"/>
  <c r="C4019" i="1"/>
  <c r="E4019" i="1"/>
  <c r="G4019" i="1"/>
  <c r="K4019" i="1"/>
  <c r="A4020" i="1"/>
  <c r="B4020" i="1"/>
  <c r="C4020" i="1"/>
  <c r="E4020" i="1"/>
  <c r="G4020" i="1"/>
  <c r="K4020" i="1"/>
  <c r="A4021" i="1"/>
  <c r="B4021" i="1"/>
  <c r="C4021" i="1"/>
  <c r="E4021" i="1"/>
  <c r="G4021" i="1"/>
  <c r="K4021" i="1"/>
  <c r="A4022" i="1"/>
  <c r="B4022" i="1"/>
  <c r="C4022" i="1"/>
  <c r="E4022" i="1"/>
  <c r="G4022" i="1"/>
  <c r="K4022" i="1"/>
  <c r="A4023" i="1"/>
  <c r="B4023" i="1"/>
  <c r="C4023" i="1"/>
  <c r="E4023" i="1"/>
  <c r="G4023" i="1"/>
  <c r="K4023" i="1"/>
  <c r="A4024" i="1"/>
  <c r="B4024" i="1"/>
  <c r="C4024" i="1"/>
  <c r="E4024" i="1"/>
  <c r="G4024" i="1"/>
  <c r="K4024" i="1"/>
  <c r="A4025" i="1"/>
  <c r="B4025" i="1"/>
  <c r="C4025" i="1"/>
  <c r="E4025" i="1"/>
  <c r="G4025" i="1"/>
  <c r="K4025" i="1"/>
  <c r="A4026" i="1"/>
  <c r="B4026" i="1"/>
  <c r="C4026" i="1"/>
  <c r="E4026" i="1"/>
  <c r="G4026" i="1"/>
  <c r="K4026" i="1"/>
  <c r="A4027" i="1"/>
  <c r="B4027" i="1"/>
  <c r="C4027" i="1"/>
  <c r="E4027" i="1"/>
  <c r="G4027" i="1"/>
  <c r="K4027" i="1"/>
  <c r="A4028" i="1"/>
  <c r="B4028" i="1"/>
  <c r="C4028" i="1"/>
  <c r="E4028" i="1"/>
  <c r="G4028" i="1"/>
  <c r="K4028" i="1"/>
  <c r="A4029" i="1"/>
  <c r="B4029" i="1"/>
  <c r="C4029" i="1"/>
  <c r="E4029" i="1"/>
  <c r="G4029" i="1"/>
  <c r="K4029" i="1"/>
  <c r="A4030" i="1"/>
  <c r="B4030" i="1"/>
  <c r="C4030" i="1"/>
  <c r="E4030" i="1"/>
  <c r="G4030" i="1"/>
  <c r="K4030" i="1"/>
  <c r="A4031" i="1"/>
  <c r="B4031" i="1"/>
  <c r="C4031" i="1"/>
  <c r="E4031" i="1"/>
  <c r="G4031" i="1"/>
  <c r="K4031" i="1"/>
  <c r="A4032" i="1"/>
  <c r="B4032" i="1"/>
  <c r="C4032" i="1"/>
  <c r="E4032" i="1"/>
  <c r="G4032" i="1"/>
  <c r="K4032" i="1"/>
  <c r="A4033" i="1"/>
  <c r="B4033" i="1"/>
  <c r="C4033" i="1"/>
  <c r="E4033" i="1"/>
  <c r="G4033" i="1"/>
  <c r="K4033" i="1"/>
  <c r="A4034" i="1"/>
  <c r="B4034" i="1"/>
  <c r="C4034" i="1"/>
  <c r="E4034" i="1"/>
  <c r="G4034" i="1"/>
  <c r="K4034" i="1"/>
  <c r="A4035" i="1"/>
  <c r="B4035" i="1"/>
  <c r="C4035" i="1"/>
  <c r="E4035" i="1"/>
  <c r="G4035" i="1"/>
  <c r="K4035" i="1"/>
  <c r="A4036" i="1"/>
  <c r="B4036" i="1"/>
  <c r="C4036" i="1"/>
  <c r="E4036" i="1"/>
  <c r="G4036" i="1"/>
  <c r="K4036" i="1"/>
  <c r="A4037" i="1"/>
  <c r="B4037" i="1"/>
  <c r="C4037" i="1"/>
  <c r="E4037" i="1"/>
  <c r="G4037" i="1"/>
  <c r="K4037" i="1"/>
  <c r="A4038" i="1"/>
  <c r="B4038" i="1"/>
  <c r="C4038" i="1"/>
  <c r="E4038" i="1"/>
  <c r="G4038" i="1"/>
  <c r="K4038" i="1"/>
  <c r="A4039" i="1"/>
  <c r="B4039" i="1"/>
  <c r="C4039" i="1"/>
  <c r="E4039" i="1"/>
  <c r="G4039" i="1"/>
  <c r="K4039" i="1"/>
  <c r="A4040" i="1"/>
  <c r="B4040" i="1"/>
  <c r="C4040" i="1"/>
  <c r="E4040" i="1"/>
  <c r="G4040" i="1"/>
  <c r="K4040" i="1"/>
  <c r="A4041" i="1"/>
  <c r="B4041" i="1"/>
  <c r="C4041" i="1"/>
  <c r="E4041" i="1"/>
  <c r="G4041" i="1"/>
  <c r="K4041" i="1"/>
  <c r="A4042" i="1"/>
  <c r="B4042" i="1"/>
  <c r="C4042" i="1"/>
  <c r="E4042" i="1"/>
  <c r="G4042" i="1"/>
  <c r="K4042" i="1"/>
  <c r="A4043" i="1"/>
  <c r="B4043" i="1"/>
  <c r="C4043" i="1"/>
  <c r="E4043" i="1"/>
  <c r="G4043" i="1"/>
  <c r="K4043" i="1"/>
  <c r="A4044" i="1"/>
  <c r="B4044" i="1"/>
  <c r="C4044" i="1"/>
  <c r="E4044" i="1"/>
  <c r="G4044" i="1"/>
  <c r="K4044" i="1"/>
  <c r="A4045" i="1"/>
  <c r="B4045" i="1"/>
  <c r="C4045" i="1"/>
  <c r="E4045" i="1"/>
  <c r="G4045" i="1"/>
  <c r="K4045" i="1"/>
  <c r="A4046" i="1"/>
  <c r="B4046" i="1"/>
  <c r="C4046" i="1"/>
  <c r="E4046" i="1"/>
  <c r="G4046" i="1"/>
  <c r="K4046" i="1"/>
  <c r="A4047" i="1"/>
  <c r="B4047" i="1"/>
  <c r="C4047" i="1"/>
  <c r="E4047" i="1"/>
  <c r="G4047" i="1"/>
  <c r="K4047" i="1"/>
  <c r="A4048" i="1"/>
  <c r="B4048" i="1"/>
  <c r="C4048" i="1"/>
  <c r="E4048" i="1"/>
  <c r="G4048" i="1"/>
  <c r="K4048" i="1"/>
  <c r="A4049" i="1"/>
  <c r="B4049" i="1"/>
  <c r="C4049" i="1"/>
  <c r="E4049" i="1"/>
  <c r="G4049" i="1"/>
  <c r="K4049" i="1"/>
  <c r="A4050" i="1"/>
  <c r="B4050" i="1"/>
  <c r="C4050" i="1"/>
  <c r="E4050" i="1"/>
  <c r="G4050" i="1"/>
  <c r="K4050" i="1"/>
  <c r="A4051" i="1"/>
  <c r="B4051" i="1"/>
  <c r="C4051" i="1"/>
  <c r="E4051" i="1"/>
  <c r="G4051" i="1"/>
  <c r="K4051" i="1"/>
  <c r="A4052" i="1"/>
  <c r="B4052" i="1"/>
  <c r="C4052" i="1"/>
  <c r="E4052" i="1"/>
  <c r="G4052" i="1"/>
  <c r="K4052" i="1"/>
  <c r="A4053" i="1"/>
  <c r="B4053" i="1"/>
  <c r="C4053" i="1"/>
  <c r="E4053" i="1"/>
  <c r="G4053" i="1"/>
  <c r="K4053" i="1"/>
  <c r="A4054" i="1"/>
  <c r="B4054" i="1"/>
  <c r="C4054" i="1"/>
  <c r="E4054" i="1"/>
  <c r="G4054" i="1"/>
  <c r="K4054" i="1"/>
  <c r="A4055" i="1"/>
  <c r="B4055" i="1"/>
  <c r="C4055" i="1"/>
  <c r="E4055" i="1"/>
  <c r="G4055" i="1"/>
  <c r="K4055" i="1"/>
  <c r="A4056" i="1"/>
  <c r="B4056" i="1"/>
  <c r="C4056" i="1"/>
  <c r="E4056" i="1"/>
  <c r="G4056" i="1"/>
  <c r="K4056" i="1"/>
  <c r="A4057" i="1"/>
  <c r="B4057" i="1"/>
  <c r="C4057" i="1"/>
  <c r="E4057" i="1"/>
  <c r="G4057" i="1"/>
  <c r="K4057" i="1"/>
  <c r="A4058" i="1"/>
  <c r="B4058" i="1"/>
  <c r="C4058" i="1"/>
  <c r="E4058" i="1"/>
  <c r="G4058" i="1"/>
  <c r="K4058" i="1"/>
  <c r="A4059" i="1"/>
  <c r="B4059" i="1"/>
  <c r="C4059" i="1"/>
  <c r="E4059" i="1"/>
  <c r="G4059" i="1"/>
  <c r="K4059" i="1"/>
  <c r="A4060" i="1"/>
  <c r="B4060" i="1"/>
  <c r="C4060" i="1"/>
  <c r="E4060" i="1"/>
  <c r="G4060" i="1"/>
  <c r="K4060" i="1"/>
  <c r="A4061" i="1"/>
  <c r="B4061" i="1"/>
  <c r="C4061" i="1"/>
  <c r="E4061" i="1"/>
  <c r="G4061" i="1"/>
  <c r="K4061" i="1"/>
  <c r="A4062" i="1"/>
  <c r="B4062" i="1"/>
  <c r="C4062" i="1"/>
  <c r="E4062" i="1"/>
  <c r="G4062" i="1"/>
  <c r="K4062" i="1"/>
  <c r="A4063" i="1"/>
  <c r="B4063" i="1"/>
  <c r="C4063" i="1"/>
  <c r="E4063" i="1"/>
  <c r="G4063" i="1"/>
  <c r="K4063" i="1"/>
  <c r="A4064" i="1"/>
  <c r="B4064" i="1"/>
  <c r="C4064" i="1"/>
  <c r="E4064" i="1"/>
  <c r="G4064" i="1"/>
  <c r="K4064" i="1"/>
  <c r="A4065" i="1"/>
  <c r="B4065" i="1"/>
  <c r="C4065" i="1"/>
  <c r="E4065" i="1"/>
  <c r="G4065" i="1"/>
  <c r="K4065" i="1"/>
  <c r="A4066" i="1"/>
  <c r="B4066" i="1"/>
  <c r="C4066" i="1"/>
  <c r="E4066" i="1"/>
  <c r="G4066" i="1"/>
  <c r="K4066" i="1"/>
  <c r="A4067" i="1"/>
  <c r="B4067" i="1"/>
  <c r="C4067" i="1"/>
  <c r="E4067" i="1"/>
  <c r="G4067" i="1"/>
  <c r="K4067" i="1"/>
  <c r="A4068" i="1"/>
  <c r="B4068" i="1"/>
  <c r="C4068" i="1"/>
  <c r="E4068" i="1"/>
  <c r="G4068" i="1"/>
  <c r="K4068" i="1"/>
  <c r="A4069" i="1"/>
  <c r="B4069" i="1"/>
  <c r="C4069" i="1"/>
  <c r="E4069" i="1"/>
  <c r="G4069" i="1"/>
  <c r="K4069" i="1"/>
  <c r="A4070" i="1"/>
  <c r="B4070" i="1"/>
  <c r="C4070" i="1"/>
  <c r="E4070" i="1"/>
  <c r="G4070" i="1"/>
  <c r="K4070" i="1"/>
  <c r="A4071" i="1"/>
  <c r="B4071" i="1"/>
  <c r="C4071" i="1"/>
  <c r="E4071" i="1"/>
  <c r="G4071" i="1"/>
  <c r="K4071" i="1"/>
  <c r="A4072" i="1"/>
  <c r="B4072" i="1"/>
  <c r="C4072" i="1"/>
  <c r="E4072" i="1"/>
  <c r="G4072" i="1"/>
  <c r="K4072" i="1"/>
  <c r="A4073" i="1"/>
  <c r="B4073" i="1"/>
  <c r="C4073" i="1"/>
  <c r="E4073" i="1"/>
  <c r="G4073" i="1"/>
  <c r="K4073" i="1"/>
  <c r="A4074" i="1"/>
  <c r="B4074" i="1"/>
  <c r="C4074" i="1"/>
  <c r="E4074" i="1"/>
  <c r="G4074" i="1"/>
  <c r="K4074" i="1"/>
  <c r="A4075" i="1"/>
  <c r="B4075" i="1"/>
  <c r="C4075" i="1"/>
  <c r="E4075" i="1"/>
  <c r="G4075" i="1"/>
  <c r="K4075" i="1"/>
  <c r="A4076" i="1"/>
  <c r="B4076" i="1"/>
  <c r="C4076" i="1"/>
  <c r="E4076" i="1"/>
  <c r="G4076" i="1"/>
  <c r="K4076" i="1"/>
  <c r="A4077" i="1"/>
  <c r="B4077" i="1"/>
  <c r="C4077" i="1"/>
  <c r="E4077" i="1"/>
  <c r="G4077" i="1"/>
  <c r="K4077" i="1"/>
  <c r="A4078" i="1"/>
  <c r="B4078" i="1"/>
  <c r="C4078" i="1"/>
  <c r="E4078" i="1"/>
  <c r="G4078" i="1"/>
  <c r="K4078" i="1"/>
  <c r="A4079" i="1"/>
  <c r="B4079" i="1"/>
  <c r="C4079" i="1"/>
  <c r="E4079" i="1"/>
  <c r="G4079" i="1"/>
  <c r="K4079" i="1"/>
  <c r="A4080" i="1"/>
  <c r="B4080" i="1"/>
  <c r="C4080" i="1"/>
  <c r="E4080" i="1"/>
  <c r="G4080" i="1"/>
  <c r="K4080" i="1"/>
  <c r="A4081" i="1"/>
  <c r="B4081" i="1"/>
  <c r="C4081" i="1"/>
  <c r="E4081" i="1"/>
  <c r="G4081" i="1"/>
  <c r="K4081" i="1"/>
  <c r="A4082" i="1"/>
  <c r="B4082" i="1"/>
  <c r="C4082" i="1"/>
  <c r="E4082" i="1"/>
  <c r="G4082" i="1"/>
  <c r="K4082" i="1"/>
  <c r="A4083" i="1"/>
  <c r="B4083" i="1"/>
  <c r="C4083" i="1"/>
  <c r="E4083" i="1"/>
  <c r="G4083" i="1"/>
  <c r="K4083" i="1"/>
  <c r="A4084" i="1"/>
  <c r="B4084" i="1"/>
  <c r="C4084" i="1"/>
  <c r="E4084" i="1"/>
  <c r="G4084" i="1"/>
  <c r="K4084" i="1"/>
  <c r="A4085" i="1"/>
  <c r="B4085" i="1"/>
  <c r="C4085" i="1"/>
  <c r="E4085" i="1"/>
  <c r="G4085" i="1"/>
  <c r="K4085" i="1"/>
  <c r="A4086" i="1"/>
  <c r="B4086" i="1"/>
  <c r="C4086" i="1"/>
  <c r="E4086" i="1"/>
  <c r="G4086" i="1"/>
  <c r="K4086" i="1"/>
  <c r="A4087" i="1"/>
  <c r="B4087" i="1"/>
  <c r="C4087" i="1"/>
  <c r="E4087" i="1"/>
  <c r="G4087" i="1"/>
  <c r="K4087" i="1"/>
  <c r="A4088" i="1"/>
  <c r="B4088" i="1"/>
  <c r="C4088" i="1"/>
  <c r="E4088" i="1"/>
  <c r="G4088" i="1"/>
  <c r="K4088" i="1"/>
  <c r="A4089" i="1"/>
  <c r="B4089" i="1"/>
  <c r="C4089" i="1"/>
  <c r="E4089" i="1"/>
  <c r="G4089" i="1"/>
  <c r="K4089" i="1"/>
  <c r="A4090" i="1"/>
  <c r="B4090" i="1"/>
  <c r="C4090" i="1"/>
  <c r="E4090" i="1"/>
  <c r="G4090" i="1"/>
  <c r="K4090" i="1"/>
  <c r="A4091" i="1"/>
  <c r="B4091" i="1"/>
  <c r="C4091" i="1"/>
  <c r="E4091" i="1"/>
  <c r="G4091" i="1"/>
  <c r="K4091" i="1"/>
  <c r="A4092" i="1"/>
  <c r="B4092" i="1"/>
  <c r="C4092" i="1"/>
  <c r="E4092" i="1"/>
  <c r="G4092" i="1"/>
  <c r="K4092" i="1"/>
  <c r="A4093" i="1"/>
  <c r="B4093" i="1"/>
  <c r="C4093" i="1"/>
  <c r="E4093" i="1"/>
  <c r="G4093" i="1"/>
  <c r="K4093" i="1"/>
  <c r="A4094" i="1"/>
  <c r="B4094" i="1"/>
  <c r="C4094" i="1"/>
  <c r="E4094" i="1"/>
  <c r="G4094" i="1"/>
  <c r="K4094" i="1"/>
  <c r="A4095" i="1"/>
  <c r="B4095" i="1"/>
  <c r="C4095" i="1"/>
  <c r="E4095" i="1"/>
  <c r="G4095" i="1"/>
  <c r="K4095" i="1"/>
  <c r="A4096" i="1"/>
  <c r="B4096" i="1"/>
  <c r="C4096" i="1"/>
  <c r="E4096" i="1"/>
  <c r="G4096" i="1"/>
  <c r="K4096" i="1"/>
  <c r="A4097" i="1"/>
  <c r="B4097" i="1"/>
  <c r="C4097" i="1"/>
  <c r="E4097" i="1"/>
  <c r="G4097" i="1"/>
  <c r="K4097" i="1"/>
  <c r="A4098" i="1"/>
  <c r="B4098" i="1"/>
  <c r="C4098" i="1"/>
  <c r="E4098" i="1"/>
  <c r="G4098" i="1"/>
  <c r="K4098" i="1"/>
  <c r="A4099" i="1"/>
  <c r="B4099" i="1"/>
  <c r="C4099" i="1"/>
  <c r="E4099" i="1"/>
  <c r="G4099" i="1"/>
  <c r="K4099" i="1"/>
  <c r="A4100" i="1"/>
  <c r="B4100" i="1"/>
  <c r="C4100" i="1"/>
  <c r="E4100" i="1"/>
  <c r="G4100" i="1"/>
  <c r="K4100" i="1"/>
  <c r="A4101" i="1"/>
  <c r="B4101" i="1"/>
  <c r="C4101" i="1"/>
  <c r="E4101" i="1"/>
  <c r="G4101" i="1"/>
  <c r="K4101" i="1"/>
  <c r="A4102" i="1"/>
  <c r="B4102" i="1"/>
  <c r="C4102" i="1"/>
  <c r="E4102" i="1"/>
  <c r="G4102" i="1"/>
  <c r="K4102" i="1"/>
  <c r="A4103" i="1"/>
  <c r="B4103" i="1"/>
  <c r="C4103" i="1"/>
  <c r="E4103" i="1"/>
  <c r="G4103" i="1"/>
  <c r="K4103" i="1"/>
  <c r="A4104" i="1"/>
  <c r="B4104" i="1"/>
  <c r="C4104" i="1"/>
  <c r="E4104" i="1"/>
  <c r="G4104" i="1"/>
  <c r="K4104" i="1"/>
  <c r="A4105" i="1"/>
  <c r="B4105" i="1"/>
  <c r="C4105" i="1"/>
  <c r="E4105" i="1"/>
  <c r="G4105" i="1"/>
  <c r="K4105" i="1"/>
  <c r="A4106" i="1"/>
  <c r="B4106" i="1"/>
  <c r="C4106" i="1"/>
  <c r="E4106" i="1"/>
  <c r="G4106" i="1"/>
  <c r="K4106" i="1"/>
  <c r="A4107" i="1"/>
  <c r="B4107" i="1"/>
  <c r="C4107" i="1"/>
  <c r="E4107" i="1"/>
  <c r="G4107" i="1"/>
  <c r="K4107" i="1"/>
  <c r="A4108" i="1"/>
  <c r="B4108" i="1"/>
  <c r="C4108" i="1"/>
  <c r="E4108" i="1"/>
  <c r="G4108" i="1"/>
  <c r="K4108" i="1"/>
  <c r="A4109" i="1"/>
  <c r="B4109" i="1"/>
  <c r="C4109" i="1"/>
  <c r="E4109" i="1"/>
  <c r="G4109" i="1"/>
  <c r="K4109" i="1"/>
  <c r="A4110" i="1"/>
  <c r="B4110" i="1"/>
  <c r="C4110" i="1"/>
  <c r="E4110" i="1"/>
  <c r="G4110" i="1"/>
  <c r="K4110" i="1"/>
  <c r="A4111" i="1"/>
  <c r="B4111" i="1"/>
  <c r="C4111" i="1"/>
  <c r="E4111" i="1"/>
  <c r="G4111" i="1"/>
  <c r="K4111" i="1"/>
  <c r="A4112" i="1"/>
  <c r="B4112" i="1"/>
  <c r="C4112" i="1"/>
  <c r="E4112" i="1"/>
  <c r="G4112" i="1"/>
  <c r="K4112" i="1"/>
  <c r="A4113" i="1"/>
  <c r="B4113" i="1"/>
  <c r="C4113" i="1"/>
  <c r="E4113" i="1"/>
  <c r="G4113" i="1"/>
  <c r="K4113" i="1"/>
  <c r="A4114" i="1"/>
  <c r="B4114" i="1"/>
  <c r="C4114" i="1"/>
  <c r="E4114" i="1"/>
  <c r="G4114" i="1"/>
  <c r="K4114" i="1"/>
  <c r="A4115" i="1"/>
  <c r="B4115" i="1"/>
  <c r="C4115" i="1"/>
  <c r="E4115" i="1"/>
  <c r="G4115" i="1"/>
  <c r="K4115" i="1"/>
  <c r="A4116" i="1"/>
  <c r="B4116" i="1"/>
  <c r="C4116" i="1"/>
  <c r="E4116" i="1"/>
  <c r="G4116" i="1"/>
  <c r="K4116" i="1"/>
  <c r="A4117" i="1"/>
  <c r="B4117" i="1"/>
  <c r="C4117" i="1"/>
  <c r="E4117" i="1"/>
  <c r="G4117" i="1"/>
  <c r="K4117" i="1"/>
  <c r="A4118" i="1"/>
  <c r="B4118" i="1"/>
  <c r="C4118" i="1"/>
  <c r="E4118" i="1"/>
  <c r="G4118" i="1"/>
  <c r="K4118" i="1"/>
  <c r="A4119" i="1"/>
  <c r="B4119" i="1"/>
  <c r="C4119" i="1"/>
  <c r="E4119" i="1"/>
  <c r="G4119" i="1"/>
  <c r="K4119" i="1"/>
  <c r="A4120" i="1"/>
  <c r="B4120" i="1"/>
  <c r="C4120" i="1"/>
  <c r="E4120" i="1"/>
  <c r="G4120" i="1"/>
  <c r="K4120" i="1"/>
  <c r="A4121" i="1"/>
  <c r="B4121" i="1"/>
  <c r="C4121" i="1"/>
  <c r="E4121" i="1"/>
  <c r="G4121" i="1"/>
  <c r="K4121" i="1"/>
  <c r="A4122" i="1"/>
  <c r="B4122" i="1"/>
  <c r="C4122" i="1"/>
  <c r="E4122" i="1"/>
  <c r="G4122" i="1"/>
  <c r="K4122" i="1"/>
  <c r="A4123" i="1"/>
  <c r="B4123" i="1"/>
  <c r="C4123" i="1"/>
  <c r="E4123" i="1"/>
  <c r="G4123" i="1"/>
  <c r="K4123" i="1"/>
  <c r="A4124" i="1"/>
  <c r="B4124" i="1"/>
  <c r="C4124" i="1"/>
  <c r="E4124" i="1"/>
  <c r="G4124" i="1"/>
  <c r="K4124" i="1"/>
  <c r="A4125" i="1"/>
  <c r="B4125" i="1"/>
  <c r="C4125" i="1"/>
  <c r="E4125" i="1"/>
  <c r="G4125" i="1"/>
  <c r="K4125" i="1"/>
  <c r="A4126" i="1"/>
  <c r="B4126" i="1"/>
  <c r="C4126" i="1"/>
  <c r="E4126" i="1"/>
  <c r="G4126" i="1"/>
  <c r="K4126" i="1"/>
  <c r="A4127" i="1"/>
  <c r="B4127" i="1"/>
  <c r="C4127" i="1"/>
  <c r="E4127" i="1"/>
  <c r="G4127" i="1"/>
  <c r="K4127" i="1"/>
  <c r="A4128" i="1"/>
  <c r="B4128" i="1"/>
  <c r="C4128" i="1"/>
  <c r="E4128" i="1"/>
  <c r="G4128" i="1"/>
  <c r="K4128" i="1"/>
  <c r="A4129" i="1"/>
  <c r="B4129" i="1"/>
  <c r="C4129" i="1"/>
  <c r="E4129" i="1"/>
  <c r="G4129" i="1"/>
  <c r="K4129" i="1"/>
  <c r="A4130" i="1"/>
  <c r="B4130" i="1"/>
  <c r="C4130" i="1"/>
  <c r="E4130" i="1"/>
  <c r="G4130" i="1"/>
  <c r="K4130" i="1"/>
  <c r="A4131" i="1"/>
  <c r="B4131" i="1"/>
  <c r="C4131" i="1"/>
  <c r="E4131" i="1"/>
  <c r="G4131" i="1"/>
  <c r="K4131" i="1"/>
  <c r="A4132" i="1"/>
  <c r="B4132" i="1"/>
  <c r="C4132" i="1"/>
  <c r="E4132" i="1"/>
  <c r="G4132" i="1"/>
  <c r="K4132" i="1"/>
  <c r="A4133" i="1"/>
  <c r="B4133" i="1"/>
  <c r="C4133" i="1"/>
  <c r="E4133" i="1"/>
  <c r="G4133" i="1"/>
  <c r="K4133" i="1"/>
  <c r="A4134" i="1"/>
  <c r="B4134" i="1"/>
  <c r="C4134" i="1"/>
  <c r="E4134" i="1"/>
  <c r="G4134" i="1"/>
  <c r="K4134" i="1"/>
  <c r="A4135" i="1"/>
  <c r="B4135" i="1"/>
  <c r="C4135" i="1"/>
  <c r="E4135" i="1"/>
  <c r="G4135" i="1"/>
  <c r="K4135" i="1"/>
  <c r="A4136" i="1"/>
  <c r="B4136" i="1"/>
  <c r="C4136" i="1"/>
  <c r="E4136" i="1"/>
  <c r="G4136" i="1"/>
  <c r="K4136" i="1"/>
  <c r="A4137" i="1"/>
  <c r="B4137" i="1"/>
  <c r="C4137" i="1"/>
  <c r="E4137" i="1"/>
  <c r="G4137" i="1"/>
  <c r="K4137" i="1"/>
  <c r="A4138" i="1"/>
  <c r="B4138" i="1"/>
  <c r="C4138" i="1"/>
  <c r="E4138" i="1"/>
  <c r="G4138" i="1"/>
  <c r="K4138" i="1"/>
  <c r="A4139" i="1"/>
  <c r="B4139" i="1"/>
  <c r="C4139" i="1"/>
  <c r="E4139" i="1"/>
  <c r="G4139" i="1"/>
  <c r="K4139" i="1"/>
  <c r="A4140" i="1"/>
  <c r="B4140" i="1"/>
  <c r="C4140" i="1"/>
  <c r="E4140" i="1"/>
  <c r="G4140" i="1"/>
  <c r="K4140" i="1"/>
  <c r="A4141" i="1"/>
  <c r="B4141" i="1"/>
  <c r="C4141" i="1"/>
  <c r="E4141" i="1"/>
  <c r="G4141" i="1"/>
  <c r="K4141" i="1"/>
  <c r="A4142" i="1"/>
  <c r="B4142" i="1"/>
  <c r="C4142" i="1"/>
  <c r="E4142" i="1"/>
  <c r="G4142" i="1"/>
  <c r="K4142" i="1"/>
  <c r="A4143" i="1"/>
  <c r="B4143" i="1"/>
  <c r="C4143" i="1"/>
  <c r="E4143" i="1"/>
  <c r="G4143" i="1"/>
  <c r="K4143" i="1"/>
  <c r="A4144" i="1"/>
  <c r="B4144" i="1"/>
  <c r="C4144" i="1"/>
  <c r="E4144" i="1"/>
  <c r="G4144" i="1"/>
  <c r="K4144" i="1"/>
  <c r="A4145" i="1"/>
  <c r="B4145" i="1"/>
  <c r="C4145" i="1"/>
  <c r="E4145" i="1"/>
  <c r="G4145" i="1"/>
  <c r="K4145" i="1"/>
  <c r="A4146" i="1"/>
  <c r="B4146" i="1"/>
  <c r="C4146" i="1"/>
  <c r="E4146" i="1"/>
  <c r="G4146" i="1"/>
  <c r="K4146" i="1"/>
  <c r="A4147" i="1"/>
  <c r="B4147" i="1"/>
  <c r="C4147" i="1"/>
  <c r="E4147" i="1"/>
  <c r="G4147" i="1"/>
  <c r="K4147" i="1"/>
  <c r="A4148" i="1"/>
  <c r="B4148" i="1"/>
  <c r="C4148" i="1"/>
  <c r="E4148" i="1"/>
  <c r="G4148" i="1"/>
  <c r="K4148" i="1"/>
  <c r="A4149" i="1"/>
  <c r="B4149" i="1"/>
  <c r="C4149" i="1"/>
  <c r="E4149" i="1"/>
  <c r="G4149" i="1"/>
  <c r="K4149" i="1"/>
  <c r="A4150" i="1"/>
  <c r="B4150" i="1"/>
  <c r="C4150" i="1"/>
  <c r="E4150" i="1"/>
  <c r="G4150" i="1"/>
  <c r="K4150" i="1"/>
  <c r="A4151" i="1"/>
  <c r="B4151" i="1"/>
  <c r="C4151" i="1"/>
  <c r="E4151" i="1"/>
  <c r="G4151" i="1"/>
  <c r="K4151" i="1"/>
  <c r="A4152" i="1"/>
  <c r="B4152" i="1"/>
  <c r="C4152" i="1"/>
  <c r="E4152" i="1"/>
  <c r="G4152" i="1"/>
  <c r="K4152" i="1"/>
  <c r="A4153" i="1"/>
  <c r="B4153" i="1"/>
  <c r="C4153" i="1"/>
  <c r="E4153" i="1"/>
  <c r="G4153" i="1"/>
  <c r="K4153" i="1"/>
  <c r="A4154" i="1"/>
  <c r="B4154" i="1"/>
  <c r="C4154" i="1"/>
  <c r="E4154" i="1"/>
  <c r="G4154" i="1"/>
  <c r="K4154" i="1"/>
  <c r="A4155" i="1"/>
  <c r="B4155" i="1"/>
  <c r="C4155" i="1"/>
  <c r="E4155" i="1"/>
  <c r="G4155" i="1"/>
  <c r="K4155" i="1"/>
  <c r="A4156" i="1"/>
  <c r="B4156" i="1"/>
  <c r="C4156" i="1"/>
  <c r="E4156" i="1"/>
  <c r="G4156" i="1"/>
  <c r="K4156" i="1"/>
  <c r="A4157" i="1"/>
  <c r="B4157" i="1"/>
  <c r="C4157" i="1"/>
  <c r="E4157" i="1"/>
  <c r="G4157" i="1"/>
  <c r="K4157" i="1"/>
  <c r="A4158" i="1"/>
  <c r="B4158" i="1"/>
  <c r="C4158" i="1"/>
  <c r="E4158" i="1"/>
  <c r="G4158" i="1"/>
  <c r="K4158" i="1"/>
  <c r="A4159" i="1"/>
  <c r="B4159" i="1"/>
  <c r="C4159" i="1"/>
  <c r="E4159" i="1"/>
  <c r="G4159" i="1"/>
  <c r="K4159" i="1"/>
  <c r="A4160" i="1"/>
  <c r="B4160" i="1"/>
  <c r="C4160" i="1"/>
  <c r="E4160" i="1"/>
  <c r="G4160" i="1"/>
  <c r="K4160" i="1"/>
  <c r="A4161" i="1"/>
  <c r="B4161" i="1"/>
  <c r="C4161" i="1"/>
  <c r="E4161" i="1"/>
  <c r="G4161" i="1"/>
  <c r="K4161" i="1"/>
  <c r="A4162" i="1"/>
  <c r="B4162" i="1"/>
  <c r="C4162" i="1"/>
  <c r="E4162" i="1"/>
  <c r="G4162" i="1"/>
  <c r="K4162" i="1"/>
  <c r="A4163" i="1"/>
  <c r="B4163" i="1"/>
  <c r="C4163" i="1"/>
  <c r="E4163" i="1"/>
  <c r="G4163" i="1"/>
  <c r="K4163" i="1"/>
  <c r="A4164" i="1"/>
  <c r="B4164" i="1"/>
  <c r="C4164" i="1"/>
  <c r="E4164" i="1"/>
  <c r="G4164" i="1"/>
  <c r="K4164" i="1"/>
  <c r="A4165" i="1"/>
  <c r="B4165" i="1"/>
  <c r="C4165" i="1"/>
  <c r="E4165" i="1"/>
  <c r="G4165" i="1"/>
  <c r="K4165" i="1"/>
  <c r="A4166" i="1"/>
  <c r="B4166" i="1"/>
  <c r="C4166" i="1"/>
  <c r="E4166" i="1"/>
  <c r="G4166" i="1"/>
  <c r="K4166" i="1"/>
  <c r="A4167" i="1"/>
  <c r="B4167" i="1"/>
  <c r="C4167" i="1"/>
  <c r="E4167" i="1"/>
  <c r="G4167" i="1"/>
  <c r="K4167" i="1"/>
  <c r="A4168" i="1"/>
  <c r="B4168" i="1"/>
  <c r="C4168" i="1"/>
  <c r="E4168" i="1"/>
  <c r="G4168" i="1"/>
  <c r="K4168" i="1"/>
  <c r="A4169" i="1"/>
  <c r="B4169" i="1"/>
  <c r="C4169" i="1"/>
  <c r="E4169" i="1"/>
  <c r="G4169" i="1"/>
  <c r="K4169" i="1"/>
  <c r="A4170" i="1"/>
  <c r="B4170" i="1"/>
  <c r="C4170" i="1"/>
  <c r="E4170" i="1"/>
  <c r="G4170" i="1"/>
  <c r="K4170" i="1"/>
  <c r="A4171" i="1"/>
  <c r="B4171" i="1"/>
  <c r="C4171" i="1"/>
  <c r="E4171" i="1"/>
  <c r="G4171" i="1"/>
  <c r="K4171" i="1"/>
  <c r="A4172" i="1"/>
  <c r="B4172" i="1"/>
  <c r="C4172" i="1"/>
  <c r="E4172" i="1"/>
  <c r="G4172" i="1"/>
  <c r="K4172" i="1"/>
  <c r="A4173" i="1"/>
  <c r="B4173" i="1"/>
  <c r="C4173" i="1"/>
  <c r="E4173" i="1"/>
  <c r="G4173" i="1"/>
  <c r="K4173" i="1"/>
  <c r="A4174" i="1"/>
  <c r="B4174" i="1"/>
  <c r="C4174" i="1"/>
  <c r="E4174" i="1"/>
  <c r="G4174" i="1"/>
  <c r="K4174" i="1"/>
  <c r="A4175" i="1"/>
  <c r="B4175" i="1"/>
  <c r="C4175" i="1"/>
  <c r="E4175" i="1"/>
  <c r="G4175" i="1"/>
  <c r="K4175" i="1"/>
  <c r="A4176" i="1"/>
  <c r="B4176" i="1"/>
  <c r="C4176" i="1"/>
  <c r="E4176" i="1"/>
  <c r="G4176" i="1"/>
  <c r="K4176" i="1"/>
  <c r="A4177" i="1"/>
  <c r="B4177" i="1"/>
  <c r="C4177" i="1"/>
  <c r="E4177" i="1"/>
  <c r="G4177" i="1"/>
  <c r="K4177" i="1"/>
  <c r="A4178" i="1"/>
  <c r="B4178" i="1"/>
  <c r="C4178" i="1"/>
  <c r="E4178" i="1"/>
  <c r="G4178" i="1"/>
  <c r="K4178" i="1"/>
  <c r="A4179" i="1"/>
  <c r="B4179" i="1"/>
  <c r="C4179" i="1"/>
  <c r="E4179" i="1"/>
  <c r="G4179" i="1"/>
  <c r="K4179" i="1"/>
  <c r="A4180" i="1"/>
  <c r="B4180" i="1"/>
  <c r="C4180" i="1"/>
  <c r="E4180" i="1"/>
  <c r="G4180" i="1"/>
  <c r="K4180" i="1"/>
  <c r="A4181" i="1"/>
  <c r="B4181" i="1"/>
  <c r="C4181" i="1"/>
  <c r="E4181" i="1"/>
  <c r="G4181" i="1"/>
  <c r="K4181" i="1"/>
  <c r="A4182" i="1"/>
  <c r="B4182" i="1"/>
  <c r="C4182" i="1"/>
  <c r="E4182" i="1"/>
  <c r="G4182" i="1"/>
  <c r="K4182" i="1"/>
  <c r="A4183" i="1"/>
  <c r="B4183" i="1"/>
  <c r="C4183" i="1"/>
  <c r="E4183" i="1"/>
  <c r="G4183" i="1"/>
  <c r="K4183" i="1"/>
  <c r="A4184" i="1"/>
  <c r="B4184" i="1"/>
  <c r="C4184" i="1"/>
  <c r="E4184" i="1"/>
  <c r="G4184" i="1"/>
  <c r="K4184" i="1"/>
  <c r="A4185" i="1"/>
  <c r="B4185" i="1"/>
  <c r="C4185" i="1"/>
  <c r="E4185" i="1"/>
  <c r="G4185" i="1"/>
  <c r="K4185" i="1"/>
  <c r="A4186" i="1"/>
  <c r="B4186" i="1"/>
  <c r="C4186" i="1"/>
  <c r="E4186" i="1"/>
  <c r="G4186" i="1"/>
  <c r="K4186" i="1"/>
  <c r="A4187" i="1"/>
  <c r="B4187" i="1"/>
  <c r="C4187" i="1"/>
  <c r="E4187" i="1"/>
  <c r="G4187" i="1"/>
  <c r="K4187" i="1"/>
  <c r="A4188" i="1"/>
  <c r="B4188" i="1"/>
  <c r="C4188" i="1"/>
  <c r="E4188" i="1"/>
  <c r="G4188" i="1"/>
  <c r="K4188" i="1"/>
  <c r="A4189" i="1"/>
  <c r="B4189" i="1"/>
  <c r="C4189" i="1"/>
  <c r="E4189" i="1"/>
  <c r="G4189" i="1"/>
  <c r="K4189" i="1"/>
  <c r="A4190" i="1"/>
  <c r="B4190" i="1"/>
  <c r="C4190" i="1"/>
  <c r="E4190" i="1"/>
  <c r="G4190" i="1"/>
  <c r="K4190" i="1"/>
  <c r="A4191" i="1"/>
  <c r="B4191" i="1"/>
  <c r="C4191" i="1"/>
  <c r="E4191" i="1"/>
  <c r="G4191" i="1"/>
  <c r="K4191" i="1"/>
  <c r="A4192" i="1"/>
  <c r="B4192" i="1"/>
  <c r="C4192" i="1"/>
  <c r="E4192" i="1"/>
  <c r="G4192" i="1"/>
  <c r="K4192" i="1"/>
  <c r="A4193" i="1"/>
  <c r="B4193" i="1"/>
  <c r="C4193" i="1"/>
  <c r="E4193" i="1"/>
  <c r="G4193" i="1"/>
  <c r="K4193" i="1"/>
  <c r="A4194" i="1"/>
  <c r="B4194" i="1"/>
  <c r="C4194" i="1"/>
  <c r="E4194" i="1"/>
  <c r="G4194" i="1"/>
  <c r="K4194" i="1"/>
  <c r="A4195" i="1"/>
  <c r="B4195" i="1"/>
  <c r="C4195" i="1"/>
  <c r="E4195" i="1"/>
  <c r="G4195" i="1"/>
  <c r="K4195" i="1"/>
  <c r="A4196" i="1"/>
  <c r="B4196" i="1"/>
  <c r="C4196" i="1"/>
  <c r="E4196" i="1"/>
  <c r="G4196" i="1"/>
  <c r="K4196" i="1"/>
  <c r="A4197" i="1"/>
  <c r="B4197" i="1"/>
  <c r="C4197" i="1"/>
  <c r="E4197" i="1"/>
  <c r="G4197" i="1"/>
  <c r="K4197" i="1"/>
  <c r="A4198" i="1"/>
  <c r="B4198" i="1"/>
  <c r="C4198" i="1"/>
  <c r="E4198" i="1"/>
  <c r="G4198" i="1"/>
  <c r="K4198" i="1"/>
  <c r="A4199" i="1"/>
  <c r="B4199" i="1"/>
  <c r="C4199" i="1"/>
  <c r="E4199" i="1"/>
  <c r="G4199" i="1"/>
  <c r="K4199" i="1"/>
  <c r="A4200" i="1"/>
  <c r="B4200" i="1"/>
  <c r="C4200" i="1"/>
  <c r="E4200" i="1"/>
  <c r="G4200" i="1"/>
  <c r="K4200" i="1"/>
  <c r="A4201" i="1"/>
  <c r="B4201" i="1"/>
  <c r="C4201" i="1"/>
  <c r="E4201" i="1"/>
  <c r="G4201" i="1"/>
  <c r="K4201" i="1"/>
  <c r="A4202" i="1"/>
  <c r="B4202" i="1"/>
  <c r="C4202" i="1"/>
  <c r="E4202" i="1"/>
  <c r="G4202" i="1"/>
  <c r="K4202" i="1"/>
  <c r="A4203" i="1"/>
  <c r="B4203" i="1"/>
  <c r="C4203" i="1"/>
  <c r="E4203" i="1"/>
  <c r="G4203" i="1"/>
  <c r="K4203" i="1"/>
  <c r="A4204" i="1"/>
  <c r="B4204" i="1"/>
  <c r="C4204" i="1"/>
  <c r="E4204" i="1"/>
  <c r="G4204" i="1"/>
  <c r="K4204" i="1"/>
  <c r="A4205" i="1"/>
  <c r="B4205" i="1"/>
  <c r="C4205" i="1"/>
  <c r="E4205" i="1"/>
  <c r="G4205" i="1"/>
  <c r="K4205" i="1"/>
  <c r="A4206" i="1"/>
  <c r="B4206" i="1"/>
  <c r="C4206" i="1"/>
  <c r="E4206" i="1"/>
  <c r="G4206" i="1"/>
  <c r="K4206" i="1"/>
  <c r="A4207" i="1"/>
  <c r="B4207" i="1"/>
  <c r="C4207" i="1"/>
  <c r="E4207" i="1"/>
  <c r="G4207" i="1"/>
  <c r="K4207" i="1"/>
  <c r="A4208" i="1"/>
  <c r="B4208" i="1"/>
  <c r="C4208" i="1"/>
  <c r="E4208" i="1"/>
  <c r="G4208" i="1"/>
  <c r="K4208" i="1"/>
  <c r="A4209" i="1"/>
  <c r="B4209" i="1"/>
  <c r="C4209" i="1"/>
  <c r="E4209" i="1"/>
  <c r="G4209" i="1"/>
  <c r="K4209" i="1"/>
  <c r="A4210" i="1"/>
  <c r="B4210" i="1"/>
  <c r="C4210" i="1"/>
  <c r="E4210" i="1"/>
  <c r="G4210" i="1"/>
  <c r="K4210" i="1"/>
  <c r="A4211" i="1"/>
  <c r="B4211" i="1"/>
  <c r="C4211" i="1"/>
  <c r="E4211" i="1"/>
  <c r="G4211" i="1"/>
  <c r="K4211" i="1"/>
  <c r="A4212" i="1"/>
  <c r="B4212" i="1"/>
  <c r="C4212" i="1"/>
  <c r="E4212" i="1"/>
  <c r="G4212" i="1"/>
  <c r="K4212" i="1"/>
  <c r="A4213" i="1"/>
  <c r="B4213" i="1"/>
  <c r="C4213" i="1"/>
  <c r="E4213" i="1"/>
  <c r="G4213" i="1"/>
  <c r="K4213" i="1"/>
  <c r="A4214" i="1"/>
  <c r="B4214" i="1"/>
  <c r="C4214" i="1"/>
  <c r="E4214" i="1"/>
  <c r="G4214" i="1"/>
  <c r="K4214" i="1"/>
  <c r="A4215" i="1"/>
  <c r="B4215" i="1"/>
  <c r="C4215" i="1"/>
  <c r="E4215" i="1"/>
  <c r="G4215" i="1"/>
  <c r="K4215" i="1"/>
  <c r="A4216" i="1"/>
  <c r="B4216" i="1"/>
  <c r="C4216" i="1"/>
  <c r="E4216" i="1"/>
  <c r="G4216" i="1"/>
  <c r="K4216" i="1"/>
  <c r="A4217" i="1"/>
  <c r="B4217" i="1"/>
  <c r="C4217" i="1"/>
  <c r="E4217" i="1"/>
  <c r="G4217" i="1"/>
  <c r="K4217" i="1"/>
  <c r="A4218" i="1"/>
  <c r="B4218" i="1"/>
  <c r="C4218" i="1"/>
  <c r="E4218" i="1"/>
  <c r="G4218" i="1"/>
  <c r="K4218" i="1"/>
  <c r="A4219" i="1"/>
  <c r="B4219" i="1"/>
  <c r="C4219" i="1"/>
  <c r="E4219" i="1"/>
  <c r="G4219" i="1"/>
  <c r="K4219" i="1"/>
  <c r="A4220" i="1"/>
  <c r="B4220" i="1"/>
  <c r="C4220" i="1"/>
  <c r="E4220" i="1"/>
  <c r="G4220" i="1"/>
  <c r="K4220" i="1"/>
  <c r="A4221" i="1"/>
  <c r="B4221" i="1"/>
  <c r="C4221" i="1"/>
  <c r="E4221" i="1"/>
  <c r="G4221" i="1"/>
  <c r="K4221" i="1"/>
  <c r="A4222" i="1"/>
  <c r="B4222" i="1"/>
  <c r="C4222" i="1"/>
  <c r="E4222" i="1"/>
  <c r="G4222" i="1"/>
  <c r="K4222" i="1"/>
  <c r="A4223" i="1"/>
  <c r="B4223" i="1"/>
  <c r="C4223" i="1"/>
  <c r="E4223" i="1"/>
  <c r="G4223" i="1"/>
  <c r="K4223" i="1"/>
  <c r="A4224" i="1"/>
  <c r="B4224" i="1"/>
  <c r="C4224" i="1"/>
  <c r="E4224" i="1"/>
  <c r="G4224" i="1"/>
  <c r="K4224" i="1"/>
  <c r="A4225" i="1"/>
  <c r="B4225" i="1"/>
  <c r="C4225" i="1"/>
  <c r="E4225" i="1"/>
  <c r="G4225" i="1"/>
  <c r="K4225" i="1"/>
  <c r="A4226" i="1"/>
  <c r="B4226" i="1"/>
  <c r="C4226" i="1"/>
  <c r="E4226" i="1"/>
  <c r="G4226" i="1"/>
  <c r="K4226" i="1"/>
  <c r="A4227" i="1"/>
  <c r="B4227" i="1"/>
  <c r="C4227" i="1"/>
  <c r="E4227" i="1"/>
  <c r="G4227" i="1"/>
  <c r="K4227" i="1"/>
  <c r="A4228" i="1"/>
  <c r="B4228" i="1"/>
  <c r="C4228" i="1"/>
  <c r="E4228" i="1"/>
  <c r="G4228" i="1"/>
  <c r="K4228" i="1"/>
  <c r="A4229" i="1"/>
  <c r="B4229" i="1"/>
  <c r="C4229" i="1"/>
  <c r="E4229" i="1"/>
  <c r="G4229" i="1"/>
  <c r="K4229" i="1"/>
  <c r="A4230" i="1"/>
  <c r="B4230" i="1"/>
  <c r="C4230" i="1"/>
  <c r="E4230" i="1"/>
  <c r="G4230" i="1"/>
  <c r="K4230" i="1"/>
  <c r="A4231" i="1"/>
  <c r="B4231" i="1"/>
  <c r="C4231" i="1"/>
  <c r="E4231" i="1"/>
  <c r="G4231" i="1"/>
  <c r="K4231" i="1"/>
  <c r="A4232" i="1"/>
  <c r="B4232" i="1"/>
  <c r="C4232" i="1"/>
  <c r="E4232" i="1"/>
  <c r="G4232" i="1"/>
  <c r="K4232" i="1"/>
  <c r="A4233" i="1"/>
  <c r="B4233" i="1"/>
  <c r="C4233" i="1"/>
  <c r="E4233" i="1"/>
  <c r="G4233" i="1"/>
  <c r="K4233" i="1"/>
  <c r="A4234" i="1"/>
  <c r="B4234" i="1"/>
  <c r="C4234" i="1"/>
  <c r="E4234" i="1"/>
  <c r="G4234" i="1"/>
  <c r="K4234" i="1"/>
  <c r="A4235" i="1"/>
  <c r="B4235" i="1"/>
  <c r="C4235" i="1"/>
  <c r="E4235" i="1"/>
  <c r="G4235" i="1"/>
  <c r="K4235" i="1"/>
  <c r="A4236" i="1"/>
  <c r="B4236" i="1"/>
  <c r="C4236" i="1"/>
  <c r="E4236" i="1"/>
  <c r="G4236" i="1"/>
  <c r="K4236" i="1"/>
  <c r="A4237" i="1"/>
  <c r="B4237" i="1"/>
  <c r="C4237" i="1"/>
  <c r="E4237" i="1"/>
  <c r="G4237" i="1"/>
  <c r="K4237" i="1"/>
  <c r="A4238" i="1"/>
  <c r="B4238" i="1"/>
  <c r="C4238" i="1"/>
  <c r="E4238" i="1"/>
  <c r="G4238" i="1"/>
  <c r="K4238" i="1"/>
  <c r="A4239" i="1"/>
  <c r="B4239" i="1"/>
  <c r="C4239" i="1"/>
  <c r="E4239" i="1"/>
  <c r="G4239" i="1"/>
  <c r="K4239" i="1"/>
  <c r="A4240" i="1"/>
  <c r="B4240" i="1"/>
  <c r="C4240" i="1"/>
  <c r="E4240" i="1"/>
  <c r="G4240" i="1"/>
  <c r="K4240" i="1"/>
  <c r="A4241" i="1"/>
  <c r="B4241" i="1"/>
  <c r="C4241" i="1"/>
  <c r="E4241" i="1"/>
  <c r="G4241" i="1"/>
  <c r="K4241" i="1"/>
  <c r="A4242" i="1"/>
  <c r="B4242" i="1"/>
  <c r="C4242" i="1"/>
  <c r="E4242" i="1"/>
  <c r="G4242" i="1"/>
  <c r="K4242" i="1"/>
  <c r="A4243" i="1"/>
  <c r="B4243" i="1"/>
  <c r="C4243" i="1"/>
  <c r="E4243" i="1"/>
  <c r="G4243" i="1"/>
  <c r="K4243" i="1"/>
  <c r="A4244" i="1"/>
  <c r="B4244" i="1"/>
  <c r="C4244" i="1"/>
  <c r="E4244" i="1"/>
  <c r="G4244" i="1"/>
  <c r="K4244" i="1"/>
  <c r="A4245" i="1"/>
  <c r="B4245" i="1"/>
  <c r="C4245" i="1"/>
  <c r="E4245" i="1"/>
  <c r="G4245" i="1"/>
  <c r="K4245" i="1"/>
  <c r="A4246" i="1"/>
  <c r="B4246" i="1"/>
  <c r="C4246" i="1"/>
  <c r="E4246" i="1"/>
  <c r="G4246" i="1"/>
  <c r="K4246" i="1"/>
  <c r="A4247" i="1"/>
  <c r="B4247" i="1"/>
  <c r="C4247" i="1"/>
  <c r="E4247" i="1"/>
  <c r="G4247" i="1"/>
  <c r="K4247" i="1"/>
  <c r="A4248" i="1"/>
  <c r="B4248" i="1"/>
  <c r="C4248" i="1"/>
  <c r="E4248" i="1"/>
  <c r="G4248" i="1"/>
  <c r="K4248" i="1"/>
  <c r="A4249" i="1"/>
  <c r="B4249" i="1"/>
  <c r="C4249" i="1"/>
  <c r="E4249" i="1"/>
  <c r="G4249" i="1"/>
  <c r="K4249" i="1"/>
  <c r="A4250" i="1"/>
  <c r="B4250" i="1"/>
  <c r="C4250" i="1"/>
  <c r="E4250" i="1"/>
  <c r="G4250" i="1"/>
  <c r="K4250" i="1"/>
  <c r="A4251" i="1"/>
  <c r="B4251" i="1"/>
  <c r="C4251" i="1"/>
  <c r="E4251" i="1"/>
  <c r="G4251" i="1"/>
  <c r="K4251" i="1"/>
  <c r="A4252" i="1"/>
  <c r="B4252" i="1"/>
  <c r="C4252" i="1"/>
  <c r="E4252" i="1"/>
  <c r="G4252" i="1"/>
  <c r="K4252" i="1"/>
  <c r="A4253" i="1"/>
  <c r="B4253" i="1"/>
  <c r="C4253" i="1"/>
  <c r="E4253" i="1"/>
  <c r="G4253" i="1"/>
  <c r="K4253" i="1"/>
  <c r="A4254" i="1"/>
  <c r="B4254" i="1"/>
  <c r="C4254" i="1"/>
  <c r="E4254" i="1"/>
  <c r="G4254" i="1"/>
  <c r="K4254" i="1"/>
  <c r="A4255" i="1"/>
  <c r="B4255" i="1"/>
  <c r="C4255" i="1"/>
  <c r="E4255" i="1"/>
  <c r="G4255" i="1"/>
  <c r="K4255" i="1"/>
  <c r="A4256" i="1"/>
  <c r="B4256" i="1"/>
  <c r="C4256" i="1"/>
  <c r="E4256" i="1"/>
  <c r="G4256" i="1"/>
  <c r="K4256" i="1"/>
  <c r="A4257" i="1"/>
  <c r="B4257" i="1"/>
  <c r="C4257" i="1"/>
  <c r="E4257" i="1"/>
  <c r="G4257" i="1"/>
  <c r="K4257" i="1"/>
  <c r="A4258" i="1"/>
  <c r="B4258" i="1"/>
  <c r="C4258" i="1"/>
  <c r="E4258" i="1"/>
  <c r="G4258" i="1"/>
  <c r="K4258" i="1"/>
  <c r="A4259" i="1"/>
  <c r="B4259" i="1"/>
  <c r="C4259" i="1"/>
  <c r="E4259" i="1"/>
  <c r="G4259" i="1"/>
  <c r="K4259" i="1"/>
  <c r="A4260" i="1"/>
  <c r="B4260" i="1"/>
  <c r="C4260" i="1"/>
  <c r="E4260" i="1"/>
  <c r="G4260" i="1"/>
  <c r="K4260" i="1"/>
  <c r="A4261" i="1"/>
  <c r="B4261" i="1"/>
  <c r="C4261" i="1"/>
  <c r="E4261" i="1"/>
  <c r="G4261" i="1"/>
  <c r="K4261" i="1"/>
  <c r="A4262" i="1"/>
  <c r="B4262" i="1"/>
  <c r="C4262" i="1"/>
  <c r="E4262" i="1"/>
  <c r="G4262" i="1"/>
  <c r="K4262" i="1"/>
  <c r="A4263" i="1"/>
  <c r="B4263" i="1"/>
  <c r="C4263" i="1"/>
  <c r="E4263" i="1"/>
  <c r="G4263" i="1"/>
  <c r="K4263" i="1"/>
  <c r="A4264" i="1"/>
  <c r="B4264" i="1"/>
  <c r="C4264" i="1"/>
  <c r="E4264" i="1"/>
  <c r="G4264" i="1"/>
  <c r="K4264" i="1"/>
  <c r="A4265" i="1"/>
  <c r="B4265" i="1"/>
  <c r="C4265" i="1"/>
  <c r="E4265" i="1"/>
  <c r="G4265" i="1"/>
  <c r="K4265" i="1"/>
  <c r="A4266" i="1"/>
  <c r="B4266" i="1"/>
  <c r="C4266" i="1"/>
  <c r="E4266" i="1"/>
  <c r="G4266" i="1"/>
  <c r="K4266" i="1"/>
  <c r="A4267" i="1"/>
  <c r="B4267" i="1"/>
  <c r="C4267" i="1"/>
  <c r="E4267" i="1"/>
  <c r="G4267" i="1"/>
  <c r="K4267" i="1"/>
  <c r="A4268" i="1"/>
  <c r="B4268" i="1"/>
  <c r="C4268" i="1"/>
  <c r="E4268" i="1"/>
  <c r="G4268" i="1"/>
  <c r="K4268" i="1"/>
  <c r="A4269" i="1"/>
  <c r="B4269" i="1"/>
  <c r="C4269" i="1"/>
  <c r="E4269" i="1"/>
  <c r="G4269" i="1"/>
  <c r="K4269" i="1"/>
  <c r="A4270" i="1"/>
  <c r="B4270" i="1"/>
  <c r="C4270" i="1"/>
  <c r="E4270" i="1"/>
  <c r="G4270" i="1"/>
  <c r="K4270" i="1"/>
  <c r="A4271" i="1"/>
  <c r="B4271" i="1"/>
  <c r="C4271" i="1"/>
  <c r="E4271" i="1"/>
  <c r="G4271" i="1"/>
  <c r="K4271" i="1"/>
  <c r="A4272" i="1"/>
  <c r="B4272" i="1"/>
  <c r="C4272" i="1"/>
  <c r="E4272" i="1"/>
  <c r="G4272" i="1"/>
  <c r="K4272" i="1"/>
  <c r="A4273" i="1"/>
  <c r="B4273" i="1"/>
  <c r="C4273" i="1"/>
  <c r="E4273" i="1"/>
  <c r="G4273" i="1"/>
  <c r="K4273" i="1"/>
  <c r="A4274" i="1"/>
  <c r="B4274" i="1"/>
  <c r="C4274" i="1"/>
  <c r="E4274" i="1"/>
  <c r="G4274" i="1"/>
  <c r="K4274" i="1"/>
  <c r="A4275" i="1"/>
  <c r="B4275" i="1"/>
  <c r="C4275" i="1"/>
  <c r="E4275" i="1"/>
  <c r="G4275" i="1"/>
  <c r="K4275" i="1"/>
  <c r="A4276" i="1"/>
  <c r="B4276" i="1"/>
  <c r="C4276" i="1"/>
  <c r="E4276" i="1"/>
  <c r="G4276" i="1"/>
  <c r="K4276" i="1"/>
  <c r="A4277" i="1"/>
  <c r="B4277" i="1"/>
  <c r="C4277" i="1"/>
  <c r="E4277" i="1"/>
  <c r="G4277" i="1"/>
  <c r="K4277" i="1"/>
  <c r="A4278" i="1"/>
  <c r="B4278" i="1"/>
  <c r="C4278" i="1"/>
  <c r="E4278" i="1"/>
  <c r="G4278" i="1"/>
  <c r="K4278" i="1"/>
  <c r="A4279" i="1"/>
  <c r="B4279" i="1"/>
  <c r="C4279" i="1"/>
  <c r="E4279" i="1"/>
  <c r="G4279" i="1"/>
  <c r="K4279" i="1"/>
  <c r="A4280" i="1"/>
  <c r="B4280" i="1"/>
  <c r="C4280" i="1"/>
  <c r="E4280" i="1"/>
  <c r="G4280" i="1"/>
  <c r="K4280" i="1"/>
  <c r="A4281" i="1"/>
  <c r="B4281" i="1"/>
  <c r="C4281" i="1"/>
  <c r="E4281" i="1"/>
  <c r="G4281" i="1"/>
  <c r="K4281" i="1"/>
  <c r="A4282" i="1"/>
  <c r="B4282" i="1"/>
  <c r="C4282" i="1"/>
  <c r="E4282" i="1"/>
  <c r="G4282" i="1"/>
  <c r="K4282" i="1"/>
  <c r="A4283" i="1"/>
  <c r="B4283" i="1"/>
  <c r="C4283" i="1"/>
  <c r="E4283" i="1"/>
  <c r="G4283" i="1"/>
  <c r="K4283" i="1"/>
  <c r="A4284" i="1"/>
  <c r="B4284" i="1"/>
  <c r="C4284" i="1"/>
  <c r="E4284" i="1"/>
  <c r="G4284" i="1"/>
  <c r="K4284" i="1"/>
  <c r="A4285" i="1"/>
  <c r="B4285" i="1"/>
  <c r="C4285" i="1"/>
  <c r="E4285" i="1"/>
  <c r="G4285" i="1"/>
  <c r="K4285" i="1"/>
  <c r="A4286" i="1"/>
  <c r="B4286" i="1"/>
  <c r="C4286" i="1"/>
  <c r="E4286" i="1"/>
  <c r="G4286" i="1"/>
  <c r="K4286" i="1"/>
  <c r="A4287" i="1"/>
  <c r="B4287" i="1"/>
  <c r="C4287" i="1"/>
  <c r="E4287" i="1"/>
  <c r="G4287" i="1"/>
  <c r="K4287" i="1"/>
  <c r="A4288" i="1"/>
  <c r="B4288" i="1"/>
  <c r="C4288" i="1"/>
  <c r="E4288" i="1"/>
  <c r="G4288" i="1"/>
  <c r="K4288" i="1"/>
  <c r="A4289" i="1"/>
  <c r="B4289" i="1"/>
  <c r="C4289" i="1"/>
  <c r="E4289" i="1"/>
  <c r="G4289" i="1"/>
  <c r="K4289" i="1"/>
  <c r="A4290" i="1"/>
  <c r="B4290" i="1"/>
  <c r="C4290" i="1"/>
  <c r="E4290" i="1"/>
  <c r="G4290" i="1"/>
  <c r="K4290" i="1"/>
  <c r="A4291" i="1"/>
  <c r="B4291" i="1"/>
  <c r="C4291" i="1"/>
  <c r="E4291" i="1"/>
  <c r="G4291" i="1"/>
  <c r="K4291" i="1"/>
  <c r="A4292" i="1"/>
  <c r="B4292" i="1"/>
  <c r="C4292" i="1"/>
  <c r="E4292" i="1"/>
  <c r="G4292" i="1"/>
  <c r="K4292" i="1"/>
  <c r="A4293" i="1"/>
  <c r="B4293" i="1"/>
  <c r="C4293" i="1"/>
  <c r="E4293" i="1"/>
  <c r="G4293" i="1"/>
  <c r="K4293" i="1"/>
  <c r="A4294" i="1"/>
  <c r="B4294" i="1"/>
  <c r="C4294" i="1"/>
  <c r="E4294" i="1"/>
  <c r="G4294" i="1"/>
  <c r="K4294" i="1"/>
  <c r="A4295" i="1"/>
  <c r="B4295" i="1"/>
  <c r="C4295" i="1"/>
  <c r="E4295" i="1"/>
  <c r="G4295" i="1"/>
  <c r="K4295" i="1"/>
  <c r="A4296" i="1"/>
  <c r="B4296" i="1"/>
  <c r="C4296" i="1"/>
  <c r="E4296" i="1"/>
  <c r="G4296" i="1"/>
  <c r="K4296" i="1"/>
  <c r="A4297" i="1"/>
  <c r="B4297" i="1"/>
  <c r="C4297" i="1"/>
  <c r="E4297" i="1"/>
  <c r="G4297" i="1"/>
  <c r="K4297" i="1"/>
  <c r="A4298" i="1"/>
  <c r="B4298" i="1"/>
  <c r="C4298" i="1"/>
  <c r="E4298" i="1"/>
  <c r="G4298" i="1"/>
  <c r="K4298" i="1"/>
  <c r="A4299" i="1"/>
  <c r="B4299" i="1"/>
  <c r="C4299" i="1"/>
  <c r="E4299" i="1"/>
  <c r="G4299" i="1"/>
  <c r="K4299" i="1"/>
  <c r="A4300" i="1"/>
  <c r="B4300" i="1"/>
  <c r="C4300" i="1"/>
  <c r="E4300" i="1"/>
  <c r="G4300" i="1"/>
  <c r="K4300" i="1"/>
  <c r="A4301" i="1"/>
  <c r="B4301" i="1"/>
  <c r="C4301" i="1"/>
  <c r="E4301" i="1"/>
  <c r="G4301" i="1"/>
  <c r="K4301" i="1"/>
  <c r="A4302" i="1"/>
  <c r="B4302" i="1"/>
  <c r="C4302" i="1"/>
  <c r="E4302" i="1"/>
  <c r="G4302" i="1"/>
  <c r="K4302" i="1"/>
  <c r="A4303" i="1"/>
  <c r="B4303" i="1"/>
  <c r="C4303" i="1"/>
  <c r="E4303" i="1"/>
  <c r="G4303" i="1"/>
  <c r="K4303" i="1"/>
  <c r="A4304" i="1"/>
  <c r="B4304" i="1"/>
  <c r="C4304" i="1"/>
  <c r="E4304" i="1"/>
  <c r="G4304" i="1"/>
  <c r="K4304" i="1"/>
  <c r="A4305" i="1"/>
  <c r="B4305" i="1"/>
  <c r="C4305" i="1"/>
  <c r="E4305" i="1"/>
  <c r="G4305" i="1"/>
  <c r="K4305" i="1"/>
  <c r="A4306" i="1"/>
  <c r="B4306" i="1"/>
  <c r="C4306" i="1"/>
  <c r="E4306" i="1"/>
  <c r="G4306" i="1"/>
  <c r="K4306" i="1"/>
  <c r="A4307" i="1"/>
  <c r="B4307" i="1"/>
  <c r="C4307" i="1"/>
  <c r="E4307" i="1"/>
  <c r="G4307" i="1"/>
  <c r="K4307" i="1"/>
  <c r="A4308" i="1"/>
  <c r="B4308" i="1"/>
  <c r="C4308" i="1"/>
  <c r="E4308" i="1"/>
  <c r="G4308" i="1"/>
  <c r="K4308" i="1"/>
  <c r="A4309" i="1"/>
  <c r="B4309" i="1"/>
  <c r="C4309" i="1"/>
  <c r="E4309" i="1"/>
  <c r="G4309" i="1"/>
  <c r="K4309" i="1"/>
  <c r="A4310" i="1"/>
  <c r="B4310" i="1"/>
  <c r="C4310" i="1"/>
  <c r="E4310" i="1"/>
  <c r="G4310" i="1"/>
  <c r="K4310" i="1"/>
  <c r="A4311" i="1"/>
  <c r="B4311" i="1"/>
  <c r="C4311" i="1"/>
  <c r="E4311" i="1"/>
  <c r="G4311" i="1"/>
  <c r="K4311" i="1"/>
  <c r="A4312" i="1"/>
  <c r="B4312" i="1"/>
  <c r="C4312" i="1"/>
  <c r="E4312" i="1"/>
  <c r="G4312" i="1"/>
  <c r="K4312" i="1"/>
  <c r="A4313" i="1"/>
  <c r="B4313" i="1"/>
  <c r="C4313" i="1"/>
  <c r="E4313" i="1"/>
  <c r="G4313" i="1"/>
  <c r="K4313" i="1"/>
  <c r="A4314" i="1"/>
  <c r="B4314" i="1"/>
  <c r="C4314" i="1"/>
  <c r="E4314" i="1"/>
  <c r="G4314" i="1"/>
  <c r="K4314" i="1"/>
  <c r="A4315" i="1"/>
  <c r="B4315" i="1"/>
  <c r="C4315" i="1"/>
  <c r="E4315" i="1"/>
  <c r="G4315" i="1"/>
  <c r="K4315" i="1"/>
  <c r="A4316" i="1"/>
  <c r="B4316" i="1"/>
  <c r="C4316" i="1"/>
  <c r="E4316" i="1"/>
  <c r="G4316" i="1"/>
  <c r="K4316" i="1"/>
  <c r="A4317" i="1"/>
  <c r="B4317" i="1"/>
  <c r="C4317" i="1"/>
  <c r="E4317" i="1"/>
  <c r="G4317" i="1"/>
  <c r="K4317" i="1"/>
  <c r="A4318" i="1"/>
  <c r="B4318" i="1"/>
  <c r="C4318" i="1"/>
  <c r="E4318" i="1"/>
  <c r="G4318" i="1"/>
  <c r="K4318" i="1"/>
  <c r="A4319" i="1"/>
  <c r="B4319" i="1"/>
  <c r="C4319" i="1"/>
  <c r="E4319" i="1"/>
  <c r="G4319" i="1"/>
  <c r="K4319" i="1"/>
  <c r="A4320" i="1"/>
  <c r="B4320" i="1"/>
  <c r="C4320" i="1"/>
  <c r="E4320" i="1"/>
  <c r="G4320" i="1"/>
  <c r="K4320" i="1"/>
  <c r="A4321" i="1"/>
  <c r="B4321" i="1"/>
  <c r="C4321" i="1"/>
  <c r="E4321" i="1"/>
  <c r="G4321" i="1"/>
  <c r="K4321" i="1"/>
  <c r="A4322" i="1"/>
  <c r="B4322" i="1"/>
  <c r="C4322" i="1"/>
  <c r="E4322" i="1"/>
  <c r="G4322" i="1"/>
  <c r="K4322" i="1"/>
  <c r="A4323" i="1"/>
  <c r="B4323" i="1"/>
  <c r="C4323" i="1"/>
  <c r="E4323" i="1"/>
  <c r="G4323" i="1"/>
  <c r="K4323" i="1"/>
  <c r="A4324" i="1"/>
  <c r="B4324" i="1"/>
  <c r="C4324" i="1"/>
  <c r="E4324" i="1"/>
  <c r="G4324" i="1"/>
  <c r="K4324" i="1"/>
  <c r="A4325" i="1"/>
  <c r="B4325" i="1"/>
  <c r="C4325" i="1"/>
  <c r="E4325" i="1"/>
  <c r="G4325" i="1"/>
  <c r="K4325" i="1"/>
  <c r="A4326" i="1"/>
  <c r="B4326" i="1"/>
  <c r="C4326" i="1"/>
  <c r="E4326" i="1"/>
  <c r="G4326" i="1"/>
  <c r="K4326" i="1"/>
  <c r="A4327" i="1"/>
  <c r="B4327" i="1"/>
  <c r="C4327" i="1"/>
  <c r="E4327" i="1"/>
  <c r="G4327" i="1"/>
  <c r="K4327" i="1"/>
  <c r="A4328" i="1"/>
  <c r="B4328" i="1"/>
  <c r="C4328" i="1"/>
  <c r="E4328" i="1"/>
  <c r="G4328" i="1"/>
  <c r="K4328" i="1"/>
  <c r="A4329" i="1"/>
  <c r="B4329" i="1"/>
  <c r="C4329" i="1"/>
  <c r="E4329" i="1"/>
  <c r="G4329" i="1"/>
  <c r="K4329" i="1"/>
  <c r="A4330" i="1"/>
  <c r="B4330" i="1"/>
  <c r="C4330" i="1"/>
  <c r="E4330" i="1"/>
  <c r="G4330" i="1"/>
  <c r="K4330" i="1"/>
  <c r="A4331" i="1"/>
  <c r="B4331" i="1"/>
  <c r="C4331" i="1"/>
  <c r="E4331" i="1"/>
  <c r="G4331" i="1"/>
  <c r="K4331" i="1"/>
  <c r="A4332" i="1"/>
  <c r="B4332" i="1"/>
  <c r="C4332" i="1"/>
  <c r="E4332" i="1"/>
  <c r="G4332" i="1"/>
  <c r="K4332" i="1"/>
  <c r="A4333" i="1"/>
  <c r="B4333" i="1"/>
  <c r="C4333" i="1"/>
  <c r="E4333" i="1"/>
  <c r="G4333" i="1"/>
  <c r="K4333" i="1"/>
  <c r="A4334" i="1"/>
  <c r="B4334" i="1"/>
  <c r="C4334" i="1"/>
  <c r="E4334" i="1"/>
  <c r="G4334" i="1"/>
  <c r="K4334" i="1"/>
  <c r="A4335" i="1"/>
  <c r="B4335" i="1"/>
  <c r="C4335" i="1"/>
  <c r="E4335" i="1"/>
  <c r="G4335" i="1"/>
  <c r="K4335" i="1"/>
  <c r="A4336" i="1"/>
  <c r="B4336" i="1"/>
  <c r="C4336" i="1"/>
  <c r="E4336" i="1"/>
  <c r="G4336" i="1"/>
  <c r="K4336" i="1"/>
  <c r="A4337" i="1"/>
  <c r="B4337" i="1"/>
  <c r="C4337" i="1"/>
  <c r="E4337" i="1"/>
  <c r="G4337" i="1"/>
  <c r="K4337" i="1"/>
  <c r="A4338" i="1"/>
  <c r="B4338" i="1"/>
  <c r="C4338" i="1"/>
  <c r="E4338" i="1"/>
  <c r="G4338" i="1"/>
  <c r="K4338" i="1"/>
  <c r="A4339" i="1"/>
  <c r="B4339" i="1"/>
  <c r="C4339" i="1"/>
  <c r="E4339" i="1"/>
  <c r="G4339" i="1"/>
  <c r="K4339" i="1"/>
  <c r="A4340" i="1"/>
  <c r="B4340" i="1"/>
  <c r="C4340" i="1"/>
  <c r="E4340" i="1"/>
  <c r="G4340" i="1"/>
  <c r="K4340" i="1"/>
  <c r="A4341" i="1"/>
  <c r="B4341" i="1"/>
  <c r="C4341" i="1"/>
  <c r="E4341" i="1"/>
  <c r="G4341" i="1"/>
  <c r="K4341" i="1"/>
  <c r="A4342" i="1"/>
  <c r="B4342" i="1"/>
  <c r="C4342" i="1"/>
  <c r="E4342" i="1"/>
  <c r="G4342" i="1"/>
  <c r="K4342" i="1"/>
  <c r="A4343" i="1"/>
  <c r="B4343" i="1"/>
  <c r="C4343" i="1"/>
  <c r="E4343" i="1"/>
  <c r="G4343" i="1"/>
  <c r="K4343" i="1"/>
  <c r="A4344" i="1"/>
  <c r="B4344" i="1"/>
  <c r="C4344" i="1"/>
  <c r="E4344" i="1"/>
  <c r="G4344" i="1"/>
  <c r="K4344" i="1"/>
  <c r="A4345" i="1"/>
  <c r="B4345" i="1"/>
  <c r="C4345" i="1"/>
  <c r="E4345" i="1"/>
  <c r="G4345" i="1"/>
  <c r="K4345" i="1"/>
  <c r="A4346" i="1"/>
  <c r="B4346" i="1"/>
  <c r="C4346" i="1"/>
  <c r="E4346" i="1"/>
  <c r="G4346" i="1"/>
  <c r="K4346" i="1"/>
  <c r="A4347" i="1"/>
  <c r="B4347" i="1"/>
  <c r="C4347" i="1"/>
  <c r="E4347" i="1"/>
  <c r="G4347" i="1"/>
  <c r="K4347" i="1"/>
  <c r="A4348" i="1"/>
  <c r="B4348" i="1"/>
  <c r="C4348" i="1"/>
  <c r="E4348" i="1"/>
  <c r="G4348" i="1"/>
  <c r="K4348" i="1"/>
  <c r="A4349" i="1"/>
  <c r="B4349" i="1"/>
  <c r="C4349" i="1"/>
  <c r="E4349" i="1"/>
  <c r="G4349" i="1"/>
  <c r="K4349" i="1"/>
  <c r="A4350" i="1"/>
  <c r="B4350" i="1"/>
  <c r="C4350" i="1"/>
  <c r="E4350" i="1"/>
  <c r="G4350" i="1"/>
  <c r="K4350" i="1"/>
  <c r="A4351" i="1"/>
  <c r="B4351" i="1"/>
  <c r="C4351" i="1"/>
  <c r="E4351" i="1"/>
  <c r="G4351" i="1"/>
  <c r="K4351" i="1"/>
  <c r="A4352" i="1"/>
  <c r="B4352" i="1"/>
  <c r="C4352" i="1"/>
  <c r="E4352" i="1"/>
  <c r="G4352" i="1"/>
  <c r="K4352" i="1"/>
  <c r="A4353" i="1"/>
  <c r="B4353" i="1"/>
  <c r="C4353" i="1"/>
  <c r="E4353" i="1"/>
  <c r="G4353" i="1"/>
  <c r="K4353" i="1"/>
  <c r="A4354" i="1"/>
  <c r="B4354" i="1"/>
  <c r="C4354" i="1"/>
  <c r="E4354" i="1"/>
  <c r="G4354" i="1"/>
  <c r="K4354" i="1"/>
  <c r="A4355" i="1"/>
  <c r="B4355" i="1"/>
  <c r="C4355" i="1"/>
  <c r="E4355" i="1"/>
  <c r="G4355" i="1"/>
  <c r="K4355" i="1"/>
  <c r="A4356" i="1"/>
  <c r="B4356" i="1"/>
  <c r="C4356" i="1"/>
  <c r="E4356" i="1"/>
  <c r="G4356" i="1"/>
  <c r="K4356" i="1"/>
  <c r="A4357" i="1"/>
  <c r="B4357" i="1"/>
  <c r="C4357" i="1"/>
  <c r="E4357" i="1"/>
  <c r="G4357" i="1"/>
  <c r="K4357" i="1"/>
  <c r="A4358" i="1"/>
  <c r="B4358" i="1"/>
  <c r="C4358" i="1"/>
  <c r="E4358" i="1"/>
  <c r="G4358" i="1"/>
  <c r="K4358" i="1"/>
  <c r="A4359" i="1"/>
  <c r="B4359" i="1"/>
  <c r="C4359" i="1"/>
  <c r="E4359" i="1"/>
  <c r="G4359" i="1"/>
  <c r="K4359" i="1"/>
  <c r="A4360" i="1"/>
  <c r="B4360" i="1"/>
  <c r="C4360" i="1"/>
  <c r="E4360" i="1"/>
  <c r="G4360" i="1"/>
  <c r="K4360" i="1"/>
  <c r="A4361" i="1"/>
  <c r="B4361" i="1"/>
  <c r="C4361" i="1"/>
  <c r="E4361" i="1"/>
  <c r="G4361" i="1"/>
  <c r="K4361" i="1"/>
  <c r="A4362" i="1"/>
  <c r="B4362" i="1"/>
  <c r="C4362" i="1"/>
  <c r="E4362" i="1"/>
  <c r="G4362" i="1"/>
  <c r="K4362" i="1"/>
  <c r="A4363" i="1"/>
  <c r="B4363" i="1"/>
  <c r="C4363" i="1"/>
  <c r="E4363" i="1"/>
  <c r="G4363" i="1"/>
  <c r="K4363" i="1"/>
  <c r="A4364" i="1"/>
  <c r="B4364" i="1"/>
  <c r="C4364" i="1"/>
  <c r="E4364" i="1"/>
  <c r="G4364" i="1"/>
  <c r="K4364" i="1"/>
  <c r="A4365" i="1"/>
  <c r="B4365" i="1"/>
  <c r="C4365" i="1"/>
  <c r="E4365" i="1"/>
  <c r="G4365" i="1"/>
  <c r="K4365" i="1"/>
  <c r="A4366" i="1"/>
  <c r="B4366" i="1"/>
  <c r="C4366" i="1"/>
  <c r="E4366" i="1"/>
  <c r="G4366" i="1"/>
  <c r="K4366" i="1"/>
  <c r="A4367" i="1"/>
  <c r="B4367" i="1"/>
  <c r="C4367" i="1"/>
  <c r="E4367" i="1"/>
  <c r="G4367" i="1"/>
  <c r="K4367" i="1"/>
  <c r="A4368" i="1"/>
  <c r="B4368" i="1"/>
  <c r="C4368" i="1"/>
  <c r="E4368" i="1"/>
  <c r="G4368" i="1"/>
  <c r="K4368" i="1"/>
  <c r="A4369" i="1"/>
  <c r="B4369" i="1"/>
  <c r="C4369" i="1"/>
  <c r="E4369" i="1"/>
  <c r="G4369" i="1"/>
  <c r="K4369" i="1"/>
  <c r="A4370" i="1"/>
  <c r="B4370" i="1"/>
  <c r="C4370" i="1"/>
  <c r="E4370" i="1"/>
  <c r="G4370" i="1"/>
  <c r="K4370" i="1"/>
  <c r="A4371" i="1"/>
  <c r="B4371" i="1"/>
  <c r="C4371" i="1"/>
  <c r="E4371" i="1"/>
  <c r="G4371" i="1"/>
  <c r="K4371" i="1"/>
  <c r="A4372" i="1"/>
  <c r="B4372" i="1"/>
  <c r="C4372" i="1"/>
  <c r="E4372" i="1"/>
  <c r="G4372" i="1"/>
  <c r="K4372" i="1"/>
  <c r="A4373" i="1"/>
  <c r="B4373" i="1"/>
  <c r="C4373" i="1"/>
  <c r="E4373" i="1"/>
  <c r="G4373" i="1"/>
  <c r="K4373" i="1"/>
  <c r="A4374" i="1"/>
  <c r="B4374" i="1"/>
  <c r="C4374" i="1"/>
  <c r="E4374" i="1"/>
  <c r="G4374" i="1"/>
  <c r="K4374" i="1"/>
  <c r="A4375" i="1"/>
  <c r="B4375" i="1"/>
  <c r="C4375" i="1"/>
  <c r="E4375" i="1"/>
  <c r="G4375" i="1"/>
  <c r="K4375" i="1"/>
  <c r="A4376" i="1"/>
  <c r="B4376" i="1"/>
  <c r="C4376" i="1"/>
  <c r="E4376" i="1"/>
  <c r="G4376" i="1"/>
  <c r="K4376" i="1"/>
  <c r="A4377" i="1"/>
  <c r="B4377" i="1"/>
  <c r="C4377" i="1"/>
  <c r="E4377" i="1"/>
  <c r="G4377" i="1"/>
  <c r="K4377" i="1"/>
  <c r="A4378" i="1"/>
  <c r="B4378" i="1"/>
  <c r="C4378" i="1"/>
  <c r="E4378" i="1"/>
  <c r="G4378" i="1"/>
  <c r="K4378" i="1"/>
  <c r="A4379" i="1"/>
  <c r="B4379" i="1"/>
  <c r="C4379" i="1"/>
  <c r="E4379" i="1"/>
  <c r="G4379" i="1"/>
  <c r="K4379" i="1"/>
  <c r="A4380" i="1"/>
  <c r="B4380" i="1"/>
  <c r="C4380" i="1"/>
  <c r="E4380" i="1"/>
  <c r="G4380" i="1"/>
  <c r="K4380" i="1"/>
  <c r="A4381" i="1"/>
  <c r="B4381" i="1"/>
  <c r="C4381" i="1"/>
  <c r="E4381" i="1"/>
  <c r="G4381" i="1"/>
  <c r="K4381" i="1"/>
  <c r="A4382" i="1"/>
  <c r="B4382" i="1"/>
  <c r="C4382" i="1"/>
  <c r="E4382" i="1"/>
  <c r="G4382" i="1"/>
  <c r="K4382" i="1"/>
  <c r="A4383" i="1"/>
  <c r="B4383" i="1"/>
  <c r="C4383" i="1"/>
  <c r="E4383" i="1"/>
  <c r="G4383" i="1"/>
  <c r="K4383" i="1"/>
  <c r="A4384" i="1"/>
  <c r="B4384" i="1"/>
  <c r="C4384" i="1"/>
  <c r="E4384" i="1"/>
  <c r="G4384" i="1"/>
  <c r="K4384" i="1"/>
  <c r="A4385" i="1"/>
  <c r="B4385" i="1"/>
  <c r="C4385" i="1"/>
  <c r="E4385" i="1"/>
  <c r="G4385" i="1"/>
  <c r="K4385" i="1"/>
  <c r="A4386" i="1"/>
  <c r="B4386" i="1"/>
  <c r="C4386" i="1"/>
  <c r="E4386" i="1"/>
  <c r="G4386" i="1"/>
  <c r="K4386" i="1"/>
  <c r="A4387" i="1"/>
  <c r="B4387" i="1"/>
  <c r="C4387" i="1"/>
  <c r="E4387" i="1"/>
  <c r="G4387" i="1"/>
  <c r="K4387" i="1"/>
  <c r="A4388" i="1"/>
  <c r="B4388" i="1"/>
  <c r="C4388" i="1"/>
  <c r="E4388" i="1"/>
  <c r="G4388" i="1"/>
  <c r="K4388" i="1"/>
  <c r="A4389" i="1"/>
  <c r="B4389" i="1"/>
  <c r="C4389" i="1"/>
  <c r="E4389" i="1"/>
  <c r="G4389" i="1"/>
  <c r="K4389" i="1"/>
  <c r="A4390" i="1"/>
  <c r="B4390" i="1"/>
  <c r="C4390" i="1"/>
  <c r="E4390" i="1"/>
  <c r="G4390" i="1"/>
  <c r="K4390" i="1"/>
  <c r="A4391" i="1"/>
  <c r="B4391" i="1"/>
  <c r="C4391" i="1"/>
  <c r="E4391" i="1"/>
  <c r="G4391" i="1"/>
  <c r="K4391" i="1"/>
  <c r="A4392" i="1"/>
  <c r="B4392" i="1"/>
  <c r="C4392" i="1"/>
  <c r="E4392" i="1"/>
  <c r="G4392" i="1"/>
  <c r="K4392" i="1"/>
  <c r="A4393" i="1"/>
  <c r="B4393" i="1"/>
  <c r="C4393" i="1"/>
  <c r="E4393" i="1"/>
  <c r="G4393" i="1"/>
  <c r="K4393" i="1"/>
  <c r="A4394" i="1"/>
  <c r="B4394" i="1"/>
  <c r="C4394" i="1"/>
  <c r="E4394" i="1"/>
  <c r="G4394" i="1"/>
  <c r="K4394" i="1"/>
  <c r="A4395" i="1"/>
  <c r="B4395" i="1"/>
  <c r="C4395" i="1"/>
  <c r="E4395" i="1"/>
  <c r="G4395" i="1"/>
  <c r="K4395" i="1"/>
  <c r="A4396" i="1"/>
  <c r="B4396" i="1"/>
  <c r="C4396" i="1"/>
  <c r="E4396" i="1"/>
  <c r="G4396" i="1"/>
  <c r="K4396" i="1"/>
  <c r="A4397" i="1"/>
  <c r="B4397" i="1"/>
  <c r="C4397" i="1"/>
  <c r="E4397" i="1"/>
  <c r="G4397" i="1"/>
  <c r="K4397" i="1"/>
  <c r="A4398" i="1"/>
  <c r="B4398" i="1"/>
  <c r="C4398" i="1"/>
  <c r="E4398" i="1"/>
  <c r="G4398" i="1"/>
  <c r="K4398" i="1"/>
  <c r="A4399" i="1"/>
  <c r="B4399" i="1"/>
  <c r="C4399" i="1"/>
  <c r="E4399" i="1"/>
  <c r="G4399" i="1"/>
  <c r="K4399" i="1"/>
  <c r="A4400" i="1"/>
  <c r="B4400" i="1"/>
  <c r="C4400" i="1"/>
  <c r="E4400" i="1"/>
  <c r="G4400" i="1"/>
  <c r="K4400" i="1"/>
  <c r="A4401" i="1"/>
  <c r="B4401" i="1"/>
  <c r="C4401" i="1"/>
  <c r="E4401" i="1"/>
  <c r="G4401" i="1"/>
  <c r="K4401" i="1"/>
  <c r="A4402" i="1"/>
  <c r="B4402" i="1"/>
  <c r="C4402" i="1"/>
  <c r="E4402" i="1"/>
  <c r="G4402" i="1"/>
  <c r="K4402" i="1"/>
  <c r="A4403" i="1"/>
  <c r="B4403" i="1"/>
  <c r="C4403" i="1"/>
  <c r="E4403" i="1"/>
  <c r="G4403" i="1"/>
  <c r="K4403" i="1"/>
  <c r="A4404" i="1"/>
  <c r="B4404" i="1"/>
  <c r="C4404" i="1"/>
  <c r="E4404" i="1"/>
  <c r="G4404" i="1"/>
  <c r="K4404" i="1"/>
  <c r="A4405" i="1"/>
  <c r="B4405" i="1"/>
  <c r="C4405" i="1"/>
  <c r="E4405" i="1"/>
  <c r="G4405" i="1"/>
  <c r="K4405" i="1"/>
  <c r="A4406" i="1"/>
  <c r="B4406" i="1"/>
  <c r="C4406" i="1"/>
  <c r="E4406" i="1"/>
  <c r="G4406" i="1"/>
  <c r="K4406" i="1"/>
  <c r="A4407" i="1"/>
  <c r="B4407" i="1"/>
  <c r="C4407" i="1"/>
  <c r="E4407" i="1"/>
  <c r="G4407" i="1"/>
  <c r="K4407" i="1"/>
  <c r="A4408" i="1"/>
  <c r="B4408" i="1"/>
  <c r="C4408" i="1"/>
  <c r="E4408" i="1"/>
  <c r="G4408" i="1"/>
  <c r="K4408" i="1"/>
  <c r="A4409" i="1"/>
  <c r="B4409" i="1"/>
  <c r="C4409" i="1"/>
  <c r="E4409" i="1"/>
  <c r="G4409" i="1"/>
  <c r="K4409" i="1"/>
  <c r="A4410" i="1"/>
  <c r="B4410" i="1"/>
  <c r="C4410" i="1"/>
  <c r="E4410" i="1"/>
  <c r="G4410" i="1"/>
  <c r="K4410" i="1"/>
  <c r="A4411" i="1"/>
  <c r="B4411" i="1"/>
  <c r="C4411" i="1"/>
  <c r="E4411" i="1"/>
  <c r="G4411" i="1"/>
  <c r="K4411" i="1"/>
  <c r="A4412" i="1"/>
  <c r="B4412" i="1"/>
  <c r="C4412" i="1"/>
  <c r="E4412" i="1"/>
  <c r="G4412" i="1"/>
  <c r="K4412" i="1"/>
  <c r="A4413" i="1"/>
  <c r="B4413" i="1"/>
  <c r="C4413" i="1"/>
  <c r="E4413" i="1"/>
  <c r="G4413" i="1"/>
  <c r="K4413" i="1"/>
  <c r="A4414" i="1"/>
  <c r="B4414" i="1"/>
  <c r="C4414" i="1"/>
  <c r="E4414" i="1"/>
  <c r="G4414" i="1"/>
  <c r="K4414" i="1"/>
  <c r="A4415" i="1"/>
  <c r="B4415" i="1"/>
  <c r="C4415" i="1"/>
  <c r="E4415" i="1"/>
  <c r="G4415" i="1"/>
  <c r="K4415" i="1"/>
  <c r="A4416" i="1"/>
  <c r="B4416" i="1"/>
  <c r="C4416" i="1"/>
  <c r="E4416" i="1"/>
  <c r="G4416" i="1"/>
  <c r="K4416" i="1"/>
  <c r="A4417" i="1"/>
  <c r="B4417" i="1"/>
  <c r="C4417" i="1"/>
  <c r="E4417" i="1"/>
  <c r="G4417" i="1"/>
  <c r="K4417" i="1"/>
  <c r="A4418" i="1"/>
  <c r="B4418" i="1"/>
  <c r="C4418" i="1"/>
  <c r="E4418" i="1"/>
  <c r="G4418" i="1"/>
  <c r="K4418" i="1"/>
  <c r="A4419" i="1"/>
  <c r="B4419" i="1"/>
  <c r="C4419" i="1"/>
  <c r="E4419" i="1"/>
  <c r="G4419" i="1"/>
  <c r="K4419" i="1"/>
  <c r="A4420" i="1"/>
  <c r="B4420" i="1"/>
  <c r="C4420" i="1"/>
  <c r="E4420" i="1"/>
  <c r="G4420" i="1"/>
  <c r="K4420" i="1"/>
  <c r="A4421" i="1"/>
  <c r="B4421" i="1"/>
  <c r="C4421" i="1"/>
  <c r="E4421" i="1"/>
  <c r="G4421" i="1"/>
  <c r="K4421" i="1"/>
  <c r="A4422" i="1"/>
  <c r="B4422" i="1"/>
  <c r="C4422" i="1"/>
  <c r="E4422" i="1"/>
  <c r="G4422" i="1"/>
  <c r="K4422" i="1"/>
  <c r="A4423" i="1"/>
  <c r="B4423" i="1"/>
  <c r="C4423" i="1"/>
  <c r="E4423" i="1"/>
  <c r="G4423" i="1"/>
  <c r="K4423" i="1"/>
  <c r="A4424" i="1"/>
  <c r="B4424" i="1"/>
  <c r="C4424" i="1"/>
  <c r="E4424" i="1"/>
  <c r="G4424" i="1"/>
  <c r="K4424" i="1"/>
  <c r="A4425" i="1"/>
  <c r="B4425" i="1"/>
  <c r="C4425" i="1"/>
  <c r="E4425" i="1"/>
  <c r="G4425" i="1"/>
  <c r="K4425" i="1"/>
  <c r="A4426" i="1"/>
  <c r="B4426" i="1"/>
  <c r="C4426" i="1"/>
  <c r="E4426" i="1"/>
  <c r="G4426" i="1"/>
  <c r="K4426" i="1"/>
  <c r="A4427" i="1"/>
  <c r="B4427" i="1"/>
  <c r="C4427" i="1"/>
  <c r="E4427" i="1"/>
  <c r="G4427" i="1"/>
  <c r="K4427" i="1"/>
  <c r="A4428" i="1"/>
  <c r="B4428" i="1"/>
  <c r="C4428" i="1"/>
  <c r="E4428" i="1"/>
  <c r="G4428" i="1"/>
  <c r="K4428" i="1"/>
  <c r="A4429" i="1"/>
  <c r="B4429" i="1"/>
  <c r="C4429" i="1"/>
  <c r="E4429" i="1"/>
  <c r="G4429" i="1"/>
  <c r="K4429" i="1"/>
  <c r="A4430" i="1"/>
  <c r="B4430" i="1"/>
  <c r="C4430" i="1"/>
  <c r="E4430" i="1"/>
  <c r="G4430" i="1"/>
  <c r="K4430" i="1"/>
  <c r="A4431" i="1"/>
  <c r="B4431" i="1"/>
  <c r="C4431" i="1"/>
  <c r="E4431" i="1"/>
  <c r="G4431" i="1"/>
  <c r="K4431" i="1"/>
  <c r="A4432" i="1"/>
  <c r="B4432" i="1"/>
  <c r="C4432" i="1"/>
  <c r="E4432" i="1"/>
  <c r="G4432" i="1"/>
  <c r="K4432" i="1"/>
  <c r="A4433" i="1"/>
  <c r="B4433" i="1"/>
  <c r="C4433" i="1"/>
  <c r="E4433" i="1"/>
  <c r="G4433" i="1"/>
  <c r="K4433" i="1"/>
  <c r="A4434" i="1"/>
  <c r="B4434" i="1"/>
  <c r="C4434" i="1"/>
  <c r="E4434" i="1"/>
  <c r="G4434" i="1"/>
  <c r="K4434" i="1"/>
  <c r="A4435" i="1"/>
  <c r="B4435" i="1"/>
  <c r="C4435" i="1"/>
  <c r="E4435" i="1"/>
  <c r="G4435" i="1"/>
  <c r="K4435" i="1"/>
  <c r="A4436" i="1"/>
  <c r="B4436" i="1"/>
  <c r="C4436" i="1"/>
  <c r="E4436" i="1"/>
  <c r="G4436" i="1"/>
  <c r="K4436" i="1"/>
  <c r="A4437" i="1"/>
  <c r="B4437" i="1"/>
  <c r="C4437" i="1"/>
  <c r="E4437" i="1"/>
  <c r="G4437" i="1"/>
  <c r="K4437" i="1"/>
  <c r="A4438" i="1"/>
  <c r="B4438" i="1"/>
  <c r="C4438" i="1"/>
  <c r="E4438" i="1"/>
  <c r="G4438" i="1"/>
  <c r="K4438" i="1"/>
  <c r="A4439" i="1"/>
  <c r="B4439" i="1"/>
  <c r="C4439" i="1"/>
  <c r="E4439" i="1"/>
  <c r="G4439" i="1"/>
  <c r="K4439" i="1"/>
  <c r="A4440" i="1"/>
  <c r="B4440" i="1"/>
  <c r="C4440" i="1"/>
  <c r="E4440" i="1"/>
  <c r="G4440" i="1"/>
  <c r="K4440" i="1"/>
  <c r="A4441" i="1"/>
  <c r="B4441" i="1"/>
  <c r="C4441" i="1"/>
  <c r="E4441" i="1"/>
  <c r="G4441" i="1"/>
  <c r="K4441" i="1"/>
  <c r="A4442" i="1"/>
  <c r="B4442" i="1"/>
  <c r="C4442" i="1"/>
  <c r="E4442" i="1"/>
  <c r="G4442" i="1"/>
  <c r="K4442" i="1"/>
  <c r="A4443" i="1"/>
  <c r="B4443" i="1"/>
  <c r="C4443" i="1"/>
  <c r="E4443" i="1"/>
  <c r="G4443" i="1"/>
  <c r="K4443" i="1"/>
  <c r="A4444" i="1"/>
  <c r="B4444" i="1"/>
  <c r="C4444" i="1"/>
  <c r="E4444" i="1"/>
  <c r="G4444" i="1"/>
  <c r="K4444" i="1"/>
  <c r="A4445" i="1"/>
  <c r="B4445" i="1"/>
  <c r="C4445" i="1"/>
  <c r="E4445" i="1"/>
  <c r="G4445" i="1"/>
  <c r="K4445" i="1"/>
  <c r="A4446" i="1"/>
  <c r="B4446" i="1"/>
  <c r="C4446" i="1"/>
  <c r="E4446" i="1"/>
  <c r="G4446" i="1"/>
  <c r="K4446" i="1"/>
  <c r="A4447" i="1"/>
  <c r="B4447" i="1"/>
  <c r="C4447" i="1"/>
  <c r="E4447" i="1"/>
  <c r="G4447" i="1"/>
  <c r="K4447" i="1"/>
  <c r="A4448" i="1"/>
  <c r="B4448" i="1"/>
  <c r="C4448" i="1"/>
  <c r="E4448" i="1"/>
  <c r="G4448" i="1"/>
  <c r="K4448" i="1"/>
  <c r="A4449" i="1"/>
  <c r="B4449" i="1"/>
  <c r="C4449" i="1"/>
  <c r="E4449" i="1"/>
  <c r="G4449" i="1"/>
  <c r="K4449" i="1"/>
  <c r="A4450" i="1"/>
  <c r="B4450" i="1"/>
  <c r="C4450" i="1"/>
  <c r="E4450" i="1"/>
  <c r="G4450" i="1"/>
  <c r="K4450" i="1"/>
  <c r="A4451" i="1"/>
  <c r="B4451" i="1"/>
  <c r="C4451" i="1"/>
  <c r="E4451" i="1"/>
  <c r="G4451" i="1"/>
  <c r="K4451" i="1"/>
  <c r="A4452" i="1"/>
  <c r="B4452" i="1"/>
  <c r="C4452" i="1"/>
  <c r="E4452" i="1"/>
  <c r="G4452" i="1"/>
  <c r="K4452" i="1"/>
  <c r="A4453" i="1"/>
  <c r="B4453" i="1"/>
  <c r="C4453" i="1"/>
  <c r="E4453" i="1"/>
  <c r="G4453" i="1"/>
  <c r="K4453" i="1"/>
  <c r="A4454" i="1"/>
  <c r="B4454" i="1"/>
  <c r="C4454" i="1"/>
  <c r="E4454" i="1"/>
  <c r="G4454" i="1"/>
  <c r="K4454" i="1"/>
  <c r="A4455" i="1"/>
  <c r="B4455" i="1"/>
  <c r="C4455" i="1"/>
  <c r="E4455" i="1"/>
  <c r="G4455" i="1"/>
  <c r="K4455" i="1"/>
  <c r="A4456" i="1"/>
  <c r="B4456" i="1"/>
  <c r="C4456" i="1"/>
  <c r="E4456" i="1"/>
  <c r="G4456" i="1"/>
  <c r="K4456" i="1"/>
  <c r="A4457" i="1"/>
  <c r="B4457" i="1"/>
  <c r="C4457" i="1"/>
  <c r="E4457" i="1"/>
  <c r="G4457" i="1"/>
  <c r="K4457" i="1"/>
  <c r="A4458" i="1"/>
  <c r="B4458" i="1"/>
  <c r="C4458" i="1"/>
  <c r="E4458" i="1"/>
  <c r="G4458" i="1"/>
  <c r="K4458" i="1"/>
  <c r="A4459" i="1"/>
  <c r="B4459" i="1"/>
  <c r="C4459" i="1"/>
  <c r="E4459" i="1"/>
  <c r="G4459" i="1"/>
  <c r="K4459" i="1"/>
  <c r="A4460" i="1"/>
  <c r="B4460" i="1"/>
  <c r="C4460" i="1"/>
  <c r="E4460" i="1"/>
  <c r="G4460" i="1"/>
  <c r="K4460" i="1"/>
  <c r="A4461" i="1"/>
  <c r="B4461" i="1"/>
  <c r="C4461" i="1"/>
  <c r="E4461" i="1"/>
  <c r="G4461" i="1"/>
  <c r="K4461" i="1"/>
  <c r="A4462" i="1"/>
  <c r="B4462" i="1"/>
  <c r="C4462" i="1"/>
  <c r="E4462" i="1"/>
  <c r="G4462" i="1"/>
  <c r="K4462" i="1"/>
  <c r="A4463" i="1"/>
  <c r="B4463" i="1"/>
  <c r="C4463" i="1"/>
  <c r="E4463" i="1"/>
  <c r="G4463" i="1"/>
  <c r="K4463" i="1"/>
  <c r="A4464" i="1"/>
  <c r="B4464" i="1"/>
  <c r="C4464" i="1"/>
  <c r="E4464" i="1"/>
  <c r="G4464" i="1"/>
  <c r="K4464" i="1"/>
  <c r="A4465" i="1"/>
  <c r="B4465" i="1"/>
  <c r="C4465" i="1"/>
  <c r="E4465" i="1"/>
  <c r="G4465" i="1"/>
  <c r="K4465" i="1"/>
  <c r="A4466" i="1"/>
  <c r="B4466" i="1"/>
  <c r="C4466" i="1"/>
  <c r="E4466" i="1"/>
  <c r="G4466" i="1"/>
  <c r="K4466" i="1"/>
  <c r="A4467" i="1"/>
  <c r="B4467" i="1"/>
  <c r="C4467" i="1"/>
  <c r="E4467" i="1"/>
  <c r="G4467" i="1"/>
  <c r="K4467" i="1"/>
  <c r="A4468" i="1"/>
  <c r="B4468" i="1"/>
  <c r="C4468" i="1"/>
  <c r="E4468" i="1"/>
  <c r="G4468" i="1"/>
  <c r="K4468" i="1"/>
  <c r="A4469" i="1"/>
  <c r="B4469" i="1"/>
  <c r="C4469" i="1"/>
  <c r="E4469" i="1"/>
  <c r="G4469" i="1"/>
  <c r="K4469" i="1"/>
  <c r="A4470" i="1"/>
  <c r="B4470" i="1"/>
  <c r="C4470" i="1"/>
  <c r="E4470" i="1"/>
  <c r="G4470" i="1"/>
  <c r="K4470" i="1"/>
  <c r="A4471" i="1"/>
  <c r="B4471" i="1"/>
  <c r="C4471" i="1"/>
  <c r="E4471" i="1"/>
  <c r="G4471" i="1"/>
  <c r="K4471" i="1"/>
  <c r="A4472" i="1"/>
  <c r="B4472" i="1"/>
  <c r="C4472" i="1"/>
  <c r="E4472" i="1"/>
  <c r="G4472" i="1"/>
  <c r="K4472" i="1"/>
  <c r="A4473" i="1"/>
  <c r="B4473" i="1"/>
  <c r="C4473" i="1"/>
  <c r="E4473" i="1"/>
  <c r="G4473" i="1"/>
  <c r="K4473" i="1"/>
  <c r="A4474" i="1"/>
  <c r="B4474" i="1"/>
  <c r="C4474" i="1"/>
  <c r="E4474" i="1"/>
  <c r="G4474" i="1"/>
  <c r="K4474" i="1"/>
  <c r="A4475" i="1"/>
  <c r="B4475" i="1"/>
  <c r="C4475" i="1"/>
  <c r="E4475" i="1"/>
  <c r="G4475" i="1"/>
  <c r="K4475" i="1"/>
  <c r="A4476" i="1"/>
  <c r="B4476" i="1"/>
  <c r="C4476" i="1"/>
  <c r="E4476" i="1"/>
  <c r="G4476" i="1"/>
  <c r="K4476" i="1"/>
  <c r="A4477" i="1"/>
  <c r="B4477" i="1"/>
  <c r="C4477" i="1"/>
  <c r="E4477" i="1"/>
  <c r="G4477" i="1"/>
  <c r="K4477" i="1"/>
  <c r="A4478" i="1"/>
  <c r="B4478" i="1"/>
  <c r="C4478" i="1"/>
  <c r="E4478" i="1"/>
  <c r="G4478" i="1"/>
  <c r="K4478" i="1"/>
  <c r="A4479" i="1"/>
  <c r="B4479" i="1"/>
  <c r="C4479" i="1"/>
  <c r="E4479" i="1"/>
  <c r="G4479" i="1"/>
  <c r="K4479" i="1"/>
  <c r="A4480" i="1"/>
  <c r="B4480" i="1"/>
  <c r="C4480" i="1"/>
  <c r="E4480" i="1"/>
  <c r="G4480" i="1"/>
  <c r="K4480" i="1"/>
  <c r="A4481" i="1"/>
  <c r="B4481" i="1"/>
  <c r="C4481" i="1"/>
  <c r="E4481" i="1"/>
  <c r="G4481" i="1"/>
  <c r="K4481" i="1"/>
  <c r="A4482" i="1"/>
  <c r="B4482" i="1"/>
  <c r="C4482" i="1"/>
  <c r="E4482" i="1"/>
  <c r="G4482" i="1"/>
  <c r="K4482" i="1"/>
  <c r="A4483" i="1"/>
  <c r="B4483" i="1"/>
  <c r="C4483" i="1"/>
  <c r="E4483" i="1"/>
  <c r="G4483" i="1"/>
  <c r="K4483" i="1"/>
  <c r="A4484" i="1"/>
  <c r="B4484" i="1"/>
  <c r="C4484" i="1"/>
  <c r="E4484" i="1"/>
  <c r="G4484" i="1"/>
  <c r="K4484" i="1"/>
  <c r="A4485" i="1"/>
  <c r="B4485" i="1"/>
  <c r="C4485" i="1"/>
  <c r="E4485" i="1"/>
  <c r="G4485" i="1"/>
  <c r="K4485" i="1"/>
  <c r="A4486" i="1"/>
  <c r="B4486" i="1"/>
  <c r="C4486" i="1"/>
  <c r="E4486" i="1"/>
  <c r="G4486" i="1"/>
  <c r="K4486" i="1"/>
  <c r="A4487" i="1"/>
  <c r="B4487" i="1"/>
  <c r="C4487" i="1"/>
  <c r="E4487" i="1"/>
  <c r="G4487" i="1"/>
  <c r="K4487" i="1"/>
  <c r="A4488" i="1"/>
  <c r="B4488" i="1"/>
  <c r="C4488" i="1"/>
  <c r="E4488" i="1"/>
  <c r="G4488" i="1"/>
  <c r="K4488" i="1"/>
  <c r="A4489" i="1"/>
  <c r="B4489" i="1"/>
  <c r="C4489" i="1"/>
  <c r="E4489" i="1"/>
  <c r="G4489" i="1"/>
  <c r="K4489" i="1"/>
  <c r="A4490" i="1"/>
  <c r="B4490" i="1"/>
  <c r="C4490" i="1"/>
  <c r="E4490" i="1"/>
  <c r="G4490" i="1"/>
  <c r="K4490" i="1"/>
  <c r="A4491" i="1"/>
  <c r="B4491" i="1"/>
  <c r="C4491" i="1"/>
  <c r="E4491" i="1"/>
  <c r="G4491" i="1"/>
  <c r="K4491" i="1"/>
  <c r="A4492" i="1"/>
  <c r="B4492" i="1"/>
  <c r="C4492" i="1"/>
  <c r="E4492" i="1"/>
  <c r="G4492" i="1"/>
  <c r="K4492" i="1"/>
  <c r="A4493" i="1"/>
  <c r="B4493" i="1"/>
  <c r="C4493" i="1"/>
  <c r="E4493" i="1"/>
  <c r="G4493" i="1"/>
  <c r="K4493" i="1"/>
  <c r="A4494" i="1"/>
  <c r="B4494" i="1"/>
  <c r="C4494" i="1"/>
  <c r="E4494" i="1"/>
  <c r="G4494" i="1"/>
  <c r="K4494" i="1"/>
  <c r="A4495" i="1"/>
  <c r="B4495" i="1"/>
  <c r="C4495" i="1"/>
  <c r="E4495" i="1"/>
  <c r="G4495" i="1"/>
  <c r="K4495" i="1"/>
  <c r="A4496" i="1"/>
  <c r="B4496" i="1"/>
  <c r="C4496" i="1"/>
  <c r="E4496" i="1"/>
  <c r="G4496" i="1"/>
  <c r="K4496" i="1"/>
  <c r="A4497" i="1"/>
  <c r="B4497" i="1"/>
  <c r="C4497" i="1"/>
  <c r="E4497" i="1"/>
  <c r="G4497" i="1"/>
  <c r="K4497" i="1"/>
  <c r="A4498" i="1"/>
  <c r="B4498" i="1"/>
  <c r="C4498" i="1"/>
  <c r="E4498" i="1"/>
  <c r="G4498" i="1"/>
  <c r="K4498" i="1"/>
  <c r="A4499" i="1"/>
  <c r="B4499" i="1"/>
  <c r="C4499" i="1"/>
  <c r="E4499" i="1"/>
  <c r="G4499" i="1"/>
  <c r="K4499" i="1"/>
  <c r="A4500" i="1"/>
  <c r="B4500" i="1"/>
  <c r="C4500" i="1"/>
  <c r="E4500" i="1"/>
  <c r="G4500" i="1"/>
  <c r="K4500" i="1"/>
  <c r="A4501" i="1"/>
  <c r="B4501" i="1"/>
  <c r="C4501" i="1"/>
  <c r="E4501" i="1"/>
  <c r="G4501" i="1"/>
  <c r="K4501" i="1"/>
  <c r="A4502" i="1"/>
  <c r="B4502" i="1"/>
  <c r="C4502" i="1"/>
  <c r="E4502" i="1"/>
  <c r="G4502" i="1"/>
  <c r="K4502" i="1"/>
  <c r="A4503" i="1"/>
  <c r="B4503" i="1"/>
  <c r="C4503" i="1"/>
  <c r="E4503" i="1"/>
  <c r="G4503" i="1"/>
  <c r="K4503" i="1"/>
  <c r="A4504" i="1"/>
  <c r="B4504" i="1"/>
  <c r="C4504" i="1"/>
  <c r="E4504" i="1"/>
  <c r="G4504" i="1"/>
  <c r="K4504" i="1"/>
  <c r="A4505" i="1"/>
  <c r="B4505" i="1"/>
  <c r="C4505" i="1"/>
  <c r="E4505" i="1"/>
  <c r="G4505" i="1"/>
  <c r="K4505" i="1"/>
  <c r="A4506" i="1"/>
  <c r="B4506" i="1"/>
  <c r="C4506" i="1"/>
  <c r="E4506" i="1"/>
  <c r="G4506" i="1"/>
  <c r="K4506" i="1"/>
  <c r="A4507" i="1"/>
  <c r="B4507" i="1"/>
  <c r="C4507" i="1"/>
  <c r="E4507" i="1"/>
  <c r="G4507" i="1"/>
  <c r="K4507" i="1"/>
  <c r="A4508" i="1"/>
  <c r="B4508" i="1"/>
  <c r="C4508" i="1"/>
  <c r="E4508" i="1"/>
  <c r="G4508" i="1"/>
  <c r="K4508" i="1"/>
  <c r="A4509" i="1"/>
  <c r="B4509" i="1"/>
  <c r="C4509" i="1"/>
  <c r="E4509" i="1"/>
  <c r="G4509" i="1"/>
  <c r="K4509" i="1"/>
  <c r="A4510" i="1"/>
  <c r="B4510" i="1"/>
  <c r="C4510" i="1"/>
  <c r="E4510" i="1"/>
  <c r="G4510" i="1"/>
  <c r="K4510" i="1"/>
  <c r="A4511" i="1"/>
  <c r="B4511" i="1"/>
  <c r="C4511" i="1"/>
  <c r="E4511" i="1"/>
  <c r="G4511" i="1"/>
  <c r="K4511" i="1"/>
  <c r="A4512" i="1"/>
  <c r="B4512" i="1"/>
  <c r="C4512" i="1"/>
  <c r="E4512" i="1"/>
  <c r="G4512" i="1"/>
  <c r="K4512" i="1"/>
  <c r="A4513" i="1"/>
  <c r="B4513" i="1"/>
  <c r="C4513" i="1"/>
  <c r="E4513" i="1"/>
  <c r="G4513" i="1"/>
  <c r="K4513" i="1"/>
  <c r="A4514" i="1"/>
  <c r="B4514" i="1"/>
  <c r="C4514" i="1"/>
  <c r="E4514" i="1"/>
  <c r="G4514" i="1"/>
  <c r="K4514" i="1"/>
  <c r="A4515" i="1"/>
  <c r="B4515" i="1"/>
  <c r="C4515" i="1"/>
  <c r="E4515" i="1"/>
  <c r="G4515" i="1"/>
  <c r="K4515" i="1"/>
  <c r="A4516" i="1"/>
  <c r="B4516" i="1"/>
  <c r="C4516" i="1"/>
  <c r="E4516" i="1"/>
  <c r="G4516" i="1"/>
  <c r="K4516" i="1"/>
  <c r="A4517" i="1"/>
  <c r="B4517" i="1"/>
  <c r="C4517" i="1"/>
  <c r="E4517" i="1"/>
  <c r="G4517" i="1"/>
  <c r="K4517" i="1"/>
  <c r="A4518" i="1"/>
  <c r="B4518" i="1"/>
  <c r="C4518" i="1"/>
  <c r="E4518" i="1"/>
  <c r="G4518" i="1"/>
  <c r="K4518" i="1"/>
  <c r="A4519" i="1"/>
  <c r="B4519" i="1"/>
  <c r="C4519" i="1"/>
  <c r="E4519" i="1"/>
  <c r="G4519" i="1"/>
  <c r="K4519" i="1"/>
  <c r="A4520" i="1"/>
  <c r="B4520" i="1"/>
  <c r="C4520" i="1"/>
  <c r="E4520" i="1"/>
  <c r="G4520" i="1"/>
  <c r="K4520" i="1"/>
  <c r="A4521" i="1"/>
  <c r="B4521" i="1"/>
  <c r="C4521" i="1"/>
  <c r="E4521" i="1"/>
  <c r="G4521" i="1"/>
  <c r="K4521" i="1"/>
  <c r="A4522" i="1"/>
  <c r="B4522" i="1"/>
  <c r="C4522" i="1"/>
  <c r="E4522" i="1"/>
  <c r="G4522" i="1"/>
  <c r="K4522" i="1"/>
  <c r="A4523" i="1"/>
  <c r="B4523" i="1"/>
  <c r="C4523" i="1"/>
  <c r="E4523" i="1"/>
  <c r="G4523" i="1"/>
  <c r="K4523" i="1"/>
  <c r="A4524" i="1"/>
  <c r="B4524" i="1"/>
  <c r="C4524" i="1"/>
  <c r="E4524" i="1"/>
  <c r="G4524" i="1"/>
  <c r="K4524" i="1"/>
  <c r="A4525" i="1"/>
  <c r="B4525" i="1"/>
  <c r="C4525" i="1"/>
  <c r="E4525" i="1"/>
  <c r="G4525" i="1"/>
  <c r="K4525" i="1"/>
  <c r="A4526" i="1"/>
  <c r="B4526" i="1"/>
  <c r="C4526" i="1"/>
  <c r="E4526" i="1"/>
  <c r="G4526" i="1"/>
  <c r="K4526" i="1"/>
  <c r="A4527" i="1"/>
  <c r="B4527" i="1"/>
  <c r="C4527" i="1"/>
  <c r="E4527" i="1"/>
  <c r="G4527" i="1"/>
  <c r="K4527" i="1"/>
  <c r="A4528" i="1"/>
  <c r="B4528" i="1"/>
  <c r="C4528" i="1"/>
  <c r="E4528" i="1"/>
  <c r="G4528" i="1"/>
  <c r="K4528" i="1"/>
  <c r="A4529" i="1"/>
  <c r="B4529" i="1"/>
  <c r="C4529" i="1"/>
  <c r="E4529" i="1"/>
  <c r="G4529" i="1"/>
  <c r="K4529" i="1"/>
  <c r="A4530" i="1"/>
  <c r="B4530" i="1"/>
  <c r="C4530" i="1"/>
  <c r="E4530" i="1"/>
  <c r="G4530" i="1"/>
  <c r="K4530" i="1"/>
  <c r="A4531" i="1"/>
  <c r="B4531" i="1"/>
  <c r="C4531" i="1"/>
  <c r="E4531" i="1"/>
  <c r="G4531" i="1"/>
  <c r="K4531" i="1"/>
  <c r="A4532" i="1"/>
  <c r="B4532" i="1"/>
  <c r="C4532" i="1"/>
  <c r="E4532" i="1"/>
  <c r="G4532" i="1"/>
  <c r="K4532" i="1"/>
  <c r="A4533" i="1"/>
  <c r="B4533" i="1"/>
  <c r="C4533" i="1"/>
  <c r="E4533" i="1"/>
  <c r="G4533" i="1"/>
  <c r="K4533" i="1"/>
  <c r="A4534" i="1"/>
  <c r="B4534" i="1"/>
  <c r="C4534" i="1"/>
  <c r="E4534" i="1"/>
  <c r="G4534" i="1"/>
  <c r="K4534" i="1"/>
  <c r="A4535" i="1"/>
  <c r="B4535" i="1"/>
  <c r="C4535" i="1"/>
  <c r="E4535" i="1"/>
  <c r="G4535" i="1"/>
  <c r="K4535" i="1"/>
  <c r="A4536" i="1"/>
  <c r="B4536" i="1"/>
  <c r="C4536" i="1"/>
  <c r="E4536" i="1"/>
  <c r="G4536" i="1"/>
  <c r="K4536" i="1"/>
  <c r="A4537" i="1"/>
  <c r="B4537" i="1"/>
  <c r="C4537" i="1"/>
  <c r="E4537" i="1"/>
  <c r="G4537" i="1"/>
  <c r="K4537" i="1"/>
  <c r="A4538" i="1"/>
  <c r="B4538" i="1"/>
  <c r="C4538" i="1"/>
  <c r="E4538" i="1"/>
  <c r="G4538" i="1"/>
  <c r="K4538" i="1"/>
  <c r="A4539" i="1"/>
  <c r="B4539" i="1"/>
  <c r="C4539" i="1"/>
  <c r="E4539" i="1"/>
  <c r="G4539" i="1"/>
  <c r="K4539" i="1"/>
  <c r="A4540" i="1"/>
  <c r="B4540" i="1"/>
  <c r="C4540" i="1"/>
  <c r="E4540" i="1"/>
  <c r="G4540" i="1"/>
  <c r="K4540" i="1"/>
  <c r="A4541" i="1"/>
  <c r="B4541" i="1"/>
  <c r="C4541" i="1"/>
  <c r="E4541" i="1"/>
  <c r="G4541" i="1"/>
  <c r="K4541" i="1"/>
  <c r="A4542" i="1"/>
  <c r="B4542" i="1"/>
  <c r="C4542" i="1"/>
  <c r="E4542" i="1"/>
  <c r="G4542" i="1"/>
  <c r="K4542" i="1"/>
  <c r="A4543" i="1"/>
  <c r="B4543" i="1"/>
  <c r="C4543" i="1"/>
  <c r="E4543" i="1"/>
  <c r="G4543" i="1"/>
  <c r="K4543" i="1"/>
  <c r="A4544" i="1"/>
  <c r="B4544" i="1"/>
  <c r="C4544" i="1"/>
  <c r="E4544" i="1"/>
  <c r="G4544" i="1"/>
  <c r="K4544" i="1"/>
  <c r="A4545" i="1"/>
  <c r="B4545" i="1"/>
  <c r="C4545" i="1"/>
  <c r="E4545" i="1"/>
  <c r="G4545" i="1"/>
  <c r="K4545" i="1"/>
  <c r="A4546" i="1"/>
  <c r="B4546" i="1"/>
  <c r="C4546" i="1"/>
  <c r="E4546" i="1"/>
  <c r="G4546" i="1"/>
  <c r="K4546" i="1"/>
  <c r="A4547" i="1"/>
  <c r="B4547" i="1"/>
  <c r="C4547" i="1"/>
  <c r="E4547" i="1"/>
  <c r="G4547" i="1"/>
  <c r="K4547" i="1"/>
  <c r="A4548" i="1"/>
  <c r="B4548" i="1"/>
  <c r="C4548" i="1"/>
  <c r="E4548" i="1"/>
  <c r="G4548" i="1"/>
  <c r="K4548" i="1"/>
  <c r="A4549" i="1"/>
  <c r="B4549" i="1"/>
  <c r="C4549" i="1"/>
  <c r="E4549" i="1"/>
  <c r="G4549" i="1"/>
  <c r="K4549" i="1"/>
  <c r="A4550" i="1"/>
  <c r="B4550" i="1"/>
  <c r="C4550" i="1"/>
  <c r="E4550" i="1"/>
  <c r="G4550" i="1"/>
  <c r="K4550" i="1"/>
  <c r="A4551" i="1"/>
  <c r="B4551" i="1"/>
  <c r="C4551" i="1"/>
  <c r="E4551" i="1"/>
  <c r="G4551" i="1"/>
  <c r="K4551" i="1"/>
  <c r="A4552" i="1"/>
  <c r="B4552" i="1"/>
  <c r="C4552" i="1"/>
  <c r="E4552" i="1"/>
  <c r="G4552" i="1"/>
  <c r="K4552" i="1"/>
  <c r="A4553" i="1"/>
  <c r="B4553" i="1"/>
  <c r="C4553" i="1"/>
  <c r="E4553" i="1"/>
  <c r="G4553" i="1"/>
  <c r="K4553" i="1"/>
  <c r="A4554" i="1"/>
  <c r="B4554" i="1"/>
  <c r="C4554" i="1"/>
  <c r="E4554" i="1"/>
  <c r="G4554" i="1"/>
  <c r="K4554" i="1"/>
  <c r="A4555" i="1"/>
  <c r="B4555" i="1"/>
  <c r="C4555" i="1"/>
  <c r="E4555" i="1"/>
  <c r="G4555" i="1"/>
  <c r="K4555" i="1"/>
  <c r="A4556" i="1"/>
  <c r="B4556" i="1"/>
  <c r="C4556" i="1"/>
  <c r="E4556" i="1"/>
  <c r="G4556" i="1"/>
  <c r="K4556" i="1"/>
  <c r="A4557" i="1"/>
  <c r="B4557" i="1"/>
  <c r="C4557" i="1"/>
  <c r="E4557" i="1"/>
  <c r="G4557" i="1"/>
  <c r="K4557" i="1"/>
  <c r="A4558" i="1"/>
  <c r="B4558" i="1"/>
  <c r="C4558" i="1"/>
  <c r="E4558" i="1"/>
  <c r="G4558" i="1"/>
  <c r="K4558" i="1"/>
  <c r="A4559" i="1"/>
  <c r="B4559" i="1"/>
  <c r="C4559" i="1"/>
  <c r="E4559" i="1"/>
  <c r="G4559" i="1"/>
  <c r="K4559" i="1"/>
  <c r="A4560" i="1"/>
  <c r="B4560" i="1"/>
  <c r="C4560" i="1"/>
  <c r="E4560" i="1"/>
  <c r="G4560" i="1"/>
  <c r="K4560" i="1"/>
  <c r="A4561" i="1"/>
  <c r="B4561" i="1"/>
  <c r="C4561" i="1"/>
  <c r="E4561" i="1"/>
  <c r="G4561" i="1"/>
  <c r="K4561" i="1"/>
  <c r="A4562" i="1"/>
  <c r="B4562" i="1"/>
  <c r="C4562" i="1"/>
  <c r="E4562" i="1"/>
  <c r="G4562" i="1"/>
  <c r="K4562" i="1"/>
  <c r="A4563" i="1"/>
  <c r="B4563" i="1"/>
  <c r="C4563" i="1"/>
  <c r="E4563" i="1"/>
  <c r="G4563" i="1"/>
  <c r="K4563" i="1"/>
  <c r="A4564" i="1"/>
  <c r="B4564" i="1"/>
  <c r="C4564" i="1"/>
  <c r="E4564" i="1"/>
  <c r="G4564" i="1"/>
  <c r="K4564" i="1"/>
  <c r="A4565" i="1"/>
  <c r="B4565" i="1"/>
  <c r="C4565" i="1"/>
  <c r="E4565" i="1"/>
  <c r="G4565" i="1"/>
  <c r="K4565" i="1"/>
  <c r="A4566" i="1"/>
  <c r="B4566" i="1"/>
  <c r="C4566" i="1"/>
  <c r="E4566" i="1"/>
  <c r="G4566" i="1"/>
  <c r="K4566" i="1"/>
  <c r="A4567" i="1"/>
  <c r="B4567" i="1"/>
  <c r="C4567" i="1"/>
  <c r="E4567" i="1"/>
  <c r="G4567" i="1"/>
  <c r="K4567" i="1"/>
  <c r="A4568" i="1"/>
  <c r="B4568" i="1"/>
  <c r="C4568" i="1"/>
  <c r="E4568" i="1"/>
  <c r="G4568" i="1"/>
  <c r="K4568" i="1"/>
  <c r="A4569" i="1"/>
  <c r="B4569" i="1"/>
  <c r="C4569" i="1"/>
  <c r="E4569" i="1"/>
  <c r="G4569" i="1"/>
  <c r="K4569" i="1"/>
  <c r="A4570" i="1"/>
  <c r="B4570" i="1"/>
  <c r="C4570" i="1"/>
  <c r="E4570" i="1"/>
  <c r="G4570" i="1"/>
  <c r="K4570" i="1"/>
  <c r="A4571" i="1"/>
  <c r="B4571" i="1"/>
  <c r="C4571" i="1"/>
  <c r="E4571" i="1"/>
  <c r="G4571" i="1"/>
  <c r="K4571" i="1"/>
  <c r="A4572" i="1"/>
  <c r="B4572" i="1"/>
  <c r="C4572" i="1"/>
  <c r="E4572" i="1"/>
  <c r="G4572" i="1"/>
  <c r="K4572" i="1"/>
  <c r="A4573" i="1"/>
  <c r="B4573" i="1"/>
  <c r="C4573" i="1"/>
  <c r="E4573" i="1"/>
  <c r="G4573" i="1"/>
  <c r="K4573" i="1"/>
  <c r="A4574" i="1"/>
  <c r="B4574" i="1"/>
  <c r="C4574" i="1"/>
  <c r="E4574" i="1"/>
  <c r="G4574" i="1"/>
  <c r="K4574" i="1"/>
  <c r="A4575" i="1"/>
  <c r="B4575" i="1"/>
  <c r="C4575" i="1"/>
  <c r="E4575" i="1"/>
  <c r="G4575" i="1"/>
  <c r="K4575" i="1"/>
  <c r="A4576" i="1"/>
  <c r="B4576" i="1"/>
  <c r="C4576" i="1"/>
  <c r="E4576" i="1"/>
  <c r="G4576" i="1"/>
  <c r="K4576" i="1"/>
  <c r="A4577" i="1"/>
  <c r="B4577" i="1"/>
  <c r="C4577" i="1"/>
  <c r="E4577" i="1"/>
  <c r="G4577" i="1"/>
  <c r="K4577" i="1"/>
  <c r="A4578" i="1"/>
  <c r="B4578" i="1"/>
  <c r="C4578" i="1"/>
  <c r="E4578" i="1"/>
  <c r="G4578" i="1"/>
  <c r="K4578" i="1"/>
  <c r="A4579" i="1"/>
  <c r="B4579" i="1"/>
  <c r="C4579" i="1"/>
  <c r="E4579" i="1"/>
  <c r="G4579" i="1"/>
  <c r="K4579" i="1"/>
  <c r="A4580" i="1"/>
  <c r="B4580" i="1"/>
  <c r="C4580" i="1"/>
  <c r="E4580" i="1"/>
  <c r="G4580" i="1"/>
  <c r="K4580" i="1"/>
  <c r="A4581" i="1"/>
  <c r="B4581" i="1"/>
  <c r="C4581" i="1"/>
  <c r="E4581" i="1"/>
  <c r="G4581" i="1"/>
  <c r="K4581" i="1"/>
  <c r="A4582" i="1"/>
  <c r="B4582" i="1"/>
  <c r="C4582" i="1"/>
  <c r="E4582" i="1"/>
  <c r="G4582" i="1"/>
  <c r="K4582" i="1"/>
  <c r="A4583" i="1"/>
  <c r="B4583" i="1"/>
  <c r="C4583" i="1"/>
  <c r="E4583" i="1"/>
  <c r="G4583" i="1"/>
  <c r="K4583" i="1"/>
  <c r="A4584" i="1"/>
  <c r="B4584" i="1"/>
  <c r="C4584" i="1"/>
  <c r="E4584" i="1"/>
  <c r="G4584" i="1"/>
  <c r="K4584" i="1"/>
  <c r="A4585" i="1"/>
  <c r="B4585" i="1"/>
  <c r="C4585" i="1"/>
  <c r="E4585" i="1"/>
  <c r="G4585" i="1"/>
  <c r="K4585" i="1"/>
  <c r="A4586" i="1"/>
  <c r="B4586" i="1"/>
  <c r="C4586" i="1"/>
  <c r="E4586" i="1"/>
  <c r="G4586" i="1"/>
  <c r="K4586" i="1"/>
  <c r="A4587" i="1"/>
  <c r="B4587" i="1"/>
  <c r="C4587" i="1"/>
  <c r="E4587" i="1"/>
  <c r="G4587" i="1"/>
  <c r="K4587" i="1"/>
  <c r="A4588" i="1"/>
  <c r="B4588" i="1"/>
  <c r="C4588" i="1"/>
  <c r="E4588" i="1"/>
  <c r="G4588" i="1"/>
  <c r="K4588" i="1"/>
  <c r="A4589" i="1"/>
  <c r="B4589" i="1"/>
  <c r="C4589" i="1"/>
  <c r="E4589" i="1"/>
  <c r="G4589" i="1"/>
  <c r="K4589" i="1"/>
  <c r="A4590" i="1"/>
  <c r="B4590" i="1"/>
  <c r="C4590" i="1"/>
  <c r="E4590" i="1"/>
  <c r="G4590" i="1"/>
  <c r="K4590" i="1"/>
  <c r="A4591" i="1"/>
  <c r="B4591" i="1"/>
  <c r="C4591" i="1"/>
  <c r="E4591" i="1"/>
  <c r="G4591" i="1"/>
  <c r="K4591" i="1"/>
  <c r="A4592" i="1"/>
  <c r="B4592" i="1"/>
  <c r="C4592" i="1"/>
  <c r="E4592" i="1"/>
  <c r="G4592" i="1"/>
  <c r="K4592" i="1"/>
  <c r="A4593" i="1"/>
  <c r="B4593" i="1"/>
  <c r="C4593" i="1"/>
  <c r="E4593" i="1"/>
  <c r="G4593" i="1"/>
  <c r="K4593" i="1"/>
  <c r="A4594" i="1"/>
  <c r="B4594" i="1"/>
  <c r="C4594" i="1"/>
  <c r="E4594" i="1"/>
  <c r="G4594" i="1"/>
  <c r="K4594" i="1"/>
  <c r="A4595" i="1"/>
  <c r="B4595" i="1"/>
  <c r="C4595" i="1"/>
  <c r="E4595" i="1"/>
  <c r="G4595" i="1"/>
  <c r="K4595" i="1"/>
  <c r="A4596" i="1"/>
  <c r="B4596" i="1"/>
  <c r="C4596" i="1"/>
  <c r="E4596" i="1"/>
  <c r="G4596" i="1"/>
  <c r="K4596" i="1"/>
  <c r="A4597" i="1"/>
  <c r="B4597" i="1"/>
  <c r="C4597" i="1"/>
  <c r="E4597" i="1"/>
  <c r="G4597" i="1"/>
  <c r="K4597" i="1"/>
  <c r="A4598" i="1"/>
  <c r="B4598" i="1"/>
  <c r="C4598" i="1"/>
  <c r="E4598" i="1"/>
  <c r="G4598" i="1"/>
  <c r="K4598" i="1"/>
  <c r="A4599" i="1"/>
  <c r="B4599" i="1"/>
  <c r="C4599" i="1"/>
  <c r="E4599" i="1"/>
  <c r="G4599" i="1"/>
  <c r="K4599" i="1"/>
  <c r="A4600" i="1"/>
  <c r="B4600" i="1"/>
  <c r="C4600" i="1"/>
  <c r="E4600" i="1"/>
  <c r="G4600" i="1"/>
  <c r="K4600" i="1"/>
  <c r="A4601" i="1"/>
  <c r="B4601" i="1"/>
  <c r="C4601" i="1"/>
  <c r="E4601" i="1"/>
  <c r="G4601" i="1"/>
  <c r="K4601" i="1"/>
  <c r="A4602" i="1"/>
  <c r="B4602" i="1"/>
  <c r="C4602" i="1"/>
  <c r="E4602" i="1"/>
  <c r="G4602" i="1"/>
  <c r="K4602" i="1"/>
  <c r="A4603" i="1"/>
  <c r="B4603" i="1"/>
  <c r="C4603" i="1"/>
  <c r="E4603" i="1"/>
  <c r="G4603" i="1"/>
  <c r="K4603" i="1"/>
  <c r="A4604" i="1"/>
  <c r="B4604" i="1"/>
  <c r="C4604" i="1"/>
  <c r="E4604" i="1"/>
  <c r="G4604" i="1"/>
  <c r="K4604" i="1"/>
  <c r="A4605" i="1"/>
  <c r="B4605" i="1"/>
  <c r="C4605" i="1"/>
  <c r="E4605" i="1"/>
  <c r="G4605" i="1"/>
  <c r="K4605" i="1"/>
  <c r="A4606" i="1"/>
  <c r="B4606" i="1"/>
  <c r="C4606" i="1"/>
  <c r="E4606" i="1"/>
  <c r="G4606" i="1"/>
  <c r="K4606" i="1"/>
  <c r="A4607" i="1"/>
  <c r="B4607" i="1"/>
  <c r="C4607" i="1"/>
  <c r="E4607" i="1"/>
  <c r="G4607" i="1"/>
  <c r="K4607" i="1"/>
  <c r="A4608" i="1"/>
  <c r="B4608" i="1"/>
  <c r="C4608" i="1"/>
  <c r="E4608" i="1"/>
  <c r="G4608" i="1"/>
  <c r="K4608" i="1"/>
  <c r="A4609" i="1"/>
  <c r="B4609" i="1"/>
  <c r="C4609" i="1"/>
  <c r="E4609" i="1"/>
  <c r="G4609" i="1"/>
  <c r="K4609" i="1"/>
  <c r="A4610" i="1"/>
  <c r="B4610" i="1"/>
  <c r="C4610" i="1"/>
  <c r="E4610" i="1"/>
  <c r="G4610" i="1"/>
  <c r="K4610" i="1"/>
  <c r="A4611" i="1"/>
  <c r="B4611" i="1"/>
  <c r="C4611" i="1"/>
  <c r="E4611" i="1"/>
  <c r="G4611" i="1"/>
  <c r="K4611" i="1"/>
  <c r="A4612" i="1"/>
  <c r="B4612" i="1"/>
  <c r="C4612" i="1"/>
  <c r="E4612" i="1"/>
  <c r="G4612" i="1"/>
  <c r="K4612" i="1"/>
  <c r="A4613" i="1"/>
  <c r="B4613" i="1"/>
  <c r="C4613" i="1"/>
  <c r="E4613" i="1"/>
  <c r="G4613" i="1"/>
  <c r="K4613" i="1"/>
  <c r="A4614" i="1"/>
  <c r="B4614" i="1"/>
  <c r="C4614" i="1"/>
  <c r="E4614" i="1"/>
  <c r="G4614" i="1"/>
  <c r="K4614" i="1"/>
  <c r="A4615" i="1"/>
  <c r="B4615" i="1"/>
  <c r="C4615" i="1"/>
  <c r="E4615" i="1"/>
  <c r="G4615" i="1"/>
  <c r="K4615" i="1"/>
  <c r="A4616" i="1"/>
  <c r="B4616" i="1"/>
  <c r="C4616" i="1"/>
  <c r="E4616" i="1"/>
  <c r="G4616" i="1"/>
  <c r="K4616" i="1"/>
  <c r="A4617" i="1"/>
  <c r="B4617" i="1"/>
  <c r="C4617" i="1"/>
  <c r="E4617" i="1"/>
  <c r="G4617" i="1"/>
  <c r="K4617" i="1"/>
  <c r="A4618" i="1"/>
  <c r="B4618" i="1"/>
  <c r="C4618" i="1"/>
  <c r="E4618" i="1"/>
  <c r="G4618" i="1"/>
  <c r="K4618" i="1"/>
  <c r="A4619" i="1"/>
  <c r="B4619" i="1"/>
  <c r="C4619" i="1"/>
  <c r="E4619" i="1"/>
  <c r="G4619" i="1"/>
  <c r="K4619" i="1"/>
  <c r="A4620" i="1"/>
  <c r="B4620" i="1"/>
  <c r="C4620" i="1"/>
  <c r="E4620" i="1"/>
  <c r="G4620" i="1"/>
  <c r="K4620" i="1"/>
  <c r="A4621" i="1"/>
  <c r="B4621" i="1"/>
  <c r="C4621" i="1"/>
  <c r="E4621" i="1"/>
  <c r="G4621" i="1"/>
  <c r="K4621" i="1"/>
  <c r="A4622" i="1"/>
  <c r="B4622" i="1"/>
  <c r="C4622" i="1"/>
  <c r="E4622" i="1"/>
  <c r="G4622" i="1"/>
  <c r="K4622" i="1"/>
  <c r="A4623" i="1"/>
  <c r="B4623" i="1"/>
  <c r="C4623" i="1"/>
  <c r="E4623" i="1"/>
  <c r="G4623" i="1"/>
  <c r="K4623" i="1"/>
  <c r="A4624" i="1"/>
  <c r="B4624" i="1"/>
  <c r="C4624" i="1"/>
  <c r="E4624" i="1"/>
  <c r="G4624" i="1"/>
  <c r="K4624" i="1"/>
  <c r="A4625" i="1"/>
  <c r="B4625" i="1"/>
  <c r="C4625" i="1"/>
  <c r="E4625" i="1"/>
  <c r="G4625" i="1"/>
  <c r="K4625" i="1"/>
  <c r="A4626" i="1"/>
  <c r="B4626" i="1"/>
  <c r="C4626" i="1"/>
  <c r="E4626" i="1"/>
  <c r="G4626" i="1"/>
  <c r="K4626" i="1"/>
  <c r="A4627" i="1"/>
  <c r="B4627" i="1"/>
  <c r="C4627" i="1"/>
  <c r="E4627" i="1"/>
  <c r="G4627" i="1"/>
  <c r="K4627" i="1"/>
  <c r="A4628" i="1"/>
  <c r="B4628" i="1"/>
  <c r="C4628" i="1"/>
  <c r="E4628" i="1"/>
  <c r="G4628" i="1"/>
  <c r="K4628" i="1"/>
  <c r="A4629" i="1"/>
  <c r="B4629" i="1"/>
  <c r="C4629" i="1"/>
  <c r="E4629" i="1"/>
  <c r="G4629" i="1"/>
  <c r="K4629" i="1"/>
  <c r="A4630" i="1"/>
  <c r="B4630" i="1"/>
  <c r="C4630" i="1"/>
  <c r="E4630" i="1"/>
  <c r="G4630" i="1"/>
  <c r="K4630" i="1"/>
  <c r="A4631" i="1"/>
  <c r="B4631" i="1"/>
  <c r="C4631" i="1"/>
  <c r="E4631" i="1"/>
  <c r="G4631" i="1"/>
  <c r="K4631" i="1"/>
  <c r="A4632" i="1"/>
  <c r="B4632" i="1"/>
  <c r="C4632" i="1"/>
  <c r="E4632" i="1"/>
  <c r="G4632" i="1"/>
  <c r="K4632" i="1"/>
  <c r="A4633" i="1"/>
  <c r="B4633" i="1"/>
  <c r="C4633" i="1"/>
  <c r="E4633" i="1"/>
  <c r="G4633" i="1"/>
  <c r="K4633" i="1"/>
  <c r="A4634" i="1"/>
  <c r="B4634" i="1"/>
  <c r="C4634" i="1"/>
  <c r="E4634" i="1"/>
  <c r="G4634" i="1"/>
  <c r="K4634" i="1"/>
  <c r="A4635" i="1"/>
  <c r="B4635" i="1"/>
  <c r="C4635" i="1"/>
  <c r="E4635" i="1"/>
  <c r="G4635" i="1"/>
  <c r="K4635" i="1"/>
  <c r="A4636" i="1"/>
  <c r="B4636" i="1"/>
  <c r="C4636" i="1"/>
  <c r="E4636" i="1"/>
  <c r="G4636" i="1"/>
  <c r="K4636" i="1"/>
  <c r="A4637" i="1"/>
  <c r="B4637" i="1"/>
  <c r="C4637" i="1"/>
  <c r="E4637" i="1"/>
  <c r="G4637" i="1"/>
  <c r="K4637" i="1"/>
  <c r="A4638" i="1"/>
  <c r="B4638" i="1"/>
  <c r="C4638" i="1"/>
  <c r="E4638" i="1"/>
  <c r="G4638" i="1"/>
  <c r="K4638" i="1"/>
  <c r="A4639" i="1"/>
  <c r="B4639" i="1"/>
  <c r="C4639" i="1"/>
  <c r="E4639" i="1"/>
  <c r="G4639" i="1"/>
  <c r="K4639" i="1"/>
  <c r="A4640" i="1"/>
  <c r="B4640" i="1"/>
  <c r="C4640" i="1"/>
  <c r="E4640" i="1"/>
  <c r="G4640" i="1"/>
  <c r="K4640" i="1"/>
  <c r="A4641" i="1"/>
  <c r="B4641" i="1"/>
  <c r="C4641" i="1"/>
  <c r="E4641" i="1"/>
  <c r="G4641" i="1"/>
  <c r="K4641" i="1"/>
  <c r="A4642" i="1"/>
  <c r="B4642" i="1"/>
  <c r="C4642" i="1"/>
  <c r="E4642" i="1"/>
  <c r="G4642" i="1"/>
  <c r="K4642" i="1"/>
  <c r="A4643" i="1"/>
  <c r="B4643" i="1"/>
  <c r="C4643" i="1"/>
  <c r="E4643" i="1"/>
  <c r="G4643" i="1"/>
  <c r="K4643" i="1"/>
  <c r="A4644" i="1"/>
  <c r="B4644" i="1"/>
  <c r="C4644" i="1"/>
  <c r="E4644" i="1"/>
  <c r="G4644" i="1"/>
  <c r="K4644" i="1"/>
  <c r="A4645" i="1"/>
  <c r="B4645" i="1"/>
  <c r="C4645" i="1"/>
  <c r="E4645" i="1"/>
  <c r="G4645" i="1"/>
  <c r="K4645" i="1"/>
  <c r="A4646" i="1"/>
  <c r="B4646" i="1"/>
  <c r="C4646" i="1"/>
  <c r="E4646" i="1"/>
  <c r="G4646" i="1"/>
  <c r="K4646" i="1"/>
  <c r="A4647" i="1"/>
  <c r="B4647" i="1"/>
  <c r="C4647" i="1"/>
  <c r="E4647" i="1"/>
  <c r="G4647" i="1"/>
  <c r="K4647" i="1"/>
  <c r="A4648" i="1"/>
  <c r="B4648" i="1"/>
  <c r="C4648" i="1"/>
  <c r="E4648" i="1"/>
  <c r="G4648" i="1"/>
  <c r="K4648" i="1"/>
  <c r="A4649" i="1"/>
  <c r="B4649" i="1"/>
  <c r="C4649" i="1"/>
  <c r="E4649" i="1"/>
  <c r="G4649" i="1"/>
  <c r="K4649" i="1"/>
  <c r="A4650" i="1"/>
  <c r="B4650" i="1"/>
  <c r="C4650" i="1"/>
  <c r="E4650" i="1"/>
  <c r="G4650" i="1"/>
  <c r="K4650" i="1"/>
  <c r="A4651" i="1"/>
  <c r="B4651" i="1"/>
  <c r="C4651" i="1"/>
  <c r="E4651" i="1"/>
  <c r="G4651" i="1"/>
  <c r="K4651" i="1"/>
  <c r="A4652" i="1"/>
  <c r="B4652" i="1"/>
  <c r="C4652" i="1"/>
  <c r="E4652" i="1"/>
  <c r="G4652" i="1"/>
  <c r="K4652" i="1"/>
  <c r="A4653" i="1"/>
  <c r="B4653" i="1"/>
  <c r="C4653" i="1"/>
  <c r="E4653" i="1"/>
  <c r="G4653" i="1"/>
  <c r="K4653" i="1"/>
  <c r="A4654" i="1"/>
  <c r="B4654" i="1"/>
  <c r="C4654" i="1"/>
  <c r="E4654" i="1"/>
  <c r="G4654" i="1"/>
  <c r="K4654" i="1"/>
  <c r="A4655" i="1"/>
  <c r="B4655" i="1"/>
  <c r="C4655" i="1"/>
  <c r="E4655" i="1"/>
  <c r="G4655" i="1"/>
  <c r="K4655" i="1"/>
  <c r="A4656" i="1"/>
  <c r="B4656" i="1"/>
  <c r="C4656" i="1"/>
  <c r="E4656" i="1"/>
  <c r="G4656" i="1"/>
  <c r="K4656" i="1"/>
  <c r="A4657" i="1"/>
  <c r="B4657" i="1"/>
  <c r="C4657" i="1"/>
  <c r="E4657" i="1"/>
  <c r="G4657" i="1"/>
  <c r="K4657" i="1"/>
  <c r="A4658" i="1"/>
  <c r="B4658" i="1"/>
  <c r="C4658" i="1"/>
  <c r="E4658" i="1"/>
  <c r="G4658" i="1"/>
  <c r="K4658" i="1"/>
  <c r="A4659" i="1"/>
  <c r="B4659" i="1"/>
  <c r="C4659" i="1"/>
  <c r="E4659" i="1"/>
  <c r="G4659" i="1"/>
  <c r="K4659" i="1"/>
  <c r="A4660" i="1"/>
  <c r="B4660" i="1"/>
  <c r="C4660" i="1"/>
  <c r="E4660" i="1"/>
  <c r="G4660" i="1"/>
  <c r="K4660" i="1"/>
  <c r="A4661" i="1"/>
  <c r="B4661" i="1"/>
  <c r="C4661" i="1"/>
  <c r="E4661" i="1"/>
  <c r="G4661" i="1"/>
  <c r="K4661" i="1"/>
  <c r="A4662" i="1"/>
  <c r="B4662" i="1"/>
  <c r="C4662" i="1"/>
  <c r="E4662" i="1"/>
  <c r="G4662" i="1"/>
  <c r="K4662" i="1"/>
  <c r="A4663" i="1"/>
  <c r="B4663" i="1"/>
  <c r="C4663" i="1"/>
  <c r="E4663" i="1"/>
  <c r="G4663" i="1"/>
  <c r="K4663" i="1"/>
  <c r="A4664" i="1"/>
  <c r="B4664" i="1"/>
  <c r="C4664" i="1"/>
  <c r="E4664" i="1"/>
  <c r="G4664" i="1"/>
  <c r="K4664" i="1"/>
  <c r="A4665" i="1"/>
  <c r="B4665" i="1"/>
  <c r="C4665" i="1"/>
  <c r="E4665" i="1"/>
  <c r="G4665" i="1"/>
  <c r="K4665" i="1"/>
  <c r="A4666" i="1"/>
  <c r="B4666" i="1"/>
  <c r="C4666" i="1"/>
  <c r="E4666" i="1"/>
  <c r="G4666" i="1"/>
  <c r="K4666" i="1"/>
  <c r="A4667" i="1"/>
  <c r="B4667" i="1"/>
  <c r="C4667" i="1"/>
  <c r="E4667" i="1"/>
  <c r="G4667" i="1"/>
  <c r="K4667" i="1"/>
  <c r="A4668" i="1"/>
  <c r="B4668" i="1"/>
  <c r="C4668" i="1"/>
  <c r="E4668" i="1"/>
  <c r="G4668" i="1"/>
  <c r="K4668" i="1"/>
  <c r="A4669" i="1"/>
  <c r="B4669" i="1"/>
  <c r="C4669" i="1"/>
  <c r="E4669" i="1"/>
  <c r="G4669" i="1"/>
  <c r="K4669" i="1"/>
  <c r="A4670" i="1"/>
  <c r="B4670" i="1"/>
  <c r="C4670" i="1"/>
  <c r="E4670" i="1"/>
  <c r="G4670" i="1"/>
  <c r="K4670" i="1"/>
  <c r="A4671" i="1"/>
  <c r="B4671" i="1"/>
  <c r="C4671" i="1"/>
  <c r="E4671" i="1"/>
  <c r="G4671" i="1"/>
  <c r="K4671" i="1"/>
  <c r="A4672" i="1"/>
  <c r="B4672" i="1"/>
  <c r="C4672" i="1"/>
  <c r="E4672" i="1"/>
  <c r="G4672" i="1"/>
  <c r="K4672" i="1"/>
  <c r="A4673" i="1"/>
  <c r="B4673" i="1"/>
  <c r="C4673" i="1"/>
  <c r="E4673" i="1"/>
  <c r="G4673" i="1"/>
  <c r="K4673" i="1"/>
  <c r="A4674" i="1"/>
  <c r="B4674" i="1"/>
  <c r="C4674" i="1"/>
  <c r="E4674" i="1"/>
  <c r="G4674" i="1"/>
  <c r="K4674" i="1"/>
  <c r="A4675" i="1"/>
  <c r="B4675" i="1"/>
  <c r="C4675" i="1"/>
  <c r="E4675" i="1"/>
  <c r="G4675" i="1"/>
  <c r="K4675" i="1"/>
  <c r="A4676" i="1"/>
  <c r="B4676" i="1"/>
  <c r="C4676" i="1"/>
  <c r="E4676" i="1"/>
  <c r="G4676" i="1"/>
  <c r="K4676" i="1"/>
  <c r="A4677" i="1"/>
  <c r="B4677" i="1"/>
  <c r="C4677" i="1"/>
  <c r="E4677" i="1"/>
  <c r="G4677" i="1"/>
  <c r="K4677" i="1"/>
  <c r="A4678" i="1"/>
  <c r="B4678" i="1"/>
  <c r="C4678" i="1"/>
  <c r="E4678" i="1"/>
  <c r="G4678" i="1"/>
  <c r="K4678" i="1"/>
  <c r="A4679" i="1"/>
  <c r="B4679" i="1"/>
  <c r="C4679" i="1"/>
  <c r="E4679" i="1"/>
  <c r="G4679" i="1"/>
  <c r="K4679" i="1"/>
  <c r="A4680" i="1"/>
  <c r="B4680" i="1"/>
  <c r="C4680" i="1"/>
  <c r="E4680" i="1"/>
  <c r="G4680" i="1"/>
  <c r="K4680" i="1"/>
  <c r="A4681" i="1"/>
  <c r="B4681" i="1"/>
  <c r="C4681" i="1"/>
  <c r="E4681" i="1"/>
  <c r="G4681" i="1"/>
  <c r="K4681" i="1"/>
  <c r="A4682" i="1"/>
  <c r="B4682" i="1"/>
  <c r="C4682" i="1"/>
  <c r="E4682" i="1"/>
  <c r="G4682" i="1"/>
  <c r="K4682" i="1"/>
  <c r="A4683" i="1"/>
  <c r="B4683" i="1"/>
  <c r="C4683" i="1"/>
  <c r="E4683" i="1"/>
  <c r="G4683" i="1"/>
  <c r="K4683" i="1"/>
  <c r="A4684" i="1"/>
  <c r="B4684" i="1"/>
  <c r="C4684" i="1"/>
  <c r="E4684" i="1"/>
  <c r="G4684" i="1"/>
  <c r="K4684" i="1"/>
  <c r="A4685" i="1"/>
  <c r="B4685" i="1"/>
  <c r="C4685" i="1"/>
  <c r="E4685" i="1"/>
  <c r="G4685" i="1"/>
  <c r="K4685" i="1"/>
  <c r="A4686" i="1"/>
  <c r="B4686" i="1"/>
  <c r="C4686" i="1"/>
  <c r="E4686" i="1"/>
  <c r="G4686" i="1"/>
  <c r="K4686" i="1"/>
  <c r="A4687" i="1"/>
  <c r="B4687" i="1"/>
  <c r="C4687" i="1"/>
  <c r="E4687" i="1"/>
  <c r="G4687" i="1"/>
  <c r="K4687" i="1"/>
  <c r="A4688" i="1"/>
  <c r="B4688" i="1"/>
  <c r="C4688" i="1"/>
  <c r="E4688" i="1"/>
  <c r="G4688" i="1"/>
  <c r="K4688" i="1"/>
  <c r="A4689" i="1"/>
  <c r="B4689" i="1"/>
  <c r="C4689" i="1"/>
  <c r="E4689" i="1"/>
  <c r="G4689" i="1"/>
  <c r="K4689" i="1"/>
  <c r="A4690" i="1"/>
  <c r="B4690" i="1"/>
  <c r="C4690" i="1"/>
  <c r="E4690" i="1"/>
  <c r="G4690" i="1"/>
  <c r="K4690" i="1"/>
  <c r="A4691" i="1"/>
  <c r="B4691" i="1"/>
  <c r="C4691" i="1"/>
  <c r="E4691" i="1"/>
  <c r="G4691" i="1"/>
  <c r="K4691" i="1"/>
  <c r="A4692" i="1"/>
  <c r="B4692" i="1"/>
  <c r="C4692" i="1"/>
  <c r="E4692" i="1"/>
  <c r="G4692" i="1"/>
  <c r="K4692" i="1"/>
  <c r="A4693" i="1"/>
  <c r="B4693" i="1"/>
  <c r="C4693" i="1"/>
  <c r="E4693" i="1"/>
  <c r="G4693" i="1"/>
  <c r="K4693" i="1"/>
  <c r="A4694" i="1"/>
  <c r="B4694" i="1"/>
  <c r="C4694" i="1"/>
  <c r="E4694" i="1"/>
  <c r="G4694" i="1"/>
  <c r="K4694" i="1"/>
  <c r="A4695" i="1"/>
  <c r="B4695" i="1"/>
  <c r="C4695" i="1"/>
  <c r="E4695" i="1"/>
  <c r="G4695" i="1"/>
  <c r="K4695" i="1"/>
  <c r="A4696" i="1"/>
  <c r="B4696" i="1"/>
  <c r="C4696" i="1"/>
  <c r="E4696" i="1"/>
  <c r="G4696" i="1"/>
  <c r="K4696" i="1"/>
  <c r="A4697" i="1"/>
  <c r="B4697" i="1"/>
  <c r="C4697" i="1"/>
  <c r="E4697" i="1"/>
  <c r="G4697" i="1"/>
  <c r="K4697" i="1"/>
  <c r="A4698" i="1"/>
  <c r="B4698" i="1"/>
  <c r="C4698" i="1"/>
  <c r="E4698" i="1"/>
  <c r="G4698" i="1"/>
  <c r="K4698" i="1"/>
  <c r="A4699" i="1"/>
  <c r="B4699" i="1"/>
  <c r="C4699" i="1"/>
  <c r="E4699" i="1"/>
  <c r="G4699" i="1"/>
  <c r="K4699" i="1"/>
  <c r="A4700" i="1"/>
  <c r="B4700" i="1"/>
  <c r="C4700" i="1"/>
  <c r="E4700" i="1"/>
  <c r="G4700" i="1"/>
  <c r="K4700" i="1"/>
  <c r="A4701" i="1"/>
  <c r="B4701" i="1"/>
  <c r="C4701" i="1"/>
  <c r="E4701" i="1"/>
  <c r="G4701" i="1"/>
  <c r="K4701" i="1"/>
  <c r="A4702" i="1"/>
  <c r="B4702" i="1"/>
  <c r="C4702" i="1"/>
  <c r="E4702" i="1"/>
  <c r="G4702" i="1"/>
  <c r="K4702" i="1"/>
  <c r="A4703" i="1"/>
  <c r="B4703" i="1"/>
  <c r="C4703" i="1"/>
  <c r="E4703" i="1"/>
  <c r="G4703" i="1"/>
  <c r="K4703" i="1"/>
  <c r="A4704" i="1"/>
  <c r="B4704" i="1"/>
  <c r="C4704" i="1"/>
  <c r="E4704" i="1"/>
  <c r="G4704" i="1"/>
  <c r="K4704" i="1"/>
  <c r="A4705" i="1"/>
  <c r="B4705" i="1"/>
  <c r="C4705" i="1"/>
  <c r="E4705" i="1"/>
  <c r="G4705" i="1"/>
  <c r="K4705" i="1"/>
  <c r="A4706" i="1"/>
  <c r="B4706" i="1"/>
  <c r="C4706" i="1"/>
  <c r="E4706" i="1"/>
  <c r="G4706" i="1"/>
  <c r="K4706" i="1"/>
  <c r="A4707" i="1"/>
  <c r="B4707" i="1"/>
  <c r="C4707" i="1"/>
  <c r="E4707" i="1"/>
  <c r="G4707" i="1"/>
  <c r="K4707" i="1"/>
  <c r="A4708" i="1"/>
  <c r="B4708" i="1"/>
  <c r="C4708" i="1"/>
  <c r="E4708" i="1"/>
  <c r="G4708" i="1"/>
  <c r="K4708" i="1"/>
  <c r="A4709" i="1"/>
  <c r="B4709" i="1"/>
  <c r="C4709" i="1"/>
  <c r="E4709" i="1"/>
  <c r="G4709" i="1"/>
  <c r="K4709" i="1"/>
  <c r="A4710" i="1"/>
  <c r="B4710" i="1"/>
  <c r="C4710" i="1"/>
  <c r="E4710" i="1"/>
  <c r="G4710" i="1"/>
  <c r="K4710" i="1"/>
  <c r="A4711" i="1"/>
  <c r="B4711" i="1"/>
  <c r="C4711" i="1"/>
  <c r="E4711" i="1"/>
  <c r="G4711" i="1"/>
  <c r="K4711" i="1"/>
  <c r="A4712" i="1"/>
  <c r="B4712" i="1"/>
  <c r="C4712" i="1"/>
  <c r="E4712" i="1"/>
  <c r="G4712" i="1"/>
  <c r="K4712" i="1"/>
  <c r="A4713" i="1"/>
  <c r="B4713" i="1"/>
  <c r="C4713" i="1"/>
  <c r="E4713" i="1"/>
  <c r="G4713" i="1"/>
  <c r="K4713" i="1"/>
  <c r="A4714" i="1"/>
  <c r="B4714" i="1"/>
  <c r="C4714" i="1"/>
  <c r="E4714" i="1"/>
  <c r="G4714" i="1"/>
  <c r="K4714" i="1"/>
  <c r="A4715" i="1"/>
  <c r="B4715" i="1"/>
  <c r="C4715" i="1"/>
  <c r="E4715" i="1"/>
  <c r="G4715" i="1"/>
  <c r="K4715" i="1"/>
  <c r="A4716" i="1"/>
  <c r="B4716" i="1"/>
  <c r="C4716" i="1"/>
  <c r="E4716" i="1"/>
  <c r="G4716" i="1"/>
  <c r="K4716" i="1"/>
  <c r="A4717" i="1"/>
  <c r="B4717" i="1"/>
  <c r="C4717" i="1"/>
  <c r="E4717" i="1"/>
  <c r="G4717" i="1"/>
  <c r="K4717" i="1"/>
  <c r="A4718" i="1"/>
  <c r="B4718" i="1"/>
  <c r="C4718" i="1"/>
  <c r="E4718" i="1"/>
  <c r="G4718" i="1"/>
  <c r="K4718" i="1"/>
  <c r="A4719" i="1"/>
  <c r="B4719" i="1"/>
  <c r="C4719" i="1"/>
  <c r="E4719" i="1"/>
  <c r="G4719" i="1"/>
  <c r="K4719" i="1"/>
  <c r="A4720" i="1"/>
  <c r="B4720" i="1"/>
  <c r="C4720" i="1"/>
  <c r="E4720" i="1"/>
  <c r="G4720" i="1"/>
  <c r="K4720" i="1"/>
  <c r="A4721" i="1"/>
  <c r="B4721" i="1"/>
  <c r="C4721" i="1"/>
  <c r="E4721" i="1"/>
  <c r="G4721" i="1"/>
  <c r="K4721" i="1"/>
  <c r="A4722" i="1"/>
  <c r="B4722" i="1"/>
  <c r="C4722" i="1"/>
  <c r="E4722" i="1"/>
  <c r="G4722" i="1"/>
  <c r="K4722" i="1"/>
  <c r="A4723" i="1"/>
  <c r="B4723" i="1"/>
  <c r="C4723" i="1"/>
  <c r="E4723" i="1"/>
  <c r="G4723" i="1"/>
  <c r="K4723" i="1"/>
  <c r="A4724" i="1"/>
  <c r="B4724" i="1"/>
  <c r="C4724" i="1"/>
  <c r="E4724" i="1"/>
  <c r="G4724" i="1"/>
  <c r="K4724" i="1"/>
  <c r="A4725" i="1"/>
  <c r="B4725" i="1"/>
  <c r="C4725" i="1"/>
  <c r="E4725" i="1"/>
  <c r="G4725" i="1"/>
  <c r="K4725" i="1"/>
  <c r="A4726" i="1"/>
  <c r="B4726" i="1"/>
  <c r="C4726" i="1"/>
  <c r="E4726" i="1"/>
  <c r="G4726" i="1"/>
  <c r="K4726" i="1"/>
  <c r="A4727" i="1"/>
  <c r="B4727" i="1"/>
  <c r="C4727" i="1"/>
  <c r="E4727" i="1"/>
  <c r="G4727" i="1"/>
  <c r="K4727" i="1"/>
  <c r="A4728" i="1"/>
  <c r="B4728" i="1"/>
  <c r="C4728" i="1"/>
  <c r="E4728" i="1"/>
  <c r="G4728" i="1"/>
  <c r="K4728" i="1"/>
  <c r="A4729" i="1"/>
  <c r="B4729" i="1"/>
  <c r="C4729" i="1"/>
  <c r="E4729" i="1"/>
  <c r="G4729" i="1"/>
  <c r="K4729" i="1"/>
  <c r="A4730" i="1"/>
  <c r="B4730" i="1"/>
  <c r="C4730" i="1"/>
  <c r="E4730" i="1"/>
  <c r="G4730" i="1"/>
  <c r="K4730" i="1"/>
  <c r="A4731" i="1"/>
  <c r="B4731" i="1"/>
  <c r="C4731" i="1"/>
  <c r="E4731" i="1"/>
  <c r="G4731" i="1"/>
  <c r="K4731" i="1"/>
  <c r="A4732" i="1"/>
  <c r="B4732" i="1"/>
  <c r="C4732" i="1"/>
  <c r="E4732" i="1"/>
  <c r="G4732" i="1"/>
  <c r="K4732" i="1"/>
  <c r="A4733" i="1"/>
  <c r="B4733" i="1"/>
  <c r="C4733" i="1"/>
  <c r="E4733" i="1"/>
  <c r="G4733" i="1"/>
  <c r="K4733" i="1"/>
  <c r="A4734" i="1"/>
  <c r="B4734" i="1"/>
  <c r="C4734" i="1"/>
  <c r="E4734" i="1"/>
  <c r="G4734" i="1"/>
  <c r="K4734" i="1"/>
  <c r="A4735" i="1"/>
  <c r="B4735" i="1"/>
  <c r="C4735" i="1"/>
  <c r="E4735" i="1"/>
  <c r="G4735" i="1"/>
  <c r="K4735" i="1"/>
  <c r="A4736" i="1"/>
  <c r="B4736" i="1"/>
  <c r="C4736" i="1"/>
  <c r="E4736" i="1"/>
  <c r="G4736" i="1"/>
  <c r="K4736" i="1"/>
  <c r="A4737" i="1"/>
  <c r="B4737" i="1"/>
  <c r="C4737" i="1"/>
  <c r="E4737" i="1"/>
  <c r="G4737" i="1"/>
  <c r="K4737" i="1"/>
  <c r="A4738" i="1"/>
  <c r="B4738" i="1"/>
  <c r="C4738" i="1"/>
  <c r="E4738" i="1"/>
  <c r="G4738" i="1"/>
  <c r="K4738" i="1"/>
  <c r="A4739" i="1"/>
  <c r="B4739" i="1"/>
  <c r="C4739" i="1"/>
  <c r="E4739" i="1"/>
  <c r="G4739" i="1"/>
  <c r="K4739" i="1"/>
  <c r="A4740" i="1"/>
  <c r="B4740" i="1"/>
  <c r="C4740" i="1"/>
  <c r="E4740" i="1"/>
  <c r="G4740" i="1"/>
  <c r="K4740" i="1"/>
  <c r="A4741" i="1"/>
  <c r="B4741" i="1"/>
  <c r="C4741" i="1"/>
  <c r="E4741" i="1"/>
  <c r="G4741" i="1"/>
  <c r="K4741" i="1"/>
  <c r="A4742" i="1"/>
  <c r="B4742" i="1"/>
  <c r="C4742" i="1"/>
  <c r="E4742" i="1"/>
  <c r="G4742" i="1"/>
  <c r="K4742" i="1"/>
  <c r="A4743" i="1"/>
  <c r="B4743" i="1"/>
  <c r="C4743" i="1"/>
  <c r="E4743" i="1"/>
  <c r="G4743" i="1"/>
  <c r="K4743" i="1"/>
  <c r="A4744" i="1"/>
  <c r="B4744" i="1"/>
  <c r="C4744" i="1"/>
  <c r="E4744" i="1"/>
  <c r="G4744" i="1"/>
  <c r="K4744" i="1"/>
  <c r="A4745" i="1"/>
  <c r="B4745" i="1"/>
  <c r="C4745" i="1"/>
  <c r="E4745" i="1"/>
  <c r="G4745" i="1"/>
  <c r="K4745" i="1"/>
  <c r="A4746" i="1"/>
  <c r="B4746" i="1"/>
  <c r="C4746" i="1"/>
  <c r="E4746" i="1"/>
  <c r="G4746" i="1"/>
  <c r="K4746" i="1"/>
  <c r="A4747" i="1"/>
  <c r="B4747" i="1"/>
  <c r="C4747" i="1"/>
  <c r="E4747" i="1"/>
  <c r="G4747" i="1"/>
  <c r="K4747" i="1"/>
  <c r="A4748" i="1"/>
  <c r="B4748" i="1"/>
  <c r="C4748" i="1"/>
  <c r="E4748" i="1"/>
  <c r="G4748" i="1"/>
  <c r="K4748" i="1"/>
  <c r="A4749" i="1"/>
  <c r="B4749" i="1"/>
  <c r="C4749" i="1"/>
  <c r="E4749" i="1"/>
  <c r="G4749" i="1"/>
  <c r="K4749" i="1"/>
  <c r="A4750" i="1"/>
  <c r="B4750" i="1"/>
  <c r="C4750" i="1"/>
  <c r="E4750" i="1"/>
  <c r="G4750" i="1"/>
  <c r="K4750" i="1"/>
  <c r="A4751" i="1"/>
  <c r="B4751" i="1"/>
  <c r="C4751" i="1"/>
  <c r="E4751" i="1"/>
  <c r="G4751" i="1"/>
  <c r="K4751" i="1"/>
  <c r="A4752" i="1"/>
  <c r="B4752" i="1"/>
  <c r="C4752" i="1"/>
  <c r="E4752" i="1"/>
  <c r="G4752" i="1"/>
  <c r="K4752" i="1"/>
  <c r="A4753" i="1"/>
  <c r="B4753" i="1"/>
  <c r="C4753" i="1"/>
  <c r="E4753" i="1"/>
  <c r="G4753" i="1"/>
  <c r="K4753" i="1"/>
  <c r="A4754" i="1"/>
  <c r="B4754" i="1"/>
  <c r="C4754" i="1"/>
  <c r="E4754" i="1"/>
  <c r="G4754" i="1"/>
  <c r="K4754" i="1"/>
  <c r="A4755" i="1"/>
  <c r="B4755" i="1"/>
  <c r="C4755" i="1"/>
  <c r="E4755" i="1"/>
  <c r="G4755" i="1"/>
  <c r="K4755" i="1"/>
  <c r="A4756" i="1"/>
  <c r="B4756" i="1"/>
  <c r="C4756" i="1"/>
  <c r="E4756" i="1"/>
  <c r="G4756" i="1"/>
  <c r="K4756" i="1"/>
  <c r="A4757" i="1"/>
  <c r="B4757" i="1"/>
  <c r="C4757" i="1"/>
  <c r="E4757" i="1"/>
  <c r="G4757" i="1"/>
  <c r="K4757" i="1"/>
  <c r="A4758" i="1"/>
  <c r="B4758" i="1"/>
  <c r="C4758" i="1"/>
  <c r="E4758" i="1"/>
  <c r="G4758" i="1"/>
  <c r="K4758" i="1"/>
  <c r="A4759" i="1"/>
  <c r="B4759" i="1"/>
  <c r="C4759" i="1"/>
  <c r="E4759" i="1"/>
  <c r="G4759" i="1"/>
  <c r="K4759" i="1"/>
  <c r="A4760" i="1"/>
  <c r="B4760" i="1"/>
  <c r="C4760" i="1"/>
  <c r="E4760" i="1"/>
  <c r="G4760" i="1"/>
  <c r="K4760" i="1"/>
  <c r="A4761" i="1"/>
  <c r="B4761" i="1"/>
  <c r="C4761" i="1"/>
  <c r="E4761" i="1"/>
  <c r="G4761" i="1"/>
  <c r="K4761" i="1"/>
  <c r="A4762" i="1"/>
  <c r="B4762" i="1"/>
  <c r="C4762" i="1"/>
  <c r="E4762" i="1"/>
  <c r="G4762" i="1"/>
  <c r="K4762" i="1"/>
  <c r="A4763" i="1"/>
  <c r="B4763" i="1"/>
  <c r="C4763" i="1"/>
  <c r="E4763" i="1"/>
  <c r="G4763" i="1"/>
  <c r="K4763" i="1"/>
  <c r="A4764" i="1"/>
  <c r="B4764" i="1"/>
  <c r="C4764" i="1"/>
  <c r="E4764" i="1"/>
  <c r="G4764" i="1"/>
  <c r="K4764" i="1"/>
  <c r="A4765" i="1"/>
  <c r="B4765" i="1"/>
  <c r="C4765" i="1"/>
  <c r="E4765" i="1"/>
  <c r="G4765" i="1"/>
  <c r="K4765" i="1"/>
  <c r="A4766" i="1"/>
  <c r="B4766" i="1"/>
  <c r="C4766" i="1"/>
  <c r="E4766" i="1"/>
  <c r="G4766" i="1"/>
  <c r="K4766" i="1"/>
  <c r="A4767" i="1"/>
  <c r="B4767" i="1"/>
  <c r="C4767" i="1"/>
  <c r="E4767" i="1"/>
  <c r="G4767" i="1"/>
  <c r="K4767" i="1"/>
  <c r="A4768" i="1"/>
  <c r="B4768" i="1"/>
  <c r="C4768" i="1"/>
  <c r="E4768" i="1"/>
  <c r="G4768" i="1"/>
  <c r="K4768" i="1"/>
  <c r="A4769" i="1"/>
  <c r="B4769" i="1"/>
  <c r="C4769" i="1"/>
  <c r="E4769" i="1"/>
  <c r="G4769" i="1"/>
  <c r="K4769" i="1"/>
  <c r="A4770" i="1"/>
  <c r="B4770" i="1"/>
  <c r="C4770" i="1"/>
  <c r="E4770" i="1"/>
  <c r="G4770" i="1"/>
  <c r="K4770" i="1"/>
  <c r="A4771" i="1"/>
  <c r="B4771" i="1"/>
  <c r="C4771" i="1"/>
  <c r="E4771" i="1"/>
  <c r="G4771" i="1"/>
  <c r="K4771" i="1"/>
  <c r="A4772" i="1"/>
  <c r="B4772" i="1"/>
  <c r="C4772" i="1"/>
  <c r="E4772" i="1"/>
  <c r="G4772" i="1"/>
  <c r="K4772" i="1"/>
  <c r="A4773" i="1"/>
  <c r="B4773" i="1"/>
  <c r="C4773" i="1"/>
  <c r="E4773" i="1"/>
  <c r="G4773" i="1"/>
  <c r="K4773" i="1"/>
  <c r="A4774" i="1"/>
  <c r="B4774" i="1"/>
  <c r="C4774" i="1"/>
  <c r="E4774" i="1"/>
  <c r="G4774" i="1"/>
  <c r="K4774" i="1"/>
  <c r="A4775" i="1"/>
  <c r="B4775" i="1"/>
  <c r="C4775" i="1"/>
  <c r="E4775" i="1"/>
  <c r="G4775" i="1"/>
  <c r="K4775" i="1"/>
  <c r="A4776" i="1"/>
  <c r="B4776" i="1"/>
  <c r="C4776" i="1"/>
  <c r="E4776" i="1"/>
  <c r="G4776" i="1"/>
  <c r="K4776" i="1"/>
  <c r="A4777" i="1"/>
  <c r="B4777" i="1"/>
  <c r="C4777" i="1"/>
  <c r="E4777" i="1"/>
  <c r="G4777" i="1"/>
  <c r="K4777" i="1"/>
  <c r="A4778" i="1"/>
  <c r="B4778" i="1"/>
  <c r="C4778" i="1"/>
  <c r="E4778" i="1"/>
  <c r="G4778" i="1"/>
  <c r="K4778" i="1"/>
  <c r="A4779" i="1"/>
  <c r="B4779" i="1"/>
  <c r="C4779" i="1"/>
  <c r="E4779" i="1"/>
  <c r="G4779" i="1"/>
  <c r="K4779" i="1"/>
  <c r="A4780" i="1"/>
  <c r="B4780" i="1"/>
  <c r="C4780" i="1"/>
  <c r="E4780" i="1"/>
  <c r="G4780" i="1"/>
  <c r="K4780" i="1"/>
  <c r="A4781" i="1"/>
  <c r="B4781" i="1"/>
  <c r="C4781" i="1"/>
  <c r="E4781" i="1"/>
  <c r="G4781" i="1"/>
  <c r="K4781" i="1"/>
  <c r="A4782" i="1"/>
  <c r="B4782" i="1"/>
  <c r="C4782" i="1"/>
  <c r="E4782" i="1"/>
  <c r="G4782" i="1"/>
  <c r="K4782" i="1"/>
  <c r="A4783" i="1"/>
  <c r="B4783" i="1"/>
  <c r="C4783" i="1"/>
  <c r="E4783" i="1"/>
  <c r="G4783" i="1"/>
  <c r="K4783" i="1"/>
  <c r="A4784" i="1"/>
  <c r="B4784" i="1"/>
  <c r="C4784" i="1"/>
  <c r="E4784" i="1"/>
  <c r="G4784" i="1"/>
  <c r="K4784" i="1"/>
  <c r="A4785" i="1"/>
  <c r="B4785" i="1"/>
  <c r="C4785" i="1"/>
  <c r="E4785" i="1"/>
  <c r="G4785" i="1"/>
  <c r="K4785" i="1"/>
  <c r="A4786" i="1"/>
  <c r="B4786" i="1"/>
  <c r="C4786" i="1"/>
  <c r="E4786" i="1"/>
  <c r="G4786" i="1"/>
  <c r="K4786" i="1"/>
  <c r="A4787" i="1"/>
  <c r="B4787" i="1"/>
  <c r="C4787" i="1"/>
  <c r="E4787" i="1"/>
  <c r="G4787" i="1"/>
  <c r="K4787" i="1"/>
  <c r="A4788" i="1"/>
  <c r="B4788" i="1"/>
  <c r="C4788" i="1"/>
  <c r="E4788" i="1"/>
  <c r="G4788" i="1"/>
  <c r="K4788" i="1"/>
  <c r="A4789" i="1"/>
  <c r="B4789" i="1"/>
  <c r="C4789" i="1"/>
  <c r="E4789" i="1"/>
  <c r="G4789" i="1"/>
  <c r="K4789" i="1"/>
  <c r="A4790" i="1"/>
  <c r="B4790" i="1"/>
  <c r="C4790" i="1"/>
  <c r="E4790" i="1"/>
  <c r="G4790" i="1"/>
  <c r="K4790" i="1"/>
  <c r="A4791" i="1"/>
  <c r="B4791" i="1"/>
  <c r="C4791" i="1"/>
  <c r="E4791" i="1"/>
  <c r="G4791" i="1"/>
  <c r="K4791" i="1"/>
  <c r="A4792" i="1"/>
  <c r="B4792" i="1"/>
  <c r="C4792" i="1"/>
  <c r="E4792" i="1"/>
  <c r="G4792" i="1"/>
  <c r="K4792" i="1"/>
  <c r="A4793" i="1"/>
  <c r="B4793" i="1"/>
  <c r="C4793" i="1"/>
  <c r="E4793" i="1"/>
  <c r="G4793" i="1"/>
  <c r="K4793" i="1"/>
  <c r="A4794" i="1"/>
  <c r="B4794" i="1"/>
  <c r="C4794" i="1"/>
  <c r="E4794" i="1"/>
  <c r="G4794" i="1"/>
  <c r="K4794" i="1"/>
  <c r="A4795" i="1"/>
  <c r="B4795" i="1"/>
  <c r="C4795" i="1"/>
  <c r="E4795" i="1"/>
  <c r="G4795" i="1"/>
  <c r="K4795" i="1"/>
  <c r="A4796" i="1"/>
  <c r="B4796" i="1"/>
  <c r="C4796" i="1"/>
  <c r="E4796" i="1"/>
  <c r="G4796" i="1"/>
  <c r="K4796" i="1"/>
  <c r="A4797" i="1"/>
  <c r="B4797" i="1"/>
  <c r="C4797" i="1"/>
  <c r="E4797" i="1"/>
  <c r="G4797" i="1"/>
  <c r="K4797" i="1"/>
  <c r="A4798" i="1"/>
  <c r="B4798" i="1"/>
  <c r="C4798" i="1"/>
  <c r="E4798" i="1"/>
  <c r="G4798" i="1"/>
  <c r="K4798" i="1"/>
  <c r="A4799" i="1"/>
  <c r="B4799" i="1"/>
  <c r="C4799" i="1"/>
  <c r="E4799" i="1"/>
  <c r="G4799" i="1"/>
  <c r="K4799" i="1"/>
  <c r="A4800" i="1"/>
  <c r="B4800" i="1"/>
  <c r="C4800" i="1"/>
  <c r="E4800" i="1"/>
  <c r="G4800" i="1"/>
  <c r="K4800" i="1"/>
  <c r="A4801" i="1"/>
  <c r="B4801" i="1"/>
  <c r="C4801" i="1"/>
  <c r="E4801" i="1"/>
  <c r="G4801" i="1"/>
  <c r="K4801" i="1"/>
  <c r="A4802" i="1"/>
  <c r="B4802" i="1"/>
  <c r="C4802" i="1"/>
  <c r="E4802" i="1"/>
  <c r="G4802" i="1"/>
  <c r="K4802" i="1"/>
  <c r="A4803" i="1"/>
  <c r="B4803" i="1"/>
  <c r="C4803" i="1"/>
  <c r="E4803" i="1"/>
  <c r="G4803" i="1"/>
  <c r="K4803" i="1"/>
  <c r="A4804" i="1"/>
  <c r="B4804" i="1"/>
  <c r="C4804" i="1"/>
  <c r="E4804" i="1"/>
  <c r="G4804" i="1"/>
  <c r="K4804" i="1"/>
  <c r="A4805" i="1"/>
  <c r="B4805" i="1"/>
  <c r="C4805" i="1"/>
  <c r="E4805" i="1"/>
  <c r="G4805" i="1"/>
  <c r="K4805" i="1"/>
  <c r="A4806" i="1"/>
  <c r="B4806" i="1"/>
  <c r="C4806" i="1"/>
  <c r="E4806" i="1"/>
  <c r="G4806" i="1"/>
  <c r="K4806" i="1"/>
  <c r="A4807" i="1"/>
  <c r="B4807" i="1"/>
  <c r="C4807" i="1"/>
  <c r="E4807" i="1"/>
  <c r="G4807" i="1"/>
  <c r="K4807" i="1"/>
  <c r="A4808" i="1"/>
  <c r="B4808" i="1"/>
  <c r="C4808" i="1"/>
  <c r="E4808" i="1"/>
  <c r="G4808" i="1"/>
  <c r="K4808" i="1"/>
  <c r="A4809" i="1"/>
  <c r="B4809" i="1"/>
  <c r="C4809" i="1"/>
  <c r="E4809" i="1"/>
  <c r="G4809" i="1"/>
  <c r="K4809" i="1"/>
  <c r="A4810" i="1"/>
  <c r="B4810" i="1"/>
  <c r="C4810" i="1"/>
  <c r="E4810" i="1"/>
  <c r="G4810" i="1"/>
  <c r="K4810" i="1"/>
  <c r="A4811" i="1"/>
  <c r="B4811" i="1"/>
  <c r="C4811" i="1"/>
  <c r="E4811" i="1"/>
  <c r="G4811" i="1"/>
  <c r="K4811" i="1"/>
  <c r="A4812" i="1"/>
  <c r="B4812" i="1"/>
  <c r="C4812" i="1"/>
  <c r="E4812" i="1"/>
  <c r="G4812" i="1"/>
  <c r="K4812" i="1"/>
  <c r="A4813" i="1"/>
  <c r="B4813" i="1"/>
  <c r="C4813" i="1"/>
  <c r="E4813" i="1"/>
  <c r="G4813" i="1"/>
  <c r="K4813" i="1"/>
  <c r="A4814" i="1"/>
  <c r="B4814" i="1"/>
  <c r="C4814" i="1"/>
  <c r="E4814" i="1"/>
  <c r="G4814" i="1"/>
  <c r="K4814" i="1"/>
  <c r="A4815" i="1"/>
  <c r="B4815" i="1"/>
  <c r="C4815" i="1"/>
  <c r="E4815" i="1"/>
  <c r="G4815" i="1"/>
  <c r="K4815" i="1"/>
  <c r="A4816" i="1"/>
  <c r="B4816" i="1"/>
  <c r="C4816" i="1"/>
  <c r="E4816" i="1"/>
  <c r="G4816" i="1"/>
  <c r="K4816" i="1"/>
  <c r="A4817" i="1"/>
  <c r="B4817" i="1"/>
  <c r="C4817" i="1"/>
  <c r="E4817" i="1"/>
  <c r="G4817" i="1"/>
  <c r="K4817" i="1"/>
  <c r="A4818" i="1"/>
  <c r="B4818" i="1"/>
  <c r="C4818" i="1"/>
  <c r="E4818" i="1"/>
  <c r="G4818" i="1"/>
  <c r="K4818" i="1"/>
  <c r="A4819" i="1"/>
  <c r="B4819" i="1"/>
  <c r="C4819" i="1"/>
  <c r="E4819" i="1"/>
  <c r="G4819" i="1"/>
  <c r="K4819" i="1"/>
  <c r="A4820" i="1"/>
  <c r="B4820" i="1"/>
  <c r="C4820" i="1"/>
  <c r="E4820" i="1"/>
  <c r="G4820" i="1"/>
  <c r="K4820" i="1"/>
  <c r="A4821" i="1"/>
  <c r="B4821" i="1"/>
  <c r="C4821" i="1"/>
  <c r="E4821" i="1"/>
  <c r="G4821" i="1"/>
  <c r="K4821" i="1"/>
  <c r="A4822" i="1"/>
  <c r="B4822" i="1"/>
  <c r="C4822" i="1"/>
  <c r="E4822" i="1"/>
  <c r="G4822" i="1"/>
  <c r="K4822" i="1"/>
  <c r="A4823" i="1"/>
  <c r="B4823" i="1"/>
  <c r="C4823" i="1"/>
  <c r="E4823" i="1"/>
  <c r="G4823" i="1"/>
  <c r="K4823" i="1"/>
  <c r="A4824" i="1"/>
  <c r="B4824" i="1"/>
  <c r="C4824" i="1"/>
  <c r="E4824" i="1"/>
  <c r="G4824" i="1"/>
  <c r="K4824" i="1"/>
  <c r="A4825" i="1"/>
  <c r="B4825" i="1"/>
  <c r="C4825" i="1"/>
  <c r="E4825" i="1"/>
  <c r="G4825" i="1"/>
  <c r="K4825" i="1"/>
  <c r="A4826" i="1"/>
  <c r="B4826" i="1"/>
  <c r="C4826" i="1"/>
  <c r="E4826" i="1"/>
  <c r="G4826" i="1"/>
  <c r="K4826" i="1"/>
  <c r="A4827" i="1"/>
  <c r="B4827" i="1"/>
  <c r="C4827" i="1"/>
  <c r="E4827" i="1"/>
  <c r="G4827" i="1"/>
  <c r="K4827" i="1"/>
  <c r="A4828" i="1"/>
  <c r="B4828" i="1"/>
  <c r="C4828" i="1"/>
  <c r="E4828" i="1"/>
  <c r="G4828" i="1"/>
  <c r="K4828" i="1"/>
  <c r="A4829" i="1"/>
  <c r="B4829" i="1"/>
  <c r="C4829" i="1"/>
  <c r="E4829" i="1"/>
  <c r="G4829" i="1"/>
  <c r="K4829" i="1"/>
  <c r="A4830" i="1"/>
  <c r="B4830" i="1"/>
  <c r="C4830" i="1"/>
  <c r="E4830" i="1"/>
  <c r="G4830" i="1"/>
  <c r="K4830" i="1"/>
  <c r="A4831" i="1"/>
  <c r="B4831" i="1"/>
  <c r="C4831" i="1"/>
  <c r="E4831" i="1"/>
  <c r="G4831" i="1"/>
  <c r="K4831" i="1"/>
  <c r="A4832" i="1"/>
  <c r="B4832" i="1"/>
  <c r="C4832" i="1"/>
  <c r="E4832" i="1"/>
  <c r="G4832" i="1"/>
  <c r="K4832" i="1"/>
  <c r="A4833" i="1"/>
  <c r="B4833" i="1"/>
  <c r="C4833" i="1"/>
  <c r="E4833" i="1"/>
  <c r="G4833" i="1"/>
  <c r="K4833" i="1"/>
  <c r="A4834" i="1"/>
  <c r="B4834" i="1"/>
  <c r="C4834" i="1"/>
  <c r="E4834" i="1"/>
  <c r="G4834" i="1"/>
  <c r="K4834" i="1"/>
  <c r="A4835" i="1"/>
  <c r="B4835" i="1"/>
  <c r="C4835" i="1"/>
  <c r="E4835" i="1"/>
  <c r="G4835" i="1"/>
  <c r="K4835" i="1"/>
  <c r="A4836" i="1"/>
  <c r="B4836" i="1"/>
  <c r="C4836" i="1"/>
  <c r="E4836" i="1"/>
  <c r="G4836" i="1"/>
  <c r="K4836" i="1"/>
  <c r="A4837" i="1"/>
  <c r="B4837" i="1"/>
  <c r="C4837" i="1"/>
  <c r="E4837" i="1"/>
  <c r="G4837" i="1"/>
  <c r="K4837" i="1"/>
  <c r="A4838" i="1"/>
  <c r="B4838" i="1"/>
  <c r="C4838" i="1"/>
  <c r="E4838" i="1"/>
  <c r="G4838" i="1"/>
  <c r="K4838" i="1"/>
  <c r="A4839" i="1"/>
  <c r="B4839" i="1"/>
  <c r="C4839" i="1"/>
  <c r="E4839" i="1"/>
  <c r="G4839" i="1"/>
  <c r="K4839" i="1"/>
  <c r="A4840" i="1"/>
  <c r="B4840" i="1"/>
  <c r="C4840" i="1"/>
  <c r="E4840" i="1"/>
  <c r="G4840" i="1"/>
  <c r="K4840" i="1"/>
  <c r="A4841" i="1"/>
  <c r="B4841" i="1"/>
  <c r="C4841" i="1"/>
  <c r="E4841" i="1"/>
  <c r="G4841" i="1"/>
  <c r="K4841" i="1"/>
  <c r="A4842" i="1"/>
  <c r="B4842" i="1"/>
  <c r="C4842" i="1"/>
  <c r="E4842" i="1"/>
  <c r="G4842" i="1"/>
  <c r="K4842" i="1"/>
  <c r="A4843" i="1"/>
  <c r="B4843" i="1"/>
  <c r="C4843" i="1"/>
  <c r="E4843" i="1"/>
  <c r="G4843" i="1"/>
  <c r="K4843" i="1"/>
  <c r="A4844" i="1"/>
  <c r="B4844" i="1"/>
  <c r="C4844" i="1"/>
  <c r="E4844" i="1"/>
  <c r="G4844" i="1"/>
  <c r="K4844" i="1"/>
  <c r="A4845" i="1"/>
  <c r="B4845" i="1"/>
  <c r="C4845" i="1"/>
  <c r="E4845" i="1"/>
  <c r="G4845" i="1"/>
  <c r="K4845" i="1"/>
  <c r="A4846" i="1"/>
  <c r="B4846" i="1"/>
  <c r="C4846" i="1"/>
  <c r="E4846" i="1"/>
  <c r="G4846" i="1"/>
  <c r="K4846" i="1"/>
  <c r="A4847" i="1"/>
  <c r="B4847" i="1"/>
  <c r="C4847" i="1"/>
  <c r="E4847" i="1"/>
  <c r="G4847" i="1"/>
  <c r="K4847" i="1"/>
  <c r="A4848" i="1"/>
  <c r="B4848" i="1"/>
  <c r="C4848" i="1"/>
  <c r="E4848" i="1"/>
  <c r="G4848" i="1"/>
  <c r="K4848" i="1"/>
  <c r="A4849" i="1"/>
  <c r="B4849" i="1"/>
  <c r="C4849" i="1"/>
  <c r="E4849" i="1"/>
  <c r="G4849" i="1"/>
  <c r="K4849" i="1"/>
  <c r="A4850" i="1"/>
  <c r="B4850" i="1"/>
  <c r="C4850" i="1"/>
  <c r="E4850" i="1"/>
  <c r="G4850" i="1"/>
  <c r="K4850" i="1"/>
  <c r="A4851" i="1"/>
  <c r="B4851" i="1"/>
  <c r="C4851" i="1"/>
  <c r="E4851" i="1"/>
  <c r="G4851" i="1"/>
  <c r="K4851" i="1"/>
  <c r="A4852" i="1"/>
  <c r="B4852" i="1"/>
  <c r="C4852" i="1"/>
  <c r="E4852" i="1"/>
  <c r="G4852" i="1"/>
  <c r="K4852" i="1"/>
  <c r="A4853" i="1"/>
  <c r="B4853" i="1"/>
  <c r="C4853" i="1"/>
  <c r="E4853" i="1"/>
  <c r="G4853" i="1"/>
  <c r="K4853" i="1"/>
  <c r="A4854" i="1"/>
  <c r="B4854" i="1"/>
  <c r="C4854" i="1"/>
  <c r="E4854" i="1"/>
  <c r="G4854" i="1"/>
  <c r="K4854" i="1"/>
  <c r="A4855" i="1"/>
  <c r="B4855" i="1"/>
  <c r="C4855" i="1"/>
  <c r="E4855" i="1"/>
  <c r="G4855" i="1"/>
  <c r="K4855" i="1"/>
  <c r="A4856" i="1"/>
  <c r="B4856" i="1"/>
  <c r="C4856" i="1"/>
  <c r="E4856" i="1"/>
  <c r="G4856" i="1"/>
  <c r="K4856" i="1"/>
  <c r="A4857" i="1"/>
  <c r="B4857" i="1"/>
  <c r="C4857" i="1"/>
  <c r="E4857" i="1"/>
  <c r="G4857" i="1"/>
  <c r="K4857" i="1"/>
  <c r="A4858" i="1"/>
  <c r="B4858" i="1"/>
  <c r="C4858" i="1"/>
  <c r="E4858" i="1"/>
  <c r="G4858" i="1"/>
  <c r="K4858" i="1"/>
  <c r="A4859" i="1"/>
  <c r="B4859" i="1"/>
  <c r="C4859" i="1"/>
  <c r="E4859" i="1"/>
  <c r="G4859" i="1"/>
  <c r="K4859" i="1"/>
  <c r="A4860" i="1"/>
  <c r="B4860" i="1"/>
  <c r="C4860" i="1"/>
  <c r="E4860" i="1"/>
  <c r="G4860" i="1"/>
  <c r="K4860" i="1"/>
  <c r="A4861" i="1"/>
  <c r="B4861" i="1"/>
  <c r="C4861" i="1"/>
  <c r="E4861" i="1"/>
  <c r="G4861" i="1"/>
  <c r="K4861" i="1"/>
  <c r="A4862" i="1"/>
  <c r="B4862" i="1"/>
  <c r="C4862" i="1"/>
  <c r="E4862" i="1"/>
  <c r="G4862" i="1"/>
  <c r="K4862" i="1"/>
  <c r="A4863" i="1"/>
  <c r="B4863" i="1"/>
  <c r="C4863" i="1"/>
  <c r="E4863" i="1"/>
  <c r="G4863" i="1"/>
  <c r="K4863" i="1"/>
  <c r="A4864" i="1"/>
  <c r="B4864" i="1"/>
  <c r="C4864" i="1"/>
  <c r="E4864" i="1"/>
  <c r="G4864" i="1"/>
  <c r="K4864" i="1"/>
  <c r="A4865" i="1"/>
  <c r="B4865" i="1"/>
  <c r="C4865" i="1"/>
  <c r="E4865" i="1"/>
  <c r="G4865" i="1"/>
  <c r="K4865" i="1"/>
  <c r="A4866" i="1"/>
  <c r="B4866" i="1"/>
  <c r="C4866" i="1"/>
  <c r="E4866" i="1"/>
  <c r="G4866" i="1"/>
  <c r="K4866" i="1"/>
  <c r="A4867" i="1"/>
  <c r="B4867" i="1"/>
  <c r="C4867" i="1"/>
  <c r="E4867" i="1"/>
  <c r="G4867" i="1"/>
  <c r="K4867" i="1"/>
  <c r="A4868" i="1"/>
  <c r="B4868" i="1"/>
  <c r="C4868" i="1"/>
  <c r="E4868" i="1"/>
  <c r="G4868" i="1"/>
  <c r="K4868" i="1"/>
  <c r="A4869" i="1"/>
  <c r="B4869" i="1"/>
  <c r="C4869" i="1"/>
  <c r="E4869" i="1"/>
  <c r="G4869" i="1"/>
  <c r="K4869" i="1"/>
  <c r="A4870" i="1"/>
  <c r="B4870" i="1"/>
  <c r="C4870" i="1"/>
  <c r="E4870" i="1"/>
  <c r="G4870" i="1"/>
  <c r="K4870" i="1"/>
  <c r="A4871" i="1"/>
  <c r="B4871" i="1"/>
  <c r="C4871" i="1"/>
  <c r="E4871" i="1"/>
  <c r="G4871" i="1"/>
  <c r="K4871" i="1"/>
  <c r="A4872" i="1"/>
  <c r="B4872" i="1"/>
  <c r="C4872" i="1"/>
  <c r="E4872" i="1"/>
  <c r="G4872" i="1"/>
  <c r="K4872" i="1"/>
  <c r="A4873" i="1"/>
  <c r="B4873" i="1"/>
  <c r="C4873" i="1"/>
  <c r="E4873" i="1"/>
  <c r="G4873" i="1"/>
  <c r="K4873" i="1"/>
  <c r="A4874" i="1"/>
  <c r="B4874" i="1"/>
  <c r="C4874" i="1"/>
  <c r="E4874" i="1"/>
  <c r="G4874" i="1"/>
  <c r="K4874" i="1"/>
  <c r="A4875" i="1"/>
  <c r="B4875" i="1"/>
  <c r="C4875" i="1"/>
  <c r="E4875" i="1"/>
  <c r="G4875" i="1"/>
  <c r="K4875" i="1"/>
  <c r="A4876" i="1"/>
  <c r="B4876" i="1"/>
  <c r="C4876" i="1"/>
  <c r="E4876" i="1"/>
  <c r="G4876" i="1"/>
  <c r="K4876" i="1"/>
  <c r="A4877" i="1"/>
  <c r="B4877" i="1"/>
  <c r="C4877" i="1"/>
  <c r="E4877" i="1"/>
  <c r="G4877" i="1"/>
  <c r="K4877" i="1"/>
  <c r="A4878" i="1"/>
  <c r="B4878" i="1"/>
  <c r="C4878" i="1"/>
  <c r="E4878" i="1"/>
  <c r="G4878" i="1"/>
  <c r="K4878" i="1"/>
  <c r="A4879" i="1"/>
  <c r="B4879" i="1"/>
  <c r="C4879" i="1"/>
  <c r="E4879" i="1"/>
  <c r="G4879" i="1"/>
  <c r="K4879" i="1"/>
  <c r="A4880" i="1"/>
  <c r="B4880" i="1"/>
  <c r="C4880" i="1"/>
  <c r="E4880" i="1"/>
  <c r="G4880" i="1"/>
  <c r="K4880" i="1"/>
  <c r="A4881" i="1"/>
  <c r="B4881" i="1"/>
  <c r="C4881" i="1"/>
  <c r="E4881" i="1"/>
  <c r="G4881" i="1"/>
  <c r="K4881" i="1"/>
  <c r="A4882" i="1"/>
  <c r="B4882" i="1"/>
  <c r="C4882" i="1"/>
  <c r="E4882" i="1"/>
  <c r="G4882" i="1"/>
  <c r="K4882" i="1"/>
  <c r="A4883" i="1"/>
  <c r="B4883" i="1"/>
  <c r="C4883" i="1"/>
  <c r="E4883" i="1"/>
  <c r="G4883" i="1"/>
  <c r="K4883" i="1"/>
  <c r="A4884" i="1"/>
  <c r="B4884" i="1"/>
  <c r="C4884" i="1"/>
  <c r="E4884" i="1"/>
  <c r="G4884" i="1"/>
  <c r="K4884" i="1"/>
  <c r="A4885" i="1"/>
  <c r="B4885" i="1"/>
  <c r="C4885" i="1"/>
  <c r="E4885" i="1"/>
  <c r="G4885" i="1"/>
  <c r="K4885" i="1"/>
  <c r="A4886" i="1"/>
  <c r="B4886" i="1"/>
  <c r="C4886" i="1"/>
  <c r="E4886" i="1"/>
  <c r="G4886" i="1"/>
  <c r="K4886" i="1"/>
  <c r="A4887" i="1"/>
  <c r="B4887" i="1"/>
  <c r="C4887" i="1"/>
  <c r="E4887" i="1"/>
  <c r="G4887" i="1"/>
  <c r="K4887" i="1"/>
  <c r="A4888" i="1"/>
  <c r="B4888" i="1"/>
  <c r="C4888" i="1"/>
  <c r="E4888" i="1"/>
  <c r="G4888" i="1"/>
  <c r="K4888" i="1"/>
  <c r="A4889" i="1"/>
  <c r="B4889" i="1"/>
  <c r="C4889" i="1"/>
  <c r="E4889" i="1"/>
  <c r="G4889" i="1"/>
  <c r="K4889" i="1"/>
  <c r="A4890" i="1"/>
  <c r="B4890" i="1"/>
  <c r="C4890" i="1"/>
  <c r="E4890" i="1"/>
  <c r="G4890" i="1"/>
  <c r="K4890" i="1"/>
  <c r="A4891" i="1"/>
  <c r="B4891" i="1"/>
  <c r="C4891" i="1"/>
  <c r="E4891" i="1"/>
  <c r="G4891" i="1"/>
  <c r="K4891" i="1"/>
  <c r="A4892" i="1"/>
  <c r="B4892" i="1"/>
  <c r="C4892" i="1"/>
  <c r="E4892" i="1"/>
  <c r="G4892" i="1"/>
  <c r="K4892" i="1"/>
  <c r="A4893" i="1"/>
  <c r="B4893" i="1"/>
  <c r="C4893" i="1"/>
  <c r="E4893" i="1"/>
  <c r="G4893" i="1"/>
  <c r="K4893" i="1"/>
  <c r="A4894" i="1"/>
  <c r="B4894" i="1"/>
  <c r="C4894" i="1"/>
  <c r="E4894" i="1"/>
  <c r="G4894" i="1"/>
  <c r="K4894" i="1"/>
  <c r="A4895" i="1"/>
  <c r="B4895" i="1"/>
  <c r="C4895" i="1"/>
  <c r="E4895" i="1"/>
  <c r="G4895" i="1"/>
  <c r="K4895" i="1"/>
  <c r="A4896" i="1"/>
  <c r="B4896" i="1"/>
  <c r="C4896" i="1"/>
  <c r="E4896" i="1"/>
  <c r="G4896" i="1"/>
  <c r="K4896" i="1"/>
  <c r="A4897" i="1"/>
  <c r="B4897" i="1"/>
  <c r="C4897" i="1"/>
  <c r="E4897" i="1"/>
  <c r="G4897" i="1"/>
  <c r="K4897" i="1"/>
  <c r="A4898" i="1"/>
  <c r="B4898" i="1"/>
  <c r="C4898" i="1"/>
  <c r="E4898" i="1"/>
  <c r="G4898" i="1"/>
  <c r="K4898" i="1"/>
  <c r="A4899" i="1"/>
  <c r="B4899" i="1"/>
  <c r="C4899" i="1"/>
  <c r="E4899" i="1"/>
  <c r="G4899" i="1"/>
  <c r="K4899" i="1"/>
  <c r="A4900" i="1"/>
  <c r="B4900" i="1"/>
  <c r="C4900" i="1"/>
  <c r="E4900" i="1"/>
  <c r="G4900" i="1"/>
  <c r="K4900" i="1"/>
  <c r="A4901" i="1"/>
  <c r="B4901" i="1"/>
  <c r="C4901" i="1"/>
  <c r="E4901" i="1"/>
  <c r="G4901" i="1"/>
  <c r="K4901" i="1"/>
  <c r="A4902" i="1"/>
  <c r="B4902" i="1"/>
  <c r="C4902" i="1"/>
  <c r="E4902" i="1"/>
  <c r="G4902" i="1"/>
  <c r="K4902" i="1"/>
  <c r="A4903" i="1"/>
  <c r="B4903" i="1"/>
  <c r="C4903" i="1"/>
  <c r="E4903" i="1"/>
  <c r="G4903" i="1"/>
  <c r="K4903" i="1"/>
  <c r="A4904" i="1"/>
  <c r="B4904" i="1"/>
  <c r="C4904" i="1"/>
  <c r="E4904" i="1"/>
  <c r="G4904" i="1"/>
  <c r="K4904" i="1"/>
  <c r="A4905" i="1"/>
  <c r="B4905" i="1"/>
  <c r="C4905" i="1"/>
  <c r="E4905" i="1"/>
  <c r="G4905" i="1"/>
  <c r="K4905" i="1"/>
  <c r="A4906" i="1"/>
  <c r="B4906" i="1"/>
  <c r="C4906" i="1"/>
  <c r="E4906" i="1"/>
  <c r="G4906" i="1"/>
  <c r="K4906" i="1"/>
  <c r="A4907" i="1"/>
  <c r="B4907" i="1"/>
  <c r="C4907" i="1"/>
  <c r="E4907" i="1"/>
  <c r="G4907" i="1"/>
  <c r="K4907" i="1"/>
  <c r="A4908" i="1"/>
  <c r="B4908" i="1"/>
  <c r="C4908" i="1"/>
  <c r="E4908" i="1"/>
  <c r="G4908" i="1"/>
  <c r="K4908" i="1"/>
  <c r="A4909" i="1"/>
  <c r="B4909" i="1"/>
  <c r="C4909" i="1"/>
  <c r="E4909" i="1"/>
  <c r="G4909" i="1"/>
  <c r="K4909" i="1"/>
  <c r="A4910" i="1"/>
  <c r="B4910" i="1"/>
  <c r="C4910" i="1"/>
  <c r="E4910" i="1"/>
  <c r="G4910" i="1"/>
  <c r="K4910" i="1"/>
  <c r="A4911" i="1"/>
  <c r="B4911" i="1"/>
  <c r="C4911" i="1"/>
  <c r="E4911" i="1"/>
  <c r="G4911" i="1"/>
  <c r="K4911" i="1"/>
  <c r="A4912" i="1"/>
  <c r="B4912" i="1"/>
  <c r="C4912" i="1"/>
  <c r="E4912" i="1"/>
  <c r="G4912" i="1"/>
  <c r="K4912" i="1"/>
  <c r="A4913" i="1"/>
  <c r="B4913" i="1"/>
  <c r="C4913" i="1"/>
  <c r="E4913" i="1"/>
  <c r="G4913" i="1"/>
  <c r="K4913" i="1"/>
  <c r="A4914" i="1"/>
  <c r="B4914" i="1"/>
  <c r="C4914" i="1"/>
  <c r="E4914" i="1"/>
  <c r="G4914" i="1"/>
  <c r="K4914" i="1"/>
  <c r="A4915" i="1"/>
  <c r="B4915" i="1"/>
  <c r="C4915" i="1"/>
  <c r="E4915" i="1"/>
  <c r="G4915" i="1"/>
  <c r="K4915" i="1"/>
  <c r="A4916" i="1"/>
  <c r="B4916" i="1"/>
  <c r="C4916" i="1"/>
  <c r="E4916" i="1"/>
  <c r="G4916" i="1"/>
  <c r="K4916" i="1"/>
  <c r="A4917" i="1"/>
  <c r="B4917" i="1"/>
  <c r="C4917" i="1"/>
  <c r="E4917" i="1"/>
  <c r="G4917" i="1"/>
  <c r="K4917" i="1"/>
  <c r="A4918" i="1"/>
  <c r="B4918" i="1"/>
  <c r="C4918" i="1"/>
  <c r="E4918" i="1"/>
  <c r="G4918" i="1"/>
  <c r="K4918" i="1"/>
  <c r="A4919" i="1"/>
  <c r="B4919" i="1"/>
  <c r="C4919" i="1"/>
  <c r="E4919" i="1"/>
  <c r="G4919" i="1"/>
  <c r="K4919" i="1"/>
  <c r="A4920" i="1"/>
  <c r="B4920" i="1"/>
  <c r="C4920" i="1"/>
  <c r="E4920" i="1"/>
  <c r="G4920" i="1"/>
  <c r="K4920" i="1"/>
  <c r="A4921" i="1"/>
  <c r="B4921" i="1"/>
  <c r="C4921" i="1"/>
  <c r="E4921" i="1"/>
  <c r="G4921" i="1"/>
  <c r="K4921" i="1"/>
  <c r="A4922" i="1"/>
  <c r="B4922" i="1"/>
  <c r="C4922" i="1"/>
  <c r="E4922" i="1"/>
  <c r="G4922" i="1"/>
  <c r="K4922" i="1"/>
  <c r="A4923" i="1"/>
  <c r="B4923" i="1"/>
  <c r="C4923" i="1"/>
  <c r="E4923" i="1"/>
  <c r="G4923" i="1"/>
  <c r="K4923" i="1"/>
  <c r="A4924" i="1"/>
  <c r="B4924" i="1"/>
  <c r="C4924" i="1"/>
  <c r="E4924" i="1"/>
  <c r="G4924" i="1"/>
  <c r="K4924" i="1"/>
  <c r="A4925" i="1"/>
  <c r="B4925" i="1"/>
  <c r="C4925" i="1"/>
  <c r="E4925" i="1"/>
  <c r="G4925" i="1"/>
  <c r="K4925" i="1"/>
  <c r="A4926" i="1"/>
  <c r="B4926" i="1"/>
  <c r="C4926" i="1"/>
  <c r="E4926" i="1"/>
  <c r="G4926" i="1"/>
  <c r="K4926" i="1"/>
  <c r="A4927" i="1"/>
  <c r="B4927" i="1"/>
  <c r="C4927" i="1"/>
  <c r="E4927" i="1"/>
  <c r="G4927" i="1"/>
  <c r="K4927" i="1"/>
  <c r="A4928" i="1"/>
  <c r="B4928" i="1"/>
  <c r="C4928" i="1"/>
  <c r="E4928" i="1"/>
  <c r="G4928" i="1"/>
  <c r="K4928" i="1"/>
  <c r="A4929" i="1"/>
  <c r="B4929" i="1"/>
  <c r="C4929" i="1"/>
  <c r="E4929" i="1"/>
  <c r="G4929" i="1"/>
  <c r="K4929" i="1"/>
  <c r="A4930" i="1"/>
  <c r="B4930" i="1"/>
  <c r="C4930" i="1"/>
  <c r="E4930" i="1"/>
  <c r="G4930" i="1"/>
  <c r="K4930" i="1"/>
  <c r="A4931" i="1"/>
  <c r="B4931" i="1"/>
  <c r="C4931" i="1"/>
  <c r="E4931" i="1"/>
  <c r="G4931" i="1"/>
  <c r="K4931" i="1"/>
  <c r="A4932" i="1"/>
  <c r="B4932" i="1"/>
  <c r="C4932" i="1"/>
  <c r="E4932" i="1"/>
  <c r="G4932" i="1"/>
  <c r="K4932" i="1"/>
  <c r="A4933" i="1"/>
  <c r="B4933" i="1"/>
  <c r="C4933" i="1"/>
  <c r="E4933" i="1"/>
  <c r="G4933" i="1"/>
  <c r="K4933" i="1"/>
  <c r="A4934" i="1"/>
  <c r="B4934" i="1"/>
  <c r="C4934" i="1"/>
  <c r="E4934" i="1"/>
  <c r="G4934" i="1"/>
  <c r="K4934" i="1"/>
  <c r="A4935" i="1"/>
  <c r="B4935" i="1"/>
  <c r="C4935" i="1"/>
  <c r="E4935" i="1"/>
  <c r="G4935" i="1"/>
  <c r="K4935" i="1"/>
  <c r="A4936" i="1"/>
  <c r="B4936" i="1"/>
  <c r="C4936" i="1"/>
  <c r="E4936" i="1"/>
  <c r="G4936" i="1"/>
  <c r="K4936" i="1"/>
  <c r="A4937" i="1"/>
  <c r="B4937" i="1"/>
  <c r="C4937" i="1"/>
  <c r="E4937" i="1"/>
  <c r="G4937" i="1"/>
  <c r="K4937" i="1"/>
  <c r="A4938" i="1"/>
  <c r="B4938" i="1"/>
  <c r="C4938" i="1"/>
  <c r="E4938" i="1"/>
  <c r="G4938" i="1"/>
  <c r="K4938" i="1"/>
  <c r="A4939" i="1"/>
  <c r="B4939" i="1"/>
  <c r="C4939" i="1"/>
  <c r="E4939" i="1"/>
  <c r="G4939" i="1"/>
  <c r="K4939" i="1"/>
  <c r="A4940" i="1"/>
  <c r="B4940" i="1"/>
  <c r="C4940" i="1"/>
  <c r="E4940" i="1"/>
  <c r="G4940" i="1"/>
  <c r="K4940" i="1"/>
  <c r="A4941" i="1"/>
  <c r="B4941" i="1"/>
  <c r="C4941" i="1"/>
  <c r="E4941" i="1"/>
  <c r="G4941" i="1"/>
  <c r="K4941" i="1"/>
  <c r="A4942" i="1"/>
  <c r="B4942" i="1"/>
  <c r="C4942" i="1"/>
  <c r="E4942" i="1"/>
  <c r="G4942" i="1"/>
  <c r="K4942" i="1"/>
  <c r="A4943" i="1"/>
  <c r="B4943" i="1"/>
  <c r="C4943" i="1"/>
  <c r="E4943" i="1"/>
  <c r="G4943" i="1"/>
  <c r="K4943" i="1"/>
  <c r="A4944" i="1"/>
  <c r="B4944" i="1"/>
  <c r="C4944" i="1"/>
  <c r="E4944" i="1"/>
  <c r="G4944" i="1"/>
  <c r="K4944" i="1"/>
  <c r="A4945" i="1"/>
  <c r="B4945" i="1"/>
  <c r="C4945" i="1"/>
  <c r="E4945" i="1"/>
  <c r="G4945" i="1"/>
  <c r="K4945" i="1"/>
  <c r="A4946" i="1"/>
  <c r="B4946" i="1"/>
  <c r="C4946" i="1"/>
  <c r="E4946" i="1"/>
  <c r="G4946" i="1"/>
  <c r="K4946" i="1"/>
  <c r="A4947" i="1"/>
  <c r="B4947" i="1"/>
  <c r="C4947" i="1"/>
  <c r="E4947" i="1"/>
  <c r="G4947" i="1"/>
  <c r="K4947" i="1"/>
  <c r="A4948" i="1"/>
  <c r="B4948" i="1"/>
  <c r="C4948" i="1"/>
  <c r="E4948" i="1"/>
  <c r="G4948" i="1"/>
  <c r="K4948" i="1"/>
  <c r="A4949" i="1"/>
  <c r="B4949" i="1"/>
  <c r="C4949" i="1"/>
  <c r="E4949" i="1"/>
  <c r="G4949" i="1"/>
  <c r="K4949" i="1"/>
  <c r="A4950" i="1"/>
  <c r="B4950" i="1"/>
  <c r="C4950" i="1"/>
  <c r="E4950" i="1"/>
  <c r="G4950" i="1"/>
  <c r="K4950" i="1"/>
  <c r="A4951" i="1"/>
  <c r="B4951" i="1"/>
  <c r="C4951" i="1"/>
  <c r="E4951" i="1"/>
  <c r="G4951" i="1"/>
  <c r="K4951" i="1"/>
  <c r="A4952" i="1"/>
  <c r="B4952" i="1"/>
  <c r="C4952" i="1"/>
  <c r="E4952" i="1"/>
  <c r="G4952" i="1"/>
  <c r="K4952" i="1"/>
  <c r="A4953" i="1"/>
  <c r="B4953" i="1"/>
  <c r="C4953" i="1"/>
  <c r="E4953" i="1"/>
  <c r="G4953" i="1"/>
  <c r="K4953" i="1"/>
  <c r="A4954" i="1"/>
  <c r="B4954" i="1"/>
  <c r="C4954" i="1"/>
  <c r="E4954" i="1"/>
  <c r="G4954" i="1"/>
  <c r="K4954" i="1"/>
  <c r="A4955" i="1"/>
  <c r="B4955" i="1"/>
  <c r="C4955" i="1"/>
  <c r="E4955" i="1"/>
  <c r="G4955" i="1"/>
  <c r="K4955" i="1"/>
  <c r="A4956" i="1"/>
  <c r="B4956" i="1"/>
  <c r="C4956" i="1"/>
  <c r="E4956" i="1"/>
  <c r="G4956" i="1"/>
  <c r="K4956" i="1"/>
  <c r="A4957" i="1"/>
  <c r="B4957" i="1"/>
  <c r="C4957" i="1"/>
  <c r="E4957" i="1"/>
  <c r="G4957" i="1"/>
  <c r="K4957" i="1"/>
  <c r="A4958" i="1"/>
  <c r="B4958" i="1"/>
  <c r="C4958" i="1"/>
  <c r="E4958" i="1"/>
  <c r="G4958" i="1"/>
  <c r="K4958" i="1"/>
  <c r="A4959" i="1"/>
  <c r="B4959" i="1"/>
  <c r="C4959" i="1"/>
  <c r="E4959" i="1"/>
  <c r="G4959" i="1"/>
  <c r="K4959" i="1"/>
  <c r="A4960" i="1"/>
  <c r="B4960" i="1"/>
  <c r="C4960" i="1"/>
  <c r="E4960" i="1"/>
  <c r="G4960" i="1"/>
  <c r="K4960" i="1"/>
  <c r="A4961" i="1"/>
  <c r="B4961" i="1"/>
  <c r="C4961" i="1"/>
  <c r="E4961" i="1"/>
  <c r="G4961" i="1"/>
  <c r="K4961" i="1"/>
  <c r="A4962" i="1"/>
  <c r="B4962" i="1"/>
  <c r="C4962" i="1"/>
  <c r="E4962" i="1"/>
  <c r="G4962" i="1"/>
  <c r="K4962" i="1"/>
  <c r="A4963" i="1"/>
  <c r="B4963" i="1"/>
  <c r="C4963" i="1"/>
  <c r="E4963" i="1"/>
  <c r="G4963" i="1"/>
  <c r="K4963" i="1"/>
  <c r="A4964" i="1"/>
  <c r="B4964" i="1"/>
  <c r="C4964" i="1"/>
  <c r="E4964" i="1"/>
  <c r="G4964" i="1"/>
  <c r="K4964" i="1"/>
  <c r="A4965" i="1"/>
  <c r="B4965" i="1"/>
  <c r="C4965" i="1"/>
  <c r="E4965" i="1"/>
  <c r="G4965" i="1"/>
  <c r="K4965" i="1"/>
  <c r="A4966" i="1"/>
  <c r="B4966" i="1"/>
  <c r="C4966" i="1"/>
  <c r="E4966" i="1"/>
  <c r="G4966" i="1"/>
  <c r="K4966" i="1"/>
  <c r="A4967" i="1"/>
  <c r="B4967" i="1"/>
  <c r="C4967" i="1"/>
  <c r="E4967" i="1"/>
  <c r="G4967" i="1"/>
  <c r="K4967" i="1"/>
  <c r="A4968" i="1"/>
  <c r="B4968" i="1"/>
  <c r="C4968" i="1"/>
  <c r="E4968" i="1"/>
  <c r="G4968" i="1"/>
  <c r="K4968" i="1"/>
  <c r="A4969" i="1"/>
  <c r="B4969" i="1"/>
  <c r="C4969" i="1"/>
  <c r="E4969" i="1"/>
  <c r="G4969" i="1"/>
  <c r="K4969" i="1"/>
  <c r="A4970" i="1"/>
  <c r="B4970" i="1"/>
  <c r="C4970" i="1"/>
  <c r="E4970" i="1"/>
  <c r="G4970" i="1"/>
  <c r="K4970" i="1"/>
  <c r="A4971" i="1"/>
  <c r="B4971" i="1"/>
  <c r="C4971" i="1"/>
  <c r="E4971" i="1"/>
  <c r="G4971" i="1"/>
  <c r="K4971" i="1"/>
  <c r="A4972" i="1"/>
  <c r="B4972" i="1"/>
  <c r="C4972" i="1"/>
  <c r="E4972" i="1"/>
  <c r="G4972" i="1"/>
  <c r="K4972" i="1"/>
  <c r="A4973" i="1"/>
  <c r="B4973" i="1"/>
  <c r="C4973" i="1"/>
  <c r="E4973" i="1"/>
  <c r="G4973" i="1"/>
  <c r="K4973" i="1"/>
  <c r="A4974" i="1"/>
  <c r="B4974" i="1"/>
  <c r="C4974" i="1"/>
  <c r="E4974" i="1"/>
  <c r="G4974" i="1"/>
  <c r="K4974" i="1"/>
  <c r="A4975" i="1"/>
  <c r="B4975" i="1"/>
  <c r="C4975" i="1"/>
  <c r="E4975" i="1"/>
  <c r="G4975" i="1"/>
  <c r="K4975" i="1"/>
  <c r="A4976" i="1"/>
  <c r="B4976" i="1"/>
  <c r="C4976" i="1"/>
  <c r="E4976" i="1"/>
  <c r="G4976" i="1"/>
  <c r="K4976" i="1"/>
  <c r="A4977" i="1"/>
  <c r="B4977" i="1"/>
  <c r="C4977" i="1"/>
  <c r="E4977" i="1"/>
  <c r="G4977" i="1"/>
  <c r="K4977" i="1"/>
  <c r="A4978" i="1"/>
  <c r="B4978" i="1"/>
  <c r="C4978" i="1"/>
  <c r="E4978" i="1"/>
  <c r="G4978" i="1"/>
  <c r="K4978" i="1"/>
  <c r="A4979" i="1"/>
  <c r="B4979" i="1"/>
  <c r="C4979" i="1"/>
  <c r="E4979" i="1"/>
  <c r="G4979" i="1"/>
  <c r="K4979" i="1"/>
  <c r="A4980" i="1"/>
  <c r="B4980" i="1"/>
  <c r="C4980" i="1"/>
  <c r="E4980" i="1"/>
  <c r="G4980" i="1"/>
  <c r="K4980" i="1"/>
  <c r="A4981" i="1"/>
  <c r="B4981" i="1"/>
  <c r="C4981" i="1"/>
  <c r="E4981" i="1"/>
  <c r="G4981" i="1"/>
  <c r="K4981" i="1"/>
  <c r="A4982" i="1"/>
  <c r="B4982" i="1"/>
  <c r="C4982" i="1"/>
  <c r="E4982" i="1"/>
  <c r="G4982" i="1"/>
  <c r="K4982" i="1"/>
  <c r="A4983" i="1"/>
  <c r="B4983" i="1"/>
  <c r="C4983" i="1"/>
  <c r="E4983" i="1"/>
  <c r="G4983" i="1"/>
  <c r="K4983" i="1"/>
  <c r="A4984" i="1"/>
  <c r="B4984" i="1"/>
  <c r="C4984" i="1"/>
  <c r="E4984" i="1"/>
  <c r="G4984" i="1"/>
  <c r="K4984" i="1"/>
  <c r="A4985" i="1"/>
  <c r="B4985" i="1"/>
  <c r="C4985" i="1"/>
  <c r="E4985" i="1"/>
  <c r="G4985" i="1"/>
  <c r="K4985" i="1"/>
  <c r="A4986" i="1"/>
  <c r="B4986" i="1"/>
  <c r="C4986" i="1"/>
  <c r="E4986" i="1"/>
  <c r="G4986" i="1"/>
  <c r="K4986" i="1"/>
  <c r="A4987" i="1"/>
  <c r="B4987" i="1"/>
  <c r="C4987" i="1"/>
  <c r="E4987" i="1"/>
  <c r="G4987" i="1"/>
  <c r="K4987" i="1"/>
  <c r="A4988" i="1"/>
  <c r="B4988" i="1"/>
  <c r="C4988" i="1"/>
  <c r="E4988" i="1"/>
  <c r="G4988" i="1"/>
  <c r="K4988" i="1"/>
  <c r="A4989" i="1"/>
  <c r="B4989" i="1"/>
  <c r="C4989" i="1"/>
  <c r="E4989" i="1"/>
  <c r="G4989" i="1"/>
  <c r="K4989" i="1"/>
  <c r="A4990" i="1"/>
  <c r="B4990" i="1"/>
  <c r="C4990" i="1"/>
  <c r="E4990" i="1"/>
  <c r="G4990" i="1"/>
  <c r="K4990" i="1"/>
  <c r="A4991" i="1"/>
  <c r="B4991" i="1"/>
  <c r="C4991" i="1"/>
  <c r="E4991" i="1"/>
  <c r="G4991" i="1"/>
  <c r="K4991" i="1"/>
  <c r="A4992" i="1"/>
  <c r="B4992" i="1"/>
  <c r="C4992" i="1"/>
  <c r="E4992" i="1"/>
  <c r="G4992" i="1"/>
  <c r="K4992" i="1"/>
  <c r="A4993" i="1"/>
  <c r="B4993" i="1"/>
  <c r="C4993" i="1"/>
  <c r="E4993" i="1"/>
  <c r="G4993" i="1"/>
  <c r="K4993" i="1"/>
  <c r="A4994" i="1"/>
  <c r="B4994" i="1"/>
  <c r="C4994" i="1"/>
  <c r="E4994" i="1"/>
  <c r="G4994" i="1"/>
  <c r="K4994" i="1"/>
  <c r="A4995" i="1"/>
  <c r="B4995" i="1"/>
  <c r="C4995" i="1"/>
  <c r="E4995" i="1"/>
  <c r="G4995" i="1"/>
  <c r="K4995" i="1"/>
  <c r="A4996" i="1"/>
  <c r="B4996" i="1"/>
  <c r="C4996" i="1"/>
  <c r="E4996" i="1"/>
  <c r="G4996" i="1"/>
  <c r="K4996" i="1"/>
  <c r="A4997" i="1"/>
  <c r="B4997" i="1"/>
  <c r="C4997" i="1"/>
  <c r="E4997" i="1"/>
  <c r="G4997" i="1"/>
  <c r="K4997" i="1"/>
  <c r="A4998" i="1"/>
  <c r="B4998" i="1"/>
  <c r="C4998" i="1"/>
  <c r="E4998" i="1"/>
  <c r="G4998" i="1"/>
  <c r="K4998" i="1"/>
  <c r="A4999" i="1"/>
  <c r="B4999" i="1"/>
  <c r="C4999" i="1"/>
  <c r="E4999" i="1"/>
  <c r="G4999" i="1"/>
  <c r="K4999" i="1"/>
  <c r="A5000" i="1"/>
  <c r="B5000" i="1"/>
  <c r="C5000" i="1"/>
  <c r="E5000" i="1"/>
  <c r="G5000" i="1"/>
  <c r="K5000" i="1"/>
  <c r="A5001" i="1"/>
  <c r="B5001" i="1"/>
  <c r="C5001" i="1"/>
  <c r="E5001" i="1"/>
  <c r="G5001" i="1"/>
  <c r="K5001" i="1"/>
  <c r="A5002" i="1"/>
  <c r="B5002" i="1"/>
  <c r="C5002" i="1"/>
  <c r="E5002" i="1"/>
  <c r="G5002" i="1"/>
  <c r="K5002" i="1"/>
  <c r="A5003" i="1"/>
  <c r="B5003" i="1"/>
  <c r="C5003" i="1"/>
  <c r="E5003" i="1"/>
  <c r="G5003" i="1"/>
  <c r="K5003" i="1"/>
  <c r="A5004" i="1"/>
  <c r="B5004" i="1"/>
  <c r="C5004" i="1"/>
  <c r="E5004" i="1"/>
  <c r="G5004" i="1"/>
  <c r="K5004" i="1"/>
  <c r="A5005" i="1"/>
  <c r="B5005" i="1"/>
  <c r="C5005" i="1"/>
  <c r="E5005" i="1"/>
  <c r="G5005" i="1"/>
  <c r="K5005" i="1"/>
  <c r="A5006" i="1"/>
  <c r="B5006" i="1"/>
  <c r="C5006" i="1"/>
  <c r="E5006" i="1"/>
  <c r="G5006" i="1"/>
  <c r="K5006" i="1"/>
  <c r="A5007" i="1"/>
  <c r="B5007" i="1"/>
  <c r="C5007" i="1"/>
  <c r="E5007" i="1"/>
  <c r="G5007" i="1"/>
  <c r="K5007" i="1"/>
  <c r="A5008" i="1"/>
  <c r="B5008" i="1"/>
  <c r="C5008" i="1"/>
  <c r="E5008" i="1"/>
  <c r="G5008" i="1"/>
  <c r="K5008" i="1"/>
  <c r="A5009" i="1"/>
  <c r="B5009" i="1"/>
  <c r="C5009" i="1"/>
  <c r="E5009" i="1"/>
  <c r="G5009" i="1"/>
  <c r="K5009" i="1"/>
  <c r="A5010" i="1"/>
  <c r="B5010" i="1"/>
  <c r="C5010" i="1"/>
  <c r="E5010" i="1"/>
  <c r="G5010" i="1"/>
  <c r="K5010" i="1"/>
  <c r="A5011" i="1"/>
  <c r="B5011" i="1"/>
  <c r="C5011" i="1"/>
  <c r="E5011" i="1"/>
  <c r="G5011" i="1"/>
  <c r="K5011" i="1"/>
  <c r="A5012" i="1"/>
  <c r="B5012" i="1"/>
  <c r="C5012" i="1"/>
  <c r="E5012" i="1"/>
  <c r="G5012" i="1"/>
  <c r="K5012" i="1"/>
  <c r="A5013" i="1"/>
  <c r="B5013" i="1"/>
  <c r="C5013" i="1"/>
  <c r="E5013" i="1"/>
  <c r="G5013" i="1"/>
  <c r="K5013" i="1"/>
  <c r="A5014" i="1"/>
  <c r="B5014" i="1"/>
  <c r="C5014" i="1"/>
  <c r="E5014" i="1"/>
  <c r="G5014" i="1"/>
  <c r="K5014" i="1"/>
  <c r="A5015" i="1"/>
  <c r="B5015" i="1"/>
  <c r="C5015" i="1"/>
  <c r="E5015" i="1"/>
  <c r="G5015" i="1"/>
  <c r="K5015" i="1"/>
  <c r="A5016" i="1"/>
  <c r="B5016" i="1"/>
  <c r="C5016" i="1"/>
  <c r="E5016" i="1"/>
  <c r="G5016" i="1"/>
  <c r="K5016" i="1"/>
  <c r="A5017" i="1"/>
  <c r="B5017" i="1"/>
  <c r="C5017" i="1"/>
  <c r="E5017" i="1"/>
  <c r="G5017" i="1"/>
  <c r="K5017" i="1"/>
  <c r="A5018" i="1"/>
  <c r="B5018" i="1"/>
  <c r="C5018" i="1"/>
  <c r="E5018" i="1"/>
  <c r="G5018" i="1"/>
  <c r="K5018" i="1"/>
  <c r="A5019" i="1"/>
  <c r="B5019" i="1"/>
  <c r="C5019" i="1"/>
  <c r="E5019" i="1"/>
  <c r="G5019" i="1"/>
  <c r="K5019" i="1"/>
  <c r="A5020" i="1"/>
  <c r="B5020" i="1"/>
  <c r="C5020" i="1"/>
  <c r="E5020" i="1"/>
  <c r="G5020" i="1"/>
  <c r="K5020" i="1"/>
  <c r="A5021" i="1"/>
  <c r="B5021" i="1"/>
  <c r="C5021" i="1"/>
  <c r="E5021" i="1"/>
  <c r="G5021" i="1"/>
  <c r="K5021" i="1"/>
  <c r="A5022" i="1"/>
  <c r="B5022" i="1"/>
  <c r="C5022" i="1"/>
  <c r="E5022" i="1"/>
  <c r="G5022" i="1"/>
  <c r="K5022" i="1"/>
  <c r="A5023" i="1"/>
  <c r="B5023" i="1"/>
  <c r="C5023" i="1"/>
  <c r="E5023" i="1"/>
  <c r="G5023" i="1"/>
  <c r="K5023" i="1"/>
  <c r="A5024" i="1"/>
  <c r="B5024" i="1"/>
  <c r="C5024" i="1"/>
  <c r="E5024" i="1"/>
  <c r="G5024" i="1"/>
  <c r="K5024" i="1"/>
  <c r="A5025" i="1"/>
  <c r="B5025" i="1"/>
  <c r="C5025" i="1"/>
  <c r="E5025" i="1"/>
  <c r="G5025" i="1"/>
  <c r="K5025" i="1"/>
  <c r="A5026" i="1"/>
  <c r="B5026" i="1"/>
  <c r="C5026" i="1"/>
  <c r="E5026" i="1"/>
  <c r="G5026" i="1"/>
  <c r="K5026" i="1"/>
  <c r="A5027" i="1"/>
  <c r="B5027" i="1"/>
  <c r="C5027" i="1"/>
  <c r="E5027" i="1"/>
  <c r="G5027" i="1"/>
  <c r="K5027" i="1"/>
  <c r="A5028" i="1"/>
  <c r="B5028" i="1"/>
  <c r="C5028" i="1"/>
  <c r="E5028" i="1"/>
  <c r="G5028" i="1"/>
  <c r="K5028" i="1"/>
  <c r="A5029" i="1"/>
  <c r="B5029" i="1"/>
  <c r="C5029" i="1"/>
  <c r="E5029" i="1"/>
  <c r="G5029" i="1"/>
  <c r="K5029" i="1"/>
  <c r="A5030" i="1"/>
  <c r="B5030" i="1"/>
  <c r="C5030" i="1"/>
  <c r="E5030" i="1"/>
  <c r="G5030" i="1"/>
  <c r="K5030" i="1"/>
  <c r="A5031" i="1"/>
  <c r="B5031" i="1"/>
  <c r="C5031" i="1"/>
  <c r="E5031" i="1"/>
  <c r="G5031" i="1"/>
  <c r="K5031" i="1"/>
  <c r="A5032" i="1"/>
  <c r="B5032" i="1"/>
  <c r="C5032" i="1"/>
  <c r="E5032" i="1"/>
  <c r="G5032" i="1"/>
  <c r="K5032" i="1"/>
  <c r="A5033" i="1"/>
  <c r="B5033" i="1"/>
  <c r="C5033" i="1"/>
  <c r="E5033" i="1"/>
  <c r="G5033" i="1"/>
  <c r="K5033" i="1"/>
  <c r="A5034" i="1"/>
  <c r="B5034" i="1"/>
  <c r="C5034" i="1"/>
  <c r="E5034" i="1"/>
  <c r="G5034" i="1"/>
  <c r="K5034" i="1"/>
  <c r="A5035" i="1"/>
  <c r="B5035" i="1"/>
  <c r="C5035" i="1"/>
  <c r="E5035" i="1"/>
  <c r="G5035" i="1"/>
  <c r="K5035" i="1"/>
  <c r="A5036" i="1"/>
  <c r="B5036" i="1"/>
  <c r="C5036" i="1"/>
  <c r="E5036" i="1"/>
  <c r="G5036" i="1"/>
  <c r="K5036" i="1"/>
  <c r="A5037" i="1"/>
  <c r="B5037" i="1"/>
  <c r="C5037" i="1"/>
  <c r="E5037" i="1"/>
  <c r="G5037" i="1"/>
  <c r="K5037" i="1"/>
  <c r="A5038" i="1"/>
  <c r="B5038" i="1"/>
  <c r="C5038" i="1"/>
  <c r="E5038" i="1"/>
  <c r="G5038" i="1"/>
  <c r="K5038" i="1"/>
  <c r="A5039" i="1"/>
  <c r="B5039" i="1"/>
  <c r="C5039" i="1"/>
  <c r="E5039" i="1"/>
  <c r="G5039" i="1"/>
  <c r="K5039" i="1"/>
  <c r="A5040" i="1"/>
  <c r="B5040" i="1"/>
  <c r="C5040" i="1"/>
  <c r="E5040" i="1"/>
  <c r="G5040" i="1"/>
  <c r="K5040" i="1"/>
  <c r="A5041" i="1"/>
  <c r="B5041" i="1"/>
  <c r="C5041" i="1"/>
  <c r="E5041" i="1"/>
  <c r="G5041" i="1"/>
  <c r="K5041" i="1"/>
  <c r="A5042" i="1"/>
  <c r="B5042" i="1"/>
  <c r="C5042" i="1"/>
  <c r="E5042" i="1"/>
  <c r="G5042" i="1"/>
  <c r="K5042" i="1"/>
  <c r="A5043" i="1"/>
  <c r="B5043" i="1"/>
  <c r="C5043" i="1"/>
  <c r="E5043" i="1"/>
  <c r="G5043" i="1"/>
  <c r="K5043" i="1"/>
  <c r="A5044" i="1"/>
  <c r="B5044" i="1"/>
  <c r="C5044" i="1"/>
  <c r="E5044" i="1"/>
  <c r="G5044" i="1"/>
  <c r="K5044" i="1"/>
  <c r="A5045" i="1"/>
  <c r="B5045" i="1"/>
  <c r="C5045" i="1"/>
  <c r="E5045" i="1"/>
  <c r="G5045" i="1"/>
  <c r="K5045" i="1"/>
  <c r="A5046" i="1"/>
  <c r="B5046" i="1"/>
  <c r="C5046" i="1"/>
  <c r="E5046" i="1"/>
  <c r="G5046" i="1"/>
  <c r="K5046" i="1"/>
  <c r="A5047" i="1"/>
  <c r="B5047" i="1"/>
  <c r="C5047" i="1"/>
  <c r="E5047" i="1"/>
  <c r="G5047" i="1"/>
  <c r="K5047" i="1"/>
  <c r="A5048" i="1"/>
  <c r="B5048" i="1"/>
  <c r="C5048" i="1"/>
  <c r="E5048" i="1"/>
  <c r="G5048" i="1"/>
  <c r="K5048" i="1"/>
  <c r="A5049" i="1"/>
  <c r="B5049" i="1"/>
  <c r="C5049" i="1"/>
  <c r="E5049" i="1"/>
  <c r="G5049" i="1"/>
  <c r="K5049" i="1"/>
  <c r="A5050" i="1"/>
  <c r="B5050" i="1"/>
  <c r="C5050" i="1"/>
  <c r="E5050" i="1"/>
  <c r="G5050" i="1"/>
  <c r="K5050" i="1"/>
  <c r="A5051" i="1"/>
  <c r="B5051" i="1"/>
  <c r="C5051" i="1"/>
  <c r="E5051" i="1"/>
  <c r="G5051" i="1"/>
  <c r="K5051" i="1"/>
  <c r="A5052" i="1"/>
  <c r="B5052" i="1"/>
  <c r="C5052" i="1"/>
  <c r="E5052" i="1"/>
  <c r="G5052" i="1"/>
  <c r="K5052" i="1"/>
  <c r="A5053" i="1"/>
  <c r="B5053" i="1"/>
  <c r="C5053" i="1"/>
  <c r="E5053" i="1"/>
  <c r="G5053" i="1"/>
  <c r="K5053" i="1"/>
  <c r="A5054" i="1"/>
  <c r="B5054" i="1"/>
  <c r="C5054" i="1"/>
  <c r="E5054" i="1"/>
  <c r="G5054" i="1"/>
  <c r="K5054" i="1"/>
  <c r="A5055" i="1"/>
  <c r="B5055" i="1"/>
  <c r="C5055" i="1"/>
  <c r="E5055" i="1"/>
  <c r="G5055" i="1"/>
  <c r="K5055" i="1"/>
  <c r="A5056" i="1"/>
  <c r="B5056" i="1"/>
  <c r="C5056" i="1"/>
  <c r="E5056" i="1"/>
  <c r="G5056" i="1"/>
  <c r="K5056" i="1"/>
  <c r="A5057" i="1"/>
  <c r="B5057" i="1"/>
  <c r="C5057" i="1"/>
  <c r="E5057" i="1"/>
  <c r="G5057" i="1"/>
  <c r="K5057" i="1"/>
  <c r="A5058" i="1"/>
  <c r="B5058" i="1"/>
  <c r="C5058" i="1"/>
  <c r="E5058" i="1"/>
  <c r="G5058" i="1"/>
  <c r="K5058" i="1"/>
  <c r="A5059" i="1"/>
  <c r="B5059" i="1"/>
  <c r="C5059" i="1"/>
  <c r="E5059" i="1"/>
  <c r="G5059" i="1"/>
  <c r="K5059" i="1"/>
  <c r="A5060" i="1"/>
  <c r="B5060" i="1"/>
  <c r="C5060" i="1"/>
  <c r="E5060" i="1"/>
  <c r="G5060" i="1"/>
  <c r="K5060" i="1"/>
  <c r="A5061" i="1"/>
  <c r="B5061" i="1"/>
  <c r="C5061" i="1"/>
  <c r="E5061" i="1"/>
  <c r="G5061" i="1"/>
  <c r="K5061" i="1"/>
  <c r="A5062" i="1"/>
  <c r="B5062" i="1"/>
  <c r="C5062" i="1"/>
  <c r="E5062" i="1"/>
  <c r="G5062" i="1"/>
  <c r="K5062" i="1"/>
  <c r="A5063" i="1"/>
  <c r="B5063" i="1"/>
  <c r="C5063" i="1"/>
  <c r="E5063" i="1"/>
  <c r="G5063" i="1"/>
  <c r="K5063" i="1"/>
  <c r="A5064" i="1"/>
  <c r="B5064" i="1"/>
  <c r="C5064" i="1"/>
  <c r="E5064" i="1"/>
  <c r="G5064" i="1"/>
  <c r="K5064" i="1"/>
  <c r="A5065" i="1"/>
  <c r="B5065" i="1"/>
  <c r="C5065" i="1"/>
  <c r="E5065" i="1"/>
  <c r="G5065" i="1"/>
  <c r="K5065" i="1"/>
  <c r="A5066" i="1"/>
  <c r="B5066" i="1"/>
  <c r="C5066" i="1"/>
  <c r="E5066" i="1"/>
  <c r="G5066" i="1"/>
  <c r="K5066" i="1"/>
  <c r="A5067" i="1"/>
  <c r="B5067" i="1"/>
  <c r="C5067" i="1"/>
  <c r="E5067" i="1"/>
  <c r="G5067" i="1"/>
  <c r="K5067" i="1"/>
  <c r="A5068" i="1"/>
  <c r="B5068" i="1"/>
  <c r="C5068" i="1"/>
  <c r="E5068" i="1"/>
  <c r="G5068" i="1"/>
  <c r="K5068" i="1"/>
  <c r="A5069" i="1"/>
  <c r="B5069" i="1"/>
  <c r="C5069" i="1"/>
  <c r="E5069" i="1"/>
  <c r="G5069" i="1"/>
  <c r="K5069" i="1"/>
  <c r="A5070" i="1"/>
  <c r="B5070" i="1"/>
  <c r="C5070" i="1"/>
  <c r="E5070" i="1"/>
  <c r="G5070" i="1"/>
  <c r="K5070" i="1"/>
  <c r="A5071" i="1"/>
  <c r="B5071" i="1"/>
  <c r="C5071" i="1"/>
  <c r="E5071" i="1"/>
  <c r="G5071" i="1"/>
  <c r="K5071" i="1"/>
  <c r="A5072" i="1"/>
  <c r="B5072" i="1"/>
  <c r="C5072" i="1"/>
  <c r="E5072" i="1"/>
  <c r="G5072" i="1"/>
  <c r="K5072" i="1"/>
  <c r="A5073" i="1"/>
  <c r="B5073" i="1"/>
  <c r="C5073" i="1"/>
  <c r="E5073" i="1"/>
  <c r="G5073" i="1"/>
  <c r="K5073" i="1"/>
  <c r="A5074" i="1"/>
  <c r="B5074" i="1"/>
  <c r="C5074" i="1"/>
  <c r="E5074" i="1"/>
  <c r="G5074" i="1"/>
  <c r="K5074" i="1"/>
  <c r="A5075" i="1"/>
  <c r="B5075" i="1"/>
  <c r="C5075" i="1"/>
  <c r="E5075" i="1"/>
  <c r="G5075" i="1"/>
  <c r="K5075" i="1"/>
  <c r="A5076" i="1"/>
  <c r="B5076" i="1"/>
  <c r="C5076" i="1"/>
  <c r="E5076" i="1"/>
  <c r="G5076" i="1"/>
  <c r="K5076" i="1"/>
  <c r="A5077" i="1"/>
  <c r="B5077" i="1"/>
  <c r="C5077" i="1"/>
  <c r="E5077" i="1"/>
  <c r="G5077" i="1"/>
  <c r="K5077" i="1"/>
  <c r="A5078" i="1"/>
  <c r="B5078" i="1"/>
  <c r="C5078" i="1"/>
  <c r="E5078" i="1"/>
  <c r="G5078" i="1"/>
  <c r="K5078" i="1"/>
  <c r="A5079" i="1"/>
  <c r="B5079" i="1"/>
  <c r="C5079" i="1"/>
  <c r="E5079" i="1"/>
  <c r="G5079" i="1"/>
  <c r="K5079" i="1"/>
  <c r="A5080" i="1"/>
  <c r="B5080" i="1"/>
  <c r="C5080" i="1"/>
  <c r="E5080" i="1"/>
  <c r="G5080" i="1"/>
  <c r="K5080" i="1"/>
  <c r="A5081" i="1"/>
  <c r="B5081" i="1"/>
  <c r="C5081" i="1"/>
  <c r="E5081" i="1"/>
  <c r="G5081" i="1"/>
  <c r="K5081" i="1"/>
  <c r="A5082" i="1"/>
  <c r="B5082" i="1"/>
  <c r="C5082" i="1"/>
  <c r="E5082" i="1"/>
  <c r="G5082" i="1"/>
  <c r="K5082" i="1"/>
  <c r="A5083" i="1"/>
  <c r="B5083" i="1"/>
  <c r="C5083" i="1"/>
  <c r="E5083" i="1"/>
  <c r="G5083" i="1"/>
  <c r="K5083" i="1"/>
  <c r="A5084" i="1"/>
  <c r="B5084" i="1"/>
  <c r="C5084" i="1"/>
  <c r="E5084" i="1"/>
  <c r="G5084" i="1"/>
  <c r="K5084" i="1"/>
  <c r="A5085" i="1"/>
  <c r="B5085" i="1"/>
  <c r="C5085" i="1"/>
  <c r="E5085" i="1"/>
  <c r="G5085" i="1"/>
  <c r="K5085" i="1"/>
  <c r="A5086" i="1"/>
  <c r="B5086" i="1"/>
  <c r="C5086" i="1"/>
  <c r="E5086" i="1"/>
  <c r="G5086" i="1"/>
  <c r="K5086" i="1"/>
  <c r="A5087" i="1"/>
  <c r="B5087" i="1"/>
  <c r="C5087" i="1"/>
  <c r="E5087" i="1"/>
  <c r="G5087" i="1"/>
  <c r="K5087" i="1"/>
  <c r="A5088" i="1"/>
  <c r="B5088" i="1"/>
  <c r="C5088" i="1"/>
  <c r="E5088" i="1"/>
  <c r="G5088" i="1"/>
  <c r="K5088" i="1"/>
  <c r="A5089" i="1"/>
  <c r="B5089" i="1"/>
  <c r="C5089" i="1"/>
  <c r="E5089" i="1"/>
  <c r="G5089" i="1"/>
  <c r="K5089" i="1"/>
  <c r="A5090" i="1"/>
  <c r="B5090" i="1"/>
  <c r="C5090" i="1"/>
  <c r="E5090" i="1"/>
  <c r="G5090" i="1"/>
  <c r="K5090" i="1"/>
  <c r="A5091" i="1"/>
  <c r="B5091" i="1"/>
  <c r="C5091" i="1"/>
  <c r="E5091" i="1"/>
  <c r="G5091" i="1"/>
  <c r="K5091" i="1"/>
  <c r="A5092" i="1"/>
  <c r="B5092" i="1"/>
  <c r="C5092" i="1"/>
  <c r="E5092" i="1"/>
  <c r="G5092" i="1"/>
  <c r="K5092" i="1"/>
  <c r="A5093" i="1"/>
  <c r="B5093" i="1"/>
  <c r="C5093" i="1"/>
  <c r="E5093" i="1"/>
  <c r="G5093" i="1"/>
  <c r="K5093" i="1"/>
  <c r="A5094" i="1"/>
  <c r="B5094" i="1"/>
  <c r="C5094" i="1"/>
  <c r="E5094" i="1"/>
  <c r="G5094" i="1"/>
  <c r="K5094" i="1"/>
  <c r="A5095" i="1"/>
  <c r="B5095" i="1"/>
  <c r="C5095" i="1"/>
  <c r="E5095" i="1"/>
  <c r="G5095" i="1"/>
  <c r="K5095" i="1"/>
  <c r="A5096" i="1"/>
  <c r="B5096" i="1"/>
  <c r="C5096" i="1"/>
  <c r="E5096" i="1"/>
  <c r="G5096" i="1"/>
  <c r="K5096" i="1"/>
  <c r="A5097" i="1"/>
  <c r="B5097" i="1"/>
  <c r="C5097" i="1"/>
  <c r="E5097" i="1"/>
  <c r="G5097" i="1"/>
  <c r="K5097" i="1"/>
  <c r="A5098" i="1"/>
  <c r="B5098" i="1"/>
  <c r="C5098" i="1"/>
  <c r="E5098" i="1"/>
  <c r="G5098" i="1"/>
  <c r="K5098" i="1"/>
  <c r="A5099" i="1"/>
  <c r="B5099" i="1"/>
  <c r="C5099" i="1"/>
  <c r="E5099" i="1"/>
  <c r="G5099" i="1"/>
  <c r="K5099" i="1"/>
  <c r="A5100" i="1"/>
  <c r="B5100" i="1"/>
  <c r="C5100" i="1"/>
  <c r="E5100" i="1"/>
  <c r="G5100" i="1"/>
  <c r="K5100" i="1"/>
  <c r="A5101" i="1"/>
  <c r="B5101" i="1"/>
  <c r="C5101" i="1"/>
  <c r="E5101" i="1"/>
  <c r="G5101" i="1"/>
  <c r="K5101" i="1"/>
  <c r="A5102" i="1"/>
  <c r="B5102" i="1"/>
  <c r="C5102" i="1"/>
  <c r="E5102" i="1"/>
  <c r="G5102" i="1"/>
  <c r="K5102" i="1"/>
  <c r="A5103" i="1"/>
  <c r="B5103" i="1"/>
  <c r="C5103" i="1"/>
  <c r="E5103" i="1"/>
  <c r="G5103" i="1"/>
  <c r="K5103" i="1"/>
  <c r="A5104" i="1"/>
  <c r="B5104" i="1"/>
  <c r="C5104" i="1"/>
  <c r="E5104" i="1"/>
  <c r="G5104" i="1"/>
  <c r="K5104" i="1"/>
  <c r="A5105" i="1"/>
  <c r="B5105" i="1"/>
  <c r="C5105" i="1"/>
  <c r="E5105" i="1"/>
  <c r="G5105" i="1"/>
  <c r="K5105" i="1"/>
  <c r="A5106" i="1"/>
  <c r="B5106" i="1"/>
  <c r="C5106" i="1"/>
  <c r="E5106" i="1"/>
  <c r="G5106" i="1"/>
  <c r="K5106" i="1"/>
  <c r="A5107" i="1"/>
  <c r="B5107" i="1"/>
  <c r="C5107" i="1"/>
  <c r="E5107" i="1"/>
  <c r="G5107" i="1"/>
  <c r="K5107" i="1"/>
  <c r="A5108" i="1"/>
  <c r="B5108" i="1"/>
  <c r="C5108" i="1"/>
  <c r="E5108" i="1"/>
  <c r="G5108" i="1"/>
  <c r="K5108" i="1"/>
  <c r="A5109" i="1"/>
  <c r="B5109" i="1"/>
  <c r="C5109" i="1"/>
  <c r="E5109" i="1"/>
  <c r="G5109" i="1"/>
  <c r="K5109" i="1"/>
  <c r="A5110" i="1"/>
  <c r="B5110" i="1"/>
  <c r="C5110" i="1"/>
  <c r="E5110" i="1"/>
  <c r="G5110" i="1"/>
  <c r="K5110" i="1"/>
  <c r="A5111" i="1"/>
  <c r="B5111" i="1"/>
  <c r="C5111" i="1"/>
  <c r="E5111" i="1"/>
  <c r="G5111" i="1"/>
  <c r="K5111" i="1"/>
  <c r="A5112" i="1"/>
  <c r="B5112" i="1"/>
  <c r="C5112" i="1"/>
  <c r="E5112" i="1"/>
  <c r="G5112" i="1"/>
  <c r="K5112" i="1"/>
  <c r="A5113" i="1"/>
  <c r="B5113" i="1"/>
  <c r="C5113" i="1"/>
  <c r="E5113" i="1"/>
  <c r="G5113" i="1"/>
  <c r="K5113" i="1"/>
  <c r="A5114" i="1"/>
  <c r="B5114" i="1"/>
  <c r="C5114" i="1"/>
  <c r="E5114" i="1"/>
  <c r="G5114" i="1"/>
  <c r="K5114" i="1"/>
  <c r="A5115" i="1"/>
  <c r="B5115" i="1"/>
  <c r="C5115" i="1"/>
  <c r="E5115" i="1"/>
  <c r="G5115" i="1"/>
  <c r="K5115" i="1"/>
  <c r="A5116" i="1"/>
  <c r="B5116" i="1"/>
  <c r="C5116" i="1"/>
  <c r="E5116" i="1"/>
  <c r="G5116" i="1"/>
  <c r="K5116" i="1"/>
  <c r="A5117" i="1"/>
  <c r="B5117" i="1"/>
  <c r="C5117" i="1"/>
  <c r="E5117" i="1"/>
  <c r="G5117" i="1"/>
  <c r="K5117" i="1"/>
  <c r="A5118" i="1"/>
  <c r="B5118" i="1"/>
  <c r="C5118" i="1"/>
  <c r="E5118" i="1"/>
  <c r="G5118" i="1"/>
  <c r="K5118" i="1"/>
  <c r="A5119" i="1"/>
  <c r="B5119" i="1"/>
  <c r="C5119" i="1"/>
  <c r="E5119" i="1"/>
  <c r="G5119" i="1"/>
  <c r="K5119" i="1"/>
  <c r="A5120" i="1"/>
  <c r="B5120" i="1"/>
  <c r="C5120" i="1"/>
  <c r="E5120" i="1"/>
  <c r="G5120" i="1"/>
  <c r="K5120" i="1"/>
  <c r="A5121" i="1"/>
  <c r="B5121" i="1"/>
  <c r="C5121" i="1"/>
  <c r="E5121" i="1"/>
  <c r="G5121" i="1"/>
  <c r="K5121" i="1"/>
  <c r="A5122" i="1"/>
  <c r="B5122" i="1"/>
  <c r="C5122" i="1"/>
  <c r="E5122" i="1"/>
  <c r="G5122" i="1"/>
  <c r="K5122" i="1"/>
  <c r="A5123" i="1"/>
  <c r="B5123" i="1"/>
  <c r="C5123" i="1"/>
  <c r="E5123" i="1"/>
  <c r="G5123" i="1"/>
  <c r="K5123" i="1"/>
  <c r="A5124" i="1"/>
  <c r="B5124" i="1"/>
  <c r="C5124" i="1"/>
  <c r="E5124" i="1"/>
  <c r="G5124" i="1"/>
  <c r="K5124" i="1"/>
  <c r="A5125" i="1"/>
  <c r="B5125" i="1"/>
  <c r="C5125" i="1"/>
  <c r="E5125" i="1"/>
  <c r="G5125" i="1"/>
  <c r="K5125" i="1"/>
  <c r="A5126" i="1"/>
  <c r="B5126" i="1"/>
  <c r="C5126" i="1"/>
  <c r="E5126" i="1"/>
  <c r="G5126" i="1"/>
  <c r="K5126" i="1"/>
  <c r="A5127" i="1"/>
  <c r="B5127" i="1"/>
  <c r="C5127" i="1"/>
  <c r="E5127" i="1"/>
  <c r="G5127" i="1"/>
  <c r="K5127" i="1"/>
  <c r="A5128" i="1"/>
  <c r="B5128" i="1"/>
  <c r="C5128" i="1"/>
  <c r="E5128" i="1"/>
  <c r="G5128" i="1"/>
  <c r="K5128" i="1"/>
  <c r="A5129" i="1"/>
  <c r="B5129" i="1"/>
  <c r="C5129" i="1"/>
  <c r="E5129" i="1"/>
  <c r="G5129" i="1"/>
  <c r="K5129" i="1"/>
  <c r="A5130" i="1"/>
  <c r="B5130" i="1"/>
  <c r="C5130" i="1"/>
  <c r="E5130" i="1"/>
  <c r="G5130" i="1"/>
  <c r="K5130" i="1"/>
  <c r="A5131" i="1"/>
  <c r="B5131" i="1"/>
  <c r="C5131" i="1"/>
  <c r="E5131" i="1"/>
  <c r="G5131" i="1"/>
  <c r="K5131" i="1"/>
  <c r="A5132" i="1"/>
  <c r="B5132" i="1"/>
  <c r="C5132" i="1"/>
  <c r="E5132" i="1"/>
  <c r="G5132" i="1"/>
  <c r="K5132" i="1"/>
  <c r="A5133" i="1"/>
  <c r="B5133" i="1"/>
  <c r="C5133" i="1"/>
  <c r="E5133" i="1"/>
  <c r="G5133" i="1"/>
  <c r="K5133" i="1"/>
  <c r="A5134" i="1"/>
  <c r="B5134" i="1"/>
  <c r="C5134" i="1"/>
  <c r="E5134" i="1"/>
  <c r="G5134" i="1"/>
  <c r="K5134" i="1"/>
  <c r="A5135" i="1"/>
  <c r="B5135" i="1"/>
  <c r="C5135" i="1"/>
  <c r="E5135" i="1"/>
  <c r="G5135" i="1"/>
  <c r="K5135" i="1"/>
  <c r="A5136" i="1"/>
  <c r="B5136" i="1"/>
  <c r="C5136" i="1"/>
  <c r="E5136" i="1"/>
  <c r="G5136" i="1"/>
  <c r="K5136" i="1"/>
  <c r="A5137" i="1"/>
  <c r="B5137" i="1"/>
  <c r="C5137" i="1"/>
  <c r="E5137" i="1"/>
  <c r="G5137" i="1"/>
  <c r="K5137" i="1"/>
  <c r="A5138" i="1"/>
  <c r="B5138" i="1"/>
  <c r="C5138" i="1"/>
  <c r="E5138" i="1"/>
  <c r="G5138" i="1"/>
  <c r="K5138" i="1"/>
  <c r="A5139" i="1"/>
  <c r="B5139" i="1"/>
  <c r="C5139" i="1"/>
  <c r="E5139" i="1"/>
  <c r="G5139" i="1"/>
  <c r="K5139" i="1"/>
  <c r="A5140" i="1"/>
  <c r="B5140" i="1"/>
  <c r="C5140" i="1"/>
  <c r="E5140" i="1"/>
  <c r="G5140" i="1"/>
  <c r="K5140" i="1"/>
  <c r="A5141" i="1"/>
  <c r="B5141" i="1"/>
  <c r="C5141" i="1"/>
  <c r="E5141" i="1"/>
  <c r="G5141" i="1"/>
  <c r="K5141" i="1"/>
  <c r="A5142" i="1"/>
  <c r="B5142" i="1"/>
  <c r="C5142" i="1"/>
  <c r="E5142" i="1"/>
  <c r="G5142" i="1"/>
  <c r="K5142" i="1"/>
  <c r="A5143" i="1"/>
  <c r="B5143" i="1"/>
  <c r="C5143" i="1"/>
  <c r="E5143" i="1"/>
  <c r="G5143" i="1"/>
  <c r="K5143" i="1"/>
  <c r="A5144" i="1"/>
  <c r="B5144" i="1"/>
  <c r="C5144" i="1"/>
  <c r="E5144" i="1"/>
  <c r="G5144" i="1"/>
  <c r="K5144" i="1"/>
  <c r="A5145" i="1"/>
  <c r="B5145" i="1"/>
  <c r="C5145" i="1"/>
  <c r="E5145" i="1"/>
  <c r="G5145" i="1"/>
  <c r="K5145" i="1"/>
  <c r="A5146" i="1"/>
  <c r="B5146" i="1"/>
  <c r="C5146" i="1"/>
  <c r="E5146" i="1"/>
  <c r="G5146" i="1"/>
  <c r="K5146" i="1"/>
  <c r="A5147" i="1"/>
  <c r="B5147" i="1"/>
  <c r="C5147" i="1"/>
  <c r="E5147" i="1"/>
  <c r="G5147" i="1"/>
  <c r="K5147" i="1"/>
  <c r="A5148" i="1"/>
  <c r="B5148" i="1"/>
  <c r="C5148" i="1"/>
  <c r="E5148" i="1"/>
  <c r="G5148" i="1"/>
  <c r="K5148" i="1"/>
  <c r="A5149" i="1"/>
  <c r="B5149" i="1"/>
  <c r="C5149" i="1"/>
  <c r="E5149" i="1"/>
  <c r="G5149" i="1"/>
  <c r="K5149" i="1"/>
  <c r="A5150" i="1"/>
  <c r="B5150" i="1"/>
  <c r="C5150" i="1"/>
  <c r="E5150" i="1"/>
  <c r="G5150" i="1"/>
  <c r="K5150" i="1"/>
  <c r="A5151" i="1"/>
  <c r="B5151" i="1"/>
  <c r="C5151" i="1"/>
  <c r="E5151" i="1"/>
  <c r="G5151" i="1"/>
  <c r="K5151" i="1"/>
  <c r="A5152" i="1"/>
  <c r="B5152" i="1"/>
  <c r="C5152" i="1"/>
  <c r="E5152" i="1"/>
  <c r="G5152" i="1"/>
  <c r="K5152" i="1"/>
  <c r="A5153" i="1"/>
  <c r="B5153" i="1"/>
  <c r="C5153" i="1"/>
  <c r="E5153" i="1"/>
  <c r="G5153" i="1"/>
  <c r="K5153" i="1"/>
  <c r="A5154" i="1"/>
  <c r="B5154" i="1"/>
  <c r="C5154" i="1"/>
  <c r="E5154" i="1"/>
  <c r="G5154" i="1"/>
  <c r="K5154" i="1"/>
  <c r="A5155" i="1"/>
  <c r="B5155" i="1"/>
  <c r="C5155" i="1"/>
  <c r="E5155" i="1"/>
  <c r="G5155" i="1"/>
  <c r="K5155" i="1"/>
  <c r="A5156" i="1"/>
  <c r="B5156" i="1"/>
  <c r="C5156" i="1"/>
  <c r="E5156" i="1"/>
  <c r="G5156" i="1"/>
  <c r="K5156" i="1"/>
  <c r="A5157" i="1"/>
  <c r="B5157" i="1"/>
  <c r="C5157" i="1"/>
  <c r="E5157" i="1"/>
  <c r="G5157" i="1"/>
  <c r="K5157" i="1"/>
  <c r="A5158" i="1"/>
  <c r="B5158" i="1"/>
  <c r="C5158" i="1"/>
  <c r="E5158" i="1"/>
  <c r="G5158" i="1"/>
  <c r="K5158" i="1"/>
  <c r="A5159" i="1"/>
  <c r="B5159" i="1"/>
  <c r="C5159" i="1"/>
  <c r="E5159" i="1"/>
  <c r="G5159" i="1"/>
  <c r="K5159" i="1"/>
  <c r="A5160" i="1"/>
  <c r="B5160" i="1"/>
  <c r="C5160" i="1"/>
  <c r="E5160" i="1"/>
  <c r="G5160" i="1"/>
  <c r="K5160" i="1"/>
  <c r="A5161" i="1"/>
  <c r="B5161" i="1"/>
  <c r="C5161" i="1"/>
  <c r="E5161" i="1"/>
  <c r="G5161" i="1"/>
  <c r="K5161" i="1"/>
  <c r="A5162" i="1"/>
  <c r="B5162" i="1"/>
  <c r="C5162" i="1"/>
  <c r="E5162" i="1"/>
  <c r="G5162" i="1"/>
  <c r="K5162" i="1"/>
  <c r="A5163" i="1"/>
  <c r="B5163" i="1"/>
  <c r="C5163" i="1"/>
  <c r="E5163" i="1"/>
  <c r="G5163" i="1"/>
  <c r="K5163" i="1"/>
  <c r="A5164" i="1"/>
  <c r="B5164" i="1"/>
  <c r="C5164" i="1"/>
  <c r="E5164" i="1"/>
  <c r="G5164" i="1"/>
  <c r="K5164" i="1"/>
  <c r="A5165" i="1"/>
  <c r="B5165" i="1"/>
  <c r="C5165" i="1"/>
  <c r="E5165" i="1"/>
  <c r="G5165" i="1"/>
  <c r="K5165" i="1"/>
  <c r="A5166" i="1"/>
  <c r="B5166" i="1"/>
  <c r="C5166" i="1"/>
  <c r="E5166" i="1"/>
  <c r="G5166" i="1"/>
  <c r="K5166" i="1"/>
  <c r="A5167" i="1"/>
  <c r="B5167" i="1"/>
  <c r="C5167" i="1"/>
  <c r="E5167" i="1"/>
  <c r="G5167" i="1"/>
  <c r="K5167" i="1"/>
  <c r="A5168" i="1"/>
  <c r="B5168" i="1"/>
  <c r="C5168" i="1"/>
  <c r="E5168" i="1"/>
  <c r="G5168" i="1"/>
  <c r="K5168" i="1"/>
  <c r="A5169" i="1"/>
  <c r="B5169" i="1"/>
  <c r="C5169" i="1"/>
  <c r="E5169" i="1"/>
  <c r="G5169" i="1"/>
  <c r="K5169" i="1"/>
  <c r="A5170" i="1"/>
  <c r="B5170" i="1"/>
  <c r="C5170" i="1"/>
  <c r="E5170" i="1"/>
  <c r="G5170" i="1"/>
  <c r="K5170" i="1"/>
  <c r="A5171" i="1"/>
  <c r="B5171" i="1"/>
  <c r="C5171" i="1"/>
  <c r="E5171" i="1"/>
  <c r="G5171" i="1"/>
  <c r="K5171" i="1"/>
  <c r="A5172" i="1"/>
  <c r="B5172" i="1"/>
  <c r="C5172" i="1"/>
  <c r="E5172" i="1"/>
  <c r="G5172" i="1"/>
  <c r="K5172" i="1"/>
  <c r="A5173" i="1"/>
  <c r="B5173" i="1"/>
  <c r="C5173" i="1"/>
  <c r="E5173" i="1"/>
  <c r="G5173" i="1"/>
  <c r="K5173" i="1"/>
  <c r="A5174" i="1"/>
  <c r="B5174" i="1"/>
  <c r="C5174" i="1"/>
  <c r="E5174" i="1"/>
  <c r="G5174" i="1"/>
  <c r="K5174" i="1"/>
  <c r="A5175" i="1"/>
  <c r="B5175" i="1"/>
  <c r="C5175" i="1"/>
  <c r="E5175" i="1"/>
  <c r="G5175" i="1"/>
  <c r="K5175" i="1"/>
  <c r="A5176" i="1"/>
  <c r="B5176" i="1"/>
  <c r="C5176" i="1"/>
  <c r="E5176" i="1"/>
  <c r="G5176" i="1"/>
  <c r="K5176" i="1"/>
  <c r="A5177" i="1"/>
  <c r="B5177" i="1"/>
  <c r="C5177" i="1"/>
  <c r="E5177" i="1"/>
  <c r="G5177" i="1"/>
  <c r="K5177" i="1"/>
  <c r="A5178" i="1"/>
  <c r="B5178" i="1"/>
  <c r="C5178" i="1"/>
  <c r="E5178" i="1"/>
  <c r="G5178" i="1"/>
  <c r="K5178" i="1"/>
  <c r="A5179" i="1"/>
  <c r="B5179" i="1"/>
  <c r="C5179" i="1"/>
  <c r="E5179" i="1"/>
  <c r="G5179" i="1"/>
  <c r="K5179" i="1"/>
  <c r="A5180" i="1"/>
  <c r="B5180" i="1"/>
  <c r="C5180" i="1"/>
  <c r="E5180" i="1"/>
  <c r="G5180" i="1"/>
  <c r="K5180" i="1"/>
  <c r="A5181" i="1"/>
  <c r="B5181" i="1"/>
  <c r="C5181" i="1"/>
  <c r="E5181" i="1"/>
  <c r="G5181" i="1"/>
  <c r="K5181" i="1"/>
  <c r="A5182" i="1"/>
  <c r="B5182" i="1"/>
  <c r="C5182" i="1"/>
  <c r="E5182" i="1"/>
  <c r="G5182" i="1"/>
  <c r="K5182" i="1"/>
  <c r="A5183" i="1"/>
  <c r="B5183" i="1"/>
  <c r="C5183" i="1"/>
  <c r="E5183" i="1"/>
  <c r="G5183" i="1"/>
  <c r="K5183" i="1"/>
  <c r="A5184" i="1"/>
  <c r="B5184" i="1"/>
  <c r="C5184" i="1"/>
  <c r="E5184" i="1"/>
  <c r="G5184" i="1"/>
  <c r="K5184" i="1"/>
  <c r="A5185" i="1"/>
  <c r="B5185" i="1"/>
  <c r="C5185" i="1"/>
  <c r="E5185" i="1"/>
  <c r="G5185" i="1"/>
  <c r="K5185" i="1"/>
  <c r="A5186" i="1"/>
  <c r="B5186" i="1"/>
  <c r="C5186" i="1"/>
  <c r="E5186" i="1"/>
  <c r="G5186" i="1"/>
  <c r="K5186" i="1"/>
  <c r="A5187" i="1"/>
  <c r="B5187" i="1"/>
  <c r="C5187" i="1"/>
  <c r="E5187" i="1"/>
  <c r="G5187" i="1"/>
  <c r="K5187" i="1"/>
  <c r="A5188" i="1"/>
  <c r="B5188" i="1"/>
  <c r="C5188" i="1"/>
  <c r="E5188" i="1"/>
  <c r="G5188" i="1"/>
  <c r="K5188" i="1"/>
  <c r="A5189" i="1"/>
  <c r="B5189" i="1"/>
  <c r="C5189" i="1"/>
  <c r="E5189" i="1"/>
  <c r="G5189" i="1"/>
  <c r="K5189" i="1"/>
  <c r="A5190" i="1"/>
  <c r="B5190" i="1"/>
  <c r="C5190" i="1"/>
  <c r="E5190" i="1"/>
  <c r="G5190" i="1"/>
  <c r="K5190" i="1"/>
  <c r="A5191" i="1"/>
  <c r="B5191" i="1"/>
  <c r="C5191" i="1"/>
  <c r="E5191" i="1"/>
  <c r="G5191" i="1"/>
  <c r="K5191" i="1"/>
  <c r="A5192" i="1"/>
  <c r="B5192" i="1"/>
  <c r="C5192" i="1"/>
  <c r="E5192" i="1"/>
  <c r="G5192" i="1"/>
  <c r="K5192" i="1"/>
  <c r="A5193" i="1"/>
  <c r="B5193" i="1"/>
  <c r="C5193" i="1"/>
  <c r="E5193" i="1"/>
  <c r="G5193" i="1"/>
  <c r="K5193" i="1"/>
  <c r="A5194" i="1"/>
  <c r="B5194" i="1"/>
  <c r="C5194" i="1"/>
  <c r="E5194" i="1"/>
  <c r="G5194" i="1"/>
  <c r="K5194" i="1"/>
  <c r="A5195" i="1"/>
  <c r="B5195" i="1"/>
  <c r="C5195" i="1"/>
  <c r="E5195" i="1"/>
  <c r="G5195" i="1"/>
  <c r="K5195" i="1"/>
  <c r="A5196" i="1"/>
  <c r="B5196" i="1"/>
  <c r="C5196" i="1"/>
  <c r="E5196" i="1"/>
  <c r="G5196" i="1"/>
  <c r="K5196" i="1"/>
  <c r="A5197" i="1"/>
  <c r="B5197" i="1"/>
  <c r="C5197" i="1"/>
  <c r="E5197" i="1"/>
  <c r="G5197" i="1"/>
  <c r="K5197" i="1"/>
  <c r="A5198" i="1"/>
  <c r="B5198" i="1"/>
  <c r="C5198" i="1"/>
  <c r="E5198" i="1"/>
  <c r="G5198" i="1"/>
  <c r="K5198" i="1"/>
  <c r="A5199" i="1"/>
  <c r="B5199" i="1"/>
  <c r="C5199" i="1"/>
  <c r="E5199" i="1"/>
  <c r="G5199" i="1"/>
  <c r="K5199" i="1"/>
  <c r="A5200" i="1"/>
  <c r="B5200" i="1"/>
  <c r="C5200" i="1"/>
  <c r="E5200" i="1"/>
  <c r="G5200" i="1"/>
  <c r="K5200" i="1"/>
  <c r="A5201" i="1"/>
  <c r="B5201" i="1"/>
  <c r="C5201" i="1"/>
  <c r="E5201" i="1"/>
  <c r="G5201" i="1"/>
  <c r="K5201" i="1"/>
  <c r="A5202" i="1"/>
  <c r="B5202" i="1"/>
  <c r="C5202" i="1"/>
  <c r="E5202" i="1"/>
  <c r="G5202" i="1"/>
  <c r="K5202" i="1"/>
  <c r="A5203" i="1"/>
  <c r="B5203" i="1"/>
  <c r="C5203" i="1"/>
  <c r="E5203" i="1"/>
  <c r="G5203" i="1"/>
  <c r="K5203" i="1"/>
  <c r="A5204" i="1"/>
  <c r="B5204" i="1"/>
  <c r="C5204" i="1"/>
  <c r="E5204" i="1"/>
  <c r="G5204" i="1"/>
  <c r="K5204" i="1"/>
  <c r="A5205" i="1"/>
  <c r="B5205" i="1"/>
  <c r="C5205" i="1"/>
  <c r="E5205" i="1"/>
  <c r="G5205" i="1"/>
  <c r="K5205" i="1"/>
  <c r="A5206" i="1"/>
  <c r="B5206" i="1"/>
  <c r="C5206" i="1"/>
  <c r="E5206" i="1"/>
  <c r="G5206" i="1"/>
  <c r="K5206" i="1"/>
  <c r="A5207" i="1"/>
  <c r="B5207" i="1"/>
  <c r="C5207" i="1"/>
  <c r="E5207" i="1"/>
  <c r="G5207" i="1"/>
  <c r="K5207" i="1"/>
  <c r="A5208" i="1"/>
  <c r="B5208" i="1"/>
  <c r="C5208" i="1"/>
  <c r="E5208" i="1"/>
  <c r="G5208" i="1"/>
  <c r="K5208" i="1"/>
  <c r="A5209" i="1"/>
  <c r="B5209" i="1"/>
  <c r="C5209" i="1"/>
  <c r="E5209" i="1"/>
  <c r="G5209" i="1"/>
  <c r="K5209" i="1"/>
  <c r="A5210" i="1"/>
  <c r="B5210" i="1"/>
  <c r="C5210" i="1"/>
  <c r="E5210" i="1"/>
  <c r="G5210" i="1"/>
  <c r="K5210" i="1"/>
  <c r="A5211" i="1"/>
  <c r="B5211" i="1"/>
  <c r="C5211" i="1"/>
  <c r="E5211" i="1"/>
  <c r="G5211" i="1"/>
  <c r="K5211" i="1"/>
  <c r="A5212" i="1"/>
  <c r="B5212" i="1"/>
  <c r="C5212" i="1"/>
  <c r="E5212" i="1"/>
  <c r="G5212" i="1"/>
  <c r="K5212" i="1"/>
  <c r="A5213" i="1"/>
  <c r="B5213" i="1"/>
  <c r="C5213" i="1"/>
  <c r="E5213" i="1"/>
  <c r="G5213" i="1"/>
  <c r="K5213" i="1"/>
  <c r="A5214" i="1"/>
  <c r="B5214" i="1"/>
  <c r="C5214" i="1"/>
  <c r="E5214" i="1"/>
  <c r="G5214" i="1"/>
  <c r="K5214" i="1"/>
  <c r="A5215" i="1"/>
  <c r="B5215" i="1"/>
  <c r="C5215" i="1"/>
  <c r="E5215" i="1"/>
  <c r="G5215" i="1"/>
  <c r="K5215" i="1"/>
  <c r="A5216" i="1"/>
  <c r="B5216" i="1"/>
  <c r="C5216" i="1"/>
  <c r="E5216" i="1"/>
  <c r="G5216" i="1"/>
  <c r="K5216" i="1"/>
  <c r="A5217" i="1"/>
  <c r="B5217" i="1"/>
  <c r="C5217" i="1"/>
  <c r="E5217" i="1"/>
  <c r="G5217" i="1"/>
  <c r="K5217" i="1"/>
  <c r="A5218" i="1"/>
  <c r="B5218" i="1"/>
  <c r="C5218" i="1"/>
  <c r="E5218" i="1"/>
  <c r="G5218" i="1"/>
  <c r="K5218" i="1"/>
  <c r="A5219" i="1"/>
  <c r="B5219" i="1"/>
  <c r="C5219" i="1"/>
  <c r="E5219" i="1"/>
  <c r="G5219" i="1"/>
  <c r="K5219" i="1"/>
  <c r="A5220" i="1"/>
  <c r="B5220" i="1"/>
  <c r="C5220" i="1"/>
  <c r="E5220" i="1"/>
  <c r="G5220" i="1"/>
  <c r="K5220" i="1"/>
  <c r="A5221" i="1"/>
  <c r="B5221" i="1"/>
  <c r="C5221" i="1"/>
  <c r="E5221" i="1"/>
  <c r="G5221" i="1"/>
  <c r="K5221" i="1"/>
  <c r="A5222" i="1"/>
  <c r="B5222" i="1"/>
  <c r="C5222" i="1"/>
  <c r="E5222" i="1"/>
  <c r="G5222" i="1"/>
  <c r="K5222" i="1"/>
  <c r="A5223" i="1"/>
  <c r="B5223" i="1"/>
  <c r="C5223" i="1"/>
  <c r="E5223" i="1"/>
  <c r="G5223" i="1"/>
  <c r="K5223" i="1"/>
  <c r="A5224" i="1"/>
  <c r="B5224" i="1"/>
  <c r="C5224" i="1"/>
  <c r="E5224" i="1"/>
  <c r="G5224" i="1"/>
  <c r="K5224" i="1"/>
  <c r="A5225" i="1"/>
  <c r="B5225" i="1"/>
  <c r="C5225" i="1"/>
  <c r="E5225" i="1"/>
  <c r="G5225" i="1"/>
  <c r="K5225" i="1"/>
  <c r="A5226" i="1"/>
  <c r="B5226" i="1"/>
  <c r="C5226" i="1"/>
  <c r="E5226" i="1"/>
  <c r="G5226" i="1"/>
  <c r="K5226" i="1"/>
  <c r="A5227" i="1"/>
  <c r="B5227" i="1"/>
  <c r="C5227" i="1"/>
  <c r="E5227" i="1"/>
  <c r="G5227" i="1"/>
  <c r="K5227" i="1"/>
  <c r="A5228" i="1"/>
  <c r="B5228" i="1"/>
  <c r="C5228" i="1"/>
  <c r="E5228" i="1"/>
  <c r="G5228" i="1"/>
  <c r="K5228" i="1"/>
  <c r="A5229" i="1"/>
  <c r="B5229" i="1"/>
  <c r="C5229" i="1"/>
  <c r="E5229" i="1"/>
  <c r="G5229" i="1"/>
  <c r="K5229" i="1"/>
  <c r="A5230" i="1"/>
  <c r="B5230" i="1"/>
  <c r="C5230" i="1"/>
  <c r="E5230" i="1"/>
  <c r="G5230" i="1"/>
  <c r="K5230" i="1"/>
  <c r="A5231" i="1"/>
  <c r="B5231" i="1"/>
  <c r="C5231" i="1"/>
  <c r="E5231" i="1"/>
  <c r="G5231" i="1"/>
  <c r="K5231" i="1"/>
  <c r="A5232" i="1"/>
  <c r="B5232" i="1"/>
  <c r="C5232" i="1"/>
  <c r="E5232" i="1"/>
  <c r="G5232" i="1"/>
  <c r="K5232" i="1"/>
  <c r="A5233" i="1"/>
  <c r="B5233" i="1"/>
  <c r="C5233" i="1"/>
  <c r="E5233" i="1"/>
  <c r="G5233" i="1"/>
  <c r="K5233" i="1"/>
  <c r="A5234" i="1"/>
  <c r="B5234" i="1"/>
  <c r="C5234" i="1"/>
  <c r="E5234" i="1"/>
  <c r="G5234" i="1"/>
  <c r="K5234" i="1"/>
  <c r="A5235" i="1"/>
  <c r="B5235" i="1"/>
  <c r="C5235" i="1"/>
  <c r="E5235" i="1"/>
  <c r="G5235" i="1"/>
  <c r="K5235" i="1"/>
  <c r="A5236" i="1"/>
  <c r="B5236" i="1"/>
  <c r="C5236" i="1"/>
  <c r="E5236" i="1"/>
  <c r="G5236" i="1"/>
  <c r="K5236" i="1"/>
  <c r="A5237" i="1"/>
  <c r="B5237" i="1"/>
  <c r="C5237" i="1"/>
  <c r="E5237" i="1"/>
  <c r="G5237" i="1"/>
  <c r="K5237" i="1"/>
  <c r="A5238" i="1"/>
  <c r="B5238" i="1"/>
  <c r="C5238" i="1"/>
  <c r="E5238" i="1"/>
  <c r="G5238" i="1"/>
  <c r="K5238" i="1"/>
  <c r="A5239" i="1"/>
  <c r="B5239" i="1"/>
  <c r="C5239" i="1"/>
  <c r="E5239" i="1"/>
  <c r="G5239" i="1"/>
  <c r="K5239" i="1"/>
  <c r="A5240" i="1"/>
  <c r="B5240" i="1"/>
  <c r="C5240" i="1"/>
  <c r="E5240" i="1"/>
  <c r="G5240" i="1"/>
  <c r="K5240" i="1"/>
  <c r="A5241" i="1"/>
  <c r="B5241" i="1"/>
  <c r="C5241" i="1"/>
  <c r="E5241" i="1"/>
  <c r="G5241" i="1"/>
  <c r="K5241" i="1"/>
  <c r="A5242" i="1"/>
  <c r="B5242" i="1"/>
  <c r="C5242" i="1"/>
  <c r="E5242" i="1"/>
  <c r="G5242" i="1"/>
  <c r="K5242" i="1"/>
  <c r="A5243" i="1"/>
  <c r="B5243" i="1"/>
  <c r="C5243" i="1"/>
  <c r="E5243" i="1"/>
  <c r="G5243" i="1"/>
  <c r="K5243" i="1"/>
  <c r="A5244" i="1"/>
  <c r="B5244" i="1"/>
  <c r="C5244" i="1"/>
  <c r="E5244" i="1"/>
  <c r="G5244" i="1"/>
  <c r="K5244" i="1"/>
  <c r="A5245" i="1"/>
  <c r="B5245" i="1"/>
  <c r="C5245" i="1"/>
  <c r="E5245" i="1"/>
  <c r="G5245" i="1"/>
  <c r="K5245" i="1"/>
  <c r="A5246" i="1"/>
  <c r="B5246" i="1"/>
  <c r="C5246" i="1"/>
  <c r="E5246" i="1"/>
  <c r="G5246" i="1"/>
  <c r="K5246" i="1"/>
  <c r="A5247" i="1"/>
  <c r="B5247" i="1"/>
  <c r="C5247" i="1"/>
  <c r="E5247" i="1"/>
  <c r="G5247" i="1"/>
  <c r="K5247" i="1"/>
  <c r="A5248" i="1"/>
  <c r="B5248" i="1"/>
  <c r="C5248" i="1"/>
  <c r="E5248" i="1"/>
  <c r="G5248" i="1"/>
  <c r="K5248" i="1"/>
  <c r="A5249" i="1"/>
  <c r="B5249" i="1"/>
  <c r="C5249" i="1"/>
  <c r="E5249" i="1"/>
  <c r="G5249" i="1"/>
  <c r="K5249" i="1"/>
  <c r="A5250" i="1"/>
  <c r="B5250" i="1"/>
  <c r="C5250" i="1"/>
  <c r="E5250" i="1"/>
  <c r="G5250" i="1"/>
  <c r="K5250" i="1"/>
  <c r="A5251" i="1"/>
  <c r="B5251" i="1"/>
  <c r="C5251" i="1"/>
  <c r="E5251" i="1"/>
  <c r="G5251" i="1"/>
  <c r="K5251" i="1"/>
  <c r="A5252" i="1"/>
  <c r="B5252" i="1"/>
  <c r="C5252" i="1"/>
  <c r="E5252" i="1"/>
  <c r="G5252" i="1"/>
  <c r="K5252" i="1"/>
  <c r="A5253" i="1"/>
  <c r="B5253" i="1"/>
  <c r="C5253" i="1"/>
  <c r="E5253" i="1"/>
  <c r="G5253" i="1"/>
  <c r="K5253" i="1"/>
  <c r="A5254" i="1"/>
  <c r="B5254" i="1"/>
  <c r="C5254" i="1"/>
  <c r="E5254" i="1"/>
  <c r="G5254" i="1"/>
  <c r="K5254" i="1"/>
  <c r="A5255" i="1"/>
  <c r="B5255" i="1"/>
  <c r="C5255" i="1"/>
  <c r="E5255" i="1"/>
  <c r="G5255" i="1"/>
  <c r="K5255" i="1"/>
  <c r="A5256" i="1"/>
  <c r="B5256" i="1"/>
  <c r="C5256" i="1"/>
  <c r="E5256" i="1"/>
  <c r="G5256" i="1"/>
  <c r="K5256" i="1"/>
  <c r="A5257" i="1"/>
  <c r="B5257" i="1"/>
  <c r="C5257" i="1"/>
  <c r="E5257" i="1"/>
  <c r="G5257" i="1"/>
  <c r="K5257" i="1"/>
  <c r="A5258" i="1"/>
  <c r="B5258" i="1"/>
  <c r="C5258" i="1"/>
  <c r="E5258" i="1"/>
  <c r="G5258" i="1"/>
  <c r="K5258" i="1"/>
  <c r="A5259" i="1"/>
  <c r="B5259" i="1"/>
  <c r="C5259" i="1"/>
  <c r="E5259" i="1"/>
  <c r="G5259" i="1"/>
  <c r="K5259" i="1"/>
  <c r="A5260" i="1"/>
  <c r="B5260" i="1"/>
  <c r="C5260" i="1"/>
  <c r="E5260" i="1"/>
  <c r="G5260" i="1"/>
  <c r="K5260" i="1"/>
  <c r="A5261" i="1"/>
  <c r="B5261" i="1"/>
  <c r="C5261" i="1"/>
  <c r="E5261" i="1"/>
  <c r="G5261" i="1"/>
  <c r="K5261" i="1"/>
  <c r="A5262" i="1"/>
  <c r="B5262" i="1"/>
  <c r="C5262" i="1"/>
  <c r="E5262" i="1"/>
  <c r="G5262" i="1"/>
  <c r="K5262" i="1"/>
  <c r="A5263" i="1"/>
  <c r="B5263" i="1"/>
  <c r="C5263" i="1"/>
  <c r="E5263" i="1"/>
  <c r="G5263" i="1"/>
  <c r="K5263" i="1"/>
  <c r="A5264" i="1"/>
  <c r="B5264" i="1"/>
  <c r="C5264" i="1"/>
  <c r="E5264" i="1"/>
  <c r="G5264" i="1"/>
  <c r="K5264" i="1"/>
  <c r="A5265" i="1"/>
  <c r="B5265" i="1"/>
  <c r="C5265" i="1"/>
  <c r="E5265" i="1"/>
  <c r="G5265" i="1"/>
  <c r="K5265" i="1"/>
  <c r="A5266" i="1"/>
  <c r="B5266" i="1"/>
  <c r="C5266" i="1"/>
  <c r="E5266" i="1"/>
  <c r="G5266" i="1"/>
  <c r="K5266" i="1"/>
  <c r="A5267" i="1"/>
  <c r="B5267" i="1"/>
  <c r="C5267" i="1"/>
  <c r="E5267" i="1"/>
  <c r="G5267" i="1"/>
  <c r="K5267" i="1"/>
  <c r="A5268" i="1"/>
  <c r="B5268" i="1"/>
  <c r="C5268" i="1"/>
  <c r="E5268" i="1"/>
  <c r="G5268" i="1"/>
  <c r="K5268" i="1"/>
  <c r="A5269" i="1"/>
  <c r="B5269" i="1"/>
  <c r="C5269" i="1"/>
  <c r="E5269" i="1"/>
  <c r="G5269" i="1"/>
  <c r="K5269" i="1"/>
  <c r="A5270" i="1"/>
  <c r="B5270" i="1"/>
  <c r="C5270" i="1"/>
  <c r="E5270" i="1"/>
  <c r="G5270" i="1"/>
  <c r="K5270" i="1"/>
  <c r="A5271" i="1"/>
  <c r="B5271" i="1"/>
  <c r="C5271" i="1"/>
  <c r="E5271" i="1"/>
  <c r="G5271" i="1"/>
  <c r="K5271" i="1"/>
  <c r="A5272" i="1"/>
  <c r="B5272" i="1"/>
  <c r="C5272" i="1"/>
  <c r="E5272" i="1"/>
  <c r="G5272" i="1"/>
  <c r="K5272" i="1"/>
  <c r="A5273" i="1"/>
  <c r="B5273" i="1"/>
  <c r="C5273" i="1"/>
  <c r="E5273" i="1"/>
  <c r="G5273" i="1"/>
  <c r="K5273" i="1"/>
  <c r="A5274" i="1"/>
  <c r="B5274" i="1"/>
  <c r="C5274" i="1"/>
  <c r="E5274" i="1"/>
  <c r="G5274" i="1"/>
  <c r="K5274" i="1"/>
  <c r="A5275" i="1"/>
  <c r="B5275" i="1"/>
  <c r="C5275" i="1"/>
  <c r="E5275" i="1"/>
  <c r="G5275" i="1"/>
  <c r="K5275" i="1"/>
  <c r="A5276" i="1"/>
  <c r="B5276" i="1"/>
  <c r="C5276" i="1"/>
  <c r="E5276" i="1"/>
  <c r="G5276" i="1"/>
  <c r="K5276" i="1"/>
  <c r="A5277" i="1"/>
  <c r="B5277" i="1"/>
  <c r="C5277" i="1"/>
  <c r="E5277" i="1"/>
  <c r="G5277" i="1"/>
  <c r="K5277" i="1"/>
  <c r="A5278" i="1"/>
  <c r="B5278" i="1"/>
  <c r="C5278" i="1"/>
  <c r="E5278" i="1"/>
  <c r="G5278" i="1"/>
  <c r="K5278" i="1"/>
  <c r="A5279" i="1"/>
  <c r="B5279" i="1"/>
  <c r="C5279" i="1"/>
  <c r="E5279" i="1"/>
  <c r="G5279" i="1"/>
  <c r="K5279" i="1"/>
  <c r="A5280" i="1"/>
  <c r="B5280" i="1"/>
  <c r="C5280" i="1"/>
  <c r="E5280" i="1"/>
  <c r="G5280" i="1"/>
  <c r="K5280" i="1"/>
  <c r="A5281" i="1"/>
  <c r="B5281" i="1"/>
  <c r="C5281" i="1"/>
  <c r="E5281" i="1"/>
  <c r="G5281" i="1"/>
  <c r="K5281" i="1"/>
  <c r="A5282" i="1"/>
  <c r="B5282" i="1"/>
  <c r="C5282" i="1"/>
  <c r="E5282" i="1"/>
  <c r="G5282" i="1"/>
  <c r="K5282" i="1"/>
  <c r="A5283" i="1"/>
  <c r="B5283" i="1"/>
  <c r="C5283" i="1"/>
  <c r="E5283" i="1"/>
  <c r="G5283" i="1"/>
  <c r="K5283" i="1"/>
  <c r="A5284" i="1"/>
  <c r="B5284" i="1"/>
  <c r="C5284" i="1"/>
  <c r="E5284" i="1"/>
  <c r="G5284" i="1"/>
  <c r="K5284" i="1"/>
  <c r="A5285" i="1"/>
  <c r="B5285" i="1"/>
  <c r="C5285" i="1"/>
  <c r="E5285" i="1"/>
  <c r="G5285" i="1"/>
  <c r="K5285" i="1"/>
  <c r="A5286" i="1"/>
  <c r="B5286" i="1"/>
  <c r="C5286" i="1"/>
  <c r="E5286" i="1"/>
  <c r="G5286" i="1"/>
  <c r="K5286" i="1"/>
  <c r="A5287" i="1"/>
  <c r="B5287" i="1"/>
  <c r="C5287" i="1"/>
  <c r="E5287" i="1"/>
  <c r="G5287" i="1"/>
  <c r="K5287" i="1"/>
  <c r="A5288" i="1"/>
  <c r="B5288" i="1"/>
  <c r="C5288" i="1"/>
  <c r="E5288" i="1"/>
  <c r="G5288" i="1"/>
  <c r="K5288" i="1"/>
  <c r="A5289" i="1"/>
  <c r="B5289" i="1"/>
  <c r="C5289" i="1"/>
  <c r="E5289" i="1"/>
  <c r="G5289" i="1"/>
  <c r="K5289" i="1"/>
  <c r="A5290" i="1"/>
  <c r="B5290" i="1"/>
  <c r="C5290" i="1"/>
  <c r="E5290" i="1"/>
  <c r="G5290" i="1"/>
  <c r="K5290" i="1"/>
  <c r="A5291" i="1"/>
  <c r="B5291" i="1"/>
  <c r="C5291" i="1"/>
  <c r="E5291" i="1"/>
  <c r="G5291" i="1"/>
  <c r="K5291" i="1"/>
  <c r="A5292" i="1"/>
  <c r="B5292" i="1"/>
  <c r="C5292" i="1"/>
  <c r="E5292" i="1"/>
  <c r="G5292" i="1"/>
  <c r="K5292" i="1"/>
  <c r="A5293" i="1"/>
  <c r="B5293" i="1"/>
  <c r="C5293" i="1"/>
  <c r="E5293" i="1"/>
  <c r="G5293" i="1"/>
  <c r="K5293" i="1"/>
  <c r="A5294" i="1"/>
  <c r="B5294" i="1"/>
  <c r="C5294" i="1"/>
  <c r="E5294" i="1"/>
  <c r="G5294" i="1"/>
  <c r="K5294" i="1"/>
  <c r="A5295" i="1"/>
  <c r="B5295" i="1"/>
  <c r="C5295" i="1"/>
  <c r="E5295" i="1"/>
  <c r="G5295" i="1"/>
  <c r="K5295" i="1"/>
  <c r="A5296" i="1"/>
  <c r="B5296" i="1"/>
  <c r="C5296" i="1"/>
  <c r="E5296" i="1"/>
  <c r="G5296" i="1"/>
  <c r="K5296" i="1"/>
  <c r="A5297" i="1"/>
  <c r="B5297" i="1"/>
  <c r="C5297" i="1"/>
  <c r="E5297" i="1"/>
  <c r="G5297" i="1"/>
  <c r="K5297" i="1"/>
  <c r="A5298" i="1"/>
  <c r="B5298" i="1"/>
  <c r="C5298" i="1"/>
  <c r="E5298" i="1"/>
  <c r="G5298" i="1"/>
  <c r="K5298" i="1"/>
  <c r="A5299" i="1"/>
  <c r="B5299" i="1"/>
  <c r="C5299" i="1"/>
  <c r="E5299" i="1"/>
  <c r="G5299" i="1"/>
  <c r="K5299" i="1"/>
  <c r="A5300" i="1"/>
  <c r="B5300" i="1"/>
  <c r="C5300" i="1"/>
  <c r="E5300" i="1"/>
  <c r="G5300" i="1"/>
  <c r="K5300" i="1"/>
  <c r="A5301" i="1"/>
  <c r="B5301" i="1"/>
  <c r="C5301" i="1"/>
  <c r="E5301" i="1"/>
  <c r="G5301" i="1"/>
  <c r="K5301" i="1"/>
  <c r="A5302" i="1"/>
  <c r="B5302" i="1"/>
  <c r="C5302" i="1"/>
  <c r="E5302" i="1"/>
  <c r="G5302" i="1"/>
  <c r="K5302" i="1"/>
  <c r="A5303" i="1"/>
  <c r="B5303" i="1"/>
  <c r="C5303" i="1"/>
  <c r="E5303" i="1"/>
  <c r="G5303" i="1"/>
  <c r="K5303" i="1"/>
  <c r="A5304" i="1"/>
  <c r="B5304" i="1"/>
  <c r="C5304" i="1"/>
  <c r="E5304" i="1"/>
  <c r="G5304" i="1"/>
  <c r="K5304" i="1"/>
  <c r="A5305" i="1"/>
  <c r="B5305" i="1"/>
  <c r="C5305" i="1"/>
  <c r="E5305" i="1"/>
  <c r="G5305" i="1"/>
  <c r="K5305" i="1"/>
  <c r="A5306" i="1"/>
  <c r="B5306" i="1"/>
  <c r="C5306" i="1"/>
  <c r="E5306" i="1"/>
  <c r="G5306" i="1"/>
  <c r="K5306" i="1"/>
  <c r="A5307" i="1"/>
  <c r="B5307" i="1"/>
  <c r="C5307" i="1"/>
  <c r="E5307" i="1"/>
  <c r="G5307" i="1"/>
  <c r="K5307" i="1"/>
  <c r="A5308" i="1"/>
  <c r="B5308" i="1"/>
  <c r="C5308" i="1"/>
  <c r="E5308" i="1"/>
  <c r="G5308" i="1"/>
  <c r="K5308" i="1"/>
  <c r="A5309" i="1"/>
  <c r="B5309" i="1"/>
  <c r="C5309" i="1"/>
  <c r="E5309" i="1"/>
  <c r="G5309" i="1"/>
  <c r="K5309" i="1"/>
  <c r="A5310" i="1"/>
  <c r="B5310" i="1"/>
  <c r="C5310" i="1"/>
  <c r="E5310" i="1"/>
  <c r="G5310" i="1"/>
  <c r="K5310" i="1"/>
  <c r="A5311" i="1"/>
  <c r="B5311" i="1"/>
  <c r="C5311" i="1"/>
  <c r="E5311" i="1"/>
  <c r="G5311" i="1"/>
  <c r="K5311" i="1"/>
  <c r="A5312" i="1"/>
  <c r="B5312" i="1"/>
  <c r="C5312" i="1"/>
  <c r="E5312" i="1"/>
  <c r="G5312" i="1"/>
  <c r="K5312" i="1"/>
  <c r="A5313" i="1"/>
  <c r="B5313" i="1"/>
  <c r="C5313" i="1"/>
  <c r="E5313" i="1"/>
  <c r="G5313" i="1"/>
  <c r="K5313" i="1"/>
  <c r="A5314" i="1"/>
  <c r="B5314" i="1"/>
  <c r="C5314" i="1"/>
  <c r="E5314" i="1"/>
  <c r="G5314" i="1"/>
  <c r="K5314" i="1"/>
  <c r="A5315" i="1"/>
  <c r="B5315" i="1"/>
  <c r="C5315" i="1"/>
  <c r="E5315" i="1"/>
  <c r="G5315" i="1"/>
  <c r="K5315" i="1"/>
  <c r="A5316" i="1"/>
  <c r="B5316" i="1"/>
  <c r="C5316" i="1"/>
  <c r="E5316" i="1"/>
  <c r="G5316" i="1"/>
  <c r="K5316" i="1"/>
  <c r="A5317" i="1"/>
  <c r="B5317" i="1"/>
  <c r="C5317" i="1"/>
  <c r="E5317" i="1"/>
  <c r="G5317" i="1"/>
  <c r="K5317" i="1"/>
  <c r="A5318" i="1"/>
  <c r="B5318" i="1"/>
  <c r="C5318" i="1"/>
  <c r="E5318" i="1"/>
  <c r="G5318" i="1"/>
  <c r="K5318" i="1"/>
  <c r="A5319" i="1"/>
  <c r="B5319" i="1"/>
  <c r="C5319" i="1"/>
  <c r="E5319" i="1"/>
  <c r="G5319" i="1"/>
  <c r="K5319" i="1"/>
  <c r="A5320" i="1"/>
  <c r="B5320" i="1"/>
  <c r="C5320" i="1"/>
  <c r="E5320" i="1"/>
  <c r="G5320" i="1"/>
  <c r="K5320" i="1"/>
  <c r="A5321" i="1"/>
  <c r="B5321" i="1"/>
  <c r="C5321" i="1"/>
  <c r="E5321" i="1"/>
  <c r="G5321" i="1"/>
  <c r="K5321" i="1"/>
  <c r="A5322" i="1"/>
  <c r="B5322" i="1"/>
  <c r="C5322" i="1"/>
  <c r="E5322" i="1"/>
  <c r="G5322" i="1"/>
  <c r="K5322" i="1"/>
  <c r="A5323" i="1"/>
  <c r="B5323" i="1"/>
  <c r="C5323" i="1"/>
  <c r="E5323" i="1"/>
  <c r="G5323" i="1"/>
  <c r="K5323" i="1"/>
  <c r="A5324" i="1"/>
  <c r="B5324" i="1"/>
  <c r="C5324" i="1"/>
  <c r="E5324" i="1"/>
  <c r="G5324" i="1"/>
  <c r="K5324" i="1"/>
  <c r="A5325" i="1"/>
  <c r="B5325" i="1"/>
  <c r="C5325" i="1"/>
  <c r="E5325" i="1"/>
  <c r="G5325" i="1"/>
  <c r="K5325" i="1"/>
  <c r="A5326" i="1"/>
  <c r="B5326" i="1"/>
  <c r="C5326" i="1"/>
  <c r="E5326" i="1"/>
  <c r="G5326" i="1"/>
  <c r="K5326" i="1"/>
  <c r="A5327" i="1"/>
  <c r="B5327" i="1"/>
  <c r="C5327" i="1"/>
  <c r="E5327" i="1"/>
  <c r="G5327" i="1"/>
  <c r="K5327" i="1"/>
  <c r="A5328" i="1"/>
  <c r="B5328" i="1"/>
  <c r="C5328" i="1"/>
  <c r="E5328" i="1"/>
  <c r="G5328" i="1"/>
  <c r="K5328" i="1"/>
  <c r="A5329" i="1"/>
  <c r="B5329" i="1"/>
  <c r="C5329" i="1"/>
  <c r="E5329" i="1"/>
  <c r="G5329" i="1"/>
  <c r="K5329" i="1"/>
  <c r="A5330" i="1"/>
  <c r="B5330" i="1"/>
  <c r="C5330" i="1"/>
  <c r="E5330" i="1"/>
  <c r="G5330" i="1"/>
  <c r="K5330" i="1"/>
  <c r="A5331" i="1"/>
  <c r="B5331" i="1"/>
  <c r="C5331" i="1"/>
  <c r="E5331" i="1"/>
  <c r="G5331" i="1"/>
  <c r="K5331" i="1"/>
  <c r="A5332" i="1"/>
  <c r="B5332" i="1"/>
  <c r="C5332" i="1"/>
  <c r="E5332" i="1"/>
  <c r="G5332" i="1"/>
  <c r="K5332" i="1"/>
  <c r="A5333" i="1"/>
  <c r="B5333" i="1"/>
  <c r="C5333" i="1"/>
  <c r="E5333" i="1"/>
  <c r="G5333" i="1"/>
  <c r="K5333" i="1"/>
  <c r="A5334" i="1"/>
  <c r="B5334" i="1"/>
  <c r="C5334" i="1"/>
  <c r="E5334" i="1"/>
  <c r="G5334" i="1"/>
  <c r="K5334" i="1"/>
  <c r="A5335" i="1"/>
  <c r="B5335" i="1"/>
  <c r="C5335" i="1"/>
  <c r="E5335" i="1"/>
  <c r="G5335" i="1"/>
  <c r="K5335" i="1"/>
  <c r="A5336" i="1"/>
  <c r="B5336" i="1"/>
  <c r="C5336" i="1"/>
  <c r="E5336" i="1"/>
  <c r="G5336" i="1"/>
  <c r="K5336" i="1"/>
  <c r="A5337" i="1"/>
  <c r="B5337" i="1"/>
  <c r="C5337" i="1"/>
  <c r="E5337" i="1"/>
  <c r="G5337" i="1"/>
  <c r="K5337" i="1"/>
  <c r="A5338" i="1"/>
  <c r="B5338" i="1"/>
  <c r="C5338" i="1"/>
  <c r="E5338" i="1"/>
  <c r="G5338" i="1"/>
  <c r="K5338" i="1"/>
  <c r="A5339" i="1"/>
  <c r="B5339" i="1"/>
  <c r="C5339" i="1"/>
  <c r="E5339" i="1"/>
  <c r="G5339" i="1"/>
  <c r="K5339" i="1"/>
  <c r="A5340" i="1"/>
  <c r="B5340" i="1"/>
  <c r="C5340" i="1"/>
  <c r="E5340" i="1"/>
  <c r="G5340" i="1"/>
  <c r="K5340" i="1"/>
  <c r="A5341" i="1"/>
  <c r="B5341" i="1"/>
  <c r="C5341" i="1"/>
  <c r="E5341" i="1"/>
  <c r="G5341" i="1"/>
  <c r="K5341" i="1"/>
  <c r="A5342" i="1"/>
  <c r="B5342" i="1"/>
  <c r="C5342" i="1"/>
  <c r="E5342" i="1"/>
  <c r="G5342" i="1"/>
  <c r="K5342" i="1"/>
  <c r="A5343" i="1"/>
  <c r="B5343" i="1"/>
  <c r="C5343" i="1"/>
  <c r="E5343" i="1"/>
  <c r="G5343" i="1"/>
  <c r="K5343" i="1"/>
  <c r="A5344" i="1"/>
  <c r="B5344" i="1"/>
  <c r="C5344" i="1"/>
  <c r="E5344" i="1"/>
  <c r="G5344" i="1"/>
  <c r="K5344" i="1"/>
  <c r="A5345" i="1"/>
  <c r="B5345" i="1"/>
  <c r="C5345" i="1"/>
  <c r="E5345" i="1"/>
  <c r="G5345" i="1"/>
  <c r="K5345" i="1"/>
  <c r="A5346" i="1"/>
  <c r="B5346" i="1"/>
  <c r="C5346" i="1"/>
  <c r="E5346" i="1"/>
  <c r="G5346" i="1"/>
  <c r="K5346" i="1"/>
  <c r="A5347" i="1"/>
  <c r="B5347" i="1"/>
  <c r="C5347" i="1"/>
  <c r="E5347" i="1"/>
  <c r="G5347" i="1"/>
  <c r="K5347" i="1"/>
  <c r="A5348" i="1"/>
  <c r="B5348" i="1"/>
  <c r="C5348" i="1"/>
  <c r="E5348" i="1"/>
  <c r="G5348" i="1"/>
  <c r="K5348" i="1"/>
  <c r="A5349" i="1"/>
  <c r="B5349" i="1"/>
  <c r="C5349" i="1"/>
  <c r="E5349" i="1"/>
  <c r="G5349" i="1"/>
  <c r="K5349" i="1"/>
  <c r="A5350" i="1"/>
  <c r="B5350" i="1"/>
  <c r="C5350" i="1"/>
  <c r="E5350" i="1"/>
  <c r="G5350" i="1"/>
  <c r="K5350" i="1"/>
  <c r="A5351" i="1"/>
  <c r="B5351" i="1"/>
  <c r="C5351" i="1"/>
  <c r="E5351" i="1"/>
  <c r="G5351" i="1"/>
  <c r="K5351" i="1"/>
  <c r="A5352" i="1"/>
  <c r="B5352" i="1"/>
  <c r="C5352" i="1"/>
  <c r="E5352" i="1"/>
  <c r="G5352" i="1"/>
  <c r="K5352" i="1"/>
  <c r="A5353" i="1"/>
  <c r="B5353" i="1"/>
  <c r="C5353" i="1"/>
  <c r="E5353" i="1"/>
  <c r="G5353" i="1"/>
  <c r="K5353" i="1"/>
  <c r="A5354" i="1"/>
  <c r="B5354" i="1"/>
  <c r="C5354" i="1"/>
  <c r="E5354" i="1"/>
  <c r="G5354" i="1"/>
  <c r="K5354" i="1"/>
  <c r="A5355" i="1"/>
  <c r="B5355" i="1"/>
  <c r="C5355" i="1"/>
  <c r="E5355" i="1"/>
  <c r="G5355" i="1"/>
  <c r="K5355" i="1"/>
  <c r="A5356" i="1"/>
  <c r="B5356" i="1"/>
  <c r="C5356" i="1"/>
  <c r="E5356" i="1"/>
  <c r="G5356" i="1"/>
  <c r="K5356" i="1"/>
  <c r="A5357" i="1"/>
  <c r="B5357" i="1"/>
  <c r="C5357" i="1"/>
  <c r="E5357" i="1"/>
  <c r="G5357" i="1"/>
  <c r="K5357" i="1"/>
  <c r="A5358" i="1"/>
  <c r="B5358" i="1"/>
  <c r="C5358" i="1"/>
  <c r="E5358" i="1"/>
  <c r="G5358" i="1"/>
  <c r="K5358" i="1"/>
  <c r="A5359" i="1"/>
  <c r="B5359" i="1"/>
  <c r="C5359" i="1"/>
  <c r="E5359" i="1"/>
  <c r="G5359" i="1"/>
  <c r="K5359" i="1"/>
  <c r="A5360" i="1"/>
  <c r="B5360" i="1"/>
  <c r="C5360" i="1"/>
  <c r="E5360" i="1"/>
  <c r="G5360" i="1"/>
  <c r="K5360" i="1"/>
  <c r="A5361" i="1"/>
  <c r="B5361" i="1"/>
  <c r="C5361" i="1"/>
  <c r="E5361" i="1"/>
  <c r="G5361" i="1"/>
  <c r="K5361" i="1"/>
  <c r="A5362" i="1"/>
  <c r="B5362" i="1"/>
  <c r="C5362" i="1"/>
  <c r="E5362" i="1"/>
  <c r="G5362" i="1"/>
  <c r="K5362" i="1"/>
  <c r="A5363" i="1"/>
  <c r="B5363" i="1"/>
  <c r="C5363" i="1"/>
  <c r="E5363" i="1"/>
  <c r="G5363" i="1"/>
  <c r="K5363" i="1"/>
  <c r="A5364" i="1"/>
  <c r="B5364" i="1"/>
  <c r="C5364" i="1"/>
  <c r="E5364" i="1"/>
  <c r="G5364" i="1"/>
  <c r="K5364" i="1"/>
  <c r="A5365" i="1"/>
  <c r="B5365" i="1"/>
  <c r="C5365" i="1"/>
  <c r="E5365" i="1"/>
  <c r="G5365" i="1"/>
  <c r="K5365" i="1"/>
  <c r="A5366" i="1"/>
  <c r="B5366" i="1"/>
  <c r="C5366" i="1"/>
  <c r="E5366" i="1"/>
  <c r="G5366" i="1"/>
  <c r="K5366" i="1"/>
  <c r="A5367" i="1"/>
  <c r="B5367" i="1"/>
  <c r="C5367" i="1"/>
  <c r="E5367" i="1"/>
  <c r="G5367" i="1"/>
  <c r="K5367" i="1"/>
  <c r="A5368" i="1"/>
  <c r="B5368" i="1"/>
  <c r="C5368" i="1"/>
  <c r="E5368" i="1"/>
  <c r="G5368" i="1"/>
  <c r="K5368" i="1"/>
  <c r="A5369" i="1"/>
  <c r="B5369" i="1"/>
  <c r="C5369" i="1"/>
  <c r="E5369" i="1"/>
  <c r="G5369" i="1"/>
  <c r="K5369" i="1"/>
  <c r="A5370" i="1"/>
  <c r="B5370" i="1"/>
  <c r="C5370" i="1"/>
  <c r="E5370" i="1"/>
  <c r="G5370" i="1"/>
  <c r="K5370" i="1"/>
  <c r="A5371" i="1"/>
  <c r="B5371" i="1"/>
  <c r="C5371" i="1"/>
  <c r="E5371" i="1"/>
  <c r="G5371" i="1"/>
  <c r="K5371" i="1"/>
  <c r="A5372" i="1"/>
  <c r="B5372" i="1"/>
  <c r="C5372" i="1"/>
  <c r="E5372" i="1"/>
  <c r="G5372" i="1"/>
  <c r="K5372" i="1"/>
  <c r="A5373" i="1"/>
  <c r="B5373" i="1"/>
  <c r="C5373" i="1"/>
  <c r="E5373" i="1"/>
  <c r="G5373" i="1"/>
  <c r="K5373" i="1"/>
  <c r="A5374" i="1"/>
  <c r="B5374" i="1"/>
  <c r="C5374" i="1"/>
  <c r="E5374" i="1"/>
  <c r="G5374" i="1"/>
  <c r="K5374" i="1"/>
  <c r="A5375" i="1"/>
  <c r="B5375" i="1"/>
  <c r="C5375" i="1"/>
  <c r="E5375" i="1"/>
  <c r="G5375" i="1"/>
  <c r="K5375" i="1"/>
  <c r="A5376" i="1"/>
  <c r="B5376" i="1"/>
  <c r="C5376" i="1"/>
  <c r="E5376" i="1"/>
  <c r="G5376" i="1"/>
  <c r="K5376" i="1"/>
  <c r="A5377" i="1"/>
  <c r="B5377" i="1"/>
  <c r="C5377" i="1"/>
  <c r="E5377" i="1"/>
  <c r="G5377" i="1"/>
  <c r="K5377" i="1"/>
  <c r="A5378" i="1"/>
  <c r="B5378" i="1"/>
  <c r="C5378" i="1"/>
  <c r="E5378" i="1"/>
  <c r="G5378" i="1"/>
  <c r="K5378" i="1"/>
  <c r="A5379" i="1"/>
  <c r="B5379" i="1"/>
  <c r="C5379" i="1"/>
  <c r="E5379" i="1"/>
  <c r="G5379" i="1"/>
  <c r="K5379" i="1"/>
  <c r="A5380" i="1"/>
  <c r="B5380" i="1"/>
  <c r="C5380" i="1"/>
  <c r="E5380" i="1"/>
  <c r="G5380" i="1"/>
  <c r="K5380" i="1"/>
  <c r="A5381" i="1"/>
  <c r="B5381" i="1"/>
  <c r="C5381" i="1"/>
  <c r="E5381" i="1"/>
  <c r="G5381" i="1"/>
  <c r="K5381" i="1"/>
  <c r="A5382" i="1"/>
  <c r="B5382" i="1"/>
  <c r="C5382" i="1"/>
  <c r="E5382" i="1"/>
  <c r="G5382" i="1"/>
  <c r="K5382" i="1"/>
  <c r="A5383" i="1"/>
  <c r="B5383" i="1"/>
  <c r="C5383" i="1"/>
  <c r="E5383" i="1"/>
  <c r="G5383" i="1"/>
  <c r="K5383" i="1"/>
  <c r="A5384" i="1"/>
  <c r="B5384" i="1"/>
  <c r="C5384" i="1"/>
  <c r="E5384" i="1"/>
  <c r="G5384" i="1"/>
  <c r="K5384" i="1"/>
  <c r="A5385" i="1"/>
  <c r="B5385" i="1"/>
  <c r="C5385" i="1"/>
  <c r="E5385" i="1"/>
  <c r="G5385" i="1"/>
  <c r="K5385" i="1"/>
  <c r="A5386" i="1"/>
  <c r="B5386" i="1"/>
  <c r="C5386" i="1"/>
  <c r="E5386" i="1"/>
  <c r="G5386" i="1"/>
  <c r="K5386" i="1"/>
  <c r="A5387" i="1"/>
  <c r="B5387" i="1"/>
  <c r="C5387" i="1"/>
  <c r="E5387" i="1"/>
  <c r="G5387" i="1"/>
  <c r="K5387" i="1"/>
  <c r="A5388" i="1"/>
  <c r="B5388" i="1"/>
  <c r="C5388" i="1"/>
  <c r="E5388" i="1"/>
  <c r="G5388" i="1"/>
  <c r="K5388" i="1"/>
  <c r="A5389" i="1"/>
  <c r="B5389" i="1"/>
  <c r="C5389" i="1"/>
  <c r="E5389" i="1"/>
  <c r="G5389" i="1"/>
  <c r="K5389" i="1"/>
  <c r="A5390" i="1"/>
  <c r="B5390" i="1"/>
  <c r="C5390" i="1"/>
  <c r="E5390" i="1"/>
  <c r="G5390" i="1"/>
  <c r="K5390" i="1"/>
  <c r="A5391" i="1"/>
  <c r="B5391" i="1"/>
  <c r="C5391" i="1"/>
  <c r="E5391" i="1"/>
  <c r="G5391" i="1"/>
  <c r="K5391" i="1"/>
  <c r="A5392" i="1"/>
  <c r="B5392" i="1"/>
  <c r="C5392" i="1"/>
  <c r="E5392" i="1"/>
  <c r="G5392" i="1"/>
  <c r="K5392" i="1"/>
  <c r="A5393" i="1"/>
  <c r="B5393" i="1"/>
  <c r="C5393" i="1"/>
  <c r="E5393" i="1"/>
  <c r="G5393" i="1"/>
  <c r="K5393" i="1"/>
  <c r="A5394" i="1"/>
  <c r="B5394" i="1"/>
  <c r="C5394" i="1"/>
  <c r="E5394" i="1"/>
  <c r="G5394" i="1"/>
  <c r="K5394" i="1"/>
  <c r="A5395" i="1"/>
  <c r="B5395" i="1"/>
  <c r="C5395" i="1"/>
  <c r="E5395" i="1"/>
  <c r="G5395" i="1"/>
  <c r="K5395" i="1"/>
  <c r="A5396" i="1"/>
  <c r="B5396" i="1"/>
  <c r="C5396" i="1"/>
  <c r="E5396" i="1"/>
  <c r="G5396" i="1"/>
  <c r="K5396" i="1"/>
  <c r="A5397" i="1"/>
  <c r="B5397" i="1"/>
  <c r="C5397" i="1"/>
  <c r="E5397" i="1"/>
  <c r="G5397" i="1"/>
  <c r="K5397" i="1"/>
  <c r="A5398" i="1"/>
  <c r="B5398" i="1"/>
  <c r="C5398" i="1"/>
  <c r="E5398" i="1"/>
  <c r="G5398" i="1"/>
  <c r="K5398" i="1"/>
  <c r="A5399" i="1"/>
  <c r="B5399" i="1"/>
  <c r="C5399" i="1"/>
  <c r="E5399" i="1"/>
  <c r="G5399" i="1"/>
  <c r="K5399" i="1"/>
  <c r="A5400" i="1"/>
  <c r="B5400" i="1"/>
  <c r="C5400" i="1"/>
  <c r="E5400" i="1"/>
  <c r="G5400" i="1"/>
  <c r="K5400" i="1"/>
  <c r="A5401" i="1"/>
  <c r="B5401" i="1"/>
  <c r="C5401" i="1"/>
  <c r="E5401" i="1"/>
  <c r="G5401" i="1"/>
  <c r="K5401" i="1"/>
  <c r="A5402" i="1"/>
  <c r="B5402" i="1"/>
  <c r="C5402" i="1"/>
  <c r="E5402" i="1"/>
  <c r="G5402" i="1"/>
  <c r="K5402" i="1"/>
  <c r="A5403" i="1"/>
  <c r="B5403" i="1"/>
  <c r="C5403" i="1"/>
  <c r="E5403" i="1"/>
  <c r="G5403" i="1"/>
  <c r="K5403" i="1"/>
  <c r="A5404" i="1"/>
  <c r="B5404" i="1"/>
  <c r="C5404" i="1"/>
  <c r="E5404" i="1"/>
  <c r="G5404" i="1"/>
  <c r="K5404" i="1"/>
  <c r="A5405" i="1"/>
  <c r="B5405" i="1"/>
  <c r="C5405" i="1"/>
  <c r="E5405" i="1"/>
  <c r="G5405" i="1"/>
  <c r="K5405" i="1"/>
  <c r="A5406" i="1"/>
  <c r="B5406" i="1"/>
  <c r="C5406" i="1"/>
  <c r="E5406" i="1"/>
  <c r="G5406" i="1"/>
  <c r="K5406" i="1"/>
  <c r="A5407" i="1"/>
  <c r="B5407" i="1"/>
  <c r="C5407" i="1"/>
  <c r="E5407" i="1"/>
  <c r="G5407" i="1"/>
  <c r="K5407" i="1"/>
  <c r="A5408" i="1"/>
  <c r="B5408" i="1"/>
  <c r="C5408" i="1"/>
  <c r="E5408" i="1"/>
  <c r="G5408" i="1"/>
  <c r="K5408" i="1"/>
  <c r="A5409" i="1"/>
  <c r="B5409" i="1"/>
  <c r="C5409" i="1"/>
  <c r="E5409" i="1"/>
  <c r="G5409" i="1"/>
  <c r="K5409" i="1"/>
  <c r="A5410" i="1"/>
  <c r="B5410" i="1"/>
  <c r="C5410" i="1"/>
  <c r="E5410" i="1"/>
  <c r="G5410" i="1"/>
  <c r="K5410" i="1"/>
  <c r="A5411" i="1"/>
  <c r="B5411" i="1"/>
  <c r="C5411" i="1"/>
  <c r="E5411" i="1"/>
  <c r="G5411" i="1"/>
  <c r="K5411" i="1"/>
  <c r="A5412" i="1"/>
  <c r="B5412" i="1"/>
  <c r="C5412" i="1"/>
  <c r="E5412" i="1"/>
  <c r="G5412" i="1"/>
  <c r="K5412" i="1"/>
  <c r="A5413" i="1"/>
  <c r="B5413" i="1"/>
  <c r="C5413" i="1"/>
  <c r="E5413" i="1"/>
  <c r="G5413" i="1"/>
  <c r="K5413" i="1"/>
  <c r="A5414" i="1"/>
  <c r="B5414" i="1"/>
  <c r="C5414" i="1"/>
  <c r="E5414" i="1"/>
  <c r="G5414" i="1"/>
  <c r="K5414" i="1"/>
  <c r="A5415" i="1"/>
  <c r="B5415" i="1"/>
  <c r="C5415" i="1"/>
  <c r="E5415" i="1"/>
  <c r="G5415" i="1"/>
  <c r="K5415" i="1"/>
  <c r="A5416" i="1"/>
  <c r="B5416" i="1"/>
  <c r="C5416" i="1"/>
  <c r="E5416" i="1"/>
  <c r="G5416" i="1"/>
  <c r="K5416" i="1"/>
  <c r="A5417" i="1"/>
  <c r="B5417" i="1"/>
  <c r="C5417" i="1"/>
  <c r="E5417" i="1"/>
  <c r="G5417" i="1"/>
  <c r="K5417" i="1"/>
  <c r="A5418" i="1"/>
  <c r="B5418" i="1"/>
  <c r="C5418" i="1"/>
  <c r="E5418" i="1"/>
  <c r="G5418" i="1"/>
  <c r="K5418" i="1"/>
  <c r="A5419" i="1"/>
  <c r="B5419" i="1"/>
  <c r="C5419" i="1"/>
  <c r="E5419" i="1"/>
  <c r="G5419" i="1"/>
  <c r="K5419" i="1"/>
  <c r="A5420" i="1"/>
  <c r="B5420" i="1"/>
  <c r="C5420" i="1"/>
  <c r="E5420" i="1"/>
  <c r="G5420" i="1"/>
  <c r="K5420" i="1"/>
  <c r="A5421" i="1"/>
  <c r="B5421" i="1"/>
  <c r="C5421" i="1"/>
  <c r="E5421" i="1"/>
  <c r="G5421" i="1"/>
  <c r="K5421" i="1"/>
  <c r="A5422" i="1"/>
  <c r="B5422" i="1"/>
  <c r="C5422" i="1"/>
  <c r="E5422" i="1"/>
  <c r="G5422" i="1"/>
  <c r="K5422" i="1"/>
  <c r="A5423" i="1"/>
  <c r="B5423" i="1"/>
  <c r="C5423" i="1"/>
  <c r="E5423" i="1"/>
  <c r="G5423" i="1"/>
  <c r="K5423" i="1"/>
  <c r="A5424" i="1"/>
  <c r="B5424" i="1"/>
  <c r="C5424" i="1"/>
  <c r="E5424" i="1"/>
  <c r="G5424" i="1"/>
  <c r="K5424" i="1"/>
  <c r="A5425" i="1"/>
  <c r="B5425" i="1"/>
  <c r="C5425" i="1"/>
  <c r="E5425" i="1"/>
  <c r="G5425" i="1"/>
  <c r="K5425" i="1"/>
  <c r="A5426" i="1"/>
  <c r="B5426" i="1"/>
  <c r="C5426" i="1"/>
  <c r="E5426" i="1"/>
  <c r="G5426" i="1"/>
  <c r="K5426" i="1"/>
  <c r="A5427" i="1"/>
  <c r="B5427" i="1"/>
  <c r="C5427" i="1"/>
  <c r="E5427" i="1"/>
  <c r="G5427" i="1"/>
  <c r="K5427" i="1"/>
  <c r="A5428" i="1"/>
  <c r="B5428" i="1"/>
  <c r="C5428" i="1"/>
  <c r="E5428" i="1"/>
  <c r="G5428" i="1"/>
  <c r="K5428" i="1"/>
  <c r="A5429" i="1"/>
  <c r="B5429" i="1"/>
  <c r="C5429" i="1"/>
  <c r="E5429" i="1"/>
  <c r="G5429" i="1"/>
  <c r="K5429" i="1"/>
  <c r="A5430" i="1"/>
  <c r="B5430" i="1"/>
  <c r="C5430" i="1"/>
  <c r="E5430" i="1"/>
  <c r="G5430" i="1"/>
  <c r="K5430" i="1"/>
  <c r="A5431" i="1"/>
  <c r="B5431" i="1"/>
  <c r="C5431" i="1"/>
  <c r="E5431" i="1"/>
  <c r="G5431" i="1"/>
  <c r="K5431" i="1"/>
  <c r="A5432" i="1"/>
  <c r="B5432" i="1"/>
  <c r="C5432" i="1"/>
  <c r="E5432" i="1"/>
  <c r="G5432" i="1"/>
  <c r="K5432" i="1"/>
  <c r="A5433" i="1"/>
  <c r="B5433" i="1"/>
  <c r="C5433" i="1"/>
  <c r="E5433" i="1"/>
  <c r="G5433" i="1"/>
  <c r="K5433" i="1"/>
  <c r="A5434" i="1"/>
  <c r="B5434" i="1"/>
  <c r="C5434" i="1"/>
  <c r="E5434" i="1"/>
  <c r="G5434" i="1"/>
  <c r="K5434" i="1"/>
  <c r="A5435" i="1"/>
  <c r="B5435" i="1"/>
  <c r="C5435" i="1"/>
  <c r="E5435" i="1"/>
  <c r="G5435" i="1"/>
  <c r="K5435" i="1"/>
  <c r="A5436" i="1"/>
  <c r="B5436" i="1"/>
  <c r="C5436" i="1"/>
  <c r="E5436" i="1"/>
  <c r="G5436" i="1"/>
  <c r="K5436" i="1"/>
  <c r="A5437" i="1"/>
  <c r="B5437" i="1"/>
  <c r="C5437" i="1"/>
  <c r="E5437" i="1"/>
  <c r="G5437" i="1"/>
  <c r="K5437" i="1"/>
  <c r="A5438" i="1"/>
  <c r="B5438" i="1"/>
  <c r="C5438" i="1"/>
  <c r="E5438" i="1"/>
  <c r="G5438" i="1"/>
  <c r="K5438" i="1"/>
  <c r="A5439" i="1"/>
  <c r="B5439" i="1"/>
  <c r="C5439" i="1"/>
  <c r="E5439" i="1"/>
  <c r="G5439" i="1"/>
  <c r="K5439" i="1"/>
  <c r="A5440" i="1"/>
  <c r="B5440" i="1"/>
  <c r="C5440" i="1"/>
  <c r="E5440" i="1"/>
  <c r="G5440" i="1"/>
  <c r="K5440" i="1"/>
  <c r="A5441" i="1"/>
  <c r="B5441" i="1"/>
  <c r="C5441" i="1"/>
  <c r="E5441" i="1"/>
  <c r="G5441" i="1"/>
  <c r="K5441" i="1"/>
  <c r="A5442" i="1"/>
  <c r="B5442" i="1"/>
  <c r="C5442" i="1"/>
  <c r="E5442" i="1"/>
  <c r="G5442" i="1"/>
  <c r="K5442" i="1"/>
  <c r="A5443" i="1"/>
  <c r="B5443" i="1"/>
  <c r="C5443" i="1"/>
  <c r="E5443" i="1"/>
  <c r="G5443" i="1"/>
  <c r="K5443" i="1"/>
  <c r="A5444" i="1"/>
  <c r="B5444" i="1"/>
  <c r="C5444" i="1"/>
  <c r="E5444" i="1"/>
  <c r="G5444" i="1"/>
  <c r="K5444" i="1"/>
  <c r="A5445" i="1"/>
  <c r="B5445" i="1"/>
  <c r="C5445" i="1"/>
  <c r="E5445" i="1"/>
  <c r="G5445" i="1"/>
  <c r="K5445" i="1"/>
  <c r="A5446" i="1"/>
  <c r="B5446" i="1"/>
  <c r="C5446" i="1"/>
  <c r="E5446" i="1"/>
  <c r="G5446" i="1"/>
  <c r="K5446" i="1"/>
  <c r="A5447" i="1"/>
  <c r="B5447" i="1"/>
  <c r="C5447" i="1"/>
  <c r="E5447" i="1"/>
  <c r="G5447" i="1"/>
  <c r="K5447" i="1"/>
  <c r="A5448" i="1"/>
  <c r="B5448" i="1"/>
  <c r="C5448" i="1"/>
  <c r="E5448" i="1"/>
  <c r="G5448" i="1"/>
  <c r="K5448" i="1"/>
  <c r="A5449" i="1"/>
  <c r="B5449" i="1"/>
  <c r="C5449" i="1"/>
  <c r="E5449" i="1"/>
  <c r="G5449" i="1"/>
  <c r="K5449" i="1"/>
  <c r="A5450" i="1"/>
  <c r="B5450" i="1"/>
  <c r="C5450" i="1"/>
  <c r="E5450" i="1"/>
  <c r="G5450" i="1"/>
  <c r="K5450" i="1"/>
  <c r="A5451" i="1"/>
  <c r="B5451" i="1"/>
  <c r="C5451" i="1"/>
  <c r="E5451" i="1"/>
  <c r="G5451" i="1"/>
  <c r="K5451" i="1"/>
  <c r="A5452" i="1"/>
  <c r="B5452" i="1"/>
  <c r="C5452" i="1"/>
  <c r="E5452" i="1"/>
  <c r="G5452" i="1"/>
  <c r="K5452" i="1"/>
  <c r="A5453" i="1"/>
  <c r="B5453" i="1"/>
  <c r="C5453" i="1"/>
  <c r="E5453" i="1"/>
  <c r="G5453" i="1"/>
  <c r="K5453" i="1"/>
  <c r="A5454" i="1"/>
  <c r="B5454" i="1"/>
  <c r="C5454" i="1"/>
  <c r="E5454" i="1"/>
  <c r="G5454" i="1"/>
  <c r="K5454" i="1"/>
  <c r="A5455" i="1"/>
  <c r="B5455" i="1"/>
  <c r="C5455" i="1"/>
  <c r="E5455" i="1"/>
  <c r="G5455" i="1"/>
  <c r="K5455" i="1"/>
  <c r="A5456" i="1"/>
  <c r="B5456" i="1"/>
  <c r="C5456" i="1"/>
  <c r="E5456" i="1"/>
  <c r="G5456" i="1"/>
  <c r="K5456" i="1"/>
  <c r="A5457" i="1"/>
  <c r="B5457" i="1"/>
  <c r="C5457" i="1"/>
  <c r="E5457" i="1"/>
  <c r="G5457" i="1"/>
  <c r="K5457" i="1"/>
  <c r="A5458" i="1"/>
  <c r="B5458" i="1"/>
  <c r="C5458" i="1"/>
  <c r="E5458" i="1"/>
  <c r="G5458" i="1"/>
  <c r="K5458" i="1"/>
  <c r="A5459" i="1"/>
  <c r="B5459" i="1"/>
  <c r="C5459" i="1"/>
  <c r="E5459" i="1"/>
  <c r="G5459" i="1"/>
  <c r="K5459" i="1"/>
  <c r="A5460" i="1"/>
  <c r="B5460" i="1"/>
  <c r="C5460" i="1"/>
  <c r="E5460" i="1"/>
  <c r="G5460" i="1"/>
  <c r="K5460" i="1"/>
  <c r="A5461" i="1"/>
  <c r="B5461" i="1"/>
  <c r="C5461" i="1"/>
  <c r="E5461" i="1"/>
  <c r="G5461" i="1"/>
  <c r="K5461" i="1"/>
  <c r="A5462" i="1"/>
  <c r="B5462" i="1"/>
  <c r="C5462" i="1"/>
  <c r="E5462" i="1"/>
  <c r="G5462" i="1"/>
  <c r="K5462" i="1"/>
  <c r="A5463" i="1"/>
  <c r="B5463" i="1"/>
  <c r="C5463" i="1"/>
  <c r="E5463" i="1"/>
  <c r="G5463" i="1"/>
  <c r="K5463" i="1"/>
  <c r="A5464" i="1"/>
  <c r="B5464" i="1"/>
  <c r="C5464" i="1"/>
  <c r="E5464" i="1"/>
  <c r="G5464" i="1"/>
  <c r="K5464" i="1"/>
  <c r="A5465" i="1"/>
  <c r="B5465" i="1"/>
  <c r="C5465" i="1"/>
  <c r="E5465" i="1"/>
  <c r="G5465" i="1"/>
  <c r="K5465" i="1"/>
  <c r="A5466" i="1"/>
  <c r="B5466" i="1"/>
  <c r="C5466" i="1"/>
  <c r="E5466" i="1"/>
  <c r="G5466" i="1"/>
  <c r="K5466" i="1"/>
  <c r="A5467" i="1"/>
  <c r="B5467" i="1"/>
  <c r="C5467" i="1"/>
  <c r="E5467" i="1"/>
  <c r="G5467" i="1"/>
  <c r="K5467" i="1"/>
  <c r="A5468" i="1"/>
  <c r="B5468" i="1"/>
  <c r="C5468" i="1"/>
  <c r="E5468" i="1"/>
  <c r="G5468" i="1"/>
  <c r="K5468" i="1"/>
  <c r="A5469" i="1"/>
  <c r="B5469" i="1"/>
  <c r="C5469" i="1"/>
  <c r="E5469" i="1"/>
  <c r="G5469" i="1"/>
  <c r="K5469" i="1"/>
  <c r="A5470" i="1"/>
  <c r="B5470" i="1"/>
  <c r="C5470" i="1"/>
  <c r="E5470" i="1"/>
  <c r="G5470" i="1"/>
  <c r="K5470" i="1"/>
  <c r="A5471" i="1"/>
  <c r="B5471" i="1"/>
  <c r="C5471" i="1"/>
  <c r="E5471" i="1"/>
  <c r="G5471" i="1"/>
  <c r="K5471" i="1"/>
  <c r="A5472" i="1"/>
  <c r="B5472" i="1"/>
  <c r="C5472" i="1"/>
  <c r="E5472" i="1"/>
  <c r="G5472" i="1"/>
  <c r="K5472" i="1"/>
  <c r="A5473" i="1"/>
  <c r="B5473" i="1"/>
  <c r="C5473" i="1"/>
  <c r="E5473" i="1"/>
  <c r="G5473" i="1"/>
  <c r="K5473" i="1"/>
  <c r="A5474" i="1"/>
  <c r="B5474" i="1"/>
  <c r="C5474" i="1"/>
  <c r="E5474" i="1"/>
  <c r="G5474" i="1"/>
  <c r="K5474" i="1"/>
  <c r="A5475" i="1"/>
  <c r="B5475" i="1"/>
  <c r="C5475" i="1"/>
  <c r="E5475" i="1"/>
  <c r="G5475" i="1"/>
  <c r="K5475" i="1"/>
  <c r="A5476" i="1"/>
  <c r="B5476" i="1"/>
  <c r="C5476" i="1"/>
  <c r="E5476" i="1"/>
  <c r="G5476" i="1"/>
  <c r="K5476" i="1"/>
  <c r="A5477" i="1"/>
  <c r="B5477" i="1"/>
  <c r="C5477" i="1"/>
  <c r="E5477" i="1"/>
  <c r="G5477" i="1"/>
  <c r="K5477" i="1"/>
  <c r="A5478" i="1"/>
  <c r="B5478" i="1"/>
  <c r="C5478" i="1"/>
  <c r="E5478" i="1"/>
  <c r="G5478" i="1"/>
  <c r="K5478" i="1"/>
  <c r="A5479" i="1"/>
  <c r="B5479" i="1"/>
  <c r="C5479" i="1"/>
  <c r="E5479" i="1"/>
  <c r="G5479" i="1"/>
  <c r="K5479" i="1"/>
  <c r="A5480" i="1"/>
  <c r="B5480" i="1"/>
  <c r="C5480" i="1"/>
  <c r="E5480" i="1"/>
  <c r="G5480" i="1"/>
  <c r="K5480" i="1"/>
  <c r="A5481" i="1"/>
  <c r="B5481" i="1"/>
  <c r="C5481" i="1"/>
  <c r="E5481" i="1"/>
  <c r="G5481" i="1"/>
  <c r="K5481" i="1"/>
  <c r="A5482" i="1"/>
  <c r="B5482" i="1"/>
  <c r="C5482" i="1"/>
  <c r="E5482" i="1"/>
  <c r="G5482" i="1"/>
  <c r="K5482" i="1"/>
  <c r="A5483" i="1"/>
  <c r="B5483" i="1"/>
  <c r="C5483" i="1"/>
  <c r="E5483" i="1"/>
  <c r="G5483" i="1"/>
  <c r="K5483" i="1"/>
  <c r="A5484" i="1"/>
  <c r="B5484" i="1"/>
  <c r="C5484" i="1"/>
  <c r="E5484" i="1"/>
  <c r="G5484" i="1"/>
  <c r="K5484" i="1"/>
  <c r="A5485" i="1"/>
  <c r="B5485" i="1"/>
  <c r="C5485" i="1"/>
  <c r="E5485" i="1"/>
  <c r="G5485" i="1"/>
  <c r="K5485" i="1"/>
  <c r="A5486" i="1"/>
  <c r="B5486" i="1"/>
  <c r="C5486" i="1"/>
  <c r="E5486" i="1"/>
  <c r="G5486" i="1"/>
  <c r="K5486" i="1"/>
  <c r="A5487" i="1"/>
  <c r="B5487" i="1"/>
  <c r="C5487" i="1"/>
  <c r="E5487" i="1"/>
  <c r="G5487" i="1"/>
  <c r="K5487" i="1"/>
  <c r="A5488" i="1"/>
  <c r="B5488" i="1"/>
  <c r="C5488" i="1"/>
  <c r="E5488" i="1"/>
  <c r="G5488" i="1"/>
  <c r="K5488" i="1"/>
  <c r="A5489" i="1"/>
  <c r="B5489" i="1"/>
  <c r="C5489" i="1"/>
  <c r="E5489" i="1"/>
  <c r="G5489" i="1"/>
  <c r="K5489" i="1"/>
  <c r="A5490" i="1"/>
  <c r="B5490" i="1"/>
  <c r="C5490" i="1"/>
  <c r="E5490" i="1"/>
  <c r="G5490" i="1"/>
  <c r="K5490" i="1"/>
  <c r="A5491" i="1"/>
  <c r="B5491" i="1"/>
  <c r="C5491" i="1"/>
  <c r="E5491" i="1"/>
  <c r="G5491" i="1"/>
  <c r="K5491" i="1"/>
  <c r="A5492" i="1"/>
  <c r="B5492" i="1"/>
  <c r="C5492" i="1"/>
  <c r="E5492" i="1"/>
  <c r="G5492" i="1"/>
  <c r="K5492" i="1"/>
  <c r="A5493" i="1"/>
  <c r="B5493" i="1"/>
  <c r="C5493" i="1"/>
  <c r="E5493" i="1"/>
  <c r="G5493" i="1"/>
  <c r="K5493" i="1"/>
  <c r="A5494" i="1"/>
  <c r="B5494" i="1"/>
  <c r="C5494" i="1"/>
  <c r="E5494" i="1"/>
  <c r="G5494" i="1"/>
  <c r="K5494" i="1"/>
  <c r="A5495" i="1"/>
  <c r="B5495" i="1"/>
  <c r="C5495" i="1"/>
  <c r="E5495" i="1"/>
  <c r="G5495" i="1"/>
  <c r="K5495" i="1"/>
  <c r="A5496" i="1"/>
  <c r="B5496" i="1"/>
  <c r="C5496" i="1"/>
  <c r="E5496" i="1"/>
  <c r="G5496" i="1"/>
  <c r="K5496" i="1"/>
  <c r="A5497" i="1"/>
  <c r="B5497" i="1"/>
  <c r="C5497" i="1"/>
  <c r="E5497" i="1"/>
  <c r="G5497" i="1"/>
  <c r="K5497" i="1"/>
  <c r="A5498" i="1"/>
  <c r="B5498" i="1"/>
  <c r="C5498" i="1"/>
  <c r="E5498" i="1"/>
  <c r="G5498" i="1"/>
  <c r="K5498" i="1"/>
  <c r="A5499" i="1"/>
  <c r="B5499" i="1"/>
  <c r="C5499" i="1"/>
  <c r="E5499" i="1"/>
  <c r="G5499" i="1"/>
  <c r="K5499" i="1"/>
  <c r="A5500" i="1"/>
  <c r="B5500" i="1"/>
  <c r="C5500" i="1"/>
  <c r="E5500" i="1"/>
  <c r="G5500" i="1"/>
  <c r="K5500" i="1"/>
  <c r="A5501" i="1"/>
  <c r="B5501" i="1"/>
  <c r="C5501" i="1"/>
  <c r="E5501" i="1"/>
  <c r="G5501" i="1"/>
  <c r="K5501" i="1"/>
  <c r="A5502" i="1"/>
  <c r="B5502" i="1"/>
  <c r="C5502" i="1"/>
  <c r="E5502" i="1"/>
  <c r="G5502" i="1"/>
  <c r="K5502" i="1"/>
  <c r="A5503" i="1"/>
  <c r="B5503" i="1"/>
  <c r="C5503" i="1"/>
  <c r="E5503" i="1"/>
  <c r="G5503" i="1"/>
  <c r="K5503" i="1"/>
  <c r="A5504" i="1"/>
  <c r="B5504" i="1"/>
  <c r="C5504" i="1"/>
  <c r="E5504" i="1"/>
  <c r="G5504" i="1"/>
  <c r="K5504" i="1"/>
  <c r="A5505" i="1"/>
  <c r="B5505" i="1"/>
  <c r="C5505" i="1"/>
  <c r="E5505" i="1"/>
  <c r="G5505" i="1"/>
  <c r="K5505" i="1"/>
  <c r="A5506" i="1"/>
  <c r="B5506" i="1"/>
  <c r="C5506" i="1"/>
  <c r="E5506" i="1"/>
  <c r="G5506" i="1"/>
  <c r="K5506" i="1"/>
  <c r="A5507" i="1"/>
  <c r="B5507" i="1"/>
  <c r="C5507" i="1"/>
  <c r="E5507" i="1"/>
  <c r="G5507" i="1"/>
  <c r="K5507" i="1"/>
  <c r="A5508" i="1"/>
  <c r="B5508" i="1"/>
  <c r="C5508" i="1"/>
  <c r="E5508" i="1"/>
  <c r="G5508" i="1"/>
  <c r="K5508" i="1"/>
  <c r="A5509" i="1"/>
  <c r="B5509" i="1"/>
  <c r="C5509" i="1"/>
  <c r="E5509" i="1"/>
  <c r="G5509" i="1"/>
  <c r="K5509" i="1"/>
  <c r="A5510" i="1"/>
  <c r="B5510" i="1"/>
  <c r="C5510" i="1"/>
  <c r="E5510" i="1"/>
  <c r="G5510" i="1"/>
  <c r="K5510" i="1"/>
  <c r="A5511" i="1"/>
  <c r="B5511" i="1"/>
  <c r="C5511" i="1"/>
  <c r="E5511" i="1"/>
  <c r="G5511" i="1"/>
  <c r="K5511" i="1"/>
  <c r="A5512" i="1"/>
  <c r="B5512" i="1"/>
  <c r="C5512" i="1"/>
  <c r="E5512" i="1"/>
  <c r="G5512" i="1"/>
  <c r="K5512" i="1"/>
  <c r="A5513" i="1"/>
  <c r="B5513" i="1"/>
  <c r="C5513" i="1"/>
  <c r="E5513" i="1"/>
  <c r="G5513" i="1"/>
  <c r="K5513" i="1"/>
  <c r="A5514" i="1"/>
  <c r="B5514" i="1"/>
  <c r="C5514" i="1"/>
  <c r="E5514" i="1"/>
  <c r="G5514" i="1"/>
  <c r="K5514" i="1"/>
  <c r="A5515" i="1"/>
  <c r="B5515" i="1"/>
  <c r="C5515" i="1"/>
  <c r="E5515" i="1"/>
  <c r="G5515" i="1"/>
  <c r="K5515" i="1"/>
  <c r="A5516" i="1"/>
  <c r="B5516" i="1"/>
  <c r="C5516" i="1"/>
  <c r="E5516" i="1"/>
  <c r="G5516" i="1"/>
  <c r="K5516" i="1"/>
  <c r="A5517" i="1"/>
  <c r="B5517" i="1"/>
  <c r="C5517" i="1"/>
  <c r="E5517" i="1"/>
  <c r="G5517" i="1"/>
  <c r="K5517" i="1"/>
  <c r="A5518" i="1"/>
  <c r="B5518" i="1"/>
  <c r="C5518" i="1"/>
  <c r="E5518" i="1"/>
  <c r="G5518" i="1"/>
  <c r="K5518" i="1"/>
  <c r="A5519" i="1"/>
  <c r="B5519" i="1"/>
  <c r="C5519" i="1"/>
  <c r="E5519" i="1"/>
  <c r="G5519" i="1"/>
  <c r="K5519" i="1"/>
  <c r="A5520" i="1"/>
  <c r="B5520" i="1"/>
  <c r="C5520" i="1"/>
  <c r="E5520" i="1"/>
  <c r="G5520" i="1"/>
  <c r="K5520" i="1"/>
  <c r="A5521" i="1"/>
  <c r="B5521" i="1"/>
  <c r="C5521" i="1"/>
  <c r="E5521" i="1"/>
  <c r="G5521" i="1"/>
  <c r="K5521" i="1"/>
  <c r="A5522" i="1"/>
  <c r="B5522" i="1"/>
  <c r="C5522" i="1"/>
  <c r="E5522" i="1"/>
  <c r="G5522" i="1"/>
  <c r="K5522" i="1"/>
  <c r="A5523" i="1"/>
  <c r="B5523" i="1"/>
  <c r="C5523" i="1"/>
  <c r="E5523" i="1"/>
  <c r="G5523" i="1"/>
  <c r="K5523" i="1"/>
  <c r="A5524" i="1"/>
  <c r="B5524" i="1"/>
  <c r="C5524" i="1"/>
  <c r="E5524" i="1"/>
  <c r="G5524" i="1"/>
  <c r="K5524" i="1"/>
  <c r="A5525" i="1"/>
  <c r="B5525" i="1"/>
  <c r="C5525" i="1"/>
  <c r="E5525" i="1"/>
  <c r="G5525" i="1"/>
  <c r="K5525" i="1"/>
  <c r="A5526" i="1"/>
  <c r="B5526" i="1"/>
  <c r="C5526" i="1"/>
  <c r="E5526" i="1"/>
  <c r="G5526" i="1"/>
  <c r="K5526" i="1"/>
  <c r="A5527" i="1"/>
  <c r="B5527" i="1"/>
  <c r="C5527" i="1"/>
  <c r="E5527" i="1"/>
  <c r="G5527" i="1"/>
  <c r="K5527" i="1"/>
  <c r="A5528" i="1"/>
  <c r="B5528" i="1"/>
  <c r="C5528" i="1"/>
  <c r="E5528" i="1"/>
  <c r="G5528" i="1"/>
  <c r="K5528" i="1"/>
  <c r="A5529" i="1"/>
  <c r="B5529" i="1"/>
  <c r="C5529" i="1"/>
  <c r="E5529" i="1"/>
  <c r="G5529" i="1"/>
  <c r="K5529" i="1"/>
  <c r="A5530" i="1"/>
  <c r="B5530" i="1"/>
  <c r="C5530" i="1"/>
  <c r="E5530" i="1"/>
  <c r="G5530" i="1"/>
  <c r="K5530" i="1"/>
  <c r="A5531" i="1"/>
  <c r="B5531" i="1"/>
  <c r="C5531" i="1"/>
  <c r="E5531" i="1"/>
  <c r="G5531" i="1"/>
  <c r="K5531" i="1"/>
  <c r="A5532" i="1"/>
  <c r="B5532" i="1"/>
  <c r="C5532" i="1"/>
  <c r="E5532" i="1"/>
  <c r="G5532" i="1"/>
  <c r="K5532" i="1"/>
  <c r="A5533" i="1"/>
  <c r="B5533" i="1"/>
  <c r="C5533" i="1"/>
  <c r="E5533" i="1"/>
  <c r="G5533" i="1"/>
  <c r="K5533" i="1"/>
  <c r="A5534" i="1"/>
  <c r="B5534" i="1"/>
  <c r="C5534" i="1"/>
  <c r="E5534" i="1"/>
  <c r="G5534" i="1"/>
  <c r="K5534" i="1"/>
  <c r="A5535" i="1"/>
  <c r="B5535" i="1"/>
  <c r="C5535" i="1"/>
  <c r="E5535" i="1"/>
  <c r="G5535" i="1"/>
  <c r="K5535" i="1"/>
  <c r="A5536" i="1"/>
  <c r="B5536" i="1"/>
  <c r="C5536" i="1"/>
  <c r="E5536" i="1"/>
  <c r="G5536" i="1"/>
  <c r="K5536" i="1"/>
  <c r="A5537" i="1"/>
  <c r="B5537" i="1"/>
  <c r="C5537" i="1"/>
  <c r="E5537" i="1"/>
  <c r="G5537" i="1"/>
  <c r="K5537" i="1"/>
  <c r="A5538" i="1"/>
  <c r="B5538" i="1"/>
  <c r="C5538" i="1"/>
  <c r="E5538" i="1"/>
  <c r="G5538" i="1"/>
  <c r="K5538" i="1"/>
  <c r="A5539" i="1"/>
  <c r="B5539" i="1"/>
  <c r="C5539" i="1"/>
  <c r="E5539" i="1"/>
  <c r="G5539" i="1"/>
  <c r="K5539" i="1"/>
  <c r="A5540" i="1"/>
  <c r="B5540" i="1"/>
  <c r="C5540" i="1"/>
  <c r="E5540" i="1"/>
  <c r="G5540" i="1"/>
  <c r="K5540" i="1"/>
  <c r="A5541" i="1"/>
  <c r="B5541" i="1"/>
  <c r="C5541" i="1"/>
  <c r="E5541" i="1"/>
  <c r="G5541" i="1"/>
  <c r="K5541" i="1"/>
  <c r="A5542" i="1"/>
  <c r="B5542" i="1"/>
  <c r="C5542" i="1"/>
  <c r="E5542" i="1"/>
  <c r="G5542" i="1"/>
  <c r="K5542" i="1"/>
  <c r="A5543" i="1"/>
  <c r="B5543" i="1"/>
  <c r="C5543" i="1"/>
  <c r="E5543" i="1"/>
  <c r="G5543" i="1"/>
  <c r="K5543" i="1"/>
  <c r="A5544" i="1"/>
  <c r="B5544" i="1"/>
  <c r="C5544" i="1"/>
  <c r="E5544" i="1"/>
  <c r="G5544" i="1"/>
  <c r="K5544" i="1"/>
  <c r="A5545" i="1"/>
  <c r="B5545" i="1"/>
  <c r="C5545" i="1"/>
  <c r="E5545" i="1"/>
  <c r="G5545" i="1"/>
  <c r="K5545" i="1"/>
  <c r="A5546" i="1"/>
  <c r="B5546" i="1"/>
  <c r="C5546" i="1"/>
  <c r="E5546" i="1"/>
  <c r="G5546" i="1"/>
  <c r="K5546" i="1"/>
  <c r="A5547" i="1"/>
  <c r="B5547" i="1"/>
  <c r="C5547" i="1"/>
  <c r="E5547" i="1"/>
  <c r="G5547" i="1"/>
  <c r="K5547" i="1"/>
  <c r="A5548" i="1"/>
  <c r="B5548" i="1"/>
  <c r="C5548" i="1"/>
  <c r="E5548" i="1"/>
  <c r="G5548" i="1"/>
  <c r="K5548" i="1"/>
  <c r="A5549" i="1"/>
  <c r="B5549" i="1"/>
  <c r="C5549" i="1"/>
  <c r="E5549" i="1"/>
  <c r="G5549" i="1"/>
  <c r="K5549" i="1"/>
  <c r="A5550" i="1"/>
  <c r="B5550" i="1"/>
  <c r="C5550" i="1"/>
  <c r="E5550" i="1"/>
  <c r="G5550" i="1"/>
  <c r="K5550" i="1"/>
  <c r="A5551" i="1"/>
  <c r="B5551" i="1"/>
  <c r="C5551" i="1"/>
  <c r="E5551" i="1"/>
  <c r="G5551" i="1"/>
  <c r="K5551" i="1"/>
  <c r="A5552" i="1"/>
  <c r="B5552" i="1"/>
  <c r="C5552" i="1"/>
  <c r="E5552" i="1"/>
  <c r="G5552" i="1"/>
  <c r="K5552" i="1"/>
  <c r="A5553" i="1"/>
  <c r="B5553" i="1"/>
  <c r="C5553" i="1"/>
  <c r="E5553" i="1"/>
  <c r="G5553" i="1"/>
  <c r="K5553" i="1"/>
  <c r="A5554" i="1"/>
  <c r="B5554" i="1"/>
  <c r="C5554" i="1"/>
  <c r="E5554" i="1"/>
  <c r="G5554" i="1"/>
  <c r="K5554" i="1"/>
  <c r="A5555" i="1"/>
  <c r="B5555" i="1"/>
  <c r="C5555" i="1"/>
  <c r="E5555" i="1"/>
  <c r="G5555" i="1"/>
  <c r="K5555" i="1"/>
  <c r="A5556" i="1"/>
  <c r="B5556" i="1"/>
  <c r="C5556" i="1"/>
  <c r="E5556" i="1"/>
  <c r="G5556" i="1"/>
  <c r="K5556" i="1"/>
  <c r="A5557" i="1"/>
  <c r="B5557" i="1"/>
  <c r="C5557" i="1"/>
  <c r="E5557" i="1"/>
  <c r="G5557" i="1"/>
  <c r="K5557" i="1"/>
  <c r="A5558" i="1"/>
  <c r="B5558" i="1"/>
  <c r="C5558" i="1"/>
  <c r="E5558" i="1"/>
  <c r="G5558" i="1"/>
  <c r="K5558" i="1"/>
  <c r="A5559" i="1"/>
  <c r="B5559" i="1"/>
  <c r="C5559" i="1"/>
  <c r="E5559" i="1"/>
  <c r="G5559" i="1"/>
  <c r="K5559" i="1"/>
  <c r="A5560" i="1"/>
  <c r="B5560" i="1"/>
  <c r="C5560" i="1"/>
  <c r="E5560" i="1"/>
  <c r="G5560" i="1"/>
  <c r="K5560" i="1"/>
  <c r="A5561" i="1"/>
  <c r="B5561" i="1"/>
  <c r="C5561" i="1"/>
  <c r="E5561" i="1"/>
  <c r="G5561" i="1"/>
  <c r="K5561" i="1"/>
  <c r="A5562" i="1"/>
  <c r="B5562" i="1"/>
  <c r="C5562" i="1"/>
  <c r="E5562" i="1"/>
  <c r="G5562" i="1"/>
  <c r="K5562" i="1"/>
  <c r="A5563" i="1"/>
  <c r="B5563" i="1"/>
  <c r="C5563" i="1"/>
  <c r="E5563" i="1"/>
  <c r="G5563" i="1"/>
  <c r="K5563" i="1"/>
  <c r="A5564" i="1"/>
  <c r="B5564" i="1"/>
  <c r="C5564" i="1"/>
  <c r="E5564" i="1"/>
  <c r="G5564" i="1"/>
  <c r="K5564" i="1"/>
  <c r="A5565" i="1"/>
  <c r="B5565" i="1"/>
  <c r="C5565" i="1"/>
  <c r="E5565" i="1"/>
  <c r="G5565" i="1"/>
  <c r="K5565" i="1"/>
  <c r="A5566" i="1"/>
  <c r="B5566" i="1"/>
  <c r="C5566" i="1"/>
  <c r="E5566" i="1"/>
  <c r="G5566" i="1"/>
  <c r="K5566" i="1"/>
  <c r="A5567" i="1"/>
  <c r="B5567" i="1"/>
  <c r="C5567" i="1"/>
  <c r="E5567" i="1"/>
  <c r="G5567" i="1"/>
  <c r="K5567" i="1"/>
  <c r="A5568" i="1"/>
  <c r="B5568" i="1"/>
  <c r="C5568" i="1"/>
  <c r="E5568" i="1"/>
  <c r="G5568" i="1"/>
  <c r="K5568" i="1"/>
  <c r="A5569" i="1"/>
  <c r="B5569" i="1"/>
  <c r="C5569" i="1"/>
  <c r="E5569" i="1"/>
  <c r="G5569" i="1"/>
  <c r="K5569" i="1"/>
  <c r="A5570" i="1"/>
  <c r="B5570" i="1"/>
  <c r="C5570" i="1"/>
  <c r="E5570" i="1"/>
  <c r="G5570" i="1"/>
  <c r="K5570" i="1"/>
  <c r="A5571" i="1"/>
  <c r="B5571" i="1"/>
  <c r="C5571" i="1"/>
  <c r="E5571" i="1"/>
  <c r="G5571" i="1"/>
  <c r="K5571" i="1"/>
  <c r="A5572" i="1"/>
  <c r="B5572" i="1"/>
  <c r="C5572" i="1"/>
  <c r="E5572" i="1"/>
  <c r="G5572" i="1"/>
  <c r="K5572" i="1"/>
  <c r="A5573" i="1"/>
  <c r="B5573" i="1"/>
  <c r="C5573" i="1"/>
  <c r="E5573" i="1"/>
  <c r="G5573" i="1"/>
  <c r="K5573" i="1"/>
  <c r="A5574" i="1"/>
  <c r="B5574" i="1"/>
  <c r="C5574" i="1"/>
  <c r="E5574" i="1"/>
  <c r="G5574" i="1"/>
  <c r="K5574" i="1"/>
  <c r="A5575" i="1"/>
  <c r="B5575" i="1"/>
  <c r="C5575" i="1"/>
  <c r="E5575" i="1"/>
  <c r="G5575" i="1"/>
  <c r="K5575" i="1"/>
  <c r="A5576" i="1"/>
  <c r="B5576" i="1"/>
  <c r="C5576" i="1"/>
  <c r="E5576" i="1"/>
  <c r="G5576" i="1"/>
  <c r="K5576" i="1"/>
  <c r="A5577" i="1"/>
  <c r="B5577" i="1"/>
  <c r="C5577" i="1"/>
  <c r="E5577" i="1"/>
  <c r="G5577" i="1"/>
  <c r="K5577" i="1"/>
  <c r="A5578" i="1"/>
  <c r="B5578" i="1"/>
  <c r="C5578" i="1"/>
  <c r="E5578" i="1"/>
  <c r="G5578" i="1"/>
  <c r="K5578" i="1"/>
  <c r="A5579" i="1"/>
  <c r="B5579" i="1"/>
  <c r="C5579" i="1"/>
  <c r="E5579" i="1"/>
  <c r="G5579" i="1"/>
  <c r="K5579" i="1"/>
  <c r="A5580" i="1"/>
  <c r="B5580" i="1"/>
  <c r="C5580" i="1"/>
  <c r="E5580" i="1"/>
  <c r="G5580" i="1"/>
  <c r="K5580" i="1"/>
  <c r="A5581" i="1"/>
  <c r="B5581" i="1"/>
  <c r="C5581" i="1"/>
  <c r="E5581" i="1"/>
  <c r="G5581" i="1"/>
  <c r="K5581" i="1"/>
  <c r="A5582" i="1"/>
  <c r="B5582" i="1"/>
  <c r="C5582" i="1"/>
  <c r="E5582" i="1"/>
  <c r="G5582" i="1"/>
  <c r="K5582" i="1"/>
  <c r="A5583" i="1"/>
  <c r="B5583" i="1"/>
  <c r="C5583" i="1"/>
  <c r="E5583" i="1"/>
  <c r="G5583" i="1"/>
  <c r="K5583" i="1"/>
  <c r="A5584" i="1"/>
  <c r="B5584" i="1"/>
  <c r="C5584" i="1"/>
  <c r="E5584" i="1"/>
  <c r="G5584" i="1"/>
  <c r="K5584" i="1"/>
  <c r="A5585" i="1"/>
  <c r="B5585" i="1"/>
  <c r="C5585" i="1"/>
  <c r="E5585" i="1"/>
  <c r="G5585" i="1"/>
  <c r="K5585" i="1"/>
  <c r="A5586" i="1"/>
  <c r="B5586" i="1"/>
  <c r="C5586" i="1"/>
  <c r="E5586" i="1"/>
  <c r="G5586" i="1"/>
  <c r="K5586" i="1"/>
  <c r="A5587" i="1"/>
  <c r="B5587" i="1"/>
  <c r="C5587" i="1"/>
  <c r="E5587" i="1"/>
  <c r="G5587" i="1"/>
  <c r="K5587" i="1"/>
  <c r="A5588" i="1"/>
  <c r="B5588" i="1"/>
  <c r="C5588" i="1"/>
  <c r="E5588" i="1"/>
  <c r="G5588" i="1"/>
  <c r="K5588" i="1"/>
  <c r="A5589" i="1"/>
  <c r="B5589" i="1"/>
  <c r="C5589" i="1"/>
  <c r="E5589" i="1"/>
  <c r="G5589" i="1"/>
  <c r="K5589" i="1"/>
  <c r="A5590" i="1"/>
  <c r="B5590" i="1"/>
  <c r="C5590" i="1"/>
  <c r="E5590" i="1"/>
  <c r="G5590" i="1"/>
  <c r="K5590" i="1"/>
  <c r="A5591" i="1"/>
  <c r="B5591" i="1"/>
  <c r="C5591" i="1"/>
  <c r="E5591" i="1"/>
  <c r="G5591" i="1"/>
  <c r="K5591" i="1"/>
  <c r="A5592" i="1"/>
  <c r="B5592" i="1"/>
  <c r="C5592" i="1"/>
  <c r="E5592" i="1"/>
  <c r="G5592" i="1"/>
  <c r="K5592" i="1"/>
  <c r="A5593" i="1"/>
  <c r="B5593" i="1"/>
  <c r="C5593" i="1"/>
  <c r="E5593" i="1"/>
  <c r="G5593" i="1"/>
  <c r="K5593" i="1"/>
  <c r="A5594" i="1"/>
  <c r="B5594" i="1"/>
  <c r="C5594" i="1"/>
  <c r="E5594" i="1"/>
  <c r="G5594" i="1"/>
  <c r="K5594" i="1"/>
  <c r="A5595" i="1"/>
  <c r="B5595" i="1"/>
  <c r="C5595" i="1"/>
  <c r="E5595" i="1"/>
  <c r="G5595" i="1"/>
  <c r="K5595" i="1"/>
  <c r="A5596" i="1"/>
  <c r="B5596" i="1"/>
  <c r="C5596" i="1"/>
  <c r="E5596" i="1"/>
  <c r="G5596" i="1"/>
  <c r="K5596" i="1"/>
  <c r="A5597" i="1"/>
  <c r="B5597" i="1"/>
  <c r="C5597" i="1"/>
  <c r="E5597" i="1"/>
  <c r="G5597" i="1"/>
  <c r="K5597" i="1"/>
  <c r="A5598" i="1"/>
  <c r="B5598" i="1"/>
  <c r="C5598" i="1"/>
  <c r="E5598" i="1"/>
  <c r="G5598" i="1"/>
  <c r="K5598" i="1"/>
  <c r="A5599" i="1"/>
  <c r="B5599" i="1"/>
  <c r="C5599" i="1"/>
  <c r="E5599" i="1"/>
  <c r="G5599" i="1"/>
  <c r="K5599" i="1"/>
  <c r="A5600" i="1"/>
  <c r="B5600" i="1"/>
  <c r="C5600" i="1"/>
  <c r="E5600" i="1"/>
  <c r="G5600" i="1"/>
  <c r="K5600" i="1"/>
  <c r="A5601" i="1"/>
  <c r="B5601" i="1"/>
  <c r="C5601" i="1"/>
  <c r="E5601" i="1"/>
  <c r="G5601" i="1"/>
  <c r="K5601" i="1"/>
  <c r="A5602" i="1"/>
  <c r="B5602" i="1"/>
  <c r="C5602" i="1"/>
  <c r="E5602" i="1"/>
  <c r="G5602" i="1"/>
  <c r="K5602" i="1"/>
  <c r="A5603" i="1"/>
  <c r="B5603" i="1"/>
  <c r="C5603" i="1"/>
  <c r="E5603" i="1"/>
  <c r="G5603" i="1"/>
  <c r="K5603" i="1"/>
  <c r="A5604" i="1"/>
  <c r="B5604" i="1"/>
  <c r="C5604" i="1"/>
  <c r="E5604" i="1"/>
  <c r="G5604" i="1"/>
  <c r="K5604" i="1"/>
  <c r="A5605" i="1"/>
  <c r="B5605" i="1"/>
  <c r="C5605" i="1"/>
  <c r="E5605" i="1"/>
  <c r="G5605" i="1"/>
  <c r="K5605" i="1"/>
  <c r="A5606" i="1"/>
  <c r="B5606" i="1"/>
  <c r="C5606" i="1"/>
  <c r="E5606" i="1"/>
  <c r="G5606" i="1"/>
  <c r="K5606" i="1"/>
  <c r="A5607" i="1"/>
  <c r="B5607" i="1"/>
  <c r="C5607" i="1"/>
  <c r="E5607" i="1"/>
  <c r="G5607" i="1"/>
  <c r="K5607" i="1"/>
  <c r="A5608" i="1"/>
  <c r="B5608" i="1"/>
  <c r="C5608" i="1"/>
  <c r="E5608" i="1"/>
  <c r="G5608" i="1"/>
  <c r="K5608" i="1"/>
  <c r="A5609" i="1"/>
  <c r="B5609" i="1"/>
  <c r="C5609" i="1"/>
  <c r="E5609" i="1"/>
  <c r="G5609" i="1"/>
  <c r="K5609" i="1"/>
  <c r="A5610" i="1"/>
  <c r="B5610" i="1"/>
  <c r="C5610" i="1"/>
  <c r="E5610" i="1"/>
  <c r="G5610" i="1"/>
  <c r="K5610" i="1"/>
  <c r="A5611" i="1"/>
  <c r="B5611" i="1"/>
  <c r="C5611" i="1"/>
  <c r="E5611" i="1"/>
  <c r="G5611" i="1"/>
  <c r="K5611" i="1"/>
  <c r="A5612" i="1"/>
  <c r="B5612" i="1"/>
  <c r="C5612" i="1"/>
  <c r="E5612" i="1"/>
  <c r="G5612" i="1"/>
  <c r="K5612" i="1"/>
  <c r="A5613" i="1"/>
  <c r="B5613" i="1"/>
  <c r="C5613" i="1"/>
  <c r="E5613" i="1"/>
  <c r="G5613" i="1"/>
  <c r="K5613" i="1"/>
  <c r="A5614" i="1"/>
  <c r="B5614" i="1"/>
  <c r="C5614" i="1"/>
  <c r="E5614" i="1"/>
  <c r="G5614" i="1"/>
  <c r="K5614" i="1"/>
  <c r="A5615" i="1"/>
  <c r="B5615" i="1"/>
  <c r="C5615" i="1"/>
  <c r="E5615" i="1"/>
  <c r="G5615" i="1"/>
  <c r="K5615" i="1"/>
  <c r="A5616" i="1"/>
  <c r="B5616" i="1"/>
  <c r="C5616" i="1"/>
  <c r="E5616" i="1"/>
  <c r="G5616" i="1"/>
  <c r="K5616" i="1"/>
  <c r="A5617" i="1"/>
  <c r="B5617" i="1"/>
  <c r="C5617" i="1"/>
  <c r="E5617" i="1"/>
  <c r="G5617" i="1"/>
  <c r="K5617" i="1"/>
  <c r="A5618" i="1"/>
  <c r="B5618" i="1"/>
  <c r="C5618" i="1"/>
  <c r="E5618" i="1"/>
  <c r="G5618" i="1"/>
  <c r="K5618" i="1"/>
  <c r="A5619" i="1"/>
  <c r="B5619" i="1"/>
  <c r="C5619" i="1"/>
  <c r="E5619" i="1"/>
  <c r="G5619" i="1"/>
  <c r="K5619" i="1"/>
  <c r="A5620" i="1"/>
  <c r="B5620" i="1"/>
  <c r="C5620" i="1"/>
  <c r="E5620" i="1"/>
  <c r="G5620" i="1"/>
  <c r="K5620" i="1"/>
  <c r="A5621" i="1"/>
  <c r="B5621" i="1"/>
  <c r="C5621" i="1"/>
  <c r="E5621" i="1"/>
  <c r="G5621" i="1"/>
  <c r="K5621" i="1"/>
  <c r="A5622" i="1"/>
  <c r="B5622" i="1"/>
  <c r="C5622" i="1"/>
  <c r="E5622" i="1"/>
  <c r="G5622" i="1"/>
  <c r="K5622" i="1"/>
  <c r="A5623" i="1"/>
  <c r="B5623" i="1"/>
  <c r="C5623" i="1"/>
  <c r="E5623" i="1"/>
  <c r="G5623" i="1"/>
  <c r="K5623" i="1"/>
  <c r="A5624" i="1"/>
  <c r="B5624" i="1"/>
  <c r="C5624" i="1"/>
  <c r="E5624" i="1"/>
  <c r="G5624" i="1"/>
  <c r="K5624" i="1"/>
  <c r="A5625" i="1"/>
  <c r="B5625" i="1"/>
  <c r="C5625" i="1"/>
  <c r="E5625" i="1"/>
  <c r="G5625" i="1"/>
  <c r="K5625" i="1"/>
  <c r="A5626" i="1"/>
  <c r="B5626" i="1"/>
  <c r="C5626" i="1"/>
  <c r="E5626" i="1"/>
  <c r="G5626" i="1"/>
  <c r="K5626" i="1"/>
  <c r="A5627" i="1"/>
  <c r="B5627" i="1"/>
  <c r="C5627" i="1"/>
  <c r="E5627" i="1"/>
  <c r="G5627" i="1"/>
  <c r="K5627" i="1"/>
  <c r="A5628" i="1"/>
  <c r="B5628" i="1"/>
  <c r="C5628" i="1"/>
  <c r="E5628" i="1"/>
  <c r="G5628" i="1"/>
  <c r="K5628" i="1"/>
  <c r="A5629" i="1"/>
  <c r="B5629" i="1"/>
  <c r="C5629" i="1"/>
  <c r="E5629" i="1"/>
  <c r="G5629" i="1"/>
  <c r="K5629" i="1"/>
  <c r="A5630" i="1"/>
  <c r="B5630" i="1"/>
  <c r="C5630" i="1"/>
  <c r="E5630" i="1"/>
  <c r="G5630" i="1"/>
  <c r="K5630" i="1"/>
  <c r="A5631" i="1"/>
  <c r="B5631" i="1"/>
  <c r="C5631" i="1"/>
  <c r="E5631" i="1"/>
  <c r="G5631" i="1"/>
  <c r="K5631" i="1"/>
  <c r="A5632" i="1"/>
  <c r="B5632" i="1"/>
  <c r="C5632" i="1"/>
  <c r="E5632" i="1"/>
  <c r="G5632" i="1"/>
  <c r="K5632" i="1"/>
  <c r="A5633" i="1"/>
  <c r="B5633" i="1"/>
  <c r="C5633" i="1"/>
  <c r="E5633" i="1"/>
  <c r="G5633" i="1"/>
  <c r="K5633" i="1"/>
  <c r="A5634" i="1"/>
  <c r="B5634" i="1"/>
  <c r="C5634" i="1"/>
  <c r="E5634" i="1"/>
  <c r="G5634" i="1"/>
  <c r="K5634" i="1"/>
  <c r="A5635" i="1"/>
  <c r="B5635" i="1"/>
  <c r="C5635" i="1"/>
  <c r="E5635" i="1"/>
  <c r="G5635" i="1"/>
  <c r="K5635" i="1"/>
  <c r="A5636" i="1"/>
  <c r="B5636" i="1"/>
  <c r="C5636" i="1"/>
  <c r="E5636" i="1"/>
  <c r="G5636" i="1"/>
  <c r="K5636" i="1"/>
  <c r="A5637" i="1"/>
  <c r="B5637" i="1"/>
  <c r="C5637" i="1"/>
  <c r="E5637" i="1"/>
  <c r="G5637" i="1"/>
  <c r="K5637" i="1"/>
  <c r="A5638" i="1"/>
  <c r="B5638" i="1"/>
  <c r="C5638" i="1"/>
  <c r="E5638" i="1"/>
  <c r="G5638" i="1"/>
  <c r="K5638" i="1"/>
  <c r="A5639" i="1"/>
  <c r="B5639" i="1"/>
  <c r="C5639" i="1"/>
  <c r="E5639" i="1"/>
  <c r="G5639" i="1"/>
  <c r="K5639" i="1"/>
  <c r="A5640" i="1"/>
  <c r="B5640" i="1"/>
  <c r="C5640" i="1"/>
  <c r="E5640" i="1"/>
  <c r="G5640" i="1"/>
  <c r="K5640" i="1"/>
  <c r="A5641" i="1"/>
  <c r="B5641" i="1"/>
  <c r="C5641" i="1"/>
  <c r="E5641" i="1"/>
  <c r="G5641" i="1"/>
  <c r="K5641" i="1"/>
  <c r="A5642" i="1"/>
  <c r="B5642" i="1"/>
  <c r="C5642" i="1"/>
  <c r="E5642" i="1"/>
  <c r="G5642" i="1"/>
  <c r="K5642" i="1"/>
  <c r="A5643" i="1"/>
  <c r="B5643" i="1"/>
  <c r="C5643" i="1"/>
  <c r="E5643" i="1"/>
  <c r="G5643" i="1"/>
  <c r="K5643" i="1"/>
  <c r="A5644" i="1"/>
  <c r="B5644" i="1"/>
  <c r="C5644" i="1"/>
  <c r="E5644" i="1"/>
  <c r="G5644" i="1"/>
  <c r="K5644" i="1"/>
  <c r="A5645" i="1"/>
  <c r="B5645" i="1"/>
  <c r="C5645" i="1"/>
  <c r="E5645" i="1"/>
  <c r="G5645" i="1"/>
  <c r="K5645" i="1"/>
  <c r="A5646" i="1"/>
  <c r="B5646" i="1"/>
  <c r="C5646" i="1"/>
  <c r="E5646" i="1"/>
  <c r="G5646" i="1"/>
  <c r="K5646" i="1"/>
  <c r="A5647" i="1"/>
  <c r="B5647" i="1"/>
  <c r="C5647" i="1"/>
  <c r="E5647" i="1"/>
  <c r="G5647" i="1"/>
  <c r="K5647" i="1"/>
  <c r="A5648" i="1"/>
  <c r="B5648" i="1"/>
  <c r="C5648" i="1"/>
  <c r="E5648" i="1"/>
  <c r="G5648" i="1"/>
  <c r="K5648" i="1"/>
  <c r="A5649" i="1"/>
  <c r="B5649" i="1"/>
  <c r="C5649" i="1"/>
  <c r="E5649" i="1"/>
  <c r="G5649" i="1"/>
  <c r="K5649" i="1"/>
  <c r="A5650" i="1"/>
  <c r="B5650" i="1"/>
  <c r="C5650" i="1"/>
  <c r="E5650" i="1"/>
  <c r="G5650" i="1"/>
  <c r="K5650" i="1"/>
  <c r="A5651" i="1"/>
  <c r="B5651" i="1"/>
  <c r="C5651" i="1"/>
  <c r="E5651" i="1"/>
  <c r="G5651" i="1"/>
  <c r="K5651" i="1"/>
  <c r="A5652" i="1"/>
  <c r="B5652" i="1"/>
  <c r="C5652" i="1"/>
  <c r="E5652" i="1"/>
  <c r="G5652" i="1"/>
  <c r="K5652" i="1"/>
  <c r="A5653" i="1"/>
  <c r="B5653" i="1"/>
  <c r="C5653" i="1"/>
  <c r="E5653" i="1"/>
  <c r="G5653" i="1"/>
  <c r="K5653" i="1"/>
  <c r="A5654" i="1"/>
  <c r="B5654" i="1"/>
  <c r="C5654" i="1"/>
  <c r="E5654" i="1"/>
  <c r="G5654" i="1"/>
  <c r="K5654" i="1"/>
  <c r="A5655" i="1"/>
  <c r="B5655" i="1"/>
  <c r="C5655" i="1"/>
  <c r="E5655" i="1"/>
  <c r="G5655" i="1"/>
  <c r="K5655" i="1"/>
  <c r="A5656" i="1"/>
  <c r="B5656" i="1"/>
  <c r="C5656" i="1"/>
  <c r="E5656" i="1"/>
  <c r="G5656" i="1"/>
  <c r="K5656" i="1"/>
  <c r="A5657" i="1"/>
  <c r="B5657" i="1"/>
  <c r="C5657" i="1"/>
  <c r="E5657" i="1"/>
  <c r="G5657" i="1"/>
  <c r="K5657" i="1"/>
  <c r="A5658" i="1"/>
  <c r="B5658" i="1"/>
  <c r="C5658" i="1"/>
  <c r="E5658" i="1"/>
  <c r="G5658" i="1"/>
  <c r="K5658" i="1"/>
  <c r="A5659" i="1"/>
  <c r="B5659" i="1"/>
  <c r="C5659" i="1"/>
  <c r="E5659" i="1"/>
  <c r="G5659" i="1"/>
  <c r="K5659" i="1"/>
  <c r="A5660" i="1"/>
  <c r="B5660" i="1"/>
  <c r="C5660" i="1"/>
  <c r="E5660" i="1"/>
  <c r="G5660" i="1"/>
  <c r="K5660" i="1"/>
  <c r="A5661" i="1"/>
  <c r="B5661" i="1"/>
  <c r="C5661" i="1"/>
  <c r="E5661" i="1"/>
  <c r="G5661" i="1"/>
  <c r="K5661" i="1"/>
  <c r="A5662" i="1"/>
  <c r="B5662" i="1"/>
  <c r="C5662" i="1"/>
  <c r="E5662" i="1"/>
  <c r="G5662" i="1"/>
  <c r="K5662" i="1"/>
  <c r="A5663" i="1"/>
  <c r="B5663" i="1"/>
  <c r="C5663" i="1"/>
  <c r="E5663" i="1"/>
  <c r="G5663" i="1"/>
  <c r="K5663" i="1"/>
  <c r="A5664" i="1"/>
  <c r="B5664" i="1"/>
  <c r="C5664" i="1"/>
  <c r="E5664" i="1"/>
  <c r="G5664" i="1"/>
  <c r="K5664" i="1"/>
  <c r="A5665" i="1"/>
  <c r="B5665" i="1"/>
  <c r="C5665" i="1"/>
  <c r="E5665" i="1"/>
  <c r="G5665" i="1"/>
  <c r="K5665" i="1"/>
  <c r="A5666" i="1"/>
  <c r="B5666" i="1"/>
  <c r="C5666" i="1"/>
  <c r="E5666" i="1"/>
  <c r="G5666" i="1"/>
  <c r="K5666" i="1"/>
  <c r="A5667" i="1"/>
  <c r="B5667" i="1"/>
  <c r="C5667" i="1"/>
  <c r="E5667" i="1"/>
  <c r="G5667" i="1"/>
  <c r="K5667" i="1"/>
  <c r="A5668" i="1"/>
  <c r="B5668" i="1"/>
  <c r="C5668" i="1"/>
  <c r="E5668" i="1"/>
  <c r="G5668" i="1"/>
  <c r="K5668" i="1"/>
  <c r="A5669" i="1"/>
  <c r="B5669" i="1"/>
  <c r="C5669" i="1"/>
  <c r="E5669" i="1"/>
  <c r="G5669" i="1"/>
  <c r="K5669" i="1"/>
  <c r="A5670" i="1"/>
  <c r="B5670" i="1"/>
  <c r="C5670" i="1"/>
  <c r="E5670" i="1"/>
  <c r="G5670" i="1"/>
  <c r="K5670" i="1"/>
  <c r="A5671" i="1"/>
  <c r="B5671" i="1"/>
  <c r="C5671" i="1"/>
  <c r="E5671" i="1"/>
  <c r="G5671" i="1"/>
  <c r="K5671" i="1"/>
  <c r="A5672" i="1"/>
  <c r="B5672" i="1"/>
  <c r="C5672" i="1"/>
  <c r="E5672" i="1"/>
  <c r="G5672" i="1"/>
  <c r="K5672" i="1"/>
  <c r="A5673" i="1"/>
  <c r="B5673" i="1"/>
  <c r="C5673" i="1"/>
  <c r="E5673" i="1"/>
  <c r="G5673" i="1"/>
  <c r="K5673" i="1"/>
  <c r="A5674" i="1"/>
  <c r="B5674" i="1"/>
  <c r="C5674" i="1"/>
  <c r="E5674" i="1"/>
  <c r="G5674" i="1"/>
  <c r="K5674" i="1"/>
  <c r="A5675" i="1"/>
  <c r="B5675" i="1"/>
  <c r="C5675" i="1"/>
  <c r="E5675" i="1"/>
  <c r="G5675" i="1"/>
  <c r="K5675" i="1"/>
  <c r="A5676" i="1"/>
  <c r="B5676" i="1"/>
  <c r="C5676" i="1"/>
  <c r="E5676" i="1"/>
  <c r="G5676" i="1"/>
  <c r="K5676" i="1"/>
  <c r="A5677" i="1"/>
  <c r="B5677" i="1"/>
  <c r="C5677" i="1"/>
  <c r="E5677" i="1"/>
  <c r="G5677" i="1"/>
  <c r="K5677" i="1"/>
  <c r="A5678" i="1"/>
  <c r="B5678" i="1"/>
  <c r="C5678" i="1"/>
  <c r="E5678" i="1"/>
  <c r="G5678" i="1"/>
  <c r="K5678" i="1"/>
  <c r="A5679" i="1"/>
  <c r="B5679" i="1"/>
  <c r="C5679" i="1"/>
  <c r="E5679" i="1"/>
  <c r="G5679" i="1"/>
  <c r="K5679" i="1"/>
  <c r="A5680" i="1"/>
  <c r="B5680" i="1"/>
  <c r="C5680" i="1"/>
  <c r="E5680" i="1"/>
  <c r="G5680" i="1"/>
  <c r="K5680" i="1"/>
  <c r="A5681" i="1"/>
  <c r="B5681" i="1"/>
  <c r="C5681" i="1"/>
  <c r="E5681" i="1"/>
  <c r="G5681" i="1"/>
  <c r="K5681" i="1"/>
  <c r="A5682" i="1"/>
  <c r="B5682" i="1"/>
  <c r="C5682" i="1"/>
  <c r="E5682" i="1"/>
  <c r="G5682" i="1"/>
  <c r="K5682" i="1"/>
  <c r="A5683" i="1"/>
  <c r="B5683" i="1"/>
  <c r="C5683" i="1"/>
  <c r="E5683" i="1"/>
  <c r="G5683" i="1"/>
  <c r="K5683" i="1"/>
  <c r="A5684" i="1"/>
  <c r="B5684" i="1"/>
  <c r="C5684" i="1"/>
  <c r="E5684" i="1"/>
  <c r="G5684" i="1"/>
  <c r="K5684" i="1"/>
  <c r="A5685" i="1"/>
  <c r="B5685" i="1"/>
  <c r="C5685" i="1"/>
  <c r="E5685" i="1"/>
  <c r="G5685" i="1"/>
  <c r="K5685" i="1"/>
  <c r="A5686" i="1"/>
  <c r="B5686" i="1"/>
  <c r="C5686" i="1"/>
  <c r="E5686" i="1"/>
  <c r="G5686" i="1"/>
  <c r="K5686" i="1"/>
  <c r="A5687" i="1"/>
  <c r="B5687" i="1"/>
  <c r="C5687" i="1"/>
  <c r="E5687" i="1"/>
  <c r="G5687" i="1"/>
  <c r="K5687" i="1"/>
  <c r="A5688" i="1"/>
  <c r="B5688" i="1"/>
  <c r="C5688" i="1"/>
  <c r="E5688" i="1"/>
  <c r="G5688" i="1"/>
  <c r="K5688" i="1"/>
  <c r="A5689" i="1"/>
  <c r="B5689" i="1"/>
  <c r="C5689" i="1"/>
  <c r="E5689" i="1"/>
  <c r="G5689" i="1"/>
  <c r="K5689" i="1"/>
  <c r="A5690" i="1"/>
  <c r="B5690" i="1"/>
  <c r="C5690" i="1"/>
  <c r="E5690" i="1"/>
  <c r="G5690" i="1"/>
  <c r="K5690" i="1"/>
  <c r="A5691" i="1"/>
  <c r="B5691" i="1"/>
  <c r="C5691" i="1"/>
  <c r="E5691" i="1"/>
  <c r="G5691" i="1"/>
  <c r="K5691" i="1"/>
  <c r="A5692" i="1"/>
  <c r="B5692" i="1"/>
  <c r="C5692" i="1"/>
  <c r="E5692" i="1"/>
  <c r="G5692" i="1"/>
  <c r="K5692" i="1"/>
  <c r="A5693" i="1"/>
  <c r="B5693" i="1"/>
  <c r="C5693" i="1"/>
  <c r="E5693" i="1"/>
  <c r="G5693" i="1"/>
  <c r="K5693" i="1"/>
  <c r="A5694" i="1"/>
  <c r="B5694" i="1"/>
  <c r="C5694" i="1"/>
  <c r="E5694" i="1"/>
  <c r="G5694" i="1"/>
  <c r="K5694" i="1"/>
  <c r="A5695" i="1"/>
  <c r="B5695" i="1"/>
  <c r="C5695" i="1"/>
  <c r="E5695" i="1"/>
  <c r="G5695" i="1"/>
  <c r="K5695" i="1"/>
  <c r="A5696" i="1"/>
  <c r="B5696" i="1"/>
  <c r="C5696" i="1"/>
  <c r="E5696" i="1"/>
  <c r="G5696" i="1"/>
  <c r="K5696" i="1"/>
  <c r="A5697" i="1"/>
  <c r="B5697" i="1"/>
  <c r="C5697" i="1"/>
  <c r="E5697" i="1"/>
  <c r="G5697" i="1"/>
  <c r="K5697" i="1"/>
  <c r="A5698" i="1"/>
  <c r="B5698" i="1"/>
  <c r="C5698" i="1"/>
  <c r="E5698" i="1"/>
  <c r="G5698" i="1"/>
  <c r="K5698" i="1"/>
  <c r="A5699" i="1"/>
  <c r="B5699" i="1"/>
  <c r="C5699" i="1"/>
  <c r="E5699" i="1"/>
  <c r="G5699" i="1"/>
  <c r="K5699" i="1"/>
  <c r="A5700" i="1"/>
  <c r="B5700" i="1"/>
  <c r="C5700" i="1"/>
  <c r="E5700" i="1"/>
  <c r="G5700" i="1"/>
  <c r="K5700" i="1"/>
  <c r="A5701" i="1"/>
  <c r="B5701" i="1"/>
  <c r="C5701" i="1"/>
  <c r="E5701" i="1"/>
  <c r="G5701" i="1"/>
  <c r="K5701" i="1"/>
  <c r="A5702" i="1"/>
  <c r="B5702" i="1"/>
  <c r="C5702" i="1"/>
  <c r="E5702" i="1"/>
  <c r="G5702" i="1"/>
  <c r="K5702" i="1"/>
  <c r="A5703" i="1"/>
  <c r="B5703" i="1"/>
  <c r="C5703" i="1"/>
  <c r="E5703" i="1"/>
  <c r="G5703" i="1"/>
  <c r="K5703" i="1"/>
  <c r="A5704" i="1"/>
  <c r="B5704" i="1"/>
  <c r="C5704" i="1"/>
  <c r="E5704" i="1"/>
  <c r="G5704" i="1"/>
  <c r="K5704" i="1"/>
  <c r="A5705" i="1"/>
  <c r="B5705" i="1"/>
  <c r="C5705" i="1"/>
  <c r="E5705" i="1"/>
  <c r="G5705" i="1"/>
  <c r="K5705" i="1"/>
  <c r="A5706" i="1"/>
  <c r="B5706" i="1"/>
  <c r="C5706" i="1"/>
  <c r="E5706" i="1"/>
  <c r="G5706" i="1"/>
  <c r="K5706" i="1"/>
  <c r="A5707" i="1"/>
  <c r="B5707" i="1"/>
  <c r="C5707" i="1"/>
  <c r="E5707" i="1"/>
  <c r="G5707" i="1"/>
  <c r="K5707" i="1"/>
  <c r="A5708" i="1"/>
  <c r="B5708" i="1"/>
  <c r="C5708" i="1"/>
  <c r="E5708" i="1"/>
  <c r="G5708" i="1"/>
  <c r="K5708" i="1"/>
  <c r="A5709" i="1"/>
  <c r="B5709" i="1"/>
  <c r="C5709" i="1"/>
  <c r="E5709" i="1"/>
  <c r="G5709" i="1"/>
  <c r="K5709" i="1"/>
  <c r="A5710" i="1"/>
  <c r="B5710" i="1"/>
  <c r="C5710" i="1"/>
  <c r="E5710" i="1"/>
  <c r="G5710" i="1"/>
  <c r="K5710" i="1"/>
  <c r="A5711" i="1"/>
  <c r="B5711" i="1"/>
  <c r="C5711" i="1"/>
  <c r="E5711" i="1"/>
  <c r="G5711" i="1"/>
  <c r="K5711" i="1"/>
  <c r="A5712" i="1"/>
  <c r="B5712" i="1"/>
  <c r="C5712" i="1"/>
  <c r="E5712" i="1"/>
  <c r="G5712" i="1"/>
  <c r="K5712" i="1"/>
  <c r="A5713" i="1"/>
  <c r="B5713" i="1"/>
  <c r="C5713" i="1"/>
  <c r="E5713" i="1"/>
  <c r="G5713" i="1"/>
  <c r="K5713" i="1"/>
  <c r="A5714" i="1"/>
  <c r="B5714" i="1"/>
  <c r="C5714" i="1"/>
  <c r="E5714" i="1"/>
  <c r="G5714" i="1"/>
  <c r="K5714" i="1"/>
  <c r="A5715" i="1"/>
  <c r="B5715" i="1"/>
  <c r="C5715" i="1"/>
  <c r="E5715" i="1"/>
  <c r="G5715" i="1"/>
  <c r="K5715" i="1"/>
  <c r="A5716" i="1"/>
  <c r="B5716" i="1"/>
  <c r="C5716" i="1"/>
  <c r="E5716" i="1"/>
  <c r="G5716" i="1"/>
  <c r="K5716" i="1"/>
  <c r="A5717" i="1"/>
  <c r="B5717" i="1"/>
  <c r="C5717" i="1"/>
  <c r="E5717" i="1"/>
  <c r="G5717" i="1"/>
  <c r="K5717" i="1"/>
  <c r="A5718" i="1"/>
  <c r="B5718" i="1"/>
  <c r="C5718" i="1"/>
  <c r="E5718" i="1"/>
  <c r="G5718" i="1"/>
  <c r="K5718" i="1"/>
  <c r="A5719" i="1"/>
  <c r="B5719" i="1"/>
  <c r="C5719" i="1"/>
  <c r="E5719" i="1"/>
  <c r="G5719" i="1"/>
  <c r="K5719" i="1"/>
  <c r="A5720" i="1"/>
  <c r="B5720" i="1"/>
  <c r="C5720" i="1"/>
  <c r="E5720" i="1"/>
  <c r="G5720" i="1"/>
  <c r="K5720" i="1"/>
  <c r="A5721" i="1"/>
  <c r="B5721" i="1"/>
  <c r="C5721" i="1"/>
  <c r="E5721" i="1"/>
  <c r="G5721" i="1"/>
  <c r="K5721" i="1"/>
  <c r="A5722" i="1"/>
  <c r="B5722" i="1"/>
  <c r="C5722" i="1"/>
  <c r="E5722" i="1"/>
  <c r="G5722" i="1"/>
  <c r="K5722" i="1"/>
  <c r="A5723" i="1"/>
  <c r="B5723" i="1"/>
  <c r="C5723" i="1"/>
  <c r="E5723" i="1"/>
  <c r="G5723" i="1"/>
  <c r="K5723" i="1"/>
  <c r="A5724" i="1"/>
  <c r="B5724" i="1"/>
  <c r="C5724" i="1"/>
  <c r="E5724" i="1"/>
  <c r="G5724" i="1"/>
  <c r="K5724" i="1"/>
  <c r="A5725" i="1"/>
  <c r="B5725" i="1"/>
  <c r="C5725" i="1"/>
  <c r="E5725" i="1"/>
  <c r="G5725" i="1"/>
  <c r="K5725" i="1"/>
  <c r="A5726" i="1"/>
  <c r="B5726" i="1"/>
  <c r="C5726" i="1"/>
  <c r="E5726" i="1"/>
  <c r="G5726" i="1"/>
  <c r="K5726" i="1"/>
  <c r="A5727" i="1"/>
  <c r="B5727" i="1"/>
  <c r="C5727" i="1"/>
  <c r="E5727" i="1"/>
  <c r="G5727" i="1"/>
  <c r="K5727" i="1"/>
  <c r="A5728" i="1"/>
  <c r="B5728" i="1"/>
  <c r="C5728" i="1"/>
  <c r="E5728" i="1"/>
  <c r="G5728" i="1"/>
  <c r="K5728" i="1"/>
  <c r="A5729" i="1"/>
  <c r="B5729" i="1"/>
  <c r="C5729" i="1"/>
  <c r="E5729" i="1"/>
  <c r="G5729" i="1"/>
  <c r="K5729" i="1"/>
  <c r="A5730" i="1"/>
  <c r="B5730" i="1"/>
  <c r="C5730" i="1"/>
  <c r="E5730" i="1"/>
  <c r="G5730" i="1"/>
  <c r="K5730" i="1"/>
  <c r="A5731" i="1"/>
  <c r="B5731" i="1"/>
  <c r="C5731" i="1"/>
  <c r="E5731" i="1"/>
  <c r="G5731" i="1"/>
  <c r="K5731" i="1"/>
  <c r="A5732" i="1"/>
  <c r="B5732" i="1"/>
  <c r="C5732" i="1"/>
  <c r="E5732" i="1"/>
  <c r="G5732" i="1"/>
  <c r="K5732" i="1"/>
  <c r="A5733" i="1"/>
  <c r="B5733" i="1"/>
  <c r="C5733" i="1"/>
  <c r="E5733" i="1"/>
  <c r="G5733" i="1"/>
  <c r="K5733" i="1"/>
  <c r="A5734" i="1"/>
  <c r="B5734" i="1"/>
  <c r="C5734" i="1"/>
  <c r="E5734" i="1"/>
  <c r="G5734" i="1"/>
  <c r="K5734" i="1"/>
  <c r="A5735" i="1"/>
  <c r="B5735" i="1"/>
  <c r="C5735" i="1"/>
  <c r="E5735" i="1"/>
  <c r="G5735" i="1"/>
  <c r="K5735" i="1"/>
  <c r="A5736" i="1"/>
  <c r="B5736" i="1"/>
  <c r="C5736" i="1"/>
  <c r="E5736" i="1"/>
  <c r="G5736" i="1"/>
  <c r="K5736" i="1"/>
  <c r="A5737" i="1"/>
  <c r="B5737" i="1"/>
  <c r="C5737" i="1"/>
  <c r="E5737" i="1"/>
  <c r="G5737" i="1"/>
  <c r="K5737" i="1"/>
  <c r="A5738" i="1"/>
  <c r="B5738" i="1"/>
  <c r="C5738" i="1"/>
  <c r="E5738" i="1"/>
  <c r="G5738" i="1"/>
  <c r="K5738" i="1"/>
  <c r="A5739" i="1"/>
  <c r="B5739" i="1"/>
  <c r="C5739" i="1"/>
  <c r="E5739" i="1"/>
  <c r="G5739" i="1"/>
  <c r="K5739" i="1"/>
  <c r="A5740" i="1"/>
  <c r="B5740" i="1"/>
  <c r="C5740" i="1"/>
  <c r="E5740" i="1"/>
  <c r="G5740" i="1"/>
  <c r="K5740" i="1"/>
  <c r="A5741" i="1"/>
  <c r="B5741" i="1"/>
  <c r="C5741" i="1"/>
  <c r="E5741" i="1"/>
  <c r="G5741" i="1"/>
  <c r="K5741" i="1"/>
  <c r="A5742" i="1"/>
  <c r="B5742" i="1"/>
  <c r="C5742" i="1"/>
  <c r="E5742" i="1"/>
  <c r="G5742" i="1"/>
  <c r="K5742" i="1"/>
  <c r="A5743" i="1"/>
  <c r="B5743" i="1"/>
  <c r="C5743" i="1"/>
  <c r="E5743" i="1"/>
  <c r="G5743" i="1"/>
  <c r="K5743" i="1"/>
  <c r="A5744" i="1"/>
  <c r="B5744" i="1"/>
  <c r="C5744" i="1"/>
  <c r="E5744" i="1"/>
  <c r="G5744" i="1"/>
  <c r="K5744" i="1"/>
  <c r="A5745" i="1"/>
  <c r="B5745" i="1"/>
  <c r="C5745" i="1"/>
  <c r="E5745" i="1"/>
  <c r="G5745" i="1"/>
  <c r="K5745" i="1"/>
  <c r="A5746" i="1"/>
  <c r="B5746" i="1"/>
  <c r="C5746" i="1"/>
  <c r="E5746" i="1"/>
  <c r="G5746" i="1"/>
  <c r="K5746" i="1"/>
  <c r="A5747" i="1"/>
  <c r="B5747" i="1"/>
  <c r="C5747" i="1"/>
  <c r="E5747" i="1"/>
  <c r="G5747" i="1"/>
  <c r="K5747" i="1"/>
  <c r="A5748" i="1"/>
  <c r="B5748" i="1"/>
  <c r="C5748" i="1"/>
  <c r="E5748" i="1"/>
  <c r="G5748" i="1"/>
  <c r="K5748" i="1"/>
  <c r="A5749" i="1"/>
  <c r="B5749" i="1"/>
  <c r="C5749" i="1"/>
  <c r="E5749" i="1"/>
  <c r="G5749" i="1"/>
  <c r="K5749" i="1"/>
  <c r="A5750" i="1"/>
  <c r="B5750" i="1"/>
  <c r="C5750" i="1"/>
  <c r="E5750" i="1"/>
  <c r="G5750" i="1"/>
  <c r="K5750" i="1"/>
  <c r="A5751" i="1"/>
  <c r="B5751" i="1"/>
  <c r="C5751" i="1"/>
  <c r="E5751" i="1"/>
  <c r="G5751" i="1"/>
  <c r="K5751" i="1"/>
  <c r="A5752" i="1"/>
  <c r="B5752" i="1"/>
  <c r="C5752" i="1"/>
  <c r="E5752" i="1"/>
  <c r="G5752" i="1"/>
  <c r="K5752" i="1"/>
  <c r="A5753" i="1"/>
  <c r="B5753" i="1"/>
  <c r="C5753" i="1"/>
  <c r="E5753" i="1"/>
  <c r="G5753" i="1"/>
  <c r="K5753" i="1"/>
  <c r="A5754" i="1"/>
  <c r="B5754" i="1"/>
  <c r="C5754" i="1"/>
  <c r="E5754" i="1"/>
  <c r="G5754" i="1"/>
  <c r="K5754" i="1"/>
  <c r="A5755" i="1"/>
  <c r="B5755" i="1"/>
  <c r="C5755" i="1"/>
  <c r="E5755" i="1"/>
  <c r="G5755" i="1"/>
  <c r="K5755" i="1"/>
  <c r="A5756" i="1"/>
  <c r="B5756" i="1"/>
  <c r="C5756" i="1"/>
  <c r="E5756" i="1"/>
  <c r="G5756" i="1"/>
  <c r="K5756" i="1"/>
  <c r="A5757" i="1"/>
  <c r="B5757" i="1"/>
  <c r="C5757" i="1"/>
  <c r="E5757" i="1"/>
  <c r="G5757" i="1"/>
  <c r="K5757" i="1"/>
  <c r="A5758" i="1"/>
  <c r="B5758" i="1"/>
  <c r="C5758" i="1"/>
  <c r="E5758" i="1"/>
  <c r="G5758" i="1"/>
  <c r="K5758" i="1"/>
  <c r="A5759" i="1"/>
  <c r="B5759" i="1"/>
  <c r="C5759" i="1"/>
  <c r="E5759" i="1"/>
  <c r="G5759" i="1"/>
  <c r="K5759" i="1"/>
  <c r="A5760" i="1"/>
  <c r="B5760" i="1"/>
  <c r="C5760" i="1"/>
  <c r="E5760" i="1"/>
  <c r="G5760" i="1"/>
  <c r="K5760" i="1"/>
  <c r="A5761" i="1"/>
  <c r="B5761" i="1"/>
  <c r="C5761" i="1"/>
  <c r="E5761" i="1"/>
  <c r="G5761" i="1"/>
  <c r="K5761" i="1"/>
  <c r="A5762" i="1"/>
  <c r="B5762" i="1"/>
  <c r="C5762" i="1"/>
  <c r="E5762" i="1"/>
  <c r="G5762" i="1"/>
  <c r="K5762" i="1"/>
  <c r="A5763" i="1"/>
  <c r="B5763" i="1"/>
  <c r="C5763" i="1"/>
  <c r="E5763" i="1"/>
  <c r="G5763" i="1"/>
  <c r="K5763" i="1"/>
  <c r="A5764" i="1"/>
  <c r="B5764" i="1"/>
  <c r="C5764" i="1"/>
  <c r="E5764" i="1"/>
  <c r="G5764" i="1"/>
  <c r="K5764" i="1"/>
  <c r="A5765" i="1"/>
  <c r="B5765" i="1"/>
  <c r="C5765" i="1"/>
  <c r="E5765" i="1"/>
  <c r="G5765" i="1"/>
  <c r="K5765" i="1"/>
  <c r="A5766" i="1"/>
  <c r="B5766" i="1"/>
  <c r="C5766" i="1"/>
  <c r="E5766" i="1"/>
  <c r="G5766" i="1"/>
  <c r="K5766" i="1"/>
  <c r="A5767" i="1"/>
  <c r="B5767" i="1"/>
  <c r="C5767" i="1"/>
  <c r="E5767" i="1"/>
  <c r="G5767" i="1"/>
  <c r="K5767" i="1"/>
  <c r="A5768" i="1"/>
  <c r="B5768" i="1"/>
  <c r="C5768" i="1"/>
  <c r="E5768" i="1"/>
  <c r="G5768" i="1"/>
  <c r="K5768" i="1"/>
  <c r="A5769" i="1"/>
  <c r="B5769" i="1"/>
  <c r="C5769" i="1"/>
  <c r="E5769" i="1"/>
  <c r="G5769" i="1"/>
  <c r="K5769" i="1"/>
  <c r="A5770" i="1"/>
  <c r="B5770" i="1"/>
  <c r="C5770" i="1"/>
  <c r="E5770" i="1"/>
  <c r="G5770" i="1"/>
  <c r="K5770" i="1"/>
  <c r="A5771" i="1"/>
  <c r="B5771" i="1"/>
  <c r="C5771" i="1"/>
  <c r="E5771" i="1"/>
  <c r="G5771" i="1"/>
  <c r="K5771" i="1"/>
  <c r="A5772" i="1"/>
  <c r="B5772" i="1"/>
  <c r="C5772" i="1"/>
  <c r="E5772" i="1"/>
  <c r="G5772" i="1"/>
  <c r="K5772" i="1"/>
  <c r="A5773" i="1"/>
  <c r="B5773" i="1"/>
  <c r="C5773" i="1"/>
  <c r="E5773" i="1"/>
  <c r="G5773" i="1"/>
  <c r="K5773" i="1"/>
  <c r="A5774" i="1"/>
  <c r="B5774" i="1"/>
  <c r="C5774" i="1"/>
  <c r="E5774" i="1"/>
  <c r="G5774" i="1"/>
  <c r="K5774" i="1"/>
  <c r="A5775" i="1"/>
  <c r="B5775" i="1"/>
  <c r="C5775" i="1"/>
  <c r="E5775" i="1"/>
  <c r="G5775" i="1"/>
  <c r="K5775" i="1"/>
  <c r="A5776" i="1"/>
  <c r="B5776" i="1"/>
  <c r="C5776" i="1"/>
  <c r="E5776" i="1"/>
  <c r="G5776" i="1"/>
  <c r="K5776" i="1"/>
  <c r="A5777" i="1"/>
  <c r="B5777" i="1"/>
  <c r="C5777" i="1"/>
  <c r="E5777" i="1"/>
  <c r="G5777" i="1"/>
  <c r="K5777" i="1"/>
  <c r="A5778" i="1"/>
  <c r="B5778" i="1"/>
  <c r="C5778" i="1"/>
  <c r="E5778" i="1"/>
  <c r="G5778" i="1"/>
  <c r="K5778" i="1"/>
  <c r="A5779" i="1"/>
  <c r="B5779" i="1"/>
  <c r="C5779" i="1"/>
  <c r="E5779" i="1"/>
  <c r="G5779" i="1"/>
  <c r="K5779" i="1"/>
  <c r="A5780" i="1"/>
  <c r="B5780" i="1"/>
  <c r="C5780" i="1"/>
  <c r="E5780" i="1"/>
  <c r="G5780" i="1"/>
  <c r="K5780" i="1"/>
  <c r="A5781" i="1"/>
  <c r="B5781" i="1"/>
  <c r="C5781" i="1"/>
  <c r="E5781" i="1"/>
  <c r="G5781" i="1"/>
  <c r="K5781" i="1"/>
  <c r="A5782" i="1"/>
  <c r="B5782" i="1"/>
  <c r="C5782" i="1"/>
  <c r="E5782" i="1"/>
  <c r="G5782" i="1"/>
  <c r="K5782" i="1"/>
  <c r="A5783" i="1"/>
  <c r="B5783" i="1"/>
  <c r="C5783" i="1"/>
  <c r="E5783" i="1"/>
  <c r="G5783" i="1"/>
  <c r="K5783" i="1"/>
  <c r="A5784" i="1"/>
  <c r="B5784" i="1"/>
  <c r="C5784" i="1"/>
  <c r="E5784" i="1"/>
  <c r="G5784" i="1"/>
  <c r="K5784" i="1"/>
  <c r="A5785" i="1"/>
  <c r="B5785" i="1"/>
  <c r="C5785" i="1"/>
  <c r="E5785" i="1"/>
  <c r="G5785" i="1"/>
  <c r="K5785" i="1"/>
  <c r="A5786" i="1"/>
  <c r="B5786" i="1"/>
  <c r="C5786" i="1"/>
  <c r="E5786" i="1"/>
  <c r="G5786" i="1"/>
  <c r="K5786" i="1"/>
  <c r="A5787" i="1"/>
  <c r="B5787" i="1"/>
  <c r="C5787" i="1"/>
  <c r="E5787" i="1"/>
  <c r="G5787" i="1"/>
  <c r="K5787" i="1"/>
  <c r="A5788" i="1"/>
  <c r="B5788" i="1"/>
  <c r="C5788" i="1"/>
  <c r="E5788" i="1"/>
  <c r="G5788" i="1"/>
  <c r="K5788" i="1"/>
  <c r="A5789" i="1"/>
  <c r="B5789" i="1"/>
  <c r="C5789" i="1"/>
  <c r="E5789" i="1"/>
  <c r="G5789" i="1"/>
  <c r="K5789" i="1"/>
  <c r="A5790" i="1"/>
  <c r="B5790" i="1"/>
  <c r="C5790" i="1"/>
  <c r="E5790" i="1"/>
  <c r="G5790" i="1"/>
  <c r="K5790" i="1"/>
  <c r="A5791" i="1"/>
  <c r="B5791" i="1"/>
  <c r="C5791" i="1"/>
  <c r="E5791" i="1"/>
  <c r="G5791" i="1"/>
  <c r="K5791" i="1"/>
  <c r="A5792" i="1"/>
  <c r="B5792" i="1"/>
  <c r="C5792" i="1"/>
  <c r="E5792" i="1"/>
  <c r="G5792" i="1"/>
  <c r="K5792" i="1"/>
  <c r="A5793" i="1"/>
  <c r="B5793" i="1"/>
  <c r="C5793" i="1"/>
  <c r="E5793" i="1"/>
  <c r="G5793" i="1"/>
  <c r="K5793" i="1"/>
  <c r="A5794" i="1"/>
  <c r="B5794" i="1"/>
  <c r="C5794" i="1"/>
  <c r="E5794" i="1"/>
  <c r="G5794" i="1"/>
  <c r="K5794" i="1"/>
  <c r="A5795" i="1"/>
  <c r="B5795" i="1"/>
  <c r="C5795" i="1"/>
  <c r="E5795" i="1"/>
  <c r="G5795" i="1"/>
  <c r="K5795" i="1"/>
  <c r="A5796" i="1"/>
  <c r="B5796" i="1"/>
  <c r="C5796" i="1"/>
  <c r="E5796" i="1"/>
  <c r="G5796" i="1"/>
  <c r="K5796" i="1"/>
  <c r="A5797" i="1"/>
  <c r="B5797" i="1"/>
  <c r="C5797" i="1"/>
  <c r="E5797" i="1"/>
  <c r="G5797" i="1"/>
  <c r="K5797" i="1"/>
  <c r="A5798" i="1"/>
  <c r="B5798" i="1"/>
  <c r="C5798" i="1"/>
  <c r="E5798" i="1"/>
  <c r="G5798" i="1"/>
  <c r="K5798" i="1"/>
  <c r="A5799" i="1"/>
  <c r="B5799" i="1"/>
  <c r="C5799" i="1"/>
  <c r="E5799" i="1"/>
  <c r="G5799" i="1"/>
  <c r="K5799" i="1"/>
  <c r="A5800" i="1"/>
  <c r="B5800" i="1"/>
  <c r="C5800" i="1"/>
  <c r="E5800" i="1"/>
  <c r="G5800" i="1"/>
  <c r="K5800" i="1"/>
  <c r="A5801" i="1"/>
  <c r="B5801" i="1"/>
  <c r="C5801" i="1"/>
  <c r="E5801" i="1"/>
  <c r="G5801" i="1"/>
  <c r="K5801" i="1"/>
  <c r="A5802" i="1"/>
  <c r="B5802" i="1"/>
  <c r="C5802" i="1"/>
  <c r="E5802" i="1"/>
  <c r="G5802" i="1"/>
  <c r="K5802" i="1"/>
  <c r="A5803" i="1"/>
  <c r="B5803" i="1"/>
  <c r="C5803" i="1"/>
  <c r="E5803" i="1"/>
  <c r="G5803" i="1"/>
  <c r="K5803" i="1"/>
  <c r="A5804" i="1"/>
  <c r="B5804" i="1"/>
  <c r="C5804" i="1"/>
  <c r="E5804" i="1"/>
  <c r="G5804" i="1"/>
  <c r="K5804" i="1"/>
  <c r="A5805" i="1"/>
  <c r="B5805" i="1"/>
  <c r="C5805" i="1"/>
  <c r="E5805" i="1"/>
  <c r="G5805" i="1"/>
  <c r="K5805" i="1"/>
  <c r="A5806" i="1"/>
  <c r="B5806" i="1"/>
  <c r="C5806" i="1"/>
  <c r="E5806" i="1"/>
  <c r="G5806" i="1"/>
  <c r="K5806" i="1"/>
  <c r="A5807" i="1"/>
  <c r="B5807" i="1"/>
  <c r="C5807" i="1"/>
  <c r="E5807" i="1"/>
  <c r="G5807" i="1"/>
  <c r="K5807" i="1"/>
  <c r="A5808" i="1"/>
  <c r="B5808" i="1"/>
  <c r="C5808" i="1"/>
  <c r="E5808" i="1"/>
  <c r="G5808" i="1"/>
  <c r="K5808" i="1"/>
  <c r="A5809" i="1"/>
  <c r="B5809" i="1"/>
  <c r="C5809" i="1"/>
  <c r="E5809" i="1"/>
  <c r="G5809" i="1"/>
  <c r="K5809" i="1"/>
  <c r="A5810" i="1"/>
  <c r="B5810" i="1"/>
  <c r="C5810" i="1"/>
  <c r="E5810" i="1"/>
  <c r="G5810" i="1"/>
  <c r="K5810" i="1"/>
  <c r="A5811" i="1"/>
  <c r="B5811" i="1"/>
  <c r="C5811" i="1"/>
  <c r="E5811" i="1"/>
  <c r="G5811" i="1"/>
  <c r="K5811" i="1"/>
  <c r="A5812" i="1"/>
  <c r="B5812" i="1"/>
  <c r="C5812" i="1"/>
  <c r="E5812" i="1"/>
  <c r="G5812" i="1"/>
  <c r="K5812" i="1"/>
  <c r="A5813" i="1"/>
  <c r="B5813" i="1"/>
  <c r="C5813" i="1"/>
  <c r="E5813" i="1"/>
  <c r="G5813" i="1"/>
  <c r="K5813" i="1"/>
  <c r="A5814" i="1"/>
  <c r="B5814" i="1"/>
  <c r="C5814" i="1"/>
  <c r="E5814" i="1"/>
  <c r="G5814" i="1"/>
  <c r="K5814" i="1"/>
  <c r="A5815" i="1"/>
  <c r="B5815" i="1"/>
  <c r="C5815" i="1"/>
  <c r="E5815" i="1"/>
  <c r="G5815" i="1"/>
  <c r="K5815" i="1"/>
  <c r="A5816" i="1"/>
  <c r="B5816" i="1"/>
  <c r="C5816" i="1"/>
  <c r="E5816" i="1"/>
  <c r="G5816" i="1"/>
  <c r="K5816" i="1"/>
  <c r="A5817" i="1"/>
  <c r="B5817" i="1"/>
  <c r="C5817" i="1"/>
  <c r="E5817" i="1"/>
  <c r="G5817" i="1"/>
  <c r="K5817" i="1"/>
  <c r="A5818" i="1"/>
  <c r="B5818" i="1"/>
  <c r="C5818" i="1"/>
  <c r="E5818" i="1"/>
  <c r="G5818" i="1"/>
  <c r="K5818" i="1"/>
  <c r="A5819" i="1"/>
  <c r="B5819" i="1"/>
  <c r="C5819" i="1"/>
  <c r="E5819" i="1"/>
  <c r="G5819" i="1"/>
  <c r="K5819" i="1"/>
  <c r="A5820" i="1"/>
  <c r="B5820" i="1"/>
  <c r="C5820" i="1"/>
  <c r="E5820" i="1"/>
  <c r="G5820" i="1"/>
  <c r="K5820" i="1"/>
  <c r="A5821" i="1"/>
  <c r="B5821" i="1"/>
  <c r="C5821" i="1"/>
  <c r="E5821" i="1"/>
  <c r="G5821" i="1"/>
  <c r="K5821" i="1"/>
  <c r="A5822" i="1"/>
  <c r="B5822" i="1"/>
  <c r="C5822" i="1"/>
  <c r="E5822" i="1"/>
  <c r="G5822" i="1"/>
  <c r="K5822" i="1"/>
  <c r="A5823" i="1"/>
  <c r="B5823" i="1"/>
  <c r="C5823" i="1"/>
  <c r="E5823" i="1"/>
  <c r="G5823" i="1"/>
  <c r="K5823" i="1"/>
  <c r="A5824" i="1"/>
  <c r="B5824" i="1"/>
  <c r="C5824" i="1"/>
  <c r="E5824" i="1"/>
  <c r="G5824" i="1"/>
  <c r="K5824" i="1"/>
  <c r="A5825" i="1"/>
  <c r="B5825" i="1"/>
  <c r="C5825" i="1"/>
  <c r="E5825" i="1"/>
  <c r="G5825" i="1"/>
  <c r="K5825" i="1"/>
  <c r="A5826" i="1"/>
  <c r="B5826" i="1"/>
  <c r="C5826" i="1"/>
  <c r="E5826" i="1"/>
  <c r="G5826" i="1"/>
  <c r="K5826" i="1"/>
  <c r="A5827" i="1"/>
  <c r="B5827" i="1"/>
  <c r="C5827" i="1"/>
  <c r="E5827" i="1"/>
  <c r="G5827" i="1"/>
  <c r="K5827" i="1"/>
  <c r="A5828" i="1"/>
  <c r="B5828" i="1"/>
  <c r="C5828" i="1"/>
  <c r="E5828" i="1"/>
  <c r="G5828" i="1"/>
  <c r="K5828" i="1"/>
  <c r="A5829" i="1"/>
  <c r="B5829" i="1"/>
  <c r="C5829" i="1"/>
  <c r="E5829" i="1"/>
  <c r="G5829" i="1"/>
  <c r="K5829" i="1"/>
  <c r="A5830" i="1"/>
  <c r="B5830" i="1"/>
  <c r="C5830" i="1"/>
  <c r="E5830" i="1"/>
  <c r="G5830" i="1"/>
  <c r="K5830" i="1"/>
  <c r="A5831" i="1"/>
  <c r="B5831" i="1"/>
  <c r="C5831" i="1"/>
  <c r="E5831" i="1"/>
  <c r="G5831" i="1"/>
  <c r="K5831" i="1"/>
  <c r="A5832" i="1"/>
  <c r="B5832" i="1"/>
  <c r="C5832" i="1"/>
  <c r="E5832" i="1"/>
  <c r="G5832" i="1"/>
  <c r="K5832" i="1"/>
  <c r="A5833" i="1"/>
  <c r="B5833" i="1"/>
  <c r="C5833" i="1"/>
  <c r="E5833" i="1"/>
  <c r="G5833" i="1"/>
  <c r="K5833" i="1"/>
  <c r="A5834" i="1"/>
  <c r="B5834" i="1"/>
  <c r="C5834" i="1"/>
  <c r="E5834" i="1"/>
  <c r="G5834" i="1"/>
  <c r="K5834" i="1"/>
  <c r="A5835" i="1"/>
  <c r="B5835" i="1"/>
  <c r="C5835" i="1"/>
  <c r="E5835" i="1"/>
  <c r="G5835" i="1"/>
  <c r="K5835" i="1"/>
  <c r="A5836" i="1"/>
  <c r="B5836" i="1"/>
  <c r="C5836" i="1"/>
  <c r="E5836" i="1"/>
  <c r="G5836" i="1"/>
  <c r="K5836" i="1"/>
  <c r="A5837" i="1"/>
  <c r="B5837" i="1"/>
  <c r="C5837" i="1"/>
  <c r="E5837" i="1"/>
  <c r="G5837" i="1"/>
  <c r="K5837" i="1"/>
  <c r="A5838" i="1"/>
  <c r="B5838" i="1"/>
  <c r="C5838" i="1"/>
  <c r="E5838" i="1"/>
  <c r="G5838" i="1"/>
  <c r="K5838" i="1"/>
  <c r="A5839" i="1"/>
  <c r="B5839" i="1"/>
  <c r="C5839" i="1"/>
  <c r="E5839" i="1"/>
  <c r="G5839" i="1"/>
  <c r="K5839" i="1"/>
  <c r="A5840" i="1"/>
  <c r="B5840" i="1"/>
  <c r="C5840" i="1"/>
  <c r="E5840" i="1"/>
  <c r="G5840" i="1"/>
  <c r="K5840" i="1"/>
  <c r="A5841" i="1"/>
  <c r="B5841" i="1"/>
  <c r="C5841" i="1"/>
  <c r="E5841" i="1"/>
  <c r="G5841" i="1"/>
  <c r="K5841" i="1"/>
  <c r="A5842" i="1"/>
  <c r="B5842" i="1"/>
  <c r="C5842" i="1"/>
  <c r="E5842" i="1"/>
  <c r="G5842" i="1"/>
  <c r="K5842" i="1"/>
  <c r="A5843" i="1"/>
  <c r="B5843" i="1"/>
  <c r="C5843" i="1"/>
  <c r="E5843" i="1"/>
  <c r="G5843" i="1"/>
  <c r="K5843" i="1"/>
  <c r="A5844" i="1"/>
  <c r="B5844" i="1"/>
  <c r="C5844" i="1"/>
  <c r="E5844" i="1"/>
  <c r="G5844" i="1"/>
  <c r="K5844" i="1"/>
  <c r="A5845" i="1"/>
  <c r="B5845" i="1"/>
  <c r="C5845" i="1"/>
  <c r="E5845" i="1"/>
  <c r="G5845" i="1"/>
  <c r="K5845" i="1"/>
  <c r="A5846" i="1"/>
  <c r="B5846" i="1"/>
  <c r="C5846" i="1"/>
  <c r="E5846" i="1"/>
  <c r="G5846" i="1"/>
  <c r="K5846" i="1"/>
  <c r="A5847" i="1"/>
  <c r="B5847" i="1"/>
  <c r="C5847" i="1"/>
  <c r="E5847" i="1"/>
  <c r="G5847" i="1"/>
  <c r="K5847" i="1"/>
  <c r="A5848" i="1"/>
  <c r="B5848" i="1"/>
  <c r="C5848" i="1"/>
  <c r="E5848" i="1"/>
  <c r="G5848" i="1"/>
  <c r="K5848" i="1"/>
  <c r="A5849" i="1"/>
  <c r="B5849" i="1"/>
  <c r="C5849" i="1"/>
  <c r="E5849" i="1"/>
  <c r="G5849" i="1"/>
  <c r="K5849" i="1"/>
  <c r="A5850" i="1"/>
  <c r="B5850" i="1"/>
  <c r="C5850" i="1"/>
  <c r="E5850" i="1"/>
  <c r="G5850" i="1"/>
  <c r="K5850" i="1"/>
  <c r="A5851" i="1"/>
  <c r="B5851" i="1"/>
  <c r="C5851" i="1"/>
  <c r="E5851" i="1"/>
  <c r="G5851" i="1"/>
  <c r="K5851" i="1"/>
  <c r="A5852" i="1"/>
  <c r="B5852" i="1"/>
  <c r="C5852" i="1"/>
  <c r="E5852" i="1"/>
  <c r="G5852" i="1"/>
  <c r="K5852" i="1"/>
  <c r="A5853" i="1"/>
  <c r="B5853" i="1"/>
  <c r="C5853" i="1"/>
  <c r="E5853" i="1"/>
  <c r="G5853" i="1"/>
  <c r="K5853" i="1"/>
  <c r="A5854" i="1"/>
  <c r="B5854" i="1"/>
  <c r="C5854" i="1"/>
  <c r="E5854" i="1"/>
  <c r="G5854" i="1"/>
  <c r="K5854" i="1"/>
  <c r="A5855" i="1"/>
  <c r="B5855" i="1"/>
  <c r="C5855" i="1"/>
  <c r="E5855" i="1"/>
  <c r="G5855" i="1"/>
  <c r="K5855" i="1"/>
  <c r="A5856" i="1"/>
  <c r="B5856" i="1"/>
  <c r="C5856" i="1"/>
  <c r="E5856" i="1"/>
  <c r="G5856" i="1"/>
  <c r="K5856" i="1"/>
  <c r="A5857" i="1"/>
  <c r="B5857" i="1"/>
  <c r="C5857" i="1"/>
  <c r="E5857" i="1"/>
  <c r="G5857" i="1"/>
  <c r="K5857" i="1"/>
  <c r="A5858" i="1"/>
  <c r="B5858" i="1"/>
  <c r="C5858" i="1"/>
  <c r="E5858" i="1"/>
  <c r="G5858" i="1"/>
  <c r="K5858" i="1"/>
  <c r="A5859" i="1"/>
  <c r="B5859" i="1"/>
  <c r="C5859" i="1"/>
  <c r="E5859" i="1"/>
  <c r="G5859" i="1"/>
  <c r="K5859" i="1"/>
  <c r="A5860" i="1"/>
  <c r="B5860" i="1"/>
  <c r="C5860" i="1"/>
  <c r="E5860" i="1"/>
  <c r="G5860" i="1"/>
  <c r="K5860" i="1"/>
  <c r="A5861" i="1"/>
  <c r="B5861" i="1"/>
  <c r="C5861" i="1"/>
  <c r="E5861" i="1"/>
  <c r="G5861" i="1"/>
  <c r="K5861" i="1"/>
  <c r="A5862" i="1"/>
  <c r="B5862" i="1"/>
  <c r="C5862" i="1"/>
  <c r="E5862" i="1"/>
  <c r="G5862" i="1"/>
  <c r="K5862" i="1"/>
  <c r="A5863" i="1"/>
  <c r="B5863" i="1"/>
  <c r="C5863" i="1"/>
  <c r="E5863" i="1"/>
  <c r="G5863" i="1"/>
  <c r="K5863" i="1"/>
  <c r="A5864" i="1"/>
  <c r="B5864" i="1"/>
  <c r="C5864" i="1"/>
  <c r="E5864" i="1"/>
  <c r="G5864" i="1"/>
  <c r="K5864" i="1"/>
  <c r="A5865" i="1"/>
  <c r="B5865" i="1"/>
  <c r="C5865" i="1"/>
  <c r="E5865" i="1"/>
  <c r="G5865" i="1"/>
  <c r="K5865" i="1"/>
  <c r="A5866" i="1"/>
  <c r="B5866" i="1"/>
  <c r="C5866" i="1"/>
  <c r="E5866" i="1"/>
  <c r="G5866" i="1"/>
  <c r="K5866" i="1"/>
  <c r="A5867" i="1"/>
  <c r="B5867" i="1"/>
  <c r="C5867" i="1"/>
  <c r="E5867" i="1"/>
  <c r="G5867" i="1"/>
  <c r="K5867" i="1"/>
  <c r="A5868" i="1"/>
  <c r="B5868" i="1"/>
  <c r="C5868" i="1"/>
  <c r="E5868" i="1"/>
  <c r="G5868" i="1"/>
  <c r="K5868" i="1"/>
  <c r="A5869" i="1"/>
  <c r="B5869" i="1"/>
  <c r="C5869" i="1"/>
  <c r="E5869" i="1"/>
  <c r="G5869" i="1"/>
  <c r="K5869" i="1"/>
  <c r="A5870" i="1"/>
  <c r="B5870" i="1"/>
  <c r="C5870" i="1"/>
  <c r="E5870" i="1"/>
  <c r="G5870" i="1"/>
  <c r="K5870" i="1"/>
  <c r="A5871" i="1"/>
  <c r="B5871" i="1"/>
  <c r="C5871" i="1"/>
  <c r="E5871" i="1"/>
  <c r="G5871" i="1"/>
  <c r="K5871" i="1"/>
  <c r="A5872" i="1"/>
  <c r="B5872" i="1"/>
  <c r="C5872" i="1"/>
  <c r="E5872" i="1"/>
  <c r="G5872" i="1"/>
  <c r="K5872" i="1"/>
  <c r="A5873" i="1"/>
  <c r="B5873" i="1"/>
  <c r="C5873" i="1"/>
  <c r="E5873" i="1"/>
  <c r="G5873" i="1"/>
  <c r="K5873" i="1"/>
  <c r="A5874" i="1"/>
  <c r="B5874" i="1"/>
  <c r="C5874" i="1"/>
  <c r="E5874" i="1"/>
  <c r="G5874" i="1"/>
  <c r="K5874" i="1"/>
  <c r="A5875" i="1"/>
  <c r="B5875" i="1"/>
  <c r="C5875" i="1"/>
  <c r="E5875" i="1"/>
  <c r="G5875" i="1"/>
  <c r="K5875" i="1"/>
  <c r="A5876" i="1"/>
  <c r="B5876" i="1"/>
  <c r="C5876" i="1"/>
  <c r="E5876" i="1"/>
  <c r="G5876" i="1"/>
  <c r="K5876" i="1"/>
  <c r="A5877" i="1"/>
  <c r="B5877" i="1"/>
  <c r="C5877" i="1"/>
  <c r="E5877" i="1"/>
  <c r="G5877" i="1"/>
  <c r="K5877" i="1"/>
  <c r="A5878" i="1"/>
  <c r="B5878" i="1"/>
  <c r="C5878" i="1"/>
  <c r="E5878" i="1"/>
  <c r="G5878" i="1"/>
  <c r="K5878" i="1"/>
  <c r="A5879" i="1"/>
  <c r="B5879" i="1"/>
  <c r="C5879" i="1"/>
  <c r="E5879" i="1"/>
  <c r="G5879" i="1"/>
  <c r="K5879" i="1"/>
  <c r="A5880" i="1"/>
  <c r="B5880" i="1"/>
  <c r="C5880" i="1"/>
  <c r="E5880" i="1"/>
  <c r="G5880" i="1"/>
  <c r="K5880" i="1"/>
  <c r="A5881" i="1"/>
  <c r="B5881" i="1"/>
  <c r="C5881" i="1"/>
  <c r="E5881" i="1"/>
  <c r="G5881" i="1"/>
  <c r="K5881" i="1"/>
  <c r="A5882" i="1"/>
  <c r="B5882" i="1"/>
  <c r="C5882" i="1"/>
  <c r="E5882" i="1"/>
  <c r="G5882" i="1"/>
  <c r="K5882" i="1"/>
  <c r="A5883" i="1"/>
  <c r="B5883" i="1"/>
  <c r="C5883" i="1"/>
  <c r="E5883" i="1"/>
  <c r="G5883" i="1"/>
  <c r="K5883" i="1"/>
  <c r="A5884" i="1"/>
  <c r="B5884" i="1"/>
  <c r="C5884" i="1"/>
  <c r="E5884" i="1"/>
  <c r="G5884" i="1"/>
  <c r="K5884" i="1"/>
  <c r="A5885" i="1"/>
  <c r="B5885" i="1"/>
  <c r="C5885" i="1"/>
  <c r="E5885" i="1"/>
  <c r="G5885" i="1"/>
  <c r="K5885" i="1"/>
  <c r="A5886" i="1"/>
  <c r="B5886" i="1"/>
  <c r="C5886" i="1"/>
  <c r="E5886" i="1"/>
  <c r="G5886" i="1"/>
  <c r="K5886" i="1"/>
  <c r="A5887" i="1"/>
  <c r="B5887" i="1"/>
  <c r="C5887" i="1"/>
  <c r="E5887" i="1"/>
  <c r="G5887" i="1"/>
  <c r="K5887" i="1"/>
  <c r="A5888" i="1"/>
  <c r="B5888" i="1"/>
  <c r="C5888" i="1"/>
  <c r="E5888" i="1"/>
  <c r="G5888" i="1"/>
  <c r="K5888" i="1"/>
  <c r="A5889" i="1"/>
  <c r="B5889" i="1"/>
  <c r="C5889" i="1"/>
  <c r="E5889" i="1"/>
  <c r="G5889" i="1"/>
  <c r="K5889" i="1"/>
  <c r="A5890" i="1"/>
  <c r="B5890" i="1"/>
  <c r="C5890" i="1"/>
  <c r="E5890" i="1"/>
  <c r="G5890" i="1"/>
  <c r="K5890" i="1"/>
  <c r="A5891" i="1"/>
  <c r="B5891" i="1"/>
  <c r="C5891" i="1"/>
  <c r="E5891" i="1"/>
  <c r="G5891" i="1"/>
  <c r="K5891" i="1"/>
  <c r="A5892" i="1"/>
  <c r="B5892" i="1"/>
  <c r="C5892" i="1"/>
  <c r="E5892" i="1"/>
  <c r="G5892" i="1"/>
  <c r="K5892" i="1"/>
  <c r="A5893" i="1"/>
  <c r="B5893" i="1"/>
  <c r="C5893" i="1"/>
  <c r="E5893" i="1"/>
  <c r="G5893" i="1"/>
  <c r="K5893" i="1"/>
  <c r="A5894" i="1"/>
  <c r="B5894" i="1"/>
  <c r="C5894" i="1"/>
  <c r="E5894" i="1"/>
  <c r="G5894" i="1"/>
  <c r="K5894" i="1"/>
  <c r="A5895" i="1"/>
  <c r="B5895" i="1"/>
  <c r="C5895" i="1"/>
  <c r="E5895" i="1"/>
  <c r="G5895" i="1"/>
  <c r="K5895" i="1"/>
  <c r="A5896" i="1"/>
  <c r="B5896" i="1"/>
  <c r="C5896" i="1"/>
  <c r="E5896" i="1"/>
  <c r="G5896" i="1"/>
  <c r="K5896" i="1"/>
  <c r="A5897" i="1"/>
  <c r="B5897" i="1"/>
  <c r="C5897" i="1"/>
  <c r="E5897" i="1"/>
  <c r="G5897" i="1"/>
  <c r="K5897" i="1"/>
  <c r="A5898" i="1"/>
  <c r="B5898" i="1"/>
  <c r="C5898" i="1"/>
  <c r="E5898" i="1"/>
  <c r="G5898" i="1"/>
  <c r="K5898" i="1"/>
  <c r="A5899" i="1"/>
  <c r="B5899" i="1"/>
  <c r="C5899" i="1"/>
  <c r="E5899" i="1"/>
  <c r="G5899" i="1"/>
  <c r="K5899" i="1"/>
  <c r="A5900" i="1"/>
  <c r="B5900" i="1"/>
  <c r="C5900" i="1"/>
  <c r="E5900" i="1"/>
  <c r="G5900" i="1"/>
  <c r="K5900" i="1"/>
  <c r="A5901" i="1"/>
  <c r="B5901" i="1"/>
  <c r="C5901" i="1"/>
  <c r="E5901" i="1"/>
  <c r="G5901" i="1"/>
  <c r="K5901" i="1"/>
  <c r="A5902" i="1"/>
  <c r="B5902" i="1"/>
  <c r="C5902" i="1"/>
  <c r="E5902" i="1"/>
  <c r="G5902" i="1"/>
  <c r="K5902" i="1"/>
  <c r="A5903" i="1"/>
  <c r="B5903" i="1"/>
  <c r="C5903" i="1"/>
  <c r="E5903" i="1"/>
  <c r="G5903" i="1"/>
  <c r="K5903" i="1"/>
  <c r="A5904" i="1"/>
  <c r="B5904" i="1"/>
  <c r="C5904" i="1"/>
  <c r="E5904" i="1"/>
  <c r="G5904" i="1"/>
  <c r="K5904" i="1"/>
  <c r="A5905" i="1"/>
  <c r="B5905" i="1"/>
  <c r="C5905" i="1"/>
  <c r="E5905" i="1"/>
  <c r="G5905" i="1"/>
  <c r="K5905" i="1"/>
  <c r="A5906" i="1"/>
  <c r="B5906" i="1"/>
  <c r="C5906" i="1"/>
  <c r="E5906" i="1"/>
  <c r="G5906" i="1"/>
  <c r="K5906" i="1"/>
  <c r="A5907" i="1"/>
  <c r="B5907" i="1"/>
  <c r="C5907" i="1"/>
  <c r="E5907" i="1"/>
  <c r="G5907" i="1"/>
  <c r="K5907" i="1"/>
  <c r="A5908" i="1"/>
  <c r="B5908" i="1"/>
  <c r="C5908" i="1"/>
  <c r="E5908" i="1"/>
  <c r="G5908" i="1"/>
  <c r="K5908" i="1"/>
  <c r="A5909" i="1"/>
  <c r="B5909" i="1"/>
  <c r="C5909" i="1"/>
  <c r="E5909" i="1"/>
  <c r="G5909" i="1"/>
  <c r="K5909" i="1"/>
  <c r="A5910" i="1"/>
  <c r="B5910" i="1"/>
  <c r="C5910" i="1"/>
  <c r="E5910" i="1"/>
  <c r="G5910" i="1"/>
  <c r="K5910" i="1"/>
  <c r="A5911" i="1"/>
  <c r="B5911" i="1"/>
  <c r="C5911" i="1"/>
  <c r="E5911" i="1"/>
  <c r="G5911" i="1"/>
  <c r="K5911" i="1"/>
  <c r="A5912" i="1"/>
  <c r="B5912" i="1"/>
  <c r="C5912" i="1"/>
  <c r="E5912" i="1"/>
  <c r="G5912" i="1"/>
  <c r="K5912" i="1"/>
  <c r="A5913" i="1"/>
  <c r="B5913" i="1"/>
  <c r="C5913" i="1"/>
  <c r="E5913" i="1"/>
  <c r="G5913" i="1"/>
  <c r="K5913" i="1"/>
  <c r="A5914" i="1"/>
  <c r="B5914" i="1"/>
  <c r="C5914" i="1"/>
  <c r="E5914" i="1"/>
  <c r="G5914" i="1"/>
  <c r="K5914" i="1"/>
  <c r="A5915" i="1"/>
  <c r="B5915" i="1"/>
  <c r="C5915" i="1"/>
  <c r="E5915" i="1"/>
  <c r="G5915" i="1"/>
  <c r="K5915" i="1"/>
  <c r="A5916" i="1"/>
  <c r="B5916" i="1"/>
  <c r="C5916" i="1"/>
  <c r="E5916" i="1"/>
  <c r="G5916" i="1"/>
  <c r="K5916" i="1"/>
  <c r="A5917" i="1"/>
  <c r="B5917" i="1"/>
  <c r="C5917" i="1"/>
  <c r="E5917" i="1"/>
  <c r="G5917" i="1"/>
  <c r="K5917" i="1"/>
  <c r="A5918" i="1"/>
  <c r="B5918" i="1"/>
  <c r="C5918" i="1"/>
  <c r="E5918" i="1"/>
  <c r="G5918" i="1"/>
  <c r="K5918" i="1"/>
  <c r="A5919" i="1"/>
  <c r="B5919" i="1"/>
  <c r="C5919" i="1"/>
  <c r="E5919" i="1"/>
  <c r="G5919" i="1"/>
  <c r="K5919" i="1"/>
  <c r="A5920" i="1"/>
  <c r="B5920" i="1"/>
  <c r="C5920" i="1"/>
  <c r="E5920" i="1"/>
  <c r="G5920" i="1"/>
  <c r="K5920" i="1"/>
  <c r="A5921" i="1"/>
  <c r="B5921" i="1"/>
  <c r="C5921" i="1"/>
  <c r="E5921" i="1"/>
  <c r="G5921" i="1"/>
  <c r="K5921" i="1"/>
  <c r="A5922" i="1"/>
  <c r="B5922" i="1"/>
  <c r="C5922" i="1"/>
  <c r="E5922" i="1"/>
  <c r="G5922" i="1"/>
  <c r="K5922" i="1"/>
  <c r="A5923" i="1"/>
  <c r="B5923" i="1"/>
  <c r="C5923" i="1"/>
  <c r="E5923" i="1"/>
  <c r="G5923" i="1"/>
  <c r="K5923" i="1"/>
  <c r="A5924" i="1"/>
  <c r="B5924" i="1"/>
  <c r="C5924" i="1"/>
  <c r="E5924" i="1"/>
  <c r="G5924" i="1"/>
  <c r="K5924" i="1"/>
  <c r="A5925" i="1"/>
  <c r="B5925" i="1"/>
  <c r="C5925" i="1"/>
  <c r="E5925" i="1"/>
  <c r="G5925" i="1"/>
  <c r="K5925" i="1"/>
  <c r="A5926" i="1"/>
  <c r="B5926" i="1"/>
  <c r="C5926" i="1"/>
  <c r="E5926" i="1"/>
  <c r="G5926" i="1"/>
  <c r="K5926" i="1"/>
  <c r="A5927" i="1"/>
  <c r="B5927" i="1"/>
  <c r="C5927" i="1"/>
  <c r="E5927" i="1"/>
  <c r="G5927" i="1"/>
  <c r="K5927" i="1"/>
  <c r="A5928" i="1"/>
  <c r="B5928" i="1"/>
  <c r="C5928" i="1"/>
  <c r="E5928" i="1"/>
  <c r="G5928" i="1"/>
  <c r="K5928" i="1"/>
  <c r="A5929" i="1"/>
  <c r="B5929" i="1"/>
  <c r="C5929" i="1"/>
  <c r="E5929" i="1"/>
  <c r="G5929" i="1"/>
  <c r="K5929" i="1"/>
  <c r="A5930" i="1"/>
  <c r="B5930" i="1"/>
  <c r="C5930" i="1"/>
  <c r="E5930" i="1"/>
  <c r="G5930" i="1"/>
  <c r="K5930" i="1"/>
  <c r="A5931" i="1"/>
  <c r="B5931" i="1"/>
  <c r="C5931" i="1"/>
  <c r="E5931" i="1"/>
  <c r="G5931" i="1"/>
  <c r="K5931" i="1"/>
  <c r="A5932" i="1"/>
  <c r="B5932" i="1"/>
  <c r="C5932" i="1"/>
  <c r="E5932" i="1"/>
  <c r="G5932" i="1"/>
  <c r="K5932" i="1"/>
  <c r="A5933" i="1"/>
  <c r="B5933" i="1"/>
  <c r="C5933" i="1"/>
  <c r="E5933" i="1"/>
  <c r="G5933" i="1"/>
  <c r="K5933" i="1"/>
  <c r="A5934" i="1"/>
  <c r="B5934" i="1"/>
  <c r="C5934" i="1"/>
  <c r="E5934" i="1"/>
  <c r="G5934" i="1"/>
  <c r="K5934" i="1"/>
  <c r="A5935" i="1"/>
  <c r="B5935" i="1"/>
  <c r="C5935" i="1"/>
  <c r="E5935" i="1"/>
  <c r="G5935" i="1"/>
  <c r="K5935" i="1"/>
  <c r="A5936" i="1"/>
  <c r="B5936" i="1"/>
  <c r="C5936" i="1"/>
  <c r="E5936" i="1"/>
  <c r="G5936" i="1"/>
  <c r="K5936" i="1"/>
  <c r="A5937" i="1"/>
  <c r="B5937" i="1"/>
  <c r="C5937" i="1"/>
  <c r="E5937" i="1"/>
  <c r="G5937" i="1"/>
  <c r="K5937" i="1"/>
  <c r="A5938" i="1"/>
  <c r="B5938" i="1"/>
  <c r="C5938" i="1"/>
  <c r="E5938" i="1"/>
  <c r="G5938" i="1"/>
  <c r="K5938" i="1"/>
  <c r="A5939" i="1"/>
  <c r="B5939" i="1"/>
  <c r="C5939" i="1"/>
  <c r="E5939" i="1"/>
  <c r="G5939" i="1"/>
  <c r="K5939" i="1"/>
  <c r="A5940" i="1"/>
  <c r="B5940" i="1"/>
  <c r="C5940" i="1"/>
  <c r="E5940" i="1"/>
  <c r="G5940" i="1"/>
  <c r="K5940" i="1"/>
  <c r="A5941" i="1"/>
  <c r="B5941" i="1"/>
  <c r="C5941" i="1"/>
  <c r="E5941" i="1"/>
  <c r="G5941" i="1"/>
  <c r="K5941" i="1"/>
  <c r="A5942" i="1"/>
  <c r="B5942" i="1"/>
  <c r="C5942" i="1"/>
  <c r="E5942" i="1"/>
  <c r="G5942" i="1"/>
  <c r="K5942" i="1"/>
  <c r="A5943" i="1"/>
  <c r="B5943" i="1"/>
  <c r="C5943" i="1"/>
  <c r="E5943" i="1"/>
  <c r="G5943" i="1"/>
  <c r="K5943" i="1"/>
  <c r="A5944" i="1"/>
  <c r="B5944" i="1"/>
  <c r="C5944" i="1"/>
  <c r="E5944" i="1"/>
  <c r="G5944" i="1"/>
  <c r="K5944" i="1"/>
  <c r="A5945" i="1"/>
  <c r="B5945" i="1"/>
  <c r="C5945" i="1"/>
  <c r="E5945" i="1"/>
  <c r="G5945" i="1"/>
  <c r="K5945" i="1"/>
  <c r="A5946" i="1"/>
  <c r="B5946" i="1"/>
  <c r="C5946" i="1"/>
  <c r="E5946" i="1"/>
  <c r="G5946" i="1"/>
  <c r="K5946" i="1"/>
  <c r="A5947" i="1"/>
  <c r="B5947" i="1"/>
  <c r="C5947" i="1"/>
  <c r="E5947" i="1"/>
  <c r="G5947" i="1"/>
  <c r="K5947" i="1"/>
  <c r="A5948" i="1"/>
  <c r="B5948" i="1"/>
  <c r="C5948" i="1"/>
  <c r="E5948" i="1"/>
  <c r="G5948" i="1"/>
  <c r="K5948" i="1"/>
  <c r="A5949" i="1"/>
  <c r="B5949" i="1"/>
  <c r="C5949" i="1"/>
  <c r="E5949" i="1"/>
  <c r="G5949" i="1"/>
  <c r="K5949" i="1"/>
  <c r="A5950" i="1"/>
  <c r="B5950" i="1"/>
  <c r="C5950" i="1"/>
  <c r="E5950" i="1"/>
  <c r="G5950" i="1"/>
  <c r="K5950" i="1"/>
  <c r="A5951" i="1"/>
  <c r="B5951" i="1"/>
  <c r="C5951" i="1"/>
  <c r="E5951" i="1"/>
  <c r="G5951" i="1"/>
  <c r="K5951" i="1"/>
  <c r="A5952" i="1"/>
  <c r="B5952" i="1"/>
  <c r="C5952" i="1"/>
  <c r="E5952" i="1"/>
  <c r="G5952" i="1"/>
  <c r="K5952" i="1"/>
  <c r="A5953" i="1"/>
  <c r="B5953" i="1"/>
  <c r="C5953" i="1"/>
  <c r="E5953" i="1"/>
  <c r="G5953" i="1"/>
  <c r="K5953" i="1"/>
  <c r="A5954" i="1"/>
  <c r="B5954" i="1"/>
  <c r="C5954" i="1"/>
  <c r="E5954" i="1"/>
  <c r="G5954" i="1"/>
  <c r="K5954" i="1"/>
  <c r="A5955" i="1"/>
  <c r="B5955" i="1"/>
  <c r="C5955" i="1"/>
  <c r="E5955" i="1"/>
  <c r="G5955" i="1"/>
  <c r="K5955" i="1"/>
  <c r="A5956" i="1"/>
  <c r="B5956" i="1"/>
  <c r="C5956" i="1"/>
  <c r="E5956" i="1"/>
  <c r="G5956" i="1"/>
  <c r="K5956" i="1"/>
  <c r="A5957" i="1"/>
  <c r="B5957" i="1"/>
  <c r="C5957" i="1"/>
  <c r="E5957" i="1"/>
  <c r="G5957" i="1"/>
  <c r="K5957" i="1"/>
  <c r="A5958" i="1"/>
  <c r="B5958" i="1"/>
  <c r="C5958" i="1"/>
  <c r="E5958" i="1"/>
  <c r="G5958" i="1"/>
  <c r="K5958" i="1"/>
  <c r="A5959" i="1"/>
  <c r="B5959" i="1"/>
  <c r="C5959" i="1"/>
  <c r="E5959" i="1"/>
  <c r="G5959" i="1"/>
  <c r="K5959" i="1"/>
  <c r="A5960" i="1"/>
  <c r="B5960" i="1"/>
  <c r="C5960" i="1"/>
  <c r="E5960" i="1"/>
  <c r="G5960" i="1"/>
  <c r="K5960" i="1"/>
  <c r="A5961" i="1"/>
  <c r="B5961" i="1"/>
  <c r="C5961" i="1"/>
  <c r="E5961" i="1"/>
  <c r="G5961" i="1"/>
  <c r="K5961" i="1"/>
  <c r="A5962" i="1"/>
  <c r="B5962" i="1"/>
  <c r="C5962" i="1"/>
  <c r="E5962" i="1"/>
  <c r="G5962" i="1"/>
  <c r="K5962" i="1"/>
  <c r="A5963" i="1"/>
  <c r="B5963" i="1"/>
  <c r="C5963" i="1"/>
  <c r="E5963" i="1"/>
  <c r="G5963" i="1"/>
  <c r="K5963" i="1"/>
  <c r="A5964" i="1"/>
  <c r="B5964" i="1"/>
  <c r="C5964" i="1"/>
  <c r="E5964" i="1"/>
  <c r="G5964" i="1"/>
  <c r="K5964" i="1"/>
  <c r="A5965" i="1"/>
  <c r="B5965" i="1"/>
  <c r="C5965" i="1"/>
  <c r="E5965" i="1"/>
  <c r="G5965" i="1"/>
  <c r="K5965" i="1"/>
  <c r="A5966" i="1"/>
  <c r="B5966" i="1"/>
  <c r="C5966" i="1"/>
  <c r="E5966" i="1"/>
  <c r="G5966" i="1"/>
  <c r="K5966" i="1"/>
  <c r="A5967" i="1"/>
  <c r="B5967" i="1"/>
  <c r="C5967" i="1"/>
  <c r="E5967" i="1"/>
  <c r="G5967" i="1"/>
  <c r="K5967" i="1"/>
  <c r="A5968" i="1"/>
  <c r="B5968" i="1"/>
  <c r="C5968" i="1"/>
  <c r="E5968" i="1"/>
  <c r="G5968" i="1"/>
  <c r="K5968" i="1"/>
  <c r="A5969" i="1"/>
  <c r="B5969" i="1"/>
  <c r="C5969" i="1"/>
  <c r="E5969" i="1"/>
  <c r="G5969" i="1"/>
  <c r="K5969" i="1"/>
  <c r="A5970" i="1"/>
  <c r="B5970" i="1"/>
  <c r="C5970" i="1"/>
  <c r="E5970" i="1"/>
  <c r="G5970" i="1"/>
  <c r="K5970" i="1"/>
  <c r="A5971" i="1"/>
  <c r="B5971" i="1"/>
  <c r="C5971" i="1"/>
  <c r="E5971" i="1"/>
  <c r="G5971" i="1"/>
  <c r="K5971" i="1"/>
  <c r="A5972" i="1"/>
  <c r="B5972" i="1"/>
  <c r="C5972" i="1"/>
  <c r="E5972" i="1"/>
  <c r="G5972" i="1"/>
  <c r="K5972" i="1"/>
  <c r="A5973" i="1"/>
  <c r="B5973" i="1"/>
  <c r="C5973" i="1"/>
  <c r="E5973" i="1"/>
  <c r="G5973" i="1"/>
  <c r="K5973" i="1"/>
  <c r="A5974" i="1"/>
  <c r="B5974" i="1"/>
  <c r="C5974" i="1"/>
  <c r="E5974" i="1"/>
  <c r="G5974" i="1"/>
  <c r="K5974" i="1"/>
  <c r="A5975" i="1"/>
  <c r="B5975" i="1"/>
  <c r="C5975" i="1"/>
  <c r="E5975" i="1"/>
  <c r="G5975" i="1"/>
  <c r="K5975" i="1"/>
  <c r="A5976" i="1"/>
  <c r="B5976" i="1"/>
  <c r="C5976" i="1"/>
  <c r="E5976" i="1"/>
  <c r="G5976" i="1"/>
  <c r="K5976" i="1"/>
  <c r="A5977" i="1"/>
  <c r="B5977" i="1"/>
  <c r="C5977" i="1"/>
  <c r="E5977" i="1"/>
  <c r="G5977" i="1"/>
  <c r="K5977" i="1"/>
  <c r="A5978" i="1"/>
  <c r="B5978" i="1"/>
  <c r="C5978" i="1"/>
  <c r="E5978" i="1"/>
  <c r="G5978" i="1"/>
  <c r="K5978" i="1"/>
  <c r="A5979" i="1"/>
  <c r="B5979" i="1"/>
  <c r="C5979" i="1"/>
  <c r="E5979" i="1"/>
  <c r="G5979" i="1"/>
  <c r="K5979" i="1"/>
  <c r="A5980" i="1"/>
  <c r="B5980" i="1"/>
  <c r="C5980" i="1"/>
  <c r="E5980" i="1"/>
  <c r="G5980" i="1"/>
  <c r="K5980" i="1"/>
  <c r="A5981" i="1"/>
  <c r="B5981" i="1"/>
  <c r="C5981" i="1"/>
  <c r="E5981" i="1"/>
  <c r="G5981" i="1"/>
  <c r="K5981" i="1"/>
  <c r="A5982" i="1"/>
  <c r="B5982" i="1"/>
  <c r="C5982" i="1"/>
  <c r="E5982" i="1"/>
  <c r="G5982" i="1"/>
  <c r="K5982" i="1"/>
  <c r="A5983" i="1"/>
  <c r="B5983" i="1"/>
  <c r="C5983" i="1"/>
  <c r="E5983" i="1"/>
  <c r="G5983" i="1"/>
  <c r="K5983" i="1"/>
  <c r="A5984" i="1"/>
  <c r="B5984" i="1"/>
  <c r="C5984" i="1"/>
  <c r="E5984" i="1"/>
  <c r="G5984" i="1"/>
  <c r="K5984" i="1"/>
  <c r="A5985" i="1"/>
  <c r="B5985" i="1"/>
  <c r="C5985" i="1"/>
  <c r="E5985" i="1"/>
  <c r="G5985" i="1"/>
  <c r="K5985" i="1"/>
  <c r="A5986" i="1"/>
  <c r="B5986" i="1"/>
  <c r="C5986" i="1"/>
  <c r="E5986" i="1"/>
  <c r="G5986" i="1"/>
  <c r="K5986" i="1"/>
  <c r="A5987" i="1"/>
  <c r="B5987" i="1"/>
  <c r="C5987" i="1"/>
  <c r="E5987" i="1"/>
  <c r="G5987" i="1"/>
  <c r="K5987" i="1"/>
  <c r="A5988" i="1"/>
  <c r="B5988" i="1"/>
  <c r="C5988" i="1"/>
  <c r="E5988" i="1"/>
  <c r="G5988" i="1"/>
  <c r="K5988" i="1"/>
  <c r="A5989" i="1"/>
  <c r="B5989" i="1"/>
  <c r="C5989" i="1"/>
  <c r="E5989" i="1"/>
  <c r="G5989" i="1"/>
  <c r="K5989" i="1"/>
  <c r="A5990" i="1"/>
  <c r="B5990" i="1"/>
  <c r="C5990" i="1"/>
  <c r="E5990" i="1"/>
  <c r="G5990" i="1"/>
  <c r="K5990" i="1"/>
  <c r="A5991" i="1"/>
  <c r="B5991" i="1"/>
  <c r="C5991" i="1"/>
  <c r="E5991" i="1"/>
  <c r="G5991" i="1"/>
  <c r="K5991" i="1"/>
  <c r="A5992" i="1"/>
  <c r="B5992" i="1"/>
  <c r="C5992" i="1"/>
  <c r="E5992" i="1"/>
  <c r="G5992" i="1"/>
  <c r="K5992" i="1"/>
  <c r="A5993" i="1"/>
  <c r="B5993" i="1"/>
  <c r="C5993" i="1"/>
  <c r="E5993" i="1"/>
  <c r="G5993" i="1"/>
  <c r="K5993" i="1"/>
  <c r="A5994" i="1"/>
  <c r="B5994" i="1"/>
  <c r="C5994" i="1"/>
  <c r="E5994" i="1"/>
  <c r="G5994" i="1"/>
  <c r="K5994" i="1"/>
  <c r="A5995" i="1"/>
  <c r="B5995" i="1"/>
  <c r="C5995" i="1"/>
  <c r="E5995" i="1"/>
  <c r="G5995" i="1"/>
  <c r="K5995" i="1"/>
  <c r="A5996" i="1"/>
  <c r="B5996" i="1"/>
  <c r="C5996" i="1"/>
  <c r="E5996" i="1"/>
  <c r="G5996" i="1"/>
  <c r="K5996" i="1"/>
  <c r="A5997" i="1"/>
  <c r="B5997" i="1"/>
  <c r="C5997" i="1"/>
  <c r="E5997" i="1"/>
  <c r="G5997" i="1"/>
  <c r="K5997" i="1"/>
  <c r="A5998" i="1"/>
  <c r="B5998" i="1"/>
  <c r="C5998" i="1"/>
  <c r="E5998" i="1"/>
  <c r="G5998" i="1"/>
  <c r="K5998" i="1"/>
  <c r="A5999" i="1"/>
  <c r="B5999" i="1"/>
  <c r="C5999" i="1"/>
  <c r="E5999" i="1"/>
  <c r="G5999" i="1"/>
  <c r="K5999" i="1"/>
  <c r="A6000" i="1"/>
  <c r="B6000" i="1"/>
  <c r="C6000" i="1"/>
  <c r="E6000" i="1"/>
  <c r="G6000" i="1"/>
  <c r="K6000" i="1"/>
  <c r="A6001" i="1"/>
  <c r="B6001" i="1"/>
  <c r="C6001" i="1"/>
  <c r="E6001" i="1"/>
  <c r="G6001" i="1"/>
  <c r="K6001" i="1"/>
  <c r="A6002" i="1"/>
  <c r="B6002" i="1"/>
  <c r="C6002" i="1"/>
  <c r="E6002" i="1"/>
  <c r="G6002" i="1"/>
  <c r="K6002" i="1"/>
  <c r="A6003" i="1"/>
  <c r="B6003" i="1"/>
  <c r="C6003" i="1"/>
  <c r="E6003" i="1"/>
  <c r="G6003" i="1"/>
  <c r="K6003" i="1"/>
  <c r="A6004" i="1"/>
  <c r="B6004" i="1"/>
  <c r="C6004" i="1"/>
  <c r="E6004" i="1"/>
  <c r="G6004" i="1"/>
  <c r="K6004" i="1"/>
  <c r="A6005" i="1"/>
  <c r="B6005" i="1"/>
  <c r="C6005" i="1"/>
  <c r="E6005" i="1"/>
  <c r="G6005" i="1"/>
  <c r="K6005" i="1"/>
  <c r="A6006" i="1"/>
  <c r="B6006" i="1"/>
  <c r="C6006" i="1"/>
  <c r="E6006" i="1"/>
  <c r="G6006" i="1"/>
  <c r="K6006" i="1"/>
  <c r="A6007" i="1"/>
  <c r="B6007" i="1"/>
  <c r="C6007" i="1"/>
  <c r="E6007" i="1"/>
  <c r="G6007" i="1"/>
  <c r="K6007" i="1"/>
  <c r="A6008" i="1"/>
  <c r="B6008" i="1"/>
  <c r="C6008" i="1"/>
  <c r="E6008" i="1"/>
  <c r="G6008" i="1"/>
  <c r="K6008" i="1"/>
  <c r="A6009" i="1"/>
  <c r="B6009" i="1"/>
  <c r="C6009" i="1"/>
  <c r="E6009" i="1"/>
  <c r="G6009" i="1"/>
  <c r="K6009" i="1"/>
  <c r="A6010" i="1"/>
  <c r="B6010" i="1"/>
  <c r="C6010" i="1"/>
  <c r="E6010" i="1"/>
  <c r="G6010" i="1"/>
  <c r="K6010" i="1"/>
  <c r="A6011" i="1"/>
  <c r="B6011" i="1"/>
  <c r="C6011" i="1"/>
  <c r="E6011" i="1"/>
  <c r="G6011" i="1"/>
  <c r="K6011" i="1"/>
  <c r="A6012" i="1"/>
  <c r="B6012" i="1"/>
  <c r="C6012" i="1"/>
  <c r="E6012" i="1"/>
  <c r="G6012" i="1"/>
  <c r="K6012" i="1"/>
  <c r="A6013" i="1"/>
  <c r="B6013" i="1"/>
  <c r="C6013" i="1"/>
  <c r="E6013" i="1"/>
  <c r="G6013" i="1"/>
  <c r="K6013" i="1"/>
  <c r="A6014" i="1"/>
  <c r="B6014" i="1"/>
  <c r="C6014" i="1"/>
  <c r="E6014" i="1"/>
  <c r="G6014" i="1"/>
  <c r="K6014" i="1"/>
  <c r="A6015" i="1"/>
  <c r="B6015" i="1"/>
  <c r="C6015" i="1"/>
  <c r="E6015" i="1"/>
  <c r="G6015" i="1"/>
  <c r="K6015" i="1"/>
  <c r="A6016" i="1"/>
  <c r="B6016" i="1"/>
  <c r="C6016" i="1"/>
  <c r="E6016" i="1"/>
  <c r="G6016" i="1"/>
  <c r="K6016" i="1"/>
  <c r="A6017" i="1"/>
  <c r="B6017" i="1"/>
  <c r="C6017" i="1"/>
  <c r="E6017" i="1"/>
  <c r="G6017" i="1"/>
  <c r="K6017" i="1"/>
  <c r="A6018" i="1"/>
  <c r="B6018" i="1"/>
  <c r="C6018" i="1"/>
  <c r="E6018" i="1"/>
  <c r="G6018" i="1"/>
  <c r="K6018" i="1"/>
  <c r="A6019" i="1"/>
  <c r="B6019" i="1"/>
  <c r="C6019" i="1"/>
  <c r="E6019" i="1"/>
  <c r="G6019" i="1"/>
  <c r="K6019" i="1"/>
  <c r="A6020" i="1"/>
  <c r="B6020" i="1"/>
  <c r="C6020" i="1"/>
  <c r="E6020" i="1"/>
  <c r="G6020" i="1"/>
  <c r="K6020" i="1"/>
  <c r="A6021" i="1"/>
  <c r="B6021" i="1"/>
  <c r="C6021" i="1"/>
  <c r="E6021" i="1"/>
  <c r="G6021" i="1"/>
  <c r="K6021" i="1"/>
  <c r="A6022" i="1"/>
  <c r="B6022" i="1"/>
  <c r="C6022" i="1"/>
  <c r="E6022" i="1"/>
  <c r="G6022" i="1"/>
  <c r="K6022" i="1"/>
  <c r="A6023" i="1"/>
  <c r="B6023" i="1"/>
  <c r="C6023" i="1"/>
  <c r="E6023" i="1"/>
  <c r="G6023" i="1"/>
  <c r="K6023" i="1"/>
  <c r="A6024" i="1"/>
  <c r="B6024" i="1"/>
  <c r="C6024" i="1"/>
  <c r="E6024" i="1"/>
  <c r="G6024" i="1"/>
  <c r="K6024" i="1"/>
  <c r="A6025" i="1"/>
  <c r="B6025" i="1"/>
  <c r="C6025" i="1"/>
  <c r="E6025" i="1"/>
  <c r="G6025" i="1"/>
  <c r="K6025" i="1"/>
  <c r="A6026" i="1"/>
  <c r="B6026" i="1"/>
  <c r="C6026" i="1"/>
  <c r="E6026" i="1"/>
  <c r="G6026" i="1"/>
  <c r="K6026" i="1"/>
  <c r="A6027" i="1"/>
  <c r="B6027" i="1"/>
  <c r="C6027" i="1"/>
  <c r="E6027" i="1"/>
  <c r="G6027" i="1"/>
  <c r="K6027" i="1"/>
  <c r="A6028" i="1"/>
  <c r="B6028" i="1"/>
  <c r="C6028" i="1"/>
  <c r="E6028" i="1"/>
  <c r="G6028" i="1"/>
  <c r="K6028" i="1"/>
  <c r="A6029" i="1"/>
  <c r="B6029" i="1"/>
  <c r="C6029" i="1"/>
  <c r="E6029" i="1"/>
  <c r="G6029" i="1"/>
  <c r="K6029" i="1"/>
  <c r="A6030" i="1"/>
  <c r="B6030" i="1"/>
  <c r="C6030" i="1"/>
  <c r="E6030" i="1"/>
  <c r="G6030" i="1"/>
  <c r="K6030" i="1"/>
  <c r="A6031" i="1"/>
  <c r="B6031" i="1"/>
  <c r="C6031" i="1"/>
  <c r="E6031" i="1"/>
  <c r="G6031" i="1"/>
  <c r="K6031" i="1"/>
  <c r="A6032" i="1"/>
  <c r="B6032" i="1"/>
  <c r="C6032" i="1"/>
  <c r="E6032" i="1"/>
  <c r="G6032" i="1"/>
  <c r="K6032" i="1"/>
  <c r="A6033" i="1"/>
  <c r="B6033" i="1"/>
  <c r="C6033" i="1"/>
  <c r="E6033" i="1"/>
  <c r="G6033" i="1"/>
  <c r="K6033" i="1"/>
  <c r="A6034" i="1"/>
  <c r="B6034" i="1"/>
  <c r="C6034" i="1"/>
  <c r="E6034" i="1"/>
  <c r="G6034" i="1"/>
  <c r="K6034" i="1"/>
  <c r="A6035" i="1"/>
  <c r="B6035" i="1"/>
  <c r="C6035" i="1"/>
  <c r="E6035" i="1"/>
  <c r="G6035" i="1"/>
  <c r="K6035" i="1"/>
  <c r="A6036" i="1"/>
  <c r="B6036" i="1"/>
  <c r="C6036" i="1"/>
  <c r="E6036" i="1"/>
  <c r="G6036" i="1"/>
  <c r="K6036" i="1"/>
  <c r="A6037" i="1"/>
  <c r="B6037" i="1"/>
  <c r="C6037" i="1"/>
  <c r="E6037" i="1"/>
  <c r="G6037" i="1"/>
  <c r="K6037" i="1"/>
  <c r="A6038" i="1"/>
  <c r="B6038" i="1"/>
  <c r="C6038" i="1"/>
  <c r="E6038" i="1"/>
  <c r="G6038" i="1"/>
  <c r="K6038" i="1"/>
  <c r="A6039" i="1"/>
  <c r="B6039" i="1"/>
  <c r="C6039" i="1"/>
  <c r="E6039" i="1"/>
  <c r="G6039" i="1"/>
  <c r="K6039" i="1"/>
  <c r="A6040" i="1"/>
  <c r="B6040" i="1"/>
  <c r="C6040" i="1"/>
  <c r="E6040" i="1"/>
  <c r="G6040" i="1"/>
  <c r="K6040" i="1"/>
  <c r="A6041" i="1"/>
  <c r="B6041" i="1"/>
  <c r="C6041" i="1"/>
  <c r="E6041" i="1"/>
  <c r="G6041" i="1"/>
  <c r="K6041" i="1"/>
  <c r="A6042" i="1"/>
  <c r="B6042" i="1"/>
  <c r="C6042" i="1"/>
  <c r="E6042" i="1"/>
  <c r="G6042" i="1"/>
  <c r="K6042" i="1"/>
  <c r="A6043" i="1"/>
  <c r="B6043" i="1"/>
  <c r="C6043" i="1"/>
  <c r="E6043" i="1"/>
  <c r="G6043" i="1"/>
  <c r="K6043" i="1"/>
  <c r="A6044" i="1"/>
  <c r="B6044" i="1"/>
  <c r="C6044" i="1"/>
  <c r="E6044" i="1"/>
  <c r="G6044" i="1"/>
  <c r="K6044" i="1"/>
  <c r="A6045" i="1"/>
  <c r="B6045" i="1"/>
  <c r="C6045" i="1"/>
  <c r="E6045" i="1"/>
  <c r="G6045" i="1"/>
  <c r="K6045" i="1"/>
  <c r="A6046" i="1"/>
  <c r="B6046" i="1"/>
  <c r="C6046" i="1"/>
  <c r="E6046" i="1"/>
  <c r="G6046" i="1"/>
  <c r="K6046" i="1"/>
  <c r="A6047" i="1"/>
  <c r="B6047" i="1"/>
  <c r="C6047" i="1"/>
  <c r="E6047" i="1"/>
  <c r="G6047" i="1"/>
  <c r="K6047" i="1"/>
  <c r="A6048" i="1"/>
  <c r="B6048" i="1"/>
  <c r="C6048" i="1"/>
  <c r="E6048" i="1"/>
  <c r="G6048" i="1"/>
  <c r="K6048" i="1"/>
  <c r="A6049" i="1"/>
  <c r="B6049" i="1"/>
  <c r="C6049" i="1"/>
  <c r="E6049" i="1"/>
  <c r="G6049" i="1"/>
  <c r="K6049" i="1"/>
  <c r="A6050" i="1"/>
  <c r="B6050" i="1"/>
  <c r="C6050" i="1"/>
  <c r="E6050" i="1"/>
  <c r="G6050" i="1"/>
  <c r="K6050" i="1"/>
  <c r="A6051" i="1"/>
  <c r="B6051" i="1"/>
  <c r="C6051" i="1"/>
  <c r="E6051" i="1"/>
  <c r="G6051" i="1"/>
  <c r="K6051" i="1"/>
  <c r="A6052" i="1"/>
  <c r="B6052" i="1"/>
  <c r="C6052" i="1"/>
  <c r="E6052" i="1"/>
  <c r="G6052" i="1"/>
  <c r="K6052" i="1"/>
  <c r="A6053" i="1"/>
  <c r="B6053" i="1"/>
  <c r="C6053" i="1"/>
  <c r="E6053" i="1"/>
  <c r="G6053" i="1"/>
  <c r="K6053" i="1"/>
  <c r="A6054" i="1"/>
  <c r="B6054" i="1"/>
  <c r="C6054" i="1"/>
  <c r="E6054" i="1"/>
  <c r="G6054" i="1"/>
  <c r="K6054" i="1"/>
  <c r="A6055" i="1"/>
  <c r="B6055" i="1"/>
  <c r="C6055" i="1"/>
  <c r="E6055" i="1"/>
  <c r="G6055" i="1"/>
  <c r="K6055" i="1"/>
  <c r="A6056" i="1"/>
  <c r="B6056" i="1"/>
  <c r="C6056" i="1"/>
  <c r="E6056" i="1"/>
  <c r="G6056" i="1"/>
  <c r="K6056" i="1"/>
  <c r="A6057" i="1"/>
  <c r="B6057" i="1"/>
  <c r="C6057" i="1"/>
  <c r="E6057" i="1"/>
  <c r="G6057" i="1"/>
  <c r="K6057" i="1"/>
  <c r="A6058" i="1"/>
  <c r="B6058" i="1"/>
  <c r="C6058" i="1"/>
  <c r="E6058" i="1"/>
  <c r="G6058" i="1"/>
  <c r="K6058" i="1"/>
  <c r="A6059" i="1"/>
  <c r="B6059" i="1"/>
  <c r="C6059" i="1"/>
  <c r="E6059" i="1"/>
  <c r="G6059" i="1"/>
  <c r="K6059" i="1"/>
  <c r="A6060" i="1"/>
  <c r="B6060" i="1"/>
  <c r="C6060" i="1"/>
  <c r="E6060" i="1"/>
  <c r="G6060" i="1"/>
  <c r="K6060" i="1"/>
  <c r="A6061" i="1"/>
  <c r="B6061" i="1"/>
  <c r="C6061" i="1"/>
  <c r="E6061" i="1"/>
  <c r="G6061" i="1"/>
  <c r="K6061" i="1"/>
  <c r="A6062" i="1"/>
  <c r="B6062" i="1"/>
  <c r="C6062" i="1"/>
  <c r="E6062" i="1"/>
  <c r="G6062" i="1"/>
  <c r="K6062" i="1"/>
  <c r="A6063" i="1"/>
  <c r="B6063" i="1"/>
  <c r="C6063" i="1"/>
  <c r="E6063" i="1"/>
  <c r="G6063" i="1"/>
  <c r="K6063" i="1"/>
  <c r="A6064" i="1"/>
  <c r="B6064" i="1"/>
  <c r="C6064" i="1"/>
  <c r="E6064" i="1"/>
  <c r="G6064" i="1"/>
  <c r="K6064" i="1"/>
  <c r="A6065" i="1"/>
  <c r="B6065" i="1"/>
  <c r="C6065" i="1"/>
  <c r="E6065" i="1"/>
  <c r="G6065" i="1"/>
  <c r="K6065" i="1"/>
  <c r="A6066" i="1"/>
  <c r="B6066" i="1"/>
  <c r="C6066" i="1"/>
  <c r="E6066" i="1"/>
  <c r="G6066" i="1"/>
  <c r="K6066" i="1"/>
  <c r="A6067" i="1"/>
  <c r="B6067" i="1"/>
  <c r="C6067" i="1"/>
  <c r="E6067" i="1"/>
  <c r="G6067" i="1"/>
  <c r="K6067" i="1"/>
  <c r="A6068" i="1"/>
  <c r="B6068" i="1"/>
  <c r="C6068" i="1"/>
  <c r="E6068" i="1"/>
  <c r="G6068" i="1"/>
  <c r="K6068" i="1"/>
  <c r="A6069" i="1"/>
  <c r="B6069" i="1"/>
  <c r="C6069" i="1"/>
  <c r="E6069" i="1"/>
  <c r="G6069" i="1"/>
  <c r="K6069" i="1"/>
  <c r="A6070" i="1"/>
  <c r="B6070" i="1"/>
  <c r="C6070" i="1"/>
  <c r="E6070" i="1"/>
  <c r="G6070" i="1"/>
  <c r="K6070" i="1"/>
  <c r="A6071" i="1"/>
  <c r="B6071" i="1"/>
  <c r="C6071" i="1"/>
  <c r="E6071" i="1"/>
  <c r="G6071" i="1"/>
  <c r="K6071" i="1"/>
  <c r="A6072" i="1"/>
  <c r="B6072" i="1"/>
  <c r="C6072" i="1"/>
  <c r="E6072" i="1"/>
  <c r="G6072" i="1"/>
  <c r="K6072" i="1"/>
  <c r="A6073" i="1"/>
  <c r="B6073" i="1"/>
  <c r="C6073" i="1"/>
  <c r="E6073" i="1"/>
  <c r="G6073" i="1"/>
  <c r="K6073" i="1"/>
  <c r="A6074" i="1"/>
  <c r="B6074" i="1"/>
  <c r="C6074" i="1"/>
  <c r="E6074" i="1"/>
  <c r="G6074" i="1"/>
  <c r="K6074" i="1"/>
  <c r="A6075" i="1"/>
  <c r="B6075" i="1"/>
  <c r="C6075" i="1"/>
  <c r="E6075" i="1"/>
  <c r="G6075" i="1"/>
  <c r="K6075" i="1"/>
  <c r="A6076" i="1"/>
  <c r="B6076" i="1"/>
  <c r="C6076" i="1"/>
  <c r="E6076" i="1"/>
  <c r="G6076" i="1"/>
  <c r="K6076" i="1"/>
  <c r="A6077" i="1"/>
  <c r="B6077" i="1"/>
  <c r="C6077" i="1"/>
  <c r="E6077" i="1"/>
  <c r="G6077" i="1"/>
  <c r="K6077" i="1"/>
  <c r="A6078" i="1"/>
  <c r="B6078" i="1"/>
  <c r="C6078" i="1"/>
  <c r="E6078" i="1"/>
  <c r="G6078" i="1"/>
  <c r="K6078" i="1"/>
  <c r="A6079" i="1"/>
  <c r="B6079" i="1"/>
  <c r="C6079" i="1"/>
  <c r="E6079" i="1"/>
  <c r="G6079" i="1"/>
  <c r="K6079" i="1"/>
  <c r="A6080" i="1"/>
  <c r="B6080" i="1"/>
  <c r="C6080" i="1"/>
  <c r="E6080" i="1"/>
  <c r="G6080" i="1"/>
  <c r="K6080" i="1"/>
  <c r="A6081" i="1"/>
  <c r="B6081" i="1"/>
  <c r="C6081" i="1"/>
  <c r="E6081" i="1"/>
  <c r="G6081" i="1"/>
  <c r="K6081" i="1"/>
  <c r="A6082" i="1"/>
  <c r="B6082" i="1"/>
  <c r="C6082" i="1"/>
  <c r="E6082" i="1"/>
  <c r="G6082" i="1"/>
  <c r="K6082" i="1"/>
  <c r="A6083" i="1"/>
  <c r="B6083" i="1"/>
  <c r="C6083" i="1"/>
  <c r="E6083" i="1"/>
  <c r="G6083" i="1"/>
  <c r="K6083" i="1"/>
  <c r="A6084" i="1"/>
  <c r="B6084" i="1"/>
  <c r="C6084" i="1"/>
  <c r="E6084" i="1"/>
  <c r="G6084" i="1"/>
  <c r="K6084" i="1"/>
  <c r="A6085" i="1"/>
  <c r="B6085" i="1"/>
  <c r="C6085" i="1"/>
  <c r="E6085" i="1"/>
  <c r="G6085" i="1"/>
  <c r="K6085" i="1"/>
  <c r="A6086" i="1"/>
  <c r="B6086" i="1"/>
  <c r="C6086" i="1"/>
  <c r="E6086" i="1"/>
  <c r="G6086" i="1"/>
  <c r="K6086" i="1"/>
  <c r="A6087" i="1"/>
  <c r="B6087" i="1"/>
  <c r="C6087" i="1"/>
  <c r="E6087" i="1"/>
  <c r="G6087" i="1"/>
  <c r="K6087" i="1"/>
  <c r="A6088" i="1"/>
  <c r="B6088" i="1"/>
  <c r="C6088" i="1"/>
  <c r="E6088" i="1"/>
  <c r="G6088" i="1"/>
  <c r="K6088" i="1"/>
  <c r="A6089" i="1"/>
  <c r="B6089" i="1"/>
  <c r="C6089" i="1"/>
  <c r="E6089" i="1"/>
  <c r="G6089" i="1"/>
  <c r="K6089" i="1"/>
  <c r="A6090" i="1"/>
  <c r="B6090" i="1"/>
  <c r="C6090" i="1"/>
  <c r="E6090" i="1"/>
  <c r="G6090" i="1"/>
  <c r="K6090" i="1"/>
  <c r="A6091" i="1"/>
  <c r="B6091" i="1"/>
  <c r="C6091" i="1"/>
  <c r="E6091" i="1"/>
  <c r="G6091" i="1"/>
  <c r="K6091" i="1"/>
  <c r="A6092" i="1"/>
  <c r="B6092" i="1"/>
  <c r="C6092" i="1"/>
  <c r="E6092" i="1"/>
  <c r="G6092" i="1"/>
  <c r="K6092" i="1"/>
  <c r="A6093" i="1"/>
  <c r="B6093" i="1"/>
  <c r="C6093" i="1"/>
  <c r="E6093" i="1"/>
  <c r="G6093" i="1"/>
  <c r="K6093" i="1"/>
  <c r="A6094" i="1"/>
  <c r="B6094" i="1"/>
  <c r="C6094" i="1"/>
  <c r="E6094" i="1"/>
  <c r="G6094" i="1"/>
  <c r="K6094" i="1"/>
  <c r="A6095" i="1"/>
  <c r="B6095" i="1"/>
  <c r="C6095" i="1"/>
  <c r="E6095" i="1"/>
  <c r="G6095" i="1"/>
  <c r="K6095" i="1"/>
  <c r="A6096" i="1"/>
  <c r="B6096" i="1"/>
  <c r="C6096" i="1"/>
  <c r="E6096" i="1"/>
  <c r="G6096" i="1"/>
  <c r="K6096" i="1"/>
  <c r="A6097" i="1"/>
  <c r="B6097" i="1"/>
  <c r="C6097" i="1"/>
  <c r="E6097" i="1"/>
  <c r="G6097" i="1"/>
  <c r="K6097" i="1"/>
  <c r="A6098" i="1"/>
  <c r="B6098" i="1"/>
  <c r="C6098" i="1"/>
  <c r="E6098" i="1"/>
  <c r="G6098" i="1"/>
  <c r="K6098" i="1"/>
  <c r="A6099" i="1"/>
  <c r="B6099" i="1"/>
  <c r="C6099" i="1"/>
  <c r="E6099" i="1"/>
  <c r="G6099" i="1"/>
  <c r="K6099" i="1"/>
  <c r="A6100" i="1"/>
  <c r="B6100" i="1"/>
  <c r="C6100" i="1"/>
  <c r="E6100" i="1"/>
  <c r="G6100" i="1"/>
  <c r="K6100" i="1"/>
  <c r="A6101" i="1"/>
  <c r="B6101" i="1"/>
  <c r="C6101" i="1"/>
  <c r="E6101" i="1"/>
  <c r="G6101" i="1"/>
  <c r="K6101" i="1"/>
  <c r="A6102" i="1"/>
  <c r="B6102" i="1"/>
  <c r="C6102" i="1"/>
  <c r="E6102" i="1"/>
  <c r="G6102" i="1"/>
  <c r="K6102" i="1"/>
  <c r="A6103" i="1"/>
  <c r="B6103" i="1"/>
  <c r="C6103" i="1"/>
  <c r="E6103" i="1"/>
  <c r="G6103" i="1"/>
  <c r="K6103" i="1"/>
  <c r="A6104" i="1"/>
  <c r="B6104" i="1"/>
  <c r="C6104" i="1"/>
  <c r="E6104" i="1"/>
  <c r="G6104" i="1"/>
  <c r="K6104" i="1"/>
  <c r="A6105" i="1"/>
  <c r="B6105" i="1"/>
  <c r="C6105" i="1"/>
  <c r="E6105" i="1"/>
  <c r="G6105" i="1"/>
  <c r="K6105" i="1"/>
  <c r="A6106" i="1"/>
  <c r="B6106" i="1"/>
  <c r="C6106" i="1"/>
  <c r="E6106" i="1"/>
  <c r="G6106" i="1"/>
  <c r="K6106" i="1"/>
  <c r="A6107" i="1"/>
  <c r="B6107" i="1"/>
  <c r="C6107" i="1"/>
  <c r="E6107" i="1"/>
  <c r="G6107" i="1"/>
  <c r="K6107" i="1"/>
  <c r="A6108" i="1"/>
  <c r="B6108" i="1"/>
  <c r="C6108" i="1"/>
  <c r="E6108" i="1"/>
  <c r="G6108" i="1"/>
  <c r="K6108" i="1"/>
  <c r="A6109" i="1"/>
  <c r="B6109" i="1"/>
  <c r="C6109" i="1"/>
  <c r="E6109" i="1"/>
  <c r="G6109" i="1"/>
  <c r="K6109" i="1"/>
  <c r="A6110" i="1"/>
  <c r="B6110" i="1"/>
  <c r="C6110" i="1"/>
  <c r="E6110" i="1"/>
  <c r="G6110" i="1"/>
  <c r="K6110" i="1"/>
  <c r="A6111" i="1"/>
  <c r="B6111" i="1"/>
  <c r="C6111" i="1"/>
  <c r="E6111" i="1"/>
  <c r="G6111" i="1"/>
  <c r="K6111" i="1"/>
  <c r="A6112" i="1"/>
  <c r="B6112" i="1"/>
  <c r="C6112" i="1"/>
  <c r="E6112" i="1"/>
  <c r="G6112" i="1"/>
  <c r="K6112" i="1"/>
  <c r="A6113" i="1"/>
  <c r="B6113" i="1"/>
  <c r="C6113" i="1"/>
  <c r="E6113" i="1"/>
  <c r="G6113" i="1"/>
  <c r="K6113" i="1"/>
  <c r="A6114" i="1"/>
  <c r="B6114" i="1"/>
  <c r="C6114" i="1"/>
  <c r="E6114" i="1"/>
  <c r="G6114" i="1"/>
  <c r="K6114" i="1"/>
  <c r="A6115" i="1"/>
  <c r="B6115" i="1"/>
  <c r="C6115" i="1"/>
  <c r="E6115" i="1"/>
  <c r="G6115" i="1"/>
  <c r="K6115" i="1"/>
  <c r="A6116" i="1"/>
  <c r="B6116" i="1"/>
  <c r="C6116" i="1"/>
  <c r="E6116" i="1"/>
  <c r="G6116" i="1"/>
  <c r="K6116" i="1"/>
  <c r="A6117" i="1"/>
  <c r="B6117" i="1"/>
  <c r="C6117" i="1"/>
  <c r="E6117" i="1"/>
  <c r="G6117" i="1"/>
  <c r="K6117" i="1"/>
  <c r="A6118" i="1"/>
  <c r="B6118" i="1"/>
  <c r="C6118" i="1"/>
  <c r="E6118" i="1"/>
  <c r="G6118" i="1"/>
  <c r="K6118" i="1"/>
  <c r="A6119" i="1"/>
  <c r="B6119" i="1"/>
  <c r="C6119" i="1"/>
  <c r="E6119" i="1"/>
  <c r="G6119" i="1"/>
  <c r="K6119" i="1"/>
  <c r="A6120" i="1"/>
  <c r="B6120" i="1"/>
  <c r="C6120" i="1"/>
  <c r="E6120" i="1"/>
  <c r="G6120" i="1"/>
  <c r="K6120" i="1"/>
  <c r="A6121" i="1"/>
  <c r="B6121" i="1"/>
  <c r="C6121" i="1"/>
  <c r="E6121" i="1"/>
  <c r="G6121" i="1"/>
  <c r="K6121" i="1"/>
  <c r="A6122" i="1"/>
  <c r="B6122" i="1"/>
  <c r="C6122" i="1"/>
  <c r="E6122" i="1"/>
  <c r="G6122" i="1"/>
  <c r="K6122" i="1"/>
  <c r="A6123" i="1"/>
  <c r="B6123" i="1"/>
  <c r="C6123" i="1"/>
  <c r="E6123" i="1"/>
  <c r="G6123" i="1"/>
  <c r="K6123" i="1"/>
  <c r="A6124" i="1"/>
  <c r="B6124" i="1"/>
  <c r="C6124" i="1"/>
  <c r="E6124" i="1"/>
  <c r="G6124" i="1"/>
  <c r="K6124" i="1"/>
  <c r="A6125" i="1"/>
  <c r="B6125" i="1"/>
  <c r="C6125" i="1"/>
  <c r="E6125" i="1"/>
  <c r="G6125" i="1"/>
  <c r="K6125" i="1"/>
  <c r="A6126" i="1"/>
  <c r="B6126" i="1"/>
  <c r="C6126" i="1"/>
  <c r="E6126" i="1"/>
  <c r="G6126" i="1"/>
  <c r="K6126" i="1"/>
  <c r="A6127" i="1"/>
  <c r="B6127" i="1"/>
  <c r="C6127" i="1"/>
  <c r="E6127" i="1"/>
  <c r="G6127" i="1"/>
  <c r="K6127" i="1"/>
  <c r="A6128" i="1"/>
  <c r="B6128" i="1"/>
  <c r="C6128" i="1"/>
  <c r="E6128" i="1"/>
  <c r="G6128" i="1"/>
  <c r="K6128" i="1"/>
  <c r="A6129" i="1"/>
  <c r="B6129" i="1"/>
  <c r="C6129" i="1"/>
  <c r="E6129" i="1"/>
  <c r="G6129" i="1"/>
  <c r="K6129" i="1"/>
  <c r="A6130" i="1"/>
  <c r="B6130" i="1"/>
  <c r="C6130" i="1"/>
  <c r="E6130" i="1"/>
  <c r="G6130" i="1"/>
  <c r="K6130" i="1"/>
  <c r="A6131" i="1"/>
  <c r="B6131" i="1"/>
  <c r="C6131" i="1"/>
  <c r="E6131" i="1"/>
  <c r="G6131" i="1"/>
  <c r="K6131" i="1"/>
  <c r="A6132" i="1"/>
  <c r="B6132" i="1"/>
  <c r="C6132" i="1"/>
  <c r="E6132" i="1"/>
  <c r="G6132" i="1"/>
  <c r="K6132" i="1"/>
  <c r="A6133" i="1"/>
  <c r="B6133" i="1"/>
  <c r="C6133" i="1"/>
  <c r="E6133" i="1"/>
  <c r="G6133" i="1"/>
  <c r="K6133" i="1"/>
  <c r="A6134" i="1"/>
  <c r="B6134" i="1"/>
  <c r="C6134" i="1"/>
  <c r="E6134" i="1"/>
  <c r="G6134" i="1"/>
  <c r="K6134" i="1"/>
  <c r="A6135" i="1"/>
  <c r="B6135" i="1"/>
  <c r="C6135" i="1"/>
  <c r="E6135" i="1"/>
  <c r="G6135" i="1"/>
  <c r="K6135" i="1"/>
  <c r="A6136" i="1"/>
  <c r="B6136" i="1"/>
  <c r="C6136" i="1"/>
  <c r="E6136" i="1"/>
  <c r="G6136" i="1"/>
  <c r="K6136" i="1"/>
  <c r="A6137" i="1"/>
  <c r="B6137" i="1"/>
  <c r="C6137" i="1"/>
  <c r="E6137" i="1"/>
  <c r="G6137" i="1"/>
  <c r="K6137" i="1"/>
  <c r="A6138" i="1"/>
  <c r="B6138" i="1"/>
  <c r="C6138" i="1"/>
  <c r="E6138" i="1"/>
  <c r="G6138" i="1"/>
  <c r="K6138" i="1"/>
  <c r="A6139" i="1"/>
  <c r="B6139" i="1"/>
  <c r="C6139" i="1"/>
  <c r="E6139" i="1"/>
  <c r="G6139" i="1"/>
  <c r="K6139" i="1"/>
  <c r="A6140" i="1"/>
  <c r="B6140" i="1"/>
  <c r="C6140" i="1"/>
  <c r="E6140" i="1"/>
  <c r="G6140" i="1"/>
  <c r="K6140" i="1"/>
  <c r="A6141" i="1"/>
  <c r="B6141" i="1"/>
  <c r="C6141" i="1"/>
  <c r="E6141" i="1"/>
  <c r="G6141" i="1"/>
  <c r="K6141" i="1"/>
  <c r="A6142" i="1"/>
  <c r="B6142" i="1"/>
  <c r="C6142" i="1"/>
  <c r="E6142" i="1"/>
  <c r="G6142" i="1"/>
  <c r="K6142" i="1"/>
  <c r="A6143" i="1"/>
  <c r="B6143" i="1"/>
  <c r="C6143" i="1"/>
  <c r="E6143" i="1"/>
  <c r="G6143" i="1"/>
  <c r="K6143" i="1"/>
  <c r="A6144" i="1"/>
  <c r="B6144" i="1"/>
  <c r="C6144" i="1"/>
  <c r="E6144" i="1"/>
  <c r="G6144" i="1"/>
  <c r="K6144" i="1"/>
  <c r="A6145" i="1"/>
  <c r="B6145" i="1"/>
  <c r="C6145" i="1"/>
  <c r="E6145" i="1"/>
  <c r="G6145" i="1"/>
  <c r="K6145" i="1"/>
  <c r="A6146" i="1"/>
  <c r="B6146" i="1"/>
  <c r="C6146" i="1"/>
  <c r="E6146" i="1"/>
  <c r="G6146" i="1"/>
  <c r="K6146" i="1"/>
  <c r="A6147" i="1"/>
  <c r="B6147" i="1"/>
  <c r="C6147" i="1"/>
  <c r="E6147" i="1"/>
  <c r="G6147" i="1"/>
  <c r="K6147" i="1"/>
  <c r="A6148" i="1"/>
  <c r="B6148" i="1"/>
  <c r="C6148" i="1"/>
  <c r="E6148" i="1"/>
  <c r="G6148" i="1"/>
  <c r="K6148" i="1"/>
  <c r="A6149" i="1"/>
  <c r="B6149" i="1"/>
  <c r="C6149" i="1"/>
  <c r="E6149" i="1"/>
  <c r="G6149" i="1"/>
  <c r="K6149" i="1"/>
  <c r="A6150" i="1"/>
  <c r="B6150" i="1"/>
  <c r="C6150" i="1"/>
  <c r="E6150" i="1"/>
  <c r="G6150" i="1"/>
  <c r="K6150" i="1"/>
  <c r="A6151" i="1"/>
  <c r="B6151" i="1"/>
  <c r="C6151" i="1"/>
  <c r="E6151" i="1"/>
  <c r="G6151" i="1"/>
  <c r="K6151" i="1"/>
  <c r="A6152" i="1"/>
  <c r="B6152" i="1"/>
  <c r="C6152" i="1"/>
  <c r="E6152" i="1"/>
  <c r="G6152" i="1"/>
  <c r="K6152" i="1"/>
  <c r="A6153" i="1"/>
  <c r="B6153" i="1"/>
  <c r="C6153" i="1"/>
  <c r="E6153" i="1"/>
  <c r="G6153" i="1"/>
  <c r="K6153" i="1"/>
  <c r="A6154" i="1"/>
  <c r="B6154" i="1"/>
  <c r="C6154" i="1"/>
  <c r="E6154" i="1"/>
  <c r="G6154" i="1"/>
  <c r="K6154" i="1"/>
  <c r="A6155" i="1"/>
  <c r="B6155" i="1"/>
  <c r="C6155" i="1"/>
  <c r="E6155" i="1"/>
  <c r="G6155" i="1"/>
  <c r="K6155" i="1"/>
  <c r="A6156" i="1"/>
  <c r="B6156" i="1"/>
  <c r="C6156" i="1"/>
  <c r="E6156" i="1"/>
  <c r="G6156" i="1"/>
  <c r="K6156" i="1"/>
  <c r="A6157" i="1"/>
  <c r="B6157" i="1"/>
  <c r="C6157" i="1"/>
  <c r="E6157" i="1"/>
  <c r="G6157" i="1"/>
  <c r="K6157" i="1"/>
  <c r="A6158" i="1"/>
  <c r="B6158" i="1"/>
  <c r="C6158" i="1"/>
  <c r="E6158" i="1"/>
  <c r="G6158" i="1"/>
  <c r="K6158" i="1"/>
  <c r="A6159" i="1"/>
  <c r="B6159" i="1"/>
  <c r="C6159" i="1"/>
  <c r="E6159" i="1"/>
  <c r="G6159" i="1"/>
  <c r="K6159" i="1"/>
  <c r="A6160" i="1"/>
  <c r="B6160" i="1"/>
  <c r="C6160" i="1"/>
  <c r="E6160" i="1"/>
  <c r="G6160" i="1"/>
  <c r="K6160" i="1"/>
  <c r="A6161" i="1"/>
  <c r="B6161" i="1"/>
  <c r="C6161" i="1"/>
  <c r="E6161" i="1"/>
  <c r="G6161" i="1"/>
  <c r="K6161" i="1"/>
  <c r="A6162" i="1"/>
  <c r="B6162" i="1"/>
  <c r="C6162" i="1"/>
  <c r="E6162" i="1"/>
  <c r="G6162" i="1"/>
  <c r="K6162" i="1"/>
  <c r="A6163" i="1"/>
  <c r="B6163" i="1"/>
  <c r="C6163" i="1"/>
  <c r="E6163" i="1"/>
  <c r="G6163" i="1"/>
  <c r="K6163" i="1"/>
  <c r="A6164" i="1"/>
  <c r="B6164" i="1"/>
  <c r="C6164" i="1"/>
  <c r="E6164" i="1"/>
  <c r="G6164" i="1"/>
  <c r="K6164" i="1"/>
  <c r="A6165" i="1"/>
  <c r="B6165" i="1"/>
  <c r="C6165" i="1"/>
  <c r="E6165" i="1"/>
  <c r="G6165" i="1"/>
  <c r="K6165" i="1"/>
  <c r="A6166" i="1"/>
  <c r="B6166" i="1"/>
  <c r="C6166" i="1"/>
  <c r="E6166" i="1"/>
  <c r="G6166" i="1"/>
  <c r="K6166" i="1"/>
  <c r="A6167" i="1"/>
  <c r="B6167" i="1"/>
  <c r="C6167" i="1"/>
  <c r="E6167" i="1"/>
  <c r="G6167" i="1"/>
  <c r="K6167" i="1"/>
  <c r="A6168" i="1"/>
  <c r="B6168" i="1"/>
  <c r="C6168" i="1"/>
  <c r="E6168" i="1"/>
  <c r="G6168" i="1"/>
  <c r="K6168" i="1"/>
  <c r="A6169" i="1"/>
  <c r="B6169" i="1"/>
  <c r="C6169" i="1"/>
  <c r="E6169" i="1"/>
  <c r="G6169" i="1"/>
  <c r="K6169" i="1"/>
  <c r="A6170" i="1"/>
  <c r="B6170" i="1"/>
  <c r="C6170" i="1"/>
  <c r="E6170" i="1"/>
  <c r="G6170" i="1"/>
  <c r="K6170" i="1"/>
  <c r="A6171" i="1"/>
  <c r="B6171" i="1"/>
  <c r="C6171" i="1"/>
  <c r="E6171" i="1"/>
  <c r="G6171" i="1"/>
  <c r="K6171" i="1"/>
  <c r="A6172" i="1"/>
  <c r="B6172" i="1"/>
  <c r="C6172" i="1"/>
  <c r="E6172" i="1"/>
  <c r="G6172" i="1"/>
  <c r="K6172" i="1"/>
  <c r="A6173" i="1"/>
  <c r="B6173" i="1"/>
  <c r="C6173" i="1"/>
  <c r="E6173" i="1"/>
  <c r="G6173" i="1"/>
  <c r="K6173" i="1"/>
  <c r="A6174" i="1"/>
  <c r="B6174" i="1"/>
  <c r="C6174" i="1"/>
  <c r="E6174" i="1"/>
  <c r="G6174" i="1"/>
  <c r="K6174" i="1"/>
  <c r="A6175" i="1"/>
  <c r="B6175" i="1"/>
  <c r="C6175" i="1"/>
  <c r="E6175" i="1"/>
  <c r="G6175" i="1"/>
  <c r="K6175" i="1"/>
  <c r="A6176" i="1"/>
  <c r="B6176" i="1"/>
  <c r="C6176" i="1"/>
  <c r="E6176" i="1"/>
  <c r="G6176" i="1"/>
  <c r="K6176" i="1"/>
  <c r="A6177" i="1"/>
  <c r="B6177" i="1"/>
  <c r="C6177" i="1"/>
  <c r="E6177" i="1"/>
  <c r="G6177" i="1"/>
  <c r="K6177" i="1"/>
  <c r="A6178" i="1"/>
  <c r="B6178" i="1"/>
  <c r="C6178" i="1"/>
  <c r="E6178" i="1"/>
  <c r="G6178" i="1"/>
  <c r="K6178" i="1"/>
  <c r="A6179" i="1"/>
  <c r="B6179" i="1"/>
  <c r="C6179" i="1"/>
  <c r="E6179" i="1"/>
  <c r="G6179" i="1"/>
  <c r="K6179" i="1"/>
  <c r="A6180" i="1"/>
  <c r="B6180" i="1"/>
  <c r="C6180" i="1"/>
  <c r="E6180" i="1"/>
  <c r="G6180" i="1"/>
  <c r="K6180" i="1"/>
  <c r="A6181" i="1"/>
  <c r="B6181" i="1"/>
  <c r="C6181" i="1"/>
  <c r="E6181" i="1"/>
  <c r="G6181" i="1"/>
  <c r="K6181" i="1"/>
  <c r="A6182" i="1"/>
  <c r="B6182" i="1"/>
  <c r="C6182" i="1"/>
  <c r="E6182" i="1"/>
  <c r="G6182" i="1"/>
  <c r="K6182" i="1"/>
  <c r="A6183" i="1"/>
  <c r="B6183" i="1"/>
  <c r="C6183" i="1"/>
  <c r="E6183" i="1"/>
  <c r="G6183" i="1"/>
  <c r="K6183" i="1"/>
  <c r="A6184" i="1"/>
  <c r="B6184" i="1"/>
  <c r="C6184" i="1"/>
  <c r="E6184" i="1"/>
  <c r="G6184" i="1"/>
  <c r="K6184" i="1"/>
  <c r="A6185" i="1"/>
  <c r="B6185" i="1"/>
  <c r="C6185" i="1"/>
  <c r="E6185" i="1"/>
  <c r="G6185" i="1"/>
  <c r="K6185" i="1"/>
  <c r="A6186" i="1"/>
  <c r="B6186" i="1"/>
  <c r="C6186" i="1"/>
  <c r="E6186" i="1"/>
  <c r="G6186" i="1"/>
  <c r="K6186" i="1"/>
  <c r="A6187" i="1"/>
  <c r="B6187" i="1"/>
  <c r="C6187" i="1"/>
  <c r="E6187" i="1"/>
  <c r="G6187" i="1"/>
  <c r="K6187" i="1"/>
  <c r="A6188" i="1"/>
  <c r="B6188" i="1"/>
  <c r="C6188" i="1"/>
  <c r="E6188" i="1"/>
  <c r="G6188" i="1"/>
  <c r="K6188" i="1"/>
  <c r="A6189" i="1"/>
  <c r="B6189" i="1"/>
  <c r="C6189" i="1"/>
  <c r="E6189" i="1"/>
  <c r="G6189" i="1"/>
  <c r="K6189" i="1"/>
  <c r="A6190" i="1"/>
  <c r="B6190" i="1"/>
  <c r="C6190" i="1"/>
  <c r="E6190" i="1"/>
  <c r="G6190" i="1"/>
  <c r="K6190" i="1"/>
  <c r="A6191" i="1"/>
  <c r="B6191" i="1"/>
  <c r="C6191" i="1"/>
  <c r="E6191" i="1"/>
  <c r="G6191" i="1"/>
  <c r="K6191" i="1"/>
  <c r="A6192" i="1"/>
  <c r="B6192" i="1"/>
  <c r="C6192" i="1"/>
  <c r="E6192" i="1"/>
  <c r="G6192" i="1"/>
  <c r="K6192" i="1"/>
  <c r="A6193" i="1"/>
  <c r="B6193" i="1"/>
  <c r="C6193" i="1"/>
  <c r="E6193" i="1"/>
  <c r="G6193" i="1"/>
  <c r="K6193" i="1"/>
  <c r="A6194" i="1"/>
  <c r="B6194" i="1"/>
  <c r="C6194" i="1"/>
  <c r="E6194" i="1"/>
  <c r="G6194" i="1"/>
  <c r="K6194" i="1"/>
  <c r="A6195" i="1"/>
  <c r="B6195" i="1"/>
  <c r="C6195" i="1"/>
  <c r="E6195" i="1"/>
  <c r="G6195" i="1"/>
  <c r="K6195" i="1"/>
  <c r="A6196" i="1"/>
  <c r="B6196" i="1"/>
  <c r="C6196" i="1"/>
  <c r="E6196" i="1"/>
  <c r="G6196" i="1"/>
  <c r="K6196" i="1"/>
  <c r="A6197" i="1"/>
  <c r="B6197" i="1"/>
  <c r="C6197" i="1"/>
  <c r="E6197" i="1"/>
  <c r="G6197" i="1"/>
  <c r="K6197" i="1"/>
  <c r="A6198" i="1"/>
  <c r="B6198" i="1"/>
  <c r="C6198" i="1"/>
  <c r="E6198" i="1"/>
  <c r="G6198" i="1"/>
  <c r="K6198" i="1"/>
  <c r="A6199" i="1"/>
  <c r="B6199" i="1"/>
  <c r="C6199" i="1"/>
  <c r="E6199" i="1"/>
  <c r="G6199" i="1"/>
  <c r="K6199" i="1"/>
  <c r="A6200" i="1"/>
  <c r="B6200" i="1"/>
  <c r="C6200" i="1"/>
  <c r="E6200" i="1"/>
  <c r="G6200" i="1"/>
  <c r="K6200" i="1"/>
  <c r="A6201" i="1"/>
  <c r="B6201" i="1"/>
  <c r="C6201" i="1"/>
  <c r="E6201" i="1"/>
  <c r="G6201" i="1"/>
  <c r="K6201" i="1"/>
  <c r="A6202" i="1"/>
  <c r="B6202" i="1"/>
  <c r="C6202" i="1"/>
  <c r="E6202" i="1"/>
  <c r="G6202" i="1"/>
  <c r="K6202" i="1"/>
  <c r="A6203" i="1"/>
  <c r="B6203" i="1"/>
  <c r="C6203" i="1"/>
  <c r="E6203" i="1"/>
  <c r="G6203" i="1"/>
  <c r="K6203" i="1"/>
  <c r="A6204" i="1"/>
  <c r="B6204" i="1"/>
  <c r="C6204" i="1"/>
  <c r="E6204" i="1"/>
  <c r="G6204" i="1"/>
  <c r="K6204" i="1"/>
  <c r="A6205" i="1"/>
  <c r="B6205" i="1"/>
  <c r="C6205" i="1"/>
  <c r="E6205" i="1"/>
  <c r="G6205" i="1"/>
  <c r="K6205" i="1"/>
  <c r="A6206" i="1"/>
  <c r="B6206" i="1"/>
  <c r="C6206" i="1"/>
  <c r="E6206" i="1"/>
  <c r="G6206" i="1"/>
  <c r="K6206" i="1"/>
  <c r="A6207" i="1"/>
  <c r="B6207" i="1"/>
  <c r="C6207" i="1"/>
  <c r="E6207" i="1"/>
  <c r="G6207" i="1"/>
  <c r="K6207" i="1"/>
  <c r="A6208" i="1"/>
  <c r="B6208" i="1"/>
  <c r="C6208" i="1"/>
  <c r="E6208" i="1"/>
  <c r="G6208" i="1"/>
  <c r="K6208" i="1"/>
  <c r="A6209" i="1"/>
  <c r="B6209" i="1"/>
  <c r="C6209" i="1"/>
  <c r="E6209" i="1"/>
  <c r="G6209" i="1"/>
  <c r="K6209" i="1"/>
  <c r="A6210" i="1"/>
  <c r="B6210" i="1"/>
  <c r="C6210" i="1"/>
  <c r="E6210" i="1"/>
  <c r="G6210" i="1"/>
  <c r="K6210" i="1"/>
  <c r="A6211" i="1"/>
  <c r="B6211" i="1"/>
  <c r="C6211" i="1"/>
  <c r="E6211" i="1"/>
  <c r="G6211" i="1"/>
  <c r="K6211" i="1"/>
  <c r="A6212" i="1"/>
  <c r="B6212" i="1"/>
  <c r="C6212" i="1"/>
  <c r="E6212" i="1"/>
  <c r="G6212" i="1"/>
  <c r="K6212" i="1"/>
  <c r="A6213" i="1"/>
  <c r="B6213" i="1"/>
  <c r="C6213" i="1"/>
  <c r="E6213" i="1"/>
  <c r="G6213" i="1"/>
  <c r="K6213" i="1"/>
  <c r="A6214" i="1"/>
  <c r="B6214" i="1"/>
  <c r="C6214" i="1"/>
  <c r="E6214" i="1"/>
  <c r="G6214" i="1"/>
  <c r="K6214" i="1"/>
  <c r="A6215" i="1"/>
  <c r="B6215" i="1"/>
  <c r="C6215" i="1"/>
  <c r="E6215" i="1"/>
  <c r="G6215" i="1"/>
  <c r="K6215" i="1"/>
  <c r="A6216" i="1"/>
  <c r="B6216" i="1"/>
  <c r="C6216" i="1"/>
  <c r="E6216" i="1"/>
  <c r="G6216" i="1"/>
  <c r="K6216" i="1"/>
  <c r="A6217" i="1"/>
  <c r="B6217" i="1"/>
  <c r="C6217" i="1"/>
  <c r="E6217" i="1"/>
  <c r="G6217" i="1"/>
  <c r="K6217" i="1"/>
  <c r="A6218" i="1"/>
  <c r="B6218" i="1"/>
  <c r="C6218" i="1"/>
  <c r="E6218" i="1"/>
  <c r="G6218" i="1"/>
  <c r="K6218" i="1"/>
  <c r="A6219" i="1"/>
  <c r="B6219" i="1"/>
  <c r="C6219" i="1"/>
  <c r="E6219" i="1"/>
  <c r="G6219" i="1"/>
  <c r="K6219" i="1"/>
  <c r="A6220" i="1"/>
  <c r="B6220" i="1"/>
  <c r="C6220" i="1"/>
  <c r="E6220" i="1"/>
  <c r="G6220" i="1"/>
  <c r="K6220" i="1"/>
  <c r="A6221" i="1"/>
  <c r="B6221" i="1"/>
  <c r="C6221" i="1"/>
  <c r="E6221" i="1"/>
  <c r="G6221" i="1"/>
  <c r="K6221" i="1"/>
  <c r="A6222" i="1"/>
  <c r="B6222" i="1"/>
  <c r="C6222" i="1"/>
  <c r="E6222" i="1"/>
  <c r="G6222" i="1"/>
  <c r="K6222" i="1"/>
  <c r="A6223" i="1"/>
  <c r="B6223" i="1"/>
  <c r="C6223" i="1"/>
  <c r="E6223" i="1"/>
  <c r="G6223" i="1"/>
  <c r="K6223" i="1"/>
  <c r="A6224" i="1"/>
  <c r="B6224" i="1"/>
  <c r="C6224" i="1"/>
  <c r="E6224" i="1"/>
  <c r="G6224" i="1"/>
  <c r="K6224" i="1"/>
  <c r="A6225" i="1"/>
  <c r="B6225" i="1"/>
  <c r="C6225" i="1"/>
  <c r="E6225" i="1"/>
  <c r="G6225" i="1"/>
  <c r="K6225" i="1"/>
  <c r="A6226" i="1"/>
  <c r="B6226" i="1"/>
  <c r="C6226" i="1"/>
  <c r="E6226" i="1"/>
  <c r="G6226" i="1"/>
  <c r="K6226" i="1"/>
  <c r="A6227" i="1"/>
  <c r="B6227" i="1"/>
  <c r="C6227" i="1"/>
  <c r="E6227" i="1"/>
  <c r="G6227" i="1"/>
  <c r="K6227" i="1"/>
  <c r="A6228" i="1"/>
  <c r="B6228" i="1"/>
  <c r="C6228" i="1"/>
  <c r="E6228" i="1"/>
  <c r="G6228" i="1"/>
  <c r="K6228" i="1"/>
  <c r="A6229" i="1"/>
  <c r="B6229" i="1"/>
  <c r="C6229" i="1"/>
  <c r="E6229" i="1"/>
  <c r="G6229" i="1"/>
  <c r="K6229" i="1"/>
  <c r="A6230" i="1"/>
  <c r="B6230" i="1"/>
  <c r="C6230" i="1"/>
  <c r="E6230" i="1"/>
  <c r="G6230" i="1"/>
  <c r="K6230" i="1"/>
  <c r="A6231" i="1"/>
  <c r="B6231" i="1"/>
  <c r="C6231" i="1"/>
  <c r="E6231" i="1"/>
  <c r="G6231" i="1"/>
  <c r="K6231" i="1"/>
  <c r="A6232" i="1"/>
  <c r="B6232" i="1"/>
  <c r="C6232" i="1"/>
  <c r="E6232" i="1"/>
  <c r="G6232" i="1"/>
  <c r="K6232" i="1"/>
  <c r="A6233" i="1"/>
  <c r="B6233" i="1"/>
  <c r="C6233" i="1"/>
  <c r="E6233" i="1"/>
  <c r="G6233" i="1"/>
  <c r="K6233" i="1"/>
  <c r="A6234" i="1"/>
  <c r="B6234" i="1"/>
  <c r="C6234" i="1"/>
  <c r="E6234" i="1"/>
  <c r="G6234" i="1"/>
  <c r="K6234" i="1"/>
  <c r="A6235" i="1"/>
  <c r="B6235" i="1"/>
  <c r="C6235" i="1"/>
  <c r="E6235" i="1"/>
  <c r="G6235" i="1"/>
  <c r="K6235" i="1"/>
  <c r="A6236" i="1"/>
  <c r="B6236" i="1"/>
  <c r="C6236" i="1"/>
  <c r="E6236" i="1"/>
  <c r="G6236" i="1"/>
  <c r="K6236" i="1"/>
  <c r="A6237" i="1"/>
  <c r="B6237" i="1"/>
  <c r="C6237" i="1"/>
  <c r="E6237" i="1"/>
  <c r="G6237" i="1"/>
  <c r="K6237" i="1"/>
  <c r="A6238" i="1"/>
  <c r="B6238" i="1"/>
  <c r="C6238" i="1"/>
  <c r="E6238" i="1"/>
  <c r="G6238" i="1"/>
  <c r="K6238" i="1"/>
  <c r="A6239" i="1"/>
  <c r="B6239" i="1"/>
  <c r="C6239" i="1"/>
  <c r="E6239" i="1"/>
  <c r="G6239" i="1"/>
  <c r="K6239" i="1"/>
  <c r="A6240" i="1"/>
  <c r="B6240" i="1"/>
  <c r="C6240" i="1"/>
  <c r="E6240" i="1"/>
  <c r="G6240" i="1"/>
  <c r="K6240" i="1"/>
  <c r="A6241" i="1"/>
  <c r="B6241" i="1"/>
  <c r="C6241" i="1"/>
  <c r="E6241" i="1"/>
  <c r="G6241" i="1"/>
  <c r="K6241" i="1"/>
  <c r="A6242" i="1"/>
  <c r="B6242" i="1"/>
  <c r="C6242" i="1"/>
  <c r="E6242" i="1"/>
  <c r="G6242" i="1"/>
  <c r="K6242" i="1"/>
  <c r="A6243" i="1"/>
  <c r="B6243" i="1"/>
  <c r="C6243" i="1"/>
  <c r="E6243" i="1"/>
  <c r="G6243" i="1"/>
  <c r="K6243" i="1"/>
  <c r="A6244" i="1"/>
  <c r="B6244" i="1"/>
  <c r="C6244" i="1"/>
  <c r="E6244" i="1"/>
  <c r="G6244" i="1"/>
  <c r="K6244" i="1"/>
  <c r="A6245" i="1"/>
  <c r="B6245" i="1"/>
  <c r="C6245" i="1"/>
  <c r="E6245" i="1"/>
  <c r="G6245" i="1"/>
  <c r="K6245" i="1"/>
  <c r="A6246" i="1"/>
  <c r="B6246" i="1"/>
  <c r="C6246" i="1"/>
  <c r="E6246" i="1"/>
  <c r="G6246" i="1"/>
  <c r="K6246" i="1"/>
  <c r="A6247" i="1"/>
  <c r="B6247" i="1"/>
  <c r="C6247" i="1"/>
  <c r="E6247" i="1"/>
  <c r="G6247" i="1"/>
  <c r="K6247" i="1"/>
  <c r="A6248" i="1"/>
  <c r="B6248" i="1"/>
  <c r="C6248" i="1"/>
  <c r="E6248" i="1"/>
  <c r="G6248" i="1"/>
  <c r="K6248" i="1"/>
  <c r="A6249" i="1"/>
  <c r="B6249" i="1"/>
  <c r="C6249" i="1"/>
  <c r="E6249" i="1"/>
  <c r="G6249" i="1"/>
  <c r="K6249" i="1"/>
  <c r="A6250" i="1"/>
  <c r="B6250" i="1"/>
  <c r="C6250" i="1"/>
  <c r="E6250" i="1"/>
  <c r="G6250" i="1"/>
  <c r="K6250" i="1"/>
  <c r="A6251" i="1"/>
  <c r="B6251" i="1"/>
  <c r="C6251" i="1"/>
  <c r="E6251" i="1"/>
  <c r="G6251" i="1"/>
  <c r="K6251" i="1"/>
  <c r="A6252" i="1"/>
  <c r="B6252" i="1"/>
  <c r="C6252" i="1"/>
  <c r="E6252" i="1"/>
  <c r="G6252" i="1"/>
  <c r="K6252" i="1"/>
  <c r="A6253" i="1"/>
  <c r="B6253" i="1"/>
  <c r="C6253" i="1"/>
  <c r="E6253" i="1"/>
  <c r="G6253" i="1"/>
  <c r="K6253" i="1"/>
  <c r="A6254" i="1"/>
  <c r="B6254" i="1"/>
  <c r="C6254" i="1"/>
  <c r="E6254" i="1"/>
  <c r="G6254" i="1"/>
  <c r="K6254" i="1"/>
  <c r="A6255" i="1"/>
  <c r="B6255" i="1"/>
  <c r="C6255" i="1"/>
  <c r="E6255" i="1"/>
  <c r="G6255" i="1"/>
  <c r="K6255" i="1"/>
  <c r="A6256" i="1"/>
  <c r="B6256" i="1"/>
  <c r="C6256" i="1"/>
  <c r="E6256" i="1"/>
  <c r="G6256" i="1"/>
  <c r="K6256" i="1"/>
  <c r="A6257" i="1"/>
  <c r="B6257" i="1"/>
  <c r="C6257" i="1"/>
  <c r="E6257" i="1"/>
  <c r="G6257" i="1"/>
  <c r="K6257" i="1"/>
  <c r="A6258" i="1"/>
  <c r="B6258" i="1"/>
  <c r="C6258" i="1"/>
  <c r="E6258" i="1"/>
  <c r="G6258" i="1"/>
  <c r="K6258" i="1"/>
  <c r="A6259" i="1"/>
  <c r="B6259" i="1"/>
  <c r="C6259" i="1"/>
  <c r="E6259" i="1"/>
  <c r="G6259" i="1"/>
  <c r="K6259" i="1"/>
  <c r="A6260" i="1"/>
  <c r="B6260" i="1"/>
  <c r="C6260" i="1"/>
  <c r="E6260" i="1"/>
  <c r="G6260" i="1"/>
  <c r="K6260" i="1"/>
  <c r="A6261" i="1"/>
  <c r="B6261" i="1"/>
  <c r="C6261" i="1"/>
  <c r="E6261" i="1"/>
  <c r="G6261" i="1"/>
  <c r="K6261" i="1"/>
  <c r="A6262" i="1"/>
  <c r="B6262" i="1"/>
  <c r="C6262" i="1"/>
  <c r="E6262" i="1"/>
  <c r="G6262" i="1"/>
  <c r="K6262" i="1"/>
  <c r="A6263" i="1"/>
  <c r="B6263" i="1"/>
  <c r="C6263" i="1"/>
  <c r="E6263" i="1"/>
  <c r="G6263" i="1"/>
  <c r="K6263" i="1"/>
  <c r="A6264" i="1"/>
  <c r="B6264" i="1"/>
  <c r="C6264" i="1"/>
  <c r="E6264" i="1"/>
  <c r="G6264" i="1"/>
  <c r="K6264" i="1"/>
  <c r="A6265" i="1"/>
  <c r="B6265" i="1"/>
  <c r="C6265" i="1"/>
  <c r="E6265" i="1"/>
  <c r="G6265" i="1"/>
  <c r="K6265" i="1"/>
  <c r="A6266" i="1"/>
  <c r="B6266" i="1"/>
  <c r="C6266" i="1"/>
  <c r="E6266" i="1"/>
  <c r="G6266" i="1"/>
  <c r="K6266" i="1"/>
  <c r="A6267" i="1"/>
  <c r="B6267" i="1"/>
  <c r="C6267" i="1"/>
  <c r="E6267" i="1"/>
  <c r="G6267" i="1"/>
  <c r="K6267" i="1"/>
  <c r="A6268" i="1"/>
  <c r="B6268" i="1"/>
  <c r="C6268" i="1"/>
  <c r="E6268" i="1"/>
  <c r="G6268" i="1"/>
  <c r="K6268" i="1"/>
  <c r="A6269" i="1"/>
  <c r="B6269" i="1"/>
  <c r="C6269" i="1"/>
  <c r="E6269" i="1"/>
  <c r="G6269" i="1"/>
  <c r="K6269" i="1"/>
  <c r="A6270" i="1"/>
  <c r="B6270" i="1"/>
  <c r="C6270" i="1"/>
  <c r="E6270" i="1"/>
  <c r="G6270" i="1"/>
  <c r="K6270" i="1"/>
  <c r="A6271" i="1"/>
  <c r="B6271" i="1"/>
  <c r="C6271" i="1"/>
  <c r="E6271" i="1"/>
  <c r="G6271" i="1"/>
  <c r="K6271" i="1"/>
  <c r="A6272" i="1"/>
  <c r="B6272" i="1"/>
  <c r="C6272" i="1"/>
  <c r="E6272" i="1"/>
  <c r="G6272" i="1"/>
  <c r="K6272" i="1"/>
  <c r="A6273" i="1"/>
  <c r="B6273" i="1"/>
  <c r="C6273" i="1"/>
  <c r="E6273" i="1"/>
  <c r="G6273" i="1"/>
  <c r="K6273" i="1"/>
  <c r="A6274" i="1"/>
  <c r="B6274" i="1"/>
  <c r="C6274" i="1"/>
  <c r="E6274" i="1"/>
  <c r="G6274" i="1"/>
  <c r="K6274" i="1"/>
  <c r="A6275" i="1"/>
  <c r="B6275" i="1"/>
  <c r="C6275" i="1"/>
  <c r="E6275" i="1"/>
  <c r="G6275" i="1"/>
  <c r="K6275" i="1"/>
  <c r="A6276" i="1"/>
  <c r="B6276" i="1"/>
  <c r="C6276" i="1"/>
  <c r="E6276" i="1"/>
  <c r="G6276" i="1"/>
  <c r="K6276" i="1"/>
  <c r="A6277" i="1"/>
  <c r="B6277" i="1"/>
  <c r="C6277" i="1"/>
  <c r="E6277" i="1"/>
  <c r="G6277" i="1"/>
  <c r="K6277" i="1"/>
  <c r="A6278" i="1"/>
  <c r="B6278" i="1"/>
  <c r="C6278" i="1"/>
  <c r="E6278" i="1"/>
  <c r="G6278" i="1"/>
  <c r="K6278" i="1"/>
  <c r="A6279" i="1"/>
  <c r="B6279" i="1"/>
  <c r="C6279" i="1"/>
  <c r="E6279" i="1"/>
  <c r="G6279" i="1"/>
  <c r="K6279" i="1"/>
  <c r="A6280" i="1"/>
  <c r="B6280" i="1"/>
  <c r="C6280" i="1"/>
  <c r="E6280" i="1"/>
  <c r="G6280" i="1"/>
  <c r="K6280" i="1"/>
  <c r="A6281" i="1"/>
  <c r="B6281" i="1"/>
  <c r="C6281" i="1"/>
  <c r="E6281" i="1"/>
  <c r="G6281" i="1"/>
  <c r="K6281" i="1"/>
  <c r="A6282" i="1"/>
  <c r="B6282" i="1"/>
  <c r="C6282" i="1"/>
  <c r="E6282" i="1"/>
  <c r="G6282" i="1"/>
  <c r="K6282" i="1"/>
  <c r="A6283" i="1"/>
  <c r="B6283" i="1"/>
  <c r="C6283" i="1"/>
  <c r="E6283" i="1"/>
  <c r="G6283" i="1"/>
  <c r="K6283" i="1"/>
  <c r="A6284" i="1"/>
  <c r="B6284" i="1"/>
  <c r="C6284" i="1"/>
  <c r="E6284" i="1"/>
  <c r="G6284" i="1"/>
  <c r="K6284" i="1"/>
  <c r="A6285" i="1"/>
  <c r="B6285" i="1"/>
  <c r="C6285" i="1"/>
  <c r="E6285" i="1"/>
  <c r="G6285" i="1"/>
  <c r="K6285" i="1"/>
  <c r="A6286" i="1"/>
  <c r="B6286" i="1"/>
  <c r="C6286" i="1"/>
  <c r="E6286" i="1"/>
  <c r="G6286" i="1"/>
  <c r="K6286" i="1"/>
  <c r="A6287" i="1"/>
  <c r="B6287" i="1"/>
  <c r="C6287" i="1"/>
  <c r="E6287" i="1"/>
  <c r="G6287" i="1"/>
  <c r="K6287" i="1"/>
  <c r="A6288" i="1"/>
  <c r="B6288" i="1"/>
  <c r="C6288" i="1"/>
  <c r="E6288" i="1"/>
  <c r="G6288" i="1"/>
  <c r="K6288" i="1"/>
  <c r="A6289" i="1"/>
  <c r="B6289" i="1"/>
  <c r="C6289" i="1"/>
  <c r="E6289" i="1"/>
  <c r="G6289" i="1"/>
  <c r="K6289" i="1"/>
  <c r="A6290" i="1"/>
  <c r="B6290" i="1"/>
  <c r="C6290" i="1"/>
  <c r="E6290" i="1"/>
  <c r="G6290" i="1"/>
  <c r="K6290" i="1"/>
  <c r="A6291" i="1"/>
  <c r="B6291" i="1"/>
  <c r="C6291" i="1"/>
  <c r="E6291" i="1"/>
  <c r="G6291" i="1"/>
  <c r="K6291" i="1"/>
  <c r="A6292" i="1"/>
  <c r="B6292" i="1"/>
  <c r="C6292" i="1"/>
  <c r="E6292" i="1"/>
  <c r="G6292" i="1"/>
  <c r="K6292" i="1"/>
  <c r="A6293" i="1"/>
  <c r="B6293" i="1"/>
  <c r="C6293" i="1"/>
  <c r="E6293" i="1"/>
  <c r="G6293" i="1"/>
  <c r="K6293" i="1"/>
  <c r="A6294" i="1"/>
  <c r="B6294" i="1"/>
  <c r="C6294" i="1"/>
  <c r="E6294" i="1"/>
  <c r="G6294" i="1"/>
  <c r="K6294" i="1"/>
  <c r="A6295" i="1"/>
  <c r="B6295" i="1"/>
  <c r="C6295" i="1"/>
  <c r="E6295" i="1"/>
  <c r="G6295" i="1"/>
  <c r="K6295" i="1"/>
  <c r="A6296" i="1"/>
  <c r="B6296" i="1"/>
  <c r="C6296" i="1"/>
  <c r="E6296" i="1"/>
  <c r="G6296" i="1"/>
  <c r="K6296" i="1"/>
  <c r="A6297" i="1"/>
  <c r="B6297" i="1"/>
  <c r="C6297" i="1"/>
  <c r="E6297" i="1"/>
  <c r="G6297" i="1"/>
  <c r="K6297" i="1"/>
  <c r="A6298" i="1"/>
  <c r="B6298" i="1"/>
  <c r="C6298" i="1"/>
  <c r="E6298" i="1"/>
  <c r="G6298" i="1"/>
  <c r="K6298" i="1"/>
  <c r="A6299" i="1"/>
  <c r="B6299" i="1"/>
  <c r="C6299" i="1"/>
  <c r="E6299" i="1"/>
  <c r="G6299" i="1"/>
  <c r="K6299" i="1"/>
  <c r="A6300" i="1"/>
  <c r="B6300" i="1"/>
  <c r="C6300" i="1"/>
  <c r="E6300" i="1"/>
  <c r="G6300" i="1"/>
  <c r="K6300" i="1"/>
  <c r="A6301" i="1"/>
  <c r="B6301" i="1"/>
  <c r="C6301" i="1"/>
  <c r="E6301" i="1"/>
  <c r="G6301" i="1"/>
  <c r="K6301" i="1"/>
  <c r="A6302" i="1"/>
  <c r="B6302" i="1"/>
  <c r="C6302" i="1"/>
  <c r="E6302" i="1"/>
  <c r="G6302" i="1"/>
  <c r="K6302" i="1"/>
  <c r="A6303" i="1"/>
  <c r="B6303" i="1"/>
  <c r="C6303" i="1"/>
  <c r="E6303" i="1"/>
  <c r="G6303" i="1"/>
  <c r="K6303" i="1"/>
  <c r="A6304" i="1"/>
  <c r="B6304" i="1"/>
  <c r="C6304" i="1"/>
  <c r="E6304" i="1"/>
  <c r="G6304" i="1"/>
  <c r="K6304" i="1"/>
  <c r="A6305" i="1"/>
  <c r="B6305" i="1"/>
  <c r="C6305" i="1"/>
  <c r="E6305" i="1"/>
  <c r="G6305" i="1"/>
  <c r="K6305" i="1"/>
  <c r="A6306" i="1"/>
  <c r="B6306" i="1"/>
  <c r="C6306" i="1"/>
  <c r="E6306" i="1"/>
  <c r="G6306" i="1"/>
  <c r="K6306" i="1"/>
  <c r="A6307" i="1"/>
  <c r="B6307" i="1"/>
  <c r="C6307" i="1"/>
  <c r="E6307" i="1"/>
  <c r="G6307" i="1"/>
  <c r="K6307" i="1"/>
  <c r="A6308" i="1"/>
  <c r="B6308" i="1"/>
  <c r="C6308" i="1"/>
  <c r="E6308" i="1"/>
  <c r="G6308" i="1"/>
  <c r="K6308" i="1"/>
  <c r="A6309" i="1"/>
  <c r="B6309" i="1"/>
  <c r="C6309" i="1"/>
  <c r="E6309" i="1"/>
  <c r="G6309" i="1"/>
  <c r="K6309" i="1"/>
  <c r="A6310" i="1"/>
  <c r="B6310" i="1"/>
  <c r="C6310" i="1"/>
  <c r="E6310" i="1"/>
  <c r="G6310" i="1"/>
  <c r="K6310" i="1"/>
  <c r="A6311" i="1"/>
  <c r="B6311" i="1"/>
  <c r="C6311" i="1"/>
  <c r="E6311" i="1"/>
  <c r="G6311" i="1"/>
  <c r="K6311" i="1"/>
  <c r="A6312" i="1"/>
  <c r="B6312" i="1"/>
  <c r="C6312" i="1"/>
  <c r="E6312" i="1"/>
  <c r="G6312" i="1"/>
  <c r="K6312" i="1"/>
  <c r="A6313" i="1"/>
  <c r="B6313" i="1"/>
  <c r="C6313" i="1"/>
  <c r="E6313" i="1"/>
  <c r="G6313" i="1"/>
  <c r="K6313" i="1"/>
  <c r="A6314" i="1"/>
  <c r="B6314" i="1"/>
  <c r="C6314" i="1"/>
  <c r="E6314" i="1"/>
  <c r="G6314" i="1"/>
  <c r="K6314" i="1"/>
  <c r="A6315" i="1"/>
  <c r="B6315" i="1"/>
  <c r="C6315" i="1"/>
  <c r="E6315" i="1"/>
  <c r="G6315" i="1"/>
  <c r="K6315" i="1"/>
  <c r="A6316" i="1"/>
  <c r="B6316" i="1"/>
  <c r="C6316" i="1"/>
  <c r="E6316" i="1"/>
  <c r="G6316" i="1"/>
  <c r="K6316" i="1"/>
  <c r="A6317" i="1"/>
  <c r="B6317" i="1"/>
  <c r="C6317" i="1"/>
  <c r="E6317" i="1"/>
  <c r="G6317" i="1"/>
  <c r="K6317" i="1"/>
  <c r="A6318" i="1"/>
  <c r="B6318" i="1"/>
  <c r="C6318" i="1"/>
  <c r="E6318" i="1"/>
  <c r="G6318" i="1"/>
  <c r="K6318" i="1"/>
  <c r="A6319" i="1"/>
  <c r="B6319" i="1"/>
  <c r="C6319" i="1"/>
  <c r="E6319" i="1"/>
  <c r="G6319" i="1"/>
  <c r="K6319" i="1"/>
  <c r="A6320" i="1"/>
  <c r="B6320" i="1"/>
  <c r="C6320" i="1"/>
  <c r="E6320" i="1"/>
  <c r="G6320" i="1"/>
  <c r="K6320" i="1"/>
  <c r="A6321" i="1"/>
  <c r="B6321" i="1"/>
  <c r="C6321" i="1"/>
  <c r="E6321" i="1"/>
  <c r="G6321" i="1"/>
  <c r="K6321" i="1"/>
  <c r="A6322" i="1"/>
  <c r="B6322" i="1"/>
  <c r="C6322" i="1"/>
  <c r="E6322" i="1"/>
  <c r="G6322" i="1"/>
  <c r="K6322" i="1"/>
  <c r="A6323" i="1"/>
  <c r="B6323" i="1"/>
  <c r="C6323" i="1"/>
  <c r="E6323" i="1"/>
  <c r="G6323" i="1"/>
  <c r="K6323" i="1"/>
  <c r="A6324" i="1"/>
  <c r="B6324" i="1"/>
  <c r="C6324" i="1"/>
  <c r="E6324" i="1"/>
  <c r="G6324" i="1"/>
  <c r="K6324" i="1"/>
  <c r="A6325" i="1"/>
  <c r="B6325" i="1"/>
  <c r="C6325" i="1"/>
  <c r="E6325" i="1"/>
  <c r="G6325" i="1"/>
  <c r="K6325" i="1"/>
  <c r="A6326" i="1"/>
  <c r="B6326" i="1"/>
  <c r="C6326" i="1"/>
  <c r="E6326" i="1"/>
  <c r="G6326" i="1"/>
  <c r="K6326" i="1"/>
  <c r="A6327" i="1"/>
  <c r="B6327" i="1"/>
  <c r="C6327" i="1"/>
  <c r="E6327" i="1"/>
  <c r="G6327" i="1"/>
  <c r="K6327" i="1"/>
  <c r="A6328" i="1"/>
  <c r="B6328" i="1"/>
  <c r="C6328" i="1"/>
  <c r="E6328" i="1"/>
  <c r="G6328" i="1"/>
  <c r="K6328" i="1"/>
  <c r="A6329" i="1"/>
  <c r="B6329" i="1"/>
  <c r="C6329" i="1"/>
  <c r="E6329" i="1"/>
  <c r="G6329" i="1"/>
  <c r="K6329" i="1"/>
  <c r="A6330" i="1"/>
  <c r="B6330" i="1"/>
  <c r="C6330" i="1"/>
  <c r="E6330" i="1"/>
  <c r="G6330" i="1"/>
  <c r="K6330" i="1"/>
  <c r="A6331" i="1"/>
  <c r="B6331" i="1"/>
  <c r="C6331" i="1"/>
  <c r="E6331" i="1"/>
  <c r="G6331" i="1"/>
  <c r="K6331" i="1"/>
  <c r="A6332" i="1"/>
  <c r="B6332" i="1"/>
  <c r="C6332" i="1"/>
  <c r="E6332" i="1"/>
  <c r="G6332" i="1"/>
  <c r="K6332" i="1"/>
  <c r="A6333" i="1"/>
  <c r="B6333" i="1"/>
  <c r="C6333" i="1"/>
  <c r="E6333" i="1"/>
  <c r="G6333" i="1"/>
  <c r="K6333" i="1"/>
  <c r="A6334" i="1"/>
  <c r="B6334" i="1"/>
  <c r="C6334" i="1"/>
  <c r="E6334" i="1"/>
  <c r="G6334" i="1"/>
  <c r="K6334" i="1"/>
  <c r="A6335" i="1"/>
  <c r="B6335" i="1"/>
  <c r="C6335" i="1"/>
  <c r="E6335" i="1"/>
  <c r="G6335" i="1"/>
  <c r="K6335" i="1"/>
  <c r="A6336" i="1"/>
  <c r="B6336" i="1"/>
  <c r="C6336" i="1"/>
  <c r="E6336" i="1"/>
  <c r="G6336" i="1"/>
  <c r="K6336" i="1"/>
  <c r="A6337" i="1"/>
  <c r="B6337" i="1"/>
  <c r="C6337" i="1"/>
  <c r="E6337" i="1"/>
  <c r="G6337" i="1"/>
  <c r="K6337" i="1"/>
  <c r="A6338" i="1"/>
  <c r="B6338" i="1"/>
  <c r="C6338" i="1"/>
  <c r="E6338" i="1"/>
  <c r="G6338" i="1"/>
  <c r="K6338" i="1"/>
  <c r="A6339" i="1"/>
  <c r="B6339" i="1"/>
  <c r="C6339" i="1"/>
  <c r="E6339" i="1"/>
  <c r="G6339" i="1"/>
  <c r="K6339" i="1"/>
  <c r="A6340" i="1"/>
  <c r="B6340" i="1"/>
  <c r="C6340" i="1"/>
  <c r="E6340" i="1"/>
  <c r="G6340" i="1"/>
  <c r="K6340" i="1"/>
  <c r="A6341" i="1"/>
  <c r="B6341" i="1"/>
  <c r="C6341" i="1"/>
  <c r="E6341" i="1"/>
  <c r="G6341" i="1"/>
  <c r="K6341" i="1"/>
  <c r="A6342" i="1"/>
  <c r="B6342" i="1"/>
  <c r="C6342" i="1"/>
  <c r="E6342" i="1"/>
  <c r="G6342" i="1"/>
  <c r="K6342" i="1"/>
  <c r="A6343" i="1"/>
  <c r="B6343" i="1"/>
  <c r="C6343" i="1"/>
  <c r="E6343" i="1"/>
  <c r="G6343" i="1"/>
  <c r="K6343" i="1"/>
  <c r="A6344" i="1"/>
  <c r="B6344" i="1"/>
  <c r="C6344" i="1"/>
  <c r="E6344" i="1"/>
  <c r="G6344" i="1"/>
  <c r="K6344" i="1"/>
  <c r="A6345" i="1"/>
  <c r="B6345" i="1"/>
  <c r="C6345" i="1"/>
  <c r="E6345" i="1"/>
  <c r="G6345" i="1"/>
  <c r="K6345" i="1"/>
  <c r="A6346" i="1"/>
  <c r="B6346" i="1"/>
  <c r="C6346" i="1"/>
  <c r="E6346" i="1"/>
  <c r="G6346" i="1"/>
  <c r="K6346" i="1"/>
  <c r="A6347" i="1"/>
  <c r="B6347" i="1"/>
  <c r="C6347" i="1"/>
  <c r="E6347" i="1"/>
  <c r="G6347" i="1"/>
  <c r="K6347" i="1"/>
  <c r="A6348" i="1"/>
  <c r="B6348" i="1"/>
  <c r="C6348" i="1"/>
  <c r="E6348" i="1"/>
  <c r="G6348" i="1"/>
  <c r="K6348" i="1"/>
  <c r="A6349" i="1"/>
  <c r="B6349" i="1"/>
  <c r="C6349" i="1"/>
  <c r="E6349" i="1"/>
  <c r="G6349" i="1"/>
  <c r="K6349" i="1"/>
  <c r="A6350" i="1"/>
  <c r="B6350" i="1"/>
  <c r="C6350" i="1"/>
  <c r="E6350" i="1"/>
  <c r="G6350" i="1"/>
  <c r="K6350" i="1"/>
  <c r="A6351" i="1"/>
  <c r="B6351" i="1"/>
  <c r="C6351" i="1"/>
  <c r="E6351" i="1"/>
  <c r="G6351" i="1"/>
  <c r="K6351" i="1"/>
  <c r="A6352" i="1"/>
  <c r="B6352" i="1"/>
  <c r="C6352" i="1"/>
  <c r="E6352" i="1"/>
  <c r="G6352" i="1"/>
  <c r="K6352" i="1"/>
  <c r="A6353" i="1"/>
  <c r="B6353" i="1"/>
  <c r="C6353" i="1"/>
  <c r="E6353" i="1"/>
  <c r="G6353" i="1"/>
  <c r="K6353" i="1"/>
  <c r="A6354" i="1"/>
  <c r="B6354" i="1"/>
  <c r="C6354" i="1"/>
  <c r="E6354" i="1"/>
  <c r="G6354" i="1"/>
  <c r="K6354" i="1"/>
  <c r="A6355" i="1"/>
  <c r="B6355" i="1"/>
  <c r="C6355" i="1"/>
  <c r="E6355" i="1"/>
  <c r="G6355" i="1"/>
  <c r="K6355" i="1"/>
  <c r="A6356" i="1"/>
  <c r="B6356" i="1"/>
  <c r="C6356" i="1"/>
  <c r="E6356" i="1"/>
  <c r="G6356" i="1"/>
  <c r="K6356" i="1"/>
  <c r="A6357" i="1"/>
  <c r="B6357" i="1"/>
  <c r="C6357" i="1"/>
  <c r="E6357" i="1"/>
  <c r="G6357" i="1"/>
  <c r="K6357" i="1"/>
  <c r="A6358" i="1"/>
  <c r="B6358" i="1"/>
  <c r="C6358" i="1"/>
  <c r="E6358" i="1"/>
  <c r="G6358" i="1"/>
  <c r="K6358" i="1"/>
  <c r="A6359" i="1"/>
  <c r="B6359" i="1"/>
  <c r="C6359" i="1"/>
  <c r="E6359" i="1"/>
  <c r="G6359" i="1"/>
  <c r="K6359" i="1"/>
  <c r="A6360" i="1"/>
  <c r="B6360" i="1"/>
  <c r="C6360" i="1"/>
  <c r="E6360" i="1"/>
  <c r="G6360" i="1"/>
  <c r="K6360" i="1"/>
  <c r="A6361" i="1"/>
  <c r="B6361" i="1"/>
  <c r="C6361" i="1"/>
  <c r="E6361" i="1"/>
  <c r="G6361" i="1"/>
  <c r="K6361" i="1"/>
  <c r="A6362" i="1"/>
  <c r="B6362" i="1"/>
  <c r="C6362" i="1"/>
  <c r="E6362" i="1"/>
  <c r="G6362" i="1"/>
  <c r="K6362" i="1"/>
  <c r="A6363" i="1"/>
  <c r="B6363" i="1"/>
  <c r="C6363" i="1"/>
  <c r="E6363" i="1"/>
  <c r="G6363" i="1"/>
  <c r="K6363" i="1"/>
  <c r="A6364" i="1"/>
  <c r="B6364" i="1"/>
  <c r="C6364" i="1"/>
  <c r="E6364" i="1"/>
  <c r="G6364" i="1"/>
  <c r="K6364" i="1"/>
  <c r="A6365" i="1"/>
  <c r="B6365" i="1"/>
  <c r="C6365" i="1"/>
  <c r="E6365" i="1"/>
  <c r="G6365" i="1"/>
  <c r="K6365" i="1"/>
  <c r="A6366" i="1"/>
  <c r="B6366" i="1"/>
  <c r="C6366" i="1"/>
  <c r="E6366" i="1"/>
  <c r="G6366" i="1"/>
  <c r="K6366" i="1"/>
  <c r="A6367" i="1"/>
  <c r="B6367" i="1"/>
  <c r="C6367" i="1"/>
  <c r="E6367" i="1"/>
  <c r="G6367" i="1"/>
  <c r="K6367" i="1"/>
  <c r="A6368" i="1"/>
  <c r="B6368" i="1"/>
  <c r="C6368" i="1"/>
  <c r="E6368" i="1"/>
  <c r="G6368" i="1"/>
  <c r="K6368" i="1"/>
  <c r="A6369" i="1"/>
  <c r="B6369" i="1"/>
  <c r="C6369" i="1"/>
  <c r="E6369" i="1"/>
  <c r="G6369" i="1"/>
  <c r="K6369" i="1"/>
  <c r="A6370" i="1"/>
  <c r="B6370" i="1"/>
  <c r="C6370" i="1"/>
  <c r="E6370" i="1"/>
  <c r="G6370" i="1"/>
  <c r="K6370" i="1"/>
  <c r="A6371" i="1"/>
  <c r="B6371" i="1"/>
  <c r="C6371" i="1"/>
  <c r="E6371" i="1"/>
  <c r="G6371" i="1"/>
  <c r="K6371" i="1"/>
  <c r="A6372" i="1"/>
  <c r="B6372" i="1"/>
  <c r="C6372" i="1"/>
  <c r="E6372" i="1"/>
  <c r="G6372" i="1"/>
  <c r="K6372" i="1"/>
  <c r="A6373" i="1"/>
  <c r="B6373" i="1"/>
  <c r="C6373" i="1"/>
  <c r="E6373" i="1"/>
  <c r="G6373" i="1"/>
  <c r="K6373" i="1"/>
  <c r="A6374" i="1"/>
  <c r="B6374" i="1"/>
  <c r="C6374" i="1"/>
  <c r="E6374" i="1"/>
  <c r="G6374" i="1"/>
  <c r="K6374" i="1"/>
  <c r="A6375" i="1"/>
  <c r="B6375" i="1"/>
  <c r="C6375" i="1"/>
  <c r="E6375" i="1"/>
  <c r="G6375" i="1"/>
  <c r="K6375" i="1"/>
  <c r="A6376" i="1"/>
  <c r="B6376" i="1"/>
  <c r="C6376" i="1"/>
  <c r="E6376" i="1"/>
  <c r="G6376" i="1"/>
  <c r="K6376" i="1"/>
  <c r="A6377" i="1"/>
  <c r="B6377" i="1"/>
  <c r="C6377" i="1"/>
  <c r="E6377" i="1"/>
  <c r="G6377" i="1"/>
  <c r="K6377" i="1"/>
  <c r="A6378" i="1"/>
  <c r="B6378" i="1"/>
  <c r="C6378" i="1"/>
  <c r="E6378" i="1"/>
  <c r="G6378" i="1"/>
  <c r="K6378" i="1"/>
  <c r="A6379" i="1"/>
  <c r="B6379" i="1"/>
  <c r="C6379" i="1"/>
  <c r="E6379" i="1"/>
  <c r="G6379" i="1"/>
  <c r="K6379" i="1"/>
  <c r="A6380" i="1"/>
  <c r="B6380" i="1"/>
  <c r="C6380" i="1"/>
  <c r="E6380" i="1"/>
  <c r="G6380" i="1"/>
  <c r="K6380" i="1"/>
  <c r="A6381" i="1"/>
  <c r="B6381" i="1"/>
  <c r="C6381" i="1"/>
  <c r="E6381" i="1"/>
  <c r="G6381" i="1"/>
  <c r="K6381" i="1"/>
  <c r="A6382" i="1"/>
  <c r="B6382" i="1"/>
  <c r="C6382" i="1"/>
  <c r="E6382" i="1"/>
  <c r="G6382" i="1"/>
  <c r="K6382" i="1"/>
  <c r="A6383" i="1"/>
  <c r="B6383" i="1"/>
  <c r="C6383" i="1"/>
  <c r="E6383" i="1"/>
  <c r="G6383" i="1"/>
  <c r="K6383" i="1"/>
  <c r="A6384" i="1"/>
  <c r="B6384" i="1"/>
  <c r="C6384" i="1"/>
  <c r="E6384" i="1"/>
  <c r="G6384" i="1"/>
  <c r="K6384" i="1"/>
  <c r="A6385" i="1"/>
  <c r="B6385" i="1"/>
  <c r="C6385" i="1"/>
  <c r="E6385" i="1"/>
  <c r="G6385" i="1"/>
  <c r="K6385" i="1"/>
  <c r="A6386" i="1"/>
  <c r="B6386" i="1"/>
  <c r="C6386" i="1"/>
  <c r="E6386" i="1"/>
  <c r="G6386" i="1"/>
  <c r="K6386" i="1"/>
  <c r="A6387" i="1"/>
  <c r="B6387" i="1"/>
  <c r="C6387" i="1"/>
  <c r="E6387" i="1"/>
  <c r="G6387" i="1"/>
  <c r="K6387" i="1"/>
  <c r="A6388" i="1"/>
  <c r="B6388" i="1"/>
  <c r="C6388" i="1"/>
  <c r="E6388" i="1"/>
  <c r="G6388" i="1"/>
  <c r="K6388" i="1"/>
  <c r="A6389" i="1"/>
  <c r="B6389" i="1"/>
  <c r="C6389" i="1"/>
  <c r="E6389" i="1"/>
  <c r="G6389" i="1"/>
  <c r="K6389" i="1"/>
  <c r="A6390" i="1"/>
  <c r="B6390" i="1"/>
  <c r="C6390" i="1"/>
  <c r="E6390" i="1"/>
  <c r="G6390" i="1"/>
  <c r="K6390" i="1"/>
  <c r="A6391" i="1"/>
  <c r="B6391" i="1"/>
  <c r="C6391" i="1"/>
  <c r="E6391" i="1"/>
  <c r="G6391" i="1"/>
  <c r="K6391" i="1"/>
  <c r="A6392" i="1"/>
  <c r="B6392" i="1"/>
  <c r="C6392" i="1"/>
  <c r="E6392" i="1"/>
  <c r="G6392" i="1"/>
  <c r="K6392" i="1"/>
  <c r="A6393" i="1"/>
  <c r="B6393" i="1"/>
  <c r="C6393" i="1"/>
  <c r="E6393" i="1"/>
  <c r="G6393" i="1"/>
  <c r="K6393" i="1"/>
  <c r="A6394" i="1"/>
  <c r="B6394" i="1"/>
  <c r="C6394" i="1"/>
  <c r="E6394" i="1"/>
  <c r="G6394" i="1"/>
  <c r="K6394" i="1"/>
  <c r="A6395" i="1"/>
  <c r="B6395" i="1"/>
  <c r="C6395" i="1"/>
  <c r="E6395" i="1"/>
  <c r="G6395" i="1"/>
  <c r="K6395" i="1"/>
  <c r="A6396" i="1"/>
  <c r="B6396" i="1"/>
  <c r="C6396" i="1"/>
  <c r="E6396" i="1"/>
  <c r="G6396" i="1"/>
  <c r="K6396" i="1"/>
  <c r="A6397" i="1"/>
  <c r="B6397" i="1"/>
  <c r="C6397" i="1"/>
  <c r="E6397" i="1"/>
  <c r="G6397" i="1"/>
  <c r="K6397" i="1"/>
  <c r="A6398" i="1"/>
  <c r="B6398" i="1"/>
  <c r="C6398" i="1"/>
  <c r="E6398" i="1"/>
  <c r="G6398" i="1"/>
  <c r="K6398" i="1"/>
  <c r="A6399" i="1"/>
  <c r="B6399" i="1"/>
  <c r="C6399" i="1"/>
  <c r="E6399" i="1"/>
  <c r="G6399" i="1"/>
  <c r="K6399" i="1"/>
  <c r="A6400" i="1"/>
  <c r="B6400" i="1"/>
  <c r="C6400" i="1"/>
  <c r="E6400" i="1"/>
  <c r="G6400" i="1"/>
  <c r="K6400" i="1"/>
  <c r="A6401" i="1"/>
  <c r="B6401" i="1"/>
  <c r="C6401" i="1"/>
  <c r="E6401" i="1"/>
  <c r="G6401" i="1"/>
  <c r="K6401" i="1"/>
  <c r="A6402" i="1"/>
  <c r="B6402" i="1"/>
  <c r="C6402" i="1"/>
  <c r="E6402" i="1"/>
  <c r="G6402" i="1"/>
  <c r="K6402" i="1"/>
  <c r="A6403" i="1"/>
  <c r="B6403" i="1"/>
  <c r="C6403" i="1"/>
  <c r="E6403" i="1"/>
  <c r="G6403" i="1"/>
  <c r="K6403" i="1"/>
  <c r="A6404" i="1"/>
  <c r="B6404" i="1"/>
  <c r="C6404" i="1"/>
  <c r="E6404" i="1"/>
  <c r="G6404" i="1"/>
  <c r="K6404" i="1"/>
  <c r="A6405" i="1"/>
  <c r="B6405" i="1"/>
  <c r="C6405" i="1"/>
  <c r="E6405" i="1"/>
  <c r="G6405" i="1"/>
  <c r="K6405" i="1"/>
  <c r="A6406" i="1"/>
  <c r="B6406" i="1"/>
  <c r="C6406" i="1"/>
  <c r="E6406" i="1"/>
  <c r="G6406" i="1"/>
  <c r="K6406" i="1"/>
  <c r="A6407" i="1"/>
  <c r="B6407" i="1"/>
  <c r="C6407" i="1"/>
  <c r="E6407" i="1"/>
  <c r="G6407" i="1"/>
  <c r="K6407" i="1"/>
  <c r="A6408" i="1"/>
  <c r="B6408" i="1"/>
  <c r="C6408" i="1"/>
  <c r="E6408" i="1"/>
  <c r="G6408" i="1"/>
  <c r="K6408" i="1"/>
  <c r="A6409" i="1"/>
  <c r="B6409" i="1"/>
  <c r="C6409" i="1"/>
  <c r="E6409" i="1"/>
  <c r="G6409" i="1"/>
  <c r="K6409" i="1"/>
  <c r="A6410" i="1"/>
  <c r="B6410" i="1"/>
  <c r="C6410" i="1"/>
  <c r="E6410" i="1"/>
  <c r="G6410" i="1"/>
  <c r="K6410" i="1"/>
  <c r="A6411" i="1"/>
  <c r="B6411" i="1"/>
  <c r="C6411" i="1"/>
  <c r="E6411" i="1"/>
  <c r="G6411" i="1"/>
  <c r="K6411" i="1"/>
  <c r="A6412" i="1"/>
  <c r="B6412" i="1"/>
  <c r="C6412" i="1"/>
  <c r="E6412" i="1"/>
  <c r="G6412" i="1"/>
  <c r="K6412" i="1"/>
  <c r="A6413" i="1"/>
  <c r="B6413" i="1"/>
  <c r="C6413" i="1"/>
  <c r="E6413" i="1"/>
  <c r="G6413" i="1"/>
  <c r="K6413" i="1"/>
  <c r="A6414" i="1"/>
  <c r="B6414" i="1"/>
  <c r="C6414" i="1"/>
  <c r="E6414" i="1"/>
  <c r="G6414" i="1"/>
  <c r="K6414" i="1"/>
  <c r="A6415" i="1"/>
  <c r="B6415" i="1"/>
  <c r="C6415" i="1"/>
  <c r="E6415" i="1"/>
  <c r="G6415" i="1"/>
  <c r="K6415" i="1"/>
  <c r="A6416" i="1"/>
  <c r="B6416" i="1"/>
  <c r="C6416" i="1"/>
  <c r="E6416" i="1"/>
  <c r="G6416" i="1"/>
  <c r="K6416" i="1"/>
  <c r="A6417" i="1"/>
  <c r="B6417" i="1"/>
  <c r="C6417" i="1"/>
  <c r="E6417" i="1"/>
  <c r="G6417" i="1"/>
  <c r="K6417" i="1"/>
  <c r="A6418" i="1"/>
  <c r="B6418" i="1"/>
  <c r="C6418" i="1"/>
  <c r="E6418" i="1"/>
  <c r="G6418" i="1"/>
  <c r="K6418" i="1"/>
  <c r="A6419" i="1"/>
  <c r="B6419" i="1"/>
  <c r="C6419" i="1"/>
  <c r="E6419" i="1"/>
  <c r="G6419" i="1"/>
  <c r="K6419" i="1"/>
  <c r="A6420" i="1"/>
  <c r="B6420" i="1"/>
  <c r="C6420" i="1"/>
  <c r="E6420" i="1"/>
  <c r="G6420" i="1"/>
  <c r="K6420" i="1"/>
  <c r="A6421" i="1"/>
  <c r="B6421" i="1"/>
  <c r="C6421" i="1"/>
  <c r="E6421" i="1"/>
  <c r="G6421" i="1"/>
  <c r="K6421" i="1"/>
  <c r="A6422" i="1"/>
  <c r="B6422" i="1"/>
  <c r="C6422" i="1"/>
  <c r="E6422" i="1"/>
  <c r="G6422" i="1"/>
  <c r="K6422" i="1"/>
  <c r="A6423" i="1"/>
  <c r="B6423" i="1"/>
  <c r="C6423" i="1"/>
  <c r="E6423" i="1"/>
  <c r="G6423" i="1"/>
  <c r="K6423" i="1"/>
  <c r="A6424" i="1"/>
  <c r="B6424" i="1"/>
  <c r="C6424" i="1"/>
  <c r="E6424" i="1"/>
  <c r="G6424" i="1"/>
  <c r="K6424" i="1"/>
  <c r="A6425" i="1"/>
  <c r="B6425" i="1"/>
  <c r="C6425" i="1"/>
  <c r="E6425" i="1"/>
  <c r="G6425" i="1"/>
  <c r="K6425" i="1"/>
  <c r="A6426" i="1"/>
  <c r="B6426" i="1"/>
  <c r="C6426" i="1"/>
  <c r="E6426" i="1"/>
  <c r="G6426" i="1"/>
  <c r="K6426" i="1"/>
  <c r="A6427" i="1"/>
  <c r="B6427" i="1"/>
  <c r="C6427" i="1"/>
  <c r="E6427" i="1"/>
  <c r="G6427" i="1"/>
  <c r="K6427" i="1"/>
  <c r="A6428" i="1"/>
  <c r="B6428" i="1"/>
  <c r="C6428" i="1"/>
  <c r="E6428" i="1"/>
  <c r="G6428" i="1"/>
  <c r="K6428" i="1"/>
  <c r="A6429" i="1"/>
  <c r="B6429" i="1"/>
  <c r="C6429" i="1"/>
  <c r="E6429" i="1"/>
  <c r="G6429" i="1"/>
  <c r="K6429" i="1"/>
  <c r="A6430" i="1"/>
  <c r="B6430" i="1"/>
  <c r="C6430" i="1"/>
  <c r="E6430" i="1"/>
  <c r="G6430" i="1"/>
  <c r="K6430" i="1"/>
  <c r="A6431" i="1"/>
  <c r="B6431" i="1"/>
  <c r="C6431" i="1"/>
  <c r="E6431" i="1"/>
  <c r="G6431" i="1"/>
  <c r="K6431" i="1"/>
  <c r="A6432" i="1"/>
  <c r="B6432" i="1"/>
  <c r="C6432" i="1"/>
  <c r="E6432" i="1"/>
  <c r="G6432" i="1"/>
  <c r="K6432" i="1"/>
  <c r="A6433" i="1"/>
  <c r="B6433" i="1"/>
  <c r="C6433" i="1"/>
  <c r="E6433" i="1"/>
  <c r="G6433" i="1"/>
  <c r="K6433" i="1"/>
  <c r="A6434" i="1"/>
  <c r="B6434" i="1"/>
  <c r="C6434" i="1"/>
  <c r="E6434" i="1"/>
  <c r="G6434" i="1"/>
  <c r="K6434" i="1"/>
  <c r="A6435" i="1"/>
  <c r="B6435" i="1"/>
  <c r="C6435" i="1"/>
  <c r="E6435" i="1"/>
  <c r="G6435" i="1"/>
  <c r="K6435" i="1"/>
  <c r="A6436" i="1"/>
  <c r="B6436" i="1"/>
  <c r="C6436" i="1"/>
  <c r="E6436" i="1"/>
  <c r="G6436" i="1"/>
  <c r="K6436" i="1"/>
  <c r="A6437" i="1"/>
  <c r="B6437" i="1"/>
  <c r="C6437" i="1"/>
  <c r="E6437" i="1"/>
  <c r="G6437" i="1"/>
  <c r="K6437" i="1"/>
  <c r="A6438" i="1"/>
  <c r="B6438" i="1"/>
  <c r="C6438" i="1"/>
  <c r="E6438" i="1"/>
  <c r="G6438" i="1"/>
  <c r="K6438" i="1"/>
  <c r="A6439" i="1"/>
  <c r="B6439" i="1"/>
  <c r="C6439" i="1"/>
  <c r="E6439" i="1"/>
  <c r="G6439" i="1"/>
  <c r="K6439" i="1"/>
  <c r="A6440" i="1"/>
  <c r="B6440" i="1"/>
  <c r="C6440" i="1"/>
  <c r="E6440" i="1"/>
  <c r="G6440" i="1"/>
  <c r="K6440" i="1"/>
  <c r="A6441" i="1"/>
  <c r="B6441" i="1"/>
  <c r="C6441" i="1"/>
  <c r="E6441" i="1"/>
  <c r="G6441" i="1"/>
  <c r="K6441" i="1"/>
  <c r="A6442" i="1"/>
  <c r="B6442" i="1"/>
  <c r="C6442" i="1"/>
  <c r="E6442" i="1"/>
  <c r="G6442" i="1"/>
  <c r="K6442" i="1"/>
  <c r="A6443" i="1"/>
  <c r="B6443" i="1"/>
  <c r="C6443" i="1"/>
  <c r="E6443" i="1"/>
  <c r="G6443" i="1"/>
  <c r="K6443" i="1"/>
  <c r="A6444" i="1"/>
  <c r="B6444" i="1"/>
  <c r="C6444" i="1"/>
  <c r="E6444" i="1"/>
  <c r="G6444" i="1"/>
  <c r="K6444" i="1"/>
  <c r="A6445" i="1"/>
  <c r="B6445" i="1"/>
  <c r="C6445" i="1"/>
  <c r="E6445" i="1"/>
  <c r="G6445" i="1"/>
  <c r="K6445" i="1"/>
  <c r="A6446" i="1"/>
  <c r="B6446" i="1"/>
  <c r="C6446" i="1"/>
  <c r="E6446" i="1"/>
  <c r="G6446" i="1"/>
  <c r="K6446" i="1"/>
  <c r="A6447" i="1"/>
  <c r="B6447" i="1"/>
  <c r="C6447" i="1"/>
  <c r="E6447" i="1"/>
  <c r="G6447" i="1"/>
  <c r="K6447" i="1"/>
  <c r="A6448" i="1"/>
  <c r="B6448" i="1"/>
  <c r="C6448" i="1"/>
  <c r="E6448" i="1"/>
  <c r="G6448" i="1"/>
  <c r="K6448" i="1"/>
  <c r="A6449" i="1"/>
  <c r="B6449" i="1"/>
  <c r="C6449" i="1"/>
  <c r="E6449" i="1"/>
  <c r="G6449" i="1"/>
  <c r="K6449" i="1"/>
  <c r="A6450" i="1"/>
  <c r="B6450" i="1"/>
  <c r="C6450" i="1"/>
  <c r="E6450" i="1"/>
  <c r="G6450" i="1"/>
  <c r="K6450" i="1"/>
  <c r="A6451" i="1"/>
  <c r="B6451" i="1"/>
  <c r="C6451" i="1"/>
  <c r="E6451" i="1"/>
  <c r="G6451" i="1"/>
  <c r="K6451" i="1"/>
  <c r="A6452" i="1"/>
  <c r="B6452" i="1"/>
  <c r="C6452" i="1"/>
  <c r="E6452" i="1"/>
  <c r="G6452" i="1"/>
  <c r="K6452" i="1"/>
  <c r="A6453" i="1"/>
  <c r="B6453" i="1"/>
  <c r="C6453" i="1"/>
  <c r="E6453" i="1"/>
  <c r="G6453" i="1"/>
  <c r="K6453" i="1"/>
  <c r="A6454" i="1"/>
  <c r="B6454" i="1"/>
  <c r="C6454" i="1"/>
  <c r="E6454" i="1"/>
  <c r="G6454" i="1"/>
  <c r="K6454" i="1"/>
  <c r="A6455" i="1"/>
  <c r="B6455" i="1"/>
  <c r="C6455" i="1"/>
  <c r="E6455" i="1"/>
  <c r="G6455" i="1"/>
  <c r="K6455" i="1"/>
  <c r="A6456" i="1"/>
  <c r="B6456" i="1"/>
  <c r="C6456" i="1"/>
  <c r="E6456" i="1"/>
  <c r="G6456" i="1"/>
  <c r="K6456" i="1"/>
  <c r="A6457" i="1"/>
  <c r="B6457" i="1"/>
  <c r="C6457" i="1"/>
  <c r="E6457" i="1"/>
  <c r="G6457" i="1"/>
  <c r="K6457" i="1"/>
  <c r="A6458" i="1"/>
  <c r="B6458" i="1"/>
  <c r="C6458" i="1"/>
  <c r="E6458" i="1"/>
  <c r="G6458" i="1"/>
  <c r="K6458" i="1"/>
  <c r="A6459" i="1"/>
  <c r="B6459" i="1"/>
  <c r="C6459" i="1"/>
  <c r="E6459" i="1"/>
  <c r="G6459" i="1"/>
  <c r="K6459" i="1"/>
  <c r="A6460" i="1"/>
  <c r="B6460" i="1"/>
  <c r="C6460" i="1"/>
  <c r="E6460" i="1"/>
  <c r="G6460" i="1"/>
  <c r="K6460" i="1"/>
  <c r="A6461" i="1"/>
  <c r="B6461" i="1"/>
  <c r="C6461" i="1"/>
  <c r="E6461" i="1"/>
  <c r="G6461" i="1"/>
  <c r="K6461" i="1"/>
  <c r="A6462" i="1"/>
  <c r="B6462" i="1"/>
  <c r="C6462" i="1"/>
  <c r="E6462" i="1"/>
  <c r="G6462" i="1"/>
  <c r="K6462" i="1"/>
  <c r="A6463" i="1"/>
  <c r="B6463" i="1"/>
  <c r="C6463" i="1"/>
  <c r="E6463" i="1"/>
  <c r="G6463" i="1"/>
  <c r="K6463" i="1"/>
  <c r="A6464" i="1"/>
  <c r="B6464" i="1"/>
  <c r="C6464" i="1"/>
  <c r="E6464" i="1"/>
  <c r="G6464" i="1"/>
  <c r="K6464" i="1"/>
  <c r="A6465" i="1"/>
  <c r="B6465" i="1"/>
  <c r="C6465" i="1"/>
  <c r="E6465" i="1"/>
  <c r="G6465" i="1"/>
  <c r="K6465" i="1"/>
  <c r="A6466" i="1"/>
  <c r="B6466" i="1"/>
  <c r="C6466" i="1"/>
  <c r="E6466" i="1"/>
  <c r="G6466" i="1"/>
  <c r="K6466" i="1"/>
  <c r="A6467" i="1"/>
  <c r="B6467" i="1"/>
  <c r="C6467" i="1"/>
  <c r="E6467" i="1"/>
  <c r="G6467" i="1"/>
  <c r="K6467" i="1"/>
  <c r="A6468" i="1"/>
  <c r="B6468" i="1"/>
  <c r="C6468" i="1"/>
  <c r="E6468" i="1"/>
  <c r="G6468" i="1"/>
  <c r="K6468" i="1"/>
  <c r="A6469" i="1"/>
  <c r="B6469" i="1"/>
  <c r="C6469" i="1"/>
  <c r="E6469" i="1"/>
  <c r="G6469" i="1"/>
  <c r="K6469" i="1"/>
  <c r="A6470" i="1"/>
  <c r="B6470" i="1"/>
  <c r="C6470" i="1"/>
  <c r="E6470" i="1"/>
  <c r="G6470" i="1"/>
  <c r="K6470" i="1"/>
  <c r="A6471" i="1"/>
  <c r="B6471" i="1"/>
  <c r="C6471" i="1"/>
  <c r="E6471" i="1"/>
  <c r="G6471" i="1"/>
  <c r="K6471" i="1"/>
  <c r="A6472" i="1"/>
  <c r="B6472" i="1"/>
  <c r="C6472" i="1"/>
  <c r="E6472" i="1"/>
  <c r="G6472" i="1"/>
  <c r="K6472" i="1"/>
  <c r="A6473" i="1"/>
  <c r="B6473" i="1"/>
  <c r="C6473" i="1"/>
  <c r="E6473" i="1"/>
  <c r="G6473" i="1"/>
  <c r="K6473" i="1"/>
  <c r="A6474" i="1"/>
  <c r="B6474" i="1"/>
  <c r="C6474" i="1"/>
  <c r="E6474" i="1"/>
  <c r="G6474" i="1"/>
  <c r="K6474" i="1"/>
  <c r="A6475" i="1"/>
  <c r="B6475" i="1"/>
  <c r="C6475" i="1"/>
  <c r="E6475" i="1"/>
  <c r="G6475" i="1"/>
  <c r="K6475" i="1"/>
  <c r="A6476" i="1"/>
  <c r="B6476" i="1"/>
  <c r="C6476" i="1"/>
  <c r="E6476" i="1"/>
  <c r="G6476" i="1"/>
  <c r="K6476" i="1"/>
  <c r="A6477" i="1"/>
  <c r="B6477" i="1"/>
  <c r="C6477" i="1"/>
  <c r="E6477" i="1"/>
  <c r="G6477" i="1"/>
  <c r="K6477" i="1"/>
  <c r="A6478" i="1"/>
  <c r="B6478" i="1"/>
  <c r="C6478" i="1"/>
  <c r="E6478" i="1"/>
  <c r="G6478" i="1"/>
  <c r="K6478" i="1"/>
  <c r="A6479" i="1"/>
  <c r="B6479" i="1"/>
  <c r="C6479" i="1"/>
  <c r="E6479" i="1"/>
  <c r="G6479" i="1"/>
  <c r="K6479" i="1"/>
  <c r="A6480" i="1"/>
  <c r="B6480" i="1"/>
  <c r="C6480" i="1"/>
  <c r="E6480" i="1"/>
  <c r="G6480" i="1"/>
  <c r="K6480" i="1"/>
  <c r="A6481" i="1"/>
  <c r="B6481" i="1"/>
  <c r="C6481" i="1"/>
  <c r="E6481" i="1"/>
  <c r="G6481" i="1"/>
  <c r="K6481" i="1"/>
  <c r="A6482" i="1"/>
  <c r="B6482" i="1"/>
  <c r="C6482" i="1"/>
  <c r="E6482" i="1"/>
  <c r="G6482" i="1"/>
  <c r="K6482" i="1"/>
  <c r="A6483" i="1"/>
  <c r="B6483" i="1"/>
  <c r="C6483" i="1"/>
  <c r="E6483" i="1"/>
  <c r="G6483" i="1"/>
  <c r="K6483" i="1"/>
  <c r="A6484" i="1"/>
  <c r="B6484" i="1"/>
  <c r="C6484" i="1"/>
  <c r="E6484" i="1"/>
  <c r="G6484" i="1"/>
  <c r="K6484" i="1"/>
  <c r="A6485" i="1"/>
  <c r="B6485" i="1"/>
  <c r="C6485" i="1"/>
  <c r="E6485" i="1"/>
  <c r="G6485" i="1"/>
  <c r="K6485" i="1"/>
  <c r="A6486" i="1"/>
  <c r="B6486" i="1"/>
  <c r="C6486" i="1"/>
  <c r="E6486" i="1"/>
  <c r="G6486" i="1"/>
  <c r="K6486" i="1"/>
  <c r="A6487" i="1"/>
  <c r="B6487" i="1"/>
  <c r="C6487" i="1"/>
  <c r="E6487" i="1"/>
  <c r="G6487" i="1"/>
  <c r="K6487" i="1"/>
  <c r="A6488" i="1"/>
  <c r="B6488" i="1"/>
  <c r="C6488" i="1"/>
  <c r="E6488" i="1"/>
  <c r="G6488" i="1"/>
  <c r="K6488" i="1"/>
  <c r="A6489" i="1"/>
  <c r="B6489" i="1"/>
  <c r="C6489" i="1"/>
  <c r="E6489" i="1"/>
  <c r="G6489" i="1"/>
  <c r="K6489" i="1"/>
  <c r="A6490" i="1"/>
  <c r="B6490" i="1"/>
  <c r="C6490" i="1"/>
  <c r="E6490" i="1"/>
  <c r="G6490" i="1"/>
  <c r="K6490" i="1"/>
  <c r="A6491" i="1"/>
  <c r="B6491" i="1"/>
  <c r="C6491" i="1"/>
  <c r="E6491" i="1"/>
  <c r="G6491" i="1"/>
  <c r="K6491" i="1"/>
  <c r="A6492" i="1"/>
  <c r="B6492" i="1"/>
  <c r="C6492" i="1"/>
  <c r="E6492" i="1"/>
  <c r="G6492" i="1"/>
  <c r="K6492" i="1"/>
  <c r="A6493" i="1"/>
  <c r="B6493" i="1"/>
  <c r="C6493" i="1"/>
  <c r="E6493" i="1"/>
  <c r="G6493" i="1"/>
  <c r="K6493" i="1"/>
  <c r="A6494" i="1"/>
  <c r="B6494" i="1"/>
  <c r="C6494" i="1"/>
  <c r="E6494" i="1"/>
  <c r="G6494" i="1"/>
  <c r="K6494" i="1"/>
  <c r="A6495" i="1"/>
  <c r="B6495" i="1"/>
  <c r="C6495" i="1"/>
  <c r="E6495" i="1"/>
  <c r="G6495" i="1"/>
  <c r="K6495" i="1"/>
  <c r="A6496" i="1"/>
  <c r="B6496" i="1"/>
  <c r="C6496" i="1"/>
  <c r="E6496" i="1"/>
  <c r="G6496" i="1"/>
  <c r="K6496" i="1"/>
  <c r="A6497" i="1"/>
  <c r="B6497" i="1"/>
  <c r="C6497" i="1"/>
  <c r="E6497" i="1"/>
  <c r="G6497" i="1"/>
  <c r="K6497" i="1"/>
  <c r="A6498" i="1"/>
  <c r="B6498" i="1"/>
  <c r="C6498" i="1"/>
  <c r="E6498" i="1"/>
  <c r="G6498" i="1"/>
  <c r="K6498" i="1"/>
  <c r="A6499" i="1"/>
  <c r="B6499" i="1"/>
  <c r="C6499" i="1"/>
  <c r="E6499" i="1"/>
  <c r="G6499" i="1"/>
  <c r="K6499" i="1"/>
  <c r="A6500" i="1"/>
  <c r="B6500" i="1"/>
  <c r="C6500" i="1"/>
  <c r="E6500" i="1"/>
  <c r="G6500" i="1"/>
  <c r="K6500" i="1"/>
  <c r="A6501" i="1"/>
  <c r="B6501" i="1"/>
  <c r="C6501" i="1"/>
  <c r="E6501" i="1"/>
  <c r="G6501" i="1"/>
  <c r="K6501" i="1"/>
  <c r="A6502" i="1"/>
  <c r="B6502" i="1"/>
  <c r="C6502" i="1"/>
  <c r="E6502" i="1"/>
  <c r="G6502" i="1"/>
  <c r="K6502" i="1"/>
  <c r="A6503" i="1"/>
  <c r="B6503" i="1"/>
  <c r="C6503" i="1"/>
  <c r="E6503" i="1"/>
  <c r="G6503" i="1"/>
  <c r="K6503" i="1"/>
  <c r="A6504" i="1"/>
  <c r="B6504" i="1"/>
  <c r="C6504" i="1"/>
  <c r="E6504" i="1"/>
  <c r="G6504" i="1"/>
  <c r="K6504" i="1"/>
  <c r="A6505" i="1"/>
  <c r="B6505" i="1"/>
  <c r="C6505" i="1"/>
  <c r="E6505" i="1"/>
  <c r="G6505" i="1"/>
  <c r="K6505" i="1"/>
  <c r="A6506" i="1"/>
  <c r="B6506" i="1"/>
  <c r="C6506" i="1"/>
  <c r="E6506" i="1"/>
  <c r="G6506" i="1"/>
  <c r="K6506" i="1"/>
  <c r="A6507" i="1"/>
  <c r="B6507" i="1"/>
  <c r="C6507" i="1"/>
  <c r="E6507" i="1"/>
  <c r="G6507" i="1"/>
  <c r="K6507" i="1"/>
  <c r="A6508" i="1"/>
  <c r="B6508" i="1"/>
  <c r="C6508" i="1"/>
  <c r="E6508" i="1"/>
  <c r="G6508" i="1"/>
  <c r="K6508" i="1"/>
  <c r="A6509" i="1"/>
  <c r="B6509" i="1"/>
  <c r="C6509" i="1"/>
  <c r="E6509" i="1"/>
  <c r="G6509" i="1"/>
  <c r="K6509" i="1"/>
  <c r="A6510" i="1"/>
  <c r="B6510" i="1"/>
  <c r="C6510" i="1"/>
  <c r="E6510" i="1"/>
  <c r="G6510" i="1"/>
  <c r="K6510" i="1"/>
  <c r="A6511" i="1"/>
  <c r="B6511" i="1"/>
  <c r="C6511" i="1"/>
  <c r="E6511" i="1"/>
  <c r="G6511" i="1"/>
  <c r="K6511" i="1"/>
  <c r="A6512" i="1"/>
  <c r="B6512" i="1"/>
  <c r="C6512" i="1"/>
  <c r="E6512" i="1"/>
  <c r="G6512" i="1"/>
  <c r="K6512" i="1"/>
  <c r="A6513" i="1"/>
  <c r="B6513" i="1"/>
  <c r="C6513" i="1"/>
  <c r="E6513" i="1"/>
  <c r="G6513" i="1"/>
  <c r="K6513" i="1"/>
  <c r="A6514" i="1"/>
  <c r="B6514" i="1"/>
  <c r="C6514" i="1"/>
  <c r="E6514" i="1"/>
  <c r="G6514" i="1"/>
  <c r="K6514" i="1"/>
  <c r="A6515" i="1"/>
  <c r="B6515" i="1"/>
  <c r="C6515" i="1"/>
  <c r="E6515" i="1"/>
  <c r="G6515" i="1"/>
  <c r="K6515" i="1"/>
  <c r="A6516" i="1"/>
  <c r="B6516" i="1"/>
  <c r="C6516" i="1"/>
  <c r="E6516" i="1"/>
  <c r="G6516" i="1"/>
  <c r="K6516" i="1"/>
  <c r="A6517" i="1"/>
  <c r="B6517" i="1"/>
  <c r="C6517" i="1"/>
  <c r="E6517" i="1"/>
  <c r="G6517" i="1"/>
  <c r="K6517" i="1"/>
  <c r="A6518" i="1"/>
  <c r="B6518" i="1"/>
  <c r="C6518" i="1"/>
  <c r="E6518" i="1"/>
  <c r="G6518" i="1"/>
  <c r="K6518" i="1"/>
  <c r="A6519" i="1"/>
  <c r="B6519" i="1"/>
  <c r="C6519" i="1"/>
  <c r="E6519" i="1"/>
  <c r="G6519" i="1"/>
  <c r="K6519" i="1"/>
  <c r="A6520" i="1"/>
  <c r="B6520" i="1"/>
  <c r="C6520" i="1"/>
  <c r="E6520" i="1"/>
  <c r="G6520" i="1"/>
  <c r="K6520" i="1"/>
  <c r="A6521" i="1"/>
  <c r="B6521" i="1"/>
  <c r="C6521" i="1"/>
  <c r="E6521" i="1"/>
  <c r="G6521" i="1"/>
  <c r="K6521" i="1"/>
  <c r="A6522" i="1"/>
  <c r="B6522" i="1"/>
  <c r="C6522" i="1"/>
  <c r="E6522" i="1"/>
  <c r="G6522" i="1"/>
  <c r="K6522" i="1"/>
  <c r="A6523" i="1"/>
  <c r="B6523" i="1"/>
  <c r="C6523" i="1"/>
  <c r="E6523" i="1"/>
  <c r="G6523" i="1"/>
  <c r="K6523" i="1"/>
  <c r="A6524" i="1"/>
  <c r="B6524" i="1"/>
  <c r="C6524" i="1"/>
  <c r="E6524" i="1"/>
  <c r="G6524" i="1"/>
  <c r="K6524" i="1"/>
  <c r="A6525" i="1"/>
  <c r="B6525" i="1"/>
  <c r="C6525" i="1"/>
  <c r="E6525" i="1"/>
  <c r="G6525" i="1"/>
  <c r="K6525" i="1"/>
  <c r="A6526" i="1"/>
  <c r="B6526" i="1"/>
  <c r="C6526" i="1"/>
  <c r="E6526" i="1"/>
  <c r="G6526" i="1"/>
  <c r="K6526" i="1"/>
  <c r="A6527" i="1"/>
  <c r="B6527" i="1"/>
  <c r="C6527" i="1"/>
  <c r="E6527" i="1"/>
  <c r="G6527" i="1"/>
  <c r="K6527" i="1"/>
  <c r="A6528" i="1"/>
  <c r="B6528" i="1"/>
  <c r="C6528" i="1"/>
  <c r="E6528" i="1"/>
  <c r="G6528" i="1"/>
  <c r="K6528" i="1"/>
  <c r="A6529" i="1"/>
  <c r="B6529" i="1"/>
  <c r="C6529" i="1"/>
  <c r="E6529" i="1"/>
  <c r="G6529" i="1"/>
  <c r="K6529" i="1"/>
  <c r="A6530" i="1"/>
  <c r="B6530" i="1"/>
  <c r="C6530" i="1"/>
  <c r="E6530" i="1"/>
  <c r="G6530" i="1"/>
  <c r="K6530" i="1"/>
  <c r="A6531" i="1"/>
  <c r="B6531" i="1"/>
  <c r="C6531" i="1"/>
  <c r="E6531" i="1"/>
  <c r="G6531" i="1"/>
  <c r="K6531" i="1"/>
  <c r="A6532" i="1"/>
  <c r="B6532" i="1"/>
  <c r="C6532" i="1"/>
  <c r="E6532" i="1"/>
  <c r="G6532" i="1"/>
  <c r="K6532" i="1"/>
  <c r="A6533" i="1"/>
  <c r="B6533" i="1"/>
  <c r="C6533" i="1"/>
  <c r="E6533" i="1"/>
  <c r="G6533" i="1"/>
  <c r="K6533" i="1"/>
  <c r="A6534" i="1"/>
  <c r="B6534" i="1"/>
  <c r="C6534" i="1"/>
  <c r="E6534" i="1"/>
  <c r="G6534" i="1"/>
  <c r="K6534" i="1"/>
  <c r="A6535" i="1"/>
  <c r="B6535" i="1"/>
  <c r="C6535" i="1"/>
  <c r="E6535" i="1"/>
  <c r="G6535" i="1"/>
  <c r="K6535" i="1"/>
  <c r="A6536" i="1"/>
  <c r="B6536" i="1"/>
  <c r="C6536" i="1"/>
  <c r="E6536" i="1"/>
  <c r="G6536" i="1"/>
  <c r="K6536" i="1"/>
  <c r="A6537" i="1"/>
  <c r="B6537" i="1"/>
  <c r="C6537" i="1"/>
  <c r="E6537" i="1"/>
  <c r="G6537" i="1"/>
  <c r="K6537" i="1"/>
  <c r="A6538" i="1"/>
  <c r="B6538" i="1"/>
  <c r="C6538" i="1"/>
  <c r="E6538" i="1"/>
  <c r="G6538" i="1"/>
  <c r="K6538" i="1"/>
  <c r="A6539" i="1"/>
  <c r="B6539" i="1"/>
  <c r="C6539" i="1"/>
  <c r="E6539" i="1"/>
  <c r="G6539" i="1"/>
  <c r="K6539" i="1"/>
  <c r="A6540" i="1"/>
  <c r="B6540" i="1"/>
  <c r="C6540" i="1"/>
  <c r="E6540" i="1"/>
  <c r="G6540" i="1"/>
  <c r="K6540" i="1"/>
  <c r="A6541" i="1"/>
  <c r="B6541" i="1"/>
  <c r="C6541" i="1"/>
  <c r="E6541" i="1"/>
  <c r="G6541" i="1"/>
  <c r="K6541" i="1"/>
  <c r="A6542" i="1"/>
  <c r="B6542" i="1"/>
  <c r="C6542" i="1"/>
  <c r="E6542" i="1"/>
  <c r="G6542" i="1"/>
  <c r="K6542" i="1"/>
  <c r="A6543" i="1"/>
  <c r="B6543" i="1"/>
  <c r="C6543" i="1"/>
  <c r="E6543" i="1"/>
  <c r="G6543" i="1"/>
  <c r="K6543" i="1"/>
  <c r="A6544" i="1"/>
  <c r="B6544" i="1"/>
  <c r="C6544" i="1"/>
  <c r="E6544" i="1"/>
  <c r="G6544" i="1"/>
  <c r="K6544" i="1"/>
  <c r="A6545" i="1"/>
  <c r="B6545" i="1"/>
  <c r="C6545" i="1"/>
  <c r="E6545" i="1"/>
  <c r="G6545" i="1"/>
  <c r="K6545" i="1"/>
  <c r="A6546" i="1"/>
  <c r="B6546" i="1"/>
  <c r="C6546" i="1"/>
  <c r="E6546" i="1"/>
  <c r="G6546" i="1"/>
  <c r="K6546" i="1"/>
  <c r="A6547" i="1"/>
  <c r="B6547" i="1"/>
  <c r="C6547" i="1"/>
  <c r="E6547" i="1"/>
  <c r="G6547" i="1"/>
  <c r="K6547" i="1"/>
  <c r="A6548" i="1"/>
  <c r="B6548" i="1"/>
  <c r="C6548" i="1"/>
  <c r="E6548" i="1"/>
  <c r="G6548" i="1"/>
  <c r="K6548" i="1"/>
  <c r="A6549" i="1"/>
  <c r="B6549" i="1"/>
  <c r="C6549" i="1"/>
  <c r="E6549" i="1"/>
  <c r="G6549" i="1"/>
  <c r="K6549" i="1"/>
  <c r="A6550" i="1"/>
  <c r="B6550" i="1"/>
  <c r="C6550" i="1"/>
  <c r="E6550" i="1"/>
  <c r="G6550" i="1"/>
  <c r="K6550" i="1"/>
  <c r="A6551" i="1"/>
  <c r="B6551" i="1"/>
  <c r="C6551" i="1"/>
  <c r="E6551" i="1"/>
  <c r="G6551" i="1"/>
  <c r="K6551" i="1"/>
  <c r="A6552" i="1"/>
  <c r="B6552" i="1"/>
  <c r="C6552" i="1"/>
  <c r="E6552" i="1"/>
  <c r="G6552" i="1"/>
  <c r="K6552" i="1"/>
  <c r="A6553" i="1"/>
  <c r="B6553" i="1"/>
  <c r="C6553" i="1"/>
  <c r="E6553" i="1"/>
  <c r="G6553" i="1"/>
  <c r="K6553" i="1"/>
  <c r="A6554" i="1"/>
  <c r="B6554" i="1"/>
  <c r="C6554" i="1"/>
  <c r="E6554" i="1"/>
  <c r="G6554" i="1"/>
  <c r="K6554" i="1"/>
  <c r="A6555" i="1"/>
  <c r="B6555" i="1"/>
  <c r="C6555" i="1"/>
  <c r="E6555" i="1"/>
  <c r="G6555" i="1"/>
  <c r="K6555" i="1"/>
  <c r="A6556" i="1"/>
  <c r="B6556" i="1"/>
  <c r="C6556" i="1"/>
  <c r="E6556" i="1"/>
  <c r="G6556" i="1"/>
  <c r="K6556" i="1"/>
  <c r="A6557" i="1"/>
  <c r="B6557" i="1"/>
  <c r="C6557" i="1"/>
  <c r="E6557" i="1"/>
  <c r="G6557" i="1"/>
  <c r="K6557" i="1"/>
  <c r="A6558" i="1"/>
  <c r="B6558" i="1"/>
  <c r="C6558" i="1"/>
  <c r="E6558" i="1"/>
  <c r="G6558" i="1"/>
  <c r="K6558" i="1"/>
  <c r="A6559" i="1"/>
  <c r="B6559" i="1"/>
  <c r="C6559" i="1"/>
  <c r="E6559" i="1"/>
  <c r="G6559" i="1"/>
  <c r="K6559" i="1"/>
  <c r="A6560" i="1"/>
  <c r="B6560" i="1"/>
  <c r="C6560" i="1"/>
  <c r="E6560" i="1"/>
  <c r="G6560" i="1"/>
  <c r="K6560" i="1"/>
  <c r="A6561" i="1"/>
  <c r="B6561" i="1"/>
  <c r="C6561" i="1"/>
  <c r="E6561" i="1"/>
  <c r="G6561" i="1"/>
  <c r="K6561" i="1"/>
  <c r="A6562" i="1"/>
  <c r="B6562" i="1"/>
  <c r="C6562" i="1"/>
  <c r="E6562" i="1"/>
  <c r="G6562" i="1"/>
  <c r="K6562" i="1"/>
  <c r="A6563" i="1"/>
  <c r="B6563" i="1"/>
  <c r="C6563" i="1"/>
  <c r="E6563" i="1"/>
  <c r="G6563" i="1"/>
  <c r="K6563" i="1"/>
  <c r="A6564" i="1"/>
  <c r="B6564" i="1"/>
  <c r="C6564" i="1"/>
  <c r="E6564" i="1"/>
  <c r="G6564" i="1"/>
  <c r="K6564" i="1"/>
  <c r="A6565" i="1"/>
  <c r="B6565" i="1"/>
  <c r="C6565" i="1"/>
  <c r="E6565" i="1"/>
  <c r="G6565" i="1"/>
  <c r="K6565" i="1"/>
  <c r="A6566" i="1"/>
  <c r="B6566" i="1"/>
  <c r="C6566" i="1"/>
  <c r="E6566" i="1"/>
  <c r="G6566" i="1"/>
  <c r="K6566" i="1"/>
  <c r="A6567" i="1"/>
  <c r="B6567" i="1"/>
  <c r="C6567" i="1"/>
  <c r="E6567" i="1"/>
  <c r="G6567" i="1"/>
  <c r="K6567" i="1"/>
  <c r="A6568" i="1"/>
  <c r="B6568" i="1"/>
  <c r="C6568" i="1"/>
  <c r="E6568" i="1"/>
  <c r="G6568" i="1"/>
  <c r="K6568" i="1"/>
  <c r="A6569" i="1"/>
  <c r="B6569" i="1"/>
  <c r="C6569" i="1"/>
  <c r="E6569" i="1"/>
  <c r="G6569" i="1"/>
  <c r="K6569" i="1"/>
  <c r="A6570" i="1"/>
  <c r="B6570" i="1"/>
  <c r="C6570" i="1"/>
  <c r="E6570" i="1"/>
  <c r="G6570" i="1"/>
  <c r="K6570" i="1"/>
  <c r="A6571" i="1"/>
  <c r="B6571" i="1"/>
  <c r="C6571" i="1"/>
  <c r="E6571" i="1"/>
  <c r="G6571" i="1"/>
  <c r="K6571" i="1"/>
  <c r="A6572" i="1"/>
  <c r="B6572" i="1"/>
  <c r="C6572" i="1"/>
  <c r="E6572" i="1"/>
  <c r="G6572" i="1"/>
  <c r="K6572" i="1"/>
  <c r="A6573" i="1"/>
  <c r="B6573" i="1"/>
  <c r="C6573" i="1"/>
  <c r="E6573" i="1"/>
  <c r="G6573" i="1"/>
  <c r="K6573" i="1"/>
  <c r="A6574" i="1"/>
  <c r="B6574" i="1"/>
  <c r="C6574" i="1"/>
  <c r="E6574" i="1"/>
  <c r="G6574" i="1"/>
  <c r="K6574" i="1"/>
  <c r="A6575" i="1"/>
  <c r="B6575" i="1"/>
  <c r="C6575" i="1"/>
  <c r="E6575" i="1"/>
  <c r="G6575" i="1"/>
  <c r="K6575" i="1"/>
  <c r="A6576" i="1"/>
  <c r="B6576" i="1"/>
  <c r="C6576" i="1"/>
  <c r="E6576" i="1"/>
  <c r="G6576" i="1"/>
  <c r="K6576" i="1"/>
  <c r="A6577" i="1"/>
  <c r="B6577" i="1"/>
  <c r="C6577" i="1"/>
  <c r="E6577" i="1"/>
  <c r="G6577" i="1"/>
  <c r="K6577" i="1"/>
  <c r="A6578" i="1"/>
  <c r="B6578" i="1"/>
  <c r="C6578" i="1"/>
  <c r="E6578" i="1"/>
  <c r="G6578" i="1"/>
  <c r="K6578" i="1"/>
  <c r="A6579" i="1"/>
  <c r="B6579" i="1"/>
  <c r="C6579" i="1"/>
  <c r="E6579" i="1"/>
  <c r="G6579" i="1"/>
  <c r="K6579" i="1"/>
  <c r="A6580" i="1"/>
  <c r="B6580" i="1"/>
  <c r="C6580" i="1"/>
  <c r="E6580" i="1"/>
  <c r="G6580" i="1"/>
  <c r="K6580" i="1"/>
  <c r="A6581" i="1"/>
  <c r="B6581" i="1"/>
  <c r="C6581" i="1"/>
  <c r="E6581" i="1"/>
  <c r="G6581" i="1"/>
  <c r="K6581" i="1"/>
  <c r="A6582" i="1"/>
  <c r="B6582" i="1"/>
  <c r="C6582" i="1"/>
  <c r="E6582" i="1"/>
  <c r="G6582" i="1"/>
  <c r="K6582" i="1"/>
  <c r="A6583" i="1"/>
  <c r="B6583" i="1"/>
  <c r="C6583" i="1"/>
  <c r="E6583" i="1"/>
  <c r="G6583" i="1"/>
  <c r="K6583" i="1"/>
  <c r="A6584" i="1"/>
  <c r="B6584" i="1"/>
  <c r="C6584" i="1"/>
  <c r="E6584" i="1"/>
  <c r="G6584" i="1"/>
  <c r="K6584" i="1"/>
  <c r="A6585" i="1"/>
  <c r="B6585" i="1"/>
  <c r="C6585" i="1"/>
  <c r="E6585" i="1"/>
  <c r="G6585" i="1"/>
  <c r="K6585" i="1"/>
  <c r="A6586" i="1"/>
  <c r="B6586" i="1"/>
  <c r="C6586" i="1"/>
  <c r="E6586" i="1"/>
  <c r="G6586" i="1"/>
  <c r="K6586" i="1"/>
  <c r="A6587" i="1"/>
  <c r="B6587" i="1"/>
  <c r="C6587" i="1"/>
  <c r="E6587" i="1"/>
  <c r="G6587" i="1"/>
  <c r="K6587" i="1"/>
  <c r="A6588" i="1"/>
  <c r="B6588" i="1"/>
  <c r="C6588" i="1"/>
  <c r="E6588" i="1"/>
  <c r="G6588" i="1"/>
  <c r="K6588" i="1"/>
  <c r="A6589" i="1"/>
  <c r="B6589" i="1"/>
  <c r="C6589" i="1"/>
  <c r="E6589" i="1"/>
  <c r="G6589" i="1"/>
  <c r="K6589" i="1"/>
  <c r="A6590" i="1"/>
  <c r="B6590" i="1"/>
  <c r="C6590" i="1"/>
  <c r="E6590" i="1"/>
  <c r="G6590" i="1"/>
  <c r="K6590" i="1"/>
  <c r="A6591" i="1"/>
  <c r="B6591" i="1"/>
  <c r="C6591" i="1"/>
  <c r="E6591" i="1"/>
  <c r="G6591" i="1"/>
  <c r="K6591" i="1"/>
  <c r="A6592" i="1"/>
  <c r="B6592" i="1"/>
  <c r="C6592" i="1"/>
  <c r="E6592" i="1"/>
  <c r="G6592" i="1"/>
  <c r="K6592" i="1"/>
  <c r="A6593" i="1"/>
  <c r="B6593" i="1"/>
  <c r="C6593" i="1"/>
  <c r="E6593" i="1"/>
  <c r="G6593" i="1"/>
  <c r="K6593" i="1"/>
  <c r="A6594" i="1"/>
  <c r="B6594" i="1"/>
  <c r="C6594" i="1"/>
  <c r="E6594" i="1"/>
  <c r="G6594" i="1"/>
  <c r="K6594" i="1"/>
  <c r="A6595" i="1"/>
  <c r="B6595" i="1"/>
  <c r="C6595" i="1"/>
  <c r="E6595" i="1"/>
  <c r="G6595" i="1"/>
  <c r="K6595" i="1"/>
  <c r="A6596" i="1"/>
  <c r="B6596" i="1"/>
  <c r="C6596" i="1"/>
  <c r="E6596" i="1"/>
  <c r="G6596" i="1"/>
  <c r="K6596" i="1"/>
  <c r="A6597" i="1"/>
  <c r="B6597" i="1"/>
  <c r="C6597" i="1"/>
  <c r="E6597" i="1"/>
  <c r="G6597" i="1"/>
  <c r="K6597" i="1"/>
  <c r="A6598" i="1"/>
  <c r="B6598" i="1"/>
  <c r="C6598" i="1"/>
  <c r="E6598" i="1"/>
  <c r="G6598" i="1"/>
  <c r="K6598" i="1"/>
  <c r="A6599" i="1"/>
  <c r="B6599" i="1"/>
  <c r="C6599" i="1"/>
  <c r="E6599" i="1"/>
  <c r="G6599" i="1"/>
  <c r="K6599" i="1"/>
  <c r="A6600" i="1"/>
  <c r="B6600" i="1"/>
  <c r="C6600" i="1"/>
  <c r="E6600" i="1"/>
  <c r="G6600" i="1"/>
  <c r="K6600" i="1"/>
  <c r="A6601" i="1"/>
  <c r="B6601" i="1"/>
  <c r="C6601" i="1"/>
  <c r="E6601" i="1"/>
  <c r="G6601" i="1"/>
  <c r="K6601" i="1"/>
  <c r="A6602" i="1"/>
  <c r="B6602" i="1"/>
  <c r="C6602" i="1"/>
  <c r="E6602" i="1"/>
  <c r="G6602" i="1"/>
  <c r="K6602" i="1"/>
  <c r="A6603" i="1"/>
  <c r="B6603" i="1"/>
  <c r="C6603" i="1"/>
  <c r="E6603" i="1"/>
  <c r="G6603" i="1"/>
  <c r="K6603" i="1"/>
  <c r="A6604" i="1"/>
  <c r="B6604" i="1"/>
  <c r="C6604" i="1"/>
  <c r="E6604" i="1"/>
  <c r="G6604" i="1"/>
  <c r="K6604" i="1"/>
  <c r="A6605" i="1"/>
  <c r="B6605" i="1"/>
  <c r="C6605" i="1"/>
  <c r="E6605" i="1"/>
  <c r="G6605" i="1"/>
  <c r="K6605" i="1"/>
  <c r="A6606" i="1"/>
  <c r="B6606" i="1"/>
  <c r="C6606" i="1"/>
  <c r="E6606" i="1"/>
  <c r="G6606" i="1"/>
  <c r="K6606" i="1"/>
  <c r="A6607" i="1"/>
  <c r="B6607" i="1"/>
  <c r="C6607" i="1"/>
  <c r="E6607" i="1"/>
  <c r="G6607" i="1"/>
  <c r="K6607" i="1"/>
  <c r="A6608" i="1"/>
  <c r="B6608" i="1"/>
  <c r="C6608" i="1"/>
  <c r="E6608" i="1"/>
  <c r="G6608" i="1"/>
  <c r="K6608" i="1"/>
  <c r="A6609" i="1"/>
  <c r="B6609" i="1"/>
  <c r="C6609" i="1"/>
  <c r="E6609" i="1"/>
  <c r="G6609" i="1"/>
  <c r="K6609" i="1"/>
  <c r="A6610" i="1"/>
  <c r="B6610" i="1"/>
  <c r="C6610" i="1"/>
  <c r="E6610" i="1"/>
  <c r="G6610" i="1"/>
  <c r="K6610" i="1"/>
  <c r="A6611" i="1"/>
  <c r="B6611" i="1"/>
  <c r="C6611" i="1"/>
  <c r="E6611" i="1"/>
  <c r="G6611" i="1"/>
  <c r="K6611" i="1"/>
  <c r="A6612" i="1"/>
  <c r="B6612" i="1"/>
  <c r="C6612" i="1"/>
  <c r="E6612" i="1"/>
  <c r="G6612" i="1"/>
  <c r="K6612" i="1"/>
  <c r="A6613" i="1"/>
  <c r="B6613" i="1"/>
  <c r="C6613" i="1"/>
  <c r="E6613" i="1"/>
  <c r="G6613" i="1"/>
  <c r="K6613" i="1"/>
  <c r="A6614" i="1"/>
  <c r="B6614" i="1"/>
  <c r="C6614" i="1"/>
  <c r="E6614" i="1"/>
  <c r="G6614" i="1"/>
  <c r="K6614" i="1"/>
  <c r="A6615" i="1"/>
  <c r="B6615" i="1"/>
  <c r="C6615" i="1"/>
  <c r="E6615" i="1"/>
  <c r="G6615" i="1"/>
  <c r="K6615" i="1"/>
  <c r="A6616" i="1"/>
  <c r="B6616" i="1"/>
  <c r="C6616" i="1"/>
  <c r="E6616" i="1"/>
  <c r="G6616" i="1"/>
  <c r="K6616" i="1"/>
  <c r="A6617" i="1"/>
  <c r="B6617" i="1"/>
  <c r="C6617" i="1"/>
  <c r="E6617" i="1"/>
  <c r="G6617" i="1"/>
  <c r="K6617" i="1"/>
  <c r="A6618" i="1"/>
  <c r="B6618" i="1"/>
  <c r="C6618" i="1"/>
  <c r="E6618" i="1"/>
  <c r="G6618" i="1"/>
  <c r="K6618" i="1"/>
  <c r="A6619" i="1"/>
  <c r="B6619" i="1"/>
  <c r="C6619" i="1"/>
  <c r="E6619" i="1"/>
  <c r="G6619" i="1"/>
  <c r="K6619" i="1"/>
  <c r="A6620" i="1"/>
  <c r="B6620" i="1"/>
  <c r="C6620" i="1"/>
  <c r="E6620" i="1"/>
  <c r="G6620" i="1"/>
  <c r="K6620" i="1"/>
  <c r="A6621" i="1"/>
  <c r="B6621" i="1"/>
  <c r="C6621" i="1"/>
  <c r="E6621" i="1"/>
  <c r="G6621" i="1"/>
  <c r="K6621" i="1"/>
  <c r="A6622" i="1"/>
  <c r="B6622" i="1"/>
  <c r="C6622" i="1"/>
  <c r="E6622" i="1"/>
  <c r="G6622" i="1"/>
  <c r="K6622" i="1"/>
  <c r="A6623" i="1"/>
  <c r="B6623" i="1"/>
  <c r="C6623" i="1"/>
  <c r="E6623" i="1"/>
  <c r="G6623" i="1"/>
  <c r="K6623" i="1"/>
  <c r="A6624" i="1"/>
  <c r="B6624" i="1"/>
  <c r="C6624" i="1"/>
  <c r="E6624" i="1"/>
  <c r="G6624" i="1"/>
  <c r="K6624" i="1"/>
  <c r="A6625" i="1"/>
  <c r="B6625" i="1"/>
  <c r="C6625" i="1"/>
  <c r="E6625" i="1"/>
  <c r="G6625" i="1"/>
  <c r="K6625" i="1"/>
  <c r="A6626" i="1"/>
  <c r="B6626" i="1"/>
  <c r="C6626" i="1"/>
  <c r="E6626" i="1"/>
  <c r="G6626" i="1"/>
  <c r="K6626" i="1"/>
  <c r="A6627" i="1"/>
  <c r="B6627" i="1"/>
  <c r="C6627" i="1"/>
  <c r="E6627" i="1"/>
  <c r="G6627" i="1"/>
  <c r="K6627" i="1"/>
  <c r="A6628" i="1"/>
  <c r="B6628" i="1"/>
  <c r="C6628" i="1"/>
  <c r="E6628" i="1"/>
  <c r="G6628" i="1"/>
  <c r="K6628" i="1"/>
  <c r="A6629" i="1"/>
  <c r="B6629" i="1"/>
  <c r="C6629" i="1"/>
  <c r="E6629" i="1"/>
  <c r="G6629" i="1"/>
  <c r="K6629" i="1"/>
  <c r="A6630" i="1"/>
  <c r="B6630" i="1"/>
  <c r="C6630" i="1"/>
  <c r="E6630" i="1"/>
  <c r="G6630" i="1"/>
  <c r="K6630" i="1"/>
  <c r="A6631" i="1"/>
  <c r="B6631" i="1"/>
  <c r="C6631" i="1"/>
  <c r="E6631" i="1"/>
  <c r="G6631" i="1"/>
  <c r="K6631" i="1"/>
  <c r="A6632" i="1"/>
  <c r="B6632" i="1"/>
  <c r="C6632" i="1"/>
  <c r="E6632" i="1"/>
  <c r="G6632" i="1"/>
  <c r="K6632" i="1"/>
  <c r="A6633" i="1"/>
  <c r="B6633" i="1"/>
  <c r="C6633" i="1"/>
  <c r="E6633" i="1"/>
  <c r="G6633" i="1"/>
  <c r="K6633" i="1"/>
  <c r="A6634" i="1"/>
  <c r="B6634" i="1"/>
  <c r="C6634" i="1"/>
  <c r="E6634" i="1"/>
  <c r="G6634" i="1"/>
  <c r="K6634" i="1"/>
  <c r="A6635" i="1"/>
  <c r="B6635" i="1"/>
  <c r="C6635" i="1"/>
  <c r="E6635" i="1"/>
  <c r="G6635" i="1"/>
  <c r="K6635" i="1"/>
  <c r="A6636" i="1"/>
  <c r="B6636" i="1"/>
  <c r="C6636" i="1"/>
  <c r="E6636" i="1"/>
  <c r="G6636" i="1"/>
  <c r="K6636" i="1"/>
  <c r="A6637" i="1"/>
  <c r="B6637" i="1"/>
  <c r="C6637" i="1"/>
  <c r="E6637" i="1"/>
  <c r="G6637" i="1"/>
  <c r="K6637" i="1"/>
  <c r="A6638" i="1"/>
  <c r="B6638" i="1"/>
  <c r="C6638" i="1"/>
  <c r="E6638" i="1"/>
  <c r="G6638" i="1"/>
  <c r="K6638" i="1"/>
  <c r="A6639" i="1"/>
  <c r="B6639" i="1"/>
  <c r="C6639" i="1"/>
  <c r="E6639" i="1"/>
  <c r="G6639" i="1"/>
  <c r="K6639" i="1"/>
  <c r="A6640" i="1"/>
  <c r="B6640" i="1"/>
  <c r="C6640" i="1"/>
  <c r="E6640" i="1"/>
  <c r="G6640" i="1"/>
  <c r="K6640" i="1"/>
  <c r="A6641" i="1"/>
  <c r="B6641" i="1"/>
  <c r="C6641" i="1"/>
  <c r="E6641" i="1"/>
  <c r="G6641" i="1"/>
  <c r="K6641" i="1"/>
  <c r="A6642" i="1"/>
  <c r="B6642" i="1"/>
  <c r="C6642" i="1"/>
  <c r="E6642" i="1"/>
  <c r="G6642" i="1"/>
  <c r="K6642" i="1"/>
  <c r="A6643" i="1"/>
  <c r="B6643" i="1"/>
  <c r="C6643" i="1"/>
  <c r="E6643" i="1"/>
  <c r="G6643" i="1"/>
  <c r="K6643" i="1"/>
  <c r="A6644" i="1"/>
  <c r="B6644" i="1"/>
  <c r="C6644" i="1"/>
  <c r="E6644" i="1"/>
  <c r="G6644" i="1"/>
  <c r="K6644" i="1"/>
  <c r="A6645" i="1"/>
  <c r="B6645" i="1"/>
  <c r="C6645" i="1"/>
  <c r="E6645" i="1"/>
  <c r="G6645" i="1"/>
  <c r="K6645" i="1"/>
  <c r="A6646" i="1"/>
  <c r="B6646" i="1"/>
  <c r="C6646" i="1"/>
  <c r="E6646" i="1"/>
  <c r="G6646" i="1"/>
  <c r="K6646" i="1"/>
  <c r="A6647" i="1"/>
  <c r="B6647" i="1"/>
  <c r="C6647" i="1"/>
  <c r="E6647" i="1"/>
  <c r="G6647" i="1"/>
  <c r="K6647" i="1"/>
  <c r="A6648" i="1"/>
  <c r="B6648" i="1"/>
  <c r="C6648" i="1"/>
  <c r="E6648" i="1"/>
  <c r="G6648" i="1"/>
  <c r="K6648" i="1"/>
  <c r="A6649" i="1"/>
  <c r="B6649" i="1"/>
  <c r="C6649" i="1"/>
  <c r="E6649" i="1"/>
  <c r="G6649" i="1"/>
  <c r="K6649" i="1"/>
  <c r="A6650" i="1"/>
  <c r="B6650" i="1"/>
  <c r="C6650" i="1"/>
  <c r="E6650" i="1"/>
  <c r="G6650" i="1"/>
  <c r="K6650" i="1"/>
  <c r="A6651" i="1"/>
  <c r="B6651" i="1"/>
  <c r="C6651" i="1"/>
  <c r="E6651" i="1"/>
  <c r="G6651" i="1"/>
  <c r="K6651" i="1"/>
  <c r="A6652" i="1"/>
  <c r="B6652" i="1"/>
  <c r="C6652" i="1"/>
  <c r="E6652" i="1"/>
  <c r="G6652" i="1"/>
  <c r="K6652" i="1"/>
  <c r="A6653" i="1"/>
  <c r="B6653" i="1"/>
  <c r="C6653" i="1"/>
  <c r="E6653" i="1"/>
  <c r="G6653" i="1"/>
  <c r="K6653" i="1"/>
  <c r="A6654" i="1"/>
  <c r="B6654" i="1"/>
  <c r="C6654" i="1"/>
  <c r="E6654" i="1"/>
  <c r="G6654" i="1"/>
  <c r="K6654" i="1"/>
  <c r="A6655" i="1"/>
  <c r="B6655" i="1"/>
  <c r="C6655" i="1"/>
  <c r="E6655" i="1"/>
  <c r="G6655" i="1"/>
  <c r="K6655" i="1"/>
  <c r="A6656" i="1"/>
  <c r="B6656" i="1"/>
  <c r="C6656" i="1"/>
  <c r="E6656" i="1"/>
  <c r="G6656" i="1"/>
  <c r="K6656" i="1"/>
  <c r="A6657" i="1"/>
  <c r="B6657" i="1"/>
  <c r="C6657" i="1"/>
  <c r="E6657" i="1"/>
  <c r="G6657" i="1"/>
  <c r="K6657" i="1"/>
  <c r="A6658" i="1"/>
  <c r="B6658" i="1"/>
  <c r="C6658" i="1"/>
  <c r="E6658" i="1"/>
  <c r="G6658" i="1"/>
  <c r="K6658" i="1"/>
  <c r="A6659" i="1"/>
  <c r="B6659" i="1"/>
  <c r="C6659" i="1"/>
  <c r="E6659" i="1"/>
  <c r="G6659" i="1"/>
  <c r="K6659" i="1"/>
  <c r="A6660" i="1"/>
  <c r="B6660" i="1"/>
  <c r="C6660" i="1"/>
  <c r="E6660" i="1"/>
  <c r="G6660" i="1"/>
  <c r="K6660" i="1"/>
  <c r="A6661" i="1"/>
  <c r="B6661" i="1"/>
  <c r="C6661" i="1"/>
  <c r="E6661" i="1"/>
  <c r="G6661" i="1"/>
  <c r="K6661" i="1"/>
  <c r="A6662" i="1"/>
  <c r="B6662" i="1"/>
  <c r="C6662" i="1"/>
  <c r="E6662" i="1"/>
  <c r="G6662" i="1"/>
  <c r="K6662" i="1"/>
  <c r="A6663" i="1"/>
  <c r="B6663" i="1"/>
  <c r="C6663" i="1"/>
  <c r="E6663" i="1"/>
  <c r="G6663" i="1"/>
  <c r="K6663" i="1"/>
  <c r="A6664" i="1"/>
  <c r="B6664" i="1"/>
  <c r="C6664" i="1"/>
  <c r="E6664" i="1"/>
  <c r="G6664" i="1"/>
  <c r="K6664" i="1"/>
  <c r="A6665" i="1"/>
  <c r="B6665" i="1"/>
  <c r="C6665" i="1"/>
  <c r="E6665" i="1"/>
  <c r="G6665" i="1"/>
  <c r="K6665" i="1"/>
  <c r="A6666" i="1"/>
  <c r="B6666" i="1"/>
  <c r="C6666" i="1"/>
  <c r="E6666" i="1"/>
  <c r="G6666" i="1"/>
  <c r="K6666" i="1"/>
  <c r="A6667" i="1"/>
  <c r="B6667" i="1"/>
  <c r="C6667" i="1"/>
  <c r="E6667" i="1"/>
  <c r="G6667" i="1"/>
  <c r="K6667" i="1"/>
  <c r="A6668" i="1"/>
  <c r="B6668" i="1"/>
  <c r="C6668" i="1"/>
  <c r="E6668" i="1"/>
  <c r="G6668" i="1"/>
  <c r="K6668" i="1"/>
  <c r="A6669" i="1"/>
  <c r="B6669" i="1"/>
  <c r="C6669" i="1"/>
  <c r="E6669" i="1"/>
  <c r="G6669" i="1"/>
  <c r="K6669" i="1"/>
  <c r="A6670" i="1"/>
  <c r="B6670" i="1"/>
  <c r="C6670" i="1"/>
  <c r="E6670" i="1"/>
  <c r="G6670" i="1"/>
  <c r="K6670" i="1"/>
  <c r="A6671" i="1"/>
  <c r="B6671" i="1"/>
  <c r="C6671" i="1"/>
  <c r="E6671" i="1"/>
  <c r="G6671" i="1"/>
  <c r="K6671" i="1"/>
  <c r="A6672" i="1"/>
  <c r="B6672" i="1"/>
  <c r="C6672" i="1"/>
  <c r="E6672" i="1"/>
  <c r="G6672" i="1"/>
  <c r="K6672" i="1"/>
  <c r="A6673" i="1"/>
  <c r="B6673" i="1"/>
  <c r="C6673" i="1"/>
  <c r="E6673" i="1"/>
  <c r="G6673" i="1"/>
  <c r="K6673" i="1"/>
  <c r="A6674" i="1"/>
  <c r="B6674" i="1"/>
  <c r="C6674" i="1"/>
  <c r="E6674" i="1"/>
  <c r="G6674" i="1"/>
  <c r="K6674" i="1"/>
  <c r="A6675" i="1"/>
  <c r="B6675" i="1"/>
  <c r="C6675" i="1"/>
  <c r="E6675" i="1"/>
  <c r="G6675" i="1"/>
  <c r="K6675" i="1"/>
  <c r="A6676" i="1"/>
  <c r="B6676" i="1"/>
  <c r="C6676" i="1"/>
  <c r="E6676" i="1"/>
  <c r="G6676" i="1"/>
  <c r="K6676" i="1"/>
  <c r="A6677" i="1"/>
  <c r="B6677" i="1"/>
  <c r="C6677" i="1"/>
  <c r="E6677" i="1"/>
  <c r="G6677" i="1"/>
  <c r="K6677" i="1"/>
  <c r="A6678" i="1"/>
  <c r="B6678" i="1"/>
  <c r="C6678" i="1"/>
  <c r="E6678" i="1"/>
  <c r="G6678" i="1"/>
  <c r="K6678" i="1"/>
  <c r="A6679" i="1"/>
  <c r="B6679" i="1"/>
  <c r="C6679" i="1"/>
  <c r="E6679" i="1"/>
  <c r="G6679" i="1"/>
  <c r="K6679" i="1"/>
  <c r="A6680" i="1"/>
  <c r="B6680" i="1"/>
  <c r="C6680" i="1"/>
  <c r="E6680" i="1"/>
  <c r="G6680" i="1"/>
  <c r="K6680" i="1"/>
  <c r="A6681" i="1"/>
  <c r="B6681" i="1"/>
  <c r="C6681" i="1"/>
  <c r="E6681" i="1"/>
  <c r="G6681" i="1"/>
  <c r="K6681" i="1"/>
  <c r="A6682" i="1"/>
  <c r="B6682" i="1"/>
  <c r="C6682" i="1"/>
  <c r="E6682" i="1"/>
  <c r="G6682" i="1"/>
  <c r="K6682" i="1"/>
  <c r="A6683" i="1"/>
  <c r="B6683" i="1"/>
  <c r="C6683" i="1"/>
  <c r="E6683" i="1"/>
  <c r="G6683" i="1"/>
  <c r="K6683" i="1"/>
  <c r="A6684" i="1"/>
  <c r="B6684" i="1"/>
  <c r="C6684" i="1"/>
  <c r="E6684" i="1"/>
  <c r="G6684" i="1"/>
  <c r="K6684" i="1"/>
  <c r="A6685" i="1"/>
  <c r="B6685" i="1"/>
  <c r="C6685" i="1"/>
  <c r="E6685" i="1"/>
  <c r="G6685" i="1"/>
  <c r="K6685" i="1"/>
  <c r="A6686" i="1"/>
  <c r="B6686" i="1"/>
  <c r="C6686" i="1"/>
  <c r="E6686" i="1"/>
  <c r="G6686" i="1"/>
  <c r="K6686" i="1"/>
  <c r="A6687" i="1"/>
  <c r="B6687" i="1"/>
  <c r="C6687" i="1"/>
  <c r="E6687" i="1"/>
  <c r="G6687" i="1"/>
  <c r="K6687" i="1"/>
  <c r="A6688" i="1"/>
  <c r="B6688" i="1"/>
  <c r="C6688" i="1"/>
  <c r="E6688" i="1"/>
  <c r="G6688" i="1"/>
  <c r="K6688" i="1"/>
  <c r="A6689" i="1"/>
  <c r="B6689" i="1"/>
  <c r="C6689" i="1"/>
  <c r="E6689" i="1"/>
  <c r="G6689" i="1"/>
  <c r="K6689" i="1"/>
  <c r="A6690" i="1"/>
  <c r="B6690" i="1"/>
  <c r="C6690" i="1"/>
  <c r="E6690" i="1"/>
  <c r="G6690" i="1"/>
  <c r="K6690" i="1"/>
  <c r="A6691" i="1"/>
  <c r="B6691" i="1"/>
  <c r="C6691" i="1"/>
  <c r="E6691" i="1"/>
  <c r="G6691" i="1"/>
  <c r="K6691" i="1"/>
  <c r="A6692" i="1"/>
  <c r="B6692" i="1"/>
  <c r="C6692" i="1"/>
  <c r="E6692" i="1"/>
  <c r="G6692" i="1"/>
  <c r="K6692" i="1"/>
  <c r="A6693" i="1"/>
  <c r="B6693" i="1"/>
  <c r="C6693" i="1"/>
  <c r="E6693" i="1"/>
  <c r="G6693" i="1"/>
  <c r="K6693" i="1"/>
  <c r="A6694" i="1"/>
  <c r="B6694" i="1"/>
  <c r="C6694" i="1"/>
  <c r="E6694" i="1"/>
  <c r="G6694" i="1"/>
  <c r="K6694" i="1"/>
  <c r="A6695" i="1"/>
  <c r="B6695" i="1"/>
  <c r="C6695" i="1"/>
  <c r="E6695" i="1"/>
  <c r="G6695" i="1"/>
  <c r="K6695" i="1"/>
  <c r="A6696" i="1"/>
  <c r="B6696" i="1"/>
  <c r="C6696" i="1"/>
  <c r="E6696" i="1"/>
  <c r="G6696" i="1"/>
  <c r="K6696" i="1"/>
  <c r="A6697" i="1"/>
  <c r="B6697" i="1"/>
  <c r="C6697" i="1"/>
  <c r="E6697" i="1"/>
  <c r="G6697" i="1"/>
  <c r="K6697" i="1"/>
  <c r="A6698" i="1"/>
  <c r="B6698" i="1"/>
  <c r="C6698" i="1"/>
  <c r="E6698" i="1"/>
  <c r="G6698" i="1"/>
  <c r="K6698" i="1"/>
  <c r="A6699" i="1"/>
  <c r="B6699" i="1"/>
  <c r="C6699" i="1"/>
  <c r="E6699" i="1"/>
  <c r="G6699" i="1"/>
  <c r="K6699" i="1"/>
  <c r="A6700" i="1"/>
  <c r="B6700" i="1"/>
  <c r="C6700" i="1"/>
  <c r="E6700" i="1"/>
  <c r="G6700" i="1"/>
  <c r="K6700" i="1"/>
  <c r="A6701" i="1"/>
  <c r="B6701" i="1"/>
  <c r="C6701" i="1"/>
  <c r="E6701" i="1"/>
  <c r="G6701" i="1"/>
  <c r="K6701" i="1"/>
  <c r="A6702" i="1"/>
  <c r="B6702" i="1"/>
  <c r="C6702" i="1"/>
  <c r="E6702" i="1"/>
  <c r="G6702" i="1"/>
  <c r="K6702" i="1"/>
  <c r="A6703" i="1"/>
  <c r="B6703" i="1"/>
  <c r="C6703" i="1"/>
  <c r="E6703" i="1"/>
  <c r="G6703" i="1"/>
  <c r="K6703" i="1"/>
  <c r="A6704" i="1"/>
  <c r="B6704" i="1"/>
  <c r="C6704" i="1"/>
  <c r="E6704" i="1"/>
  <c r="G6704" i="1"/>
  <c r="K6704" i="1"/>
  <c r="A6705" i="1"/>
  <c r="B6705" i="1"/>
  <c r="C6705" i="1"/>
  <c r="E6705" i="1"/>
  <c r="G6705" i="1"/>
  <c r="K6705" i="1"/>
  <c r="A6706" i="1"/>
  <c r="B6706" i="1"/>
  <c r="C6706" i="1"/>
  <c r="E6706" i="1"/>
  <c r="G6706" i="1"/>
  <c r="K6706" i="1"/>
  <c r="A6707" i="1"/>
  <c r="B6707" i="1"/>
  <c r="C6707" i="1"/>
  <c r="E6707" i="1"/>
  <c r="G6707" i="1"/>
  <c r="K6707" i="1"/>
  <c r="A6708" i="1"/>
  <c r="B6708" i="1"/>
  <c r="C6708" i="1"/>
  <c r="E6708" i="1"/>
  <c r="G6708" i="1"/>
  <c r="K6708" i="1"/>
  <c r="A6709" i="1"/>
  <c r="B6709" i="1"/>
  <c r="C6709" i="1"/>
  <c r="E6709" i="1"/>
  <c r="G6709" i="1"/>
  <c r="K6709" i="1"/>
  <c r="A6710" i="1"/>
  <c r="B6710" i="1"/>
  <c r="C6710" i="1"/>
  <c r="E6710" i="1"/>
  <c r="G6710" i="1"/>
  <c r="K6710" i="1"/>
  <c r="A6711" i="1"/>
  <c r="B6711" i="1"/>
  <c r="C6711" i="1"/>
  <c r="E6711" i="1"/>
  <c r="G6711" i="1"/>
  <c r="K6711" i="1"/>
  <c r="A6712" i="1"/>
  <c r="B6712" i="1"/>
  <c r="C6712" i="1"/>
  <c r="E6712" i="1"/>
  <c r="G6712" i="1"/>
  <c r="K6712" i="1"/>
  <c r="A6713" i="1"/>
  <c r="B6713" i="1"/>
  <c r="C6713" i="1"/>
  <c r="E6713" i="1"/>
  <c r="G6713" i="1"/>
  <c r="K6713" i="1"/>
  <c r="A6714" i="1"/>
  <c r="B6714" i="1"/>
  <c r="C6714" i="1"/>
  <c r="E6714" i="1"/>
  <c r="G6714" i="1"/>
  <c r="K6714" i="1"/>
  <c r="A6715" i="1"/>
  <c r="B6715" i="1"/>
  <c r="C6715" i="1"/>
  <c r="E6715" i="1"/>
  <c r="G6715" i="1"/>
  <c r="K6715" i="1"/>
  <c r="A6716" i="1"/>
  <c r="B6716" i="1"/>
  <c r="C6716" i="1"/>
  <c r="E6716" i="1"/>
  <c r="G6716" i="1"/>
  <c r="K6716" i="1"/>
  <c r="A6717" i="1"/>
  <c r="B6717" i="1"/>
  <c r="C6717" i="1"/>
  <c r="E6717" i="1"/>
  <c r="G6717" i="1"/>
  <c r="K6717" i="1"/>
  <c r="A6718" i="1"/>
  <c r="B6718" i="1"/>
  <c r="C6718" i="1"/>
  <c r="E6718" i="1"/>
  <c r="G6718" i="1"/>
  <c r="K6718" i="1"/>
  <c r="A6719" i="1"/>
  <c r="B6719" i="1"/>
  <c r="C6719" i="1"/>
  <c r="E6719" i="1"/>
  <c r="G6719" i="1"/>
  <c r="K6719" i="1"/>
  <c r="A6720" i="1"/>
  <c r="B6720" i="1"/>
  <c r="C6720" i="1"/>
  <c r="E6720" i="1"/>
  <c r="G6720" i="1"/>
  <c r="K6720" i="1"/>
  <c r="A6721" i="1"/>
  <c r="B6721" i="1"/>
  <c r="C6721" i="1"/>
  <c r="E6721" i="1"/>
  <c r="G6721" i="1"/>
  <c r="K6721" i="1"/>
  <c r="A6722" i="1"/>
  <c r="B6722" i="1"/>
  <c r="C6722" i="1"/>
  <c r="E6722" i="1"/>
  <c r="G6722" i="1"/>
  <c r="K6722" i="1"/>
  <c r="A6723" i="1"/>
  <c r="B6723" i="1"/>
  <c r="C6723" i="1"/>
  <c r="E6723" i="1"/>
  <c r="G6723" i="1"/>
  <c r="K6723" i="1"/>
  <c r="A6724" i="1"/>
  <c r="B6724" i="1"/>
  <c r="C6724" i="1"/>
  <c r="E6724" i="1"/>
  <c r="G6724" i="1"/>
  <c r="K6724" i="1"/>
  <c r="A6725" i="1"/>
  <c r="B6725" i="1"/>
  <c r="C6725" i="1"/>
  <c r="E6725" i="1"/>
  <c r="G6725" i="1"/>
  <c r="K6725" i="1"/>
  <c r="A6726" i="1"/>
  <c r="B6726" i="1"/>
  <c r="C6726" i="1"/>
  <c r="E6726" i="1"/>
  <c r="G6726" i="1"/>
  <c r="K6726" i="1"/>
  <c r="A6727" i="1"/>
  <c r="B6727" i="1"/>
  <c r="C6727" i="1"/>
  <c r="E6727" i="1"/>
  <c r="G6727" i="1"/>
  <c r="K6727" i="1"/>
  <c r="A6728" i="1"/>
  <c r="B6728" i="1"/>
  <c r="C6728" i="1"/>
  <c r="E6728" i="1"/>
  <c r="G6728" i="1"/>
  <c r="K6728" i="1"/>
  <c r="A6729" i="1"/>
  <c r="B6729" i="1"/>
  <c r="C6729" i="1"/>
  <c r="E6729" i="1"/>
  <c r="G6729" i="1"/>
  <c r="K6729" i="1"/>
  <c r="A6730" i="1"/>
  <c r="B6730" i="1"/>
  <c r="C6730" i="1"/>
  <c r="E6730" i="1"/>
  <c r="G6730" i="1"/>
  <c r="K6730" i="1"/>
  <c r="A6731" i="1"/>
  <c r="B6731" i="1"/>
  <c r="C6731" i="1"/>
  <c r="E6731" i="1"/>
  <c r="G6731" i="1"/>
  <c r="K6731" i="1"/>
  <c r="A6732" i="1"/>
  <c r="B6732" i="1"/>
  <c r="C6732" i="1"/>
  <c r="E6732" i="1"/>
  <c r="G6732" i="1"/>
  <c r="K6732" i="1"/>
  <c r="A6733" i="1"/>
  <c r="B6733" i="1"/>
  <c r="C6733" i="1"/>
  <c r="E6733" i="1"/>
  <c r="G6733" i="1"/>
  <c r="K6733" i="1"/>
  <c r="A6734" i="1"/>
  <c r="B6734" i="1"/>
  <c r="C6734" i="1"/>
  <c r="E6734" i="1"/>
  <c r="G6734" i="1"/>
  <c r="K6734" i="1"/>
  <c r="A6735" i="1"/>
  <c r="B6735" i="1"/>
  <c r="C6735" i="1"/>
  <c r="E6735" i="1"/>
  <c r="G6735" i="1"/>
  <c r="K6735" i="1"/>
  <c r="A6736" i="1"/>
  <c r="B6736" i="1"/>
  <c r="C6736" i="1"/>
  <c r="E6736" i="1"/>
  <c r="G6736" i="1"/>
  <c r="K6736" i="1"/>
  <c r="A6737" i="1"/>
  <c r="B6737" i="1"/>
  <c r="C6737" i="1"/>
  <c r="E6737" i="1"/>
  <c r="G6737" i="1"/>
  <c r="K6737" i="1"/>
  <c r="A6738" i="1"/>
  <c r="B6738" i="1"/>
  <c r="C6738" i="1"/>
  <c r="E6738" i="1"/>
  <c r="G6738" i="1"/>
  <c r="K6738" i="1"/>
  <c r="A6739" i="1"/>
  <c r="B6739" i="1"/>
  <c r="C6739" i="1"/>
  <c r="E6739" i="1"/>
  <c r="G6739" i="1"/>
  <c r="K6739" i="1"/>
  <c r="A6740" i="1"/>
  <c r="B6740" i="1"/>
  <c r="C6740" i="1"/>
  <c r="E6740" i="1"/>
  <c r="G6740" i="1"/>
  <c r="K6740" i="1"/>
  <c r="A6741" i="1"/>
  <c r="B6741" i="1"/>
  <c r="C6741" i="1"/>
  <c r="E6741" i="1"/>
  <c r="G6741" i="1"/>
  <c r="K6741" i="1"/>
  <c r="A6742" i="1"/>
  <c r="B6742" i="1"/>
  <c r="C6742" i="1"/>
  <c r="E6742" i="1"/>
  <c r="G6742" i="1"/>
  <c r="K6742" i="1"/>
  <c r="A6743" i="1"/>
  <c r="B6743" i="1"/>
  <c r="C6743" i="1"/>
  <c r="E6743" i="1"/>
  <c r="G6743" i="1"/>
  <c r="K6743" i="1"/>
  <c r="A6744" i="1"/>
  <c r="B6744" i="1"/>
  <c r="C6744" i="1"/>
  <c r="E6744" i="1"/>
  <c r="G6744" i="1"/>
  <c r="K6744" i="1"/>
  <c r="A6745" i="1"/>
  <c r="B6745" i="1"/>
  <c r="C6745" i="1"/>
  <c r="E6745" i="1"/>
  <c r="G6745" i="1"/>
  <c r="K6745" i="1"/>
  <c r="A6746" i="1"/>
  <c r="B6746" i="1"/>
  <c r="C6746" i="1"/>
  <c r="E6746" i="1"/>
  <c r="G6746" i="1"/>
  <c r="K6746" i="1"/>
  <c r="A6747" i="1"/>
  <c r="B6747" i="1"/>
  <c r="C6747" i="1"/>
  <c r="E6747" i="1"/>
  <c r="G6747" i="1"/>
  <c r="K6747" i="1"/>
  <c r="A6748" i="1"/>
  <c r="B6748" i="1"/>
  <c r="C6748" i="1"/>
  <c r="E6748" i="1"/>
  <c r="G6748" i="1"/>
  <c r="K6748" i="1"/>
  <c r="A6749" i="1"/>
  <c r="B6749" i="1"/>
  <c r="C6749" i="1"/>
  <c r="E6749" i="1"/>
  <c r="G6749" i="1"/>
  <c r="K6749" i="1"/>
  <c r="A6750" i="1"/>
  <c r="B6750" i="1"/>
  <c r="C6750" i="1"/>
  <c r="E6750" i="1"/>
  <c r="G6750" i="1"/>
  <c r="K6750" i="1"/>
  <c r="A6751" i="1"/>
  <c r="B6751" i="1"/>
  <c r="C6751" i="1"/>
  <c r="E6751" i="1"/>
  <c r="G6751" i="1"/>
  <c r="K6751" i="1"/>
  <c r="A6752" i="1"/>
  <c r="B6752" i="1"/>
  <c r="C6752" i="1"/>
  <c r="E6752" i="1"/>
  <c r="G6752" i="1"/>
  <c r="K6752" i="1"/>
  <c r="A6753" i="1"/>
  <c r="B6753" i="1"/>
  <c r="C6753" i="1"/>
  <c r="E6753" i="1"/>
  <c r="G6753" i="1"/>
  <c r="K6753" i="1"/>
  <c r="A6754" i="1"/>
  <c r="B6754" i="1"/>
  <c r="C6754" i="1"/>
  <c r="E6754" i="1"/>
  <c r="G6754" i="1"/>
  <c r="K6754" i="1"/>
  <c r="A6755" i="1"/>
  <c r="B6755" i="1"/>
  <c r="C6755" i="1"/>
  <c r="E6755" i="1"/>
  <c r="G6755" i="1"/>
  <c r="K6755" i="1"/>
  <c r="A6756" i="1"/>
  <c r="B6756" i="1"/>
  <c r="C6756" i="1"/>
  <c r="E6756" i="1"/>
  <c r="G6756" i="1"/>
  <c r="K6756" i="1"/>
  <c r="A6757" i="1"/>
  <c r="B6757" i="1"/>
  <c r="C6757" i="1"/>
  <c r="E6757" i="1"/>
  <c r="G6757" i="1"/>
  <c r="K6757" i="1"/>
  <c r="A6758" i="1"/>
  <c r="B6758" i="1"/>
  <c r="C6758" i="1"/>
  <c r="E6758" i="1"/>
  <c r="G6758" i="1"/>
  <c r="K6758" i="1"/>
  <c r="A6759" i="1"/>
  <c r="B6759" i="1"/>
  <c r="C6759" i="1"/>
  <c r="E6759" i="1"/>
  <c r="G6759" i="1"/>
  <c r="K6759" i="1"/>
  <c r="A6760" i="1"/>
  <c r="B6760" i="1"/>
  <c r="C6760" i="1"/>
  <c r="E6760" i="1"/>
  <c r="G6760" i="1"/>
  <c r="K6760" i="1"/>
  <c r="A6761" i="1"/>
  <c r="B6761" i="1"/>
  <c r="C6761" i="1"/>
  <c r="E6761" i="1"/>
  <c r="G6761" i="1"/>
  <c r="K6761" i="1"/>
  <c r="A6762" i="1"/>
  <c r="B6762" i="1"/>
  <c r="C6762" i="1"/>
  <c r="E6762" i="1"/>
  <c r="G6762" i="1"/>
  <c r="K6762" i="1"/>
  <c r="A6763" i="1"/>
  <c r="B6763" i="1"/>
  <c r="C6763" i="1"/>
  <c r="E6763" i="1"/>
  <c r="G6763" i="1"/>
  <c r="K6763" i="1"/>
  <c r="A6764" i="1"/>
  <c r="B6764" i="1"/>
  <c r="C6764" i="1"/>
  <c r="E6764" i="1"/>
  <c r="G6764" i="1"/>
  <c r="K6764" i="1"/>
  <c r="A6765" i="1"/>
  <c r="B6765" i="1"/>
  <c r="C6765" i="1"/>
  <c r="E6765" i="1"/>
  <c r="G6765" i="1"/>
  <c r="K6765" i="1"/>
  <c r="A6766" i="1"/>
  <c r="B6766" i="1"/>
  <c r="C6766" i="1"/>
  <c r="E6766" i="1"/>
  <c r="G6766" i="1"/>
  <c r="K6766" i="1"/>
  <c r="A6767" i="1"/>
  <c r="B6767" i="1"/>
  <c r="C6767" i="1"/>
  <c r="E6767" i="1"/>
  <c r="G6767" i="1"/>
  <c r="K6767" i="1"/>
  <c r="A6768" i="1"/>
  <c r="B6768" i="1"/>
  <c r="C6768" i="1"/>
  <c r="E6768" i="1"/>
  <c r="G6768" i="1"/>
  <c r="K6768" i="1"/>
  <c r="A6769" i="1"/>
  <c r="B6769" i="1"/>
  <c r="C6769" i="1"/>
  <c r="E6769" i="1"/>
  <c r="G6769" i="1"/>
  <c r="K6769" i="1"/>
  <c r="A6770" i="1"/>
  <c r="B6770" i="1"/>
  <c r="C6770" i="1"/>
  <c r="E6770" i="1"/>
  <c r="G6770" i="1"/>
  <c r="K6770" i="1"/>
  <c r="A6771" i="1"/>
  <c r="B6771" i="1"/>
  <c r="C6771" i="1"/>
  <c r="E6771" i="1"/>
  <c r="G6771" i="1"/>
  <c r="K6771" i="1"/>
  <c r="A6772" i="1"/>
  <c r="B6772" i="1"/>
  <c r="C6772" i="1"/>
  <c r="E6772" i="1"/>
  <c r="G6772" i="1"/>
  <c r="K6772" i="1"/>
  <c r="A6773" i="1"/>
  <c r="B6773" i="1"/>
  <c r="C6773" i="1"/>
  <c r="E6773" i="1"/>
  <c r="G6773" i="1"/>
  <c r="K6773" i="1"/>
  <c r="A6774" i="1"/>
  <c r="B6774" i="1"/>
  <c r="C6774" i="1"/>
  <c r="E6774" i="1"/>
  <c r="G6774" i="1"/>
  <c r="K6774" i="1"/>
  <c r="A6775" i="1"/>
  <c r="B6775" i="1"/>
  <c r="C6775" i="1"/>
  <c r="E6775" i="1"/>
  <c r="G6775" i="1"/>
  <c r="K6775" i="1"/>
  <c r="A6776" i="1"/>
  <c r="B6776" i="1"/>
  <c r="C6776" i="1"/>
  <c r="E6776" i="1"/>
  <c r="G6776" i="1"/>
  <c r="K6776" i="1"/>
  <c r="A6777" i="1"/>
  <c r="B6777" i="1"/>
  <c r="C6777" i="1"/>
  <c r="E6777" i="1"/>
  <c r="G6777" i="1"/>
  <c r="K6777" i="1"/>
  <c r="A6778" i="1"/>
  <c r="B6778" i="1"/>
  <c r="C6778" i="1"/>
  <c r="E6778" i="1"/>
  <c r="G6778" i="1"/>
  <c r="K6778" i="1"/>
  <c r="A6779" i="1"/>
  <c r="B6779" i="1"/>
  <c r="C6779" i="1"/>
  <c r="E6779" i="1"/>
  <c r="G6779" i="1"/>
  <c r="K6779" i="1"/>
  <c r="A6780" i="1"/>
  <c r="B6780" i="1"/>
  <c r="C6780" i="1"/>
  <c r="E6780" i="1"/>
  <c r="G6780" i="1"/>
  <c r="K6780" i="1"/>
  <c r="A6781" i="1"/>
  <c r="B6781" i="1"/>
  <c r="C6781" i="1"/>
  <c r="E6781" i="1"/>
  <c r="G6781" i="1"/>
  <c r="K6781" i="1"/>
  <c r="A6782" i="1"/>
  <c r="B6782" i="1"/>
  <c r="C6782" i="1"/>
  <c r="E6782" i="1"/>
  <c r="G6782" i="1"/>
  <c r="K6782" i="1"/>
  <c r="A6783" i="1"/>
  <c r="B6783" i="1"/>
  <c r="C6783" i="1"/>
  <c r="E6783" i="1"/>
  <c r="G6783" i="1"/>
  <c r="K6783" i="1"/>
  <c r="A6784" i="1"/>
  <c r="B6784" i="1"/>
  <c r="C6784" i="1"/>
  <c r="E6784" i="1"/>
  <c r="G6784" i="1"/>
  <c r="K6784" i="1"/>
  <c r="A6785" i="1"/>
  <c r="B6785" i="1"/>
  <c r="C6785" i="1"/>
  <c r="E6785" i="1"/>
  <c r="G6785" i="1"/>
  <c r="K6785" i="1"/>
  <c r="A6786" i="1"/>
  <c r="B6786" i="1"/>
  <c r="C6786" i="1"/>
  <c r="E6786" i="1"/>
  <c r="G6786" i="1"/>
  <c r="K6786" i="1"/>
  <c r="A6787" i="1"/>
  <c r="B6787" i="1"/>
  <c r="C6787" i="1"/>
  <c r="E6787" i="1"/>
  <c r="G6787" i="1"/>
  <c r="K6787" i="1"/>
  <c r="A6788" i="1"/>
  <c r="B6788" i="1"/>
  <c r="C6788" i="1"/>
  <c r="E6788" i="1"/>
  <c r="G6788" i="1"/>
  <c r="K6788" i="1"/>
  <c r="A6789" i="1"/>
  <c r="B6789" i="1"/>
  <c r="C6789" i="1"/>
  <c r="E6789" i="1"/>
  <c r="G6789" i="1"/>
  <c r="K6789" i="1"/>
  <c r="A6790" i="1"/>
  <c r="B6790" i="1"/>
  <c r="C6790" i="1"/>
  <c r="E6790" i="1"/>
  <c r="G6790" i="1"/>
  <c r="K6790" i="1"/>
  <c r="A6791" i="1"/>
  <c r="B6791" i="1"/>
  <c r="C6791" i="1"/>
  <c r="E6791" i="1"/>
  <c r="G6791" i="1"/>
  <c r="K6791" i="1"/>
  <c r="A6792" i="1"/>
  <c r="B6792" i="1"/>
  <c r="C6792" i="1"/>
  <c r="E6792" i="1"/>
  <c r="G6792" i="1"/>
  <c r="K6792" i="1"/>
  <c r="A6793" i="1"/>
  <c r="B6793" i="1"/>
  <c r="C6793" i="1"/>
  <c r="E6793" i="1"/>
  <c r="G6793" i="1"/>
  <c r="K6793" i="1"/>
  <c r="A6794" i="1"/>
  <c r="B6794" i="1"/>
  <c r="C6794" i="1"/>
  <c r="E6794" i="1"/>
  <c r="G6794" i="1"/>
  <c r="K6794" i="1"/>
  <c r="A6795" i="1"/>
  <c r="B6795" i="1"/>
  <c r="C6795" i="1"/>
  <c r="E6795" i="1"/>
  <c r="G6795" i="1"/>
  <c r="K6795" i="1"/>
  <c r="A6796" i="1"/>
  <c r="B6796" i="1"/>
  <c r="C6796" i="1"/>
  <c r="E6796" i="1"/>
  <c r="G6796" i="1"/>
  <c r="K6796" i="1"/>
  <c r="A6797" i="1"/>
  <c r="B6797" i="1"/>
  <c r="C6797" i="1"/>
  <c r="E6797" i="1"/>
  <c r="G6797" i="1"/>
  <c r="K6797" i="1"/>
  <c r="A6798" i="1"/>
  <c r="B6798" i="1"/>
  <c r="C6798" i="1"/>
  <c r="E6798" i="1"/>
  <c r="G6798" i="1"/>
  <c r="K6798" i="1"/>
  <c r="A6799" i="1"/>
  <c r="B6799" i="1"/>
  <c r="C6799" i="1"/>
  <c r="E6799" i="1"/>
  <c r="G6799" i="1"/>
  <c r="K6799" i="1"/>
  <c r="A6800" i="1"/>
  <c r="B6800" i="1"/>
  <c r="C6800" i="1"/>
  <c r="E6800" i="1"/>
  <c r="G6800" i="1"/>
  <c r="K6800" i="1"/>
  <c r="A6801" i="1"/>
  <c r="B6801" i="1"/>
  <c r="C6801" i="1"/>
  <c r="E6801" i="1"/>
  <c r="G6801" i="1"/>
  <c r="K6801" i="1"/>
  <c r="A6802" i="1"/>
  <c r="B6802" i="1"/>
  <c r="C6802" i="1"/>
  <c r="E6802" i="1"/>
  <c r="G6802" i="1"/>
  <c r="K6802" i="1"/>
  <c r="A6803" i="1"/>
  <c r="B6803" i="1"/>
  <c r="C6803" i="1"/>
  <c r="E6803" i="1"/>
  <c r="G6803" i="1"/>
  <c r="K6803" i="1"/>
  <c r="A6804" i="1"/>
  <c r="B6804" i="1"/>
  <c r="C6804" i="1"/>
  <c r="E6804" i="1"/>
  <c r="G6804" i="1"/>
  <c r="K6804" i="1"/>
  <c r="A6805" i="1"/>
  <c r="B6805" i="1"/>
  <c r="C6805" i="1"/>
  <c r="E6805" i="1"/>
  <c r="G6805" i="1"/>
  <c r="K6805" i="1"/>
  <c r="A6806" i="1"/>
  <c r="B6806" i="1"/>
  <c r="C6806" i="1"/>
  <c r="E6806" i="1"/>
  <c r="G6806" i="1"/>
  <c r="K6806" i="1"/>
  <c r="A6807" i="1"/>
  <c r="B6807" i="1"/>
  <c r="C6807" i="1"/>
  <c r="E6807" i="1"/>
  <c r="G6807" i="1"/>
  <c r="K6807" i="1"/>
  <c r="A6808" i="1"/>
  <c r="B6808" i="1"/>
  <c r="C6808" i="1"/>
  <c r="E6808" i="1"/>
  <c r="G6808" i="1"/>
  <c r="K6808" i="1"/>
  <c r="A6809" i="1"/>
  <c r="B6809" i="1"/>
  <c r="C6809" i="1"/>
  <c r="E6809" i="1"/>
  <c r="G6809" i="1"/>
  <c r="K6809" i="1"/>
  <c r="A6810" i="1"/>
  <c r="B6810" i="1"/>
  <c r="C6810" i="1"/>
  <c r="E6810" i="1"/>
  <c r="G6810" i="1"/>
  <c r="K6810" i="1"/>
  <c r="A6811" i="1"/>
  <c r="B6811" i="1"/>
  <c r="C6811" i="1"/>
  <c r="E6811" i="1"/>
  <c r="G6811" i="1"/>
  <c r="K6811" i="1"/>
  <c r="A6812" i="1"/>
  <c r="B6812" i="1"/>
  <c r="C6812" i="1"/>
  <c r="E6812" i="1"/>
  <c r="G6812" i="1"/>
  <c r="K6812" i="1"/>
  <c r="A6813" i="1"/>
  <c r="B6813" i="1"/>
  <c r="C6813" i="1"/>
  <c r="E6813" i="1"/>
  <c r="G6813" i="1"/>
  <c r="K6813" i="1"/>
  <c r="A6814" i="1"/>
  <c r="B6814" i="1"/>
  <c r="C6814" i="1"/>
  <c r="E6814" i="1"/>
  <c r="G6814" i="1"/>
  <c r="K6814" i="1"/>
  <c r="A6815" i="1"/>
  <c r="B6815" i="1"/>
  <c r="C6815" i="1"/>
  <c r="E6815" i="1"/>
  <c r="G6815" i="1"/>
  <c r="K6815" i="1"/>
  <c r="A6816" i="1"/>
  <c r="B6816" i="1"/>
  <c r="C6816" i="1"/>
  <c r="E6816" i="1"/>
  <c r="G6816" i="1"/>
  <c r="K6816" i="1"/>
  <c r="A6817" i="1"/>
  <c r="B6817" i="1"/>
  <c r="C6817" i="1"/>
  <c r="E6817" i="1"/>
  <c r="G6817" i="1"/>
  <c r="K6817" i="1"/>
  <c r="A6818" i="1"/>
  <c r="B6818" i="1"/>
  <c r="C6818" i="1"/>
  <c r="E6818" i="1"/>
  <c r="G6818" i="1"/>
  <c r="K6818" i="1"/>
  <c r="A6819" i="1"/>
  <c r="B6819" i="1"/>
  <c r="C6819" i="1"/>
  <c r="E6819" i="1"/>
  <c r="G6819" i="1"/>
  <c r="K6819" i="1"/>
  <c r="A6820" i="1"/>
  <c r="B6820" i="1"/>
  <c r="C6820" i="1"/>
  <c r="E6820" i="1"/>
  <c r="G6820" i="1"/>
  <c r="K6820" i="1"/>
  <c r="A6821" i="1"/>
  <c r="B6821" i="1"/>
  <c r="C6821" i="1"/>
  <c r="E6821" i="1"/>
  <c r="G6821" i="1"/>
  <c r="K6821" i="1"/>
  <c r="A6822" i="1"/>
  <c r="B6822" i="1"/>
  <c r="C6822" i="1"/>
  <c r="E6822" i="1"/>
  <c r="G6822" i="1"/>
  <c r="K6822" i="1"/>
  <c r="A6823" i="1"/>
  <c r="B6823" i="1"/>
  <c r="C6823" i="1"/>
  <c r="E6823" i="1"/>
  <c r="G6823" i="1"/>
  <c r="K6823" i="1"/>
  <c r="A6824" i="1"/>
  <c r="B6824" i="1"/>
  <c r="C6824" i="1"/>
  <c r="E6824" i="1"/>
  <c r="G6824" i="1"/>
  <c r="K6824" i="1"/>
  <c r="A6825" i="1"/>
  <c r="B6825" i="1"/>
  <c r="C6825" i="1"/>
  <c r="E6825" i="1"/>
  <c r="G6825" i="1"/>
  <c r="K6825" i="1"/>
  <c r="A6826" i="1"/>
  <c r="B6826" i="1"/>
  <c r="C6826" i="1"/>
  <c r="E6826" i="1"/>
  <c r="G6826" i="1"/>
  <c r="K6826" i="1"/>
  <c r="A6827" i="1"/>
  <c r="B6827" i="1"/>
  <c r="C6827" i="1"/>
  <c r="E6827" i="1"/>
  <c r="G6827" i="1"/>
  <c r="K6827" i="1"/>
  <c r="A6828" i="1"/>
  <c r="B6828" i="1"/>
  <c r="C6828" i="1"/>
  <c r="E6828" i="1"/>
  <c r="G6828" i="1"/>
  <c r="K6828" i="1"/>
  <c r="A6829" i="1"/>
  <c r="B6829" i="1"/>
  <c r="C6829" i="1"/>
  <c r="E6829" i="1"/>
  <c r="G6829" i="1"/>
  <c r="K6829" i="1"/>
  <c r="A6830" i="1"/>
  <c r="B6830" i="1"/>
  <c r="C6830" i="1"/>
  <c r="E6830" i="1"/>
  <c r="G6830" i="1"/>
  <c r="K6830" i="1"/>
  <c r="A6831" i="1"/>
  <c r="B6831" i="1"/>
  <c r="C6831" i="1"/>
  <c r="E6831" i="1"/>
  <c r="G6831" i="1"/>
  <c r="K6831" i="1"/>
  <c r="A6832" i="1"/>
  <c r="B6832" i="1"/>
  <c r="C6832" i="1"/>
  <c r="E6832" i="1"/>
  <c r="G6832" i="1"/>
  <c r="K6832" i="1"/>
  <c r="A6833" i="1"/>
  <c r="B6833" i="1"/>
  <c r="C6833" i="1"/>
  <c r="E6833" i="1"/>
  <c r="G6833" i="1"/>
  <c r="K6833" i="1"/>
  <c r="A6834" i="1"/>
  <c r="B6834" i="1"/>
  <c r="C6834" i="1"/>
  <c r="E6834" i="1"/>
  <c r="G6834" i="1"/>
  <c r="K6834" i="1"/>
  <c r="A6835" i="1"/>
  <c r="B6835" i="1"/>
  <c r="C6835" i="1"/>
  <c r="E6835" i="1"/>
  <c r="G6835" i="1"/>
  <c r="K6835" i="1"/>
  <c r="A6836" i="1"/>
  <c r="B6836" i="1"/>
  <c r="C6836" i="1"/>
  <c r="E6836" i="1"/>
  <c r="G6836" i="1"/>
  <c r="K6836" i="1"/>
  <c r="A6837" i="1"/>
  <c r="B6837" i="1"/>
  <c r="C6837" i="1"/>
  <c r="E6837" i="1"/>
  <c r="G6837" i="1"/>
  <c r="K6837" i="1"/>
  <c r="A6838" i="1"/>
  <c r="B6838" i="1"/>
  <c r="C6838" i="1"/>
  <c r="E6838" i="1"/>
  <c r="G6838" i="1"/>
  <c r="K6838" i="1"/>
  <c r="A6839" i="1"/>
  <c r="B6839" i="1"/>
  <c r="C6839" i="1"/>
  <c r="E6839" i="1"/>
  <c r="G6839" i="1"/>
  <c r="K6839" i="1"/>
  <c r="A6840" i="1"/>
  <c r="B6840" i="1"/>
  <c r="C6840" i="1"/>
  <c r="E6840" i="1"/>
  <c r="G6840" i="1"/>
  <c r="K6840" i="1"/>
  <c r="A6841" i="1"/>
  <c r="B6841" i="1"/>
  <c r="C6841" i="1"/>
  <c r="E6841" i="1"/>
  <c r="G6841" i="1"/>
  <c r="K6841" i="1"/>
  <c r="A6842" i="1"/>
  <c r="B6842" i="1"/>
  <c r="C6842" i="1"/>
  <c r="E6842" i="1"/>
  <c r="G6842" i="1"/>
  <c r="K6842" i="1"/>
  <c r="A6843" i="1"/>
  <c r="B6843" i="1"/>
  <c r="C6843" i="1"/>
  <c r="E6843" i="1"/>
  <c r="G6843" i="1"/>
  <c r="K6843" i="1"/>
  <c r="A6844" i="1"/>
  <c r="B6844" i="1"/>
  <c r="C6844" i="1"/>
  <c r="E6844" i="1"/>
  <c r="G6844" i="1"/>
  <c r="K6844" i="1"/>
  <c r="A6845" i="1"/>
  <c r="B6845" i="1"/>
  <c r="C6845" i="1"/>
  <c r="E6845" i="1"/>
  <c r="G6845" i="1"/>
  <c r="K6845" i="1"/>
  <c r="A6846" i="1"/>
  <c r="B6846" i="1"/>
  <c r="C6846" i="1"/>
  <c r="E6846" i="1"/>
  <c r="G6846" i="1"/>
  <c r="K6846" i="1"/>
  <c r="A6847" i="1"/>
  <c r="B6847" i="1"/>
  <c r="C6847" i="1"/>
  <c r="E6847" i="1"/>
  <c r="G6847" i="1"/>
  <c r="K6847" i="1"/>
  <c r="A6848" i="1"/>
  <c r="B6848" i="1"/>
  <c r="C6848" i="1"/>
  <c r="E6848" i="1"/>
  <c r="G6848" i="1"/>
  <c r="K6848" i="1"/>
  <c r="A6849" i="1"/>
  <c r="B6849" i="1"/>
  <c r="C6849" i="1"/>
  <c r="E6849" i="1"/>
  <c r="G6849" i="1"/>
  <c r="K6849" i="1"/>
  <c r="A6850" i="1"/>
  <c r="B6850" i="1"/>
  <c r="C6850" i="1"/>
  <c r="E6850" i="1"/>
  <c r="G6850" i="1"/>
  <c r="K6850" i="1"/>
  <c r="A6851" i="1"/>
  <c r="B6851" i="1"/>
  <c r="C6851" i="1"/>
  <c r="E6851" i="1"/>
  <c r="G6851" i="1"/>
  <c r="K6851" i="1"/>
  <c r="A6852" i="1"/>
  <c r="B6852" i="1"/>
  <c r="C6852" i="1"/>
  <c r="E6852" i="1"/>
  <c r="G6852" i="1"/>
  <c r="K6852" i="1"/>
  <c r="A6853" i="1"/>
  <c r="B6853" i="1"/>
  <c r="C6853" i="1"/>
  <c r="E6853" i="1"/>
  <c r="G6853" i="1"/>
  <c r="K6853" i="1"/>
  <c r="A6854" i="1"/>
  <c r="B6854" i="1"/>
  <c r="C6854" i="1"/>
  <c r="E6854" i="1"/>
  <c r="G6854" i="1"/>
  <c r="K6854" i="1"/>
  <c r="A6855" i="1"/>
  <c r="B6855" i="1"/>
  <c r="C6855" i="1"/>
  <c r="E6855" i="1"/>
  <c r="G6855" i="1"/>
  <c r="K6855" i="1"/>
  <c r="A6856" i="1"/>
  <c r="B6856" i="1"/>
  <c r="C6856" i="1"/>
  <c r="E6856" i="1"/>
  <c r="G6856" i="1"/>
  <c r="K6856" i="1"/>
  <c r="A6857" i="1"/>
  <c r="B6857" i="1"/>
  <c r="C6857" i="1"/>
  <c r="E6857" i="1"/>
  <c r="G6857" i="1"/>
  <c r="K6857" i="1"/>
  <c r="A6858" i="1"/>
  <c r="B6858" i="1"/>
  <c r="C6858" i="1"/>
  <c r="E6858" i="1"/>
  <c r="G6858" i="1"/>
  <c r="K6858" i="1"/>
  <c r="A6859" i="1"/>
  <c r="B6859" i="1"/>
  <c r="C6859" i="1"/>
  <c r="E6859" i="1"/>
  <c r="G6859" i="1"/>
  <c r="K6859" i="1"/>
  <c r="A6860" i="1"/>
  <c r="B6860" i="1"/>
  <c r="C6860" i="1"/>
  <c r="E6860" i="1"/>
  <c r="G6860" i="1"/>
  <c r="K6860" i="1"/>
  <c r="A6861" i="1"/>
  <c r="B6861" i="1"/>
  <c r="C6861" i="1"/>
  <c r="E6861" i="1"/>
  <c r="G6861" i="1"/>
  <c r="K6861" i="1"/>
  <c r="A6862" i="1"/>
  <c r="B6862" i="1"/>
  <c r="C6862" i="1"/>
  <c r="E6862" i="1"/>
  <c r="G6862" i="1"/>
  <c r="K6862" i="1"/>
  <c r="A6863" i="1"/>
  <c r="B6863" i="1"/>
  <c r="C6863" i="1"/>
  <c r="E6863" i="1"/>
  <c r="G6863" i="1"/>
  <c r="K6863" i="1"/>
  <c r="A6864" i="1"/>
  <c r="B6864" i="1"/>
  <c r="C6864" i="1"/>
  <c r="E6864" i="1"/>
  <c r="G6864" i="1"/>
  <c r="K6864" i="1"/>
  <c r="A6865" i="1"/>
  <c r="B6865" i="1"/>
  <c r="C6865" i="1"/>
  <c r="E6865" i="1"/>
  <c r="G6865" i="1"/>
  <c r="K6865" i="1"/>
  <c r="A6866" i="1"/>
  <c r="B6866" i="1"/>
  <c r="C6866" i="1"/>
  <c r="E6866" i="1"/>
  <c r="G6866" i="1"/>
  <c r="K6866" i="1"/>
  <c r="A6867" i="1"/>
  <c r="B6867" i="1"/>
  <c r="C6867" i="1"/>
  <c r="E6867" i="1"/>
  <c r="G6867" i="1"/>
  <c r="K6867" i="1"/>
  <c r="A6868" i="1"/>
  <c r="B6868" i="1"/>
  <c r="C6868" i="1"/>
  <c r="E6868" i="1"/>
  <c r="G6868" i="1"/>
  <c r="K6868" i="1"/>
  <c r="A6869" i="1"/>
  <c r="B6869" i="1"/>
  <c r="C6869" i="1"/>
  <c r="E6869" i="1"/>
  <c r="G6869" i="1"/>
  <c r="K6869" i="1"/>
  <c r="A6870" i="1"/>
  <c r="B6870" i="1"/>
  <c r="C6870" i="1"/>
  <c r="E6870" i="1"/>
  <c r="G6870" i="1"/>
  <c r="K6870" i="1"/>
  <c r="A6871" i="1"/>
  <c r="B6871" i="1"/>
  <c r="C6871" i="1"/>
  <c r="E6871" i="1"/>
  <c r="G6871" i="1"/>
  <c r="K6871" i="1"/>
  <c r="A6872" i="1"/>
  <c r="B6872" i="1"/>
  <c r="C6872" i="1"/>
  <c r="E6872" i="1"/>
  <c r="G6872" i="1"/>
  <c r="K6872" i="1"/>
  <c r="A6873" i="1"/>
  <c r="B6873" i="1"/>
  <c r="C6873" i="1"/>
  <c r="E6873" i="1"/>
  <c r="G6873" i="1"/>
  <c r="K6873" i="1"/>
  <c r="A6874" i="1"/>
  <c r="B6874" i="1"/>
  <c r="C6874" i="1"/>
  <c r="E6874" i="1"/>
  <c r="G6874" i="1"/>
  <c r="K6874" i="1"/>
  <c r="A6875" i="1"/>
  <c r="B6875" i="1"/>
  <c r="C6875" i="1"/>
  <c r="E6875" i="1"/>
  <c r="G6875" i="1"/>
  <c r="K6875" i="1"/>
  <c r="A6876" i="1"/>
  <c r="B6876" i="1"/>
  <c r="C6876" i="1"/>
  <c r="E6876" i="1"/>
  <c r="G6876" i="1"/>
  <c r="K6876" i="1"/>
  <c r="A6877" i="1"/>
  <c r="B6877" i="1"/>
  <c r="C6877" i="1"/>
  <c r="E6877" i="1"/>
  <c r="G6877" i="1"/>
  <c r="K6877" i="1"/>
  <c r="A6878" i="1"/>
  <c r="B6878" i="1"/>
  <c r="C6878" i="1"/>
  <c r="E6878" i="1"/>
  <c r="G6878" i="1"/>
  <c r="K6878" i="1"/>
  <c r="A6879" i="1"/>
  <c r="B6879" i="1"/>
  <c r="C6879" i="1"/>
  <c r="E6879" i="1"/>
  <c r="G6879" i="1"/>
  <c r="K6879" i="1"/>
  <c r="A6880" i="1"/>
  <c r="B6880" i="1"/>
  <c r="C6880" i="1"/>
  <c r="E6880" i="1"/>
  <c r="G6880" i="1"/>
  <c r="K6880" i="1"/>
  <c r="A6881" i="1"/>
  <c r="B6881" i="1"/>
  <c r="C6881" i="1"/>
  <c r="E6881" i="1"/>
  <c r="G6881" i="1"/>
  <c r="K6881" i="1"/>
  <c r="A6882" i="1"/>
  <c r="B6882" i="1"/>
  <c r="C6882" i="1"/>
  <c r="E6882" i="1"/>
  <c r="G6882" i="1"/>
  <c r="K6882" i="1"/>
  <c r="A6883" i="1"/>
  <c r="B6883" i="1"/>
  <c r="C6883" i="1"/>
  <c r="E6883" i="1"/>
  <c r="G6883" i="1"/>
  <c r="K6883" i="1"/>
  <c r="A6884" i="1"/>
  <c r="B6884" i="1"/>
  <c r="C6884" i="1"/>
  <c r="E6884" i="1"/>
  <c r="G6884" i="1"/>
  <c r="K6884" i="1"/>
  <c r="A6885" i="1"/>
  <c r="B6885" i="1"/>
  <c r="C6885" i="1"/>
  <c r="E6885" i="1"/>
  <c r="G6885" i="1"/>
  <c r="K6885" i="1"/>
  <c r="A6886" i="1"/>
  <c r="B6886" i="1"/>
  <c r="C6886" i="1"/>
  <c r="E6886" i="1"/>
  <c r="G6886" i="1"/>
  <c r="K6886" i="1"/>
  <c r="A6887" i="1"/>
  <c r="B6887" i="1"/>
  <c r="C6887" i="1"/>
  <c r="E6887" i="1"/>
  <c r="G6887" i="1"/>
  <c r="K6887" i="1"/>
  <c r="A6888" i="1"/>
  <c r="B6888" i="1"/>
  <c r="C6888" i="1"/>
  <c r="E6888" i="1"/>
  <c r="G6888" i="1"/>
  <c r="K6888" i="1"/>
  <c r="A6889" i="1"/>
  <c r="B6889" i="1"/>
  <c r="C6889" i="1"/>
  <c r="E6889" i="1"/>
  <c r="G6889" i="1"/>
  <c r="K6889" i="1"/>
  <c r="A6890" i="1"/>
  <c r="B6890" i="1"/>
  <c r="C6890" i="1"/>
  <c r="E6890" i="1"/>
  <c r="G6890" i="1"/>
  <c r="K6890" i="1"/>
  <c r="A6891" i="1"/>
  <c r="B6891" i="1"/>
  <c r="C6891" i="1"/>
  <c r="E6891" i="1"/>
  <c r="G6891" i="1"/>
  <c r="K6891" i="1"/>
  <c r="A6892" i="1"/>
  <c r="B6892" i="1"/>
  <c r="C6892" i="1"/>
  <c r="E6892" i="1"/>
  <c r="G6892" i="1"/>
  <c r="K6892" i="1"/>
  <c r="A6893" i="1"/>
  <c r="B6893" i="1"/>
  <c r="C6893" i="1"/>
  <c r="E6893" i="1"/>
  <c r="G6893" i="1"/>
  <c r="K6893" i="1"/>
  <c r="A6894" i="1"/>
  <c r="B6894" i="1"/>
  <c r="C6894" i="1"/>
  <c r="E6894" i="1"/>
  <c r="G6894" i="1"/>
  <c r="K6894" i="1"/>
  <c r="A6895" i="1"/>
  <c r="B6895" i="1"/>
  <c r="C6895" i="1"/>
  <c r="E6895" i="1"/>
  <c r="G6895" i="1"/>
  <c r="K6895" i="1"/>
  <c r="A6896" i="1"/>
  <c r="B6896" i="1"/>
  <c r="C6896" i="1"/>
  <c r="E6896" i="1"/>
  <c r="G6896" i="1"/>
  <c r="K6896" i="1"/>
  <c r="A6897" i="1"/>
  <c r="B6897" i="1"/>
  <c r="C6897" i="1"/>
  <c r="E6897" i="1"/>
  <c r="G6897" i="1"/>
  <c r="K6897" i="1"/>
  <c r="A6898" i="1"/>
  <c r="B6898" i="1"/>
  <c r="C6898" i="1"/>
  <c r="E6898" i="1"/>
  <c r="G6898" i="1"/>
  <c r="K6898" i="1"/>
  <c r="A6899" i="1"/>
  <c r="B6899" i="1"/>
  <c r="C6899" i="1"/>
  <c r="E6899" i="1"/>
  <c r="G6899" i="1"/>
  <c r="K6899" i="1"/>
  <c r="A6900" i="1"/>
  <c r="B6900" i="1"/>
  <c r="C6900" i="1"/>
  <c r="E6900" i="1"/>
  <c r="G6900" i="1"/>
  <c r="K6900" i="1"/>
  <c r="A6901" i="1"/>
  <c r="B6901" i="1"/>
  <c r="C6901" i="1"/>
  <c r="E6901" i="1"/>
  <c r="G6901" i="1"/>
  <c r="K6901" i="1"/>
  <c r="A6902" i="1"/>
  <c r="B6902" i="1"/>
  <c r="C6902" i="1"/>
  <c r="E6902" i="1"/>
  <c r="G6902" i="1"/>
  <c r="K6902" i="1"/>
  <c r="A6903" i="1"/>
  <c r="B6903" i="1"/>
  <c r="C6903" i="1"/>
  <c r="E6903" i="1"/>
  <c r="G6903" i="1"/>
  <c r="K6903" i="1"/>
  <c r="A6904" i="1"/>
  <c r="B6904" i="1"/>
  <c r="C6904" i="1"/>
  <c r="E6904" i="1"/>
  <c r="G6904" i="1"/>
  <c r="K6904" i="1"/>
  <c r="A6905" i="1"/>
  <c r="B6905" i="1"/>
  <c r="C6905" i="1"/>
  <c r="E6905" i="1"/>
  <c r="G6905" i="1"/>
  <c r="K6905" i="1"/>
  <c r="A6906" i="1"/>
  <c r="B6906" i="1"/>
  <c r="C6906" i="1"/>
  <c r="E6906" i="1"/>
  <c r="G6906" i="1"/>
  <c r="K6906" i="1"/>
  <c r="A6907" i="1"/>
  <c r="B6907" i="1"/>
  <c r="C6907" i="1"/>
  <c r="E6907" i="1"/>
  <c r="G6907" i="1"/>
  <c r="K6907" i="1"/>
  <c r="A6908" i="1"/>
  <c r="B6908" i="1"/>
  <c r="C6908" i="1"/>
  <c r="E6908" i="1"/>
  <c r="G6908" i="1"/>
  <c r="K6908" i="1"/>
  <c r="A6909" i="1"/>
  <c r="B6909" i="1"/>
  <c r="C6909" i="1"/>
  <c r="E6909" i="1"/>
  <c r="G6909" i="1"/>
  <c r="K6909" i="1"/>
  <c r="A6910" i="1"/>
  <c r="B6910" i="1"/>
  <c r="C6910" i="1"/>
  <c r="E6910" i="1"/>
  <c r="G6910" i="1"/>
  <c r="K6910" i="1"/>
  <c r="A6911" i="1"/>
  <c r="B6911" i="1"/>
  <c r="C6911" i="1"/>
  <c r="E6911" i="1"/>
  <c r="G6911" i="1"/>
  <c r="K6911" i="1"/>
  <c r="A6912" i="1"/>
  <c r="B6912" i="1"/>
  <c r="C6912" i="1"/>
  <c r="E6912" i="1"/>
  <c r="G6912" i="1"/>
  <c r="K6912" i="1"/>
  <c r="A6913" i="1"/>
  <c r="B6913" i="1"/>
  <c r="C6913" i="1"/>
  <c r="E6913" i="1"/>
  <c r="G6913" i="1"/>
  <c r="K6913" i="1"/>
  <c r="A6914" i="1"/>
  <c r="B6914" i="1"/>
  <c r="C6914" i="1"/>
  <c r="E6914" i="1"/>
  <c r="G6914" i="1"/>
  <c r="K6914" i="1"/>
  <c r="A6915" i="1"/>
  <c r="B6915" i="1"/>
  <c r="C6915" i="1"/>
  <c r="E6915" i="1"/>
  <c r="G6915" i="1"/>
  <c r="K6915" i="1"/>
  <c r="A6916" i="1"/>
  <c r="B6916" i="1"/>
  <c r="C6916" i="1"/>
  <c r="E6916" i="1"/>
  <c r="G6916" i="1"/>
  <c r="K6916" i="1"/>
  <c r="A6917" i="1"/>
  <c r="B6917" i="1"/>
  <c r="C6917" i="1"/>
  <c r="E6917" i="1"/>
  <c r="G6917" i="1"/>
  <c r="K6917" i="1"/>
  <c r="A6918" i="1"/>
  <c r="B6918" i="1"/>
  <c r="C6918" i="1"/>
  <c r="E6918" i="1"/>
  <c r="G6918" i="1"/>
  <c r="K6918" i="1"/>
  <c r="A6919" i="1"/>
  <c r="B6919" i="1"/>
  <c r="C6919" i="1"/>
  <c r="E6919" i="1"/>
  <c r="G6919" i="1"/>
  <c r="K6919" i="1"/>
  <c r="A6920" i="1"/>
  <c r="B6920" i="1"/>
  <c r="C6920" i="1"/>
  <c r="E6920" i="1"/>
  <c r="G6920" i="1"/>
  <c r="K6920" i="1"/>
  <c r="A6921" i="1"/>
  <c r="B6921" i="1"/>
  <c r="C6921" i="1"/>
  <c r="E6921" i="1"/>
  <c r="G6921" i="1"/>
  <c r="K6921" i="1"/>
  <c r="A6922" i="1"/>
  <c r="B6922" i="1"/>
  <c r="C6922" i="1"/>
  <c r="E6922" i="1"/>
  <c r="G6922" i="1"/>
  <c r="K6922" i="1"/>
  <c r="A6923" i="1"/>
  <c r="B6923" i="1"/>
  <c r="C6923" i="1"/>
  <c r="E6923" i="1"/>
  <c r="G6923" i="1"/>
  <c r="K6923" i="1"/>
  <c r="A6924" i="1"/>
  <c r="B6924" i="1"/>
  <c r="C6924" i="1"/>
  <c r="E6924" i="1"/>
  <c r="G6924" i="1"/>
  <c r="K6924" i="1"/>
  <c r="A6925" i="1"/>
  <c r="B6925" i="1"/>
  <c r="C6925" i="1"/>
  <c r="E6925" i="1"/>
  <c r="G6925" i="1"/>
  <c r="K6925" i="1"/>
  <c r="A6926" i="1"/>
  <c r="B6926" i="1"/>
  <c r="C6926" i="1"/>
  <c r="E6926" i="1"/>
  <c r="G6926" i="1"/>
  <c r="K6926" i="1"/>
  <c r="A6927" i="1"/>
  <c r="B6927" i="1"/>
  <c r="C6927" i="1"/>
  <c r="E6927" i="1"/>
  <c r="G6927" i="1"/>
  <c r="K6927" i="1"/>
  <c r="A6928" i="1"/>
  <c r="B6928" i="1"/>
  <c r="C6928" i="1"/>
  <c r="E6928" i="1"/>
  <c r="G6928" i="1"/>
  <c r="K6928" i="1"/>
  <c r="A6929" i="1"/>
  <c r="B6929" i="1"/>
  <c r="C6929" i="1"/>
  <c r="E6929" i="1"/>
  <c r="G6929" i="1"/>
  <c r="K6929" i="1"/>
  <c r="A6930" i="1"/>
  <c r="B6930" i="1"/>
  <c r="C6930" i="1"/>
  <c r="E6930" i="1"/>
  <c r="G6930" i="1"/>
  <c r="K6930" i="1"/>
  <c r="A6931" i="1"/>
  <c r="B6931" i="1"/>
  <c r="C6931" i="1"/>
  <c r="E6931" i="1"/>
  <c r="G6931" i="1"/>
  <c r="K6931" i="1"/>
  <c r="A6932" i="1"/>
  <c r="B6932" i="1"/>
  <c r="C6932" i="1"/>
  <c r="E6932" i="1"/>
  <c r="G6932" i="1"/>
  <c r="K6932" i="1"/>
  <c r="A6933" i="1"/>
  <c r="B6933" i="1"/>
  <c r="C6933" i="1"/>
  <c r="E6933" i="1"/>
  <c r="G6933" i="1"/>
  <c r="K6933" i="1"/>
  <c r="A6934" i="1"/>
  <c r="B6934" i="1"/>
  <c r="C6934" i="1"/>
  <c r="E6934" i="1"/>
  <c r="G6934" i="1"/>
  <c r="K6934" i="1"/>
  <c r="A6935" i="1"/>
  <c r="B6935" i="1"/>
  <c r="C6935" i="1"/>
  <c r="E6935" i="1"/>
  <c r="G6935" i="1"/>
  <c r="K6935" i="1"/>
  <c r="A6936" i="1"/>
  <c r="B6936" i="1"/>
  <c r="C6936" i="1"/>
  <c r="E6936" i="1"/>
  <c r="G6936" i="1"/>
  <c r="K6936" i="1"/>
  <c r="A6937" i="1"/>
  <c r="B6937" i="1"/>
  <c r="C6937" i="1"/>
  <c r="E6937" i="1"/>
  <c r="G6937" i="1"/>
  <c r="K6937" i="1"/>
  <c r="A6938" i="1"/>
  <c r="B6938" i="1"/>
  <c r="C6938" i="1"/>
  <c r="E6938" i="1"/>
  <c r="G6938" i="1"/>
  <c r="K6938" i="1"/>
  <c r="A6939" i="1"/>
  <c r="B6939" i="1"/>
  <c r="C6939" i="1"/>
  <c r="E6939" i="1"/>
  <c r="G6939" i="1"/>
  <c r="K6939" i="1"/>
  <c r="A6940" i="1"/>
  <c r="B6940" i="1"/>
  <c r="C6940" i="1"/>
  <c r="E6940" i="1"/>
  <c r="G6940" i="1"/>
  <c r="K6940" i="1"/>
  <c r="A6941" i="1"/>
  <c r="B6941" i="1"/>
  <c r="C6941" i="1"/>
  <c r="E6941" i="1"/>
  <c r="G6941" i="1"/>
  <c r="K6941" i="1"/>
  <c r="A6942" i="1"/>
  <c r="B6942" i="1"/>
  <c r="C6942" i="1"/>
  <c r="E6942" i="1"/>
  <c r="G6942" i="1"/>
  <c r="K6942" i="1"/>
  <c r="A6943" i="1"/>
  <c r="B6943" i="1"/>
  <c r="C6943" i="1"/>
  <c r="E6943" i="1"/>
  <c r="G6943" i="1"/>
  <c r="K6943" i="1"/>
  <c r="A6944" i="1"/>
  <c r="B6944" i="1"/>
  <c r="C6944" i="1"/>
  <c r="E6944" i="1"/>
  <c r="G6944" i="1"/>
  <c r="K6944" i="1"/>
  <c r="A6945" i="1"/>
  <c r="B6945" i="1"/>
  <c r="C6945" i="1"/>
  <c r="E6945" i="1"/>
  <c r="G6945" i="1"/>
  <c r="K6945" i="1"/>
  <c r="A6946" i="1"/>
  <c r="B6946" i="1"/>
  <c r="C6946" i="1"/>
  <c r="E6946" i="1"/>
  <c r="G6946" i="1"/>
  <c r="K6946" i="1"/>
  <c r="A6947" i="1"/>
  <c r="B6947" i="1"/>
  <c r="C6947" i="1"/>
  <c r="E6947" i="1"/>
  <c r="G6947" i="1"/>
  <c r="K6947" i="1"/>
  <c r="A6948" i="1"/>
  <c r="B6948" i="1"/>
  <c r="C6948" i="1"/>
  <c r="E6948" i="1"/>
  <c r="G6948" i="1"/>
  <c r="K6948" i="1"/>
  <c r="A6949" i="1"/>
  <c r="B6949" i="1"/>
  <c r="C6949" i="1"/>
  <c r="E6949" i="1"/>
  <c r="G6949" i="1"/>
  <c r="K6949" i="1"/>
  <c r="A6950" i="1"/>
  <c r="B6950" i="1"/>
  <c r="C6950" i="1"/>
  <c r="E6950" i="1"/>
  <c r="G6950" i="1"/>
  <c r="K6950" i="1"/>
  <c r="A6951" i="1"/>
  <c r="B6951" i="1"/>
  <c r="C6951" i="1"/>
  <c r="E6951" i="1"/>
  <c r="G6951" i="1"/>
  <c r="K6951" i="1"/>
  <c r="A6952" i="1"/>
  <c r="B6952" i="1"/>
  <c r="C6952" i="1"/>
  <c r="E6952" i="1"/>
  <c r="G6952" i="1"/>
  <c r="K6952" i="1"/>
  <c r="A6953" i="1"/>
  <c r="B6953" i="1"/>
  <c r="C6953" i="1"/>
  <c r="E6953" i="1"/>
  <c r="G6953" i="1"/>
  <c r="K6953" i="1"/>
  <c r="A6954" i="1"/>
  <c r="B6954" i="1"/>
  <c r="C6954" i="1"/>
  <c r="E6954" i="1"/>
  <c r="G6954" i="1"/>
  <c r="K6954" i="1"/>
  <c r="A6955" i="1"/>
  <c r="B6955" i="1"/>
  <c r="C6955" i="1"/>
  <c r="E6955" i="1"/>
  <c r="G6955" i="1"/>
  <c r="K6955" i="1"/>
  <c r="A6956" i="1"/>
  <c r="B6956" i="1"/>
  <c r="C6956" i="1"/>
  <c r="E6956" i="1"/>
  <c r="G6956" i="1"/>
  <c r="K6956" i="1"/>
  <c r="A6957" i="1"/>
  <c r="B6957" i="1"/>
  <c r="C6957" i="1"/>
  <c r="E6957" i="1"/>
  <c r="G6957" i="1"/>
  <c r="K6957" i="1"/>
  <c r="A6958" i="1"/>
  <c r="B6958" i="1"/>
  <c r="C6958" i="1"/>
  <c r="E6958" i="1"/>
  <c r="G6958" i="1"/>
  <c r="K6958" i="1"/>
  <c r="A6959" i="1"/>
  <c r="B6959" i="1"/>
  <c r="C6959" i="1"/>
  <c r="E6959" i="1"/>
  <c r="G6959" i="1"/>
  <c r="K6959" i="1"/>
  <c r="A6960" i="1"/>
  <c r="B6960" i="1"/>
  <c r="C6960" i="1"/>
  <c r="E6960" i="1"/>
  <c r="G6960" i="1"/>
  <c r="K6960" i="1"/>
  <c r="A6961" i="1"/>
  <c r="B6961" i="1"/>
  <c r="C6961" i="1"/>
  <c r="E6961" i="1"/>
  <c r="G6961" i="1"/>
  <c r="K6961" i="1"/>
  <c r="A6962" i="1"/>
  <c r="B6962" i="1"/>
  <c r="C6962" i="1"/>
  <c r="E6962" i="1"/>
  <c r="G6962" i="1"/>
  <c r="K6962" i="1"/>
  <c r="A6963" i="1"/>
  <c r="B6963" i="1"/>
  <c r="C6963" i="1"/>
  <c r="E6963" i="1"/>
  <c r="G6963" i="1"/>
  <c r="K6963" i="1"/>
  <c r="A6964" i="1"/>
  <c r="B6964" i="1"/>
  <c r="C6964" i="1"/>
  <c r="E6964" i="1"/>
  <c r="G6964" i="1"/>
  <c r="K6964" i="1"/>
  <c r="A6965" i="1"/>
  <c r="B6965" i="1"/>
  <c r="C6965" i="1"/>
  <c r="E6965" i="1"/>
  <c r="G6965" i="1"/>
  <c r="K6965" i="1"/>
  <c r="A6966" i="1"/>
  <c r="B6966" i="1"/>
  <c r="C6966" i="1"/>
  <c r="E6966" i="1"/>
  <c r="G6966" i="1"/>
  <c r="K6966" i="1"/>
  <c r="A6967" i="1"/>
  <c r="B6967" i="1"/>
  <c r="C6967" i="1"/>
  <c r="E6967" i="1"/>
  <c r="G6967" i="1"/>
  <c r="K6967" i="1"/>
  <c r="A6968" i="1"/>
  <c r="B6968" i="1"/>
  <c r="C6968" i="1"/>
  <c r="E6968" i="1"/>
  <c r="G6968" i="1"/>
  <c r="K6968" i="1"/>
  <c r="A6969" i="1"/>
  <c r="B6969" i="1"/>
  <c r="C6969" i="1"/>
  <c r="E6969" i="1"/>
  <c r="G6969" i="1"/>
  <c r="K6969" i="1"/>
  <c r="A6970" i="1"/>
  <c r="B6970" i="1"/>
  <c r="C6970" i="1"/>
  <c r="E6970" i="1"/>
  <c r="G6970" i="1"/>
  <c r="K6970" i="1"/>
  <c r="A6971" i="1"/>
  <c r="B6971" i="1"/>
  <c r="C6971" i="1"/>
  <c r="E6971" i="1"/>
  <c r="G6971" i="1"/>
  <c r="K6971" i="1"/>
  <c r="A6972" i="1"/>
  <c r="B6972" i="1"/>
  <c r="C6972" i="1"/>
  <c r="E6972" i="1"/>
  <c r="G6972" i="1"/>
  <c r="K6972" i="1"/>
  <c r="A6973" i="1"/>
  <c r="B6973" i="1"/>
  <c r="C6973" i="1"/>
  <c r="E6973" i="1"/>
  <c r="G6973" i="1"/>
  <c r="K6973" i="1"/>
  <c r="A6974" i="1"/>
  <c r="B6974" i="1"/>
  <c r="C6974" i="1"/>
  <c r="E6974" i="1"/>
  <c r="G6974" i="1"/>
  <c r="K6974" i="1"/>
  <c r="A6975" i="1"/>
  <c r="B6975" i="1"/>
  <c r="C6975" i="1"/>
  <c r="E6975" i="1"/>
  <c r="G6975" i="1"/>
  <c r="K6975" i="1"/>
  <c r="A6976" i="1"/>
  <c r="B6976" i="1"/>
  <c r="C6976" i="1"/>
  <c r="E6976" i="1"/>
  <c r="G6976" i="1"/>
  <c r="K6976" i="1"/>
  <c r="A6977" i="1"/>
  <c r="B6977" i="1"/>
  <c r="C6977" i="1"/>
  <c r="E6977" i="1"/>
  <c r="G6977" i="1"/>
  <c r="K6977" i="1"/>
  <c r="A6978" i="1"/>
  <c r="B6978" i="1"/>
  <c r="C6978" i="1"/>
  <c r="E6978" i="1"/>
  <c r="G6978" i="1"/>
  <c r="K6978" i="1"/>
  <c r="A6979" i="1"/>
  <c r="B6979" i="1"/>
  <c r="C6979" i="1"/>
  <c r="E6979" i="1"/>
  <c r="G6979" i="1"/>
  <c r="K6979" i="1"/>
  <c r="A6980" i="1"/>
  <c r="B6980" i="1"/>
  <c r="C6980" i="1"/>
  <c r="E6980" i="1"/>
  <c r="G6980" i="1"/>
  <c r="K6980" i="1"/>
  <c r="A6981" i="1"/>
  <c r="B6981" i="1"/>
  <c r="C6981" i="1"/>
  <c r="E6981" i="1"/>
  <c r="G6981" i="1"/>
  <c r="K6981" i="1"/>
  <c r="A6982" i="1"/>
  <c r="B6982" i="1"/>
  <c r="C6982" i="1"/>
  <c r="E6982" i="1"/>
  <c r="G6982" i="1"/>
  <c r="K6982" i="1"/>
  <c r="A6983" i="1"/>
  <c r="B6983" i="1"/>
  <c r="C6983" i="1"/>
  <c r="E6983" i="1"/>
  <c r="G6983" i="1"/>
  <c r="K6983" i="1"/>
  <c r="A6984" i="1"/>
  <c r="B6984" i="1"/>
  <c r="C6984" i="1"/>
  <c r="E6984" i="1"/>
  <c r="G6984" i="1"/>
  <c r="K6984" i="1"/>
  <c r="A6985" i="1"/>
  <c r="B6985" i="1"/>
  <c r="C6985" i="1"/>
  <c r="E6985" i="1"/>
  <c r="G6985" i="1"/>
  <c r="K6985" i="1"/>
  <c r="A6986" i="1"/>
  <c r="B6986" i="1"/>
  <c r="C6986" i="1"/>
  <c r="E6986" i="1"/>
  <c r="G6986" i="1"/>
  <c r="K6986" i="1"/>
  <c r="A6987" i="1"/>
  <c r="B6987" i="1"/>
  <c r="C6987" i="1"/>
  <c r="E6987" i="1"/>
  <c r="G6987" i="1"/>
  <c r="K6987" i="1"/>
  <c r="A6988" i="1"/>
  <c r="B6988" i="1"/>
  <c r="C6988" i="1"/>
  <c r="E6988" i="1"/>
  <c r="G6988" i="1"/>
  <c r="K6988" i="1"/>
  <c r="A6989" i="1"/>
  <c r="B6989" i="1"/>
  <c r="C6989" i="1"/>
  <c r="E6989" i="1"/>
  <c r="G6989" i="1"/>
  <c r="K6989" i="1"/>
  <c r="A6990" i="1"/>
  <c r="B6990" i="1"/>
  <c r="C6990" i="1"/>
  <c r="E6990" i="1"/>
  <c r="G6990" i="1"/>
  <c r="K6990" i="1"/>
  <c r="A6991" i="1"/>
  <c r="B6991" i="1"/>
  <c r="C6991" i="1"/>
  <c r="E6991" i="1"/>
  <c r="G6991" i="1"/>
  <c r="K6991" i="1"/>
  <c r="A6992" i="1"/>
  <c r="B6992" i="1"/>
  <c r="C6992" i="1"/>
  <c r="E6992" i="1"/>
  <c r="G6992" i="1"/>
  <c r="K6992" i="1"/>
  <c r="A6993" i="1"/>
  <c r="B6993" i="1"/>
  <c r="C6993" i="1"/>
  <c r="E6993" i="1"/>
  <c r="G6993" i="1"/>
  <c r="K6993" i="1"/>
  <c r="A6994" i="1"/>
  <c r="B6994" i="1"/>
  <c r="C6994" i="1"/>
  <c r="E6994" i="1"/>
  <c r="G6994" i="1"/>
  <c r="K6994" i="1"/>
  <c r="A6995" i="1"/>
  <c r="B6995" i="1"/>
  <c r="C6995" i="1"/>
  <c r="E6995" i="1"/>
  <c r="G6995" i="1"/>
  <c r="K6995" i="1"/>
  <c r="A6996" i="1"/>
  <c r="B6996" i="1"/>
  <c r="C6996" i="1"/>
  <c r="E6996" i="1"/>
  <c r="G6996" i="1"/>
  <c r="K6996" i="1"/>
  <c r="A6997" i="1"/>
  <c r="B6997" i="1"/>
  <c r="C6997" i="1"/>
  <c r="E6997" i="1"/>
  <c r="G6997" i="1"/>
  <c r="K6997" i="1"/>
  <c r="A6998" i="1"/>
  <c r="B6998" i="1"/>
  <c r="C6998" i="1"/>
  <c r="E6998" i="1"/>
  <c r="G6998" i="1"/>
  <c r="K6998" i="1"/>
  <c r="A6999" i="1"/>
  <c r="B6999" i="1"/>
  <c r="C6999" i="1"/>
  <c r="E6999" i="1"/>
  <c r="G6999" i="1"/>
  <c r="K6999" i="1"/>
  <c r="A7000" i="1"/>
  <c r="B7000" i="1"/>
  <c r="C7000" i="1"/>
  <c r="E7000" i="1"/>
  <c r="G7000" i="1"/>
  <c r="K7000" i="1"/>
  <c r="A7001" i="1"/>
  <c r="B7001" i="1"/>
  <c r="C7001" i="1"/>
  <c r="E7001" i="1"/>
  <c r="G7001" i="1"/>
  <c r="K7001" i="1"/>
  <c r="A7002" i="1"/>
  <c r="B7002" i="1"/>
  <c r="C7002" i="1"/>
  <c r="E7002" i="1"/>
  <c r="G7002" i="1"/>
  <c r="K7002" i="1"/>
  <c r="A7003" i="1"/>
  <c r="B7003" i="1"/>
  <c r="C7003" i="1"/>
  <c r="E7003" i="1"/>
  <c r="G7003" i="1"/>
  <c r="K7003" i="1"/>
  <c r="A7004" i="1"/>
  <c r="B7004" i="1"/>
  <c r="C7004" i="1"/>
  <c r="E7004" i="1"/>
  <c r="G7004" i="1"/>
  <c r="K7004" i="1"/>
  <c r="A7005" i="1"/>
  <c r="B7005" i="1"/>
  <c r="C7005" i="1"/>
  <c r="E7005" i="1"/>
  <c r="G7005" i="1"/>
  <c r="K7005" i="1"/>
  <c r="A7006" i="1"/>
  <c r="B7006" i="1"/>
  <c r="C7006" i="1"/>
  <c r="E7006" i="1"/>
  <c r="G7006" i="1"/>
  <c r="K7006" i="1"/>
  <c r="A7007" i="1"/>
  <c r="B7007" i="1"/>
  <c r="C7007" i="1"/>
  <c r="E7007" i="1"/>
  <c r="G7007" i="1"/>
  <c r="K7007" i="1"/>
  <c r="A7008" i="1"/>
  <c r="B7008" i="1"/>
  <c r="C7008" i="1"/>
  <c r="E7008" i="1"/>
  <c r="G7008" i="1"/>
  <c r="K7008" i="1"/>
  <c r="A7009" i="1"/>
  <c r="B7009" i="1"/>
  <c r="C7009" i="1"/>
  <c r="E7009" i="1"/>
  <c r="G7009" i="1"/>
  <c r="K7009" i="1"/>
  <c r="A7010" i="1"/>
  <c r="B7010" i="1"/>
  <c r="C7010" i="1"/>
  <c r="E7010" i="1"/>
  <c r="G7010" i="1"/>
  <c r="K7010" i="1"/>
  <c r="A7011" i="1"/>
  <c r="B7011" i="1"/>
  <c r="C7011" i="1"/>
  <c r="E7011" i="1"/>
  <c r="G7011" i="1"/>
  <c r="K7011" i="1"/>
  <c r="A7012" i="1"/>
  <c r="B7012" i="1"/>
  <c r="C7012" i="1"/>
  <c r="E7012" i="1"/>
  <c r="G7012" i="1"/>
  <c r="K7012" i="1"/>
  <c r="A7013" i="1"/>
  <c r="B7013" i="1"/>
  <c r="C7013" i="1"/>
  <c r="E7013" i="1"/>
  <c r="G7013" i="1"/>
  <c r="K7013" i="1"/>
  <c r="A7014" i="1"/>
  <c r="B7014" i="1"/>
  <c r="C7014" i="1"/>
  <c r="E7014" i="1"/>
  <c r="G7014" i="1"/>
  <c r="K7014" i="1"/>
  <c r="A7015" i="1"/>
  <c r="B7015" i="1"/>
  <c r="C7015" i="1"/>
  <c r="E7015" i="1"/>
  <c r="G7015" i="1"/>
  <c r="K7015" i="1"/>
  <c r="A7016" i="1"/>
  <c r="B7016" i="1"/>
  <c r="C7016" i="1"/>
  <c r="E7016" i="1"/>
  <c r="G7016" i="1"/>
  <c r="K7016" i="1"/>
  <c r="A7017" i="1"/>
  <c r="B7017" i="1"/>
  <c r="C7017" i="1"/>
  <c r="E7017" i="1"/>
  <c r="G7017" i="1"/>
  <c r="K7017" i="1"/>
  <c r="A7018" i="1"/>
  <c r="B7018" i="1"/>
  <c r="C7018" i="1"/>
  <c r="E7018" i="1"/>
  <c r="G7018" i="1"/>
  <c r="K7018" i="1"/>
  <c r="A7019" i="1"/>
  <c r="B7019" i="1"/>
  <c r="C7019" i="1"/>
  <c r="E7019" i="1"/>
  <c r="G7019" i="1"/>
  <c r="K7019" i="1"/>
  <c r="A7020" i="1"/>
  <c r="B7020" i="1"/>
  <c r="C7020" i="1"/>
  <c r="E7020" i="1"/>
  <c r="G7020" i="1"/>
  <c r="K7020" i="1"/>
  <c r="A7021" i="1"/>
  <c r="B7021" i="1"/>
  <c r="C7021" i="1"/>
  <c r="E7021" i="1"/>
  <c r="G7021" i="1"/>
  <c r="K7021" i="1"/>
  <c r="A7022" i="1"/>
  <c r="B7022" i="1"/>
  <c r="C7022" i="1"/>
  <c r="E7022" i="1"/>
  <c r="G7022" i="1"/>
  <c r="K7022" i="1"/>
  <c r="A7023" i="1"/>
  <c r="B7023" i="1"/>
  <c r="C7023" i="1"/>
  <c r="E7023" i="1"/>
  <c r="G7023" i="1"/>
  <c r="K7023" i="1"/>
  <c r="A7024" i="1"/>
  <c r="B7024" i="1"/>
  <c r="C7024" i="1"/>
  <c r="E7024" i="1"/>
  <c r="G7024" i="1"/>
  <c r="K7024" i="1"/>
  <c r="A7025" i="1"/>
  <c r="B7025" i="1"/>
  <c r="C7025" i="1"/>
  <c r="E7025" i="1"/>
  <c r="G7025" i="1"/>
  <c r="K7025" i="1"/>
  <c r="A7026" i="1"/>
  <c r="B7026" i="1"/>
  <c r="C7026" i="1"/>
  <c r="E7026" i="1"/>
  <c r="G7026" i="1"/>
  <c r="K7026" i="1"/>
  <c r="A7027" i="1"/>
  <c r="B7027" i="1"/>
  <c r="C7027" i="1"/>
  <c r="E7027" i="1"/>
  <c r="G7027" i="1"/>
  <c r="K7027" i="1"/>
  <c r="A7028" i="1"/>
  <c r="B7028" i="1"/>
  <c r="C7028" i="1"/>
  <c r="E7028" i="1"/>
  <c r="G7028" i="1"/>
  <c r="K7028" i="1"/>
  <c r="A7029" i="1"/>
  <c r="B7029" i="1"/>
  <c r="C7029" i="1"/>
  <c r="E7029" i="1"/>
  <c r="G7029" i="1"/>
  <c r="K7029" i="1"/>
  <c r="A7030" i="1"/>
  <c r="B7030" i="1"/>
  <c r="C7030" i="1"/>
  <c r="E7030" i="1"/>
  <c r="G7030" i="1"/>
  <c r="K7030" i="1"/>
  <c r="A7031" i="1"/>
  <c r="B7031" i="1"/>
  <c r="C7031" i="1"/>
  <c r="E7031" i="1"/>
  <c r="G7031" i="1"/>
  <c r="K7031" i="1"/>
  <c r="A7032" i="1"/>
  <c r="B7032" i="1"/>
  <c r="C7032" i="1"/>
  <c r="E7032" i="1"/>
  <c r="G7032" i="1"/>
  <c r="K7032" i="1"/>
  <c r="A7033" i="1"/>
  <c r="B7033" i="1"/>
  <c r="C7033" i="1"/>
  <c r="E7033" i="1"/>
  <c r="G7033" i="1"/>
  <c r="K7033" i="1"/>
  <c r="A7034" i="1"/>
  <c r="B7034" i="1"/>
  <c r="C7034" i="1"/>
  <c r="E7034" i="1"/>
  <c r="G7034" i="1"/>
  <c r="K7034" i="1"/>
  <c r="A7035" i="1"/>
  <c r="B7035" i="1"/>
  <c r="C7035" i="1"/>
  <c r="E7035" i="1"/>
  <c r="G7035" i="1"/>
  <c r="K7035" i="1"/>
  <c r="A7036" i="1"/>
  <c r="B7036" i="1"/>
  <c r="C7036" i="1"/>
  <c r="E7036" i="1"/>
  <c r="G7036" i="1"/>
  <c r="K7036" i="1"/>
  <c r="A7037" i="1"/>
  <c r="B7037" i="1"/>
  <c r="C7037" i="1"/>
  <c r="E7037" i="1"/>
  <c r="G7037" i="1"/>
  <c r="K7037" i="1"/>
  <c r="A7038" i="1"/>
  <c r="B7038" i="1"/>
  <c r="C7038" i="1"/>
  <c r="E7038" i="1"/>
  <c r="G7038" i="1"/>
  <c r="K7038" i="1"/>
  <c r="A7039" i="1"/>
  <c r="B7039" i="1"/>
  <c r="C7039" i="1"/>
  <c r="E7039" i="1"/>
  <c r="G7039" i="1"/>
  <c r="K7039" i="1"/>
  <c r="A7040" i="1"/>
  <c r="B7040" i="1"/>
  <c r="C7040" i="1"/>
  <c r="E7040" i="1"/>
  <c r="G7040" i="1"/>
  <c r="K7040" i="1"/>
  <c r="A7041" i="1"/>
  <c r="B7041" i="1"/>
  <c r="C7041" i="1"/>
  <c r="E7041" i="1"/>
  <c r="G7041" i="1"/>
  <c r="K7041" i="1"/>
  <c r="A7042" i="1"/>
  <c r="B7042" i="1"/>
  <c r="C7042" i="1"/>
  <c r="E7042" i="1"/>
  <c r="G7042" i="1"/>
  <c r="K7042" i="1"/>
  <c r="A7043" i="1"/>
  <c r="B7043" i="1"/>
  <c r="C7043" i="1"/>
  <c r="E7043" i="1"/>
  <c r="G7043" i="1"/>
  <c r="K7043" i="1"/>
  <c r="A7044" i="1"/>
  <c r="B7044" i="1"/>
  <c r="C7044" i="1"/>
  <c r="E7044" i="1"/>
  <c r="G7044" i="1"/>
  <c r="K7044" i="1"/>
  <c r="A7045" i="1"/>
  <c r="B7045" i="1"/>
  <c r="C7045" i="1"/>
  <c r="E7045" i="1"/>
  <c r="G7045" i="1"/>
  <c r="K7045" i="1"/>
  <c r="A7046" i="1"/>
  <c r="B7046" i="1"/>
  <c r="C7046" i="1"/>
  <c r="E7046" i="1"/>
  <c r="G7046" i="1"/>
  <c r="K7046" i="1"/>
  <c r="A7047" i="1"/>
  <c r="B7047" i="1"/>
  <c r="C7047" i="1"/>
  <c r="E7047" i="1"/>
  <c r="G7047" i="1"/>
  <c r="K7047" i="1"/>
  <c r="A7048" i="1"/>
  <c r="B7048" i="1"/>
  <c r="C7048" i="1"/>
  <c r="E7048" i="1"/>
  <c r="G7048" i="1"/>
  <c r="K7048" i="1"/>
  <c r="A7049" i="1"/>
  <c r="B7049" i="1"/>
  <c r="C7049" i="1"/>
  <c r="E7049" i="1"/>
  <c r="G7049" i="1"/>
  <c r="K7049" i="1"/>
  <c r="A7050" i="1"/>
  <c r="B7050" i="1"/>
  <c r="C7050" i="1"/>
  <c r="E7050" i="1"/>
  <c r="G7050" i="1"/>
  <c r="K7050" i="1"/>
  <c r="A7051" i="1"/>
  <c r="B7051" i="1"/>
  <c r="C7051" i="1"/>
  <c r="E7051" i="1"/>
  <c r="G7051" i="1"/>
  <c r="K7051" i="1"/>
  <c r="A7052" i="1"/>
  <c r="B7052" i="1"/>
  <c r="C7052" i="1"/>
  <c r="E7052" i="1"/>
  <c r="G7052" i="1"/>
  <c r="K7052" i="1"/>
  <c r="A7053" i="1"/>
  <c r="B7053" i="1"/>
  <c r="C7053" i="1"/>
  <c r="E7053" i="1"/>
  <c r="G7053" i="1"/>
  <c r="K7053" i="1"/>
  <c r="A7054" i="1"/>
  <c r="B7054" i="1"/>
  <c r="C7054" i="1"/>
  <c r="E7054" i="1"/>
  <c r="G7054" i="1"/>
  <c r="K7054" i="1"/>
  <c r="A7055" i="1"/>
  <c r="B7055" i="1"/>
  <c r="C7055" i="1"/>
  <c r="E7055" i="1"/>
  <c r="G7055" i="1"/>
  <c r="K7055" i="1"/>
  <c r="A7056" i="1"/>
  <c r="B7056" i="1"/>
  <c r="C7056" i="1"/>
  <c r="E7056" i="1"/>
  <c r="G7056" i="1"/>
  <c r="K7056" i="1"/>
  <c r="A7057" i="1"/>
  <c r="B7057" i="1"/>
  <c r="C7057" i="1"/>
  <c r="E7057" i="1"/>
  <c r="G7057" i="1"/>
  <c r="K7057" i="1"/>
  <c r="A7058" i="1"/>
  <c r="B7058" i="1"/>
  <c r="C7058" i="1"/>
  <c r="E7058" i="1"/>
  <c r="G7058" i="1"/>
  <c r="K7058" i="1"/>
  <c r="A7059" i="1"/>
  <c r="B7059" i="1"/>
  <c r="C7059" i="1"/>
  <c r="E7059" i="1"/>
  <c r="G7059" i="1"/>
  <c r="K7059" i="1"/>
  <c r="A7060" i="1"/>
  <c r="B7060" i="1"/>
  <c r="C7060" i="1"/>
  <c r="E7060" i="1"/>
  <c r="G7060" i="1"/>
  <c r="K7060" i="1"/>
  <c r="A7061" i="1"/>
  <c r="B7061" i="1"/>
  <c r="C7061" i="1"/>
  <c r="E7061" i="1"/>
  <c r="G7061" i="1"/>
  <c r="K7061" i="1"/>
  <c r="A7062" i="1"/>
  <c r="B7062" i="1"/>
  <c r="C7062" i="1"/>
  <c r="E7062" i="1"/>
  <c r="G7062" i="1"/>
  <c r="K7062" i="1"/>
  <c r="A7063" i="1"/>
  <c r="B7063" i="1"/>
  <c r="C7063" i="1"/>
  <c r="E7063" i="1"/>
  <c r="G7063" i="1"/>
  <c r="K7063" i="1"/>
  <c r="A7064" i="1"/>
  <c r="B7064" i="1"/>
  <c r="C7064" i="1"/>
  <c r="E7064" i="1"/>
  <c r="G7064" i="1"/>
  <c r="K7064" i="1"/>
  <c r="A7065" i="1"/>
  <c r="B7065" i="1"/>
  <c r="C7065" i="1"/>
  <c r="E7065" i="1"/>
  <c r="G7065" i="1"/>
  <c r="K7065" i="1"/>
  <c r="A7066" i="1"/>
  <c r="B7066" i="1"/>
  <c r="C7066" i="1"/>
  <c r="E7066" i="1"/>
  <c r="G7066" i="1"/>
  <c r="K7066" i="1"/>
  <c r="A7067" i="1"/>
  <c r="B7067" i="1"/>
  <c r="C7067" i="1"/>
  <c r="E7067" i="1"/>
  <c r="G7067" i="1"/>
  <c r="K7067" i="1"/>
  <c r="A7068" i="1"/>
  <c r="B7068" i="1"/>
  <c r="C7068" i="1"/>
  <c r="E7068" i="1"/>
  <c r="G7068" i="1"/>
  <c r="K7068" i="1"/>
  <c r="A7069" i="1"/>
  <c r="B7069" i="1"/>
  <c r="C7069" i="1"/>
  <c r="E7069" i="1"/>
  <c r="G7069" i="1"/>
  <c r="K7069" i="1"/>
  <c r="A7070" i="1"/>
  <c r="B7070" i="1"/>
  <c r="C7070" i="1"/>
  <c r="E7070" i="1"/>
  <c r="G7070" i="1"/>
  <c r="K7070" i="1"/>
  <c r="A7071" i="1"/>
  <c r="B7071" i="1"/>
  <c r="C7071" i="1"/>
  <c r="E7071" i="1"/>
  <c r="G7071" i="1"/>
  <c r="K7071" i="1"/>
  <c r="A7072" i="1"/>
  <c r="B7072" i="1"/>
  <c r="C7072" i="1"/>
  <c r="E7072" i="1"/>
  <c r="G7072" i="1"/>
  <c r="K7072" i="1"/>
  <c r="A7073" i="1"/>
  <c r="B7073" i="1"/>
  <c r="C7073" i="1"/>
  <c r="E7073" i="1"/>
  <c r="G7073" i="1"/>
  <c r="K7073" i="1"/>
  <c r="A7074" i="1"/>
  <c r="B7074" i="1"/>
  <c r="C7074" i="1"/>
  <c r="E7074" i="1"/>
  <c r="G7074" i="1"/>
  <c r="K7074" i="1"/>
  <c r="A7075" i="1"/>
  <c r="B7075" i="1"/>
  <c r="C7075" i="1"/>
  <c r="E7075" i="1"/>
  <c r="G7075" i="1"/>
  <c r="K7075" i="1"/>
  <c r="A7076" i="1"/>
  <c r="B7076" i="1"/>
  <c r="C7076" i="1"/>
  <c r="E7076" i="1"/>
  <c r="G7076" i="1"/>
  <c r="K7076" i="1"/>
  <c r="A7077" i="1"/>
  <c r="B7077" i="1"/>
  <c r="C7077" i="1"/>
  <c r="E7077" i="1"/>
  <c r="G7077" i="1"/>
  <c r="K7077" i="1"/>
  <c r="A7078" i="1"/>
  <c r="B7078" i="1"/>
  <c r="C7078" i="1"/>
  <c r="E7078" i="1"/>
  <c r="G7078" i="1"/>
  <c r="K7078" i="1"/>
  <c r="A7079" i="1"/>
  <c r="B7079" i="1"/>
  <c r="C7079" i="1"/>
  <c r="E7079" i="1"/>
  <c r="G7079" i="1"/>
  <c r="K7079" i="1"/>
  <c r="A7080" i="1"/>
  <c r="B7080" i="1"/>
  <c r="C7080" i="1"/>
  <c r="E7080" i="1"/>
  <c r="G7080" i="1"/>
  <c r="K7080" i="1"/>
  <c r="A7081" i="1"/>
  <c r="B7081" i="1"/>
  <c r="C7081" i="1"/>
  <c r="E7081" i="1"/>
  <c r="G7081" i="1"/>
  <c r="K7081" i="1"/>
  <c r="A7082" i="1"/>
  <c r="B7082" i="1"/>
  <c r="C7082" i="1"/>
  <c r="E7082" i="1"/>
  <c r="G7082" i="1"/>
  <c r="K7082" i="1"/>
  <c r="A7083" i="1"/>
  <c r="B7083" i="1"/>
  <c r="C7083" i="1"/>
  <c r="E7083" i="1"/>
  <c r="G7083" i="1"/>
  <c r="K7083" i="1"/>
  <c r="A7084" i="1"/>
  <c r="B7084" i="1"/>
  <c r="C7084" i="1"/>
  <c r="E7084" i="1"/>
  <c r="G7084" i="1"/>
  <c r="K7084" i="1"/>
  <c r="A7085" i="1"/>
  <c r="B7085" i="1"/>
  <c r="C7085" i="1"/>
  <c r="E7085" i="1"/>
  <c r="G7085" i="1"/>
  <c r="K7085" i="1"/>
  <c r="A7086" i="1"/>
  <c r="B7086" i="1"/>
  <c r="C7086" i="1"/>
  <c r="E7086" i="1"/>
  <c r="G7086" i="1"/>
  <c r="K7086" i="1"/>
  <c r="A7087" i="1"/>
  <c r="B7087" i="1"/>
  <c r="C7087" i="1"/>
  <c r="E7087" i="1"/>
  <c r="G7087" i="1"/>
  <c r="K7087" i="1"/>
  <c r="A7088" i="1"/>
  <c r="B7088" i="1"/>
  <c r="C7088" i="1"/>
  <c r="E7088" i="1"/>
  <c r="G7088" i="1"/>
  <c r="K7088" i="1"/>
  <c r="A7089" i="1"/>
  <c r="B7089" i="1"/>
  <c r="C7089" i="1"/>
  <c r="E7089" i="1"/>
  <c r="G7089" i="1"/>
  <c r="K7089" i="1"/>
  <c r="A7090" i="1"/>
  <c r="B7090" i="1"/>
  <c r="C7090" i="1"/>
  <c r="E7090" i="1"/>
  <c r="G7090" i="1"/>
  <c r="K7090" i="1"/>
  <c r="A7091" i="1"/>
  <c r="B7091" i="1"/>
  <c r="C7091" i="1"/>
  <c r="E7091" i="1"/>
  <c r="G7091" i="1"/>
  <c r="K7091" i="1"/>
  <c r="A7092" i="1"/>
  <c r="B7092" i="1"/>
  <c r="C7092" i="1"/>
  <c r="E7092" i="1"/>
  <c r="G7092" i="1"/>
  <c r="K7092" i="1"/>
  <c r="A7093" i="1"/>
  <c r="B7093" i="1"/>
  <c r="C7093" i="1"/>
  <c r="E7093" i="1"/>
  <c r="G7093" i="1"/>
  <c r="K7093" i="1"/>
  <c r="A7094" i="1"/>
  <c r="B7094" i="1"/>
  <c r="C7094" i="1"/>
  <c r="E7094" i="1"/>
  <c r="G7094" i="1"/>
  <c r="K7094" i="1"/>
  <c r="A7095" i="1"/>
  <c r="B7095" i="1"/>
  <c r="C7095" i="1"/>
  <c r="E7095" i="1"/>
  <c r="G7095" i="1"/>
  <c r="K7095" i="1"/>
  <c r="A7096" i="1"/>
  <c r="B7096" i="1"/>
  <c r="C7096" i="1"/>
  <c r="E7096" i="1"/>
  <c r="G7096" i="1"/>
  <c r="K7096" i="1"/>
  <c r="A7097" i="1"/>
  <c r="B7097" i="1"/>
  <c r="C7097" i="1"/>
  <c r="E7097" i="1"/>
  <c r="G7097" i="1"/>
  <c r="K7097" i="1"/>
  <c r="A7098" i="1"/>
  <c r="B7098" i="1"/>
  <c r="C7098" i="1"/>
  <c r="E7098" i="1"/>
  <c r="G7098" i="1"/>
  <c r="K7098" i="1"/>
  <c r="A7099" i="1"/>
  <c r="B7099" i="1"/>
  <c r="C7099" i="1"/>
  <c r="E7099" i="1"/>
  <c r="G7099" i="1"/>
  <c r="K7099" i="1"/>
  <c r="A7100" i="1"/>
  <c r="B7100" i="1"/>
  <c r="C7100" i="1"/>
  <c r="E7100" i="1"/>
  <c r="G7100" i="1"/>
  <c r="K7100" i="1"/>
  <c r="A7101" i="1"/>
  <c r="B7101" i="1"/>
  <c r="C7101" i="1"/>
  <c r="E7101" i="1"/>
  <c r="G7101" i="1"/>
  <c r="K7101" i="1"/>
  <c r="A7102" i="1"/>
  <c r="B7102" i="1"/>
  <c r="C7102" i="1"/>
  <c r="E7102" i="1"/>
  <c r="G7102" i="1"/>
  <c r="K7102" i="1"/>
  <c r="A7103" i="1"/>
  <c r="B7103" i="1"/>
  <c r="C7103" i="1"/>
  <c r="E7103" i="1"/>
  <c r="G7103" i="1"/>
  <c r="K7103" i="1"/>
  <c r="A7104" i="1"/>
  <c r="B7104" i="1"/>
  <c r="C7104" i="1"/>
  <c r="E7104" i="1"/>
  <c r="G7104" i="1"/>
  <c r="K7104" i="1"/>
  <c r="A7105" i="1"/>
  <c r="B7105" i="1"/>
  <c r="C7105" i="1"/>
  <c r="E7105" i="1"/>
  <c r="G7105" i="1"/>
  <c r="K7105" i="1"/>
  <c r="A7106" i="1"/>
  <c r="B7106" i="1"/>
  <c r="C7106" i="1"/>
  <c r="E7106" i="1"/>
  <c r="G7106" i="1"/>
  <c r="K7106" i="1"/>
  <c r="A7107" i="1"/>
  <c r="B7107" i="1"/>
  <c r="C7107" i="1"/>
  <c r="E7107" i="1"/>
  <c r="G7107" i="1"/>
  <c r="K7107" i="1"/>
  <c r="A7108" i="1"/>
  <c r="B7108" i="1"/>
  <c r="C7108" i="1"/>
  <c r="E7108" i="1"/>
  <c r="G7108" i="1"/>
  <c r="K7108" i="1"/>
  <c r="A7109" i="1"/>
  <c r="B7109" i="1"/>
  <c r="C7109" i="1"/>
  <c r="E7109" i="1"/>
  <c r="G7109" i="1"/>
  <c r="K7109" i="1"/>
  <c r="A7110" i="1"/>
  <c r="B7110" i="1"/>
  <c r="C7110" i="1"/>
  <c r="E7110" i="1"/>
  <c r="G7110" i="1"/>
  <c r="K7110" i="1"/>
  <c r="A7111" i="1"/>
  <c r="B7111" i="1"/>
  <c r="C7111" i="1"/>
  <c r="E7111" i="1"/>
  <c r="G7111" i="1"/>
  <c r="K7111" i="1"/>
  <c r="A7112" i="1"/>
  <c r="B7112" i="1"/>
  <c r="C7112" i="1"/>
  <c r="E7112" i="1"/>
  <c r="G7112" i="1"/>
  <c r="K7112" i="1"/>
  <c r="A7113" i="1"/>
  <c r="B7113" i="1"/>
  <c r="C7113" i="1"/>
  <c r="E7113" i="1"/>
  <c r="G7113" i="1"/>
  <c r="K7113" i="1"/>
  <c r="A7114" i="1"/>
  <c r="B7114" i="1"/>
  <c r="C7114" i="1"/>
  <c r="E7114" i="1"/>
  <c r="G7114" i="1"/>
  <c r="K7114" i="1"/>
  <c r="A7115" i="1"/>
  <c r="B7115" i="1"/>
  <c r="C7115" i="1"/>
  <c r="E7115" i="1"/>
  <c r="G7115" i="1"/>
  <c r="K7115" i="1"/>
  <c r="A7116" i="1"/>
  <c r="B7116" i="1"/>
  <c r="C7116" i="1"/>
  <c r="E7116" i="1"/>
  <c r="G7116" i="1"/>
  <c r="K7116" i="1"/>
  <c r="A7117" i="1"/>
  <c r="B7117" i="1"/>
  <c r="C7117" i="1"/>
  <c r="E7117" i="1"/>
  <c r="G7117" i="1"/>
  <c r="K7117" i="1"/>
  <c r="A7118" i="1"/>
  <c r="B7118" i="1"/>
  <c r="C7118" i="1"/>
  <c r="E7118" i="1"/>
  <c r="G7118" i="1"/>
  <c r="K7118" i="1"/>
  <c r="A7119" i="1"/>
  <c r="B7119" i="1"/>
  <c r="C7119" i="1"/>
  <c r="E7119" i="1"/>
  <c r="G7119" i="1"/>
  <c r="K7119" i="1"/>
  <c r="A7120" i="1"/>
  <c r="B7120" i="1"/>
  <c r="C7120" i="1"/>
  <c r="E7120" i="1"/>
  <c r="G7120" i="1"/>
  <c r="K7120" i="1"/>
  <c r="A7121" i="1"/>
  <c r="B7121" i="1"/>
  <c r="C7121" i="1"/>
  <c r="E7121" i="1"/>
  <c r="G7121" i="1"/>
  <c r="K7121" i="1"/>
  <c r="A7122" i="1"/>
  <c r="B7122" i="1"/>
  <c r="C7122" i="1"/>
  <c r="E7122" i="1"/>
  <c r="G7122" i="1"/>
  <c r="K7122" i="1"/>
  <c r="A7123" i="1"/>
  <c r="B7123" i="1"/>
  <c r="C7123" i="1"/>
  <c r="E7123" i="1"/>
  <c r="G7123" i="1"/>
  <c r="K7123" i="1"/>
  <c r="A7124" i="1"/>
  <c r="B7124" i="1"/>
  <c r="C7124" i="1"/>
  <c r="E7124" i="1"/>
  <c r="G7124" i="1"/>
  <c r="K7124" i="1"/>
  <c r="A7125" i="1"/>
  <c r="B7125" i="1"/>
  <c r="C7125" i="1"/>
  <c r="E7125" i="1"/>
  <c r="G7125" i="1"/>
  <c r="K7125" i="1"/>
  <c r="A7126" i="1"/>
  <c r="B7126" i="1"/>
  <c r="C7126" i="1"/>
  <c r="E7126" i="1"/>
  <c r="G7126" i="1"/>
  <c r="K7126" i="1"/>
  <c r="A7127" i="1"/>
  <c r="B7127" i="1"/>
  <c r="C7127" i="1"/>
  <c r="E7127" i="1"/>
  <c r="G7127" i="1"/>
  <c r="K7127" i="1"/>
  <c r="A7128" i="1"/>
  <c r="B7128" i="1"/>
  <c r="C7128" i="1"/>
  <c r="E7128" i="1"/>
  <c r="G7128" i="1"/>
  <c r="K7128" i="1"/>
  <c r="A7129" i="1"/>
  <c r="B7129" i="1"/>
  <c r="C7129" i="1"/>
  <c r="E7129" i="1"/>
  <c r="G7129" i="1"/>
  <c r="K7129" i="1"/>
  <c r="A7130" i="1"/>
  <c r="B7130" i="1"/>
  <c r="C7130" i="1"/>
  <c r="E7130" i="1"/>
  <c r="G7130" i="1"/>
  <c r="K7130" i="1"/>
  <c r="A7131" i="1"/>
  <c r="B7131" i="1"/>
  <c r="C7131" i="1"/>
  <c r="E7131" i="1"/>
  <c r="G7131" i="1"/>
  <c r="K7131" i="1"/>
  <c r="A7132" i="1"/>
  <c r="B7132" i="1"/>
  <c r="C7132" i="1"/>
  <c r="E7132" i="1"/>
  <c r="G7132" i="1"/>
  <c r="K7132" i="1"/>
  <c r="A7133" i="1"/>
  <c r="B7133" i="1"/>
  <c r="C7133" i="1"/>
  <c r="E7133" i="1"/>
  <c r="G7133" i="1"/>
  <c r="K7133" i="1"/>
  <c r="A7134" i="1"/>
  <c r="B7134" i="1"/>
  <c r="C7134" i="1"/>
  <c r="E7134" i="1"/>
  <c r="G7134" i="1"/>
  <c r="K7134" i="1"/>
  <c r="A7135" i="1"/>
  <c r="B7135" i="1"/>
  <c r="C7135" i="1"/>
  <c r="E7135" i="1"/>
  <c r="G7135" i="1"/>
  <c r="K7135" i="1"/>
  <c r="A7136" i="1"/>
  <c r="B7136" i="1"/>
  <c r="C7136" i="1"/>
  <c r="E7136" i="1"/>
  <c r="G7136" i="1"/>
  <c r="K7136" i="1"/>
  <c r="A7137" i="1"/>
  <c r="B7137" i="1"/>
  <c r="C7137" i="1"/>
  <c r="E7137" i="1"/>
  <c r="G7137" i="1"/>
  <c r="K7137" i="1"/>
  <c r="A7138" i="1"/>
  <c r="B7138" i="1"/>
  <c r="C7138" i="1"/>
  <c r="E7138" i="1"/>
  <c r="G7138" i="1"/>
  <c r="K7138" i="1"/>
  <c r="A7139" i="1"/>
  <c r="B7139" i="1"/>
  <c r="C7139" i="1"/>
  <c r="E7139" i="1"/>
  <c r="G7139" i="1"/>
  <c r="K7139" i="1"/>
  <c r="A7140" i="1"/>
  <c r="B7140" i="1"/>
  <c r="C7140" i="1"/>
  <c r="E7140" i="1"/>
  <c r="G7140" i="1"/>
  <c r="K7140" i="1"/>
  <c r="A7141" i="1"/>
  <c r="B7141" i="1"/>
  <c r="C7141" i="1"/>
  <c r="E7141" i="1"/>
  <c r="G7141" i="1"/>
  <c r="K7141" i="1"/>
  <c r="A7142" i="1"/>
  <c r="B7142" i="1"/>
  <c r="C7142" i="1"/>
  <c r="E7142" i="1"/>
  <c r="G7142" i="1"/>
  <c r="K7142" i="1"/>
  <c r="A7143" i="1"/>
  <c r="B7143" i="1"/>
  <c r="C7143" i="1"/>
  <c r="E7143" i="1"/>
  <c r="G7143" i="1"/>
  <c r="K7143" i="1"/>
  <c r="A7144" i="1"/>
  <c r="B7144" i="1"/>
  <c r="C7144" i="1"/>
  <c r="E7144" i="1"/>
  <c r="G7144" i="1"/>
  <c r="K7144" i="1"/>
  <c r="A7145" i="1"/>
  <c r="B7145" i="1"/>
  <c r="C7145" i="1"/>
  <c r="E7145" i="1"/>
  <c r="G7145" i="1"/>
  <c r="K7145" i="1"/>
  <c r="A7146" i="1"/>
  <c r="B7146" i="1"/>
  <c r="C7146" i="1"/>
  <c r="E7146" i="1"/>
  <c r="G7146" i="1"/>
  <c r="K7146" i="1"/>
  <c r="A7147" i="1"/>
  <c r="B7147" i="1"/>
  <c r="C7147" i="1"/>
  <c r="E7147" i="1"/>
  <c r="G7147" i="1"/>
  <c r="K7147" i="1"/>
  <c r="A7148" i="1"/>
  <c r="B7148" i="1"/>
  <c r="C7148" i="1"/>
  <c r="E7148" i="1"/>
  <c r="G7148" i="1"/>
  <c r="K7148" i="1"/>
  <c r="A7149" i="1"/>
  <c r="B7149" i="1"/>
  <c r="C7149" i="1"/>
  <c r="E7149" i="1"/>
  <c r="G7149" i="1"/>
  <c r="K7149" i="1"/>
  <c r="A7150" i="1"/>
  <c r="B7150" i="1"/>
  <c r="C7150" i="1"/>
  <c r="E7150" i="1"/>
  <c r="G7150" i="1"/>
  <c r="K7150" i="1"/>
  <c r="A7151" i="1"/>
  <c r="B7151" i="1"/>
  <c r="C7151" i="1"/>
  <c r="E7151" i="1"/>
  <c r="G7151" i="1"/>
  <c r="K7151" i="1"/>
  <c r="A7152" i="1"/>
  <c r="B7152" i="1"/>
  <c r="C7152" i="1"/>
  <c r="E7152" i="1"/>
  <c r="G7152" i="1"/>
  <c r="K7152" i="1"/>
  <c r="A7153" i="1"/>
  <c r="B7153" i="1"/>
  <c r="C7153" i="1"/>
  <c r="E7153" i="1"/>
  <c r="G7153" i="1"/>
  <c r="K7153" i="1"/>
  <c r="A7154" i="1"/>
  <c r="B7154" i="1"/>
  <c r="C7154" i="1"/>
  <c r="E7154" i="1"/>
  <c r="G7154" i="1"/>
  <c r="K7154" i="1"/>
  <c r="A7155" i="1"/>
  <c r="B7155" i="1"/>
  <c r="C7155" i="1"/>
  <c r="E7155" i="1"/>
  <c r="G7155" i="1"/>
  <c r="K7155" i="1"/>
  <c r="A7156" i="1"/>
  <c r="B7156" i="1"/>
  <c r="C7156" i="1"/>
  <c r="E7156" i="1"/>
  <c r="G7156" i="1"/>
  <c r="K7156" i="1"/>
  <c r="A7157" i="1"/>
  <c r="B7157" i="1"/>
  <c r="C7157" i="1"/>
  <c r="E7157" i="1"/>
  <c r="G7157" i="1"/>
  <c r="K7157" i="1"/>
  <c r="A7158" i="1"/>
  <c r="B7158" i="1"/>
  <c r="C7158" i="1"/>
  <c r="E7158" i="1"/>
  <c r="G7158" i="1"/>
  <c r="K7158" i="1"/>
  <c r="A7159" i="1"/>
  <c r="B7159" i="1"/>
  <c r="C7159" i="1"/>
  <c r="E7159" i="1"/>
  <c r="G7159" i="1"/>
  <c r="K7159" i="1"/>
  <c r="A7160" i="1"/>
  <c r="B7160" i="1"/>
  <c r="C7160" i="1"/>
  <c r="E7160" i="1"/>
  <c r="G7160" i="1"/>
  <c r="K7160" i="1"/>
  <c r="A7161" i="1"/>
  <c r="B7161" i="1"/>
  <c r="C7161" i="1"/>
  <c r="E7161" i="1"/>
  <c r="G7161" i="1"/>
  <c r="K7161" i="1"/>
  <c r="A7162" i="1"/>
  <c r="B7162" i="1"/>
  <c r="C7162" i="1"/>
  <c r="E7162" i="1"/>
  <c r="G7162" i="1"/>
  <c r="K7162" i="1"/>
  <c r="A7163" i="1"/>
  <c r="B7163" i="1"/>
  <c r="C7163" i="1"/>
  <c r="E7163" i="1"/>
  <c r="G7163" i="1"/>
  <c r="K7163" i="1"/>
  <c r="A7164" i="1"/>
  <c r="B7164" i="1"/>
  <c r="C7164" i="1"/>
  <c r="E7164" i="1"/>
  <c r="G7164" i="1"/>
  <c r="K7164" i="1"/>
  <c r="A7165" i="1"/>
  <c r="B7165" i="1"/>
  <c r="C7165" i="1"/>
  <c r="E7165" i="1"/>
  <c r="G7165" i="1"/>
  <c r="K7165" i="1"/>
  <c r="A7166" i="1"/>
  <c r="B7166" i="1"/>
  <c r="C7166" i="1"/>
  <c r="E7166" i="1"/>
  <c r="G7166" i="1"/>
  <c r="K7166" i="1"/>
  <c r="A7167" i="1"/>
  <c r="B7167" i="1"/>
  <c r="C7167" i="1"/>
  <c r="E7167" i="1"/>
  <c r="G7167" i="1"/>
  <c r="K7167" i="1"/>
  <c r="A7168" i="1"/>
  <c r="B7168" i="1"/>
  <c r="C7168" i="1"/>
  <c r="E7168" i="1"/>
  <c r="G7168" i="1"/>
  <c r="K7168" i="1"/>
  <c r="A7169" i="1"/>
  <c r="B7169" i="1"/>
  <c r="C7169" i="1"/>
  <c r="E7169" i="1"/>
  <c r="G7169" i="1"/>
  <c r="K7169" i="1"/>
  <c r="A7170" i="1"/>
  <c r="B7170" i="1"/>
  <c r="C7170" i="1"/>
  <c r="E7170" i="1"/>
  <c r="G7170" i="1"/>
  <c r="K7170" i="1"/>
  <c r="A7171" i="1"/>
  <c r="B7171" i="1"/>
  <c r="C7171" i="1"/>
  <c r="E7171" i="1"/>
  <c r="G7171" i="1"/>
  <c r="K7171" i="1"/>
  <c r="A7172" i="1"/>
  <c r="B7172" i="1"/>
  <c r="C7172" i="1"/>
  <c r="E7172" i="1"/>
  <c r="G7172" i="1"/>
  <c r="K7172" i="1"/>
  <c r="A7173" i="1"/>
  <c r="B7173" i="1"/>
  <c r="C7173" i="1"/>
  <c r="E7173" i="1"/>
  <c r="G7173" i="1"/>
  <c r="K7173" i="1"/>
  <c r="A7174" i="1"/>
  <c r="B7174" i="1"/>
  <c r="C7174" i="1"/>
  <c r="E7174" i="1"/>
  <c r="G7174" i="1"/>
  <c r="K7174" i="1"/>
  <c r="A7175" i="1"/>
  <c r="B7175" i="1"/>
  <c r="C7175" i="1"/>
  <c r="E7175" i="1"/>
  <c r="G7175" i="1"/>
  <c r="K7175" i="1"/>
  <c r="A7176" i="1"/>
  <c r="B7176" i="1"/>
  <c r="C7176" i="1"/>
  <c r="E7176" i="1"/>
  <c r="G7176" i="1"/>
  <c r="K7176" i="1"/>
  <c r="A7177" i="1"/>
  <c r="B7177" i="1"/>
  <c r="C7177" i="1"/>
  <c r="E7177" i="1"/>
  <c r="G7177" i="1"/>
  <c r="K7177" i="1"/>
  <c r="A7178" i="1"/>
  <c r="B7178" i="1"/>
  <c r="C7178" i="1"/>
  <c r="E7178" i="1"/>
  <c r="G7178" i="1"/>
  <c r="K7178" i="1"/>
  <c r="A7179" i="1"/>
  <c r="B7179" i="1"/>
  <c r="C7179" i="1"/>
  <c r="E7179" i="1"/>
  <c r="G7179" i="1"/>
  <c r="K7179" i="1"/>
  <c r="A7180" i="1"/>
  <c r="B7180" i="1"/>
  <c r="C7180" i="1"/>
  <c r="E7180" i="1"/>
  <c r="G7180" i="1"/>
  <c r="K7180" i="1"/>
  <c r="A7181" i="1"/>
  <c r="B7181" i="1"/>
  <c r="C7181" i="1"/>
  <c r="E7181" i="1"/>
  <c r="G7181" i="1"/>
  <c r="K7181" i="1"/>
  <c r="A7182" i="1"/>
  <c r="B7182" i="1"/>
  <c r="C7182" i="1"/>
  <c r="E7182" i="1"/>
  <c r="G7182" i="1"/>
  <c r="K7182" i="1"/>
  <c r="A7183" i="1"/>
  <c r="B7183" i="1"/>
  <c r="C7183" i="1"/>
  <c r="E7183" i="1"/>
  <c r="G7183" i="1"/>
  <c r="K7183" i="1"/>
  <c r="A7184" i="1"/>
  <c r="B7184" i="1"/>
  <c r="C7184" i="1"/>
  <c r="E7184" i="1"/>
  <c r="G7184" i="1"/>
  <c r="K7184" i="1"/>
  <c r="A7185" i="1"/>
  <c r="B7185" i="1"/>
  <c r="C7185" i="1"/>
  <c r="E7185" i="1"/>
  <c r="G7185" i="1"/>
  <c r="K7185" i="1"/>
  <c r="A7186" i="1"/>
  <c r="B7186" i="1"/>
  <c r="C7186" i="1"/>
  <c r="E7186" i="1"/>
  <c r="G7186" i="1"/>
  <c r="K7186" i="1"/>
  <c r="A7187" i="1"/>
  <c r="B7187" i="1"/>
  <c r="C7187" i="1"/>
  <c r="E7187" i="1"/>
  <c r="G7187" i="1"/>
  <c r="K7187" i="1"/>
  <c r="A7188" i="1"/>
  <c r="B7188" i="1"/>
  <c r="C7188" i="1"/>
  <c r="E7188" i="1"/>
  <c r="G7188" i="1"/>
  <c r="K7188" i="1"/>
  <c r="A7189" i="1"/>
  <c r="B7189" i="1"/>
  <c r="C7189" i="1"/>
  <c r="E7189" i="1"/>
  <c r="G7189" i="1"/>
  <c r="K7189" i="1"/>
  <c r="A7190" i="1"/>
  <c r="B7190" i="1"/>
  <c r="C7190" i="1"/>
  <c r="E7190" i="1"/>
  <c r="G7190" i="1"/>
  <c r="K7190" i="1"/>
  <c r="A7191" i="1"/>
  <c r="B7191" i="1"/>
  <c r="C7191" i="1"/>
  <c r="E7191" i="1"/>
  <c r="G7191" i="1"/>
  <c r="K7191" i="1"/>
  <c r="A7192" i="1"/>
  <c r="B7192" i="1"/>
  <c r="C7192" i="1"/>
  <c r="E7192" i="1"/>
  <c r="G7192" i="1"/>
  <c r="K7192" i="1"/>
  <c r="A7193" i="1"/>
  <c r="B7193" i="1"/>
  <c r="C7193" i="1"/>
  <c r="E7193" i="1"/>
  <c r="G7193" i="1"/>
  <c r="K7193" i="1"/>
  <c r="A7194" i="1"/>
  <c r="B7194" i="1"/>
  <c r="C7194" i="1"/>
  <c r="E7194" i="1"/>
  <c r="G7194" i="1"/>
  <c r="K7194" i="1"/>
  <c r="A7195" i="1"/>
  <c r="B7195" i="1"/>
  <c r="C7195" i="1"/>
  <c r="E7195" i="1"/>
  <c r="G7195" i="1"/>
  <c r="K7195" i="1"/>
  <c r="A7196" i="1"/>
  <c r="B7196" i="1"/>
  <c r="C7196" i="1"/>
  <c r="E7196" i="1"/>
  <c r="G7196" i="1"/>
  <c r="K7196" i="1"/>
  <c r="A7197" i="1"/>
  <c r="B7197" i="1"/>
  <c r="C7197" i="1"/>
  <c r="E7197" i="1"/>
  <c r="G7197" i="1"/>
  <c r="K7197" i="1"/>
  <c r="A7198" i="1"/>
  <c r="B7198" i="1"/>
  <c r="C7198" i="1"/>
  <c r="E7198" i="1"/>
  <c r="G7198" i="1"/>
  <c r="K7198" i="1"/>
  <c r="A7199" i="1"/>
  <c r="B7199" i="1"/>
  <c r="C7199" i="1"/>
  <c r="E7199" i="1"/>
  <c r="G7199" i="1"/>
  <c r="K7199" i="1"/>
  <c r="A7200" i="1"/>
  <c r="B7200" i="1"/>
  <c r="C7200" i="1"/>
  <c r="E7200" i="1"/>
  <c r="G7200" i="1"/>
  <c r="K7200" i="1"/>
  <c r="A7201" i="1"/>
  <c r="B7201" i="1"/>
  <c r="C7201" i="1"/>
  <c r="E7201" i="1"/>
  <c r="G7201" i="1"/>
  <c r="K7201" i="1"/>
  <c r="A7202" i="1"/>
  <c r="B7202" i="1"/>
  <c r="C7202" i="1"/>
  <c r="E7202" i="1"/>
  <c r="G7202" i="1"/>
  <c r="K7202" i="1"/>
  <c r="A7203" i="1"/>
  <c r="B7203" i="1"/>
  <c r="C7203" i="1"/>
  <c r="E7203" i="1"/>
  <c r="G7203" i="1"/>
  <c r="K7203" i="1"/>
  <c r="A7204" i="1"/>
  <c r="B7204" i="1"/>
  <c r="C7204" i="1"/>
  <c r="E7204" i="1"/>
  <c r="G7204" i="1"/>
  <c r="K7204" i="1"/>
  <c r="A7205" i="1"/>
  <c r="B7205" i="1"/>
  <c r="C7205" i="1"/>
  <c r="E7205" i="1"/>
  <c r="G7205" i="1"/>
  <c r="K7205" i="1"/>
  <c r="A7206" i="1"/>
  <c r="B7206" i="1"/>
  <c r="C7206" i="1"/>
  <c r="E7206" i="1"/>
  <c r="G7206" i="1"/>
  <c r="K7206" i="1"/>
  <c r="A7207" i="1"/>
  <c r="B7207" i="1"/>
  <c r="C7207" i="1"/>
  <c r="E7207" i="1"/>
  <c r="G7207" i="1"/>
  <c r="K7207" i="1"/>
  <c r="A7208" i="1"/>
  <c r="B7208" i="1"/>
  <c r="C7208" i="1"/>
  <c r="E7208" i="1"/>
  <c r="G7208" i="1"/>
  <c r="K7208" i="1"/>
  <c r="A7209" i="1"/>
  <c r="B7209" i="1"/>
  <c r="C7209" i="1"/>
  <c r="E7209" i="1"/>
  <c r="G7209" i="1"/>
  <c r="K7209" i="1"/>
  <c r="A7210" i="1"/>
  <c r="B7210" i="1"/>
  <c r="C7210" i="1"/>
  <c r="E7210" i="1"/>
  <c r="G7210" i="1"/>
  <c r="K7210" i="1"/>
  <c r="A7211" i="1"/>
  <c r="B7211" i="1"/>
  <c r="C7211" i="1"/>
  <c r="E7211" i="1"/>
  <c r="G7211" i="1"/>
  <c r="K7211" i="1"/>
  <c r="A7212" i="1"/>
  <c r="B7212" i="1"/>
  <c r="C7212" i="1"/>
  <c r="E7212" i="1"/>
  <c r="G7212" i="1"/>
  <c r="K7212" i="1"/>
  <c r="A7213" i="1"/>
  <c r="B7213" i="1"/>
  <c r="C7213" i="1"/>
  <c r="E7213" i="1"/>
  <c r="G7213" i="1"/>
  <c r="K7213" i="1"/>
  <c r="A7214" i="1"/>
  <c r="B7214" i="1"/>
  <c r="C7214" i="1"/>
  <c r="E7214" i="1"/>
  <c r="G7214" i="1"/>
  <c r="K7214" i="1"/>
  <c r="A7215" i="1"/>
  <c r="B7215" i="1"/>
  <c r="C7215" i="1"/>
  <c r="E7215" i="1"/>
  <c r="G7215" i="1"/>
  <c r="K7215" i="1"/>
  <c r="A7216" i="1"/>
  <c r="B7216" i="1"/>
  <c r="C7216" i="1"/>
  <c r="E7216" i="1"/>
  <c r="G7216" i="1"/>
  <c r="K7216" i="1"/>
  <c r="A7217" i="1"/>
  <c r="B7217" i="1"/>
  <c r="C7217" i="1"/>
  <c r="E7217" i="1"/>
  <c r="G7217" i="1"/>
  <c r="K7217" i="1"/>
  <c r="A7218" i="1"/>
  <c r="B7218" i="1"/>
  <c r="C7218" i="1"/>
  <c r="E7218" i="1"/>
  <c r="G7218" i="1"/>
  <c r="K7218" i="1"/>
  <c r="A7219" i="1"/>
  <c r="B7219" i="1"/>
  <c r="C7219" i="1"/>
  <c r="E7219" i="1"/>
  <c r="G7219" i="1"/>
  <c r="K7219" i="1"/>
  <c r="A7220" i="1"/>
  <c r="B7220" i="1"/>
  <c r="C7220" i="1"/>
  <c r="E7220" i="1"/>
  <c r="G7220" i="1"/>
  <c r="K7220" i="1"/>
  <c r="A7221" i="1"/>
  <c r="B7221" i="1"/>
  <c r="C7221" i="1"/>
  <c r="E7221" i="1"/>
  <c r="G7221" i="1"/>
  <c r="K7221" i="1"/>
  <c r="A7222" i="1"/>
  <c r="B7222" i="1"/>
  <c r="C7222" i="1"/>
  <c r="E7222" i="1"/>
  <c r="G7222" i="1"/>
  <c r="K7222" i="1"/>
  <c r="A7223" i="1"/>
  <c r="B7223" i="1"/>
  <c r="C7223" i="1"/>
  <c r="E7223" i="1"/>
  <c r="G7223" i="1"/>
  <c r="K7223" i="1"/>
  <c r="A7224" i="1"/>
  <c r="B7224" i="1"/>
  <c r="C7224" i="1"/>
  <c r="E7224" i="1"/>
  <c r="G7224" i="1"/>
  <c r="K7224" i="1"/>
  <c r="A7225" i="1"/>
  <c r="B7225" i="1"/>
  <c r="C7225" i="1"/>
  <c r="E7225" i="1"/>
  <c r="G7225" i="1"/>
  <c r="K7225" i="1"/>
  <c r="A7226" i="1"/>
  <c r="B7226" i="1"/>
  <c r="C7226" i="1"/>
  <c r="E7226" i="1"/>
  <c r="G7226" i="1"/>
  <c r="K7226" i="1"/>
  <c r="A7227" i="1"/>
  <c r="B7227" i="1"/>
  <c r="C7227" i="1"/>
  <c r="E7227" i="1"/>
  <c r="G7227" i="1"/>
  <c r="K7227" i="1"/>
  <c r="A7228" i="1"/>
  <c r="B7228" i="1"/>
  <c r="C7228" i="1"/>
  <c r="E7228" i="1"/>
  <c r="G7228" i="1"/>
  <c r="K7228" i="1"/>
  <c r="A7229" i="1"/>
  <c r="B7229" i="1"/>
  <c r="C7229" i="1"/>
  <c r="E7229" i="1"/>
  <c r="G7229" i="1"/>
  <c r="K7229" i="1"/>
  <c r="A7230" i="1"/>
  <c r="B7230" i="1"/>
  <c r="C7230" i="1"/>
  <c r="E7230" i="1"/>
  <c r="G7230" i="1"/>
  <c r="K7230" i="1"/>
  <c r="A7231" i="1"/>
  <c r="B7231" i="1"/>
  <c r="C7231" i="1"/>
  <c r="E7231" i="1"/>
  <c r="G7231" i="1"/>
  <c r="K7231" i="1"/>
  <c r="A7232" i="1"/>
  <c r="B7232" i="1"/>
  <c r="C7232" i="1"/>
  <c r="E7232" i="1"/>
  <c r="G7232" i="1"/>
  <c r="K7232" i="1"/>
  <c r="A7233" i="1"/>
  <c r="B7233" i="1"/>
  <c r="C7233" i="1"/>
  <c r="E7233" i="1"/>
  <c r="G7233" i="1"/>
  <c r="K7233" i="1"/>
  <c r="A7234" i="1"/>
  <c r="B7234" i="1"/>
  <c r="C7234" i="1"/>
  <c r="E7234" i="1"/>
  <c r="G7234" i="1"/>
  <c r="K7234" i="1"/>
  <c r="A7235" i="1"/>
  <c r="B7235" i="1"/>
  <c r="C7235" i="1"/>
  <c r="E7235" i="1"/>
  <c r="G7235" i="1"/>
  <c r="K7235" i="1"/>
  <c r="A7236" i="1"/>
  <c r="B7236" i="1"/>
  <c r="C7236" i="1"/>
  <c r="E7236" i="1"/>
  <c r="G7236" i="1"/>
  <c r="K7236" i="1"/>
  <c r="A7237" i="1"/>
  <c r="B7237" i="1"/>
  <c r="C7237" i="1"/>
  <c r="E7237" i="1"/>
  <c r="G7237" i="1"/>
  <c r="K7237" i="1"/>
  <c r="A7238" i="1"/>
  <c r="B7238" i="1"/>
  <c r="C7238" i="1"/>
  <c r="E7238" i="1"/>
  <c r="G7238" i="1"/>
  <c r="K7238" i="1"/>
  <c r="A7239" i="1"/>
  <c r="B7239" i="1"/>
  <c r="C7239" i="1"/>
  <c r="E7239" i="1"/>
  <c r="G7239" i="1"/>
  <c r="K7239" i="1"/>
  <c r="A7240" i="1"/>
  <c r="B7240" i="1"/>
  <c r="C7240" i="1"/>
  <c r="E7240" i="1"/>
  <c r="G7240" i="1"/>
  <c r="K7240" i="1"/>
  <c r="A7241" i="1"/>
  <c r="B7241" i="1"/>
  <c r="C7241" i="1"/>
  <c r="E7241" i="1"/>
  <c r="G7241" i="1"/>
  <c r="K7241" i="1"/>
  <c r="A7242" i="1"/>
  <c r="B7242" i="1"/>
  <c r="C7242" i="1"/>
  <c r="E7242" i="1"/>
  <c r="G7242" i="1"/>
  <c r="K7242" i="1"/>
  <c r="A7243" i="1"/>
  <c r="B7243" i="1"/>
  <c r="C7243" i="1"/>
  <c r="E7243" i="1"/>
  <c r="G7243" i="1"/>
  <c r="K7243" i="1"/>
  <c r="A7244" i="1"/>
  <c r="B7244" i="1"/>
  <c r="C7244" i="1"/>
  <c r="E7244" i="1"/>
  <c r="G7244" i="1"/>
  <c r="K7244" i="1"/>
  <c r="A7245" i="1"/>
  <c r="B7245" i="1"/>
  <c r="C7245" i="1"/>
  <c r="E7245" i="1"/>
  <c r="G7245" i="1"/>
  <c r="K7245" i="1"/>
  <c r="A7246" i="1"/>
  <c r="B7246" i="1"/>
  <c r="C7246" i="1"/>
  <c r="E7246" i="1"/>
  <c r="G7246" i="1"/>
  <c r="K7246" i="1"/>
  <c r="A7247" i="1"/>
  <c r="B7247" i="1"/>
  <c r="C7247" i="1"/>
  <c r="E7247" i="1"/>
  <c r="G7247" i="1"/>
  <c r="K7247" i="1"/>
  <c r="A7248" i="1"/>
  <c r="B7248" i="1"/>
  <c r="C7248" i="1"/>
  <c r="E7248" i="1"/>
  <c r="G7248" i="1"/>
  <c r="K7248" i="1"/>
  <c r="A7249" i="1"/>
  <c r="B7249" i="1"/>
  <c r="C7249" i="1"/>
  <c r="E7249" i="1"/>
  <c r="G7249" i="1"/>
  <c r="K7249" i="1"/>
  <c r="A7250" i="1"/>
  <c r="B7250" i="1"/>
  <c r="C7250" i="1"/>
  <c r="E7250" i="1"/>
  <c r="G7250" i="1"/>
  <c r="K7250" i="1"/>
  <c r="A7251" i="1"/>
  <c r="B7251" i="1"/>
  <c r="C7251" i="1"/>
  <c r="E7251" i="1"/>
  <c r="G7251" i="1"/>
  <c r="K7251" i="1"/>
  <c r="A7252" i="1"/>
  <c r="B7252" i="1"/>
  <c r="C7252" i="1"/>
  <c r="E7252" i="1"/>
  <c r="G7252" i="1"/>
  <c r="K7252" i="1"/>
  <c r="A7253" i="1"/>
  <c r="B7253" i="1"/>
  <c r="C7253" i="1"/>
  <c r="E7253" i="1"/>
  <c r="G7253" i="1"/>
  <c r="K7253" i="1"/>
  <c r="A7254" i="1"/>
  <c r="B7254" i="1"/>
  <c r="C7254" i="1"/>
  <c r="E7254" i="1"/>
  <c r="G7254" i="1"/>
  <c r="K7254" i="1"/>
  <c r="A7255" i="1"/>
  <c r="B7255" i="1"/>
  <c r="C7255" i="1"/>
  <c r="E7255" i="1"/>
  <c r="G7255" i="1"/>
  <c r="K7255" i="1"/>
  <c r="A7256" i="1"/>
  <c r="B7256" i="1"/>
  <c r="C7256" i="1"/>
  <c r="E7256" i="1"/>
  <c r="G7256" i="1"/>
  <c r="K7256" i="1"/>
  <c r="A7257" i="1"/>
  <c r="B7257" i="1"/>
  <c r="C7257" i="1"/>
  <c r="E7257" i="1"/>
  <c r="G7257" i="1"/>
  <c r="K7257" i="1"/>
  <c r="A7258" i="1"/>
  <c r="B7258" i="1"/>
  <c r="C7258" i="1"/>
  <c r="E7258" i="1"/>
  <c r="G7258" i="1"/>
  <c r="K7258" i="1"/>
  <c r="A7259" i="1"/>
  <c r="B7259" i="1"/>
  <c r="C7259" i="1"/>
  <c r="E7259" i="1"/>
  <c r="G7259" i="1"/>
  <c r="K7259" i="1"/>
  <c r="A7260" i="1"/>
  <c r="B7260" i="1"/>
  <c r="C7260" i="1"/>
  <c r="E7260" i="1"/>
  <c r="G7260" i="1"/>
  <c r="K7260" i="1"/>
  <c r="A7261" i="1"/>
  <c r="B7261" i="1"/>
  <c r="C7261" i="1"/>
  <c r="E7261" i="1"/>
  <c r="G7261" i="1"/>
  <c r="K7261" i="1"/>
  <c r="A7262" i="1"/>
  <c r="B7262" i="1"/>
  <c r="C7262" i="1"/>
  <c r="E7262" i="1"/>
  <c r="G7262" i="1"/>
  <c r="K7262" i="1"/>
  <c r="A7263" i="1"/>
  <c r="B7263" i="1"/>
  <c r="C7263" i="1"/>
  <c r="E7263" i="1"/>
  <c r="G7263" i="1"/>
  <c r="K7263" i="1"/>
  <c r="A7264" i="1"/>
  <c r="B7264" i="1"/>
  <c r="C7264" i="1"/>
  <c r="E7264" i="1"/>
  <c r="G7264" i="1"/>
  <c r="K7264" i="1"/>
  <c r="A7265" i="1"/>
  <c r="B7265" i="1"/>
  <c r="C7265" i="1"/>
  <c r="E7265" i="1"/>
  <c r="G7265" i="1"/>
  <c r="K7265" i="1"/>
  <c r="A7266" i="1"/>
  <c r="B7266" i="1"/>
  <c r="C7266" i="1"/>
  <c r="E7266" i="1"/>
  <c r="G7266" i="1"/>
  <c r="K7266" i="1"/>
  <c r="A7267" i="1"/>
  <c r="B7267" i="1"/>
  <c r="C7267" i="1"/>
  <c r="E7267" i="1"/>
  <c r="G7267" i="1"/>
  <c r="K7267" i="1"/>
  <c r="A7268" i="1"/>
  <c r="B7268" i="1"/>
  <c r="C7268" i="1"/>
  <c r="E7268" i="1"/>
  <c r="G7268" i="1"/>
  <c r="K7268" i="1"/>
  <c r="A7269" i="1"/>
  <c r="B7269" i="1"/>
  <c r="C7269" i="1"/>
  <c r="E7269" i="1"/>
  <c r="G7269" i="1"/>
  <c r="K7269" i="1"/>
  <c r="A7270" i="1"/>
  <c r="B7270" i="1"/>
  <c r="C7270" i="1"/>
  <c r="E7270" i="1"/>
  <c r="G7270" i="1"/>
  <c r="K7270" i="1"/>
  <c r="A7271" i="1"/>
  <c r="B7271" i="1"/>
  <c r="C7271" i="1"/>
  <c r="E7271" i="1"/>
  <c r="G7271" i="1"/>
  <c r="K7271" i="1"/>
  <c r="A7272" i="1"/>
  <c r="B7272" i="1"/>
  <c r="C7272" i="1"/>
  <c r="E7272" i="1"/>
  <c r="G7272" i="1"/>
  <c r="K7272" i="1"/>
  <c r="A7273" i="1"/>
  <c r="B7273" i="1"/>
  <c r="C7273" i="1"/>
  <c r="E7273" i="1"/>
  <c r="G7273" i="1"/>
  <c r="K7273" i="1"/>
  <c r="A7274" i="1"/>
  <c r="B7274" i="1"/>
  <c r="C7274" i="1"/>
  <c r="E7274" i="1"/>
  <c r="G7274" i="1"/>
  <c r="K7274" i="1"/>
  <c r="A7275" i="1"/>
  <c r="B7275" i="1"/>
  <c r="C7275" i="1"/>
  <c r="E7275" i="1"/>
  <c r="G7275" i="1"/>
  <c r="K7275" i="1"/>
  <c r="A7276" i="1"/>
  <c r="B7276" i="1"/>
  <c r="C7276" i="1"/>
  <c r="E7276" i="1"/>
  <c r="G7276" i="1"/>
  <c r="K7276" i="1"/>
  <c r="A7277" i="1"/>
  <c r="B7277" i="1"/>
  <c r="C7277" i="1"/>
  <c r="E7277" i="1"/>
  <c r="G7277" i="1"/>
  <c r="K7277" i="1"/>
  <c r="A7278" i="1"/>
  <c r="B7278" i="1"/>
  <c r="C7278" i="1"/>
  <c r="E7278" i="1"/>
  <c r="G7278" i="1"/>
  <c r="K7278" i="1"/>
  <c r="A7279" i="1"/>
  <c r="B7279" i="1"/>
  <c r="C7279" i="1"/>
  <c r="E7279" i="1"/>
  <c r="G7279" i="1"/>
  <c r="K7279" i="1"/>
  <c r="A7280" i="1"/>
  <c r="B7280" i="1"/>
  <c r="C7280" i="1"/>
  <c r="E7280" i="1"/>
  <c r="G7280" i="1"/>
  <c r="K7280" i="1"/>
  <c r="A7281" i="1"/>
  <c r="B7281" i="1"/>
  <c r="C7281" i="1"/>
  <c r="E7281" i="1"/>
  <c r="G7281" i="1"/>
  <c r="K7281" i="1"/>
  <c r="A7282" i="1"/>
  <c r="B7282" i="1"/>
  <c r="C7282" i="1"/>
  <c r="E7282" i="1"/>
  <c r="G7282" i="1"/>
  <c r="K7282" i="1"/>
  <c r="A7283" i="1"/>
  <c r="B7283" i="1"/>
  <c r="C7283" i="1"/>
  <c r="E7283" i="1"/>
  <c r="G7283" i="1"/>
  <c r="K7283" i="1"/>
  <c r="A7284" i="1"/>
  <c r="B7284" i="1"/>
  <c r="C7284" i="1"/>
  <c r="E7284" i="1"/>
  <c r="G7284" i="1"/>
  <c r="K7284" i="1"/>
  <c r="A7285" i="1"/>
  <c r="B7285" i="1"/>
  <c r="C7285" i="1"/>
  <c r="E7285" i="1"/>
  <c r="G7285" i="1"/>
  <c r="K7285" i="1"/>
  <c r="A7286" i="1"/>
  <c r="B7286" i="1"/>
  <c r="C7286" i="1"/>
  <c r="E7286" i="1"/>
  <c r="G7286" i="1"/>
  <c r="K7286" i="1"/>
  <c r="A7287" i="1"/>
  <c r="B7287" i="1"/>
  <c r="C7287" i="1"/>
  <c r="E7287" i="1"/>
  <c r="G7287" i="1"/>
  <c r="K7287" i="1"/>
  <c r="A7288" i="1"/>
  <c r="B7288" i="1"/>
  <c r="C7288" i="1"/>
  <c r="E7288" i="1"/>
  <c r="G7288" i="1"/>
  <c r="K7288" i="1"/>
  <c r="A7289" i="1"/>
  <c r="B7289" i="1"/>
  <c r="C7289" i="1"/>
  <c r="E7289" i="1"/>
  <c r="G7289" i="1"/>
  <c r="K7289" i="1"/>
  <c r="A7290" i="1"/>
  <c r="B7290" i="1"/>
  <c r="C7290" i="1"/>
  <c r="E7290" i="1"/>
  <c r="G7290" i="1"/>
  <c r="K7290" i="1"/>
  <c r="A7291" i="1"/>
  <c r="B7291" i="1"/>
  <c r="C7291" i="1"/>
  <c r="E7291" i="1"/>
  <c r="G7291" i="1"/>
  <c r="K7291" i="1"/>
  <c r="A7292" i="1"/>
  <c r="B7292" i="1"/>
  <c r="C7292" i="1"/>
  <c r="E7292" i="1"/>
  <c r="G7292" i="1"/>
  <c r="K7292" i="1"/>
  <c r="A7293" i="1"/>
  <c r="B7293" i="1"/>
  <c r="C7293" i="1"/>
  <c r="E7293" i="1"/>
  <c r="G7293" i="1"/>
  <c r="K7293" i="1"/>
  <c r="A7294" i="1"/>
  <c r="B7294" i="1"/>
  <c r="C7294" i="1"/>
  <c r="E7294" i="1"/>
  <c r="G7294" i="1"/>
  <c r="K7294" i="1"/>
  <c r="A7295" i="1"/>
  <c r="B7295" i="1"/>
  <c r="C7295" i="1"/>
  <c r="E7295" i="1"/>
  <c r="G7295" i="1"/>
  <c r="K7295" i="1"/>
  <c r="A7296" i="1"/>
  <c r="B7296" i="1"/>
  <c r="C7296" i="1"/>
  <c r="E7296" i="1"/>
  <c r="G7296" i="1"/>
  <c r="K7296" i="1"/>
  <c r="A7297" i="1"/>
  <c r="B7297" i="1"/>
  <c r="C7297" i="1"/>
  <c r="E7297" i="1"/>
  <c r="G7297" i="1"/>
  <c r="K7297" i="1"/>
  <c r="A7298" i="1"/>
  <c r="B7298" i="1"/>
  <c r="C7298" i="1"/>
  <c r="E7298" i="1"/>
  <c r="G7298" i="1"/>
  <c r="K7298" i="1"/>
  <c r="A7299" i="1"/>
  <c r="B7299" i="1"/>
  <c r="C7299" i="1"/>
  <c r="E7299" i="1"/>
  <c r="G7299" i="1"/>
  <c r="K7299" i="1"/>
  <c r="A7300" i="1"/>
  <c r="B7300" i="1"/>
  <c r="C7300" i="1"/>
  <c r="E7300" i="1"/>
  <c r="G7300" i="1"/>
  <c r="K7300" i="1"/>
  <c r="A7301" i="1"/>
  <c r="B7301" i="1"/>
  <c r="C7301" i="1"/>
  <c r="E7301" i="1"/>
  <c r="G7301" i="1"/>
  <c r="K7301" i="1"/>
  <c r="A7302" i="1"/>
  <c r="B7302" i="1"/>
  <c r="C7302" i="1"/>
  <c r="E7302" i="1"/>
  <c r="G7302" i="1"/>
  <c r="K7302" i="1"/>
  <c r="A7303" i="1"/>
  <c r="B7303" i="1"/>
  <c r="C7303" i="1"/>
  <c r="E7303" i="1"/>
  <c r="G7303" i="1"/>
  <c r="K7303" i="1"/>
  <c r="A7304" i="1"/>
  <c r="B7304" i="1"/>
  <c r="C7304" i="1"/>
  <c r="E7304" i="1"/>
  <c r="G7304" i="1"/>
  <c r="K7304" i="1"/>
  <c r="A7305" i="1"/>
  <c r="B7305" i="1"/>
  <c r="C7305" i="1"/>
  <c r="E7305" i="1"/>
  <c r="G7305" i="1"/>
  <c r="K7305" i="1"/>
  <c r="A7306" i="1"/>
  <c r="B7306" i="1"/>
  <c r="C7306" i="1"/>
  <c r="E7306" i="1"/>
  <c r="G7306" i="1"/>
  <c r="K7306" i="1"/>
  <c r="A7307" i="1"/>
  <c r="B7307" i="1"/>
  <c r="C7307" i="1"/>
  <c r="E7307" i="1"/>
  <c r="G7307" i="1"/>
  <c r="K7307" i="1"/>
  <c r="A7308" i="1"/>
  <c r="B7308" i="1"/>
  <c r="C7308" i="1"/>
  <c r="E7308" i="1"/>
  <c r="G7308" i="1"/>
  <c r="K7308" i="1"/>
  <c r="A7309" i="1"/>
  <c r="B7309" i="1"/>
  <c r="C7309" i="1"/>
  <c r="E7309" i="1"/>
  <c r="G7309" i="1"/>
  <c r="K7309" i="1"/>
  <c r="A7310" i="1"/>
  <c r="B7310" i="1"/>
  <c r="C7310" i="1"/>
  <c r="E7310" i="1"/>
  <c r="G7310" i="1"/>
  <c r="K7310" i="1"/>
  <c r="A7311" i="1"/>
  <c r="B7311" i="1"/>
  <c r="C7311" i="1"/>
  <c r="E7311" i="1"/>
  <c r="G7311" i="1"/>
  <c r="K7311" i="1"/>
  <c r="A7312" i="1"/>
  <c r="B7312" i="1"/>
  <c r="C7312" i="1"/>
  <c r="E7312" i="1"/>
  <c r="G7312" i="1"/>
  <c r="K7312" i="1"/>
  <c r="A7313" i="1"/>
  <c r="B7313" i="1"/>
  <c r="C7313" i="1"/>
  <c r="E7313" i="1"/>
  <c r="G7313" i="1"/>
  <c r="K7313" i="1"/>
  <c r="A7314" i="1"/>
  <c r="B7314" i="1"/>
  <c r="C7314" i="1"/>
  <c r="E7314" i="1"/>
  <c r="G7314" i="1"/>
  <c r="K7314" i="1"/>
  <c r="A7315" i="1"/>
  <c r="B7315" i="1"/>
  <c r="C7315" i="1"/>
  <c r="E7315" i="1"/>
  <c r="G7315" i="1"/>
  <c r="K7315" i="1"/>
  <c r="A7316" i="1"/>
  <c r="B7316" i="1"/>
  <c r="C7316" i="1"/>
  <c r="E7316" i="1"/>
  <c r="G7316" i="1"/>
  <c r="K7316" i="1"/>
  <c r="A7317" i="1"/>
  <c r="B7317" i="1"/>
  <c r="C7317" i="1"/>
  <c r="E7317" i="1"/>
  <c r="G7317" i="1"/>
  <c r="K7317" i="1"/>
  <c r="A7318" i="1"/>
  <c r="B7318" i="1"/>
  <c r="C7318" i="1"/>
  <c r="E7318" i="1"/>
  <c r="G7318" i="1"/>
  <c r="K7318" i="1"/>
  <c r="A7319" i="1"/>
  <c r="B7319" i="1"/>
  <c r="C7319" i="1"/>
  <c r="E7319" i="1"/>
  <c r="G7319" i="1"/>
  <c r="K7319" i="1"/>
  <c r="A7320" i="1"/>
  <c r="B7320" i="1"/>
  <c r="C7320" i="1"/>
  <c r="E7320" i="1"/>
  <c r="G7320" i="1"/>
  <c r="K7320" i="1"/>
  <c r="A7321" i="1"/>
  <c r="B7321" i="1"/>
  <c r="C7321" i="1"/>
  <c r="E7321" i="1"/>
  <c r="G7321" i="1"/>
  <c r="K7321" i="1"/>
  <c r="A7322" i="1"/>
  <c r="B7322" i="1"/>
  <c r="C7322" i="1"/>
  <c r="E7322" i="1"/>
  <c r="G7322" i="1"/>
  <c r="K7322" i="1"/>
  <c r="A7323" i="1"/>
  <c r="B7323" i="1"/>
  <c r="C7323" i="1"/>
  <c r="E7323" i="1"/>
  <c r="G7323" i="1"/>
  <c r="K7323" i="1"/>
  <c r="A7324" i="1"/>
  <c r="B7324" i="1"/>
  <c r="C7324" i="1"/>
  <c r="E7324" i="1"/>
  <c r="G7324" i="1"/>
  <c r="K7324" i="1"/>
  <c r="A7325" i="1"/>
  <c r="B7325" i="1"/>
  <c r="C7325" i="1"/>
  <c r="E7325" i="1"/>
  <c r="G7325" i="1"/>
  <c r="K7325" i="1"/>
  <c r="A7326" i="1"/>
  <c r="B7326" i="1"/>
  <c r="C7326" i="1"/>
  <c r="E7326" i="1"/>
  <c r="G7326" i="1"/>
  <c r="K7326" i="1"/>
  <c r="A7327" i="1"/>
  <c r="B7327" i="1"/>
  <c r="C7327" i="1"/>
  <c r="E7327" i="1"/>
  <c r="G7327" i="1"/>
  <c r="K7327" i="1"/>
  <c r="A7328" i="1"/>
  <c r="B7328" i="1"/>
  <c r="C7328" i="1"/>
  <c r="E7328" i="1"/>
  <c r="G7328" i="1"/>
  <c r="K7328" i="1"/>
  <c r="A7329" i="1"/>
  <c r="B7329" i="1"/>
  <c r="C7329" i="1"/>
  <c r="E7329" i="1"/>
  <c r="G7329" i="1"/>
  <c r="K7329" i="1"/>
  <c r="A7330" i="1"/>
  <c r="B7330" i="1"/>
  <c r="C7330" i="1"/>
  <c r="E7330" i="1"/>
  <c r="G7330" i="1"/>
  <c r="K7330" i="1"/>
  <c r="A7331" i="1"/>
  <c r="B7331" i="1"/>
  <c r="C7331" i="1"/>
  <c r="E7331" i="1"/>
  <c r="G7331" i="1"/>
  <c r="K7331" i="1"/>
  <c r="A7332" i="1"/>
  <c r="B7332" i="1"/>
  <c r="C7332" i="1"/>
  <c r="E7332" i="1"/>
  <c r="G7332" i="1"/>
  <c r="K7332" i="1"/>
  <c r="A7333" i="1"/>
  <c r="B7333" i="1"/>
  <c r="C7333" i="1"/>
  <c r="E7333" i="1"/>
  <c r="G7333" i="1"/>
  <c r="K7333" i="1"/>
  <c r="A7334" i="1"/>
  <c r="B7334" i="1"/>
  <c r="C7334" i="1"/>
  <c r="E7334" i="1"/>
  <c r="G7334" i="1"/>
  <c r="K7334" i="1"/>
  <c r="A7335" i="1"/>
  <c r="B7335" i="1"/>
  <c r="C7335" i="1"/>
  <c r="E7335" i="1"/>
  <c r="G7335" i="1"/>
  <c r="K7335" i="1"/>
  <c r="A7336" i="1"/>
  <c r="B7336" i="1"/>
  <c r="C7336" i="1"/>
  <c r="E7336" i="1"/>
  <c r="G7336" i="1"/>
  <c r="K7336" i="1"/>
  <c r="A7337" i="1"/>
  <c r="B7337" i="1"/>
  <c r="C7337" i="1"/>
  <c r="E7337" i="1"/>
  <c r="G7337" i="1"/>
  <c r="K7337" i="1"/>
  <c r="A7338" i="1"/>
  <c r="B7338" i="1"/>
  <c r="C7338" i="1"/>
  <c r="E7338" i="1"/>
  <c r="G7338" i="1"/>
  <c r="K7338" i="1"/>
  <c r="A7339" i="1"/>
  <c r="B7339" i="1"/>
  <c r="C7339" i="1"/>
  <c r="E7339" i="1"/>
  <c r="G7339" i="1"/>
  <c r="K7339" i="1"/>
  <c r="A7340" i="1"/>
  <c r="B7340" i="1"/>
  <c r="C7340" i="1"/>
  <c r="E7340" i="1"/>
  <c r="G7340" i="1"/>
  <c r="K7340" i="1"/>
  <c r="A7341" i="1"/>
  <c r="B7341" i="1"/>
  <c r="C7341" i="1"/>
  <c r="E7341" i="1"/>
  <c r="G7341" i="1"/>
  <c r="K7341" i="1"/>
  <c r="A7342" i="1"/>
  <c r="B7342" i="1"/>
  <c r="C7342" i="1"/>
  <c r="E7342" i="1"/>
  <c r="G7342" i="1"/>
  <c r="K7342" i="1"/>
  <c r="A7343" i="1"/>
  <c r="B7343" i="1"/>
  <c r="C7343" i="1"/>
  <c r="E7343" i="1"/>
  <c r="G7343" i="1"/>
  <c r="K7343" i="1"/>
  <c r="A7344" i="1"/>
  <c r="B7344" i="1"/>
  <c r="C7344" i="1"/>
  <c r="E7344" i="1"/>
  <c r="G7344" i="1"/>
  <c r="K7344" i="1"/>
  <c r="A7345" i="1"/>
  <c r="B7345" i="1"/>
  <c r="C7345" i="1"/>
  <c r="E7345" i="1"/>
  <c r="G7345" i="1"/>
  <c r="K7345" i="1"/>
  <c r="A7346" i="1"/>
  <c r="B7346" i="1"/>
  <c r="C7346" i="1"/>
  <c r="E7346" i="1"/>
  <c r="G7346" i="1"/>
  <c r="K7346" i="1"/>
  <c r="A7347" i="1"/>
  <c r="B7347" i="1"/>
  <c r="C7347" i="1"/>
  <c r="E7347" i="1"/>
  <c r="G7347" i="1"/>
  <c r="K7347" i="1"/>
  <c r="A7348" i="1"/>
  <c r="B7348" i="1"/>
  <c r="C7348" i="1"/>
  <c r="E7348" i="1"/>
  <c r="G7348" i="1"/>
  <c r="K7348" i="1"/>
  <c r="A7349" i="1"/>
  <c r="B7349" i="1"/>
  <c r="C7349" i="1"/>
  <c r="E7349" i="1"/>
  <c r="G7349" i="1"/>
  <c r="K7349" i="1"/>
  <c r="A7350" i="1"/>
  <c r="B7350" i="1"/>
  <c r="C7350" i="1"/>
  <c r="E7350" i="1"/>
  <c r="G7350" i="1"/>
  <c r="K7350" i="1"/>
  <c r="A7351" i="1"/>
  <c r="B7351" i="1"/>
  <c r="C7351" i="1"/>
  <c r="E7351" i="1"/>
  <c r="G7351" i="1"/>
  <c r="K7351" i="1"/>
  <c r="A7352" i="1"/>
  <c r="B7352" i="1"/>
  <c r="C7352" i="1"/>
  <c r="E7352" i="1"/>
  <c r="G7352" i="1"/>
  <c r="K7352" i="1"/>
  <c r="A7353" i="1"/>
  <c r="B7353" i="1"/>
  <c r="C7353" i="1"/>
  <c r="E7353" i="1"/>
  <c r="G7353" i="1"/>
  <c r="K7353" i="1"/>
  <c r="A7354" i="1"/>
  <c r="B7354" i="1"/>
  <c r="C7354" i="1"/>
  <c r="E7354" i="1"/>
  <c r="G7354" i="1"/>
  <c r="K7354" i="1"/>
  <c r="A7355" i="1"/>
  <c r="B7355" i="1"/>
  <c r="C7355" i="1"/>
  <c r="E7355" i="1"/>
  <c r="G7355" i="1"/>
  <c r="K7355" i="1"/>
  <c r="A7356" i="1"/>
  <c r="B7356" i="1"/>
  <c r="C7356" i="1"/>
  <c r="E7356" i="1"/>
  <c r="G7356" i="1"/>
  <c r="K7356" i="1"/>
  <c r="A7357" i="1"/>
  <c r="B7357" i="1"/>
  <c r="C7357" i="1"/>
  <c r="E7357" i="1"/>
  <c r="G7357" i="1"/>
  <c r="K7357" i="1"/>
  <c r="A7358" i="1"/>
  <c r="B7358" i="1"/>
  <c r="C7358" i="1"/>
  <c r="E7358" i="1"/>
  <c r="G7358" i="1"/>
  <c r="K7358" i="1"/>
  <c r="A7359" i="1"/>
  <c r="B7359" i="1"/>
  <c r="C7359" i="1"/>
  <c r="E7359" i="1"/>
  <c r="G7359" i="1"/>
  <c r="K7359" i="1"/>
  <c r="A7360" i="1"/>
  <c r="B7360" i="1"/>
  <c r="C7360" i="1"/>
  <c r="E7360" i="1"/>
  <c r="G7360" i="1"/>
  <c r="K7360" i="1"/>
  <c r="A7361" i="1"/>
  <c r="B7361" i="1"/>
  <c r="C7361" i="1"/>
  <c r="E7361" i="1"/>
  <c r="G7361" i="1"/>
  <c r="K7361" i="1"/>
  <c r="A7362" i="1"/>
  <c r="B7362" i="1"/>
  <c r="C7362" i="1"/>
  <c r="E7362" i="1"/>
  <c r="G7362" i="1"/>
  <c r="K7362" i="1"/>
  <c r="A7363" i="1"/>
  <c r="B7363" i="1"/>
  <c r="C7363" i="1"/>
  <c r="E7363" i="1"/>
  <c r="G7363" i="1"/>
  <c r="K7363" i="1"/>
  <c r="A7364" i="1"/>
  <c r="B7364" i="1"/>
  <c r="C7364" i="1"/>
  <c r="E7364" i="1"/>
  <c r="G7364" i="1"/>
  <c r="K7364" i="1"/>
  <c r="A7365" i="1"/>
  <c r="B7365" i="1"/>
  <c r="C7365" i="1"/>
  <c r="E7365" i="1"/>
  <c r="G7365" i="1"/>
  <c r="K7365" i="1"/>
  <c r="A7366" i="1"/>
  <c r="B7366" i="1"/>
  <c r="C7366" i="1"/>
  <c r="E7366" i="1"/>
  <c r="G7366" i="1"/>
  <c r="K7366" i="1"/>
  <c r="A7367" i="1"/>
  <c r="B7367" i="1"/>
  <c r="C7367" i="1"/>
  <c r="E7367" i="1"/>
  <c r="G7367" i="1"/>
  <c r="K7367" i="1"/>
  <c r="A7368" i="1"/>
  <c r="B7368" i="1"/>
  <c r="C7368" i="1"/>
  <c r="E7368" i="1"/>
  <c r="G7368" i="1"/>
  <c r="K7368" i="1"/>
  <c r="A7369" i="1"/>
  <c r="B7369" i="1"/>
  <c r="C7369" i="1"/>
  <c r="E7369" i="1"/>
  <c r="G7369" i="1"/>
  <c r="K7369" i="1"/>
  <c r="A7370" i="1"/>
  <c r="B7370" i="1"/>
  <c r="C7370" i="1"/>
  <c r="E7370" i="1"/>
  <c r="G7370" i="1"/>
  <c r="K7370" i="1"/>
  <c r="A7371" i="1"/>
  <c r="B7371" i="1"/>
  <c r="C7371" i="1"/>
  <c r="E7371" i="1"/>
  <c r="G7371" i="1"/>
  <c r="K7371" i="1"/>
  <c r="A7372" i="1"/>
  <c r="B7372" i="1"/>
  <c r="C7372" i="1"/>
  <c r="E7372" i="1"/>
  <c r="G7372" i="1"/>
  <c r="K7372" i="1"/>
  <c r="A7373" i="1"/>
  <c r="B7373" i="1"/>
  <c r="C7373" i="1"/>
  <c r="E7373" i="1"/>
  <c r="G7373" i="1"/>
  <c r="K7373" i="1"/>
  <c r="A7374" i="1"/>
  <c r="B7374" i="1"/>
  <c r="C7374" i="1"/>
  <c r="E7374" i="1"/>
  <c r="G7374" i="1"/>
  <c r="K7374" i="1"/>
  <c r="A7375" i="1"/>
  <c r="B7375" i="1"/>
  <c r="C7375" i="1"/>
  <c r="E7375" i="1"/>
  <c r="G7375" i="1"/>
  <c r="K7375" i="1"/>
  <c r="A7376" i="1"/>
  <c r="B7376" i="1"/>
  <c r="C7376" i="1"/>
  <c r="E7376" i="1"/>
  <c r="G7376" i="1"/>
  <c r="K7376" i="1"/>
  <c r="A7377" i="1"/>
  <c r="B7377" i="1"/>
  <c r="C7377" i="1"/>
  <c r="E7377" i="1"/>
  <c r="G7377" i="1"/>
  <c r="K7377" i="1"/>
  <c r="A7378" i="1"/>
  <c r="B7378" i="1"/>
  <c r="C7378" i="1"/>
  <c r="E7378" i="1"/>
  <c r="G7378" i="1"/>
  <c r="K7378" i="1"/>
  <c r="A7379" i="1"/>
  <c r="B7379" i="1"/>
  <c r="C7379" i="1"/>
  <c r="E7379" i="1"/>
  <c r="G7379" i="1"/>
  <c r="K7379" i="1"/>
  <c r="A7380" i="1"/>
  <c r="B7380" i="1"/>
  <c r="C7380" i="1"/>
  <c r="E7380" i="1"/>
  <c r="G7380" i="1"/>
  <c r="K7380" i="1"/>
  <c r="A7381" i="1"/>
  <c r="B7381" i="1"/>
  <c r="C7381" i="1"/>
  <c r="E7381" i="1"/>
  <c r="G7381" i="1"/>
  <c r="K7381" i="1"/>
  <c r="A7382" i="1"/>
  <c r="B7382" i="1"/>
  <c r="C7382" i="1"/>
  <c r="E7382" i="1"/>
  <c r="G7382" i="1"/>
  <c r="K7382" i="1"/>
  <c r="A7383" i="1"/>
  <c r="B7383" i="1"/>
  <c r="C7383" i="1"/>
  <c r="E7383" i="1"/>
  <c r="G7383" i="1"/>
  <c r="K7383" i="1"/>
  <c r="A7384" i="1"/>
  <c r="B7384" i="1"/>
  <c r="C7384" i="1"/>
  <c r="E7384" i="1"/>
  <c r="G7384" i="1"/>
  <c r="K7384" i="1"/>
  <c r="A7385" i="1"/>
  <c r="B7385" i="1"/>
  <c r="C7385" i="1"/>
  <c r="E7385" i="1"/>
  <c r="G7385" i="1"/>
  <c r="K7385" i="1"/>
  <c r="A7386" i="1"/>
  <c r="B7386" i="1"/>
  <c r="C7386" i="1"/>
  <c r="E7386" i="1"/>
  <c r="G7386" i="1"/>
  <c r="K7386" i="1"/>
  <c r="A7387" i="1"/>
  <c r="B7387" i="1"/>
  <c r="C7387" i="1"/>
  <c r="E7387" i="1"/>
  <c r="G7387" i="1"/>
  <c r="K7387" i="1"/>
  <c r="A7388" i="1"/>
  <c r="B7388" i="1"/>
  <c r="C7388" i="1"/>
  <c r="E7388" i="1"/>
  <c r="G7388" i="1"/>
  <c r="K7388" i="1"/>
  <c r="A7389" i="1"/>
  <c r="B7389" i="1"/>
  <c r="C7389" i="1"/>
  <c r="E7389" i="1"/>
  <c r="G7389" i="1"/>
  <c r="K7389" i="1"/>
  <c r="A7390" i="1"/>
  <c r="B7390" i="1"/>
  <c r="C7390" i="1"/>
  <c r="E7390" i="1"/>
  <c r="G7390" i="1"/>
  <c r="K7390" i="1"/>
  <c r="A7391" i="1"/>
  <c r="B7391" i="1"/>
  <c r="C7391" i="1"/>
  <c r="E7391" i="1"/>
  <c r="G7391" i="1"/>
  <c r="K7391" i="1"/>
  <c r="A7392" i="1"/>
  <c r="B7392" i="1"/>
  <c r="C7392" i="1"/>
  <c r="E7392" i="1"/>
  <c r="G7392" i="1"/>
  <c r="K7392" i="1"/>
  <c r="A7393" i="1"/>
  <c r="B7393" i="1"/>
  <c r="C7393" i="1"/>
  <c r="E7393" i="1"/>
  <c r="G7393" i="1"/>
  <c r="K7393" i="1"/>
  <c r="A7394" i="1"/>
  <c r="B7394" i="1"/>
  <c r="C7394" i="1"/>
  <c r="E7394" i="1"/>
  <c r="G7394" i="1"/>
  <c r="K7394" i="1"/>
  <c r="A7395" i="1"/>
  <c r="B7395" i="1"/>
  <c r="C7395" i="1"/>
  <c r="E7395" i="1"/>
  <c r="G7395" i="1"/>
  <c r="K7395" i="1"/>
  <c r="A7396" i="1"/>
  <c r="B7396" i="1"/>
  <c r="C7396" i="1"/>
  <c r="E7396" i="1"/>
  <c r="G7396" i="1"/>
  <c r="K7396" i="1"/>
  <c r="A7397" i="1"/>
  <c r="B7397" i="1"/>
  <c r="C7397" i="1"/>
  <c r="E7397" i="1"/>
  <c r="G7397" i="1"/>
  <c r="K7397" i="1"/>
  <c r="A7398" i="1"/>
  <c r="B7398" i="1"/>
  <c r="C7398" i="1"/>
  <c r="E7398" i="1"/>
  <c r="G7398" i="1"/>
  <c r="K7398" i="1"/>
  <c r="A7399" i="1"/>
  <c r="B7399" i="1"/>
  <c r="C7399" i="1"/>
  <c r="E7399" i="1"/>
  <c r="G7399" i="1"/>
  <c r="K7399" i="1"/>
  <c r="A7400" i="1"/>
  <c r="B7400" i="1"/>
  <c r="C7400" i="1"/>
  <c r="E7400" i="1"/>
  <c r="G7400" i="1"/>
  <c r="K7400" i="1"/>
  <c r="A7401" i="1"/>
  <c r="B7401" i="1"/>
  <c r="C7401" i="1"/>
  <c r="E7401" i="1"/>
  <c r="G7401" i="1"/>
  <c r="K7401" i="1"/>
  <c r="A7402" i="1"/>
  <c r="B7402" i="1"/>
  <c r="C7402" i="1"/>
  <c r="E7402" i="1"/>
  <c r="G7402" i="1"/>
  <c r="K7402" i="1"/>
  <c r="A7403" i="1"/>
  <c r="B7403" i="1"/>
  <c r="C7403" i="1"/>
  <c r="E7403" i="1"/>
  <c r="G7403" i="1"/>
  <c r="K7403" i="1"/>
  <c r="A7404" i="1"/>
  <c r="B7404" i="1"/>
  <c r="C7404" i="1"/>
  <c r="E7404" i="1"/>
  <c r="G7404" i="1"/>
  <c r="K7404" i="1"/>
  <c r="A7405" i="1"/>
  <c r="B7405" i="1"/>
  <c r="C7405" i="1"/>
  <c r="E7405" i="1"/>
  <c r="G7405" i="1"/>
  <c r="K7405" i="1"/>
  <c r="A7406" i="1"/>
  <c r="B7406" i="1"/>
  <c r="C7406" i="1"/>
  <c r="E7406" i="1"/>
  <c r="G7406" i="1"/>
  <c r="K7406" i="1"/>
  <c r="A7407" i="1"/>
  <c r="B7407" i="1"/>
  <c r="C7407" i="1"/>
  <c r="E7407" i="1"/>
  <c r="G7407" i="1"/>
  <c r="K7407" i="1"/>
  <c r="A7408" i="1"/>
  <c r="B7408" i="1"/>
  <c r="C7408" i="1"/>
  <c r="E7408" i="1"/>
  <c r="G7408" i="1"/>
  <c r="K7408" i="1"/>
  <c r="A7409" i="1"/>
  <c r="B7409" i="1"/>
  <c r="C7409" i="1"/>
  <c r="E7409" i="1"/>
  <c r="G7409" i="1"/>
  <c r="K7409" i="1"/>
  <c r="A7410" i="1"/>
  <c r="B7410" i="1"/>
  <c r="C7410" i="1"/>
  <c r="E7410" i="1"/>
  <c r="G7410" i="1"/>
  <c r="K7410" i="1"/>
  <c r="A7411" i="1"/>
  <c r="B7411" i="1"/>
  <c r="C7411" i="1"/>
  <c r="E7411" i="1"/>
  <c r="G7411" i="1"/>
  <c r="K7411" i="1"/>
  <c r="A7412" i="1"/>
  <c r="B7412" i="1"/>
  <c r="C7412" i="1"/>
  <c r="E7412" i="1"/>
  <c r="G7412" i="1"/>
  <c r="K7412" i="1"/>
  <c r="A7413" i="1"/>
  <c r="B7413" i="1"/>
  <c r="C7413" i="1"/>
  <c r="E7413" i="1"/>
  <c r="G7413" i="1"/>
  <c r="K7413" i="1"/>
  <c r="A7414" i="1"/>
  <c r="B7414" i="1"/>
  <c r="C7414" i="1"/>
  <c r="E7414" i="1"/>
  <c r="G7414" i="1"/>
  <c r="K7414" i="1"/>
  <c r="A7415" i="1"/>
  <c r="B7415" i="1"/>
  <c r="C7415" i="1"/>
  <c r="E7415" i="1"/>
  <c r="G7415" i="1"/>
  <c r="K7415" i="1"/>
  <c r="A7416" i="1"/>
  <c r="B7416" i="1"/>
  <c r="C7416" i="1"/>
  <c r="E7416" i="1"/>
  <c r="G7416" i="1"/>
  <c r="K7416" i="1"/>
  <c r="A7417" i="1"/>
  <c r="B7417" i="1"/>
  <c r="C7417" i="1"/>
  <c r="E7417" i="1"/>
  <c r="G7417" i="1"/>
  <c r="K7417" i="1"/>
  <c r="A7418" i="1"/>
  <c r="B7418" i="1"/>
  <c r="C7418" i="1"/>
  <c r="E7418" i="1"/>
  <c r="G7418" i="1"/>
  <c r="K7418" i="1"/>
  <c r="A7419" i="1"/>
  <c r="B7419" i="1"/>
  <c r="C7419" i="1"/>
  <c r="E7419" i="1"/>
  <c r="G7419" i="1"/>
  <c r="K7419" i="1"/>
  <c r="A7420" i="1"/>
  <c r="B7420" i="1"/>
  <c r="C7420" i="1"/>
  <c r="E7420" i="1"/>
  <c r="G7420" i="1"/>
  <c r="K7420" i="1"/>
  <c r="A7421" i="1"/>
  <c r="B7421" i="1"/>
  <c r="C7421" i="1"/>
  <c r="E7421" i="1"/>
  <c r="G7421" i="1"/>
  <c r="K7421" i="1"/>
  <c r="A7422" i="1"/>
  <c r="B7422" i="1"/>
  <c r="C7422" i="1"/>
  <c r="E7422" i="1"/>
  <c r="G7422" i="1"/>
  <c r="K7422" i="1"/>
  <c r="A7423" i="1"/>
  <c r="B7423" i="1"/>
  <c r="C7423" i="1"/>
  <c r="E7423" i="1"/>
  <c r="G7423" i="1"/>
  <c r="K7423" i="1"/>
  <c r="A7424" i="1"/>
  <c r="B7424" i="1"/>
  <c r="C7424" i="1"/>
  <c r="E7424" i="1"/>
  <c r="G7424" i="1"/>
  <c r="K7424" i="1"/>
  <c r="A7425" i="1"/>
  <c r="B7425" i="1"/>
  <c r="C7425" i="1"/>
  <c r="E7425" i="1"/>
  <c r="G7425" i="1"/>
  <c r="K7425" i="1"/>
  <c r="A7426" i="1"/>
  <c r="B7426" i="1"/>
  <c r="C7426" i="1"/>
  <c r="E7426" i="1"/>
  <c r="G7426" i="1"/>
  <c r="K7426" i="1"/>
  <c r="A7427" i="1"/>
  <c r="B7427" i="1"/>
  <c r="C7427" i="1"/>
  <c r="E7427" i="1"/>
  <c r="G7427" i="1"/>
  <c r="K7427" i="1"/>
  <c r="A7428" i="1"/>
  <c r="B7428" i="1"/>
  <c r="C7428" i="1"/>
  <c r="E7428" i="1"/>
  <c r="G7428" i="1"/>
  <c r="K7428" i="1"/>
  <c r="A7429" i="1"/>
  <c r="B7429" i="1"/>
  <c r="C7429" i="1"/>
  <c r="E7429" i="1"/>
  <c r="G7429" i="1"/>
  <c r="K7429" i="1"/>
  <c r="A7430" i="1"/>
  <c r="B7430" i="1"/>
  <c r="C7430" i="1"/>
  <c r="E7430" i="1"/>
  <c r="G7430" i="1"/>
  <c r="K7430" i="1"/>
  <c r="A7431" i="1"/>
  <c r="B7431" i="1"/>
  <c r="C7431" i="1"/>
  <c r="E7431" i="1"/>
  <c r="G7431" i="1"/>
  <c r="K7431" i="1"/>
  <c r="A7432" i="1"/>
  <c r="B7432" i="1"/>
  <c r="C7432" i="1"/>
  <c r="E7432" i="1"/>
  <c r="G7432" i="1"/>
  <c r="K7432" i="1"/>
  <c r="A7433" i="1"/>
  <c r="B7433" i="1"/>
  <c r="C7433" i="1"/>
  <c r="E7433" i="1"/>
  <c r="G7433" i="1"/>
  <c r="K7433" i="1"/>
  <c r="A7434" i="1"/>
  <c r="B7434" i="1"/>
  <c r="C7434" i="1"/>
  <c r="E7434" i="1"/>
  <c r="G7434" i="1"/>
  <c r="K7434" i="1"/>
  <c r="A7435" i="1"/>
  <c r="B7435" i="1"/>
  <c r="C7435" i="1"/>
  <c r="E7435" i="1"/>
  <c r="G7435" i="1"/>
  <c r="K7435" i="1"/>
  <c r="A7436" i="1"/>
  <c r="B7436" i="1"/>
  <c r="C7436" i="1"/>
  <c r="E7436" i="1"/>
  <c r="G7436" i="1"/>
  <c r="K7436" i="1"/>
  <c r="A7437" i="1"/>
  <c r="B7437" i="1"/>
  <c r="C7437" i="1"/>
  <c r="E7437" i="1"/>
  <c r="G7437" i="1"/>
  <c r="K7437" i="1"/>
  <c r="A7438" i="1"/>
  <c r="B7438" i="1"/>
  <c r="C7438" i="1"/>
  <c r="E7438" i="1"/>
  <c r="G7438" i="1"/>
  <c r="K7438" i="1"/>
  <c r="A7439" i="1"/>
  <c r="B7439" i="1"/>
  <c r="C7439" i="1"/>
  <c r="E7439" i="1"/>
  <c r="G7439" i="1"/>
  <c r="K7439" i="1"/>
  <c r="A7440" i="1"/>
  <c r="B7440" i="1"/>
  <c r="C7440" i="1"/>
  <c r="E7440" i="1"/>
  <c r="G7440" i="1"/>
  <c r="K7440" i="1"/>
  <c r="A7441" i="1"/>
  <c r="B7441" i="1"/>
  <c r="C7441" i="1"/>
  <c r="E7441" i="1"/>
  <c r="G7441" i="1"/>
  <c r="K7441" i="1"/>
  <c r="A7442" i="1"/>
  <c r="B7442" i="1"/>
  <c r="C7442" i="1"/>
  <c r="E7442" i="1"/>
  <c r="G7442" i="1"/>
  <c r="K7442" i="1"/>
  <c r="A7443" i="1"/>
  <c r="B7443" i="1"/>
  <c r="C7443" i="1"/>
  <c r="E7443" i="1"/>
  <c r="G7443" i="1"/>
  <c r="K7443" i="1"/>
  <c r="A7444" i="1"/>
  <c r="B7444" i="1"/>
  <c r="C7444" i="1"/>
  <c r="E7444" i="1"/>
  <c r="G7444" i="1"/>
  <c r="K7444" i="1"/>
  <c r="A7445" i="1"/>
  <c r="B7445" i="1"/>
  <c r="C7445" i="1"/>
  <c r="E7445" i="1"/>
  <c r="G7445" i="1"/>
  <c r="K7445" i="1"/>
  <c r="A7446" i="1"/>
  <c r="B7446" i="1"/>
  <c r="C7446" i="1"/>
  <c r="E7446" i="1"/>
  <c r="G7446" i="1"/>
  <c r="K7446" i="1"/>
  <c r="A7447" i="1"/>
  <c r="B7447" i="1"/>
  <c r="C7447" i="1"/>
  <c r="E7447" i="1"/>
  <c r="G7447" i="1"/>
  <c r="K7447" i="1"/>
  <c r="A7448" i="1"/>
  <c r="B7448" i="1"/>
  <c r="C7448" i="1"/>
  <c r="E7448" i="1"/>
  <c r="G7448" i="1"/>
  <c r="K7448" i="1"/>
  <c r="A7449" i="1"/>
  <c r="B7449" i="1"/>
  <c r="C7449" i="1"/>
  <c r="E7449" i="1"/>
  <c r="G7449" i="1"/>
  <c r="K7449" i="1"/>
  <c r="A7450" i="1"/>
  <c r="B7450" i="1"/>
  <c r="C7450" i="1"/>
  <c r="E7450" i="1"/>
  <c r="G7450" i="1"/>
  <c r="K7450" i="1"/>
  <c r="A7451" i="1"/>
  <c r="B7451" i="1"/>
  <c r="C7451" i="1"/>
  <c r="E7451" i="1"/>
  <c r="G7451" i="1"/>
  <c r="K7451" i="1"/>
  <c r="A7452" i="1"/>
  <c r="B7452" i="1"/>
  <c r="C7452" i="1"/>
  <c r="E7452" i="1"/>
  <c r="G7452" i="1"/>
  <c r="K7452" i="1"/>
  <c r="A7453" i="1"/>
  <c r="B7453" i="1"/>
  <c r="C7453" i="1"/>
  <c r="E7453" i="1"/>
  <c r="G7453" i="1"/>
  <c r="K7453" i="1"/>
  <c r="A7454" i="1"/>
  <c r="B7454" i="1"/>
  <c r="C7454" i="1"/>
  <c r="E7454" i="1"/>
  <c r="G7454" i="1"/>
  <c r="K7454" i="1"/>
  <c r="A7455" i="1"/>
  <c r="B7455" i="1"/>
  <c r="C7455" i="1"/>
  <c r="E7455" i="1"/>
  <c r="G7455" i="1"/>
  <c r="K7455" i="1"/>
  <c r="A7456" i="1"/>
  <c r="B7456" i="1"/>
  <c r="C7456" i="1"/>
  <c r="E7456" i="1"/>
  <c r="G7456" i="1"/>
  <c r="K7456" i="1"/>
  <c r="A7457" i="1"/>
  <c r="B7457" i="1"/>
  <c r="C7457" i="1"/>
  <c r="E7457" i="1"/>
  <c r="G7457" i="1"/>
  <c r="K7457" i="1"/>
  <c r="A7458" i="1"/>
  <c r="B7458" i="1"/>
  <c r="C7458" i="1"/>
  <c r="E7458" i="1"/>
  <c r="G7458" i="1"/>
  <c r="K7458" i="1"/>
  <c r="A7459" i="1"/>
  <c r="B7459" i="1"/>
  <c r="C7459" i="1"/>
  <c r="E7459" i="1"/>
  <c r="G7459" i="1"/>
  <c r="K7459" i="1"/>
  <c r="A7460" i="1"/>
  <c r="B7460" i="1"/>
  <c r="C7460" i="1"/>
  <c r="E7460" i="1"/>
  <c r="G7460" i="1"/>
  <c r="K7460" i="1"/>
  <c r="A7461" i="1"/>
  <c r="B7461" i="1"/>
  <c r="C7461" i="1"/>
  <c r="E7461" i="1"/>
  <c r="G7461" i="1"/>
  <c r="K7461" i="1"/>
  <c r="A7462" i="1"/>
  <c r="B7462" i="1"/>
  <c r="C7462" i="1"/>
  <c r="E7462" i="1"/>
  <c r="G7462" i="1"/>
  <c r="K7462" i="1"/>
  <c r="A7463" i="1"/>
  <c r="B7463" i="1"/>
  <c r="C7463" i="1"/>
  <c r="E7463" i="1"/>
  <c r="G7463" i="1"/>
  <c r="K7463" i="1"/>
  <c r="A7464" i="1"/>
  <c r="B7464" i="1"/>
  <c r="C7464" i="1"/>
  <c r="E7464" i="1"/>
  <c r="G7464" i="1"/>
  <c r="K7464" i="1"/>
  <c r="A7465" i="1"/>
  <c r="B7465" i="1"/>
  <c r="C7465" i="1"/>
  <c r="E7465" i="1"/>
  <c r="G7465" i="1"/>
  <c r="K7465" i="1"/>
  <c r="A7466" i="1"/>
  <c r="B7466" i="1"/>
  <c r="C7466" i="1"/>
  <c r="E7466" i="1"/>
  <c r="G7466" i="1"/>
  <c r="K7466" i="1"/>
  <c r="A7467" i="1"/>
  <c r="B7467" i="1"/>
  <c r="C7467" i="1"/>
  <c r="E7467" i="1"/>
  <c r="G7467" i="1"/>
  <c r="K7467" i="1"/>
  <c r="A7468" i="1"/>
  <c r="B7468" i="1"/>
  <c r="C7468" i="1"/>
  <c r="E7468" i="1"/>
  <c r="G7468" i="1"/>
  <c r="K7468" i="1"/>
  <c r="A7469" i="1"/>
  <c r="B7469" i="1"/>
  <c r="C7469" i="1"/>
  <c r="E7469" i="1"/>
  <c r="G7469" i="1"/>
  <c r="K7469" i="1"/>
  <c r="A7470" i="1"/>
  <c r="B7470" i="1"/>
  <c r="C7470" i="1"/>
  <c r="E7470" i="1"/>
  <c r="G7470" i="1"/>
  <c r="K7470" i="1"/>
  <c r="A7471" i="1"/>
  <c r="B7471" i="1"/>
  <c r="C7471" i="1"/>
  <c r="E7471" i="1"/>
  <c r="G7471" i="1"/>
  <c r="K7471" i="1"/>
  <c r="A7472" i="1"/>
  <c r="B7472" i="1"/>
  <c r="C7472" i="1"/>
  <c r="E7472" i="1"/>
  <c r="G7472" i="1"/>
  <c r="K7472" i="1"/>
  <c r="A7473" i="1"/>
  <c r="B7473" i="1"/>
  <c r="C7473" i="1"/>
  <c r="E7473" i="1"/>
  <c r="G7473" i="1"/>
  <c r="K7473" i="1"/>
  <c r="A7474" i="1"/>
  <c r="B7474" i="1"/>
  <c r="C7474" i="1"/>
  <c r="E7474" i="1"/>
  <c r="G7474" i="1"/>
  <c r="K7474" i="1"/>
  <c r="A7475" i="1"/>
  <c r="B7475" i="1"/>
  <c r="C7475" i="1"/>
  <c r="E7475" i="1"/>
  <c r="G7475" i="1"/>
  <c r="K7475" i="1"/>
  <c r="A7476" i="1"/>
  <c r="B7476" i="1"/>
  <c r="C7476" i="1"/>
  <c r="E7476" i="1"/>
  <c r="G7476" i="1"/>
  <c r="K7476" i="1"/>
  <c r="A7477" i="1"/>
  <c r="B7477" i="1"/>
  <c r="C7477" i="1"/>
  <c r="E7477" i="1"/>
  <c r="G7477" i="1"/>
  <c r="K7477" i="1"/>
  <c r="A7478" i="1"/>
  <c r="B7478" i="1"/>
  <c r="C7478" i="1"/>
  <c r="E7478" i="1"/>
  <c r="G7478" i="1"/>
  <c r="K7478" i="1"/>
  <c r="A7479" i="1"/>
  <c r="B7479" i="1"/>
  <c r="C7479" i="1"/>
  <c r="E7479" i="1"/>
  <c r="G7479" i="1"/>
  <c r="K7479" i="1"/>
  <c r="A7480" i="1"/>
  <c r="B7480" i="1"/>
  <c r="C7480" i="1"/>
  <c r="E7480" i="1"/>
  <c r="G7480" i="1"/>
  <c r="K7480" i="1"/>
  <c r="A7481" i="1"/>
  <c r="B7481" i="1"/>
  <c r="C7481" i="1"/>
  <c r="E7481" i="1"/>
  <c r="G7481" i="1"/>
  <c r="K7481" i="1"/>
  <c r="A7482" i="1"/>
  <c r="B7482" i="1"/>
  <c r="C7482" i="1"/>
  <c r="E7482" i="1"/>
  <c r="G7482" i="1"/>
  <c r="K7482" i="1"/>
  <c r="A7483" i="1"/>
  <c r="B7483" i="1"/>
  <c r="C7483" i="1"/>
  <c r="E7483" i="1"/>
  <c r="G7483" i="1"/>
  <c r="K7483" i="1"/>
  <c r="A7484" i="1"/>
  <c r="B7484" i="1"/>
  <c r="C7484" i="1"/>
  <c r="E7484" i="1"/>
  <c r="G7484" i="1"/>
  <c r="K7484" i="1"/>
  <c r="A7485" i="1"/>
  <c r="B7485" i="1"/>
  <c r="C7485" i="1"/>
  <c r="E7485" i="1"/>
  <c r="G7485" i="1"/>
  <c r="K7485" i="1"/>
  <c r="A7486" i="1"/>
  <c r="B7486" i="1"/>
  <c r="C7486" i="1"/>
  <c r="E7486" i="1"/>
  <c r="G7486" i="1"/>
  <c r="K7486" i="1"/>
  <c r="A7487" i="1"/>
  <c r="B7487" i="1"/>
  <c r="C7487" i="1"/>
  <c r="E7487" i="1"/>
  <c r="G7487" i="1"/>
  <c r="K7487" i="1"/>
  <c r="A7488" i="1"/>
  <c r="B7488" i="1"/>
  <c r="C7488" i="1"/>
  <c r="E7488" i="1"/>
  <c r="G7488" i="1"/>
  <c r="K7488" i="1"/>
  <c r="A7489" i="1"/>
  <c r="B7489" i="1"/>
  <c r="C7489" i="1"/>
  <c r="E7489" i="1"/>
  <c r="G7489" i="1"/>
  <c r="K7489" i="1"/>
  <c r="A7490" i="1"/>
  <c r="B7490" i="1"/>
  <c r="C7490" i="1"/>
  <c r="E7490" i="1"/>
  <c r="G7490" i="1"/>
  <c r="K7490" i="1"/>
  <c r="A7491" i="1"/>
  <c r="B7491" i="1"/>
  <c r="C7491" i="1"/>
  <c r="E7491" i="1"/>
  <c r="G7491" i="1"/>
  <c r="K7491" i="1"/>
  <c r="A7492" i="1"/>
  <c r="B7492" i="1"/>
  <c r="C7492" i="1"/>
  <c r="E7492" i="1"/>
  <c r="G7492" i="1"/>
  <c r="K7492" i="1"/>
  <c r="A7493" i="1"/>
  <c r="B7493" i="1"/>
  <c r="C7493" i="1"/>
  <c r="E7493" i="1"/>
  <c r="G7493" i="1"/>
  <c r="K7493" i="1"/>
  <c r="A7494" i="1"/>
  <c r="B7494" i="1"/>
  <c r="C7494" i="1"/>
  <c r="E7494" i="1"/>
  <c r="G7494" i="1"/>
  <c r="K7494" i="1"/>
  <c r="A7495" i="1"/>
  <c r="B7495" i="1"/>
  <c r="C7495" i="1"/>
  <c r="E7495" i="1"/>
  <c r="G7495" i="1"/>
  <c r="K7495" i="1"/>
  <c r="A7496" i="1"/>
  <c r="B7496" i="1"/>
  <c r="C7496" i="1"/>
  <c r="E7496" i="1"/>
  <c r="G7496" i="1"/>
  <c r="K7496" i="1"/>
  <c r="A7497" i="1"/>
  <c r="B7497" i="1"/>
  <c r="C7497" i="1"/>
  <c r="E7497" i="1"/>
  <c r="G7497" i="1"/>
  <c r="K7497" i="1"/>
  <c r="A7498" i="1"/>
  <c r="B7498" i="1"/>
  <c r="C7498" i="1"/>
  <c r="E7498" i="1"/>
  <c r="G7498" i="1"/>
  <c r="K7498" i="1"/>
  <c r="A7499" i="1"/>
  <c r="B7499" i="1"/>
  <c r="C7499" i="1"/>
  <c r="E7499" i="1"/>
  <c r="G7499" i="1"/>
  <c r="K7499" i="1"/>
  <c r="A7500" i="1"/>
  <c r="B7500" i="1"/>
  <c r="C7500" i="1"/>
  <c r="E7500" i="1"/>
  <c r="G7500" i="1"/>
  <c r="K7500" i="1"/>
  <c r="A7501" i="1"/>
  <c r="B7501" i="1"/>
  <c r="C7501" i="1"/>
  <c r="E7501" i="1"/>
  <c r="G7501" i="1"/>
  <c r="K7501" i="1"/>
  <c r="A7502" i="1"/>
  <c r="B7502" i="1"/>
  <c r="C7502" i="1"/>
  <c r="E7502" i="1"/>
  <c r="G7502" i="1"/>
  <c r="K7502" i="1"/>
  <c r="A7503" i="1"/>
  <c r="B7503" i="1"/>
  <c r="C7503" i="1"/>
  <c r="E7503" i="1"/>
  <c r="G7503" i="1"/>
  <c r="K7503" i="1"/>
  <c r="A7504" i="1"/>
  <c r="B7504" i="1"/>
  <c r="C7504" i="1"/>
  <c r="E7504" i="1"/>
  <c r="G7504" i="1"/>
  <c r="K7504" i="1"/>
  <c r="A7505" i="1"/>
  <c r="B7505" i="1"/>
  <c r="C7505" i="1"/>
  <c r="E7505" i="1"/>
  <c r="G7505" i="1"/>
  <c r="K7505" i="1"/>
  <c r="A7506" i="1"/>
  <c r="B7506" i="1"/>
  <c r="C7506" i="1"/>
  <c r="E7506" i="1"/>
  <c r="G7506" i="1"/>
  <c r="K7506" i="1"/>
  <c r="A7507" i="1"/>
  <c r="B7507" i="1"/>
  <c r="C7507" i="1"/>
  <c r="E7507" i="1"/>
  <c r="G7507" i="1"/>
  <c r="K7507" i="1"/>
  <c r="A7508" i="1"/>
  <c r="B7508" i="1"/>
  <c r="C7508" i="1"/>
  <c r="E7508" i="1"/>
  <c r="G7508" i="1"/>
  <c r="K7508" i="1"/>
  <c r="A7509" i="1"/>
  <c r="B7509" i="1"/>
  <c r="C7509" i="1"/>
  <c r="E7509" i="1"/>
  <c r="G7509" i="1"/>
  <c r="K7509" i="1"/>
  <c r="A7510" i="1"/>
  <c r="B7510" i="1"/>
  <c r="C7510" i="1"/>
  <c r="E7510" i="1"/>
  <c r="G7510" i="1"/>
  <c r="K7510" i="1"/>
  <c r="A7511" i="1"/>
  <c r="B7511" i="1"/>
  <c r="C7511" i="1"/>
  <c r="E7511" i="1"/>
  <c r="G7511" i="1"/>
  <c r="K7511" i="1"/>
  <c r="A7512" i="1"/>
  <c r="B7512" i="1"/>
  <c r="C7512" i="1"/>
  <c r="E7512" i="1"/>
  <c r="G7512" i="1"/>
  <c r="K7512" i="1"/>
  <c r="A7513" i="1"/>
  <c r="B7513" i="1"/>
  <c r="C7513" i="1"/>
  <c r="E7513" i="1"/>
  <c r="G7513" i="1"/>
  <c r="K7513" i="1"/>
  <c r="A7514" i="1"/>
  <c r="B7514" i="1"/>
  <c r="C7514" i="1"/>
  <c r="E7514" i="1"/>
  <c r="G7514" i="1"/>
  <c r="K7514" i="1"/>
  <c r="A7515" i="1"/>
  <c r="B7515" i="1"/>
  <c r="C7515" i="1"/>
  <c r="E7515" i="1"/>
  <c r="G7515" i="1"/>
  <c r="K7515" i="1"/>
  <c r="A7516" i="1"/>
  <c r="B7516" i="1"/>
  <c r="C7516" i="1"/>
  <c r="E7516" i="1"/>
  <c r="G7516" i="1"/>
  <c r="K7516" i="1"/>
  <c r="A7517" i="1"/>
  <c r="B7517" i="1"/>
  <c r="C7517" i="1"/>
  <c r="E7517" i="1"/>
  <c r="G7517" i="1"/>
  <c r="K7517" i="1"/>
  <c r="A7518" i="1"/>
  <c r="B7518" i="1"/>
  <c r="C7518" i="1"/>
  <c r="E7518" i="1"/>
  <c r="G7518" i="1"/>
  <c r="K7518" i="1"/>
  <c r="A7519" i="1"/>
  <c r="B7519" i="1"/>
  <c r="C7519" i="1"/>
  <c r="E7519" i="1"/>
  <c r="G7519" i="1"/>
  <c r="K7519" i="1"/>
  <c r="A7520" i="1"/>
  <c r="B7520" i="1"/>
  <c r="C7520" i="1"/>
  <c r="E7520" i="1"/>
  <c r="G7520" i="1"/>
  <c r="K7520" i="1"/>
  <c r="A7521" i="1"/>
  <c r="B7521" i="1"/>
  <c r="C7521" i="1"/>
  <c r="E7521" i="1"/>
  <c r="G7521" i="1"/>
  <c r="K7521" i="1"/>
  <c r="A7522" i="1"/>
  <c r="B7522" i="1"/>
  <c r="C7522" i="1"/>
  <c r="E7522" i="1"/>
  <c r="G7522" i="1"/>
  <c r="K7522" i="1"/>
  <c r="A7523" i="1"/>
  <c r="B7523" i="1"/>
  <c r="C7523" i="1"/>
  <c r="E7523" i="1"/>
  <c r="G7523" i="1"/>
  <c r="K7523" i="1"/>
  <c r="A7524" i="1"/>
  <c r="B7524" i="1"/>
  <c r="C7524" i="1"/>
  <c r="E7524" i="1"/>
  <c r="G7524" i="1"/>
  <c r="K7524" i="1"/>
  <c r="A7525" i="1"/>
  <c r="B7525" i="1"/>
  <c r="C7525" i="1"/>
  <c r="E7525" i="1"/>
  <c r="G7525" i="1"/>
  <c r="K7525" i="1"/>
  <c r="A7526" i="1"/>
  <c r="B7526" i="1"/>
  <c r="C7526" i="1"/>
  <c r="E7526" i="1"/>
  <c r="G7526" i="1"/>
  <c r="K7526" i="1"/>
  <c r="A7527" i="1"/>
  <c r="B7527" i="1"/>
  <c r="C7527" i="1"/>
  <c r="E7527" i="1"/>
  <c r="G7527" i="1"/>
  <c r="K7527" i="1"/>
  <c r="A7528" i="1"/>
  <c r="B7528" i="1"/>
  <c r="C7528" i="1"/>
  <c r="E7528" i="1"/>
  <c r="G7528" i="1"/>
  <c r="K7528" i="1"/>
  <c r="A7529" i="1"/>
  <c r="B7529" i="1"/>
  <c r="C7529" i="1"/>
  <c r="E7529" i="1"/>
  <c r="G7529" i="1"/>
  <c r="K7529" i="1"/>
  <c r="A7530" i="1"/>
  <c r="B7530" i="1"/>
  <c r="C7530" i="1"/>
  <c r="E7530" i="1"/>
  <c r="G7530" i="1"/>
  <c r="K7530" i="1"/>
  <c r="A7531" i="1"/>
  <c r="B7531" i="1"/>
  <c r="C7531" i="1"/>
  <c r="E7531" i="1"/>
  <c r="G7531" i="1"/>
  <c r="K7531" i="1"/>
  <c r="A7532" i="1"/>
  <c r="B7532" i="1"/>
  <c r="C7532" i="1"/>
  <c r="E7532" i="1"/>
  <c r="G7532" i="1"/>
  <c r="K7532" i="1"/>
  <c r="A7533" i="1"/>
  <c r="B7533" i="1"/>
  <c r="C7533" i="1"/>
  <c r="E7533" i="1"/>
  <c r="G7533" i="1"/>
  <c r="K7533" i="1"/>
  <c r="A7534" i="1"/>
  <c r="B7534" i="1"/>
  <c r="C7534" i="1"/>
  <c r="E7534" i="1"/>
  <c r="G7534" i="1"/>
  <c r="K7534" i="1"/>
  <c r="A7535" i="1"/>
  <c r="B7535" i="1"/>
  <c r="C7535" i="1"/>
  <c r="E7535" i="1"/>
  <c r="G7535" i="1"/>
  <c r="K7535" i="1"/>
  <c r="A7536" i="1"/>
  <c r="B7536" i="1"/>
  <c r="C7536" i="1"/>
  <c r="E7536" i="1"/>
  <c r="G7536" i="1"/>
  <c r="K7536" i="1"/>
  <c r="A7537" i="1"/>
  <c r="B7537" i="1"/>
  <c r="C7537" i="1"/>
  <c r="E7537" i="1"/>
  <c r="G7537" i="1"/>
  <c r="K7537" i="1"/>
  <c r="A7538" i="1"/>
  <c r="B7538" i="1"/>
  <c r="C7538" i="1"/>
  <c r="E7538" i="1"/>
  <c r="G7538" i="1"/>
  <c r="K7538" i="1"/>
  <c r="A7539" i="1"/>
  <c r="B7539" i="1"/>
  <c r="C7539" i="1"/>
  <c r="E7539" i="1"/>
  <c r="G7539" i="1"/>
  <c r="K7539" i="1"/>
  <c r="A7540" i="1"/>
  <c r="B7540" i="1"/>
  <c r="C7540" i="1"/>
  <c r="E7540" i="1"/>
  <c r="G7540" i="1"/>
  <c r="K7540" i="1"/>
  <c r="A7541" i="1"/>
  <c r="B7541" i="1"/>
  <c r="C7541" i="1"/>
  <c r="E7541" i="1"/>
  <c r="G7541" i="1"/>
  <c r="K7541" i="1"/>
  <c r="A7542" i="1"/>
  <c r="B7542" i="1"/>
  <c r="C7542" i="1"/>
  <c r="E7542" i="1"/>
  <c r="G7542" i="1"/>
  <c r="K7542" i="1"/>
  <c r="A7543" i="1"/>
  <c r="B7543" i="1"/>
  <c r="C7543" i="1"/>
  <c r="E7543" i="1"/>
  <c r="G7543" i="1"/>
  <c r="K7543" i="1"/>
  <c r="A7544" i="1"/>
  <c r="B7544" i="1"/>
  <c r="C7544" i="1"/>
  <c r="E7544" i="1"/>
  <c r="G7544" i="1"/>
  <c r="K7544" i="1"/>
  <c r="A7545" i="1"/>
  <c r="B7545" i="1"/>
  <c r="C7545" i="1"/>
  <c r="E7545" i="1"/>
  <c r="G7545" i="1"/>
  <c r="K7545" i="1"/>
  <c r="A7546" i="1"/>
  <c r="B7546" i="1"/>
  <c r="C7546" i="1"/>
  <c r="E7546" i="1"/>
  <c r="G7546" i="1"/>
  <c r="K7546" i="1"/>
  <c r="A7547" i="1"/>
  <c r="B7547" i="1"/>
  <c r="C7547" i="1"/>
  <c r="E7547" i="1"/>
  <c r="G7547" i="1"/>
  <c r="K7547" i="1"/>
  <c r="A7548" i="1"/>
  <c r="B7548" i="1"/>
  <c r="C7548" i="1"/>
  <c r="E7548" i="1"/>
  <c r="G7548" i="1"/>
  <c r="K7548" i="1"/>
  <c r="A7549" i="1"/>
  <c r="B7549" i="1"/>
  <c r="C7549" i="1"/>
  <c r="E7549" i="1"/>
  <c r="G7549" i="1"/>
  <c r="K7549" i="1"/>
  <c r="A7550" i="1"/>
  <c r="B7550" i="1"/>
  <c r="C7550" i="1"/>
  <c r="E7550" i="1"/>
  <c r="G7550" i="1"/>
  <c r="K7550" i="1"/>
  <c r="A7551" i="1"/>
  <c r="B7551" i="1"/>
  <c r="C7551" i="1"/>
  <c r="E7551" i="1"/>
  <c r="G7551" i="1"/>
  <c r="K7551" i="1"/>
  <c r="A7552" i="1"/>
  <c r="B7552" i="1"/>
  <c r="C7552" i="1"/>
  <c r="E7552" i="1"/>
  <c r="G7552" i="1"/>
  <c r="K7552" i="1"/>
  <c r="A7553" i="1"/>
  <c r="B7553" i="1"/>
  <c r="C7553" i="1"/>
  <c r="E7553" i="1"/>
  <c r="G7553" i="1"/>
  <c r="K7553" i="1"/>
  <c r="A7554" i="1"/>
  <c r="B7554" i="1"/>
  <c r="C7554" i="1"/>
  <c r="E7554" i="1"/>
  <c r="G7554" i="1"/>
  <c r="K7554" i="1"/>
  <c r="A7555" i="1"/>
  <c r="B7555" i="1"/>
  <c r="C7555" i="1"/>
  <c r="E7555" i="1"/>
  <c r="G7555" i="1"/>
  <c r="K7555" i="1"/>
  <c r="A7556" i="1"/>
  <c r="B7556" i="1"/>
  <c r="C7556" i="1"/>
  <c r="E7556" i="1"/>
  <c r="G7556" i="1"/>
  <c r="K7556" i="1"/>
  <c r="A7557" i="1"/>
  <c r="B7557" i="1"/>
  <c r="C7557" i="1"/>
  <c r="E7557" i="1"/>
  <c r="G7557" i="1"/>
  <c r="K7557" i="1"/>
  <c r="A7558" i="1"/>
  <c r="B7558" i="1"/>
  <c r="C7558" i="1"/>
  <c r="E7558" i="1"/>
  <c r="G7558" i="1"/>
  <c r="K7558" i="1"/>
  <c r="A7559" i="1"/>
  <c r="B7559" i="1"/>
  <c r="C7559" i="1"/>
  <c r="E7559" i="1"/>
  <c r="G7559" i="1"/>
  <c r="K7559" i="1"/>
  <c r="A7560" i="1"/>
  <c r="B7560" i="1"/>
  <c r="C7560" i="1"/>
  <c r="E7560" i="1"/>
  <c r="G7560" i="1"/>
  <c r="K7560" i="1"/>
  <c r="A7561" i="1"/>
  <c r="B7561" i="1"/>
  <c r="C7561" i="1"/>
  <c r="E7561" i="1"/>
  <c r="G7561" i="1"/>
  <c r="K7561" i="1"/>
  <c r="A7562" i="1"/>
  <c r="B7562" i="1"/>
  <c r="C7562" i="1"/>
  <c r="E7562" i="1"/>
  <c r="G7562" i="1"/>
  <c r="K7562" i="1"/>
  <c r="A7563" i="1"/>
  <c r="B7563" i="1"/>
  <c r="C7563" i="1"/>
  <c r="E7563" i="1"/>
  <c r="G7563" i="1"/>
  <c r="K7563" i="1"/>
  <c r="A7564" i="1"/>
  <c r="B7564" i="1"/>
  <c r="C7564" i="1"/>
  <c r="E7564" i="1"/>
  <c r="G7564" i="1"/>
  <c r="K7564" i="1"/>
  <c r="A7565" i="1"/>
  <c r="B7565" i="1"/>
  <c r="C7565" i="1"/>
  <c r="E7565" i="1"/>
  <c r="G7565" i="1"/>
  <c r="K7565" i="1"/>
  <c r="A7566" i="1"/>
  <c r="B7566" i="1"/>
  <c r="C7566" i="1"/>
  <c r="E7566" i="1"/>
  <c r="G7566" i="1"/>
  <c r="K7566" i="1"/>
  <c r="A7567" i="1"/>
  <c r="B7567" i="1"/>
  <c r="C7567" i="1"/>
  <c r="E7567" i="1"/>
  <c r="G7567" i="1"/>
  <c r="K7567" i="1"/>
  <c r="A7568" i="1"/>
  <c r="B7568" i="1"/>
  <c r="C7568" i="1"/>
  <c r="E7568" i="1"/>
  <c r="G7568" i="1"/>
  <c r="K7568" i="1"/>
  <c r="A7569" i="1"/>
  <c r="B7569" i="1"/>
  <c r="C7569" i="1"/>
  <c r="E7569" i="1"/>
  <c r="G7569" i="1"/>
  <c r="K7569" i="1"/>
  <c r="A7570" i="1"/>
  <c r="B7570" i="1"/>
  <c r="C7570" i="1"/>
  <c r="E7570" i="1"/>
  <c r="G7570" i="1"/>
  <c r="K7570" i="1"/>
  <c r="A7571" i="1"/>
  <c r="B7571" i="1"/>
  <c r="C7571" i="1"/>
  <c r="E7571" i="1"/>
  <c r="G7571" i="1"/>
  <c r="K7571" i="1"/>
  <c r="A7572" i="1"/>
  <c r="B7572" i="1"/>
  <c r="C7572" i="1"/>
  <c r="E7572" i="1"/>
  <c r="G7572" i="1"/>
  <c r="K7572" i="1"/>
  <c r="A7573" i="1"/>
  <c r="B7573" i="1"/>
  <c r="C7573" i="1"/>
  <c r="E7573" i="1"/>
  <c r="G7573" i="1"/>
  <c r="K7573" i="1"/>
  <c r="A7574" i="1"/>
  <c r="B7574" i="1"/>
  <c r="C7574" i="1"/>
  <c r="E7574" i="1"/>
  <c r="G7574" i="1"/>
  <c r="K7574" i="1"/>
  <c r="A7575" i="1"/>
  <c r="B7575" i="1"/>
  <c r="C7575" i="1"/>
  <c r="E7575" i="1"/>
  <c r="G7575" i="1"/>
  <c r="K7575" i="1"/>
  <c r="A7576" i="1"/>
  <c r="B7576" i="1"/>
  <c r="C7576" i="1"/>
  <c r="E7576" i="1"/>
  <c r="G7576" i="1"/>
  <c r="K7576" i="1"/>
  <c r="A7577" i="1"/>
  <c r="B7577" i="1"/>
  <c r="C7577" i="1"/>
  <c r="E7577" i="1"/>
  <c r="G7577" i="1"/>
  <c r="K7577" i="1"/>
  <c r="A7578" i="1"/>
  <c r="B7578" i="1"/>
  <c r="C7578" i="1"/>
  <c r="E7578" i="1"/>
  <c r="G7578" i="1"/>
  <c r="K7578" i="1"/>
  <c r="A7579" i="1"/>
  <c r="B7579" i="1"/>
  <c r="C7579" i="1"/>
  <c r="E7579" i="1"/>
  <c r="G7579" i="1"/>
  <c r="K7579" i="1"/>
  <c r="A7580" i="1"/>
  <c r="B7580" i="1"/>
  <c r="C7580" i="1"/>
  <c r="E7580" i="1"/>
  <c r="G7580" i="1"/>
  <c r="K7580" i="1"/>
  <c r="A7581" i="1"/>
  <c r="B7581" i="1"/>
  <c r="C7581" i="1"/>
  <c r="E7581" i="1"/>
  <c r="G7581" i="1"/>
  <c r="K7581" i="1"/>
  <c r="A7582" i="1"/>
  <c r="B7582" i="1"/>
  <c r="C7582" i="1"/>
  <c r="E7582" i="1"/>
  <c r="G7582" i="1"/>
  <c r="K7582" i="1"/>
  <c r="A7583" i="1"/>
  <c r="B7583" i="1"/>
  <c r="C7583" i="1"/>
  <c r="E7583" i="1"/>
  <c r="G7583" i="1"/>
  <c r="K7583" i="1"/>
  <c r="A7584" i="1"/>
  <c r="B7584" i="1"/>
  <c r="C7584" i="1"/>
  <c r="E7584" i="1"/>
  <c r="G7584" i="1"/>
  <c r="K7584" i="1"/>
  <c r="A7585" i="1"/>
  <c r="B7585" i="1"/>
  <c r="C7585" i="1"/>
  <c r="E7585" i="1"/>
  <c r="G7585" i="1"/>
  <c r="K7585" i="1"/>
  <c r="A7586" i="1"/>
  <c r="B7586" i="1"/>
  <c r="C7586" i="1"/>
  <c r="E7586" i="1"/>
  <c r="G7586" i="1"/>
  <c r="K7586" i="1"/>
  <c r="A7587" i="1"/>
  <c r="B7587" i="1"/>
  <c r="C7587" i="1"/>
  <c r="E7587" i="1"/>
  <c r="G7587" i="1"/>
  <c r="K7587" i="1"/>
  <c r="A7588" i="1"/>
  <c r="B7588" i="1"/>
  <c r="C7588" i="1"/>
  <c r="E7588" i="1"/>
  <c r="G7588" i="1"/>
  <c r="K7588" i="1"/>
  <c r="A7589" i="1"/>
  <c r="B7589" i="1"/>
  <c r="C7589" i="1"/>
  <c r="E7589" i="1"/>
  <c r="G7589" i="1"/>
  <c r="K7589" i="1"/>
  <c r="A7590" i="1"/>
  <c r="B7590" i="1"/>
  <c r="C7590" i="1"/>
  <c r="E7590" i="1"/>
  <c r="G7590" i="1"/>
  <c r="K7590" i="1"/>
  <c r="A7591" i="1"/>
  <c r="B7591" i="1"/>
  <c r="C7591" i="1"/>
  <c r="E7591" i="1"/>
  <c r="G7591" i="1"/>
  <c r="K7591" i="1"/>
  <c r="A7592" i="1"/>
  <c r="B7592" i="1"/>
  <c r="C7592" i="1"/>
  <c r="E7592" i="1"/>
  <c r="G7592" i="1"/>
  <c r="K7592" i="1"/>
  <c r="A7593" i="1"/>
  <c r="B7593" i="1"/>
  <c r="C7593" i="1"/>
  <c r="E7593" i="1"/>
  <c r="G7593" i="1"/>
  <c r="K7593" i="1"/>
  <c r="A7594" i="1"/>
  <c r="B7594" i="1"/>
  <c r="C7594" i="1"/>
  <c r="E7594" i="1"/>
  <c r="G7594" i="1"/>
  <c r="K7594" i="1"/>
  <c r="A7595" i="1"/>
  <c r="B7595" i="1"/>
  <c r="C7595" i="1"/>
  <c r="E7595" i="1"/>
  <c r="G7595" i="1"/>
  <c r="K7595" i="1"/>
  <c r="A7596" i="1"/>
  <c r="B7596" i="1"/>
  <c r="C7596" i="1"/>
  <c r="E7596" i="1"/>
  <c r="G7596" i="1"/>
  <c r="K7596" i="1"/>
  <c r="A7597" i="1"/>
  <c r="B7597" i="1"/>
  <c r="C7597" i="1"/>
  <c r="E7597" i="1"/>
  <c r="G7597" i="1"/>
  <c r="K7597" i="1"/>
  <c r="A7598" i="1"/>
  <c r="B7598" i="1"/>
  <c r="C7598" i="1"/>
  <c r="E7598" i="1"/>
  <c r="G7598" i="1"/>
  <c r="K7598" i="1"/>
  <c r="A7599" i="1"/>
  <c r="B7599" i="1"/>
  <c r="C7599" i="1"/>
  <c r="E7599" i="1"/>
  <c r="G7599" i="1"/>
  <c r="K7599" i="1"/>
  <c r="A7600" i="1"/>
  <c r="B7600" i="1"/>
  <c r="C7600" i="1"/>
  <c r="E7600" i="1"/>
  <c r="G7600" i="1"/>
  <c r="K7600" i="1"/>
  <c r="A7601" i="1"/>
  <c r="B7601" i="1"/>
  <c r="C7601" i="1"/>
  <c r="E7601" i="1"/>
  <c r="G7601" i="1"/>
  <c r="K7601" i="1"/>
  <c r="A7602" i="1"/>
  <c r="B7602" i="1"/>
  <c r="C7602" i="1"/>
  <c r="E7602" i="1"/>
  <c r="G7602" i="1"/>
  <c r="K7602" i="1"/>
  <c r="A7603" i="1"/>
  <c r="B7603" i="1"/>
  <c r="C7603" i="1"/>
  <c r="E7603" i="1"/>
  <c r="G7603" i="1"/>
  <c r="K7603" i="1"/>
  <c r="A7604" i="1"/>
  <c r="B7604" i="1"/>
  <c r="C7604" i="1"/>
  <c r="E7604" i="1"/>
  <c r="G7604" i="1"/>
  <c r="K7604" i="1"/>
  <c r="A7605" i="1"/>
  <c r="B7605" i="1"/>
  <c r="C7605" i="1"/>
  <c r="E7605" i="1"/>
  <c r="G7605" i="1"/>
  <c r="K7605" i="1"/>
  <c r="A7606" i="1"/>
  <c r="B7606" i="1"/>
  <c r="C7606" i="1"/>
  <c r="E7606" i="1"/>
  <c r="G7606" i="1"/>
  <c r="K7606" i="1"/>
  <c r="A7607" i="1"/>
  <c r="B7607" i="1"/>
  <c r="C7607" i="1"/>
  <c r="E7607" i="1"/>
  <c r="G7607" i="1"/>
  <c r="K7607" i="1"/>
  <c r="A7608" i="1"/>
  <c r="B7608" i="1"/>
  <c r="C7608" i="1"/>
  <c r="E7608" i="1"/>
  <c r="G7608" i="1"/>
  <c r="K7608" i="1"/>
  <c r="A7609" i="1"/>
  <c r="B7609" i="1"/>
  <c r="C7609" i="1"/>
  <c r="E7609" i="1"/>
  <c r="G7609" i="1"/>
  <c r="K7609" i="1"/>
  <c r="A7610" i="1"/>
  <c r="B7610" i="1"/>
  <c r="C7610" i="1"/>
  <c r="E7610" i="1"/>
  <c r="G7610" i="1"/>
  <c r="K7610" i="1"/>
  <c r="A7611" i="1"/>
  <c r="B7611" i="1"/>
  <c r="C7611" i="1"/>
  <c r="E7611" i="1"/>
  <c r="G7611" i="1"/>
  <c r="K7611" i="1"/>
  <c r="A7612" i="1"/>
  <c r="B7612" i="1"/>
  <c r="C7612" i="1"/>
  <c r="E7612" i="1"/>
  <c r="G7612" i="1"/>
  <c r="K7612" i="1"/>
  <c r="A7613" i="1"/>
  <c r="B7613" i="1"/>
  <c r="C7613" i="1"/>
  <c r="E7613" i="1"/>
  <c r="G7613" i="1"/>
  <c r="K7613" i="1"/>
  <c r="A7614" i="1"/>
  <c r="B7614" i="1"/>
  <c r="C7614" i="1"/>
  <c r="E7614" i="1"/>
  <c r="G7614" i="1"/>
  <c r="K7614" i="1"/>
  <c r="A7615" i="1"/>
  <c r="B7615" i="1"/>
  <c r="C7615" i="1"/>
  <c r="E7615" i="1"/>
  <c r="G7615" i="1"/>
  <c r="K7615" i="1"/>
  <c r="A7616" i="1"/>
  <c r="B7616" i="1"/>
  <c r="C7616" i="1"/>
  <c r="E7616" i="1"/>
  <c r="G7616" i="1"/>
  <c r="K7616" i="1"/>
  <c r="A7617" i="1"/>
  <c r="B7617" i="1"/>
  <c r="C7617" i="1"/>
  <c r="E7617" i="1"/>
  <c r="G7617" i="1"/>
  <c r="K7617" i="1"/>
  <c r="A7618" i="1"/>
  <c r="B7618" i="1"/>
  <c r="C7618" i="1"/>
  <c r="E7618" i="1"/>
  <c r="G7618" i="1"/>
  <c r="K7618" i="1"/>
  <c r="A7619" i="1"/>
  <c r="B7619" i="1"/>
  <c r="C7619" i="1"/>
  <c r="E7619" i="1"/>
  <c r="G7619" i="1"/>
  <c r="K7619" i="1"/>
  <c r="A7620" i="1"/>
  <c r="B7620" i="1"/>
  <c r="C7620" i="1"/>
  <c r="E7620" i="1"/>
  <c r="G7620" i="1"/>
  <c r="K7620" i="1"/>
  <c r="A7621" i="1"/>
  <c r="B7621" i="1"/>
  <c r="C7621" i="1"/>
  <c r="E7621" i="1"/>
  <c r="G7621" i="1"/>
  <c r="K7621" i="1"/>
  <c r="A7622" i="1"/>
  <c r="B7622" i="1"/>
  <c r="C7622" i="1"/>
  <c r="E7622" i="1"/>
  <c r="G7622" i="1"/>
  <c r="K7622" i="1"/>
  <c r="A7623" i="1"/>
  <c r="B7623" i="1"/>
  <c r="C7623" i="1"/>
  <c r="E7623" i="1"/>
  <c r="G7623" i="1"/>
  <c r="K7623" i="1"/>
  <c r="A7624" i="1"/>
  <c r="B7624" i="1"/>
  <c r="C7624" i="1"/>
  <c r="E7624" i="1"/>
  <c r="G7624" i="1"/>
  <c r="K7624" i="1"/>
  <c r="A7625" i="1"/>
  <c r="B7625" i="1"/>
  <c r="C7625" i="1"/>
  <c r="E7625" i="1"/>
  <c r="G7625" i="1"/>
  <c r="K7625" i="1"/>
  <c r="A7626" i="1"/>
  <c r="B7626" i="1"/>
  <c r="C7626" i="1"/>
  <c r="E7626" i="1"/>
  <c r="G7626" i="1"/>
  <c r="K7626" i="1"/>
  <c r="A7627" i="1"/>
  <c r="B7627" i="1"/>
  <c r="C7627" i="1"/>
  <c r="E7627" i="1"/>
  <c r="G7627" i="1"/>
  <c r="K7627" i="1"/>
  <c r="A7628" i="1"/>
  <c r="B7628" i="1"/>
  <c r="C7628" i="1"/>
  <c r="E7628" i="1"/>
  <c r="G7628" i="1"/>
  <c r="K7628" i="1"/>
  <c r="A7629" i="1"/>
  <c r="B7629" i="1"/>
  <c r="C7629" i="1"/>
  <c r="E7629" i="1"/>
  <c r="G7629" i="1"/>
  <c r="K7629" i="1"/>
  <c r="A7630" i="1"/>
  <c r="B7630" i="1"/>
  <c r="C7630" i="1"/>
  <c r="E7630" i="1"/>
  <c r="G7630" i="1"/>
  <c r="K7630" i="1"/>
  <c r="A7631" i="1"/>
  <c r="B7631" i="1"/>
  <c r="C7631" i="1"/>
  <c r="E7631" i="1"/>
  <c r="G7631" i="1"/>
  <c r="K7631" i="1"/>
  <c r="A7632" i="1"/>
  <c r="B7632" i="1"/>
  <c r="C7632" i="1"/>
  <c r="E7632" i="1"/>
  <c r="G7632" i="1"/>
  <c r="K7632" i="1"/>
  <c r="A7633" i="1"/>
  <c r="B7633" i="1"/>
  <c r="C7633" i="1"/>
  <c r="E7633" i="1"/>
  <c r="G7633" i="1"/>
  <c r="K7633" i="1"/>
  <c r="A7634" i="1"/>
  <c r="B7634" i="1"/>
  <c r="C7634" i="1"/>
  <c r="E7634" i="1"/>
  <c r="G7634" i="1"/>
  <c r="K7634" i="1"/>
  <c r="A7635" i="1"/>
  <c r="B7635" i="1"/>
  <c r="C7635" i="1"/>
  <c r="E7635" i="1"/>
  <c r="G7635" i="1"/>
  <c r="K7635" i="1"/>
  <c r="A7636" i="1"/>
  <c r="B7636" i="1"/>
  <c r="C7636" i="1"/>
  <c r="E7636" i="1"/>
  <c r="G7636" i="1"/>
  <c r="K7636" i="1"/>
  <c r="A7637" i="1"/>
  <c r="B7637" i="1"/>
  <c r="C7637" i="1"/>
  <c r="E7637" i="1"/>
  <c r="G7637" i="1"/>
  <c r="K7637" i="1"/>
  <c r="A7638" i="1"/>
  <c r="B7638" i="1"/>
  <c r="C7638" i="1"/>
  <c r="E7638" i="1"/>
  <c r="G7638" i="1"/>
  <c r="K7638" i="1"/>
  <c r="A7639" i="1"/>
  <c r="B7639" i="1"/>
  <c r="C7639" i="1"/>
  <c r="E7639" i="1"/>
  <c r="G7639" i="1"/>
  <c r="K7639" i="1"/>
  <c r="A7640" i="1"/>
  <c r="B7640" i="1"/>
  <c r="C7640" i="1"/>
  <c r="E7640" i="1"/>
  <c r="G7640" i="1"/>
  <c r="K7640" i="1"/>
  <c r="A7641" i="1"/>
  <c r="B7641" i="1"/>
  <c r="C7641" i="1"/>
  <c r="E7641" i="1"/>
  <c r="G7641" i="1"/>
  <c r="K7641" i="1"/>
  <c r="A7642" i="1"/>
  <c r="B7642" i="1"/>
  <c r="C7642" i="1"/>
  <c r="E7642" i="1"/>
  <c r="G7642" i="1"/>
  <c r="K7642" i="1"/>
  <c r="A7643" i="1"/>
  <c r="B7643" i="1"/>
  <c r="C7643" i="1"/>
  <c r="E7643" i="1"/>
  <c r="G7643" i="1"/>
  <c r="K7643" i="1"/>
  <c r="A7644" i="1"/>
  <c r="B7644" i="1"/>
  <c r="C7644" i="1"/>
  <c r="E7644" i="1"/>
  <c r="G7644" i="1"/>
  <c r="K7644" i="1"/>
  <c r="A7645" i="1"/>
  <c r="B7645" i="1"/>
  <c r="C7645" i="1"/>
  <c r="E7645" i="1"/>
  <c r="G7645" i="1"/>
  <c r="K7645" i="1"/>
  <c r="A7646" i="1"/>
  <c r="B7646" i="1"/>
  <c r="C7646" i="1"/>
  <c r="E7646" i="1"/>
  <c r="G7646" i="1"/>
  <c r="K7646" i="1"/>
  <c r="A7647" i="1"/>
  <c r="B7647" i="1"/>
  <c r="C7647" i="1"/>
  <c r="E7647" i="1"/>
  <c r="G7647" i="1"/>
  <c r="K7647" i="1"/>
  <c r="A7648" i="1"/>
  <c r="B7648" i="1"/>
  <c r="C7648" i="1"/>
  <c r="E7648" i="1"/>
  <c r="G7648" i="1"/>
  <c r="K7648" i="1"/>
  <c r="A7649" i="1"/>
  <c r="B7649" i="1"/>
  <c r="C7649" i="1"/>
  <c r="E7649" i="1"/>
  <c r="G7649" i="1"/>
  <c r="K7649" i="1"/>
  <c r="A7650" i="1"/>
  <c r="B7650" i="1"/>
  <c r="C7650" i="1"/>
  <c r="E7650" i="1"/>
  <c r="G7650" i="1"/>
  <c r="K7650" i="1"/>
  <c r="A7651" i="1"/>
  <c r="B7651" i="1"/>
  <c r="C7651" i="1"/>
  <c r="E7651" i="1"/>
  <c r="G7651" i="1"/>
  <c r="K7651" i="1"/>
  <c r="A7652" i="1"/>
  <c r="B7652" i="1"/>
  <c r="C7652" i="1"/>
  <c r="E7652" i="1"/>
  <c r="G7652" i="1"/>
  <c r="K7652" i="1"/>
  <c r="A7653" i="1"/>
  <c r="B7653" i="1"/>
  <c r="C7653" i="1"/>
  <c r="E7653" i="1"/>
  <c r="G7653" i="1"/>
  <c r="K7653" i="1"/>
  <c r="A7654" i="1"/>
  <c r="B7654" i="1"/>
  <c r="C7654" i="1"/>
  <c r="E7654" i="1"/>
  <c r="G7654" i="1"/>
  <c r="K7654" i="1"/>
  <c r="A7655" i="1"/>
  <c r="B7655" i="1"/>
  <c r="C7655" i="1"/>
  <c r="E7655" i="1"/>
  <c r="G7655" i="1"/>
  <c r="K7655" i="1"/>
  <c r="A7656" i="1"/>
  <c r="B7656" i="1"/>
  <c r="C7656" i="1"/>
  <c r="E7656" i="1"/>
  <c r="G7656" i="1"/>
  <c r="K7656" i="1"/>
  <c r="A7657" i="1"/>
  <c r="B7657" i="1"/>
  <c r="C7657" i="1"/>
  <c r="E7657" i="1"/>
  <c r="G7657" i="1"/>
  <c r="K7657" i="1"/>
  <c r="A7658" i="1"/>
  <c r="B7658" i="1"/>
  <c r="C7658" i="1"/>
  <c r="E7658" i="1"/>
  <c r="G7658" i="1"/>
  <c r="K7658" i="1"/>
  <c r="A7659" i="1"/>
  <c r="B7659" i="1"/>
  <c r="C7659" i="1"/>
  <c r="E7659" i="1"/>
  <c r="G7659" i="1"/>
  <c r="K7659" i="1"/>
  <c r="A7660" i="1"/>
  <c r="B7660" i="1"/>
  <c r="C7660" i="1"/>
  <c r="E7660" i="1"/>
  <c r="G7660" i="1"/>
  <c r="K7660" i="1"/>
  <c r="A7661" i="1"/>
  <c r="B7661" i="1"/>
  <c r="C7661" i="1"/>
  <c r="E7661" i="1"/>
  <c r="G7661" i="1"/>
  <c r="K7661" i="1"/>
  <c r="A7662" i="1"/>
  <c r="B7662" i="1"/>
  <c r="C7662" i="1"/>
  <c r="E7662" i="1"/>
  <c r="G7662" i="1"/>
  <c r="K7662" i="1"/>
  <c r="A7663" i="1"/>
  <c r="B7663" i="1"/>
  <c r="C7663" i="1"/>
  <c r="E7663" i="1"/>
  <c r="G7663" i="1"/>
  <c r="K7663" i="1"/>
  <c r="A7664" i="1"/>
  <c r="B7664" i="1"/>
  <c r="C7664" i="1"/>
  <c r="E7664" i="1"/>
  <c r="G7664" i="1"/>
  <c r="K7664" i="1"/>
  <c r="A7665" i="1"/>
  <c r="B7665" i="1"/>
  <c r="C7665" i="1"/>
  <c r="E7665" i="1"/>
  <c r="G7665" i="1"/>
  <c r="K7665" i="1"/>
  <c r="A7666" i="1"/>
  <c r="B7666" i="1"/>
  <c r="C7666" i="1"/>
  <c r="E7666" i="1"/>
  <c r="G7666" i="1"/>
  <c r="K7666" i="1"/>
  <c r="A7667" i="1"/>
  <c r="B7667" i="1"/>
  <c r="C7667" i="1"/>
  <c r="E7667" i="1"/>
  <c r="G7667" i="1"/>
  <c r="K7667" i="1"/>
  <c r="A7668" i="1"/>
  <c r="B7668" i="1"/>
  <c r="C7668" i="1"/>
  <c r="E7668" i="1"/>
  <c r="G7668" i="1"/>
  <c r="K7668" i="1"/>
  <c r="A7669" i="1"/>
  <c r="B7669" i="1"/>
  <c r="C7669" i="1"/>
  <c r="E7669" i="1"/>
  <c r="G7669" i="1"/>
  <c r="K7669" i="1"/>
  <c r="A7670" i="1"/>
  <c r="B7670" i="1"/>
  <c r="C7670" i="1"/>
  <c r="E7670" i="1"/>
  <c r="G7670" i="1"/>
  <c r="K7670" i="1"/>
  <c r="A7671" i="1"/>
  <c r="B7671" i="1"/>
  <c r="C7671" i="1"/>
  <c r="E7671" i="1"/>
  <c r="G7671" i="1"/>
  <c r="K7671" i="1"/>
  <c r="A7672" i="1"/>
  <c r="B7672" i="1"/>
  <c r="C7672" i="1"/>
  <c r="E7672" i="1"/>
  <c r="G7672" i="1"/>
  <c r="K7672" i="1"/>
  <c r="A7673" i="1"/>
  <c r="B7673" i="1"/>
  <c r="C7673" i="1"/>
  <c r="E7673" i="1"/>
  <c r="G7673" i="1"/>
  <c r="K7673" i="1"/>
  <c r="A7674" i="1"/>
  <c r="B7674" i="1"/>
  <c r="C7674" i="1"/>
  <c r="E7674" i="1"/>
  <c r="G7674" i="1"/>
  <c r="K7674" i="1"/>
  <c r="A7675" i="1"/>
  <c r="B7675" i="1"/>
  <c r="C7675" i="1"/>
  <c r="E7675" i="1"/>
  <c r="G7675" i="1"/>
  <c r="K7675" i="1"/>
  <c r="A7676" i="1"/>
  <c r="B7676" i="1"/>
  <c r="C7676" i="1"/>
  <c r="E7676" i="1"/>
  <c r="G7676" i="1"/>
  <c r="K7676" i="1"/>
  <c r="A7677" i="1"/>
  <c r="B7677" i="1"/>
  <c r="C7677" i="1"/>
  <c r="E7677" i="1"/>
  <c r="G7677" i="1"/>
  <c r="K7677" i="1"/>
  <c r="A7678" i="1"/>
  <c r="B7678" i="1"/>
  <c r="C7678" i="1"/>
  <c r="E7678" i="1"/>
  <c r="G7678" i="1"/>
  <c r="K7678" i="1"/>
  <c r="A7679" i="1"/>
  <c r="B7679" i="1"/>
  <c r="C7679" i="1"/>
  <c r="E7679" i="1"/>
  <c r="G7679" i="1"/>
  <c r="K7679" i="1"/>
  <c r="A7680" i="1"/>
  <c r="B7680" i="1"/>
  <c r="C7680" i="1"/>
  <c r="E7680" i="1"/>
  <c r="G7680" i="1"/>
  <c r="K7680" i="1"/>
  <c r="A7681" i="1"/>
  <c r="B7681" i="1"/>
  <c r="C7681" i="1"/>
  <c r="E7681" i="1"/>
  <c r="G7681" i="1"/>
  <c r="K7681" i="1"/>
  <c r="A7682" i="1"/>
  <c r="B7682" i="1"/>
  <c r="C7682" i="1"/>
  <c r="E7682" i="1"/>
  <c r="G7682" i="1"/>
  <c r="K7682" i="1"/>
  <c r="A7683" i="1"/>
  <c r="B7683" i="1"/>
  <c r="C7683" i="1"/>
  <c r="E7683" i="1"/>
  <c r="G7683" i="1"/>
  <c r="K7683" i="1"/>
  <c r="A7684" i="1"/>
  <c r="B7684" i="1"/>
  <c r="C7684" i="1"/>
  <c r="E7684" i="1"/>
  <c r="G7684" i="1"/>
  <c r="K7684" i="1"/>
  <c r="A7685" i="1"/>
  <c r="B7685" i="1"/>
  <c r="C7685" i="1"/>
  <c r="E7685" i="1"/>
  <c r="G7685" i="1"/>
  <c r="K7685" i="1"/>
  <c r="A7686" i="1"/>
  <c r="B7686" i="1"/>
  <c r="C7686" i="1"/>
  <c r="E7686" i="1"/>
  <c r="G7686" i="1"/>
  <c r="K7686" i="1"/>
  <c r="A7687" i="1"/>
  <c r="B7687" i="1"/>
  <c r="C7687" i="1"/>
  <c r="E7687" i="1"/>
  <c r="G7687" i="1"/>
  <c r="K7687" i="1"/>
  <c r="A7688" i="1"/>
  <c r="B7688" i="1"/>
  <c r="C7688" i="1"/>
  <c r="E7688" i="1"/>
  <c r="G7688" i="1"/>
  <c r="K7688" i="1"/>
  <c r="A7689" i="1"/>
  <c r="B7689" i="1"/>
  <c r="C7689" i="1"/>
  <c r="E7689" i="1"/>
  <c r="G7689" i="1"/>
  <c r="K7689" i="1"/>
  <c r="A7690" i="1"/>
  <c r="B7690" i="1"/>
  <c r="C7690" i="1"/>
  <c r="E7690" i="1"/>
  <c r="G7690" i="1"/>
  <c r="K7690" i="1"/>
  <c r="A7691" i="1"/>
  <c r="B7691" i="1"/>
  <c r="C7691" i="1"/>
  <c r="E7691" i="1"/>
  <c r="G7691" i="1"/>
  <c r="K7691" i="1"/>
  <c r="A7692" i="1"/>
  <c r="B7692" i="1"/>
  <c r="C7692" i="1"/>
  <c r="E7692" i="1"/>
  <c r="G7692" i="1"/>
  <c r="K7692" i="1"/>
  <c r="A7693" i="1"/>
  <c r="B7693" i="1"/>
  <c r="C7693" i="1"/>
  <c r="E7693" i="1"/>
  <c r="G7693" i="1"/>
  <c r="K7693" i="1"/>
  <c r="A7694" i="1"/>
  <c r="B7694" i="1"/>
  <c r="C7694" i="1"/>
  <c r="E7694" i="1"/>
  <c r="G7694" i="1"/>
  <c r="K7694" i="1"/>
  <c r="A7695" i="1"/>
  <c r="B7695" i="1"/>
  <c r="C7695" i="1"/>
  <c r="E7695" i="1"/>
  <c r="G7695" i="1"/>
  <c r="K7695" i="1"/>
  <c r="A7696" i="1"/>
  <c r="B7696" i="1"/>
  <c r="C7696" i="1"/>
  <c r="E7696" i="1"/>
  <c r="G7696" i="1"/>
  <c r="K7696" i="1"/>
  <c r="A7697" i="1"/>
  <c r="B7697" i="1"/>
  <c r="C7697" i="1"/>
  <c r="E7697" i="1"/>
  <c r="G7697" i="1"/>
  <c r="K7697" i="1"/>
  <c r="A7698" i="1"/>
  <c r="B7698" i="1"/>
  <c r="C7698" i="1"/>
  <c r="E7698" i="1"/>
  <c r="G7698" i="1"/>
  <c r="K7698" i="1"/>
  <c r="A7699" i="1"/>
  <c r="B7699" i="1"/>
  <c r="C7699" i="1"/>
  <c r="E7699" i="1"/>
  <c r="G7699" i="1"/>
  <c r="K7699" i="1"/>
  <c r="A7700" i="1"/>
  <c r="B7700" i="1"/>
  <c r="C7700" i="1"/>
  <c r="E7700" i="1"/>
  <c r="G7700" i="1"/>
  <c r="K7700" i="1"/>
  <c r="A7701" i="1"/>
  <c r="B7701" i="1"/>
  <c r="C7701" i="1"/>
  <c r="E7701" i="1"/>
  <c r="G7701" i="1"/>
  <c r="K7701" i="1"/>
  <c r="A7702" i="1"/>
  <c r="B7702" i="1"/>
  <c r="C7702" i="1"/>
  <c r="E7702" i="1"/>
  <c r="G7702" i="1"/>
  <c r="K7702" i="1"/>
  <c r="A7703" i="1"/>
  <c r="B7703" i="1"/>
  <c r="C7703" i="1"/>
  <c r="E7703" i="1"/>
  <c r="G7703" i="1"/>
  <c r="K7703" i="1"/>
  <c r="A7704" i="1"/>
  <c r="B7704" i="1"/>
  <c r="C7704" i="1"/>
  <c r="E7704" i="1"/>
  <c r="G7704" i="1"/>
  <c r="K7704" i="1"/>
  <c r="A7705" i="1"/>
  <c r="B7705" i="1"/>
  <c r="C7705" i="1"/>
  <c r="E7705" i="1"/>
  <c r="G7705" i="1"/>
  <c r="K7705" i="1"/>
  <c r="A7706" i="1"/>
  <c r="B7706" i="1"/>
  <c r="C7706" i="1"/>
  <c r="E7706" i="1"/>
  <c r="G7706" i="1"/>
  <c r="K7706" i="1"/>
  <c r="A7707" i="1"/>
  <c r="B7707" i="1"/>
  <c r="C7707" i="1"/>
  <c r="E7707" i="1"/>
  <c r="G7707" i="1"/>
  <c r="K7707" i="1"/>
  <c r="A7708" i="1"/>
  <c r="B7708" i="1"/>
  <c r="C7708" i="1"/>
  <c r="E7708" i="1"/>
  <c r="G7708" i="1"/>
  <c r="K7708" i="1"/>
  <c r="A7709" i="1"/>
  <c r="B7709" i="1"/>
  <c r="C7709" i="1"/>
  <c r="E7709" i="1"/>
  <c r="G7709" i="1"/>
  <c r="K7709" i="1"/>
  <c r="A7710" i="1"/>
  <c r="B7710" i="1"/>
  <c r="C7710" i="1"/>
  <c r="E7710" i="1"/>
  <c r="G7710" i="1"/>
  <c r="K7710" i="1"/>
  <c r="A7711" i="1"/>
  <c r="B7711" i="1"/>
  <c r="C7711" i="1"/>
  <c r="E7711" i="1"/>
  <c r="G7711" i="1"/>
  <c r="K7711" i="1"/>
  <c r="A7712" i="1"/>
  <c r="B7712" i="1"/>
  <c r="C7712" i="1"/>
  <c r="E7712" i="1"/>
  <c r="G7712" i="1"/>
  <c r="K7712" i="1"/>
  <c r="A7713" i="1"/>
  <c r="B7713" i="1"/>
  <c r="C7713" i="1"/>
  <c r="E7713" i="1"/>
  <c r="G7713" i="1"/>
  <c r="K7713" i="1"/>
  <c r="A7714" i="1"/>
  <c r="B7714" i="1"/>
  <c r="C7714" i="1"/>
  <c r="E7714" i="1"/>
  <c r="G7714" i="1"/>
  <c r="K7714" i="1"/>
  <c r="A7715" i="1"/>
  <c r="B7715" i="1"/>
  <c r="C7715" i="1"/>
  <c r="E7715" i="1"/>
  <c r="G7715" i="1"/>
  <c r="K7715" i="1"/>
  <c r="A7716" i="1"/>
  <c r="B7716" i="1"/>
  <c r="C7716" i="1"/>
  <c r="E7716" i="1"/>
  <c r="G7716" i="1"/>
  <c r="K7716" i="1"/>
  <c r="A7717" i="1"/>
  <c r="B7717" i="1"/>
  <c r="C7717" i="1"/>
  <c r="E7717" i="1"/>
  <c r="G7717" i="1"/>
  <c r="K7717" i="1"/>
  <c r="A7718" i="1"/>
  <c r="B7718" i="1"/>
  <c r="C7718" i="1"/>
  <c r="E7718" i="1"/>
  <c r="G7718" i="1"/>
  <c r="K7718" i="1"/>
  <c r="A7719" i="1"/>
  <c r="B7719" i="1"/>
  <c r="C7719" i="1"/>
  <c r="E7719" i="1"/>
  <c r="G7719" i="1"/>
  <c r="K7719" i="1"/>
  <c r="A7720" i="1"/>
  <c r="B7720" i="1"/>
  <c r="C7720" i="1"/>
  <c r="E7720" i="1"/>
  <c r="G7720" i="1"/>
  <c r="K7720" i="1"/>
  <c r="A7721" i="1"/>
  <c r="B7721" i="1"/>
  <c r="C7721" i="1"/>
  <c r="E7721" i="1"/>
  <c r="G7721" i="1"/>
  <c r="K7721" i="1"/>
  <c r="A7722" i="1"/>
  <c r="B7722" i="1"/>
  <c r="C7722" i="1"/>
  <c r="E7722" i="1"/>
  <c r="G7722" i="1"/>
  <c r="K7722" i="1"/>
  <c r="A7723" i="1"/>
  <c r="B7723" i="1"/>
  <c r="C7723" i="1"/>
  <c r="E7723" i="1"/>
  <c r="G7723" i="1"/>
  <c r="K7723" i="1"/>
  <c r="A7724" i="1"/>
  <c r="B7724" i="1"/>
  <c r="C7724" i="1"/>
  <c r="E7724" i="1"/>
  <c r="G7724" i="1"/>
  <c r="K7724" i="1"/>
  <c r="A7725" i="1"/>
  <c r="B7725" i="1"/>
  <c r="C7725" i="1"/>
  <c r="E7725" i="1"/>
  <c r="G7725" i="1"/>
  <c r="K7725" i="1"/>
  <c r="A7726" i="1"/>
  <c r="B7726" i="1"/>
  <c r="C7726" i="1"/>
  <c r="E7726" i="1"/>
  <c r="G7726" i="1"/>
  <c r="K7726" i="1"/>
  <c r="A7727" i="1"/>
  <c r="B7727" i="1"/>
  <c r="C7727" i="1"/>
  <c r="E7727" i="1"/>
  <c r="G7727" i="1"/>
  <c r="K7727" i="1"/>
  <c r="A7728" i="1"/>
  <c r="B7728" i="1"/>
  <c r="C7728" i="1"/>
  <c r="E7728" i="1"/>
  <c r="G7728" i="1"/>
  <c r="K7728" i="1"/>
  <c r="A7729" i="1"/>
  <c r="B7729" i="1"/>
  <c r="C7729" i="1"/>
  <c r="E7729" i="1"/>
  <c r="G7729" i="1"/>
  <c r="K7729" i="1"/>
  <c r="A7730" i="1"/>
  <c r="B7730" i="1"/>
  <c r="C7730" i="1"/>
  <c r="E7730" i="1"/>
  <c r="G7730" i="1"/>
  <c r="K7730" i="1"/>
  <c r="A7731" i="1"/>
  <c r="B7731" i="1"/>
  <c r="C7731" i="1"/>
  <c r="E7731" i="1"/>
  <c r="G7731" i="1"/>
  <c r="K7731" i="1"/>
  <c r="A7732" i="1"/>
  <c r="B7732" i="1"/>
  <c r="C7732" i="1"/>
  <c r="E7732" i="1"/>
  <c r="G7732" i="1"/>
  <c r="K7732" i="1"/>
  <c r="A7733" i="1"/>
  <c r="B7733" i="1"/>
  <c r="C7733" i="1"/>
  <c r="E7733" i="1"/>
  <c r="G7733" i="1"/>
  <c r="K7733" i="1"/>
  <c r="A7734" i="1"/>
  <c r="B7734" i="1"/>
  <c r="C7734" i="1"/>
  <c r="E7734" i="1"/>
  <c r="G7734" i="1"/>
  <c r="K7734" i="1"/>
  <c r="A7735" i="1"/>
  <c r="B7735" i="1"/>
  <c r="C7735" i="1"/>
  <c r="E7735" i="1"/>
  <c r="G7735" i="1"/>
  <c r="K7735" i="1"/>
  <c r="A7736" i="1"/>
  <c r="B7736" i="1"/>
  <c r="C7736" i="1"/>
  <c r="E7736" i="1"/>
  <c r="G7736" i="1"/>
  <c r="K7736" i="1"/>
  <c r="A7737" i="1"/>
  <c r="B7737" i="1"/>
  <c r="C7737" i="1"/>
  <c r="E7737" i="1"/>
  <c r="G7737" i="1"/>
  <c r="K7737" i="1"/>
  <c r="A7738" i="1"/>
  <c r="B7738" i="1"/>
  <c r="C7738" i="1"/>
  <c r="E7738" i="1"/>
  <c r="G7738" i="1"/>
  <c r="K7738" i="1"/>
  <c r="A7739" i="1"/>
  <c r="B7739" i="1"/>
  <c r="C7739" i="1"/>
  <c r="E7739" i="1"/>
  <c r="G7739" i="1"/>
  <c r="K7739" i="1"/>
  <c r="A7740" i="1"/>
  <c r="B7740" i="1"/>
  <c r="C7740" i="1"/>
  <c r="E7740" i="1"/>
  <c r="G7740" i="1"/>
  <c r="K7740" i="1"/>
  <c r="A7741" i="1"/>
  <c r="B7741" i="1"/>
  <c r="C7741" i="1"/>
  <c r="E7741" i="1"/>
  <c r="G7741" i="1"/>
  <c r="K7741" i="1"/>
  <c r="A7742" i="1"/>
  <c r="B7742" i="1"/>
  <c r="C7742" i="1"/>
  <c r="E7742" i="1"/>
  <c r="G7742" i="1"/>
  <c r="K7742" i="1"/>
  <c r="A7743" i="1"/>
  <c r="B7743" i="1"/>
  <c r="C7743" i="1"/>
  <c r="E7743" i="1"/>
  <c r="G7743" i="1"/>
  <c r="K7743" i="1"/>
  <c r="A7744" i="1"/>
  <c r="B7744" i="1"/>
  <c r="C7744" i="1"/>
  <c r="E7744" i="1"/>
  <c r="G7744" i="1"/>
  <c r="K7744" i="1"/>
  <c r="A7745" i="1"/>
  <c r="B7745" i="1"/>
  <c r="C7745" i="1"/>
  <c r="E7745" i="1"/>
  <c r="G7745" i="1"/>
  <c r="K7745" i="1"/>
  <c r="A7746" i="1"/>
  <c r="B7746" i="1"/>
  <c r="C7746" i="1"/>
  <c r="E7746" i="1"/>
  <c r="G7746" i="1"/>
  <c r="K7746" i="1"/>
  <c r="A7747" i="1"/>
  <c r="B7747" i="1"/>
  <c r="C7747" i="1"/>
  <c r="E7747" i="1"/>
  <c r="G7747" i="1"/>
  <c r="K7747" i="1"/>
  <c r="A7748" i="1"/>
  <c r="B7748" i="1"/>
  <c r="C7748" i="1"/>
  <c r="E7748" i="1"/>
  <c r="G7748" i="1"/>
  <c r="K7748" i="1"/>
  <c r="A7749" i="1"/>
  <c r="B7749" i="1"/>
  <c r="C7749" i="1"/>
  <c r="E7749" i="1"/>
  <c r="G7749" i="1"/>
  <c r="K7749" i="1"/>
  <c r="A7750" i="1"/>
  <c r="B7750" i="1"/>
  <c r="C7750" i="1"/>
  <c r="E7750" i="1"/>
  <c r="G7750" i="1"/>
  <c r="K7750" i="1"/>
  <c r="A7751" i="1"/>
  <c r="B7751" i="1"/>
  <c r="C7751" i="1"/>
  <c r="E7751" i="1"/>
  <c r="G7751" i="1"/>
  <c r="K7751" i="1"/>
  <c r="A7752" i="1"/>
  <c r="B7752" i="1"/>
  <c r="C7752" i="1"/>
  <c r="E7752" i="1"/>
  <c r="G7752" i="1"/>
  <c r="K7752" i="1"/>
  <c r="A7753" i="1"/>
  <c r="B7753" i="1"/>
  <c r="C7753" i="1"/>
  <c r="E7753" i="1"/>
  <c r="G7753" i="1"/>
  <c r="K7753" i="1"/>
  <c r="A7754" i="1"/>
  <c r="B7754" i="1"/>
  <c r="C7754" i="1"/>
  <c r="E7754" i="1"/>
  <c r="G7754" i="1"/>
  <c r="K7754" i="1"/>
  <c r="A7755" i="1"/>
  <c r="B7755" i="1"/>
  <c r="C7755" i="1"/>
  <c r="E7755" i="1"/>
  <c r="G7755" i="1"/>
  <c r="K7755" i="1"/>
  <c r="A7756" i="1"/>
  <c r="B7756" i="1"/>
  <c r="C7756" i="1"/>
  <c r="E7756" i="1"/>
  <c r="G7756" i="1"/>
  <c r="K7756" i="1"/>
  <c r="A7757" i="1"/>
  <c r="B7757" i="1"/>
  <c r="C7757" i="1"/>
  <c r="E7757" i="1"/>
  <c r="G7757" i="1"/>
  <c r="K7757" i="1"/>
  <c r="A7758" i="1"/>
  <c r="B7758" i="1"/>
  <c r="C7758" i="1"/>
  <c r="E7758" i="1"/>
  <c r="G7758" i="1"/>
  <c r="K7758" i="1"/>
  <c r="A7759" i="1"/>
  <c r="B7759" i="1"/>
  <c r="C7759" i="1"/>
  <c r="E7759" i="1"/>
  <c r="G7759" i="1"/>
  <c r="K7759" i="1"/>
  <c r="A7760" i="1"/>
  <c r="B7760" i="1"/>
  <c r="C7760" i="1"/>
  <c r="E7760" i="1"/>
  <c r="G7760" i="1"/>
  <c r="K7760" i="1"/>
  <c r="A7761" i="1"/>
  <c r="B7761" i="1"/>
  <c r="C7761" i="1"/>
  <c r="E7761" i="1"/>
  <c r="G7761" i="1"/>
  <c r="K7761" i="1"/>
  <c r="A7762" i="1"/>
  <c r="B7762" i="1"/>
  <c r="C7762" i="1"/>
  <c r="E7762" i="1"/>
  <c r="G7762" i="1"/>
  <c r="K7762" i="1"/>
  <c r="A7763" i="1"/>
  <c r="B7763" i="1"/>
  <c r="C7763" i="1"/>
  <c r="E7763" i="1"/>
  <c r="G7763" i="1"/>
  <c r="K7763" i="1"/>
  <c r="A7764" i="1"/>
  <c r="B7764" i="1"/>
  <c r="C7764" i="1"/>
  <c r="E7764" i="1"/>
  <c r="G7764" i="1"/>
  <c r="K7764" i="1"/>
  <c r="A7765" i="1"/>
  <c r="B7765" i="1"/>
  <c r="C7765" i="1"/>
  <c r="E7765" i="1"/>
  <c r="G7765" i="1"/>
  <c r="K7765" i="1"/>
  <c r="A7766" i="1"/>
  <c r="B7766" i="1"/>
  <c r="C7766" i="1"/>
  <c r="E7766" i="1"/>
  <c r="G7766" i="1"/>
  <c r="K7766" i="1"/>
  <c r="A7767" i="1"/>
  <c r="B7767" i="1"/>
  <c r="C7767" i="1"/>
  <c r="E7767" i="1"/>
  <c r="G7767" i="1"/>
  <c r="K7767" i="1"/>
  <c r="A7768" i="1"/>
  <c r="B7768" i="1"/>
  <c r="C7768" i="1"/>
  <c r="E7768" i="1"/>
  <c r="G7768" i="1"/>
  <c r="K7768" i="1"/>
  <c r="A7769" i="1"/>
  <c r="B7769" i="1"/>
  <c r="C7769" i="1"/>
  <c r="E7769" i="1"/>
  <c r="G7769" i="1"/>
  <c r="K7769" i="1"/>
  <c r="A7770" i="1"/>
  <c r="B7770" i="1"/>
  <c r="C7770" i="1"/>
  <c r="E7770" i="1"/>
  <c r="G7770" i="1"/>
  <c r="K7770" i="1"/>
  <c r="A7771" i="1"/>
  <c r="B7771" i="1"/>
  <c r="C7771" i="1"/>
  <c r="E7771" i="1"/>
  <c r="G7771" i="1"/>
  <c r="K7771" i="1"/>
  <c r="A7772" i="1"/>
  <c r="B7772" i="1"/>
  <c r="C7772" i="1"/>
  <c r="E7772" i="1"/>
  <c r="G7772" i="1"/>
  <c r="K7772" i="1"/>
  <c r="A7773" i="1"/>
  <c r="B7773" i="1"/>
  <c r="C7773" i="1"/>
  <c r="E7773" i="1"/>
  <c r="G7773" i="1"/>
  <c r="K7773" i="1"/>
  <c r="A7774" i="1"/>
  <c r="B7774" i="1"/>
  <c r="C7774" i="1"/>
  <c r="E7774" i="1"/>
  <c r="G7774" i="1"/>
  <c r="K7774" i="1"/>
  <c r="A7775" i="1"/>
  <c r="B7775" i="1"/>
  <c r="C7775" i="1"/>
  <c r="E7775" i="1"/>
  <c r="G7775" i="1"/>
  <c r="K7775" i="1"/>
  <c r="A7776" i="1"/>
  <c r="B7776" i="1"/>
  <c r="C7776" i="1"/>
  <c r="E7776" i="1"/>
  <c r="G7776" i="1"/>
  <c r="K7776" i="1"/>
  <c r="A7777" i="1"/>
  <c r="B7777" i="1"/>
  <c r="C7777" i="1"/>
  <c r="E7777" i="1"/>
  <c r="G7777" i="1"/>
  <c r="K7777" i="1"/>
  <c r="A7778" i="1"/>
  <c r="B7778" i="1"/>
  <c r="C7778" i="1"/>
  <c r="E7778" i="1"/>
  <c r="G7778" i="1"/>
  <c r="K7778" i="1"/>
  <c r="A7779" i="1"/>
  <c r="B7779" i="1"/>
  <c r="C7779" i="1"/>
  <c r="E7779" i="1"/>
  <c r="G7779" i="1"/>
  <c r="K7779" i="1"/>
  <c r="A7780" i="1"/>
  <c r="B7780" i="1"/>
  <c r="C7780" i="1"/>
  <c r="E7780" i="1"/>
  <c r="G7780" i="1"/>
  <c r="K7780" i="1"/>
  <c r="A7781" i="1"/>
  <c r="B7781" i="1"/>
  <c r="C7781" i="1"/>
  <c r="E7781" i="1"/>
  <c r="G7781" i="1"/>
  <c r="K7781" i="1"/>
  <c r="A7782" i="1"/>
  <c r="B7782" i="1"/>
  <c r="C7782" i="1"/>
  <c r="E7782" i="1"/>
  <c r="G7782" i="1"/>
  <c r="K7782" i="1"/>
  <c r="A7783" i="1"/>
  <c r="B7783" i="1"/>
  <c r="C7783" i="1"/>
  <c r="E7783" i="1"/>
  <c r="G7783" i="1"/>
  <c r="K7783" i="1"/>
  <c r="A7784" i="1"/>
  <c r="B7784" i="1"/>
  <c r="C7784" i="1"/>
  <c r="E7784" i="1"/>
  <c r="G7784" i="1"/>
  <c r="K7784" i="1"/>
  <c r="A7785" i="1"/>
  <c r="B7785" i="1"/>
  <c r="C7785" i="1"/>
  <c r="E7785" i="1"/>
  <c r="G7785" i="1"/>
  <c r="K7785" i="1"/>
  <c r="A7786" i="1"/>
  <c r="B7786" i="1"/>
  <c r="C7786" i="1"/>
  <c r="E7786" i="1"/>
  <c r="G7786" i="1"/>
  <c r="K7786" i="1"/>
  <c r="A7787" i="1"/>
  <c r="B7787" i="1"/>
  <c r="C7787" i="1"/>
  <c r="E7787" i="1"/>
  <c r="G7787" i="1"/>
  <c r="K7787" i="1"/>
  <c r="A7788" i="1"/>
  <c r="B7788" i="1"/>
  <c r="C7788" i="1"/>
  <c r="E7788" i="1"/>
  <c r="G7788" i="1"/>
  <c r="K7788" i="1"/>
  <c r="A7789" i="1"/>
  <c r="B7789" i="1"/>
  <c r="C7789" i="1"/>
  <c r="E7789" i="1"/>
  <c r="G7789" i="1"/>
  <c r="K7789" i="1"/>
  <c r="A7790" i="1"/>
  <c r="B7790" i="1"/>
  <c r="C7790" i="1"/>
  <c r="E7790" i="1"/>
  <c r="G7790" i="1"/>
  <c r="K7790" i="1"/>
  <c r="A7791" i="1"/>
  <c r="B7791" i="1"/>
  <c r="C7791" i="1"/>
  <c r="E7791" i="1"/>
  <c r="G7791" i="1"/>
  <c r="K7791" i="1"/>
  <c r="A7792" i="1"/>
  <c r="B7792" i="1"/>
  <c r="C7792" i="1"/>
  <c r="E7792" i="1"/>
  <c r="G7792" i="1"/>
  <c r="K7792" i="1"/>
  <c r="A7793" i="1"/>
  <c r="B7793" i="1"/>
  <c r="C7793" i="1"/>
  <c r="E7793" i="1"/>
  <c r="G7793" i="1"/>
  <c r="K7793" i="1"/>
  <c r="A7794" i="1"/>
  <c r="B7794" i="1"/>
  <c r="C7794" i="1"/>
  <c r="E7794" i="1"/>
  <c r="G7794" i="1"/>
  <c r="K7794" i="1"/>
  <c r="A7795" i="1"/>
  <c r="B7795" i="1"/>
  <c r="C7795" i="1"/>
  <c r="E7795" i="1"/>
  <c r="G7795" i="1"/>
  <c r="K7795" i="1"/>
  <c r="A7796" i="1"/>
  <c r="B7796" i="1"/>
  <c r="C7796" i="1"/>
  <c r="E7796" i="1"/>
  <c r="G7796" i="1"/>
  <c r="K7796" i="1"/>
  <c r="A7797" i="1"/>
  <c r="B7797" i="1"/>
  <c r="C7797" i="1"/>
  <c r="E7797" i="1"/>
  <c r="G7797" i="1"/>
  <c r="K7797" i="1"/>
  <c r="A7798" i="1"/>
  <c r="B7798" i="1"/>
  <c r="C7798" i="1"/>
  <c r="E7798" i="1"/>
  <c r="G7798" i="1"/>
  <c r="K7798" i="1"/>
  <c r="A7799" i="1"/>
  <c r="B7799" i="1"/>
  <c r="C7799" i="1"/>
  <c r="E7799" i="1"/>
  <c r="G7799" i="1"/>
  <c r="K7799" i="1"/>
  <c r="A7800" i="1"/>
  <c r="B7800" i="1"/>
  <c r="C7800" i="1"/>
  <c r="E7800" i="1"/>
  <c r="G7800" i="1"/>
  <c r="K7800" i="1"/>
  <c r="A7801" i="1"/>
  <c r="B7801" i="1"/>
  <c r="C7801" i="1"/>
  <c r="E7801" i="1"/>
  <c r="G7801" i="1"/>
  <c r="K7801" i="1"/>
  <c r="A7802" i="1"/>
  <c r="B7802" i="1"/>
  <c r="C7802" i="1"/>
  <c r="E7802" i="1"/>
  <c r="G7802" i="1"/>
  <c r="K7802" i="1"/>
  <c r="A7803" i="1"/>
  <c r="B7803" i="1"/>
  <c r="C7803" i="1"/>
  <c r="E7803" i="1"/>
  <c r="G7803" i="1"/>
  <c r="K7803" i="1"/>
  <c r="A7804" i="1"/>
  <c r="B7804" i="1"/>
  <c r="C7804" i="1"/>
  <c r="E7804" i="1"/>
  <c r="G7804" i="1"/>
  <c r="K7804" i="1"/>
  <c r="A7805" i="1"/>
  <c r="B7805" i="1"/>
  <c r="C7805" i="1"/>
  <c r="E7805" i="1"/>
  <c r="G7805" i="1"/>
  <c r="K7805" i="1"/>
  <c r="A7806" i="1"/>
  <c r="B7806" i="1"/>
  <c r="C7806" i="1"/>
  <c r="E7806" i="1"/>
  <c r="G7806" i="1"/>
  <c r="K7806" i="1"/>
  <c r="A7807" i="1"/>
  <c r="B7807" i="1"/>
  <c r="C7807" i="1"/>
  <c r="E7807" i="1"/>
  <c r="G7807" i="1"/>
  <c r="K7807" i="1"/>
  <c r="A7808" i="1"/>
  <c r="B7808" i="1"/>
  <c r="C7808" i="1"/>
  <c r="E7808" i="1"/>
  <c r="G7808" i="1"/>
  <c r="K7808" i="1"/>
  <c r="A7809" i="1"/>
  <c r="B7809" i="1"/>
  <c r="C7809" i="1"/>
  <c r="E7809" i="1"/>
  <c r="G7809" i="1"/>
  <c r="K7809" i="1"/>
  <c r="A7810" i="1"/>
  <c r="B7810" i="1"/>
  <c r="C7810" i="1"/>
  <c r="E7810" i="1"/>
  <c r="G7810" i="1"/>
  <c r="K7810" i="1"/>
  <c r="A7811" i="1"/>
  <c r="B7811" i="1"/>
  <c r="C7811" i="1"/>
  <c r="E7811" i="1"/>
  <c r="G7811" i="1"/>
  <c r="K7811" i="1"/>
  <c r="A7812" i="1"/>
  <c r="B7812" i="1"/>
  <c r="C7812" i="1"/>
  <c r="E7812" i="1"/>
  <c r="G7812" i="1"/>
  <c r="K7812" i="1"/>
  <c r="A7813" i="1"/>
  <c r="B7813" i="1"/>
  <c r="C7813" i="1"/>
  <c r="E7813" i="1"/>
  <c r="G7813" i="1"/>
  <c r="K7813" i="1"/>
  <c r="A7814" i="1"/>
  <c r="B7814" i="1"/>
  <c r="C7814" i="1"/>
  <c r="E7814" i="1"/>
  <c r="G7814" i="1"/>
  <c r="K7814" i="1"/>
  <c r="A7815" i="1"/>
  <c r="B7815" i="1"/>
  <c r="C7815" i="1"/>
  <c r="E7815" i="1"/>
  <c r="G7815" i="1"/>
  <c r="K7815" i="1"/>
  <c r="A7816" i="1"/>
  <c r="B7816" i="1"/>
  <c r="C7816" i="1"/>
  <c r="E7816" i="1"/>
  <c r="G7816" i="1"/>
  <c r="K7816" i="1"/>
  <c r="A7817" i="1"/>
  <c r="B7817" i="1"/>
  <c r="C7817" i="1"/>
  <c r="E7817" i="1"/>
  <c r="G7817" i="1"/>
  <c r="K7817" i="1"/>
  <c r="A7818" i="1"/>
  <c r="B7818" i="1"/>
  <c r="C7818" i="1"/>
  <c r="E7818" i="1"/>
  <c r="G7818" i="1"/>
  <c r="K7818" i="1"/>
  <c r="A7819" i="1"/>
  <c r="B7819" i="1"/>
  <c r="C7819" i="1"/>
  <c r="E7819" i="1"/>
  <c r="G7819" i="1"/>
  <c r="K7819" i="1"/>
  <c r="A7820" i="1"/>
  <c r="B7820" i="1"/>
  <c r="C7820" i="1"/>
  <c r="E7820" i="1"/>
  <c r="G7820" i="1"/>
  <c r="K7820" i="1"/>
  <c r="A7821" i="1"/>
  <c r="B7821" i="1"/>
  <c r="C7821" i="1"/>
  <c r="E7821" i="1"/>
  <c r="G7821" i="1"/>
  <c r="K7821" i="1"/>
  <c r="A7822" i="1"/>
  <c r="B7822" i="1"/>
  <c r="C7822" i="1"/>
  <c r="E7822" i="1"/>
  <c r="G7822" i="1"/>
  <c r="K7822" i="1"/>
  <c r="A7823" i="1"/>
  <c r="B7823" i="1"/>
  <c r="C7823" i="1"/>
  <c r="E7823" i="1"/>
  <c r="G7823" i="1"/>
  <c r="K7823" i="1"/>
  <c r="A7824" i="1"/>
  <c r="B7824" i="1"/>
  <c r="C7824" i="1"/>
  <c r="E7824" i="1"/>
  <c r="G7824" i="1"/>
  <c r="K7824" i="1"/>
  <c r="A7825" i="1"/>
  <c r="B7825" i="1"/>
  <c r="C7825" i="1"/>
  <c r="E7825" i="1"/>
  <c r="G7825" i="1"/>
  <c r="K7825" i="1"/>
  <c r="A7826" i="1"/>
  <c r="B7826" i="1"/>
  <c r="C7826" i="1"/>
  <c r="E7826" i="1"/>
  <c r="G7826" i="1"/>
  <c r="K7826" i="1"/>
  <c r="A7827" i="1"/>
  <c r="B7827" i="1"/>
  <c r="C7827" i="1"/>
  <c r="E7827" i="1"/>
  <c r="G7827" i="1"/>
  <c r="K7827" i="1"/>
  <c r="A7828" i="1"/>
  <c r="B7828" i="1"/>
  <c r="C7828" i="1"/>
  <c r="E7828" i="1"/>
  <c r="G7828" i="1"/>
  <c r="K7828" i="1"/>
  <c r="A7829" i="1"/>
  <c r="B7829" i="1"/>
  <c r="C7829" i="1"/>
  <c r="E7829" i="1"/>
  <c r="G7829" i="1"/>
  <c r="K7829" i="1"/>
  <c r="A7830" i="1"/>
  <c r="B7830" i="1"/>
  <c r="C7830" i="1"/>
  <c r="E7830" i="1"/>
  <c r="G7830" i="1"/>
  <c r="K7830" i="1"/>
  <c r="A7831" i="1"/>
  <c r="B7831" i="1"/>
  <c r="C7831" i="1"/>
  <c r="E7831" i="1"/>
  <c r="G7831" i="1"/>
  <c r="K7831" i="1"/>
  <c r="A7832" i="1"/>
  <c r="B7832" i="1"/>
  <c r="C7832" i="1"/>
  <c r="E7832" i="1"/>
  <c r="G7832" i="1"/>
  <c r="K7832" i="1"/>
  <c r="A7833" i="1"/>
  <c r="B7833" i="1"/>
  <c r="C7833" i="1"/>
  <c r="E7833" i="1"/>
  <c r="G7833" i="1"/>
  <c r="K7833" i="1"/>
  <c r="A7834" i="1"/>
  <c r="B7834" i="1"/>
  <c r="C7834" i="1"/>
  <c r="E7834" i="1"/>
  <c r="G7834" i="1"/>
  <c r="K7834" i="1"/>
  <c r="A7835" i="1"/>
  <c r="B7835" i="1"/>
  <c r="C7835" i="1"/>
  <c r="E7835" i="1"/>
  <c r="G7835" i="1"/>
  <c r="K7835" i="1"/>
  <c r="A7836" i="1"/>
  <c r="B7836" i="1"/>
  <c r="C7836" i="1"/>
  <c r="E7836" i="1"/>
  <c r="G7836" i="1"/>
  <c r="K7836" i="1"/>
  <c r="A7837" i="1"/>
  <c r="B7837" i="1"/>
  <c r="C7837" i="1"/>
  <c r="E7837" i="1"/>
  <c r="G7837" i="1"/>
  <c r="K7837" i="1"/>
  <c r="A7838" i="1"/>
  <c r="B7838" i="1"/>
  <c r="C7838" i="1"/>
  <c r="E7838" i="1"/>
  <c r="G7838" i="1"/>
  <c r="K7838" i="1"/>
  <c r="A7839" i="1"/>
  <c r="B7839" i="1"/>
  <c r="C7839" i="1"/>
  <c r="E7839" i="1"/>
  <c r="G7839" i="1"/>
  <c r="K7839" i="1"/>
  <c r="A7840" i="1"/>
  <c r="B7840" i="1"/>
  <c r="C7840" i="1"/>
  <c r="E7840" i="1"/>
  <c r="G7840" i="1"/>
  <c r="K7840" i="1"/>
  <c r="A7841" i="1"/>
  <c r="B7841" i="1"/>
  <c r="C7841" i="1"/>
  <c r="E7841" i="1"/>
  <c r="G7841" i="1"/>
  <c r="K7841" i="1"/>
  <c r="A7842" i="1"/>
  <c r="B7842" i="1"/>
  <c r="C7842" i="1"/>
  <c r="E7842" i="1"/>
  <c r="G7842" i="1"/>
  <c r="K7842" i="1"/>
  <c r="A7843" i="1"/>
  <c r="B7843" i="1"/>
  <c r="C7843" i="1"/>
  <c r="E7843" i="1"/>
  <c r="G7843" i="1"/>
  <c r="K7843" i="1"/>
  <c r="A7844" i="1"/>
  <c r="B7844" i="1"/>
  <c r="C7844" i="1"/>
  <c r="E7844" i="1"/>
  <c r="G7844" i="1"/>
  <c r="K7844" i="1"/>
  <c r="A7845" i="1"/>
  <c r="B7845" i="1"/>
  <c r="C7845" i="1"/>
  <c r="E7845" i="1"/>
  <c r="G7845" i="1"/>
  <c r="K7845" i="1"/>
  <c r="A7846" i="1"/>
  <c r="B7846" i="1"/>
  <c r="C7846" i="1"/>
  <c r="E7846" i="1"/>
  <c r="G7846" i="1"/>
  <c r="K7846" i="1"/>
  <c r="A7847" i="1"/>
  <c r="B7847" i="1"/>
  <c r="C7847" i="1"/>
  <c r="E7847" i="1"/>
  <c r="G7847" i="1"/>
  <c r="K7847" i="1"/>
  <c r="A7848" i="1"/>
  <c r="B7848" i="1"/>
  <c r="C7848" i="1"/>
  <c r="E7848" i="1"/>
  <c r="G7848" i="1"/>
  <c r="K7848" i="1"/>
  <c r="A7849" i="1"/>
  <c r="B7849" i="1"/>
  <c r="C7849" i="1"/>
  <c r="E7849" i="1"/>
  <c r="G7849" i="1"/>
  <c r="K7849" i="1"/>
  <c r="A7850" i="1"/>
  <c r="B7850" i="1"/>
  <c r="C7850" i="1"/>
  <c r="E7850" i="1"/>
  <c r="G7850" i="1"/>
  <c r="K7850" i="1"/>
  <c r="A7851" i="1"/>
  <c r="B7851" i="1"/>
  <c r="C7851" i="1"/>
  <c r="E7851" i="1"/>
  <c r="G7851" i="1"/>
  <c r="K7851" i="1"/>
  <c r="A7852" i="1"/>
  <c r="B7852" i="1"/>
  <c r="C7852" i="1"/>
  <c r="E7852" i="1"/>
  <c r="G7852" i="1"/>
  <c r="K7852" i="1"/>
  <c r="A7853" i="1"/>
  <c r="B7853" i="1"/>
  <c r="C7853" i="1"/>
  <c r="E7853" i="1"/>
  <c r="G7853" i="1"/>
  <c r="K7853" i="1"/>
  <c r="A7854" i="1"/>
  <c r="B7854" i="1"/>
  <c r="C7854" i="1"/>
  <c r="E7854" i="1"/>
  <c r="G7854" i="1"/>
  <c r="K7854" i="1"/>
  <c r="A7855" i="1"/>
  <c r="B7855" i="1"/>
  <c r="C7855" i="1"/>
  <c r="E7855" i="1"/>
  <c r="G7855" i="1"/>
  <c r="K7855" i="1"/>
  <c r="A7856" i="1"/>
  <c r="B7856" i="1"/>
  <c r="C7856" i="1"/>
  <c r="E7856" i="1"/>
  <c r="G7856" i="1"/>
  <c r="K7856" i="1"/>
  <c r="A7857" i="1"/>
  <c r="B7857" i="1"/>
  <c r="C7857" i="1"/>
  <c r="E7857" i="1"/>
  <c r="G7857" i="1"/>
  <c r="K7857" i="1"/>
  <c r="A7858" i="1"/>
  <c r="B7858" i="1"/>
  <c r="C7858" i="1"/>
  <c r="E7858" i="1"/>
  <c r="G7858" i="1"/>
  <c r="K7858" i="1"/>
  <c r="A7859" i="1"/>
  <c r="B7859" i="1"/>
  <c r="C7859" i="1"/>
  <c r="E7859" i="1"/>
  <c r="G7859" i="1"/>
  <c r="K7859" i="1"/>
  <c r="A7860" i="1"/>
  <c r="B7860" i="1"/>
  <c r="C7860" i="1"/>
  <c r="E7860" i="1"/>
  <c r="G7860" i="1"/>
  <c r="K7860" i="1"/>
  <c r="A7861" i="1"/>
  <c r="B7861" i="1"/>
  <c r="C7861" i="1"/>
  <c r="E7861" i="1"/>
  <c r="G7861" i="1"/>
  <c r="K7861" i="1"/>
  <c r="A7862" i="1"/>
  <c r="B7862" i="1"/>
  <c r="C7862" i="1"/>
  <c r="E7862" i="1"/>
  <c r="G7862" i="1"/>
  <c r="K7862" i="1"/>
  <c r="A7863" i="1"/>
  <c r="B7863" i="1"/>
  <c r="C7863" i="1"/>
  <c r="E7863" i="1"/>
  <c r="G7863" i="1"/>
  <c r="K7863" i="1"/>
  <c r="A7864" i="1"/>
  <c r="B7864" i="1"/>
  <c r="C7864" i="1"/>
  <c r="E7864" i="1"/>
  <c r="G7864" i="1"/>
  <c r="K7864" i="1"/>
  <c r="A7865" i="1"/>
  <c r="B7865" i="1"/>
  <c r="C7865" i="1"/>
  <c r="E7865" i="1"/>
  <c r="G7865" i="1"/>
  <c r="K7865" i="1"/>
  <c r="A7866" i="1"/>
  <c r="B7866" i="1"/>
  <c r="C7866" i="1"/>
  <c r="E7866" i="1"/>
  <c r="G7866" i="1"/>
  <c r="K7866" i="1"/>
  <c r="A7867" i="1"/>
  <c r="B7867" i="1"/>
  <c r="C7867" i="1"/>
  <c r="E7867" i="1"/>
  <c r="G7867" i="1"/>
  <c r="K7867" i="1"/>
  <c r="A7868" i="1"/>
  <c r="B7868" i="1"/>
  <c r="C7868" i="1"/>
  <c r="E7868" i="1"/>
  <c r="G7868" i="1"/>
  <c r="K7868" i="1"/>
  <c r="A7869" i="1"/>
  <c r="B7869" i="1"/>
  <c r="C7869" i="1"/>
  <c r="E7869" i="1"/>
  <c r="G7869" i="1"/>
  <c r="K7869" i="1"/>
  <c r="A7870" i="1"/>
  <c r="B7870" i="1"/>
  <c r="C7870" i="1"/>
  <c r="E7870" i="1"/>
  <c r="G7870" i="1"/>
  <c r="K7870" i="1"/>
  <c r="A7871" i="1"/>
  <c r="B7871" i="1"/>
  <c r="C7871" i="1"/>
  <c r="E7871" i="1"/>
  <c r="G7871" i="1"/>
  <c r="K7871" i="1"/>
  <c r="A7872" i="1"/>
  <c r="B7872" i="1"/>
  <c r="C7872" i="1"/>
  <c r="E7872" i="1"/>
  <c r="G7872" i="1"/>
  <c r="K7872" i="1"/>
  <c r="A7873" i="1"/>
  <c r="B7873" i="1"/>
  <c r="C7873" i="1"/>
  <c r="E7873" i="1"/>
  <c r="G7873" i="1"/>
  <c r="K7873" i="1"/>
  <c r="A7874" i="1"/>
  <c r="B7874" i="1"/>
  <c r="C7874" i="1"/>
  <c r="E7874" i="1"/>
  <c r="G7874" i="1"/>
  <c r="K7874" i="1"/>
  <c r="A7875" i="1"/>
  <c r="B7875" i="1"/>
  <c r="C7875" i="1"/>
  <c r="E7875" i="1"/>
  <c r="G7875" i="1"/>
  <c r="K7875" i="1"/>
  <c r="A7876" i="1"/>
  <c r="B7876" i="1"/>
  <c r="C7876" i="1"/>
  <c r="E7876" i="1"/>
  <c r="G7876" i="1"/>
  <c r="K7876" i="1"/>
  <c r="A7877" i="1"/>
  <c r="B7877" i="1"/>
  <c r="C7877" i="1"/>
  <c r="E7877" i="1"/>
  <c r="G7877" i="1"/>
  <c r="K7877" i="1"/>
  <c r="A7878" i="1"/>
  <c r="B7878" i="1"/>
  <c r="C7878" i="1"/>
  <c r="E7878" i="1"/>
  <c r="G7878" i="1"/>
  <c r="K7878" i="1"/>
  <c r="A7879" i="1"/>
  <c r="B7879" i="1"/>
  <c r="C7879" i="1"/>
  <c r="E7879" i="1"/>
  <c r="G7879" i="1"/>
  <c r="K7879" i="1"/>
  <c r="A7880" i="1"/>
  <c r="B7880" i="1"/>
  <c r="C7880" i="1"/>
  <c r="E7880" i="1"/>
  <c r="G7880" i="1"/>
  <c r="K7880" i="1"/>
  <c r="A7881" i="1"/>
  <c r="B7881" i="1"/>
  <c r="C7881" i="1"/>
  <c r="E7881" i="1"/>
  <c r="G7881" i="1"/>
  <c r="K7881" i="1"/>
  <c r="A7882" i="1"/>
  <c r="B7882" i="1"/>
  <c r="C7882" i="1"/>
  <c r="E7882" i="1"/>
  <c r="G7882" i="1"/>
  <c r="K7882" i="1"/>
  <c r="A7883" i="1"/>
  <c r="B7883" i="1"/>
  <c r="C7883" i="1"/>
  <c r="E7883" i="1"/>
  <c r="G7883" i="1"/>
  <c r="K7883" i="1"/>
  <c r="A7884" i="1"/>
  <c r="B7884" i="1"/>
  <c r="C7884" i="1"/>
  <c r="E7884" i="1"/>
  <c r="G7884" i="1"/>
  <c r="K7884" i="1"/>
  <c r="A7885" i="1"/>
  <c r="B7885" i="1"/>
  <c r="C7885" i="1"/>
  <c r="E7885" i="1"/>
  <c r="G7885" i="1"/>
  <c r="K7885" i="1"/>
  <c r="A7886" i="1"/>
  <c r="B7886" i="1"/>
  <c r="C7886" i="1"/>
  <c r="E7886" i="1"/>
  <c r="G7886" i="1"/>
  <c r="K7886" i="1"/>
  <c r="A7887" i="1"/>
  <c r="B7887" i="1"/>
  <c r="C7887" i="1"/>
  <c r="E7887" i="1"/>
  <c r="G7887" i="1"/>
  <c r="K7887" i="1"/>
  <c r="A7888" i="1"/>
  <c r="B7888" i="1"/>
  <c r="C7888" i="1"/>
  <c r="E7888" i="1"/>
  <c r="G7888" i="1"/>
  <c r="K7888" i="1"/>
  <c r="A7889" i="1"/>
  <c r="B7889" i="1"/>
  <c r="C7889" i="1"/>
  <c r="E7889" i="1"/>
  <c r="G7889" i="1"/>
  <c r="K7889" i="1"/>
  <c r="A7890" i="1"/>
  <c r="B7890" i="1"/>
  <c r="C7890" i="1"/>
  <c r="E7890" i="1"/>
  <c r="G7890" i="1"/>
  <c r="K7890" i="1"/>
  <c r="A7891" i="1"/>
  <c r="B7891" i="1"/>
  <c r="C7891" i="1"/>
  <c r="E7891" i="1"/>
  <c r="G7891" i="1"/>
  <c r="K7891" i="1"/>
  <c r="A7892" i="1"/>
  <c r="B7892" i="1"/>
  <c r="C7892" i="1"/>
  <c r="E7892" i="1"/>
  <c r="G7892" i="1"/>
  <c r="K7892" i="1"/>
  <c r="A7893" i="1"/>
  <c r="B7893" i="1"/>
  <c r="C7893" i="1"/>
  <c r="E7893" i="1"/>
  <c r="G7893" i="1"/>
  <c r="K7893" i="1"/>
  <c r="A7894" i="1"/>
  <c r="B7894" i="1"/>
  <c r="C7894" i="1"/>
  <c r="E7894" i="1"/>
  <c r="G7894" i="1"/>
  <c r="K7894" i="1"/>
  <c r="A7895" i="1"/>
  <c r="B7895" i="1"/>
  <c r="C7895" i="1"/>
  <c r="E7895" i="1"/>
  <c r="G7895" i="1"/>
  <c r="K7895" i="1"/>
  <c r="A7896" i="1"/>
  <c r="B7896" i="1"/>
  <c r="C7896" i="1"/>
  <c r="E7896" i="1"/>
  <c r="G7896" i="1"/>
  <c r="K7896" i="1"/>
  <c r="A7897" i="1"/>
  <c r="B7897" i="1"/>
  <c r="C7897" i="1"/>
  <c r="E7897" i="1"/>
  <c r="G7897" i="1"/>
  <c r="K7897" i="1"/>
  <c r="A7898" i="1"/>
  <c r="B7898" i="1"/>
  <c r="C7898" i="1"/>
  <c r="E7898" i="1"/>
  <c r="G7898" i="1"/>
  <c r="K7898" i="1"/>
  <c r="A7899" i="1"/>
  <c r="B7899" i="1"/>
  <c r="C7899" i="1"/>
  <c r="E7899" i="1"/>
  <c r="G7899" i="1"/>
  <c r="K7899" i="1"/>
  <c r="A7900" i="1"/>
  <c r="B7900" i="1"/>
  <c r="C7900" i="1"/>
  <c r="E7900" i="1"/>
  <c r="G7900" i="1"/>
  <c r="K7900" i="1"/>
  <c r="A7901" i="1"/>
  <c r="B7901" i="1"/>
  <c r="C7901" i="1"/>
  <c r="E7901" i="1"/>
  <c r="G7901" i="1"/>
  <c r="K7901" i="1"/>
  <c r="A7902" i="1"/>
  <c r="B7902" i="1"/>
  <c r="C7902" i="1"/>
  <c r="E7902" i="1"/>
  <c r="G7902" i="1"/>
  <c r="K7902" i="1"/>
  <c r="A7903" i="1"/>
  <c r="B7903" i="1"/>
  <c r="C7903" i="1"/>
  <c r="E7903" i="1"/>
  <c r="G7903" i="1"/>
  <c r="K7903" i="1"/>
  <c r="A7904" i="1"/>
  <c r="B7904" i="1"/>
  <c r="C7904" i="1"/>
  <c r="E7904" i="1"/>
  <c r="G7904" i="1"/>
  <c r="K7904" i="1"/>
  <c r="A7905" i="1"/>
  <c r="B7905" i="1"/>
  <c r="C7905" i="1"/>
  <c r="E7905" i="1"/>
  <c r="G7905" i="1"/>
  <c r="K7905" i="1"/>
  <c r="A7906" i="1"/>
  <c r="B7906" i="1"/>
  <c r="C7906" i="1"/>
  <c r="E7906" i="1"/>
  <c r="G7906" i="1"/>
  <c r="K7906" i="1"/>
  <c r="A7907" i="1"/>
  <c r="B7907" i="1"/>
  <c r="C7907" i="1"/>
  <c r="E7907" i="1"/>
  <c r="G7907" i="1"/>
  <c r="K7907" i="1"/>
  <c r="A7908" i="1"/>
  <c r="B7908" i="1"/>
  <c r="C7908" i="1"/>
  <c r="E7908" i="1"/>
  <c r="G7908" i="1"/>
  <c r="K7908" i="1"/>
  <c r="A7909" i="1"/>
  <c r="B7909" i="1"/>
  <c r="C7909" i="1"/>
  <c r="E7909" i="1"/>
  <c r="G7909" i="1"/>
  <c r="K7909" i="1"/>
  <c r="A7910" i="1"/>
  <c r="B7910" i="1"/>
  <c r="C7910" i="1"/>
  <c r="E7910" i="1"/>
  <c r="G7910" i="1"/>
  <c r="K7910" i="1"/>
  <c r="A7911" i="1"/>
  <c r="B7911" i="1"/>
  <c r="C7911" i="1"/>
  <c r="E7911" i="1"/>
  <c r="G7911" i="1"/>
  <c r="K7911" i="1"/>
  <c r="A7912" i="1"/>
  <c r="B7912" i="1"/>
  <c r="C7912" i="1"/>
  <c r="E7912" i="1"/>
  <c r="G7912" i="1"/>
  <c r="K7912" i="1"/>
  <c r="A7913" i="1"/>
  <c r="B7913" i="1"/>
  <c r="C7913" i="1"/>
  <c r="E7913" i="1"/>
  <c r="G7913" i="1"/>
  <c r="K7913" i="1"/>
  <c r="A7914" i="1"/>
  <c r="B7914" i="1"/>
  <c r="C7914" i="1"/>
  <c r="E7914" i="1"/>
  <c r="G7914" i="1"/>
  <c r="K7914" i="1"/>
  <c r="A7915" i="1"/>
  <c r="B7915" i="1"/>
  <c r="C7915" i="1"/>
  <c r="E7915" i="1"/>
  <c r="G7915" i="1"/>
  <c r="K7915" i="1"/>
  <c r="A7916" i="1"/>
  <c r="B7916" i="1"/>
  <c r="C7916" i="1"/>
  <c r="E7916" i="1"/>
  <c r="G7916" i="1"/>
  <c r="K7916" i="1"/>
  <c r="A7917" i="1"/>
  <c r="B7917" i="1"/>
  <c r="C7917" i="1"/>
  <c r="E7917" i="1"/>
  <c r="G7917" i="1"/>
  <c r="K7917" i="1"/>
  <c r="A7918" i="1"/>
  <c r="B7918" i="1"/>
  <c r="C7918" i="1"/>
  <c r="E7918" i="1"/>
  <c r="G7918" i="1"/>
  <c r="K7918" i="1"/>
  <c r="A7919" i="1"/>
  <c r="B7919" i="1"/>
  <c r="C7919" i="1"/>
  <c r="E7919" i="1"/>
  <c r="G7919" i="1"/>
  <c r="K7919" i="1"/>
  <c r="A7920" i="1"/>
  <c r="B7920" i="1"/>
  <c r="C7920" i="1"/>
  <c r="E7920" i="1"/>
  <c r="G7920" i="1"/>
  <c r="K7920" i="1"/>
  <c r="A7921" i="1"/>
  <c r="B7921" i="1"/>
  <c r="C7921" i="1"/>
  <c r="E7921" i="1"/>
  <c r="G7921" i="1"/>
  <c r="K7921" i="1"/>
  <c r="A7922" i="1"/>
  <c r="B7922" i="1"/>
  <c r="C7922" i="1"/>
  <c r="E7922" i="1"/>
  <c r="G7922" i="1"/>
  <c r="K7922" i="1"/>
  <c r="A7923" i="1"/>
  <c r="B7923" i="1"/>
  <c r="C7923" i="1"/>
  <c r="E7923" i="1"/>
  <c r="G7923" i="1"/>
  <c r="K7923" i="1"/>
  <c r="A7924" i="1"/>
  <c r="B7924" i="1"/>
  <c r="C7924" i="1"/>
  <c r="E7924" i="1"/>
  <c r="G7924" i="1"/>
  <c r="K7924" i="1"/>
  <c r="A7925" i="1"/>
  <c r="B7925" i="1"/>
  <c r="C7925" i="1"/>
  <c r="E7925" i="1"/>
  <c r="G7925" i="1"/>
  <c r="K7925" i="1"/>
  <c r="A7926" i="1"/>
  <c r="B7926" i="1"/>
  <c r="C7926" i="1"/>
  <c r="E7926" i="1"/>
  <c r="G7926" i="1"/>
  <c r="K7926" i="1"/>
  <c r="A7927" i="1"/>
  <c r="B7927" i="1"/>
  <c r="C7927" i="1"/>
  <c r="E7927" i="1"/>
  <c r="G7927" i="1"/>
  <c r="K7927" i="1"/>
  <c r="A7928" i="1"/>
  <c r="B7928" i="1"/>
  <c r="C7928" i="1"/>
  <c r="E7928" i="1"/>
  <c r="G7928" i="1"/>
  <c r="K7928" i="1"/>
  <c r="A7929" i="1"/>
  <c r="B7929" i="1"/>
  <c r="C7929" i="1"/>
  <c r="E7929" i="1"/>
  <c r="G7929" i="1"/>
  <c r="K7929" i="1"/>
  <c r="A7930" i="1"/>
  <c r="B7930" i="1"/>
  <c r="C7930" i="1"/>
  <c r="E7930" i="1"/>
  <c r="G7930" i="1"/>
  <c r="K7930" i="1"/>
  <c r="A7931" i="1"/>
  <c r="B7931" i="1"/>
  <c r="C7931" i="1"/>
  <c r="E7931" i="1"/>
  <c r="G7931" i="1"/>
  <c r="K7931" i="1"/>
  <c r="A7932" i="1"/>
  <c r="B7932" i="1"/>
  <c r="C7932" i="1"/>
  <c r="E7932" i="1"/>
  <c r="G7932" i="1"/>
  <c r="K7932" i="1"/>
  <c r="A7933" i="1"/>
  <c r="B7933" i="1"/>
  <c r="C7933" i="1"/>
  <c r="E7933" i="1"/>
  <c r="G7933" i="1"/>
  <c r="K7933" i="1"/>
  <c r="A7934" i="1"/>
  <c r="B7934" i="1"/>
  <c r="C7934" i="1"/>
  <c r="E7934" i="1"/>
  <c r="G7934" i="1"/>
  <c r="K7934" i="1"/>
  <c r="A7935" i="1"/>
  <c r="B7935" i="1"/>
  <c r="C7935" i="1"/>
  <c r="E7935" i="1"/>
  <c r="G7935" i="1"/>
  <c r="K7935" i="1"/>
  <c r="A7936" i="1"/>
  <c r="B7936" i="1"/>
  <c r="C7936" i="1"/>
  <c r="E7936" i="1"/>
  <c r="G7936" i="1"/>
  <c r="K7936" i="1"/>
  <c r="A7937" i="1"/>
  <c r="B7937" i="1"/>
  <c r="C7937" i="1"/>
  <c r="E7937" i="1"/>
  <c r="G7937" i="1"/>
  <c r="K7937" i="1"/>
  <c r="A7938" i="1"/>
  <c r="B7938" i="1"/>
  <c r="C7938" i="1"/>
  <c r="E7938" i="1"/>
  <c r="G7938" i="1"/>
  <c r="K7938" i="1"/>
  <c r="A7939" i="1"/>
  <c r="B7939" i="1"/>
  <c r="C7939" i="1"/>
  <c r="E7939" i="1"/>
  <c r="G7939" i="1"/>
  <c r="K7939" i="1"/>
  <c r="A7940" i="1"/>
  <c r="B7940" i="1"/>
  <c r="C7940" i="1"/>
  <c r="E7940" i="1"/>
  <c r="G7940" i="1"/>
  <c r="K7940" i="1"/>
  <c r="A7941" i="1"/>
  <c r="B7941" i="1"/>
  <c r="C7941" i="1"/>
  <c r="E7941" i="1"/>
  <c r="G7941" i="1"/>
  <c r="K7941" i="1"/>
  <c r="A7942" i="1"/>
  <c r="B7942" i="1"/>
  <c r="C7942" i="1"/>
  <c r="E7942" i="1"/>
  <c r="G7942" i="1"/>
  <c r="K7942" i="1"/>
  <c r="A7943" i="1"/>
  <c r="B7943" i="1"/>
  <c r="C7943" i="1"/>
  <c r="E7943" i="1"/>
  <c r="G7943" i="1"/>
  <c r="K7943" i="1"/>
  <c r="A7944" i="1"/>
  <c r="B7944" i="1"/>
  <c r="C7944" i="1"/>
  <c r="E7944" i="1"/>
  <c r="G7944" i="1"/>
  <c r="K7944" i="1"/>
  <c r="A7945" i="1"/>
  <c r="B7945" i="1"/>
  <c r="C7945" i="1"/>
  <c r="E7945" i="1"/>
  <c r="G7945" i="1"/>
  <c r="K7945" i="1"/>
  <c r="A7946" i="1"/>
  <c r="B7946" i="1"/>
  <c r="C7946" i="1"/>
  <c r="E7946" i="1"/>
  <c r="G7946" i="1"/>
  <c r="K7946" i="1"/>
  <c r="A7947" i="1"/>
  <c r="B7947" i="1"/>
  <c r="C7947" i="1"/>
  <c r="E7947" i="1"/>
  <c r="G7947" i="1"/>
  <c r="K7947" i="1"/>
  <c r="A7948" i="1"/>
  <c r="B7948" i="1"/>
  <c r="C7948" i="1"/>
  <c r="E7948" i="1"/>
  <c r="G7948" i="1"/>
  <c r="K7948" i="1"/>
  <c r="A7949" i="1"/>
  <c r="B7949" i="1"/>
  <c r="C7949" i="1"/>
  <c r="E7949" i="1"/>
  <c r="G7949" i="1"/>
  <c r="K7949" i="1"/>
  <c r="A7950" i="1"/>
  <c r="B7950" i="1"/>
  <c r="C7950" i="1"/>
  <c r="E7950" i="1"/>
  <c r="G7950" i="1"/>
  <c r="K7950" i="1"/>
  <c r="A7951" i="1"/>
  <c r="B7951" i="1"/>
  <c r="C7951" i="1"/>
  <c r="E7951" i="1"/>
  <c r="G7951" i="1"/>
  <c r="K7951" i="1"/>
  <c r="A7952" i="1"/>
  <c r="B7952" i="1"/>
  <c r="C7952" i="1"/>
  <c r="E7952" i="1"/>
  <c r="G7952" i="1"/>
  <c r="K7952" i="1"/>
  <c r="A7953" i="1"/>
  <c r="B7953" i="1"/>
  <c r="C7953" i="1"/>
  <c r="E7953" i="1"/>
  <c r="G7953" i="1"/>
  <c r="K7953" i="1"/>
  <c r="A7954" i="1"/>
  <c r="B7954" i="1"/>
  <c r="C7954" i="1"/>
  <c r="E7954" i="1"/>
  <c r="G7954" i="1"/>
  <c r="K7954" i="1"/>
  <c r="A7955" i="1"/>
  <c r="B7955" i="1"/>
  <c r="C7955" i="1"/>
  <c r="E7955" i="1"/>
  <c r="G7955" i="1"/>
  <c r="K7955" i="1"/>
  <c r="A7956" i="1"/>
  <c r="B7956" i="1"/>
  <c r="C7956" i="1"/>
  <c r="E7956" i="1"/>
  <c r="G7956" i="1"/>
  <c r="K7956" i="1"/>
  <c r="A7957" i="1"/>
  <c r="B7957" i="1"/>
  <c r="C7957" i="1"/>
  <c r="E7957" i="1"/>
  <c r="G7957" i="1"/>
  <c r="K7957" i="1"/>
  <c r="A7958" i="1"/>
  <c r="B7958" i="1"/>
  <c r="C7958" i="1"/>
  <c r="E7958" i="1"/>
  <c r="G7958" i="1"/>
  <c r="K7958" i="1"/>
  <c r="A7959" i="1"/>
  <c r="B7959" i="1"/>
  <c r="C7959" i="1"/>
  <c r="E7959" i="1"/>
  <c r="G7959" i="1"/>
  <c r="K7959" i="1"/>
  <c r="A7960" i="1"/>
  <c r="B7960" i="1"/>
  <c r="C7960" i="1"/>
  <c r="E7960" i="1"/>
  <c r="G7960" i="1"/>
  <c r="K7960" i="1"/>
  <c r="A7961" i="1"/>
  <c r="B7961" i="1"/>
  <c r="C7961" i="1"/>
  <c r="E7961" i="1"/>
  <c r="G7961" i="1"/>
  <c r="K7961" i="1"/>
  <c r="A7962" i="1"/>
  <c r="B7962" i="1"/>
  <c r="C7962" i="1"/>
  <c r="E7962" i="1"/>
  <c r="G7962" i="1"/>
  <c r="K7962" i="1"/>
  <c r="A7963" i="1"/>
  <c r="B7963" i="1"/>
  <c r="C7963" i="1"/>
  <c r="E7963" i="1"/>
  <c r="G7963" i="1"/>
  <c r="K7963" i="1"/>
  <c r="A7964" i="1"/>
  <c r="B7964" i="1"/>
  <c r="C7964" i="1"/>
  <c r="E7964" i="1"/>
  <c r="G7964" i="1"/>
  <c r="K7964" i="1"/>
  <c r="A7965" i="1"/>
  <c r="B7965" i="1"/>
  <c r="C7965" i="1"/>
  <c r="E7965" i="1"/>
  <c r="G7965" i="1"/>
  <c r="K7965" i="1"/>
  <c r="A7966" i="1"/>
  <c r="B7966" i="1"/>
  <c r="C7966" i="1"/>
  <c r="E7966" i="1"/>
  <c r="G7966" i="1"/>
  <c r="K7966" i="1"/>
  <c r="A7967" i="1"/>
  <c r="B7967" i="1"/>
  <c r="C7967" i="1"/>
  <c r="E7967" i="1"/>
  <c r="G7967" i="1"/>
  <c r="K7967" i="1"/>
  <c r="A7968" i="1"/>
  <c r="B7968" i="1"/>
  <c r="C7968" i="1"/>
  <c r="E7968" i="1"/>
  <c r="G7968" i="1"/>
  <c r="K7968" i="1"/>
  <c r="A7969" i="1"/>
  <c r="B7969" i="1"/>
  <c r="C7969" i="1"/>
  <c r="E7969" i="1"/>
  <c r="G7969" i="1"/>
  <c r="K7969" i="1"/>
  <c r="A7970" i="1"/>
  <c r="B7970" i="1"/>
  <c r="C7970" i="1"/>
  <c r="E7970" i="1"/>
  <c r="G7970" i="1"/>
  <c r="K7970" i="1"/>
  <c r="A7971" i="1"/>
  <c r="B7971" i="1"/>
  <c r="C7971" i="1"/>
  <c r="E7971" i="1"/>
  <c r="G7971" i="1"/>
  <c r="K7971" i="1"/>
  <c r="A7972" i="1"/>
  <c r="B7972" i="1"/>
  <c r="C7972" i="1"/>
  <c r="E7972" i="1"/>
  <c r="G7972" i="1"/>
  <c r="K7972" i="1"/>
  <c r="A7973" i="1"/>
  <c r="B7973" i="1"/>
  <c r="C7973" i="1"/>
  <c r="E7973" i="1"/>
  <c r="G7973" i="1"/>
  <c r="K7973" i="1"/>
  <c r="A7974" i="1"/>
  <c r="B7974" i="1"/>
  <c r="C7974" i="1"/>
  <c r="E7974" i="1"/>
  <c r="G7974" i="1"/>
  <c r="K7974" i="1"/>
  <c r="A7975" i="1"/>
  <c r="B7975" i="1"/>
  <c r="C7975" i="1"/>
  <c r="E7975" i="1"/>
  <c r="G7975" i="1"/>
  <c r="K7975" i="1"/>
  <c r="A7976" i="1"/>
  <c r="B7976" i="1"/>
  <c r="C7976" i="1"/>
  <c r="E7976" i="1"/>
  <c r="G7976" i="1"/>
  <c r="K7976" i="1"/>
  <c r="A7977" i="1"/>
  <c r="B7977" i="1"/>
  <c r="C7977" i="1"/>
  <c r="E7977" i="1"/>
  <c r="G7977" i="1"/>
  <c r="K7977" i="1"/>
  <c r="A7978" i="1"/>
  <c r="B7978" i="1"/>
  <c r="C7978" i="1"/>
  <c r="E7978" i="1"/>
  <c r="G7978" i="1"/>
  <c r="K7978" i="1"/>
  <c r="A7979" i="1"/>
  <c r="B7979" i="1"/>
  <c r="C7979" i="1"/>
  <c r="E7979" i="1"/>
  <c r="G7979" i="1"/>
  <c r="K7979" i="1"/>
  <c r="A7980" i="1"/>
  <c r="B7980" i="1"/>
  <c r="C7980" i="1"/>
  <c r="E7980" i="1"/>
  <c r="G7980" i="1"/>
  <c r="K7980" i="1"/>
  <c r="A7981" i="1"/>
  <c r="B7981" i="1"/>
  <c r="C7981" i="1"/>
  <c r="E7981" i="1"/>
  <c r="G7981" i="1"/>
  <c r="K7981" i="1"/>
  <c r="A7982" i="1"/>
  <c r="B7982" i="1"/>
  <c r="C7982" i="1"/>
  <c r="E7982" i="1"/>
  <c r="G7982" i="1"/>
  <c r="K7982" i="1"/>
  <c r="A7983" i="1"/>
  <c r="B7983" i="1"/>
  <c r="C7983" i="1"/>
  <c r="E7983" i="1"/>
  <c r="G7983" i="1"/>
  <c r="K7983" i="1"/>
  <c r="A7984" i="1"/>
  <c r="B7984" i="1"/>
  <c r="C7984" i="1"/>
  <c r="E7984" i="1"/>
  <c r="G7984" i="1"/>
  <c r="K7984" i="1"/>
  <c r="A7985" i="1"/>
  <c r="B7985" i="1"/>
  <c r="C7985" i="1"/>
  <c r="E7985" i="1"/>
  <c r="G7985" i="1"/>
  <c r="K7985" i="1"/>
  <c r="A7986" i="1"/>
  <c r="B7986" i="1"/>
  <c r="C7986" i="1"/>
  <c r="E7986" i="1"/>
  <c r="G7986" i="1"/>
  <c r="K7986" i="1"/>
  <c r="A7987" i="1"/>
  <c r="B7987" i="1"/>
  <c r="C7987" i="1"/>
  <c r="E7987" i="1"/>
  <c r="G7987" i="1"/>
  <c r="K7987" i="1"/>
  <c r="A7988" i="1"/>
  <c r="B7988" i="1"/>
  <c r="C7988" i="1"/>
  <c r="E7988" i="1"/>
  <c r="G7988" i="1"/>
  <c r="K7988" i="1"/>
  <c r="A7989" i="1"/>
  <c r="B7989" i="1"/>
  <c r="C7989" i="1"/>
  <c r="E7989" i="1"/>
  <c r="G7989" i="1"/>
  <c r="K7989" i="1"/>
  <c r="A7990" i="1"/>
  <c r="B7990" i="1"/>
  <c r="C7990" i="1"/>
  <c r="E7990" i="1"/>
  <c r="G7990" i="1"/>
  <c r="K7990" i="1"/>
  <c r="A7991" i="1"/>
  <c r="B7991" i="1"/>
  <c r="C7991" i="1"/>
  <c r="E7991" i="1"/>
  <c r="G7991" i="1"/>
  <c r="K7991" i="1"/>
  <c r="A7992" i="1"/>
  <c r="B7992" i="1"/>
  <c r="C7992" i="1"/>
  <c r="E7992" i="1"/>
  <c r="G7992" i="1"/>
  <c r="K7992" i="1"/>
  <c r="A7993" i="1"/>
  <c r="B7993" i="1"/>
  <c r="C7993" i="1"/>
  <c r="E7993" i="1"/>
  <c r="G7993" i="1"/>
  <c r="K7993" i="1"/>
  <c r="A7994" i="1"/>
  <c r="B7994" i="1"/>
  <c r="C7994" i="1"/>
  <c r="E7994" i="1"/>
  <c r="G7994" i="1"/>
  <c r="K7994" i="1"/>
  <c r="A7995" i="1"/>
  <c r="B7995" i="1"/>
  <c r="C7995" i="1"/>
  <c r="E7995" i="1"/>
  <c r="G7995" i="1"/>
  <c r="K7995" i="1"/>
  <c r="A7996" i="1"/>
  <c r="B7996" i="1"/>
  <c r="C7996" i="1"/>
  <c r="E7996" i="1"/>
  <c r="G7996" i="1"/>
  <c r="K7996" i="1"/>
  <c r="A7997" i="1"/>
  <c r="B7997" i="1"/>
  <c r="C7997" i="1"/>
  <c r="E7997" i="1"/>
  <c r="G7997" i="1"/>
  <c r="K7997" i="1"/>
  <c r="A7998" i="1"/>
  <c r="B7998" i="1"/>
  <c r="C7998" i="1"/>
  <c r="E7998" i="1"/>
  <c r="G7998" i="1"/>
  <c r="K7998" i="1"/>
  <c r="A7999" i="1"/>
  <c r="B7999" i="1"/>
  <c r="C7999" i="1"/>
  <c r="E7999" i="1"/>
  <c r="G7999" i="1"/>
  <c r="K7999" i="1"/>
  <c r="A8000" i="1"/>
  <c r="B8000" i="1"/>
  <c r="C8000" i="1"/>
  <c r="E8000" i="1"/>
  <c r="G8000" i="1"/>
  <c r="K8000" i="1"/>
  <c r="A8001" i="1"/>
  <c r="B8001" i="1"/>
  <c r="C8001" i="1"/>
  <c r="E8001" i="1"/>
  <c r="G8001" i="1"/>
  <c r="K8001" i="1"/>
  <c r="A8002" i="1"/>
  <c r="B8002" i="1"/>
  <c r="C8002" i="1"/>
  <c r="E8002" i="1"/>
  <c r="G8002" i="1"/>
  <c r="K8002" i="1"/>
  <c r="A8003" i="1"/>
  <c r="B8003" i="1"/>
  <c r="C8003" i="1"/>
  <c r="E8003" i="1"/>
  <c r="G8003" i="1"/>
  <c r="K8003" i="1"/>
  <c r="A8004" i="1"/>
  <c r="B8004" i="1"/>
  <c r="C8004" i="1"/>
  <c r="E8004" i="1"/>
  <c r="G8004" i="1"/>
  <c r="K8004" i="1"/>
  <c r="A8005" i="1"/>
  <c r="B8005" i="1"/>
  <c r="C8005" i="1"/>
  <c r="E8005" i="1"/>
  <c r="G8005" i="1"/>
  <c r="K8005" i="1"/>
  <c r="A8006" i="1"/>
  <c r="B8006" i="1"/>
  <c r="C8006" i="1"/>
  <c r="E8006" i="1"/>
  <c r="G8006" i="1"/>
  <c r="K8006" i="1"/>
  <c r="A8007" i="1"/>
  <c r="B8007" i="1"/>
  <c r="C8007" i="1"/>
  <c r="E8007" i="1"/>
  <c r="G8007" i="1"/>
  <c r="K8007" i="1"/>
  <c r="A8008" i="1"/>
  <c r="B8008" i="1"/>
  <c r="C8008" i="1"/>
  <c r="E8008" i="1"/>
  <c r="G8008" i="1"/>
  <c r="K8008" i="1"/>
  <c r="A8009" i="1"/>
  <c r="B8009" i="1"/>
  <c r="C8009" i="1"/>
  <c r="E8009" i="1"/>
  <c r="G8009" i="1"/>
  <c r="K8009" i="1"/>
  <c r="A8010" i="1"/>
  <c r="B8010" i="1"/>
  <c r="C8010" i="1"/>
  <c r="E8010" i="1"/>
  <c r="G8010" i="1"/>
  <c r="K8010" i="1"/>
  <c r="A8011" i="1"/>
  <c r="B8011" i="1"/>
  <c r="C8011" i="1"/>
  <c r="E8011" i="1"/>
  <c r="G8011" i="1"/>
  <c r="K8011" i="1"/>
  <c r="A8012" i="1"/>
  <c r="B8012" i="1"/>
  <c r="C8012" i="1"/>
  <c r="E8012" i="1"/>
  <c r="G8012" i="1"/>
  <c r="K8012" i="1"/>
  <c r="A8013" i="1"/>
  <c r="B8013" i="1"/>
  <c r="C8013" i="1"/>
  <c r="E8013" i="1"/>
  <c r="G8013" i="1"/>
  <c r="K8013" i="1"/>
  <c r="A8014" i="1"/>
  <c r="B8014" i="1"/>
  <c r="C8014" i="1"/>
  <c r="E8014" i="1"/>
  <c r="G8014" i="1"/>
  <c r="K8014" i="1"/>
  <c r="A8015" i="1"/>
  <c r="B8015" i="1"/>
  <c r="C8015" i="1"/>
  <c r="E8015" i="1"/>
  <c r="G8015" i="1"/>
  <c r="K8015" i="1"/>
  <c r="A8016" i="1"/>
  <c r="B8016" i="1"/>
  <c r="C8016" i="1"/>
  <c r="E8016" i="1"/>
  <c r="G8016" i="1"/>
  <c r="K8016" i="1"/>
  <c r="A8017" i="1"/>
  <c r="B8017" i="1"/>
  <c r="C8017" i="1"/>
  <c r="E8017" i="1"/>
  <c r="G8017" i="1"/>
  <c r="K8017" i="1"/>
  <c r="A8018" i="1"/>
  <c r="B8018" i="1"/>
  <c r="C8018" i="1"/>
  <c r="E8018" i="1"/>
  <c r="G8018" i="1"/>
  <c r="K8018" i="1"/>
  <c r="A8019" i="1"/>
  <c r="B8019" i="1"/>
  <c r="C8019" i="1"/>
  <c r="E8019" i="1"/>
  <c r="G8019" i="1"/>
  <c r="K8019" i="1"/>
  <c r="A8020" i="1"/>
  <c r="B8020" i="1"/>
  <c r="C8020" i="1"/>
  <c r="E8020" i="1"/>
  <c r="G8020" i="1"/>
  <c r="K8020" i="1"/>
  <c r="A8021" i="1"/>
  <c r="B8021" i="1"/>
  <c r="C8021" i="1"/>
  <c r="E8021" i="1"/>
  <c r="G8021" i="1"/>
  <c r="K8021" i="1"/>
  <c r="A8022" i="1"/>
  <c r="B8022" i="1"/>
  <c r="C8022" i="1"/>
  <c r="E8022" i="1"/>
  <c r="G8022" i="1"/>
  <c r="K8022" i="1"/>
  <c r="A8023" i="1"/>
  <c r="B8023" i="1"/>
  <c r="C8023" i="1"/>
  <c r="E8023" i="1"/>
  <c r="G8023" i="1"/>
  <c r="K8023" i="1"/>
  <c r="A8024" i="1"/>
  <c r="B8024" i="1"/>
  <c r="C8024" i="1"/>
  <c r="E8024" i="1"/>
  <c r="G8024" i="1"/>
  <c r="K8024" i="1"/>
  <c r="A8025" i="1"/>
  <c r="B8025" i="1"/>
  <c r="C8025" i="1"/>
  <c r="E8025" i="1"/>
  <c r="G8025" i="1"/>
  <c r="K8025" i="1"/>
  <c r="A8026" i="1"/>
  <c r="B8026" i="1"/>
  <c r="C8026" i="1"/>
  <c r="E8026" i="1"/>
  <c r="G8026" i="1"/>
  <c r="K8026" i="1"/>
  <c r="A8027" i="1"/>
  <c r="B8027" i="1"/>
  <c r="C8027" i="1"/>
  <c r="E8027" i="1"/>
  <c r="G8027" i="1"/>
  <c r="K8027" i="1"/>
  <c r="A8028" i="1"/>
  <c r="B8028" i="1"/>
  <c r="C8028" i="1"/>
  <c r="E8028" i="1"/>
  <c r="G8028" i="1"/>
  <c r="K8028" i="1"/>
  <c r="A8029" i="1"/>
  <c r="B8029" i="1"/>
  <c r="C8029" i="1"/>
  <c r="E8029" i="1"/>
  <c r="G8029" i="1"/>
  <c r="K8029" i="1"/>
  <c r="A8030" i="1"/>
  <c r="B8030" i="1"/>
  <c r="C8030" i="1"/>
  <c r="E8030" i="1"/>
  <c r="G8030" i="1"/>
  <c r="K8030" i="1"/>
  <c r="A8031" i="1"/>
  <c r="B8031" i="1"/>
  <c r="C8031" i="1"/>
  <c r="E8031" i="1"/>
  <c r="G8031" i="1"/>
  <c r="K8031" i="1"/>
  <c r="A8032" i="1"/>
  <c r="B8032" i="1"/>
  <c r="C8032" i="1"/>
  <c r="E8032" i="1"/>
  <c r="G8032" i="1"/>
  <c r="K8032" i="1"/>
  <c r="A8033" i="1"/>
  <c r="B8033" i="1"/>
  <c r="C8033" i="1"/>
  <c r="E8033" i="1"/>
  <c r="G8033" i="1"/>
  <c r="K8033" i="1"/>
  <c r="A8034" i="1"/>
  <c r="B8034" i="1"/>
  <c r="C8034" i="1"/>
  <c r="E8034" i="1"/>
  <c r="G8034" i="1"/>
  <c r="K8034" i="1"/>
  <c r="A8035" i="1"/>
  <c r="B8035" i="1"/>
  <c r="C8035" i="1"/>
  <c r="E8035" i="1"/>
  <c r="G8035" i="1"/>
  <c r="K8035" i="1"/>
  <c r="A8036" i="1"/>
  <c r="B8036" i="1"/>
  <c r="C8036" i="1"/>
  <c r="E8036" i="1"/>
  <c r="G8036" i="1"/>
  <c r="K8036" i="1"/>
  <c r="A8037" i="1"/>
  <c r="B8037" i="1"/>
  <c r="C8037" i="1"/>
  <c r="E8037" i="1"/>
  <c r="G8037" i="1"/>
  <c r="K8037" i="1"/>
  <c r="A8038" i="1"/>
  <c r="B8038" i="1"/>
  <c r="C8038" i="1"/>
  <c r="E8038" i="1"/>
  <c r="G8038" i="1"/>
  <c r="K8038" i="1"/>
  <c r="A8039" i="1"/>
  <c r="B8039" i="1"/>
  <c r="C8039" i="1"/>
  <c r="E8039" i="1"/>
  <c r="G8039" i="1"/>
  <c r="K8039" i="1"/>
  <c r="A8040" i="1"/>
  <c r="B8040" i="1"/>
  <c r="C8040" i="1"/>
  <c r="E8040" i="1"/>
  <c r="G8040" i="1"/>
  <c r="K8040" i="1"/>
  <c r="A8041" i="1"/>
  <c r="B8041" i="1"/>
  <c r="C8041" i="1"/>
  <c r="E8041" i="1"/>
  <c r="G8041" i="1"/>
  <c r="K8041" i="1"/>
  <c r="A8042" i="1"/>
  <c r="B8042" i="1"/>
  <c r="C8042" i="1"/>
  <c r="E8042" i="1"/>
  <c r="G8042" i="1"/>
  <c r="K8042" i="1"/>
  <c r="A8043" i="1"/>
  <c r="B8043" i="1"/>
  <c r="C8043" i="1"/>
  <c r="E8043" i="1"/>
  <c r="G8043" i="1"/>
  <c r="K8043" i="1"/>
  <c r="A8044" i="1"/>
  <c r="B8044" i="1"/>
  <c r="C8044" i="1"/>
  <c r="E8044" i="1"/>
  <c r="G8044" i="1"/>
  <c r="K8044" i="1"/>
  <c r="A8045" i="1"/>
  <c r="B8045" i="1"/>
  <c r="C8045" i="1"/>
  <c r="E8045" i="1"/>
  <c r="G8045" i="1"/>
  <c r="K8045" i="1"/>
  <c r="A8046" i="1"/>
  <c r="B8046" i="1"/>
  <c r="C8046" i="1"/>
  <c r="E8046" i="1"/>
  <c r="G8046" i="1"/>
  <c r="K8046" i="1"/>
  <c r="A8047" i="1"/>
  <c r="B8047" i="1"/>
  <c r="C8047" i="1"/>
  <c r="E8047" i="1"/>
  <c r="G8047" i="1"/>
  <c r="K8047" i="1"/>
  <c r="A8048" i="1"/>
  <c r="B8048" i="1"/>
  <c r="C8048" i="1"/>
  <c r="E8048" i="1"/>
  <c r="G8048" i="1"/>
  <c r="K8048" i="1"/>
  <c r="A8049" i="1"/>
  <c r="B8049" i="1"/>
  <c r="C8049" i="1"/>
  <c r="E8049" i="1"/>
  <c r="G8049" i="1"/>
  <c r="K8049" i="1"/>
  <c r="A8050" i="1"/>
  <c r="B8050" i="1"/>
  <c r="C8050" i="1"/>
  <c r="E8050" i="1"/>
  <c r="G8050" i="1"/>
  <c r="K8050" i="1"/>
  <c r="A8051" i="1"/>
  <c r="B8051" i="1"/>
  <c r="C8051" i="1"/>
  <c r="E8051" i="1"/>
  <c r="G8051" i="1"/>
  <c r="K8051" i="1"/>
  <c r="A8052" i="1"/>
  <c r="B8052" i="1"/>
  <c r="C8052" i="1"/>
  <c r="E8052" i="1"/>
  <c r="G8052" i="1"/>
  <c r="K8052" i="1"/>
  <c r="A8053" i="1"/>
  <c r="B8053" i="1"/>
  <c r="C8053" i="1"/>
  <c r="E8053" i="1"/>
  <c r="G8053" i="1"/>
  <c r="K8053" i="1"/>
  <c r="A8054" i="1"/>
  <c r="B8054" i="1"/>
  <c r="C8054" i="1"/>
  <c r="E8054" i="1"/>
  <c r="G8054" i="1"/>
  <c r="K8054" i="1"/>
  <c r="A8055" i="1"/>
  <c r="B8055" i="1"/>
  <c r="C8055" i="1"/>
  <c r="E8055" i="1"/>
  <c r="G8055" i="1"/>
  <c r="K8055" i="1"/>
  <c r="A8056" i="1"/>
  <c r="B8056" i="1"/>
  <c r="C8056" i="1"/>
  <c r="E8056" i="1"/>
  <c r="G8056" i="1"/>
  <c r="K8056" i="1"/>
  <c r="A8057" i="1"/>
  <c r="B8057" i="1"/>
  <c r="C8057" i="1"/>
  <c r="E8057" i="1"/>
  <c r="G8057" i="1"/>
  <c r="K8057" i="1"/>
  <c r="A8058" i="1"/>
  <c r="B8058" i="1"/>
  <c r="C8058" i="1"/>
  <c r="E8058" i="1"/>
  <c r="G8058" i="1"/>
  <c r="K8058" i="1"/>
  <c r="A8059" i="1"/>
  <c r="B8059" i="1"/>
  <c r="C8059" i="1"/>
  <c r="E8059" i="1"/>
  <c r="G8059" i="1"/>
  <c r="K8059" i="1"/>
  <c r="A8060" i="1"/>
  <c r="B8060" i="1"/>
  <c r="C8060" i="1"/>
  <c r="E8060" i="1"/>
  <c r="G8060" i="1"/>
  <c r="K8060" i="1"/>
  <c r="A8061" i="1"/>
  <c r="B8061" i="1"/>
  <c r="C8061" i="1"/>
  <c r="E8061" i="1"/>
  <c r="G8061" i="1"/>
  <c r="K8061" i="1"/>
  <c r="A8062" i="1"/>
  <c r="B8062" i="1"/>
  <c r="C8062" i="1"/>
  <c r="E8062" i="1"/>
  <c r="G8062" i="1"/>
  <c r="K8062" i="1"/>
  <c r="A8063" i="1"/>
  <c r="B8063" i="1"/>
  <c r="C8063" i="1"/>
  <c r="E8063" i="1"/>
  <c r="G8063" i="1"/>
  <c r="K8063" i="1"/>
  <c r="A8064" i="1"/>
  <c r="B8064" i="1"/>
  <c r="C8064" i="1"/>
  <c r="E8064" i="1"/>
  <c r="G8064" i="1"/>
  <c r="K8064" i="1"/>
  <c r="A8065" i="1"/>
  <c r="B8065" i="1"/>
  <c r="C8065" i="1"/>
  <c r="E8065" i="1"/>
  <c r="G8065" i="1"/>
  <c r="K8065" i="1"/>
  <c r="A8066" i="1"/>
  <c r="B8066" i="1"/>
  <c r="C8066" i="1"/>
  <c r="E8066" i="1"/>
  <c r="G8066" i="1"/>
  <c r="K8066" i="1"/>
  <c r="A8067" i="1"/>
  <c r="B8067" i="1"/>
  <c r="C8067" i="1"/>
  <c r="E8067" i="1"/>
  <c r="G8067" i="1"/>
  <c r="K8067" i="1"/>
  <c r="A8068" i="1"/>
  <c r="B8068" i="1"/>
  <c r="C8068" i="1"/>
  <c r="E8068" i="1"/>
  <c r="G8068" i="1"/>
  <c r="K8068" i="1"/>
  <c r="A8069" i="1"/>
  <c r="B8069" i="1"/>
  <c r="C8069" i="1"/>
  <c r="E8069" i="1"/>
  <c r="G8069" i="1"/>
  <c r="K8069" i="1"/>
  <c r="A8070" i="1"/>
  <c r="B8070" i="1"/>
  <c r="C8070" i="1"/>
  <c r="E8070" i="1"/>
  <c r="G8070" i="1"/>
  <c r="K8070" i="1"/>
  <c r="A8071" i="1"/>
  <c r="B8071" i="1"/>
  <c r="C8071" i="1"/>
  <c r="E8071" i="1"/>
  <c r="G8071" i="1"/>
  <c r="K8071" i="1"/>
  <c r="A8072" i="1"/>
  <c r="B8072" i="1"/>
  <c r="C8072" i="1"/>
  <c r="E8072" i="1"/>
  <c r="G8072" i="1"/>
  <c r="K8072" i="1"/>
  <c r="A8073" i="1"/>
  <c r="B8073" i="1"/>
  <c r="C8073" i="1"/>
  <c r="E8073" i="1"/>
  <c r="G8073" i="1"/>
  <c r="K8073" i="1"/>
  <c r="A8074" i="1"/>
  <c r="B8074" i="1"/>
  <c r="C8074" i="1"/>
  <c r="E8074" i="1"/>
  <c r="G8074" i="1"/>
  <c r="K8074" i="1"/>
  <c r="A8075" i="1"/>
  <c r="B8075" i="1"/>
  <c r="C8075" i="1"/>
  <c r="E8075" i="1"/>
  <c r="G8075" i="1"/>
  <c r="K8075" i="1"/>
  <c r="A8076" i="1"/>
  <c r="B8076" i="1"/>
  <c r="C8076" i="1"/>
  <c r="E8076" i="1"/>
  <c r="G8076" i="1"/>
  <c r="K8076" i="1"/>
  <c r="A8077" i="1"/>
  <c r="B8077" i="1"/>
  <c r="C8077" i="1"/>
  <c r="E8077" i="1"/>
  <c r="G8077" i="1"/>
  <c r="K8077" i="1"/>
  <c r="A8078" i="1"/>
  <c r="B8078" i="1"/>
  <c r="C8078" i="1"/>
  <c r="E8078" i="1"/>
  <c r="G8078" i="1"/>
  <c r="K8078" i="1"/>
  <c r="A8079" i="1"/>
  <c r="B8079" i="1"/>
  <c r="C8079" i="1"/>
  <c r="E8079" i="1"/>
  <c r="G8079" i="1"/>
  <c r="K8079" i="1"/>
  <c r="A8080" i="1"/>
  <c r="B8080" i="1"/>
  <c r="C8080" i="1"/>
  <c r="E8080" i="1"/>
  <c r="G8080" i="1"/>
  <c r="K8080" i="1"/>
  <c r="A8081" i="1"/>
  <c r="B8081" i="1"/>
  <c r="C8081" i="1"/>
  <c r="E8081" i="1"/>
  <c r="G8081" i="1"/>
  <c r="K8081" i="1"/>
  <c r="A8082" i="1"/>
  <c r="B8082" i="1"/>
  <c r="C8082" i="1"/>
  <c r="E8082" i="1"/>
  <c r="G8082" i="1"/>
  <c r="K8082" i="1"/>
  <c r="A8083" i="1"/>
  <c r="B8083" i="1"/>
  <c r="C8083" i="1"/>
  <c r="E8083" i="1"/>
  <c r="G8083" i="1"/>
  <c r="K8083" i="1"/>
  <c r="A8084" i="1"/>
  <c r="B8084" i="1"/>
  <c r="C8084" i="1"/>
  <c r="E8084" i="1"/>
  <c r="G8084" i="1"/>
  <c r="K8084" i="1"/>
  <c r="A8085" i="1"/>
  <c r="B8085" i="1"/>
  <c r="C8085" i="1"/>
  <c r="E8085" i="1"/>
  <c r="G8085" i="1"/>
  <c r="K8085" i="1"/>
  <c r="A8086" i="1"/>
  <c r="B8086" i="1"/>
  <c r="C8086" i="1"/>
  <c r="E8086" i="1"/>
  <c r="G8086" i="1"/>
  <c r="K8086" i="1"/>
  <c r="A8087" i="1"/>
  <c r="B8087" i="1"/>
  <c r="C8087" i="1"/>
  <c r="E8087" i="1"/>
  <c r="G8087" i="1"/>
  <c r="K8087" i="1"/>
  <c r="A8088" i="1"/>
  <c r="B8088" i="1"/>
  <c r="C8088" i="1"/>
  <c r="E8088" i="1"/>
  <c r="G8088" i="1"/>
  <c r="K8088" i="1"/>
  <c r="A8089" i="1"/>
  <c r="B8089" i="1"/>
  <c r="C8089" i="1"/>
  <c r="E8089" i="1"/>
  <c r="G8089" i="1"/>
  <c r="K8089" i="1"/>
  <c r="A8090" i="1"/>
  <c r="B8090" i="1"/>
  <c r="C8090" i="1"/>
  <c r="E8090" i="1"/>
  <c r="G8090" i="1"/>
  <c r="K8090" i="1"/>
  <c r="A8091" i="1"/>
  <c r="B8091" i="1"/>
  <c r="C8091" i="1"/>
  <c r="E8091" i="1"/>
  <c r="G8091" i="1"/>
  <c r="K8091" i="1"/>
  <c r="A8092" i="1"/>
  <c r="B8092" i="1"/>
  <c r="C8092" i="1"/>
  <c r="E8092" i="1"/>
  <c r="G8092" i="1"/>
  <c r="K8092" i="1"/>
  <c r="A8093" i="1"/>
  <c r="B8093" i="1"/>
  <c r="C8093" i="1"/>
  <c r="E8093" i="1"/>
  <c r="G8093" i="1"/>
  <c r="K8093" i="1"/>
  <c r="A8094" i="1"/>
  <c r="B8094" i="1"/>
  <c r="C8094" i="1"/>
  <c r="E8094" i="1"/>
  <c r="G8094" i="1"/>
  <c r="K8094" i="1"/>
  <c r="A8095" i="1"/>
  <c r="B8095" i="1"/>
  <c r="C8095" i="1"/>
  <c r="E8095" i="1"/>
  <c r="G8095" i="1"/>
  <c r="K8095" i="1"/>
  <c r="A8096" i="1"/>
  <c r="B8096" i="1"/>
  <c r="C8096" i="1"/>
  <c r="E8096" i="1"/>
  <c r="G8096" i="1"/>
  <c r="K8096" i="1"/>
  <c r="A8097" i="1"/>
  <c r="B8097" i="1"/>
  <c r="C8097" i="1"/>
  <c r="E8097" i="1"/>
  <c r="G8097" i="1"/>
  <c r="K8097" i="1"/>
  <c r="A8098" i="1"/>
  <c r="B8098" i="1"/>
  <c r="C8098" i="1"/>
  <c r="E8098" i="1"/>
  <c r="G8098" i="1"/>
  <c r="K8098" i="1"/>
  <c r="A8099" i="1"/>
  <c r="B8099" i="1"/>
  <c r="C8099" i="1"/>
  <c r="E8099" i="1"/>
  <c r="G8099" i="1"/>
  <c r="K8099" i="1"/>
  <c r="A8100" i="1"/>
  <c r="B8100" i="1"/>
  <c r="C8100" i="1"/>
  <c r="E8100" i="1"/>
  <c r="G8100" i="1"/>
  <c r="K8100" i="1"/>
  <c r="A8101" i="1"/>
  <c r="B8101" i="1"/>
  <c r="C8101" i="1"/>
  <c r="E8101" i="1"/>
  <c r="G8101" i="1"/>
  <c r="K8101" i="1"/>
  <c r="A8102" i="1"/>
  <c r="B8102" i="1"/>
  <c r="C8102" i="1"/>
  <c r="E8102" i="1"/>
  <c r="G8102" i="1"/>
  <c r="K8102" i="1"/>
  <c r="A8103" i="1"/>
  <c r="B8103" i="1"/>
  <c r="C8103" i="1"/>
  <c r="E8103" i="1"/>
  <c r="G8103" i="1"/>
  <c r="K8103" i="1"/>
  <c r="A8104" i="1"/>
  <c r="B8104" i="1"/>
  <c r="C8104" i="1"/>
  <c r="E8104" i="1"/>
  <c r="G8104" i="1"/>
  <c r="K8104" i="1"/>
  <c r="A8105" i="1"/>
  <c r="B8105" i="1"/>
  <c r="C8105" i="1"/>
  <c r="E8105" i="1"/>
  <c r="G8105" i="1"/>
  <c r="K8105" i="1"/>
  <c r="A8106" i="1"/>
  <c r="B8106" i="1"/>
  <c r="C8106" i="1"/>
  <c r="E8106" i="1"/>
  <c r="G8106" i="1"/>
  <c r="K8106" i="1"/>
  <c r="A8107" i="1"/>
  <c r="B8107" i="1"/>
  <c r="C8107" i="1"/>
  <c r="E8107" i="1"/>
  <c r="G8107" i="1"/>
  <c r="K8107" i="1"/>
  <c r="A8108" i="1"/>
  <c r="B8108" i="1"/>
  <c r="C8108" i="1"/>
  <c r="E8108" i="1"/>
  <c r="G8108" i="1"/>
  <c r="K8108" i="1"/>
  <c r="A8109" i="1"/>
  <c r="B8109" i="1"/>
  <c r="C8109" i="1"/>
  <c r="E8109" i="1"/>
  <c r="G8109" i="1"/>
  <c r="K8109" i="1"/>
  <c r="A8110" i="1"/>
  <c r="B8110" i="1"/>
  <c r="C8110" i="1"/>
  <c r="E8110" i="1"/>
  <c r="G8110" i="1"/>
  <c r="K8110" i="1"/>
  <c r="A8111" i="1"/>
  <c r="B8111" i="1"/>
  <c r="C8111" i="1"/>
  <c r="E8111" i="1"/>
  <c r="G8111" i="1"/>
  <c r="K8111" i="1"/>
  <c r="A8112" i="1"/>
  <c r="B8112" i="1"/>
  <c r="C8112" i="1"/>
  <c r="E8112" i="1"/>
  <c r="G8112" i="1"/>
  <c r="K8112" i="1"/>
  <c r="A8113" i="1"/>
  <c r="B8113" i="1"/>
  <c r="C8113" i="1"/>
  <c r="E8113" i="1"/>
  <c r="G8113" i="1"/>
  <c r="K8113" i="1"/>
  <c r="A8114" i="1"/>
  <c r="B8114" i="1"/>
  <c r="C8114" i="1"/>
  <c r="E8114" i="1"/>
  <c r="G8114" i="1"/>
  <c r="K8114" i="1"/>
  <c r="A8115" i="1"/>
  <c r="B8115" i="1"/>
  <c r="C8115" i="1"/>
  <c r="E8115" i="1"/>
  <c r="G8115" i="1"/>
  <c r="K8115" i="1"/>
  <c r="A8116" i="1"/>
  <c r="B8116" i="1"/>
  <c r="C8116" i="1"/>
  <c r="E8116" i="1"/>
  <c r="G8116" i="1"/>
  <c r="K8116" i="1"/>
  <c r="A8117" i="1"/>
  <c r="B8117" i="1"/>
  <c r="C8117" i="1"/>
  <c r="E8117" i="1"/>
  <c r="G8117" i="1"/>
  <c r="K8117" i="1"/>
  <c r="A8118" i="1"/>
  <c r="B8118" i="1"/>
  <c r="C8118" i="1"/>
  <c r="E8118" i="1"/>
  <c r="G8118" i="1"/>
  <c r="K8118" i="1"/>
  <c r="A8119" i="1"/>
  <c r="B8119" i="1"/>
  <c r="C8119" i="1"/>
  <c r="E8119" i="1"/>
  <c r="G8119" i="1"/>
  <c r="K8119" i="1"/>
  <c r="A8120" i="1"/>
  <c r="B8120" i="1"/>
  <c r="C8120" i="1"/>
  <c r="E8120" i="1"/>
  <c r="G8120" i="1"/>
  <c r="K8120" i="1"/>
  <c r="A8121" i="1"/>
  <c r="B8121" i="1"/>
  <c r="C8121" i="1"/>
  <c r="E8121" i="1"/>
  <c r="G8121" i="1"/>
  <c r="K8121" i="1"/>
  <c r="A8122" i="1"/>
  <c r="B8122" i="1"/>
  <c r="C8122" i="1"/>
  <c r="E8122" i="1"/>
  <c r="G8122" i="1"/>
  <c r="K8122" i="1"/>
  <c r="A8123" i="1"/>
  <c r="B8123" i="1"/>
  <c r="C8123" i="1"/>
  <c r="E8123" i="1"/>
  <c r="G8123" i="1"/>
  <c r="K8123" i="1"/>
  <c r="A8124" i="1"/>
  <c r="B8124" i="1"/>
  <c r="C8124" i="1"/>
  <c r="E8124" i="1"/>
  <c r="G8124" i="1"/>
  <c r="K8124" i="1"/>
  <c r="A8125" i="1"/>
  <c r="B8125" i="1"/>
  <c r="C8125" i="1"/>
  <c r="E8125" i="1"/>
  <c r="G8125" i="1"/>
  <c r="K8125" i="1"/>
  <c r="A8126" i="1"/>
  <c r="B8126" i="1"/>
  <c r="C8126" i="1"/>
  <c r="E8126" i="1"/>
  <c r="G8126" i="1"/>
  <c r="K8126" i="1"/>
  <c r="A8127" i="1"/>
  <c r="B8127" i="1"/>
  <c r="C8127" i="1"/>
  <c r="E8127" i="1"/>
  <c r="G8127" i="1"/>
  <c r="K8127" i="1"/>
  <c r="A8128" i="1"/>
  <c r="B8128" i="1"/>
  <c r="C8128" i="1"/>
  <c r="E8128" i="1"/>
  <c r="G8128" i="1"/>
  <c r="K8128" i="1"/>
  <c r="A8129" i="1"/>
  <c r="B8129" i="1"/>
  <c r="C8129" i="1"/>
  <c r="E8129" i="1"/>
  <c r="G8129" i="1"/>
  <c r="K8129" i="1"/>
  <c r="A8130" i="1"/>
  <c r="B8130" i="1"/>
  <c r="C8130" i="1"/>
  <c r="E8130" i="1"/>
  <c r="G8130" i="1"/>
  <c r="K8130" i="1"/>
  <c r="A8131" i="1"/>
  <c r="B8131" i="1"/>
  <c r="C8131" i="1"/>
  <c r="E8131" i="1"/>
  <c r="G8131" i="1"/>
  <c r="K8131" i="1"/>
  <c r="A8132" i="1"/>
  <c r="B8132" i="1"/>
  <c r="C8132" i="1"/>
  <c r="E8132" i="1"/>
  <c r="G8132" i="1"/>
  <c r="K8132" i="1"/>
  <c r="A8133" i="1"/>
  <c r="B8133" i="1"/>
  <c r="C8133" i="1"/>
  <c r="E8133" i="1"/>
  <c r="G8133" i="1"/>
  <c r="K8133" i="1"/>
  <c r="A8134" i="1"/>
  <c r="B8134" i="1"/>
  <c r="C8134" i="1"/>
  <c r="E8134" i="1"/>
  <c r="G8134" i="1"/>
  <c r="K8134" i="1"/>
  <c r="A8135" i="1"/>
  <c r="B8135" i="1"/>
  <c r="C8135" i="1"/>
  <c r="E8135" i="1"/>
  <c r="G8135" i="1"/>
  <c r="K8135" i="1"/>
  <c r="A8136" i="1"/>
  <c r="B8136" i="1"/>
  <c r="C8136" i="1"/>
  <c r="E8136" i="1"/>
  <c r="G8136" i="1"/>
  <c r="K8136" i="1"/>
  <c r="A8137" i="1"/>
  <c r="B8137" i="1"/>
  <c r="C8137" i="1"/>
  <c r="E8137" i="1"/>
  <c r="G8137" i="1"/>
  <c r="K8137" i="1"/>
  <c r="A8138" i="1"/>
  <c r="B8138" i="1"/>
  <c r="C8138" i="1"/>
  <c r="E8138" i="1"/>
  <c r="G8138" i="1"/>
  <c r="K8138" i="1"/>
  <c r="A8139" i="1"/>
  <c r="B8139" i="1"/>
  <c r="C8139" i="1"/>
  <c r="E8139" i="1"/>
  <c r="G8139" i="1"/>
  <c r="K8139" i="1"/>
  <c r="A8140" i="1"/>
  <c r="B8140" i="1"/>
  <c r="C8140" i="1"/>
  <c r="E8140" i="1"/>
  <c r="G8140" i="1"/>
  <c r="K8140" i="1"/>
  <c r="A8141" i="1"/>
  <c r="B8141" i="1"/>
  <c r="C8141" i="1"/>
  <c r="E8141" i="1"/>
  <c r="G8141" i="1"/>
  <c r="K8141" i="1"/>
  <c r="A8142" i="1"/>
  <c r="B8142" i="1"/>
  <c r="C8142" i="1"/>
  <c r="E8142" i="1"/>
  <c r="G8142" i="1"/>
  <c r="K8142" i="1"/>
  <c r="A8143" i="1"/>
  <c r="B8143" i="1"/>
  <c r="C8143" i="1"/>
  <c r="E8143" i="1"/>
  <c r="G8143" i="1"/>
  <c r="K8143" i="1"/>
  <c r="A8144" i="1"/>
  <c r="B8144" i="1"/>
  <c r="C8144" i="1"/>
  <c r="E8144" i="1"/>
  <c r="G8144" i="1"/>
  <c r="K8144" i="1"/>
  <c r="A8145" i="1"/>
  <c r="B8145" i="1"/>
  <c r="C8145" i="1"/>
  <c r="E8145" i="1"/>
  <c r="G8145" i="1"/>
  <c r="K8145" i="1"/>
  <c r="A8146" i="1"/>
  <c r="B8146" i="1"/>
  <c r="C8146" i="1"/>
  <c r="E8146" i="1"/>
  <c r="G8146" i="1"/>
  <c r="K8146" i="1"/>
  <c r="A8147" i="1"/>
  <c r="B8147" i="1"/>
  <c r="C8147" i="1"/>
  <c r="E8147" i="1"/>
  <c r="G8147" i="1"/>
  <c r="K8147" i="1"/>
  <c r="A8148" i="1"/>
  <c r="B8148" i="1"/>
  <c r="C8148" i="1"/>
  <c r="E8148" i="1"/>
  <c r="G8148" i="1"/>
  <c r="K8148" i="1"/>
  <c r="A8149" i="1"/>
  <c r="B8149" i="1"/>
  <c r="C8149" i="1"/>
  <c r="E8149" i="1"/>
  <c r="G8149" i="1"/>
  <c r="K8149" i="1"/>
  <c r="A8150" i="1"/>
  <c r="B8150" i="1"/>
  <c r="C8150" i="1"/>
  <c r="E8150" i="1"/>
  <c r="G8150" i="1"/>
  <c r="K8150" i="1"/>
  <c r="A8151" i="1"/>
  <c r="B8151" i="1"/>
  <c r="C8151" i="1"/>
  <c r="E8151" i="1"/>
  <c r="G8151" i="1"/>
  <c r="K8151" i="1"/>
  <c r="A8152" i="1"/>
  <c r="B8152" i="1"/>
  <c r="C8152" i="1"/>
  <c r="E8152" i="1"/>
  <c r="G8152" i="1"/>
  <c r="K8152" i="1"/>
  <c r="A8153" i="1"/>
  <c r="B8153" i="1"/>
  <c r="C8153" i="1"/>
  <c r="E8153" i="1"/>
  <c r="G8153" i="1"/>
  <c r="K8153" i="1"/>
  <c r="A8154" i="1"/>
  <c r="B8154" i="1"/>
  <c r="C8154" i="1"/>
  <c r="E8154" i="1"/>
  <c r="G8154" i="1"/>
  <c r="K8154" i="1"/>
  <c r="A8155" i="1"/>
  <c r="B8155" i="1"/>
  <c r="C8155" i="1"/>
  <c r="E8155" i="1"/>
  <c r="G8155" i="1"/>
  <c r="K8155" i="1"/>
  <c r="A8156" i="1"/>
  <c r="B8156" i="1"/>
  <c r="C8156" i="1"/>
  <c r="E8156" i="1"/>
  <c r="G8156" i="1"/>
  <c r="K8156" i="1"/>
  <c r="A8157" i="1"/>
  <c r="B8157" i="1"/>
  <c r="C8157" i="1"/>
  <c r="E8157" i="1"/>
  <c r="G8157" i="1"/>
  <c r="K8157" i="1"/>
  <c r="A8158" i="1"/>
  <c r="B8158" i="1"/>
  <c r="C8158" i="1"/>
  <c r="E8158" i="1"/>
  <c r="G8158" i="1"/>
  <c r="K8158" i="1"/>
  <c r="A8159" i="1"/>
  <c r="B8159" i="1"/>
  <c r="C8159" i="1"/>
  <c r="E8159" i="1"/>
  <c r="G8159" i="1"/>
  <c r="K8159" i="1"/>
  <c r="A8160" i="1"/>
  <c r="B8160" i="1"/>
  <c r="C8160" i="1"/>
  <c r="E8160" i="1"/>
  <c r="G8160" i="1"/>
  <c r="K8160" i="1"/>
  <c r="A8161" i="1"/>
  <c r="B8161" i="1"/>
  <c r="C8161" i="1"/>
  <c r="E8161" i="1"/>
  <c r="G8161" i="1"/>
  <c r="K8161" i="1"/>
  <c r="A8162" i="1"/>
  <c r="B8162" i="1"/>
  <c r="C8162" i="1"/>
  <c r="E8162" i="1"/>
  <c r="G8162" i="1"/>
  <c r="K8162" i="1"/>
  <c r="A8163" i="1"/>
  <c r="B8163" i="1"/>
  <c r="C8163" i="1"/>
  <c r="E8163" i="1"/>
  <c r="G8163" i="1"/>
  <c r="K8163" i="1"/>
  <c r="A8164" i="1"/>
  <c r="B8164" i="1"/>
  <c r="C8164" i="1"/>
  <c r="E8164" i="1"/>
  <c r="G8164" i="1"/>
  <c r="K8164" i="1"/>
  <c r="A8165" i="1"/>
  <c r="B8165" i="1"/>
  <c r="C8165" i="1"/>
  <c r="E8165" i="1"/>
  <c r="G8165" i="1"/>
  <c r="K8165" i="1"/>
  <c r="A8166" i="1"/>
  <c r="B8166" i="1"/>
  <c r="C8166" i="1"/>
  <c r="E8166" i="1"/>
  <c r="G8166" i="1"/>
  <c r="K8166" i="1"/>
  <c r="A8167" i="1"/>
  <c r="B8167" i="1"/>
  <c r="C8167" i="1"/>
  <c r="E8167" i="1"/>
  <c r="G8167" i="1"/>
  <c r="K8167" i="1"/>
  <c r="A8168" i="1"/>
  <c r="B8168" i="1"/>
  <c r="C8168" i="1"/>
  <c r="E8168" i="1"/>
  <c r="G8168" i="1"/>
  <c r="K8168" i="1"/>
  <c r="A8169" i="1"/>
  <c r="B8169" i="1"/>
  <c r="C8169" i="1"/>
  <c r="E8169" i="1"/>
  <c r="G8169" i="1"/>
  <c r="K8169" i="1"/>
  <c r="A8170" i="1"/>
  <c r="B8170" i="1"/>
  <c r="C8170" i="1"/>
  <c r="E8170" i="1"/>
  <c r="G8170" i="1"/>
  <c r="K8170" i="1"/>
  <c r="A8171" i="1"/>
  <c r="B8171" i="1"/>
  <c r="C8171" i="1"/>
  <c r="E8171" i="1"/>
  <c r="G8171" i="1"/>
  <c r="K8171" i="1"/>
  <c r="A8172" i="1"/>
  <c r="B8172" i="1"/>
  <c r="C8172" i="1"/>
  <c r="E8172" i="1"/>
  <c r="G8172" i="1"/>
  <c r="K8172" i="1"/>
  <c r="A8173" i="1"/>
  <c r="B8173" i="1"/>
  <c r="C8173" i="1"/>
  <c r="E8173" i="1"/>
  <c r="G8173" i="1"/>
  <c r="K8173" i="1"/>
  <c r="A8174" i="1"/>
  <c r="B8174" i="1"/>
  <c r="C8174" i="1"/>
  <c r="E8174" i="1"/>
  <c r="G8174" i="1"/>
  <c r="K8174" i="1"/>
  <c r="A8175" i="1"/>
  <c r="B8175" i="1"/>
  <c r="C8175" i="1"/>
  <c r="E8175" i="1"/>
  <c r="G8175" i="1"/>
  <c r="K8175" i="1"/>
  <c r="A8176" i="1"/>
  <c r="B8176" i="1"/>
  <c r="C8176" i="1"/>
  <c r="E8176" i="1"/>
  <c r="G8176" i="1"/>
  <c r="K8176" i="1"/>
  <c r="A8177" i="1"/>
  <c r="B8177" i="1"/>
  <c r="C8177" i="1"/>
  <c r="E8177" i="1"/>
  <c r="G8177" i="1"/>
  <c r="K8177" i="1"/>
  <c r="A8178" i="1"/>
  <c r="B8178" i="1"/>
  <c r="C8178" i="1"/>
  <c r="E8178" i="1"/>
  <c r="G8178" i="1"/>
  <c r="K8178" i="1"/>
  <c r="A8179" i="1"/>
  <c r="B8179" i="1"/>
  <c r="C8179" i="1"/>
  <c r="E8179" i="1"/>
  <c r="G8179" i="1"/>
  <c r="K8179" i="1"/>
  <c r="A8180" i="1"/>
  <c r="B8180" i="1"/>
  <c r="C8180" i="1"/>
  <c r="E8180" i="1"/>
  <c r="G8180" i="1"/>
  <c r="K8180" i="1"/>
  <c r="A8181" i="1"/>
  <c r="B8181" i="1"/>
  <c r="C8181" i="1"/>
  <c r="E8181" i="1"/>
  <c r="G8181" i="1"/>
  <c r="K8181" i="1"/>
  <c r="A8182" i="1"/>
  <c r="B8182" i="1"/>
  <c r="C8182" i="1"/>
  <c r="E8182" i="1"/>
  <c r="G8182" i="1"/>
  <c r="K8182" i="1"/>
  <c r="A8183" i="1"/>
  <c r="B8183" i="1"/>
  <c r="C8183" i="1"/>
  <c r="E8183" i="1"/>
  <c r="G8183" i="1"/>
  <c r="K8183" i="1"/>
  <c r="A8184" i="1"/>
  <c r="B8184" i="1"/>
  <c r="C8184" i="1"/>
  <c r="E8184" i="1"/>
  <c r="G8184" i="1"/>
  <c r="K8184" i="1"/>
  <c r="A8185" i="1"/>
  <c r="B8185" i="1"/>
  <c r="C8185" i="1"/>
  <c r="E8185" i="1"/>
  <c r="G8185" i="1"/>
  <c r="K8185" i="1"/>
  <c r="A8186" i="1"/>
  <c r="B8186" i="1"/>
  <c r="C8186" i="1"/>
  <c r="E8186" i="1"/>
  <c r="G8186" i="1"/>
  <c r="K8186" i="1"/>
  <c r="A8187" i="1"/>
  <c r="B8187" i="1"/>
  <c r="C8187" i="1"/>
  <c r="E8187" i="1"/>
  <c r="G8187" i="1"/>
  <c r="K8187" i="1"/>
  <c r="A8188" i="1"/>
  <c r="B8188" i="1"/>
  <c r="C8188" i="1"/>
  <c r="E8188" i="1"/>
  <c r="G8188" i="1"/>
  <c r="K8188" i="1"/>
  <c r="A8189" i="1"/>
  <c r="B8189" i="1"/>
  <c r="C8189" i="1"/>
  <c r="E8189" i="1"/>
  <c r="G8189" i="1"/>
  <c r="K8189" i="1"/>
  <c r="A8190" i="1"/>
  <c r="B8190" i="1"/>
  <c r="C8190" i="1"/>
  <c r="E8190" i="1"/>
  <c r="G8190" i="1"/>
  <c r="K8190" i="1"/>
  <c r="A8191" i="1"/>
  <c r="B8191" i="1"/>
  <c r="C8191" i="1"/>
  <c r="E8191" i="1"/>
  <c r="G8191" i="1"/>
  <c r="K8191" i="1"/>
  <c r="A8192" i="1"/>
  <c r="B8192" i="1"/>
  <c r="C8192" i="1"/>
  <c r="E8192" i="1"/>
  <c r="G8192" i="1"/>
  <c r="K8192" i="1"/>
  <c r="A8193" i="1"/>
  <c r="B8193" i="1"/>
  <c r="C8193" i="1"/>
  <c r="E8193" i="1"/>
  <c r="G8193" i="1"/>
  <c r="K8193" i="1"/>
  <c r="A8194" i="1"/>
  <c r="B8194" i="1"/>
  <c r="C8194" i="1"/>
  <c r="E8194" i="1"/>
  <c r="G8194" i="1"/>
  <c r="K8194" i="1"/>
  <c r="A8195" i="1"/>
  <c r="B8195" i="1"/>
  <c r="C8195" i="1"/>
  <c r="E8195" i="1"/>
  <c r="G8195" i="1"/>
  <c r="K8195" i="1"/>
  <c r="A8196" i="1"/>
  <c r="B8196" i="1"/>
  <c r="C8196" i="1"/>
  <c r="E8196" i="1"/>
  <c r="G8196" i="1"/>
  <c r="K8196" i="1"/>
  <c r="A8197" i="1"/>
  <c r="B8197" i="1"/>
  <c r="C8197" i="1"/>
  <c r="E8197" i="1"/>
  <c r="G8197" i="1"/>
  <c r="K8197" i="1"/>
  <c r="A8198" i="1"/>
  <c r="B8198" i="1"/>
  <c r="C8198" i="1"/>
  <c r="E8198" i="1"/>
  <c r="G8198" i="1"/>
  <c r="K8198" i="1"/>
  <c r="A8199" i="1"/>
  <c r="B8199" i="1"/>
  <c r="C8199" i="1"/>
  <c r="E8199" i="1"/>
  <c r="G8199" i="1"/>
  <c r="K8199" i="1"/>
  <c r="A8200" i="1"/>
  <c r="B8200" i="1"/>
  <c r="C8200" i="1"/>
  <c r="E8200" i="1"/>
  <c r="G8200" i="1"/>
  <c r="K8200" i="1"/>
  <c r="A8201" i="1"/>
  <c r="B8201" i="1"/>
  <c r="C8201" i="1"/>
  <c r="E8201" i="1"/>
  <c r="G8201" i="1"/>
  <c r="K8201" i="1"/>
  <c r="A8202" i="1"/>
  <c r="B8202" i="1"/>
  <c r="C8202" i="1"/>
  <c r="E8202" i="1"/>
  <c r="G8202" i="1"/>
  <c r="K8202" i="1"/>
  <c r="A8203" i="1"/>
  <c r="B8203" i="1"/>
  <c r="C8203" i="1"/>
  <c r="E8203" i="1"/>
  <c r="G8203" i="1"/>
  <c r="K8203" i="1"/>
  <c r="A8204" i="1"/>
  <c r="B8204" i="1"/>
  <c r="C8204" i="1"/>
  <c r="E8204" i="1"/>
  <c r="G8204" i="1"/>
  <c r="K8204" i="1"/>
  <c r="A8205" i="1"/>
  <c r="B8205" i="1"/>
  <c r="C8205" i="1"/>
  <c r="E8205" i="1"/>
  <c r="G8205" i="1"/>
  <c r="K8205" i="1"/>
  <c r="A8206" i="1"/>
  <c r="B8206" i="1"/>
  <c r="C8206" i="1"/>
  <c r="E8206" i="1"/>
  <c r="G8206" i="1"/>
  <c r="K8206" i="1"/>
  <c r="A8207" i="1"/>
  <c r="B8207" i="1"/>
  <c r="C8207" i="1"/>
  <c r="E8207" i="1"/>
  <c r="G8207" i="1"/>
  <c r="K8207" i="1"/>
  <c r="A8208" i="1"/>
  <c r="B8208" i="1"/>
  <c r="C8208" i="1"/>
  <c r="E8208" i="1"/>
  <c r="G8208" i="1"/>
  <c r="K8208" i="1"/>
  <c r="A8209" i="1"/>
  <c r="B8209" i="1"/>
  <c r="C8209" i="1"/>
  <c r="E8209" i="1"/>
  <c r="G8209" i="1"/>
  <c r="K8209" i="1"/>
  <c r="A8210" i="1"/>
  <c r="B8210" i="1"/>
  <c r="C8210" i="1"/>
  <c r="E8210" i="1"/>
  <c r="G8210" i="1"/>
  <c r="K8210" i="1"/>
  <c r="A8211" i="1"/>
  <c r="B8211" i="1"/>
  <c r="C8211" i="1"/>
  <c r="E8211" i="1"/>
  <c r="G8211" i="1"/>
  <c r="K8211" i="1"/>
  <c r="A8212" i="1"/>
  <c r="B8212" i="1"/>
  <c r="C8212" i="1"/>
  <c r="E8212" i="1"/>
  <c r="G8212" i="1"/>
  <c r="K8212" i="1"/>
  <c r="A8213" i="1"/>
  <c r="B8213" i="1"/>
  <c r="C8213" i="1"/>
  <c r="E8213" i="1"/>
  <c r="G8213" i="1"/>
  <c r="K8213" i="1"/>
  <c r="A8214" i="1"/>
  <c r="B8214" i="1"/>
  <c r="C8214" i="1"/>
  <c r="E8214" i="1"/>
  <c r="G8214" i="1"/>
  <c r="K8214" i="1"/>
  <c r="A8215" i="1"/>
  <c r="B8215" i="1"/>
  <c r="C8215" i="1"/>
  <c r="E8215" i="1"/>
  <c r="G8215" i="1"/>
  <c r="K8215" i="1"/>
  <c r="A8216" i="1"/>
  <c r="B8216" i="1"/>
  <c r="C8216" i="1"/>
  <c r="E8216" i="1"/>
  <c r="G8216" i="1"/>
  <c r="K8216" i="1"/>
  <c r="A8217" i="1"/>
  <c r="B8217" i="1"/>
  <c r="C8217" i="1"/>
  <c r="E8217" i="1"/>
  <c r="G8217" i="1"/>
  <c r="K8217" i="1"/>
  <c r="A8218" i="1"/>
  <c r="B8218" i="1"/>
  <c r="C8218" i="1"/>
  <c r="E8218" i="1"/>
  <c r="G8218" i="1"/>
  <c r="K8218" i="1"/>
  <c r="A8219" i="1"/>
  <c r="B8219" i="1"/>
  <c r="C8219" i="1"/>
  <c r="E8219" i="1"/>
  <c r="G8219" i="1"/>
  <c r="K8219" i="1"/>
  <c r="A8220" i="1"/>
  <c r="B8220" i="1"/>
  <c r="C8220" i="1"/>
  <c r="E8220" i="1"/>
  <c r="G8220" i="1"/>
  <c r="K8220" i="1"/>
  <c r="A8221" i="1"/>
  <c r="B8221" i="1"/>
  <c r="C8221" i="1"/>
  <c r="E8221" i="1"/>
  <c r="G8221" i="1"/>
  <c r="K8221" i="1"/>
  <c r="A8222" i="1"/>
  <c r="B8222" i="1"/>
  <c r="C8222" i="1"/>
  <c r="E8222" i="1"/>
  <c r="G8222" i="1"/>
  <c r="K8222" i="1"/>
  <c r="A8223" i="1"/>
  <c r="B8223" i="1"/>
  <c r="C8223" i="1"/>
  <c r="E8223" i="1"/>
  <c r="G8223" i="1"/>
  <c r="K8223" i="1"/>
  <c r="A8224" i="1"/>
  <c r="B8224" i="1"/>
  <c r="C8224" i="1"/>
  <c r="E8224" i="1"/>
  <c r="G8224" i="1"/>
  <c r="K8224" i="1"/>
  <c r="A8225" i="1"/>
  <c r="B8225" i="1"/>
  <c r="C8225" i="1"/>
  <c r="E8225" i="1"/>
  <c r="G8225" i="1"/>
  <c r="K8225" i="1"/>
  <c r="A8226" i="1"/>
  <c r="B8226" i="1"/>
  <c r="C8226" i="1"/>
  <c r="E8226" i="1"/>
  <c r="G8226" i="1"/>
  <c r="K8226" i="1"/>
  <c r="A8227" i="1"/>
  <c r="B8227" i="1"/>
  <c r="C8227" i="1"/>
  <c r="E8227" i="1"/>
  <c r="G8227" i="1"/>
  <c r="K8227" i="1"/>
  <c r="A8228" i="1"/>
  <c r="B8228" i="1"/>
  <c r="C8228" i="1"/>
  <c r="E8228" i="1"/>
  <c r="G8228" i="1"/>
  <c r="K8228" i="1"/>
  <c r="A8229" i="1"/>
  <c r="B8229" i="1"/>
  <c r="C8229" i="1"/>
  <c r="E8229" i="1"/>
  <c r="G8229" i="1"/>
  <c r="K8229" i="1"/>
  <c r="A8230" i="1"/>
  <c r="B8230" i="1"/>
  <c r="C8230" i="1"/>
  <c r="E8230" i="1"/>
  <c r="G8230" i="1"/>
  <c r="K8230" i="1"/>
  <c r="A8231" i="1"/>
  <c r="B8231" i="1"/>
  <c r="C8231" i="1"/>
  <c r="E8231" i="1"/>
  <c r="G8231" i="1"/>
  <c r="K8231" i="1"/>
  <c r="A8232" i="1"/>
  <c r="B8232" i="1"/>
  <c r="C8232" i="1"/>
  <c r="E8232" i="1"/>
  <c r="G8232" i="1"/>
  <c r="K8232" i="1"/>
  <c r="A8233" i="1"/>
  <c r="B8233" i="1"/>
  <c r="C8233" i="1"/>
  <c r="E8233" i="1"/>
  <c r="G8233" i="1"/>
  <c r="K8233" i="1"/>
  <c r="A8234" i="1"/>
  <c r="B8234" i="1"/>
  <c r="C8234" i="1"/>
  <c r="E8234" i="1"/>
  <c r="G8234" i="1"/>
  <c r="K8234" i="1"/>
  <c r="A8235" i="1"/>
  <c r="B8235" i="1"/>
  <c r="C8235" i="1"/>
  <c r="E8235" i="1"/>
  <c r="G8235" i="1"/>
  <c r="K8235" i="1"/>
  <c r="A8236" i="1"/>
  <c r="B8236" i="1"/>
  <c r="C8236" i="1"/>
  <c r="E8236" i="1"/>
  <c r="G8236" i="1"/>
  <c r="K8236" i="1"/>
  <c r="A8237" i="1"/>
  <c r="B8237" i="1"/>
  <c r="C8237" i="1"/>
  <c r="E8237" i="1"/>
  <c r="G8237" i="1"/>
  <c r="K8237" i="1"/>
  <c r="A8238" i="1"/>
  <c r="B8238" i="1"/>
  <c r="C8238" i="1"/>
  <c r="E8238" i="1"/>
  <c r="G8238" i="1"/>
  <c r="K8238" i="1"/>
  <c r="A8239" i="1"/>
  <c r="B8239" i="1"/>
  <c r="C8239" i="1"/>
  <c r="E8239" i="1"/>
  <c r="G8239" i="1"/>
  <c r="K8239" i="1"/>
  <c r="A8240" i="1"/>
  <c r="B8240" i="1"/>
  <c r="C8240" i="1"/>
  <c r="E8240" i="1"/>
  <c r="G8240" i="1"/>
  <c r="K8240" i="1"/>
  <c r="A8241" i="1"/>
  <c r="B8241" i="1"/>
  <c r="C8241" i="1"/>
  <c r="E8241" i="1"/>
  <c r="G8241" i="1"/>
  <c r="K8241" i="1"/>
  <c r="A8242" i="1"/>
  <c r="B8242" i="1"/>
  <c r="C8242" i="1"/>
  <c r="E8242" i="1"/>
  <c r="G8242" i="1"/>
  <c r="K8242" i="1"/>
  <c r="A8243" i="1"/>
  <c r="B8243" i="1"/>
  <c r="C8243" i="1"/>
  <c r="E8243" i="1"/>
  <c r="G8243" i="1"/>
  <c r="K8243" i="1"/>
  <c r="A8244" i="1"/>
  <c r="B8244" i="1"/>
  <c r="C8244" i="1"/>
  <c r="E8244" i="1"/>
  <c r="G8244" i="1"/>
  <c r="K8244" i="1"/>
  <c r="A8245" i="1"/>
  <c r="B8245" i="1"/>
  <c r="C8245" i="1"/>
  <c r="E8245" i="1"/>
  <c r="G8245" i="1"/>
  <c r="K8245" i="1"/>
  <c r="A8246" i="1"/>
  <c r="B8246" i="1"/>
  <c r="C8246" i="1"/>
  <c r="E8246" i="1"/>
  <c r="G8246" i="1"/>
  <c r="K8246" i="1"/>
  <c r="A8247" i="1"/>
  <c r="B8247" i="1"/>
  <c r="C8247" i="1"/>
  <c r="E8247" i="1"/>
  <c r="G8247" i="1"/>
  <c r="K8247" i="1"/>
  <c r="A8248" i="1"/>
  <c r="B8248" i="1"/>
  <c r="C8248" i="1"/>
  <c r="E8248" i="1"/>
  <c r="G8248" i="1"/>
  <c r="K8248" i="1"/>
  <c r="A8249" i="1"/>
  <c r="B8249" i="1"/>
  <c r="C8249" i="1"/>
  <c r="E8249" i="1"/>
  <c r="G8249" i="1"/>
  <c r="K8249" i="1"/>
  <c r="A8250" i="1"/>
  <c r="B8250" i="1"/>
  <c r="C8250" i="1"/>
  <c r="E8250" i="1"/>
  <c r="G8250" i="1"/>
  <c r="K8250" i="1"/>
  <c r="A8251" i="1"/>
  <c r="B8251" i="1"/>
  <c r="C8251" i="1"/>
  <c r="E8251" i="1"/>
  <c r="G8251" i="1"/>
  <c r="K8251" i="1"/>
  <c r="A8252" i="1"/>
  <c r="B8252" i="1"/>
  <c r="C8252" i="1"/>
  <c r="E8252" i="1"/>
  <c r="G8252" i="1"/>
  <c r="K8252" i="1"/>
  <c r="A8253" i="1"/>
  <c r="B8253" i="1"/>
  <c r="C8253" i="1"/>
  <c r="E8253" i="1"/>
  <c r="G8253" i="1"/>
  <c r="K8253" i="1"/>
  <c r="A8254" i="1"/>
  <c r="B8254" i="1"/>
  <c r="C8254" i="1"/>
  <c r="E8254" i="1"/>
  <c r="G8254" i="1"/>
  <c r="K8254" i="1"/>
  <c r="A8255" i="1"/>
  <c r="B8255" i="1"/>
  <c r="C8255" i="1"/>
  <c r="E8255" i="1"/>
  <c r="G8255" i="1"/>
  <c r="K8255" i="1"/>
  <c r="A8256" i="1"/>
  <c r="B8256" i="1"/>
  <c r="C8256" i="1"/>
  <c r="E8256" i="1"/>
  <c r="G8256" i="1"/>
  <c r="K8256" i="1"/>
  <c r="A8257" i="1"/>
  <c r="B8257" i="1"/>
  <c r="C8257" i="1"/>
  <c r="E8257" i="1"/>
  <c r="G8257" i="1"/>
  <c r="K8257" i="1"/>
  <c r="A8258" i="1"/>
  <c r="B8258" i="1"/>
  <c r="C8258" i="1"/>
  <c r="E8258" i="1"/>
  <c r="G8258" i="1"/>
  <c r="K8258" i="1"/>
  <c r="A8259" i="1"/>
  <c r="B8259" i="1"/>
  <c r="C8259" i="1"/>
  <c r="E8259" i="1"/>
  <c r="G8259" i="1"/>
  <c r="K8259" i="1"/>
  <c r="A8260" i="1"/>
  <c r="B8260" i="1"/>
  <c r="C8260" i="1"/>
  <c r="E8260" i="1"/>
  <c r="G8260" i="1"/>
  <c r="K8260" i="1"/>
  <c r="A8261" i="1"/>
  <c r="B8261" i="1"/>
  <c r="C8261" i="1"/>
  <c r="E8261" i="1"/>
  <c r="G8261" i="1"/>
  <c r="K8261" i="1"/>
  <c r="A8262" i="1"/>
  <c r="B8262" i="1"/>
  <c r="C8262" i="1"/>
  <c r="E8262" i="1"/>
  <c r="G8262" i="1"/>
  <c r="K8262" i="1"/>
  <c r="A8263" i="1"/>
  <c r="B8263" i="1"/>
  <c r="C8263" i="1"/>
  <c r="E8263" i="1"/>
  <c r="G8263" i="1"/>
  <c r="K8263" i="1"/>
  <c r="A8264" i="1"/>
  <c r="B8264" i="1"/>
  <c r="C8264" i="1"/>
  <c r="E8264" i="1"/>
  <c r="G8264" i="1"/>
  <c r="K8264" i="1"/>
  <c r="A8265" i="1"/>
  <c r="B8265" i="1"/>
  <c r="C8265" i="1"/>
  <c r="E8265" i="1"/>
  <c r="G8265" i="1"/>
  <c r="K8265" i="1"/>
  <c r="A8266" i="1"/>
  <c r="B8266" i="1"/>
  <c r="C8266" i="1"/>
  <c r="E8266" i="1"/>
  <c r="G8266" i="1"/>
  <c r="K8266" i="1"/>
  <c r="A8267" i="1"/>
  <c r="B8267" i="1"/>
  <c r="C8267" i="1"/>
  <c r="E8267" i="1"/>
  <c r="G8267" i="1"/>
  <c r="K8267" i="1"/>
  <c r="A8268" i="1"/>
  <c r="B8268" i="1"/>
  <c r="C8268" i="1"/>
  <c r="E8268" i="1"/>
  <c r="G8268" i="1"/>
  <c r="K8268" i="1"/>
  <c r="A8269" i="1"/>
  <c r="B8269" i="1"/>
  <c r="C8269" i="1"/>
  <c r="E8269" i="1"/>
  <c r="G8269" i="1"/>
  <c r="K8269" i="1"/>
  <c r="A8270" i="1"/>
  <c r="B8270" i="1"/>
  <c r="C8270" i="1"/>
  <c r="E8270" i="1"/>
  <c r="G8270" i="1"/>
  <c r="K8270" i="1"/>
  <c r="A8271" i="1"/>
  <c r="B8271" i="1"/>
  <c r="C8271" i="1"/>
  <c r="E8271" i="1"/>
  <c r="G8271" i="1"/>
  <c r="K8271" i="1"/>
  <c r="A8272" i="1"/>
  <c r="B8272" i="1"/>
  <c r="C8272" i="1"/>
  <c r="E8272" i="1"/>
  <c r="G8272" i="1"/>
  <c r="K8272" i="1"/>
  <c r="A8273" i="1"/>
  <c r="B8273" i="1"/>
  <c r="C8273" i="1"/>
  <c r="E8273" i="1"/>
  <c r="G8273" i="1"/>
  <c r="K8273" i="1"/>
  <c r="A8274" i="1"/>
  <c r="B8274" i="1"/>
  <c r="C8274" i="1"/>
  <c r="E8274" i="1"/>
  <c r="G8274" i="1"/>
  <c r="K8274" i="1"/>
  <c r="A8275" i="1"/>
  <c r="B8275" i="1"/>
  <c r="C8275" i="1"/>
  <c r="E8275" i="1"/>
  <c r="G8275" i="1"/>
  <c r="K8275" i="1"/>
  <c r="A8276" i="1"/>
  <c r="B8276" i="1"/>
  <c r="C8276" i="1"/>
  <c r="E8276" i="1"/>
  <c r="G8276" i="1"/>
  <c r="K8276" i="1"/>
  <c r="A8277" i="1"/>
  <c r="B8277" i="1"/>
  <c r="C8277" i="1"/>
  <c r="E8277" i="1"/>
  <c r="G8277" i="1"/>
  <c r="K8277" i="1"/>
  <c r="A8278" i="1"/>
  <c r="B8278" i="1"/>
  <c r="C8278" i="1"/>
  <c r="E8278" i="1"/>
  <c r="G8278" i="1"/>
  <c r="K8278" i="1"/>
  <c r="A8279" i="1"/>
  <c r="B8279" i="1"/>
  <c r="C8279" i="1"/>
  <c r="E8279" i="1"/>
  <c r="G8279" i="1"/>
  <c r="K8279" i="1"/>
  <c r="A8280" i="1"/>
  <c r="B8280" i="1"/>
  <c r="C8280" i="1"/>
  <c r="E8280" i="1"/>
  <c r="G8280" i="1"/>
  <c r="K8280" i="1"/>
  <c r="A8281" i="1"/>
  <c r="B8281" i="1"/>
  <c r="C8281" i="1"/>
  <c r="E8281" i="1"/>
  <c r="G8281" i="1"/>
  <c r="K8281" i="1"/>
  <c r="A8282" i="1"/>
  <c r="B8282" i="1"/>
  <c r="C8282" i="1"/>
  <c r="E8282" i="1"/>
  <c r="G8282" i="1"/>
  <c r="K8282" i="1"/>
  <c r="A8283" i="1"/>
  <c r="B8283" i="1"/>
  <c r="C8283" i="1"/>
  <c r="E8283" i="1"/>
  <c r="G8283" i="1"/>
  <c r="K8283" i="1"/>
  <c r="A8284" i="1"/>
  <c r="B8284" i="1"/>
  <c r="C8284" i="1"/>
  <c r="E8284" i="1"/>
  <c r="G8284" i="1"/>
  <c r="K8284" i="1"/>
  <c r="A8285" i="1"/>
  <c r="B8285" i="1"/>
  <c r="C8285" i="1"/>
  <c r="E8285" i="1"/>
  <c r="G8285" i="1"/>
  <c r="K8285" i="1"/>
  <c r="A8286" i="1"/>
  <c r="B8286" i="1"/>
  <c r="C8286" i="1"/>
  <c r="E8286" i="1"/>
  <c r="G8286" i="1"/>
  <c r="K8286" i="1"/>
  <c r="A8287" i="1"/>
  <c r="B8287" i="1"/>
  <c r="C8287" i="1"/>
  <c r="E8287" i="1"/>
  <c r="G8287" i="1"/>
  <c r="K8287" i="1"/>
  <c r="A8288" i="1"/>
  <c r="B8288" i="1"/>
  <c r="C8288" i="1"/>
  <c r="E8288" i="1"/>
  <c r="G8288" i="1"/>
  <c r="K8288" i="1"/>
  <c r="A8289" i="1"/>
  <c r="B8289" i="1"/>
  <c r="C8289" i="1"/>
  <c r="E8289" i="1"/>
  <c r="G8289" i="1"/>
  <c r="K8289" i="1"/>
  <c r="A8290" i="1"/>
  <c r="B8290" i="1"/>
  <c r="C8290" i="1"/>
  <c r="E8290" i="1"/>
  <c r="G8290" i="1"/>
  <c r="K8290" i="1"/>
  <c r="A8291" i="1"/>
  <c r="B8291" i="1"/>
  <c r="C8291" i="1"/>
  <c r="E8291" i="1"/>
  <c r="G8291" i="1"/>
  <c r="K8291" i="1"/>
  <c r="A8292" i="1"/>
  <c r="B8292" i="1"/>
  <c r="C8292" i="1"/>
  <c r="E8292" i="1"/>
  <c r="G8292" i="1"/>
  <c r="K8292" i="1"/>
  <c r="A8293" i="1"/>
  <c r="B8293" i="1"/>
  <c r="C8293" i="1"/>
  <c r="E8293" i="1"/>
  <c r="G8293" i="1"/>
  <c r="K8293" i="1"/>
  <c r="A8294" i="1"/>
  <c r="B8294" i="1"/>
  <c r="C8294" i="1"/>
  <c r="E8294" i="1"/>
  <c r="G8294" i="1"/>
  <c r="K8294" i="1"/>
  <c r="A8295" i="1"/>
  <c r="B8295" i="1"/>
  <c r="C8295" i="1"/>
  <c r="E8295" i="1"/>
  <c r="G8295" i="1"/>
  <c r="K8295" i="1"/>
  <c r="A8296" i="1"/>
  <c r="B8296" i="1"/>
  <c r="C8296" i="1"/>
  <c r="E8296" i="1"/>
  <c r="G8296" i="1"/>
  <c r="K8296" i="1"/>
  <c r="A8297" i="1"/>
  <c r="B8297" i="1"/>
  <c r="C8297" i="1"/>
  <c r="E8297" i="1"/>
  <c r="G8297" i="1"/>
  <c r="K8297" i="1"/>
  <c r="A8298" i="1"/>
  <c r="B8298" i="1"/>
  <c r="C8298" i="1"/>
  <c r="E8298" i="1"/>
  <c r="G8298" i="1"/>
  <c r="K8298" i="1"/>
  <c r="A8299" i="1"/>
  <c r="B8299" i="1"/>
  <c r="C8299" i="1"/>
  <c r="E8299" i="1"/>
  <c r="G8299" i="1"/>
  <c r="K8299" i="1"/>
  <c r="A8300" i="1"/>
  <c r="B8300" i="1"/>
  <c r="C8300" i="1"/>
  <c r="E8300" i="1"/>
  <c r="G8300" i="1"/>
  <c r="K8300" i="1"/>
  <c r="A8301" i="1"/>
  <c r="B8301" i="1"/>
  <c r="C8301" i="1"/>
  <c r="E8301" i="1"/>
  <c r="G8301" i="1"/>
  <c r="K8301" i="1"/>
  <c r="A8302" i="1"/>
  <c r="B8302" i="1"/>
  <c r="C8302" i="1"/>
  <c r="E8302" i="1"/>
  <c r="G8302" i="1"/>
  <c r="K8302" i="1"/>
  <c r="A8303" i="1"/>
  <c r="B8303" i="1"/>
  <c r="C8303" i="1"/>
  <c r="E8303" i="1"/>
  <c r="G8303" i="1"/>
  <c r="K8303" i="1"/>
  <c r="A8304" i="1"/>
  <c r="B8304" i="1"/>
  <c r="C8304" i="1"/>
  <c r="E8304" i="1"/>
  <c r="G8304" i="1"/>
  <c r="K8304" i="1"/>
  <c r="A8305" i="1"/>
  <c r="B8305" i="1"/>
  <c r="C8305" i="1"/>
  <c r="E8305" i="1"/>
  <c r="G8305" i="1"/>
  <c r="K8305" i="1"/>
  <c r="A8306" i="1"/>
  <c r="B8306" i="1"/>
  <c r="C8306" i="1"/>
  <c r="E8306" i="1"/>
  <c r="G8306" i="1"/>
  <c r="K8306" i="1"/>
  <c r="A8307" i="1"/>
  <c r="B8307" i="1"/>
  <c r="C8307" i="1"/>
  <c r="E8307" i="1"/>
  <c r="G8307" i="1"/>
  <c r="K8307" i="1"/>
  <c r="A8308" i="1"/>
  <c r="B8308" i="1"/>
  <c r="C8308" i="1"/>
  <c r="E8308" i="1"/>
  <c r="G8308" i="1"/>
  <c r="K8308" i="1"/>
  <c r="A8309" i="1"/>
  <c r="B8309" i="1"/>
  <c r="C8309" i="1"/>
  <c r="E8309" i="1"/>
  <c r="G8309" i="1"/>
  <c r="K8309" i="1"/>
  <c r="A8310" i="1"/>
  <c r="B8310" i="1"/>
  <c r="C8310" i="1"/>
  <c r="E8310" i="1"/>
  <c r="G8310" i="1"/>
  <c r="K8310" i="1"/>
  <c r="A8311" i="1"/>
  <c r="B8311" i="1"/>
  <c r="C8311" i="1"/>
  <c r="E8311" i="1"/>
  <c r="G8311" i="1"/>
  <c r="K8311" i="1"/>
  <c r="A8312" i="1"/>
  <c r="B8312" i="1"/>
  <c r="C8312" i="1"/>
  <c r="E8312" i="1"/>
  <c r="G8312" i="1"/>
  <c r="K8312" i="1"/>
  <c r="A8313" i="1"/>
  <c r="B8313" i="1"/>
  <c r="C8313" i="1"/>
  <c r="E8313" i="1"/>
  <c r="G8313" i="1"/>
  <c r="K8313" i="1"/>
  <c r="A8314" i="1"/>
  <c r="B8314" i="1"/>
  <c r="C8314" i="1"/>
  <c r="E8314" i="1"/>
  <c r="G8314" i="1"/>
  <c r="K8314" i="1"/>
  <c r="A8315" i="1"/>
  <c r="B8315" i="1"/>
  <c r="C8315" i="1"/>
  <c r="E8315" i="1"/>
  <c r="G8315" i="1"/>
  <c r="K8315" i="1"/>
  <c r="A8316" i="1"/>
  <c r="B8316" i="1"/>
  <c r="C8316" i="1"/>
  <c r="E8316" i="1"/>
  <c r="G8316" i="1"/>
  <c r="K8316" i="1"/>
  <c r="A8317" i="1"/>
  <c r="B8317" i="1"/>
  <c r="C8317" i="1"/>
  <c r="E8317" i="1"/>
  <c r="G8317" i="1"/>
  <c r="K8317" i="1"/>
  <c r="A8318" i="1"/>
  <c r="B8318" i="1"/>
  <c r="C8318" i="1"/>
  <c r="E8318" i="1"/>
  <c r="G8318" i="1"/>
  <c r="K8318" i="1"/>
  <c r="A8319" i="1"/>
  <c r="B8319" i="1"/>
  <c r="C8319" i="1"/>
  <c r="E8319" i="1"/>
  <c r="G8319" i="1"/>
  <c r="K8319" i="1"/>
  <c r="A8320" i="1"/>
  <c r="B8320" i="1"/>
  <c r="C8320" i="1"/>
  <c r="E8320" i="1"/>
  <c r="G8320" i="1"/>
  <c r="K8320" i="1"/>
  <c r="A8321" i="1"/>
  <c r="B8321" i="1"/>
  <c r="C8321" i="1"/>
  <c r="E8321" i="1"/>
  <c r="G8321" i="1"/>
  <c r="K8321" i="1"/>
  <c r="A8322" i="1"/>
  <c r="B8322" i="1"/>
  <c r="C8322" i="1"/>
  <c r="E8322" i="1"/>
  <c r="G8322" i="1"/>
  <c r="K8322" i="1"/>
  <c r="A8323" i="1"/>
  <c r="B8323" i="1"/>
  <c r="C8323" i="1"/>
  <c r="E8323" i="1"/>
  <c r="G8323" i="1"/>
  <c r="K8323" i="1"/>
  <c r="A8324" i="1"/>
  <c r="B8324" i="1"/>
  <c r="C8324" i="1"/>
  <c r="E8324" i="1"/>
  <c r="G8324" i="1"/>
  <c r="K8324" i="1"/>
  <c r="A8325" i="1"/>
  <c r="B8325" i="1"/>
  <c r="C8325" i="1"/>
  <c r="E8325" i="1"/>
  <c r="G8325" i="1"/>
  <c r="K8325" i="1"/>
  <c r="A8326" i="1"/>
  <c r="B8326" i="1"/>
  <c r="C8326" i="1"/>
  <c r="E8326" i="1"/>
  <c r="G8326" i="1"/>
  <c r="K8326" i="1"/>
  <c r="A8327" i="1"/>
  <c r="B8327" i="1"/>
  <c r="C8327" i="1"/>
  <c r="E8327" i="1"/>
  <c r="G8327" i="1"/>
  <c r="K8327" i="1"/>
  <c r="A8328" i="1"/>
  <c r="B8328" i="1"/>
  <c r="C8328" i="1"/>
  <c r="E8328" i="1"/>
  <c r="G8328" i="1"/>
  <c r="K8328" i="1"/>
  <c r="A8329" i="1"/>
  <c r="B8329" i="1"/>
  <c r="C8329" i="1"/>
  <c r="E8329" i="1"/>
  <c r="G8329" i="1"/>
  <c r="K8329" i="1"/>
  <c r="A8330" i="1"/>
  <c r="B8330" i="1"/>
  <c r="C8330" i="1"/>
  <c r="E8330" i="1"/>
  <c r="G8330" i="1"/>
  <c r="K8330" i="1"/>
  <c r="A8331" i="1"/>
  <c r="B8331" i="1"/>
  <c r="C8331" i="1"/>
  <c r="E8331" i="1"/>
  <c r="G8331" i="1"/>
  <c r="K8331" i="1"/>
  <c r="A8332" i="1"/>
  <c r="B8332" i="1"/>
  <c r="C8332" i="1"/>
  <c r="E8332" i="1"/>
  <c r="G8332" i="1"/>
  <c r="K8332" i="1"/>
  <c r="A8333" i="1"/>
  <c r="B8333" i="1"/>
  <c r="C8333" i="1"/>
  <c r="E8333" i="1"/>
  <c r="G8333" i="1"/>
  <c r="K8333" i="1"/>
  <c r="A8334" i="1"/>
  <c r="B8334" i="1"/>
  <c r="C8334" i="1"/>
  <c r="E8334" i="1"/>
  <c r="G8334" i="1"/>
  <c r="K8334" i="1"/>
  <c r="A8335" i="1"/>
  <c r="B8335" i="1"/>
  <c r="C8335" i="1"/>
  <c r="E8335" i="1"/>
  <c r="G8335" i="1"/>
  <c r="K8335" i="1"/>
  <c r="A8336" i="1"/>
  <c r="B8336" i="1"/>
  <c r="C8336" i="1"/>
  <c r="E8336" i="1"/>
  <c r="G8336" i="1"/>
  <c r="K8336" i="1"/>
  <c r="A8337" i="1"/>
  <c r="B8337" i="1"/>
  <c r="C8337" i="1"/>
  <c r="E8337" i="1"/>
  <c r="G8337" i="1"/>
  <c r="K8337" i="1"/>
  <c r="A8338" i="1"/>
  <c r="B8338" i="1"/>
  <c r="C8338" i="1"/>
  <c r="E8338" i="1"/>
  <c r="G8338" i="1"/>
  <c r="K8338" i="1"/>
  <c r="A8339" i="1"/>
  <c r="B8339" i="1"/>
  <c r="C8339" i="1"/>
  <c r="E8339" i="1"/>
  <c r="G8339" i="1"/>
  <c r="K8339" i="1"/>
  <c r="A8340" i="1"/>
  <c r="B8340" i="1"/>
  <c r="C8340" i="1"/>
  <c r="E8340" i="1"/>
  <c r="G8340" i="1"/>
  <c r="K8340" i="1"/>
  <c r="A8341" i="1"/>
  <c r="B8341" i="1"/>
  <c r="C8341" i="1"/>
  <c r="E8341" i="1"/>
  <c r="G8341" i="1"/>
  <c r="K8341" i="1"/>
  <c r="A8342" i="1"/>
  <c r="B8342" i="1"/>
  <c r="C8342" i="1"/>
  <c r="E8342" i="1"/>
  <c r="G8342" i="1"/>
  <c r="K8342" i="1"/>
  <c r="A8343" i="1"/>
  <c r="B8343" i="1"/>
  <c r="C8343" i="1"/>
  <c r="E8343" i="1"/>
  <c r="G8343" i="1"/>
  <c r="K8343" i="1"/>
  <c r="A8344" i="1"/>
  <c r="B8344" i="1"/>
  <c r="C8344" i="1"/>
  <c r="E8344" i="1"/>
  <c r="G8344" i="1"/>
  <c r="K8344" i="1"/>
  <c r="A8345" i="1"/>
  <c r="B8345" i="1"/>
  <c r="C8345" i="1"/>
  <c r="E8345" i="1"/>
  <c r="G8345" i="1"/>
  <c r="K8345" i="1"/>
  <c r="A8346" i="1"/>
  <c r="B8346" i="1"/>
  <c r="C8346" i="1"/>
  <c r="E8346" i="1"/>
  <c r="G8346" i="1"/>
  <c r="K8346" i="1"/>
  <c r="A8347" i="1"/>
  <c r="B8347" i="1"/>
  <c r="C8347" i="1"/>
  <c r="E8347" i="1"/>
  <c r="G8347" i="1"/>
  <c r="K8347" i="1"/>
  <c r="A8348" i="1"/>
  <c r="B8348" i="1"/>
  <c r="C8348" i="1"/>
  <c r="E8348" i="1"/>
  <c r="G8348" i="1"/>
  <c r="K8348" i="1"/>
  <c r="A8349" i="1"/>
  <c r="B8349" i="1"/>
  <c r="C8349" i="1"/>
  <c r="E8349" i="1"/>
  <c r="G8349" i="1"/>
  <c r="K8349" i="1"/>
  <c r="A8350" i="1"/>
  <c r="B8350" i="1"/>
  <c r="C8350" i="1"/>
  <c r="E8350" i="1"/>
  <c r="G8350" i="1"/>
  <c r="K8350" i="1"/>
  <c r="A8351" i="1"/>
  <c r="B8351" i="1"/>
  <c r="C8351" i="1"/>
  <c r="E8351" i="1"/>
  <c r="G8351" i="1"/>
  <c r="K8351" i="1"/>
  <c r="A8352" i="1"/>
  <c r="B8352" i="1"/>
  <c r="C8352" i="1"/>
  <c r="E8352" i="1"/>
  <c r="G8352" i="1"/>
  <c r="K8352" i="1"/>
  <c r="A8353" i="1"/>
  <c r="B8353" i="1"/>
  <c r="C8353" i="1"/>
  <c r="E8353" i="1"/>
  <c r="G8353" i="1"/>
  <c r="K8353" i="1"/>
  <c r="A8354" i="1"/>
  <c r="B8354" i="1"/>
  <c r="C8354" i="1"/>
  <c r="E8354" i="1"/>
  <c r="G8354" i="1"/>
  <c r="K8354" i="1"/>
  <c r="A8355" i="1"/>
  <c r="B8355" i="1"/>
  <c r="C8355" i="1"/>
  <c r="E8355" i="1"/>
  <c r="G8355" i="1"/>
  <c r="K8355" i="1"/>
  <c r="A8356" i="1"/>
  <c r="B8356" i="1"/>
  <c r="C8356" i="1"/>
  <c r="E8356" i="1"/>
  <c r="G8356" i="1"/>
  <c r="K8356" i="1"/>
  <c r="A8357" i="1"/>
  <c r="B8357" i="1"/>
  <c r="C8357" i="1"/>
  <c r="E8357" i="1"/>
  <c r="G8357" i="1"/>
  <c r="K8357" i="1"/>
  <c r="A8358" i="1"/>
  <c r="B8358" i="1"/>
  <c r="C8358" i="1"/>
  <c r="E8358" i="1"/>
  <c r="G8358" i="1"/>
  <c r="K8358" i="1"/>
  <c r="A8359" i="1"/>
  <c r="B8359" i="1"/>
  <c r="C8359" i="1"/>
  <c r="E8359" i="1"/>
  <c r="G8359" i="1"/>
  <c r="K8359" i="1"/>
  <c r="A8360" i="1"/>
  <c r="B8360" i="1"/>
  <c r="C8360" i="1"/>
  <c r="E8360" i="1"/>
  <c r="G8360" i="1"/>
  <c r="K8360" i="1"/>
  <c r="A8361" i="1"/>
  <c r="B8361" i="1"/>
  <c r="C8361" i="1"/>
  <c r="E8361" i="1"/>
  <c r="G8361" i="1"/>
  <c r="K8361" i="1"/>
  <c r="A8362" i="1"/>
  <c r="B8362" i="1"/>
  <c r="C8362" i="1"/>
  <c r="E8362" i="1"/>
  <c r="G8362" i="1"/>
  <c r="K8362" i="1"/>
  <c r="A8363" i="1"/>
  <c r="B8363" i="1"/>
  <c r="C8363" i="1"/>
  <c r="E8363" i="1"/>
  <c r="G8363" i="1"/>
  <c r="K8363" i="1"/>
  <c r="A8364" i="1"/>
  <c r="B8364" i="1"/>
  <c r="C8364" i="1"/>
  <c r="E8364" i="1"/>
  <c r="G8364" i="1"/>
  <c r="K8364" i="1"/>
  <c r="A8365" i="1"/>
  <c r="B8365" i="1"/>
  <c r="C8365" i="1"/>
  <c r="E8365" i="1"/>
  <c r="G8365" i="1"/>
  <c r="K8365" i="1"/>
  <c r="A8366" i="1"/>
  <c r="B8366" i="1"/>
  <c r="C8366" i="1"/>
  <c r="E8366" i="1"/>
  <c r="G8366" i="1"/>
  <c r="K8366" i="1"/>
  <c r="A8367" i="1"/>
  <c r="B8367" i="1"/>
  <c r="C8367" i="1"/>
  <c r="E8367" i="1"/>
  <c r="G8367" i="1"/>
  <c r="K8367" i="1"/>
  <c r="A8368" i="1"/>
  <c r="B8368" i="1"/>
  <c r="C8368" i="1"/>
  <c r="E8368" i="1"/>
  <c r="G8368" i="1"/>
  <c r="K8368" i="1"/>
  <c r="A8369" i="1"/>
  <c r="B8369" i="1"/>
  <c r="C8369" i="1"/>
  <c r="E8369" i="1"/>
  <c r="G8369" i="1"/>
  <c r="K8369" i="1"/>
  <c r="A8370" i="1"/>
  <c r="B8370" i="1"/>
  <c r="C8370" i="1"/>
  <c r="E8370" i="1"/>
  <c r="G8370" i="1"/>
  <c r="K8370" i="1"/>
  <c r="A8371" i="1"/>
  <c r="B8371" i="1"/>
  <c r="C8371" i="1"/>
  <c r="E8371" i="1"/>
  <c r="G8371" i="1"/>
  <c r="K8371" i="1"/>
  <c r="A8372" i="1"/>
  <c r="B8372" i="1"/>
  <c r="C8372" i="1"/>
  <c r="E8372" i="1"/>
  <c r="G8372" i="1"/>
  <c r="K8372" i="1"/>
  <c r="A8373" i="1"/>
  <c r="B8373" i="1"/>
  <c r="C8373" i="1"/>
  <c r="E8373" i="1"/>
  <c r="G8373" i="1"/>
  <c r="K8373" i="1"/>
  <c r="A8374" i="1"/>
  <c r="B8374" i="1"/>
  <c r="C8374" i="1"/>
  <c r="E8374" i="1"/>
  <c r="G8374" i="1"/>
  <c r="K8374" i="1"/>
  <c r="A8375" i="1"/>
  <c r="B8375" i="1"/>
  <c r="C8375" i="1"/>
  <c r="E8375" i="1"/>
  <c r="G8375" i="1"/>
  <c r="K8375" i="1"/>
  <c r="A8376" i="1"/>
  <c r="B8376" i="1"/>
  <c r="C8376" i="1"/>
  <c r="E8376" i="1"/>
  <c r="G8376" i="1"/>
  <c r="K8376" i="1"/>
  <c r="A8377" i="1"/>
  <c r="B8377" i="1"/>
  <c r="C8377" i="1"/>
  <c r="E8377" i="1"/>
  <c r="G8377" i="1"/>
  <c r="K8377" i="1"/>
  <c r="A8378" i="1"/>
  <c r="B8378" i="1"/>
  <c r="C8378" i="1"/>
  <c r="E8378" i="1"/>
  <c r="G8378" i="1"/>
  <c r="K8378" i="1"/>
  <c r="A8379" i="1"/>
  <c r="B8379" i="1"/>
  <c r="C8379" i="1"/>
  <c r="E8379" i="1"/>
  <c r="G8379" i="1"/>
  <c r="K8379" i="1"/>
  <c r="A8380" i="1"/>
  <c r="B8380" i="1"/>
  <c r="C8380" i="1"/>
  <c r="E8380" i="1"/>
  <c r="G8380" i="1"/>
  <c r="K8380" i="1"/>
  <c r="A8381" i="1"/>
  <c r="B8381" i="1"/>
  <c r="C8381" i="1"/>
  <c r="E8381" i="1"/>
  <c r="G8381" i="1"/>
  <c r="K8381" i="1"/>
  <c r="A8382" i="1"/>
  <c r="B8382" i="1"/>
  <c r="C8382" i="1"/>
  <c r="E8382" i="1"/>
  <c r="G8382" i="1"/>
  <c r="K8382" i="1"/>
  <c r="A8383" i="1"/>
  <c r="B8383" i="1"/>
  <c r="C8383" i="1"/>
  <c r="E8383" i="1"/>
  <c r="G8383" i="1"/>
  <c r="K8383" i="1"/>
  <c r="A8384" i="1"/>
  <c r="B8384" i="1"/>
  <c r="C8384" i="1"/>
  <c r="E8384" i="1"/>
  <c r="G8384" i="1"/>
  <c r="K8384" i="1"/>
  <c r="A8385" i="1"/>
  <c r="B8385" i="1"/>
  <c r="C8385" i="1"/>
  <c r="E8385" i="1"/>
  <c r="G8385" i="1"/>
  <c r="K8385" i="1"/>
  <c r="A8386" i="1"/>
  <c r="B8386" i="1"/>
  <c r="C8386" i="1"/>
  <c r="E8386" i="1"/>
  <c r="G8386" i="1"/>
  <c r="K8386" i="1"/>
  <c r="A8387" i="1"/>
  <c r="B8387" i="1"/>
  <c r="C8387" i="1"/>
  <c r="E8387" i="1"/>
  <c r="G8387" i="1"/>
  <c r="K8387" i="1"/>
  <c r="A8388" i="1"/>
  <c r="B8388" i="1"/>
  <c r="C8388" i="1"/>
  <c r="E8388" i="1"/>
  <c r="G8388" i="1"/>
  <c r="K8388" i="1"/>
  <c r="A8389" i="1"/>
  <c r="B8389" i="1"/>
  <c r="C8389" i="1"/>
  <c r="E8389" i="1"/>
  <c r="G8389" i="1"/>
  <c r="K8389" i="1"/>
  <c r="A8390" i="1"/>
  <c r="B8390" i="1"/>
  <c r="C8390" i="1"/>
  <c r="E8390" i="1"/>
  <c r="G8390" i="1"/>
  <c r="K8390" i="1"/>
  <c r="A8391" i="1"/>
  <c r="B8391" i="1"/>
  <c r="C8391" i="1"/>
  <c r="E8391" i="1"/>
  <c r="G8391" i="1"/>
  <c r="K8391" i="1"/>
  <c r="A8392" i="1"/>
  <c r="B8392" i="1"/>
  <c r="C8392" i="1"/>
  <c r="E8392" i="1"/>
  <c r="G8392" i="1"/>
  <c r="K8392" i="1"/>
  <c r="A8393" i="1"/>
  <c r="B8393" i="1"/>
  <c r="C8393" i="1"/>
  <c r="E8393" i="1"/>
  <c r="G8393" i="1"/>
  <c r="K8393" i="1"/>
  <c r="A8394" i="1"/>
  <c r="B8394" i="1"/>
  <c r="C8394" i="1"/>
  <c r="E8394" i="1"/>
  <c r="G8394" i="1"/>
  <c r="K8394" i="1"/>
  <c r="A8395" i="1"/>
  <c r="B8395" i="1"/>
  <c r="C8395" i="1"/>
  <c r="E8395" i="1"/>
  <c r="G8395" i="1"/>
  <c r="K8395" i="1"/>
  <c r="A8396" i="1"/>
  <c r="B8396" i="1"/>
  <c r="C8396" i="1"/>
  <c r="E8396" i="1"/>
  <c r="G8396" i="1"/>
  <c r="K8396" i="1"/>
  <c r="A8397" i="1"/>
  <c r="B8397" i="1"/>
  <c r="C8397" i="1"/>
  <c r="E8397" i="1"/>
  <c r="G8397" i="1"/>
  <c r="K8397" i="1"/>
  <c r="A8398" i="1"/>
  <c r="B8398" i="1"/>
  <c r="C8398" i="1"/>
  <c r="E8398" i="1"/>
  <c r="G8398" i="1"/>
  <c r="K8398" i="1"/>
  <c r="A8399" i="1"/>
  <c r="B8399" i="1"/>
  <c r="C8399" i="1"/>
  <c r="E8399" i="1"/>
  <c r="G8399" i="1"/>
  <c r="K8399" i="1"/>
  <c r="A8400" i="1"/>
  <c r="B8400" i="1"/>
  <c r="C8400" i="1"/>
  <c r="E8400" i="1"/>
  <c r="G8400" i="1"/>
  <c r="K8400" i="1"/>
  <c r="A8401" i="1"/>
  <c r="B8401" i="1"/>
  <c r="C8401" i="1"/>
  <c r="E8401" i="1"/>
  <c r="G8401" i="1"/>
  <c r="K8401" i="1"/>
  <c r="A8402" i="1"/>
  <c r="B8402" i="1"/>
  <c r="C8402" i="1"/>
  <c r="E8402" i="1"/>
  <c r="G8402" i="1"/>
  <c r="K8402" i="1"/>
  <c r="A8403" i="1"/>
  <c r="B8403" i="1"/>
  <c r="C8403" i="1"/>
  <c r="E8403" i="1"/>
  <c r="G8403" i="1"/>
  <c r="K8403" i="1"/>
  <c r="A8404" i="1"/>
  <c r="B8404" i="1"/>
  <c r="C8404" i="1"/>
  <c r="E8404" i="1"/>
  <c r="G8404" i="1"/>
  <c r="K8404" i="1"/>
  <c r="A8405" i="1"/>
  <c r="B8405" i="1"/>
  <c r="C8405" i="1"/>
  <c r="E8405" i="1"/>
  <c r="G8405" i="1"/>
  <c r="K8405" i="1"/>
  <c r="A8406" i="1"/>
  <c r="B8406" i="1"/>
  <c r="C8406" i="1"/>
  <c r="E8406" i="1"/>
  <c r="G8406" i="1"/>
  <c r="K8406" i="1"/>
  <c r="A8407" i="1"/>
  <c r="B8407" i="1"/>
  <c r="C8407" i="1"/>
  <c r="E8407" i="1"/>
  <c r="G8407" i="1"/>
  <c r="K8407" i="1"/>
  <c r="A8408" i="1"/>
  <c r="B8408" i="1"/>
  <c r="C8408" i="1"/>
  <c r="E8408" i="1"/>
  <c r="G8408" i="1"/>
  <c r="K8408" i="1"/>
  <c r="A8409" i="1"/>
  <c r="B8409" i="1"/>
  <c r="C8409" i="1"/>
  <c r="E8409" i="1"/>
  <c r="G8409" i="1"/>
  <c r="K8409" i="1"/>
  <c r="A8410" i="1"/>
  <c r="B8410" i="1"/>
  <c r="C8410" i="1"/>
  <c r="E8410" i="1"/>
  <c r="G8410" i="1"/>
  <c r="K8410" i="1"/>
  <c r="A8411" i="1"/>
  <c r="B8411" i="1"/>
  <c r="C8411" i="1"/>
  <c r="E8411" i="1"/>
  <c r="G8411" i="1"/>
  <c r="K8411" i="1"/>
  <c r="A8412" i="1"/>
  <c r="B8412" i="1"/>
  <c r="C8412" i="1"/>
  <c r="E8412" i="1"/>
  <c r="G8412" i="1"/>
  <c r="K8412" i="1"/>
  <c r="A8413" i="1"/>
  <c r="B8413" i="1"/>
  <c r="C8413" i="1"/>
  <c r="E8413" i="1"/>
  <c r="G8413" i="1"/>
  <c r="K8413" i="1"/>
  <c r="A8414" i="1"/>
  <c r="B8414" i="1"/>
  <c r="C8414" i="1"/>
  <c r="E8414" i="1"/>
  <c r="G8414" i="1"/>
  <c r="K8414" i="1"/>
  <c r="A8415" i="1"/>
  <c r="B8415" i="1"/>
  <c r="C8415" i="1"/>
  <c r="E8415" i="1"/>
  <c r="G8415" i="1"/>
  <c r="K8415" i="1"/>
  <c r="A8416" i="1"/>
  <c r="B8416" i="1"/>
  <c r="C8416" i="1"/>
  <c r="E8416" i="1"/>
  <c r="G8416" i="1"/>
  <c r="K8416" i="1"/>
  <c r="A8417" i="1"/>
  <c r="B8417" i="1"/>
  <c r="C8417" i="1"/>
  <c r="E8417" i="1"/>
  <c r="G8417" i="1"/>
  <c r="K8417" i="1"/>
  <c r="A8418" i="1"/>
  <c r="B8418" i="1"/>
  <c r="C8418" i="1"/>
  <c r="E8418" i="1"/>
  <c r="G8418" i="1"/>
  <c r="K8418" i="1"/>
  <c r="A8419" i="1"/>
  <c r="B8419" i="1"/>
  <c r="C8419" i="1"/>
  <c r="E8419" i="1"/>
  <c r="G8419" i="1"/>
  <c r="K8419" i="1"/>
  <c r="A8420" i="1"/>
  <c r="B8420" i="1"/>
  <c r="C8420" i="1"/>
  <c r="E8420" i="1"/>
  <c r="G8420" i="1"/>
  <c r="K8420" i="1"/>
  <c r="A8421" i="1"/>
  <c r="B8421" i="1"/>
  <c r="C8421" i="1"/>
  <c r="E8421" i="1"/>
  <c r="G8421" i="1"/>
  <c r="K8421" i="1"/>
  <c r="A8422" i="1"/>
  <c r="B8422" i="1"/>
  <c r="C8422" i="1"/>
  <c r="E8422" i="1"/>
  <c r="G8422" i="1"/>
  <c r="K8422" i="1"/>
  <c r="A8423" i="1"/>
  <c r="B8423" i="1"/>
  <c r="C8423" i="1"/>
  <c r="E8423" i="1"/>
  <c r="G8423" i="1"/>
  <c r="K8423" i="1"/>
  <c r="A8424" i="1"/>
  <c r="B8424" i="1"/>
  <c r="C8424" i="1"/>
  <c r="E8424" i="1"/>
  <c r="G8424" i="1"/>
  <c r="K8424" i="1"/>
  <c r="A8425" i="1"/>
  <c r="B8425" i="1"/>
  <c r="C8425" i="1"/>
  <c r="E8425" i="1"/>
  <c r="G8425" i="1"/>
  <c r="K8425" i="1"/>
  <c r="A8426" i="1"/>
  <c r="B8426" i="1"/>
  <c r="C8426" i="1"/>
  <c r="E8426" i="1"/>
  <c r="G8426" i="1"/>
  <c r="K8426" i="1"/>
  <c r="A8427" i="1"/>
  <c r="B8427" i="1"/>
  <c r="C8427" i="1"/>
  <c r="E8427" i="1"/>
  <c r="G8427" i="1"/>
  <c r="K8427" i="1"/>
  <c r="A8428" i="1"/>
  <c r="B8428" i="1"/>
  <c r="C8428" i="1"/>
  <c r="E8428" i="1"/>
  <c r="G8428" i="1"/>
  <c r="K8428" i="1"/>
  <c r="A8429" i="1"/>
  <c r="B8429" i="1"/>
  <c r="C8429" i="1"/>
  <c r="E8429" i="1"/>
  <c r="G8429" i="1"/>
  <c r="K8429" i="1"/>
  <c r="A8430" i="1"/>
  <c r="B8430" i="1"/>
  <c r="C8430" i="1"/>
  <c r="E8430" i="1"/>
  <c r="G8430" i="1"/>
  <c r="K8430" i="1"/>
  <c r="A8431" i="1"/>
  <c r="B8431" i="1"/>
  <c r="C8431" i="1"/>
  <c r="E8431" i="1"/>
  <c r="G8431" i="1"/>
  <c r="K8431" i="1"/>
  <c r="A8432" i="1"/>
  <c r="B8432" i="1"/>
  <c r="C8432" i="1"/>
  <c r="E8432" i="1"/>
  <c r="G8432" i="1"/>
  <c r="K8432" i="1"/>
  <c r="A8433" i="1"/>
  <c r="B8433" i="1"/>
  <c r="C8433" i="1"/>
  <c r="E8433" i="1"/>
  <c r="G8433" i="1"/>
  <c r="K8433" i="1"/>
  <c r="A8434" i="1"/>
  <c r="B8434" i="1"/>
  <c r="C8434" i="1"/>
  <c r="E8434" i="1"/>
  <c r="G8434" i="1"/>
  <c r="K8434" i="1"/>
  <c r="A8435" i="1"/>
  <c r="B8435" i="1"/>
  <c r="C8435" i="1"/>
  <c r="E8435" i="1"/>
  <c r="G8435" i="1"/>
  <c r="K8435" i="1"/>
  <c r="A8436" i="1"/>
  <c r="B8436" i="1"/>
  <c r="C8436" i="1"/>
  <c r="E8436" i="1"/>
  <c r="G8436" i="1"/>
  <c r="K8436" i="1"/>
  <c r="A8437" i="1"/>
  <c r="B8437" i="1"/>
  <c r="C8437" i="1"/>
  <c r="E8437" i="1"/>
  <c r="G8437" i="1"/>
  <c r="K8437" i="1"/>
  <c r="A8438" i="1"/>
  <c r="B8438" i="1"/>
  <c r="C8438" i="1"/>
  <c r="E8438" i="1"/>
  <c r="G8438" i="1"/>
  <c r="K8438" i="1"/>
  <c r="A8439" i="1"/>
  <c r="B8439" i="1"/>
  <c r="C8439" i="1"/>
  <c r="E8439" i="1"/>
  <c r="G8439" i="1"/>
  <c r="K8439" i="1"/>
  <c r="A8440" i="1"/>
  <c r="B8440" i="1"/>
  <c r="C8440" i="1"/>
  <c r="E8440" i="1"/>
  <c r="G8440" i="1"/>
  <c r="K8440" i="1"/>
  <c r="A8441" i="1"/>
  <c r="B8441" i="1"/>
  <c r="C8441" i="1"/>
  <c r="E8441" i="1"/>
  <c r="G8441" i="1"/>
  <c r="K8441" i="1"/>
  <c r="A8442" i="1"/>
  <c r="B8442" i="1"/>
  <c r="C8442" i="1"/>
  <c r="E8442" i="1"/>
  <c r="G8442" i="1"/>
  <c r="K8442" i="1"/>
  <c r="A8443" i="1"/>
  <c r="B8443" i="1"/>
  <c r="C8443" i="1"/>
  <c r="E8443" i="1"/>
  <c r="G8443" i="1"/>
  <c r="K8443" i="1"/>
  <c r="A8444" i="1"/>
  <c r="B8444" i="1"/>
  <c r="C8444" i="1"/>
  <c r="E8444" i="1"/>
  <c r="G8444" i="1"/>
  <c r="K8444" i="1"/>
  <c r="A8445" i="1"/>
  <c r="B8445" i="1"/>
  <c r="C8445" i="1"/>
  <c r="E8445" i="1"/>
  <c r="G8445" i="1"/>
  <c r="K8445" i="1"/>
  <c r="A8446" i="1"/>
  <c r="B8446" i="1"/>
  <c r="C8446" i="1"/>
  <c r="E8446" i="1"/>
  <c r="G8446" i="1"/>
  <c r="K8446" i="1"/>
  <c r="A8447" i="1"/>
  <c r="B8447" i="1"/>
  <c r="C8447" i="1"/>
  <c r="E8447" i="1"/>
  <c r="G8447" i="1"/>
  <c r="K8447" i="1"/>
  <c r="A8448" i="1"/>
  <c r="B8448" i="1"/>
  <c r="C8448" i="1"/>
  <c r="E8448" i="1"/>
  <c r="G8448" i="1"/>
  <c r="K8448" i="1"/>
  <c r="A8449" i="1"/>
  <c r="B8449" i="1"/>
  <c r="C8449" i="1"/>
  <c r="E8449" i="1"/>
  <c r="G8449" i="1"/>
  <c r="K8449" i="1"/>
  <c r="A8450" i="1"/>
  <c r="B8450" i="1"/>
  <c r="C8450" i="1"/>
  <c r="E8450" i="1"/>
  <c r="G8450" i="1"/>
  <c r="K8450" i="1"/>
  <c r="A8451" i="1"/>
  <c r="B8451" i="1"/>
  <c r="C8451" i="1"/>
  <c r="E8451" i="1"/>
  <c r="G8451" i="1"/>
  <c r="K8451" i="1"/>
  <c r="A8452" i="1"/>
  <c r="B8452" i="1"/>
  <c r="C8452" i="1"/>
  <c r="E8452" i="1"/>
  <c r="G8452" i="1"/>
  <c r="K8452" i="1"/>
  <c r="A8453" i="1"/>
  <c r="B8453" i="1"/>
  <c r="C8453" i="1"/>
  <c r="E8453" i="1"/>
  <c r="G8453" i="1"/>
  <c r="K8453" i="1"/>
  <c r="A8454" i="1"/>
  <c r="B8454" i="1"/>
  <c r="C8454" i="1"/>
  <c r="E8454" i="1"/>
  <c r="G8454" i="1"/>
  <c r="K8454" i="1"/>
  <c r="A8455" i="1"/>
  <c r="B8455" i="1"/>
  <c r="C8455" i="1"/>
  <c r="E8455" i="1"/>
  <c r="G8455" i="1"/>
  <c r="K8455" i="1"/>
  <c r="A8456" i="1"/>
  <c r="B8456" i="1"/>
  <c r="C8456" i="1"/>
  <c r="E8456" i="1"/>
  <c r="G8456" i="1"/>
  <c r="K8456" i="1"/>
  <c r="A8457" i="1"/>
  <c r="B8457" i="1"/>
  <c r="C8457" i="1"/>
  <c r="E8457" i="1"/>
  <c r="G8457" i="1"/>
  <c r="K8457" i="1"/>
  <c r="A8458" i="1"/>
  <c r="B8458" i="1"/>
  <c r="C8458" i="1"/>
  <c r="E8458" i="1"/>
  <c r="G8458" i="1"/>
  <c r="K8458" i="1"/>
  <c r="A8459" i="1"/>
  <c r="B8459" i="1"/>
  <c r="C8459" i="1"/>
  <c r="E8459" i="1"/>
  <c r="G8459" i="1"/>
  <c r="K8459" i="1"/>
  <c r="A8460" i="1"/>
  <c r="B8460" i="1"/>
  <c r="C8460" i="1"/>
  <c r="E8460" i="1"/>
  <c r="G8460" i="1"/>
  <c r="K8460" i="1"/>
  <c r="A8461" i="1"/>
  <c r="B8461" i="1"/>
  <c r="C8461" i="1"/>
  <c r="E8461" i="1"/>
  <c r="G8461" i="1"/>
  <c r="K8461" i="1"/>
  <c r="A8462" i="1"/>
  <c r="B8462" i="1"/>
  <c r="C8462" i="1"/>
  <c r="E8462" i="1"/>
  <c r="G8462" i="1"/>
  <c r="K8462" i="1"/>
  <c r="A8463" i="1"/>
  <c r="B8463" i="1"/>
  <c r="C8463" i="1"/>
  <c r="E8463" i="1"/>
  <c r="G8463" i="1"/>
  <c r="K8463" i="1"/>
  <c r="A8464" i="1"/>
  <c r="B8464" i="1"/>
  <c r="C8464" i="1"/>
  <c r="E8464" i="1"/>
  <c r="G8464" i="1"/>
  <c r="K8464" i="1"/>
  <c r="A8465" i="1"/>
  <c r="B8465" i="1"/>
  <c r="C8465" i="1"/>
  <c r="E8465" i="1"/>
  <c r="G8465" i="1"/>
  <c r="K8465" i="1"/>
  <c r="A8466" i="1"/>
  <c r="B8466" i="1"/>
  <c r="C8466" i="1"/>
  <c r="E8466" i="1"/>
  <c r="G8466" i="1"/>
  <c r="K8466" i="1"/>
  <c r="A8467" i="1"/>
  <c r="B8467" i="1"/>
  <c r="C8467" i="1"/>
  <c r="E8467" i="1"/>
  <c r="G8467" i="1"/>
  <c r="K8467" i="1"/>
  <c r="A8468" i="1"/>
  <c r="B8468" i="1"/>
  <c r="C8468" i="1"/>
  <c r="E8468" i="1"/>
  <c r="G8468" i="1"/>
  <c r="K8468" i="1"/>
  <c r="A8469" i="1"/>
  <c r="B8469" i="1"/>
  <c r="C8469" i="1"/>
  <c r="E8469" i="1"/>
  <c r="G8469" i="1"/>
  <c r="K8469" i="1"/>
  <c r="A8470" i="1"/>
  <c r="B8470" i="1"/>
  <c r="C8470" i="1"/>
  <c r="E8470" i="1"/>
  <c r="G8470" i="1"/>
  <c r="K8470" i="1"/>
  <c r="A8471" i="1"/>
  <c r="B8471" i="1"/>
  <c r="C8471" i="1"/>
  <c r="E8471" i="1"/>
  <c r="G8471" i="1"/>
  <c r="K8471" i="1"/>
  <c r="A8472" i="1"/>
  <c r="B8472" i="1"/>
  <c r="C8472" i="1"/>
  <c r="E8472" i="1"/>
  <c r="G8472" i="1"/>
  <c r="K8472" i="1"/>
  <c r="A8473" i="1"/>
  <c r="B8473" i="1"/>
  <c r="C8473" i="1"/>
  <c r="E8473" i="1"/>
  <c r="G8473" i="1"/>
  <c r="K8473" i="1"/>
  <c r="A8474" i="1"/>
  <c r="B8474" i="1"/>
  <c r="C8474" i="1"/>
  <c r="E8474" i="1"/>
  <c r="G8474" i="1"/>
  <c r="K8474" i="1"/>
  <c r="A8475" i="1"/>
  <c r="B8475" i="1"/>
  <c r="C8475" i="1"/>
  <c r="E8475" i="1"/>
  <c r="G8475" i="1"/>
  <c r="K8475" i="1"/>
  <c r="A8476" i="1"/>
  <c r="B8476" i="1"/>
  <c r="C8476" i="1"/>
  <c r="E8476" i="1"/>
  <c r="G8476" i="1"/>
  <c r="K8476" i="1"/>
  <c r="A8477" i="1"/>
  <c r="B8477" i="1"/>
  <c r="C8477" i="1"/>
  <c r="E8477" i="1"/>
  <c r="G8477" i="1"/>
  <c r="K8477" i="1"/>
  <c r="A8478" i="1"/>
  <c r="B8478" i="1"/>
  <c r="C8478" i="1"/>
  <c r="E8478" i="1"/>
  <c r="G8478" i="1"/>
  <c r="K8478" i="1"/>
  <c r="A8479" i="1"/>
  <c r="B8479" i="1"/>
  <c r="C8479" i="1"/>
  <c r="E8479" i="1"/>
  <c r="G8479" i="1"/>
  <c r="K8479" i="1"/>
  <c r="A8480" i="1"/>
  <c r="B8480" i="1"/>
  <c r="C8480" i="1"/>
  <c r="E8480" i="1"/>
  <c r="G8480" i="1"/>
  <c r="K8480" i="1"/>
  <c r="A8481" i="1"/>
  <c r="B8481" i="1"/>
  <c r="C8481" i="1"/>
  <c r="E8481" i="1"/>
  <c r="G8481" i="1"/>
  <c r="K8481" i="1"/>
  <c r="A8482" i="1"/>
  <c r="B8482" i="1"/>
  <c r="C8482" i="1"/>
  <c r="E8482" i="1"/>
  <c r="G8482" i="1"/>
  <c r="K8482" i="1"/>
  <c r="A8483" i="1"/>
  <c r="B8483" i="1"/>
  <c r="C8483" i="1"/>
  <c r="E8483" i="1"/>
  <c r="G8483" i="1"/>
  <c r="K8483" i="1"/>
  <c r="A8484" i="1"/>
  <c r="B8484" i="1"/>
  <c r="C8484" i="1"/>
  <c r="E8484" i="1"/>
  <c r="G8484" i="1"/>
  <c r="K8484" i="1"/>
  <c r="A8485" i="1"/>
  <c r="B8485" i="1"/>
  <c r="C8485" i="1"/>
  <c r="E8485" i="1"/>
  <c r="G8485" i="1"/>
  <c r="K8485" i="1"/>
  <c r="A8486" i="1"/>
  <c r="B8486" i="1"/>
  <c r="C8486" i="1"/>
  <c r="E8486" i="1"/>
  <c r="G8486" i="1"/>
  <c r="K8486" i="1"/>
  <c r="A8487" i="1"/>
  <c r="B8487" i="1"/>
  <c r="C8487" i="1"/>
  <c r="E8487" i="1"/>
  <c r="G8487" i="1"/>
  <c r="K8487" i="1"/>
  <c r="A8488" i="1"/>
  <c r="B8488" i="1"/>
  <c r="C8488" i="1"/>
  <c r="E8488" i="1"/>
  <c r="G8488" i="1"/>
  <c r="K8488" i="1"/>
  <c r="A8489" i="1"/>
  <c r="B8489" i="1"/>
  <c r="C8489" i="1"/>
  <c r="E8489" i="1"/>
  <c r="G8489" i="1"/>
  <c r="K8489" i="1"/>
  <c r="A8490" i="1"/>
  <c r="B8490" i="1"/>
  <c r="C8490" i="1"/>
  <c r="E8490" i="1"/>
  <c r="G8490" i="1"/>
  <c r="K8490" i="1"/>
  <c r="A8491" i="1"/>
  <c r="B8491" i="1"/>
  <c r="C8491" i="1"/>
  <c r="E8491" i="1"/>
  <c r="G8491" i="1"/>
  <c r="K8491" i="1"/>
  <c r="A8492" i="1"/>
  <c r="B8492" i="1"/>
  <c r="C8492" i="1"/>
  <c r="E8492" i="1"/>
  <c r="G8492" i="1"/>
  <c r="K8492" i="1"/>
  <c r="A8493" i="1"/>
  <c r="B8493" i="1"/>
  <c r="C8493" i="1"/>
  <c r="E8493" i="1"/>
  <c r="G8493" i="1"/>
  <c r="K8493" i="1"/>
  <c r="A8494" i="1"/>
  <c r="B8494" i="1"/>
  <c r="C8494" i="1"/>
  <c r="E8494" i="1"/>
  <c r="G8494" i="1"/>
  <c r="K8494" i="1"/>
  <c r="A8495" i="1"/>
  <c r="B8495" i="1"/>
  <c r="C8495" i="1"/>
  <c r="E8495" i="1"/>
  <c r="G8495" i="1"/>
  <c r="K8495" i="1"/>
  <c r="A8496" i="1"/>
  <c r="B8496" i="1"/>
  <c r="C8496" i="1"/>
  <c r="E8496" i="1"/>
  <c r="G8496" i="1"/>
  <c r="K8496" i="1"/>
  <c r="A8497" i="1"/>
  <c r="B8497" i="1"/>
  <c r="C8497" i="1"/>
  <c r="E8497" i="1"/>
  <c r="G8497" i="1"/>
  <c r="K8497" i="1"/>
  <c r="A8498" i="1"/>
  <c r="B8498" i="1"/>
  <c r="C8498" i="1"/>
  <c r="E8498" i="1"/>
  <c r="G8498" i="1"/>
  <c r="K8498" i="1"/>
  <c r="A8499" i="1"/>
  <c r="B8499" i="1"/>
  <c r="C8499" i="1"/>
  <c r="E8499" i="1"/>
  <c r="G8499" i="1"/>
  <c r="K8499" i="1"/>
  <c r="A8500" i="1"/>
  <c r="B8500" i="1"/>
  <c r="C8500" i="1"/>
  <c r="E8500" i="1"/>
  <c r="G8500" i="1"/>
  <c r="K8500" i="1"/>
  <c r="A8501" i="1"/>
  <c r="B8501" i="1"/>
  <c r="C8501" i="1"/>
  <c r="E8501" i="1"/>
  <c r="G8501" i="1"/>
  <c r="K8501" i="1"/>
  <c r="A8502" i="1"/>
  <c r="B8502" i="1"/>
  <c r="C8502" i="1"/>
  <c r="E8502" i="1"/>
  <c r="G8502" i="1"/>
  <c r="K8502" i="1"/>
  <c r="A8503" i="1"/>
  <c r="B8503" i="1"/>
  <c r="C8503" i="1"/>
  <c r="E8503" i="1"/>
  <c r="G8503" i="1"/>
  <c r="K8503" i="1"/>
  <c r="A8504" i="1"/>
  <c r="B8504" i="1"/>
  <c r="C8504" i="1"/>
  <c r="E8504" i="1"/>
  <c r="G8504" i="1"/>
  <c r="K8504" i="1"/>
  <c r="A8505" i="1"/>
  <c r="B8505" i="1"/>
  <c r="C8505" i="1"/>
  <c r="E8505" i="1"/>
  <c r="G8505" i="1"/>
  <c r="K8505" i="1"/>
  <c r="A8506" i="1"/>
  <c r="B8506" i="1"/>
  <c r="C8506" i="1"/>
  <c r="E8506" i="1"/>
  <c r="G8506" i="1"/>
  <c r="K8506" i="1"/>
  <c r="A8507" i="1"/>
  <c r="B8507" i="1"/>
  <c r="C8507" i="1"/>
  <c r="E8507" i="1"/>
  <c r="G8507" i="1"/>
  <c r="K8507" i="1"/>
  <c r="A8508" i="1"/>
  <c r="B8508" i="1"/>
  <c r="C8508" i="1"/>
  <c r="E8508" i="1"/>
  <c r="G8508" i="1"/>
  <c r="K8508" i="1"/>
  <c r="A8509" i="1"/>
  <c r="B8509" i="1"/>
  <c r="C8509" i="1"/>
  <c r="E8509" i="1"/>
  <c r="G8509" i="1"/>
  <c r="K8509" i="1"/>
  <c r="A8510" i="1"/>
  <c r="B8510" i="1"/>
  <c r="C8510" i="1"/>
  <c r="E8510" i="1"/>
  <c r="G8510" i="1"/>
  <c r="K8510" i="1"/>
  <c r="A8511" i="1"/>
  <c r="B8511" i="1"/>
  <c r="C8511" i="1"/>
  <c r="E8511" i="1"/>
  <c r="G8511" i="1"/>
  <c r="K8511" i="1"/>
  <c r="A8512" i="1"/>
  <c r="B8512" i="1"/>
  <c r="C8512" i="1"/>
  <c r="E8512" i="1"/>
  <c r="G8512" i="1"/>
  <c r="K8512" i="1"/>
  <c r="A8513" i="1"/>
  <c r="B8513" i="1"/>
  <c r="C8513" i="1"/>
  <c r="E8513" i="1"/>
  <c r="G8513" i="1"/>
  <c r="K8513" i="1"/>
  <c r="A8514" i="1"/>
  <c r="B8514" i="1"/>
  <c r="C8514" i="1"/>
  <c r="E8514" i="1"/>
  <c r="G8514" i="1"/>
  <c r="K8514" i="1"/>
  <c r="A8515" i="1"/>
  <c r="B8515" i="1"/>
  <c r="C8515" i="1"/>
  <c r="E8515" i="1"/>
  <c r="G8515" i="1"/>
  <c r="K8515" i="1"/>
  <c r="A8516" i="1"/>
  <c r="B8516" i="1"/>
  <c r="C8516" i="1"/>
  <c r="E8516" i="1"/>
  <c r="G8516" i="1"/>
  <c r="K8516" i="1"/>
  <c r="A8517" i="1"/>
  <c r="B8517" i="1"/>
  <c r="C8517" i="1"/>
  <c r="E8517" i="1"/>
  <c r="G8517" i="1"/>
  <c r="K8517" i="1"/>
  <c r="A8518" i="1"/>
  <c r="B8518" i="1"/>
  <c r="C8518" i="1"/>
  <c r="E8518" i="1"/>
  <c r="G8518" i="1"/>
  <c r="K8518" i="1"/>
  <c r="A8519" i="1"/>
  <c r="B8519" i="1"/>
  <c r="C8519" i="1"/>
  <c r="E8519" i="1"/>
  <c r="G8519" i="1"/>
  <c r="K8519" i="1"/>
  <c r="A8520" i="1"/>
  <c r="B8520" i="1"/>
  <c r="C8520" i="1"/>
  <c r="E8520" i="1"/>
  <c r="G8520" i="1"/>
  <c r="K8520" i="1"/>
  <c r="A8521" i="1"/>
  <c r="B8521" i="1"/>
  <c r="C8521" i="1"/>
  <c r="E8521" i="1"/>
  <c r="G8521" i="1"/>
  <c r="K8521" i="1"/>
  <c r="A8522" i="1"/>
  <c r="B8522" i="1"/>
  <c r="C8522" i="1"/>
  <c r="E8522" i="1"/>
  <c r="G8522" i="1"/>
  <c r="K8522" i="1"/>
  <c r="A8523" i="1"/>
  <c r="B8523" i="1"/>
  <c r="C8523" i="1"/>
  <c r="E8523" i="1"/>
  <c r="G8523" i="1"/>
  <c r="K8523" i="1"/>
  <c r="A8524" i="1"/>
  <c r="B8524" i="1"/>
  <c r="C8524" i="1"/>
  <c r="E8524" i="1"/>
  <c r="G8524" i="1"/>
  <c r="K8524" i="1"/>
  <c r="A8525" i="1"/>
  <c r="B8525" i="1"/>
  <c r="C8525" i="1"/>
  <c r="E8525" i="1"/>
  <c r="G8525" i="1"/>
  <c r="K8525" i="1"/>
  <c r="A8526" i="1"/>
  <c r="B8526" i="1"/>
  <c r="C8526" i="1"/>
  <c r="E8526" i="1"/>
  <c r="G8526" i="1"/>
  <c r="K8526" i="1"/>
  <c r="A8527" i="1"/>
  <c r="B8527" i="1"/>
  <c r="C8527" i="1"/>
  <c r="E8527" i="1"/>
  <c r="G8527" i="1"/>
  <c r="K8527" i="1"/>
  <c r="A8528" i="1"/>
  <c r="B8528" i="1"/>
  <c r="C8528" i="1"/>
  <c r="E8528" i="1"/>
  <c r="G8528" i="1"/>
  <c r="K8528" i="1"/>
  <c r="A8529" i="1"/>
  <c r="B8529" i="1"/>
  <c r="C8529" i="1"/>
  <c r="E8529" i="1"/>
  <c r="G8529" i="1"/>
  <c r="K8529" i="1"/>
  <c r="A8530" i="1"/>
  <c r="B8530" i="1"/>
  <c r="C8530" i="1"/>
  <c r="E8530" i="1"/>
  <c r="G8530" i="1"/>
  <c r="K8530" i="1"/>
  <c r="A8531" i="1"/>
  <c r="B8531" i="1"/>
  <c r="C8531" i="1"/>
  <c r="E8531" i="1"/>
  <c r="G8531" i="1"/>
  <c r="K8531" i="1"/>
  <c r="A8532" i="1"/>
  <c r="B8532" i="1"/>
  <c r="C8532" i="1"/>
  <c r="E8532" i="1"/>
  <c r="G8532" i="1"/>
  <c r="K8532" i="1"/>
  <c r="A8533" i="1"/>
  <c r="B8533" i="1"/>
  <c r="C8533" i="1"/>
  <c r="E8533" i="1"/>
  <c r="G8533" i="1"/>
  <c r="K8533" i="1"/>
  <c r="A8534" i="1"/>
  <c r="B8534" i="1"/>
  <c r="C8534" i="1"/>
  <c r="E8534" i="1"/>
  <c r="G8534" i="1"/>
  <c r="K8534" i="1"/>
  <c r="A8535" i="1"/>
  <c r="B8535" i="1"/>
  <c r="C8535" i="1"/>
  <c r="E8535" i="1"/>
  <c r="G8535" i="1"/>
  <c r="K8535" i="1"/>
  <c r="A8536" i="1"/>
  <c r="B8536" i="1"/>
  <c r="C8536" i="1"/>
  <c r="E8536" i="1"/>
  <c r="G8536" i="1"/>
  <c r="K8536" i="1"/>
  <c r="A8537" i="1"/>
  <c r="B8537" i="1"/>
  <c r="C8537" i="1"/>
  <c r="E8537" i="1"/>
  <c r="G8537" i="1"/>
  <c r="K8537" i="1"/>
  <c r="A8538" i="1"/>
  <c r="B8538" i="1"/>
  <c r="C8538" i="1"/>
  <c r="E8538" i="1"/>
  <c r="G8538" i="1"/>
  <c r="K8538" i="1"/>
  <c r="A8539" i="1"/>
  <c r="B8539" i="1"/>
  <c r="C8539" i="1"/>
  <c r="E8539" i="1"/>
  <c r="G8539" i="1"/>
  <c r="K8539" i="1"/>
  <c r="A8540" i="1"/>
  <c r="B8540" i="1"/>
  <c r="C8540" i="1"/>
  <c r="E8540" i="1"/>
  <c r="G8540" i="1"/>
  <c r="K8540" i="1"/>
  <c r="A8541" i="1"/>
  <c r="B8541" i="1"/>
  <c r="C8541" i="1"/>
  <c r="E8541" i="1"/>
  <c r="G8541" i="1"/>
  <c r="K8541" i="1"/>
  <c r="A8542" i="1"/>
  <c r="B8542" i="1"/>
  <c r="C8542" i="1"/>
  <c r="E8542" i="1"/>
  <c r="G8542" i="1"/>
  <c r="K8542" i="1"/>
  <c r="A8543" i="1"/>
  <c r="B8543" i="1"/>
  <c r="C8543" i="1"/>
  <c r="E8543" i="1"/>
  <c r="G8543" i="1"/>
  <c r="K8543" i="1"/>
  <c r="A8544" i="1"/>
  <c r="B8544" i="1"/>
  <c r="C8544" i="1"/>
  <c r="E8544" i="1"/>
  <c r="G8544" i="1"/>
  <c r="K8544" i="1"/>
  <c r="A8545" i="1"/>
  <c r="B8545" i="1"/>
  <c r="C8545" i="1"/>
  <c r="E8545" i="1"/>
  <c r="G8545" i="1"/>
  <c r="K8545" i="1"/>
  <c r="A8546" i="1"/>
  <c r="B8546" i="1"/>
  <c r="C8546" i="1"/>
  <c r="E8546" i="1"/>
  <c r="G8546" i="1"/>
  <c r="K8546" i="1"/>
  <c r="A8547" i="1"/>
  <c r="B8547" i="1"/>
  <c r="C8547" i="1"/>
  <c r="E8547" i="1"/>
  <c r="G8547" i="1"/>
  <c r="K8547" i="1"/>
  <c r="A8548" i="1"/>
  <c r="B8548" i="1"/>
  <c r="C8548" i="1"/>
  <c r="E8548" i="1"/>
  <c r="G8548" i="1"/>
  <c r="K8548" i="1"/>
  <c r="A8549" i="1"/>
  <c r="B8549" i="1"/>
  <c r="C8549" i="1"/>
  <c r="E8549" i="1"/>
  <c r="G8549" i="1"/>
  <c r="K8549" i="1"/>
  <c r="A8550" i="1"/>
  <c r="B8550" i="1"/>
  <c r="C8550" i="1"/>
  <c r="E8550" i="1"/>
  <c r="G8550" i="1"/>
  <c r="K8550" i="1"/>
  <c r="A8551" i="1"/>
  <c r="B8551" i="1"/>
  <c r="C8551" i="1"/>
  <c r="E8551" i="1"/>
  <c r="G8551" i="1"/>
  <c r="K8551" i="1"/>
  <c r="A8552" i="1"/>
  <c r="B8552" i="1"/>
  <c r="C8552" i="1"/>
  <c r="E8552" i="1"/>
  <c r="G8552" i="1"/>
  <c r="K8552" i="1"/>
  <c r="A8553" i="1"/>
  <c r="B8553" i="1"/>
  <c r="C8553" i="1"/>
  <c r="E8553" i="1"/>
  <c r="G8553" i="1"/>
  <c r="K8553" i="1"/>
  <c r="A8554" i="1"/>
  <c r="B8554" i="1"/>
  <c r="C8554" i="1"/>
  <c r="E8554" i="1"/>
  <c r="G8554" i="1"/>
  <c r="K8554" i="1"/>
  <c r="A8555" i="1"/>
  <c r="B8555" i="1"/>
  <c r="C8555" i="1"/>
  <c r="E8555" i="1"/>
  <c r="G8555" i="1"/>
  <c r="K8555" i="1"/>
  <c r="A8556" i="1"/>
  <c r="B8556" i="1"/>
  <c r="C8556" i="1"/>
  <c r="E8556" i="1"/>
  <c r="G8556" i="1"/>
  <c r="K8556" i="1"/>
  <c r="A8557" i="1"/>
  <c r="B8557" i="1"/>
  <c r="C8557" i="1"/>
  <c r="E8557" i="1"/>
  <c r="G8557" i="1"/>
  <c r="K8557" i="1"/>
  <c r="A8558" i="1"/>
  <c r="B8558" i="1"/>
  <c r="C8558" i="1"/>
  <c r="E8558" i="1"/>
  <c r="G8558" i="1"/>
  <c r="K8558" i="1"/>
  <c r="A8559" i="1"/>
  <c r="B8559" i="1"/>
  <c r="C8559" i="1"/>
  <c r="E8559" i="1"/>
  <c r="G8559" i="1"/>
  <c r="K8559" i="1"/>
  <c r="A8560" i="1"/>
  <c r="B8560" i="1"/>
  <c r="C8560" i="1"/>
  <c r="E8560" i="1"/>
  <c r="G8560" i="1"/>
  <c r="K8560" i="1"/>
  <c r="A8561" i="1"/>
  <c r="B8561" i="1"/>
  <c r="C8561" i="1"/>
  <c r="E8561" i="1"/>
  <c r="G8561" i="1"/>
  <c r="K8561" i="1"/>
  <c r="A8562" i="1"/>
  <c r="B8562" i="1"/>
  <c r="C8562" i="1"/>
  <c r="E8562" i="1"/>
  <c r="G8562" i="1"/>
  <c r="K8562" i="1"/>
  <c r="A8563" i="1"/>
  <c r="B8563" i="1"/>
  <c r="C8563" i="1"/>
  <c r="E8563" i="1"/>
  <c r="G8563" i="1"/>
  <c r="K8563" i="1"/>
  <c r="A8564" i="1"/>
  <c r="B8564" i="1"/>
  <c r="C8564" i="1"/>
  <c r="E8564" i="1"/>
  <c r="G8564" i="1"/>
  <c r="K8564" i="1"/>
  <c r="A8565" i="1"/>
  <c r="B8565" i="1"/>
  <c r="C8565" i="1"/>
  <c r="E8565" i="1"/>
  <c r="G8565" i="1"/>
  <c r="K8565" i="1"/>
  <c r="A8566" i="1"/>
  <c r="B8566" i="1"/>
  <c r="C8566" i="1"/>
  <c r="E8566" i="1"/>
  <c r="G8566" i="1"/>
  <c r="K8566" i="1"/>
  <c r="A8567" i="1"/>
  <c r="B8567" i="1"/>
  <c r="C8567" i="1"/>
  <c r="E8567" i="1"/>
  <c r="G8567" i="1"/>
  <c r="K8567" i="1"/>
  <c r="A8568" i="1"/>
  <c r="B8568" i="1"/>
  <c r="C8568" i="1"/>
  <c r="E8568" i="1"/>
  <c r="G8568" i="1"/>
  <c r="K8568" i="1"/>
  <c r="A8569" i="1"/>
  <c r="B8569" i="1"/>
  <c r="C8569" i="1"/>
  <c r="E8569" i="1"/>
  <c r="G8569" i="1"/>
  <c r="K8569" i="1"/>
  <c r="A8570" i="1"/>
  <c r="B8570" i="1"/>
  <c r="C8570" i="1"/>
  <c r="E8570" i="1"/>
  <c r="G8570" i="1"/>
  <c r="K8570" i="1"/>
  <c r="A8571" i="1"/>
  <c r="B8571" i="1"/>
  <c r="C8571" i="1"/>
  <c r="E8571" i="1"/>
  <c r="G8571" i="1"/>
  <c r="K8571" i="1"/>
  <c r="A8572" i="1"/>
  <c r="B8572" i="1"/>
  <c r="C8572" i="1"/>
  <c r="E8572" i="1"/>
  <c r="G8572" i="1"/>
  <c r="K8572" i="1"/>
  <c r="A8573" i="1"/>
  <c r="B8573" i="1"/>
  <c r="C8573" i="1"/>
  <c r="E8573" i="1"/>
  <c r="G8573" i="1"/>
  <c r="K8573" i="1"/>
  <c r="A8574" i="1"/>
  <c r="B8574" i="1"/>
  <c r="C8574" i="1"/>
  <c r="E8574" i="1"/>
  <c r="G8574" i="1"/>
  <c r="K8574" i="1"/>
  <c r="A8575" i="1"/>
  <c r="B8575" i="1"/>
  <c r="C8575" i="1"/>
  <c r="E8575" i="1"/>
  <c r="G8575" i="1"/>
  <c r="K8575" i="1"/>
  <c r="A8576" i="1"/>
  <c r="B8576" i="1"/>
  <c r="C8576" i="1"/>
  <c r="E8576" i="1"/>
  <c r="G8576" i="1"/>
  <c r="K8576" i="1"/>
  <c r="A8577" i="1"/>
  <c r="B8577" i="1"/>
  <c r="C8577" i="1"/>
  <c r="E8577" i="1"/>
  <c r="G8577" i="1"/>
  <c r="K8577" i="1"/>
  <c r="A8578" i="1"/>
  <c r="B8578" i="1"/>
  <c r="C8578" i="1"/>
  <c r="E8578" i="1"/>
  <c r="G8578" i="1"/>
  <c r="K8578" i="1"/>
  <c r="A8579" i="1"/>
  <c r="B8579" i="1"/>
  <c r="C8579" i="1"/>
  <c r="E8579" i="1"/>
  <c r="G8579" i="1"/>
  <c r="K8579" i="1"/>
  <c r="A8580" i="1"/>
  <c r="B8580" i="1"/>
  <c r="C8580" i="1"/>
  <c r="E8580" i="1"/>
  <c r="G8580" i="1"/>
  <c r="K8580" i="1"/>
  <c r="A8581" i="1"/>
  <c r="B8581" i="1"/>
  <c r="C8581" i="1"/>
  <c r="E8581" i="1"/>
  <c r="G8581" i="1"/>
  <c r="K8581" i="1"/>
  <c r="A8582" i="1"/>
  <c r="B8582" i="1"/>
  <c r="C8582" i="1"/>
  <c r="E8582" i="1"/>
  <c r="G8582" i="1"/>
  <c r="K8582" i="1"/>
  <c r="A8583" i="1"/>
  <c r="B8583" i="1"/>
  <c r="C8583" i="1"/>
  <c r="E8583" i="1"/>
  <c r="G8583" i="1"/>
  <c r="K8583" i="1"/>
  <c r="A8584" i="1"/>
  <c r="B8584" i="1"/>
  <c r="C8584" i="1"/>
  <c r="E8584" i="1"/>
  <c r="G8584" i="1"/>
  <c r="K8584" i="1"/>
  <c r="A8585" i="1"/>
  <c r="B8585" i="1"/>
  <c r="C8585" i="1"/>
  <c r="E8585" i="1"/>
  <c r="G8585" i="1"/>
  <c r="K8585" i="1"/>
  <c r="A8586" i="1"/>
  <c r="B8586" i="1"/>
  <c r="C8586" i="1"/>
  <c r="E8586" i="1"/>
  <c r="G8586" i="1"/>
  <c r="K8586" i="1"/>
  <c r="A8587" i="1"/>
  <c r="B8587" i="1"/>
  <c r="C8587" i="1"/>
  <c r="E8587" i="1"/>
  <c r="G8587" i="1"/>
  <c r="K8587" i="1"/>
  <c r="A8588" i="1"/>
  <c r="B8588" i="1"/>
  <c r="C8588" i="1"/>
  <c r="E8588" i="1"/>
  <c r="G8588" i="1"/>
  <c r="K8588" i="1"/>
  <c r="A8589" i="1"/>
  <c r="B8589" i="1"/>
  <c r="C8589" i="1"/>
  <c r="E8589" i="1"/>
  <c r="G8589" i="1"/>
  <c r="K8589" i="1"/>
  <c r="A8590" i="1"/>
  <c r="B8590" i="1"/>
  <c r="C8590" i="1"/>
  <c r="E8590" i="1"/>
  <c r="G8590" i="1"/>
  <c r="K8590" i="1"/>
  <c r="A8591" i="1"/>
  <c r="B8591" i="1"/>
  <c r="C8591" i="1"/>
  <c r="E8591" i="1"/>
  <c r="G8591" i="1"/>
  <c r="K8591" i="1"/>
  <c r="A8592" i="1"/>
  <c r="B8592" i="1"/>
  <c r="C8592" i="1"/>
  <c r="E8592" i="1"/>
  <c r="G8592" i="1"/>
  <c r="K8592" i="1"/>
  <c r="A8593" i="1"/>
  <c r="B8593" i="1"/>
  <c r="C8593" i="1"/>
  <c r="E8593" i="1"/>
  <c r="G8593" i="1"/>
  <c r="K8593" i="1"/>
  <c r="A8594" i="1"/>
  <c r="B8594" i="1"/>
  <c r="C8594" i="1"/>
  <c r="E8594" i="1"/>
  <c r="G8594" i="1"/>
  <c r="K8594" i="1"/>
  <c r="A8595" i="1"/>
  <c r="B8595" i="1"/>
  <c r="C8595" i="1"/>
  <c r="E8595" i="1"/>
  <c r="G8595" i="1"/>
  <c r="K8595" i="1"/>
  <c r="A8596" i="1"/>
  <c r="B8596" i="1"/>
  <c r="C8596" i="1"/>
  <c r="E8596" i="1"/>
  <c r="G8596" i="1"/>
  <c r="K8596" i="1"/>
  <c r="A8597" i="1"/>
  <c r="B8597" i="1"/>
  <c r="C8597" i="1"/>
  <c r="E8597" i="1"/>
  <c r="G8597" i="1"/>
  <c r="K8597" i="1"/>
  <c r="A8598" i="1"/>
  <c r="B8598" i="1"/>
  <c r="C8598" i="1"/>
  <c r="E8598" i="1"/>
  <c r="G8598" i="1"/>
  <c r="K8598" i="1"/>
  <c r="A8599" i="1"/>
  <c r="B8599" i="1"/>
  <c r="C8599" i="1"/>
  <c r="E8599" i="1"/>
  <c r="G8599" i="1"/>
  <c r="K8599" i="1"/>
  <c r="A8600" i="1"/>
  <c r="B8600" i="1"/>
  <c r="C8600" i="1"/>
  <c r="E8600" i="1"/>
  <c r="G8600" i="1"/>
  <c r="K8600" i="1"/>
  <c r="A8601" i="1"/>
  <c r="B8601" i="1"/>
  <c r="C8601" i="1"/>
  <c r="E8601" i="1"/>
  <c r="G8601" i="1"/>
  <c r="K8601" i="1"/>
  <c r="A8602" i="1"/>
  <c r="B8602" i="1"/>
  <c r="C8602" i="1"/>
  <c r="E8602" i="1"/>
  <c r="G8602" i="1"/>
  <c r="K8602" i="1"/>
  <c r="A8603" i="1"/>
  <c r="B8603" i="1"/>
  <c r="C8603" i="1"/>
  <c r="E8603" i="1"/>
  <c r="G8603" i="1"/>
  <c r="K8603" i="1"/>
  <c r="A8604" i="1"/>
  <c r="B8604" i="1"/>
  <c r="C8604" i="1"/>
  <c r="E8604" i="1"/>
  <c r="G8604" i="1"/>
  <c r="K8604" i="1"/>
  <c r="A8605" i="1"/>
  <c r="B8605" i="1"/>
  <c r="C8605" i="1"/>
  <c r="E8605" i="1"/>
  <c r="G8605" i="1"/>
  <c r="K8605" i="1"/>
  <c r="A8606" i="1"/>
  <c r="B8606" i="1"/>
  <c r="C8606" i="1"/>
  <c r="E8606" i="1"/>
  <c r="G8606" i="1"/>
  <c r="K8606" i="1"/>
  <c r="A8607" i="1"/>
  <c r="B8607" i="1"/>
  <c r="C8607" i="1"/>
  <c r="E8607" i="1"/>
  <c r="G8607" i="1"/>
  <c r="K8607" i="1"/>
  <c r="A8608" i="1"/>
  <c r="B8608" i="1"/>
  <c r="C8608" i="1"/>
  <c r="E8608" i="1"/>
  <c r="G8608" i="1"/>
  <c r="K8608" i="1"/>
  <c r="A8609" i="1"/>
  <c r="B8609" i="1"/>
  <c r="C8609" i="1"/>
  <c r="E8609" i="1"/>
  <c r="G8609" i="1"/>
  <c r="K8609" i="1"/>
  <c r="A8610" i="1"/>
  <c r="B8610" i="1"/>
  <c r="C8610" i="1"/>
  <c r="E8610" i="1"/>
  <c r="G8610" i="1"/>
  <c r="K8610" i="1"/>
  <c r="A8611" i="1"/>
  <c r="B8611" i="1"/>
  <c r="C8611" i="1"/>
  <c r="E8611" i="1"/>
  <c r="G8611" i="1"/>
  <c r="K8611" i="1"/>
  <c r="A8612" i="1"/>
  <c r="B8612" i="1"/>
  <c r="C8612" i="1"/>
  <c r="E8612" i="1"/>
  <c r="G8612" i="1"/>
  <c r="K8612" i="1"/>
  <c r="A8613" i="1"/>
  <c r="B8613" i="1"/>
  <c r="C8613" i="1"/>
  <c r="E8613" i="1"/>
  <c r="G8613" i="1"/>
  <c r="K8613" i="1"/>
  <c r="A8614" i="1"/>
  <c r="B8614" i="1"/>
  <c r="C8614" i="1"/>
  <c r="E8614" i="1"/>
  <c r="G8614" i="1"/>
  <c r="K8614" i="1"/>
  <c r="A8615" i="1"/>
  <c r="B8615" i="1"/>
  <c r="C8615" i="1"/>
  <c r="E8615" i="1"/>
  <c r="G8615" i="1"/>
  <c r="K8615" i="1"/>
  <c r="A8616" i="1"/>
  <c r="B8616" i="1"/>
  <c r="C8616" i="1"/>
  <c r="E8616" i="1"/>
  <c r="G8616" i="1"/>
  <c r="K8616" i="1"/>
  <c r="A8617" i="1"/>
  <c r="B8617" i="1"/>
  <c r="C8617" i="1"/>
  <c r="E8617" i="1"/>
  <c r="G8617" i="1"/>
  <c r="K8617" i="1"/>
  <c r="A8618" i="1"/>
  <c r="B8618" i="1"/>
  <c r="C8618" i="1"/>
  <c r="E8618" i="1"/>
  <c r="G8618" i="1"/>
  <c r="K8618" i="1"/>
  <c r="A8619" i="1"/>
  <c r="B8619" i="1"/>
  <c r="C8619" i="1"/>
  <c r="E8619" i="1"/>
  <c r="G8619" i="1"/>
  <c r="K8619" i="1"/>
  <c r="A8620" i="1"/>
  <c r="B8620" i="1"/>
  <c r="C8620" i="1"/>
  <c r="E8620" i="1"/>
  <c r="G8620" i="1"/>
  <c r="K8620" i="1"/>
  <c r="A8621" i="1"/>
  <c r="B8621" i="1"/>
  <c r="C8621" i="1"/>
  <c r="E8621" i="1"/>
  <c r="G8621" i="1"/>
  <c r="K8621" i="1"/>
  <c r="A8622" i="1"/>
  <c r="B8622" i="1"/>
  <c r="C8622" i="1"/>
  <c r="E8622" i="1"/>
  <c r="G8622" i="1"/>
  <c r="K8622" i="1"/>
  <c r="A8623" i="1"/>
  <c r="B8623" i="1"/>
  <c r="C8623" i="1"/>
  <c r="E8623" i="1"/>
  <c r="G8623" i="1"/>
  <c r="K8623" i="1"/>
  <c r="A8624" i="1"/>
  <c r="B8624" i="1"/>
  <c r="C8624" i="1"/>
  <c r="E8624" i="1"/>
  <c r="G8624" i="1"/>
  <c r="K8624" i="1"/>
  <c r="A8625" i="1"/>
  <c r="B8625" i="1"/>
  <c r="C8625" i="1"/>
  <c r="E8625" i="1"/>
  <c r="G8625" i="1"/>
  <c r="K8625" i="1"/>
  <c r="A8626" i="1"/>
  <c r="B8626" i="1"/>
  <c r="C8626" i="1"/>
  <c r="E8626" i="1"/>
  <c r="G8626" i="1"/>
  <c r="K8626" i="1"/>
  <c r="A8627" i="1"/>
  <c r="B8627" i="1"/>
  <c r="C8627" i="1"/>
  <c r="E8627" i="1"/>
  <c r="G8627" i="1"/>
  <c r="K8627" i="1"/>
  <c r="A8628" i="1"/>
  <c r="B8628" i="1"/>
  <c r="C8628" i="1"/>
  <c r="E8628" i="1"/>
  <c r="G8628" i="1"/>
  <c r="K8628" i="1"/>
  <c r="A8629" i="1"/>
  <c r="B8629" i="1"/>
  <c r="C8629" i="1"/>
  <c r="E8629" i="1"/>
  <c r="G8629" i="1"/>
  <c r="K8629" i="1"/>
  <c r="A8630" i="1"/>
  <c r="B8630" i="1"/>
  <c r="C8630" i="1"/>
  <c r="E8630" i="1"/>
  <c r="G8630" i="1"/>
  <c r="K8630" i="1"/>
  <c r="A8631" i="1"/>
  <c r="B8631" i="1"/>
  <c r="C8631" i="1"/>
  <c r="E8631" i="1"/>
  <c r="G8631" i="1"/>
  <c r="K8631" i="1"/>
  <c r="A8632" i="1"/>
  <c r="B8632" i="1"/>
  <c r="C8632" i="1"/>
  <c r="E8632" i="1"/>
  <c r="G8632" i="1"/>
  <c r="K8632" i="1"/>
  <c r="A8633" i="1"/>
  <c r="B8633" i="1"/>
  <c r="C8633" i="1"/>
  <c r="E8633" i="1"/>
  <c r="G8633" i="1"/>
  <c r="K8633" i="1"/>
  <c r="A8634" i="1"/>
  <c r="B8634" i="1"/>
  <c r="C8634" i="1"/>
  <c r="E8634" i="1"/>
  <c r="G8634" i="1"/>
  <c r="K8634" i="1"/>
  <c r="A8635" i="1"/>
  <c r="B8635" i="1"/>
  <c r="C8635" i="1"/>
  <c r="E8635" i="1"/>
  <c r="G8635" i="1"/>
  <c r="K8635" i="1"/>
  <c r="A8636" i="1"/>
  <c r="B8636" i="1"/>
  <c r="C8636" i="1"/>
  <c r="E8636" i="1"/>
  <c r="G8636" i="1"/>
  <c r="K8636" i="1"/>
  <c r="A8637" i="1"/>
  <c r="B8637" i="1"/>
  <c r="C8637" i="1"/>
  <c r="E8637" i="1"/>
  <c r="G8637" i="1"/>
  <c r="K8637" i="1"/>
  <c r="A8638" i="1"/>
  <c r="B8638" i="1"/>
  <c r="C8638" i="1"/>
  <c r="E8638" i="1"/>
  <c r="G8638" i="1"/>
  <c r="K8638" i="1"/>
  <c r="A8639" i="1"/>
  <c r="B8639" i="1"/>
  <c r="C8639" i="1"/>
  <c r="E8639" i="1"/>
  <c r="G8639" i="1"/>
  <c r="K8639" i="1"/>
  <c r="A8640" i="1"/>
  <c r="B8640" i="1"/>
  <c r="C8640" i="1"/>
  <c r="E8640" i="1"/>
  <c r="G8640" i="1"/>
  <c r="K8640" i="1"/>
  <c r="A8641" i="1"/>
  <c r="B8641" i="1"/>
  <c r="C8641" i="1"/>
  <c r="E8641" i="1"/>
  <c r="G8641" i="1"/>
  <c r="K8641" i="1"/>
  <c r="A8642" i="1"/>
  <c r="B8642" i="1"/>
  <c r="C8642" i="1"/>
  <c r="E8642" i="1"/>
  <c r="G8642" i="1"/>
  <c r="K8642" i="1"/>
  <c r="A8643" i="1"/>
  <c r="B8643" i="1"/>
  <c r="C8643" i="1"/>
  <c r="E8643" i="1"/>
  <c r="G8643" i="1"/>
  <c r="K8643" i="1"/>
  <c r="A8644" i="1"/>
  <c r="B8644" i="1"/>
  <c r="C8644" i="1"/>
  <c r="E8644" i="1"/>
  <c r="G8644" i="1"/>
  <c r="K8644" i="1"/>
  <c r="A8645" i="1"/>
  <c r="B8645" i="1"/>
  <c r="C8645" i="1"/>
  <c r="E8645" i="1"/>
  <c r="G8645" i="1"/>
  <c r="K8645" i="1"/>
  <c r="A8646" i="1"/>
  <c r="B8646" i="1"/>
  <c r="C8646" i="1"/>
  <c r="E8646" i="1"/>
  <c r="G8646" i="1"/>
  <c r="K8646" i="1"/>
  <c r="A8647" i="1"/>
  <c r="B8647" i="1"/>
  <c r="C8647" i="1"/>
  <c r="E8647" i="1"/>
  <c r="G8647" i="1"/>
  <c r="K8647" i="1"/>
  <c r="A8648" i="1"/>
  <c r="B8648" i="1"/>
  <c r="C8648" i="1"/>
  <c r="E8648" i="1"/>
  <c r="G8648" i="1"/>
  <c r="K8648" i="1"/>
  <c r="A8649" i="1"/>
  <c r="B8649" i="1"/>
  <c r="C8649" i="1"/>
  <c r="E8649" i="1"/>
  <c r="G8649" i="1"/>
  <c r="K8649" i="1"/>
  <c r="A8650" i="1"/>
  <c r="B8650" i="1"/>
  <c r="C8650" i="1"/>
  <c r="E8650" i="1"/>
  <c r="G8650" i="1"/>
  <c r="K8650" i="1"/>
  <c r="A8651" i="1"/>
  <c r="B8651" i="1"/>
  <c r="C8651" i="1"/>
  <c r="E8651" i="1"/>
  <c r="G8651" i="1"/>
  <c r="K8651" i="1"/>
  <c r="A8652" i="1"/>
  <c r="B8652" i="1"/>
  <c r="C8652" i="1"/>
  <c r="E8652" i="1"/>
  <c r="G8652" i="1"/>
  <c r="K8652" i="1"/>
  <c r="A8653" i="1"/>
  <c r="B8653" i="1"/>
  <c r="C8653" i="1"/>
  <c r="E8653" i="1"/>
  <c r="G8653" i="1"/>
  <c r="K8653" i="1"/>
  <c r="A8654" i="1"/>
  <c r="B8654" i="1"/>
  <c r="C8654" i="1"/>
  <c r="E8654" i="1"/>
  <c r="G8654" i="1"/>
  <c r="K8654" i="1"/>
  <c r="A8655" i="1"/>
  <c r="B8655" i="1"/>
  <c r="C8655" i="1"/>
  <c r="E8655" i="1"/>
  <c r="G8655" i="1"/>
  <c r="K8655" i="1"/>
  <c r="A8656" i="1"/>
  <c r="B8656" i="1"/>
  <c r="C8656" i="1"/>
  <c r="E8656" i="1"/>
  <c r="G8656" i="1"/>
  <c r="K8656" i="1"/>
  <c r="A8657" i="1"/>
  <c r="B8657" i="1"/>
  <c r="C8657" i="1"/>
  <c r="E8657" i="1"/>
  <c r="G8657" i="1"/>
  <c r="K8657" i="1"/>
  <c r="A8658" i="1"/>
  <c r="B8658" i="1"/>
  <c r="C8658" i="1"/>
  <c r="E8658" i="1"/>
  <c r="G8658" i="1"/>
  <c r="K8658" i="1"/>
  <c r="A8659" i="1"/>
  <c r="B8659" i="1"/>
  <c r="C8659" i="1"/>
  <c r="E8659" i="1"/>
  <c r="G8659" i="1"/>
  <c r="K8659" i="1"/>
  <c r="A8660" i="1"/>
  <c r="B8660" i="1"/>
  <c r="C8660" i="1"/>
  <c r="E8660" i="1"/>
  <c r="G8660" i="1"/>
  <c r="K8660" i="1"/>
  <c r="A8661" i="1"/>
  <c r="B8661" i="1"/>
  <c r="C8661" i="1"/>
  <c r="E8661" i="1"/>
  <c r="G8661" i="1"/>
  <c r="K8661" i="1"/>
  <c r="A8662" i="1"/>
  <c r="B8662" i="1"/>
  <c r="C8662" i="1"/>
  <c r="E8662" i="1"/>
  <c r="G8662" i="1"/>
  <c r="K8662" i="1"/>
  <c r="A8663" i="1"/>
  <c r="B8663" i="1"/>
  <c r="C8663" i="1"/>
  <c r="E8663" i="1"/>
  <c r="G8663" i="1"/>
  <c r="K8663" i="1"/>
  <c r="A8664" i="1"/>
  <c r="B8664" i="1"/>
  <c r="C8664" i="1"/>
  <c r="E8664" i="1"/>
  <c r="G8664" i="1"/>
  <c r="K8664" i="1"/>
  <c r="A8665" i="1"/>
  <c r="B8665" i="1"/>
  <c r="C8665" i="1"/>
  <c r="E8665" i="1"/>
  <c r="G8665" i="1"/>
  <c r="K8665" i="1"/>
  <c r="A8666" i="1"/>
  <c r="B8666" i="1"/>
  <c r="C8666" i="1"/>
  <c r="E8666" i="1"/>
  <c r="G8666" i="1"/>
  <c r="K8666" i="1"/>
  <c r="A8667" i="1"/>
  <c r="B8667" i="1"/>
  <c r="C8667" i="1"/>
  <c r="E8667" i="1"/>
  <c r="G8667" i="1"/>
  <c r="K8667" i="1"/>
  <c r="A8668" i="1"/>
  <c r="B8668" i="1"/>
  <c r="C8668" i="1"/>
  <c r="E8668" i="1"/>
  <c r="G8668" i="1"/>
  <c r="K8668" i="1"/>
  <c r="A8669" i="1"/>
  <c r="B8669" i="1"/>
  <c r="C8669" i="1"/>
  <c r="E8669" i="1"/>
  <c r="G8669" i="1"/>
  <c r="K8669" i="1"/>
  <c r="A8670" i="1"/>
  <c r="B8670" i="1"/>
  <c r="C8670" i="1"/>
  <c r="E8670" i="1"/>
  <c r="G8670" i="1"/>
  <c r="K8670" i="1"/>
  <c r="A8671" i="1"/>
  <c r="B8671" i="1"/>
  <c r="C8671" i="1"/>
  <c r="E8671" i="1"/>
  <c r="G8671" i="1"/>
  <c r="K8671" i="1"/>
  <c r="A8672" i="1"/>
  <c r="B8672" i="1"/>
  <c r="C8672" i="1"/>
  <c r="E8672" i="1"/>
  <c r="G8672" i="1"/>
  <c r="K8672" i="1"/>
  <c r="A8673" i="1"/>
  <c r="B8673" i="1"/>
  <c r="C8673" i="1"/>
  <c r="E8673" i="1"/>
  <c r="G8673" i="1"/>
  <c r="K8673" i="1"/>
  <c r="A8674" i="1"/>
  <c r="B8674" i="1"/>
  <c r="C8674" i="1"/>
  <c r="E8674" i="1"/>
  <c r="G8674" i="1"/>
  <c r="K8674" i="1"/>
  <c r="A8675" i="1"/>
  <c r="B8675" i="1"/>
  <c r="C8675" i="1"/>
  <c r="E8675" i="1"/>
  <c r="G8675" i="1"/>
  <c r="K8675" i="1"/>
  <c r="A8676" i="1"/>
  <c r="B8676" i="1"/>
  <c r="C8676" i="1"/>
  <c r="E8676" i="1"/>
  <c r="G8676" i="1"/>
  <c r="K8676" i="1"/>
  <c r="A8677" i="1"/>
  <c r="B8677" i="1"/>
  <c r="C8677" i="1"/>
  <c r="E8677" i="1"/>
  <c r="G8677" i="1"/>
  <c r="K8677" i="1"/>
  <c r="A8678" i="1"/>
  <c r="B8678" i="1"/>
  <c r="C8678" i="1"/>
  <c r="E8678" i="1"/>
  <c r="G8678" i="1"/>
  <c r="K8678" i="1"/>
  <c r="A8679" i="1"/>
  <c r="B8679" i="1"/>
  <c r="C8679" i="1"/>
  <c r="E8679" i="1"/>
  <c r="G8679" i="1"/>
  <c r="K8679" i="1"/>
  <c r="A8680" i="1"/>
  <c r="B8680" i="1"/>
  <c r="C8680" i="1"/>
  <c r="E8680" i="1"/>
  <c r="G8680" i="1"/>
  <c r="K8680" i="1"/>
  <c r="A8681" i="1"/>
  <c r="B8681" i="1"/>
  <c r="C8681" i="1"/>
  <c r="E8681" i="1"/>
  <c r="G8681" i="1"/>
  <c r="K8681" i="1"/>
  <c r="A8682" i="1"/>
  <c r="B8682" i="1"/>
  <c r="C8682" i="1"/>
  <c r="E8682" i="1"/>
  <c r="G8682" i="1"/>
  <c r="K8682" i="1"/>
  <c r="A8683" i="1"/>
  <c r="B8683" i="1"/>
  <c r="C8683" i="1"/>
  <c r="E8683" i="1"/>
  <c r="G8683" i="1"/>
  <c r="K8683" i="1"/>
  <c r="A8684" i="1"/>
  <c r="B8684" i="1"/>
  <c r="C8684" i="1"/>
  <c r="E8684" i="1"/>
  <c r="G8684" i="1"/>
  <c r="K8684" i="1"/>
  <c r="A8685" i="1"/>
  <c r="B8685" i="1"/>
  <c r="C8685" i="1"/>
  <c r="E8685" i="1"/>
  <c r="G8685" i="1"/>
  <c r="K8685" i="1"/>
  <c r="A8686" i="1"/>
  <c r="B8686" i="1"/>
  <c r="C8686" i="1"/>
  <c r="E8686" i="1"/>
  <c r="G8686" i="1"/>
  <c r="K8686" i="1"/>
  <c r="A8687" i="1"/>
  <c r="B8687" i="1"/>
  <c r="C8687" i="1"/>
  <c r="E8687" i="1"/>
  <c r="G8687" i="1"/>
  <c r="K8687" i="1"/>
  <c r="A8688" i="1"/>
  <c r="B8688" i="1"/>
  <c r="C8688" i="1"/>
  <c r="E8688" i="1"/>
  <c r="G8688" i="1"/>
  <c r="K8688" i="1"/>
  <c r="A8689" i="1"/>
  <c r="B8689" i="1"/>
  <c r="C8689" i="1"/>
  <c r="E8689" i="1"/>
  <c r="G8689" i="1"/>
  <c r="K8689" i="1"/>
  <c r="A8690" i="1"/>
  <c r="B8690" i="1"/>
  <c r="C8690" i="1"/>
  <c r="E8690" i="1"/>
  <c r="G8690" i="1"/>
  <c r="K8690" i="1"/>
  <c r="A8691" i="1"/>
  <c r="B8691" i="1"/>
  <c r="C8691" i="1"/>
  <c r="E8691" i="1"/>
  <c r="G8691" i="1"/>
  <c r="K8691" i="1"/>
  <c r="A8692" i="1"/>
  <c r="B8692" i="1"/>
  <c r="C8692" i="1"/>
  <c r="E8692" i="1"/>
  <c r="G8692" i="1"/>
  <c r="K8692" i="1"/>
  <c r="A8693" i="1"/>
  <c r="B8693" i="1"/>
  <c r="C8693" i="1"/>
  <c r="E8693" i="1"/>
  <c r="G8693" i="1"/>
  <c r="K8693" i="1"/>
  <c r="A8694" i="1"/>
  <c r="B8694" i="1"/>
  <c r="C8694" i="1"/>
  <c r="E8694" i="1"/>
  <c r="G8694" i="1"/>
  <c r="K8694" i="1"/>
  <c r="A8695" i="1"/>
  <c r="B8695" i="1"/>
  <c r="C8695" i="1"/>
  <c r="E8695" i="1"/>
  <c r="G8695" i="1"/>
  <c r="K8695" i="1"/>
  <c r="A8696" i="1"/>
  <c r="B8696" i="1"/>
  <c r="C8696" i="1"/>
  <c r="E8696" i="1"/>
  <c r="G8696" i="1"/>
  <c r="K8696" i="1"/>
  <c r="A8697" i="1"/>
  <c r="B8697" i="1"/>
  <c r="C8697" i="1"/>
  <c r="E8697" i="1"/>
  <c r="G8697" i="1"/>
  <c r="K8697" i="1"/>
  <c r="A8698" i="1"/>
  <c r="B8698" i="1"/>
  <c r="C8698" i="1"/>
  <c r="E8698" i="1"/>
  <c r="G8698" i="1"/>
  <c r="K8698" i="1"/>
  <c r="A8699" i="1"/>
  <c r="B8699" i="1"/>
  <c r="C8699" i="1"/>
  <c r="E8699" i="1"/>
  <c r="G8699" i="1"/>
  <c r="K8699" i="1"/>
  <c r="A8700" i="1"/>
  <c r="B8700" i="1"/>
  <c r="C8700" i="1"/>
  <c r="E8700" i="1"/>
  <c r="G8700" i="1"/>
  <c r="K8700" i="1"/>
  <c r="A8701" i="1"/>
  <c r="B8701" i="1"/>
  <c r="C8701" i="1"/>
  <c r="E8701" i="1"/>
  <c r="G8701" i="1"/>
  <c r="K8701" i="1"/>
  <c r="A8702" i="1"/>
  <c r="B8702" i="1"/>
  <c r="C8702" i="1"/>
  <c r="E8702" i="1"/>
  <c r="G8702" i="1"/>
  <c r="K8702" i="1"/>
  <c r="A8703" i="1"/>
  <c r="B8703" i="1"/>
  <c r="C8703" i="1"/>
  <c r="E8703" i="1"/>
  <c r="G8703" i="1"/>
  <c r="K8703" i="1"/>
  <c r="A8704" i="1"/>
  <c r="B8704" i="1"/>
  <c r="C8704" i="1"/>
  <c r="E8704" i="1"/>
  <c r="G8704" i="1"/>
  <c r="K8704" i="1"/>
  <c r="A8705" i="1"/>
  <c r="B8705" i="1"/>
  <c r="C8705" i="1"/>
  <c r="E8705" i="1"/>
  <c r="G8705" i="1"/>
  <c r="K8705" i="1"/>
  <c r="A8706" i="1"/>
  <c r="B8706" i="1"/>
  <c r="C8706" i="1"/>
  <c r="E8706" i="1"/>
  <c r="G8706" i="1"/>
  <c r="K8706" i="1"/>
  <c r="A8707" i="1"/>
  <c r="B8707" i="1"/>
  <c r="C8707" i="1"/>
  <c r="E8707" i="1"/>
  <c r="G8707" i="1"/>
  <c r="K8707" i="1"/>
  <c r="A8708" i="1"/>
  <c r="B8708" i="1"/>
  <c r="C8708" i="1"/>
  <c r="E8708" i="1"/>
  <c r="G8708" i="1"/>
  <c r="K8708" i="1"/>
  <c r="A8709" i="1"/>
  <c r="B8709" i="1"/>
  <c r="C8709" i="1"/>
  <c r="E8709" i="1"/>
  <c r="G8709" i="1"/>
  <c r="K8709" i="1"/>
  <c r="A8710" i="1"/>
  <c r="B8710" i="1"/>
  <c r="C8710" i="1"/>
  <c r="E8710" i="1"/>
  <c r="G8710" i="1"/>
  <c r="K8710" i="1"/>
  <c r="A8711" i="1"/>
  <c r="B8711" i="1"/>
  <c r="C8711" i="1"/>
  <c r="E8711" i="1"/>
  <c r="G8711" i="1"/>
  <c r="K8711" i="1"/>
  <c r="A8712" i="1"/>
  <c r="B8712" i="1"/>
  <c r="C8712" i="1"/>
  <c r="E8712" i="1"/>
  <c r="G8712" i="1"/>
  <c r="K8712" i="1"/>
  <c r="A8713" i="1"/>
  <c r="B8713" i="1"/>
  <c r="C8713" i="1"/>
  <c r="E8713" i="1"/>
  <c r="G8713" i="1"/>
  <c r="K8713" i="1"/>
  <c r="A8714" i="1"/>
  <c r="B8714" i="1"/>
  <c r="C8714" i="1"/>
  <c r="E8714" i="1"/>
  <c r="G8714" i="1"/>
  <c r="K8714" i="1"/>
  <c r="A8715" i="1"/>
  <c r="B8715" i="1"/>
  <c r="C8715" i="1"/>
  <c r="E8715" i="1"/>
  <c r="G8715" i="1"/>
  <c r="K8715" i="1"/>
  <c r="A8716" i="1"/>
  <c r="B8716" i="1"/>
  <c r="C8716" i="1"/>
  <c r="E8716" i="1"/>
  <c r="G8716" i="1"/>
  <c r="K8716" i="1"/>
  <c r="A8717" i="1"/>
  <c r="B8717" i="1"/>
  <c r="C8717" i="1"/>
  <c r="E8717" i="1"/>
  <c r="G8717" i="1"/>
  <c r="K8717" i="1"/>
  <c r="A8718" i="1"/>
  <c r="B8718" i="1"/>
  <c r="C8718" i="1"/>
  <c r="E8718" i="1"/>
  <c r="G8718" i="1"/>
  <c r="K8718" i="1"/>
  <c r="A8719" i="1"/>
  <c r="B8719" i="1"/>
  <c r="C8719" i="1"/>
  <c r="E8719" i="1"/>
  <c r="G8719" i="1"/>
  <c r="K8719" i="1"/>
  <c r="A8720" i="1"/>
  <c r="B8720" i="1"/>
  <c r="C8720" i="1"/>
  <c r="E8720" i="1"/>
  <c r="G8720" i="1"/>
  <c r="K8720" i="1"/>
  <c r="A8721" i="1"/>
  <c r="B8721" i="1"/>
  <c r="C8721" i="1"/>
  <c r="E8721" i="1"/>
  <c r="G8721" i="1"/>
  <c r="K8721" i="1"/>
  <c r="A8722" i="1"/>
  <c r="B8722" i="1"/>
  <c r="C8722" i="1"/>
  <c r="E8722" i="1"/>
  <c r="G8722" i="1"/>
  <c r="K8722" i="1"/>
  <c r="A8723" i="1"/>
  <c r="B8723" i="1"/>
  <c r="C8723" i="1"/>
  <c r="E8723" i="1"/>
  <c r="G8723" i="1"/>
  <c r="K8723" i="1"/>
  <c r="A8724" i="1"/>
  <c r="B8724" i="1"/>
  <c r="C8724" i="1"/>
  <c r="E8724" i="1"/>
  <c r="G8724" i="1"/>
  <c r="K8724" i="1"/>
  <c r="A8725" i="1"/>
  <c r="B8725" i="1"/>
  <c r="C8725" i="1"/>
  <c r="E8725" i="1"/>
  <c r="G8725" i="1"/>
  <c r="K8725" i="1"/>
  <c r="A8726" i="1"/>
  <c r="B8726" i="1"/>
  <c r="C8726" i="1"/>
  <c r="E8726" i="1"/>
  <c r="G8726" i="1"/>
  <c r="K8726" i="1"/>
  <c r="A8727" i="1"/>
  <c r="B8727" i="1"/>
  <c r="C8727" i="1"/>
  <c r="E8727" i="1"/>
  <c r="G8727" i="1"/>
  <c r="K8727" i="1"/>
  <c r="A8728" i="1"/>
  <c r="B8728" i="1"/>
  <c r="C8728" i="1"/>
  <c r="E8728" i="1"/>
  <c r="G8728" i="1"/>
  <c r="K8728" i="1"/>
  <c r="A8729" i="1"/>
  <c r="B8729" i="1"/>
  <c r="C8729" i="1"/>
  <c r="E8729" i="1"/>
  <c r="G8729" i="1"/>
  <c r="K8729" i="1"/>
  <c r="A8730" i="1"/>
  <c r="B8730" i="1"/>
  <c r="C8730" i="1"/>
  <c r="E8730" i="1"/>
  <c r="G8730" i="1"/>
  <c r="K8730" i="1"/>
  <c r="A8731" i="1"/>
  <c r="B8731" i="1"/>
  <c r="C8731" i="1"/>
  <c r="E8731" i="1"/>
  <c r="G8731" i="1"/>
  <c r="K8731" i="1"/>
  <c r="A8732" i="1"/>
  <c r="B8732" i="1"/>
  <c r="C8732" i="1"/>
  <c r="E8732" i="1"/>
  <c r="G8732" i="1"/>
  <c r="K8732" i="1"/>
  <c r="A8733" i="1"/>
  <c r="B8733" i="1"/>
  <c r="C8733" i="1"/>
  <c r="E8733" i="1"/>
  <c r="G8733" i="1"/>
  <c r="K8733" i="1"/>
  <c r="A8734" i="1"/>
  <c r="B8734" i="1"/>
  <c r="C8734" i="1"/>
  <c r="E8734" i="1"/>
  <c r="G8734" i="1"/>
  <c r="K8734" i="1"/>
  <c r="A8735" i="1"/>
  <c r="B8735" i="1"/>
  <c r="C8735" i="1"/>
  <c r="E8735" i="1"/>
  <c r="G8735" i="1"/>
  <c r="K8735" i="1"/>
  <c r="A8736" i="1"/>
  <c r="B8736" i="1"/>
  <c r="C8736" i="1"/>
  <c r="E8736" i="1"/>
  <c r="G8736" i="1"/>
  <c r="K8736" i="1"/>
  <c r="A8737" i="1"/>
  <c r="B8737" i="1"/>
  <c r="C8737" i="1"/>
  <c r="E8737" i="1"/>
  <c r="G8737" i="1"/>
  <c r="K8737" i="1"/>
  <c r="A8738" i="1"/>
  <c r="B8738" i="1"/>
  <c r="C8738" i="1"/>
  <c r="E8738" i="1"/>
  <c r="G8738" i="1"/>
  <c r="K8738" i="1"/>
  <c r="A8739" i="1"/>
  <c r="B8739" i="1"/>
  <c r="C8739" i="1"/>
  <c r="E8739" i="1"/>
  <c r="G8739" i="1"/>
  <c r="K8739" i="1"/>
  <c r="A8740" i="1"/>
  <c r="B8740" i="1"/>
  <c r="C8740" i="1"/>
  <c r="E8740" i="1"/>
  <c r="G8740" i="1"/>
  <c r="K8740" i="1"/>
  <c r="A8741" i="1"/>
  <c r="B8741" i="1"/>
  <c r="C8741" i="1"/>
  <c r="E8741" i="1"/>
  <c r="G8741" i="1"/>
  <c r="K8741" i="1"/>
  <c r="A8742" i="1"/>
  <c r="B8742" i="1"/>
  <c r="C8742" i="1"/>
  <c r="E8742" i="1"/>
  <c r="G8742" i="1"/>
  <c r="K8742" i="1"/>
  <c r="A8743" i="1"/>
  <c r="B8743" i="1"/>
  <c r="C8743" i="1"/>
  <c r="E8743" i="1"/>
  <c r="G8743" i="1"/>
  <c r="K8743" i="1"/>
  <c r="A8744" i="1"/>
  <c r="B8744" i="1"/>
  <c r="C8744" i="1"/>
  <c r="E8744" i="1"/>
  <c r="G8744" i="1"/>
  <c r="K8744" i="1"/>
  <c r="A8745" i="1"/>
  <c r="B8745" i="1"/>
  <c r="C8745" i="1"/>
  <c r="E8745" i="1"/>
  <c r="G8745" i="1"/>
  <c r="K8745" i="1"/>
  <c r="A8746" i="1"/>
  <c r="B8746" i="1"/>
  <c r="C8746" i="1"/>
  <c r="E8746" i="1"/>
  <c r="G8746" i="1"/>
  <c r="K8746" i="1"/>
  <c r="A8747" i="1"/>
  <c r="B8747" i="1"/>
  <c r="C8747" i="1"/>
  <c r="E8747" i="1"/>
  <c r="G8747" i="1"/>
  <c r="K8747" i="1"/>
  <c r="A8748" i="1"/>
  <c r="B8748" i="1"/>
  <c r="C8748" i="1"/>
  <c r="E8748" i="1"/>
  <c r="G8748" i="1"/>
  <c r="K8748" i="1"/>
  <c r="A8749" i="1"/>
  <c r="B8749" i="1"/>
  <c r="C8749" i="1"/>
  <c r="E8749" i="1"/>
  <c r="G8749" i="1"/>
  <c r="K8749" i="1"/>
  <c r="A8750" i="1"/>
  <c r="B8750" i="1"/>
  <c r="C8750" i="1"/>
  <c r="E8750" i="1"/>
  <c r="G8750" i="1"/>
  <c r="K8750" i="1"/>
  <c r="A8751" i="1"/>
  <c r="B8751" i="1"/>
  <c r="C8751" i="1"/>
  <c r="E8751" i="1"/>
  <c r="G8751" i="1"/>
  <c r="K8751" i="1"/>
  <c r="A8752" i="1"/>
  <c r="B8752" i="1"/>
  <c r="C8752" i="1"/>
  <c r="E8752" i="1"/>
  <c r="G8752" i="1"/>
  <c r="K8752" i="1"/>
  <c r="A8753" i="1"/>
  <c r="B8753" i="1"/>
  <c r="C8753" i="1"/>
  <c r="E8753" i="1"/>
  <c r="G8753" i="1"/>
  <c r="K8753" i="1"/>
  <c r="A8754" i="1"/>
  <c r="B8754" i="1"/>
  <c r="C8754" i="1"/>
  <c r="E8754" i="1"/>
  <c r="G8754" i="1"/>
  <c r="K8754" i="1"/>
  <c r="A8755" i="1"/>
  <c r="B8755" i="1"/>
  <c r="C8755" i="1"/>
  <c r="E8755" i="1"/>
  <c r="G8755" i="1"/>
  <c r="K8755" i="1"/>
  <c r="A8756" i="1"/>
  <c r="B8756" i="1"/>
  <c r="C8756" i="1"/>
  <c r="E8756" i="1"/>
  <c r="G8756" i="1"/>
  <c r="K8756" i="1"/>
  <c r="A8757" i="1"/>
  <c r="B8757" i="1"/>
  <c r="C8757" i="1"/>
  <c r="E8757" i="1"/>
  <c r="G8757" i="1"/>
  <c r="K8757" i="1"/>
  <c r="A8758" i="1"/>
  <c r="B8758" i="1"/>
  <c r="C8758" i="1"/>
  <c r="E8758" i="1"/>
  <c r="G8758" i="1"/>
  <c r="K8758" i="1"/>
  <c r="A8759" i="1"/>
  <c r="B8759" i="1"/>
  <c r="C8759" i="1"/>
  <c r="E8759" i="1"/>
  <c r="G8759" i="1"/>
  <c r="K8759" i="1"/>
  <c r="A8760" i="1"/>
  <c r="B8760" i="1"/>
  <c r="C8760" i="1"/>
  <c r="E8760" i="1"/>
  <c r="G8760" i="1"/>
  <c r="K8760" i="1"/>
  <c r="A8761" i="1"/>
  <c r="B8761" i="1"/>
  <c r="C8761" i="1"/>
  <c r="E8761" i="1"/>
  <c r="G8761" i="1"/>
  <c r="K8761" i="1"/>
  <c r="A8762" i="1"/>
  <c r="B8762" i="1"/>
  <c r="C8762" i="1"/>
  <c r="E8762" i="1"/>
  <c r="G8762" i="1"/>
  <c r="K8762" i="1"/>
  <c r="A8763" i="1"/>
  <c r="B8763" i="1"/>
  <c r="C8763" i="1"/>
  <c r="E8763" i="1"/>
  <c r="G8763" i="1"/>
  <c r="K8763" i="1"/>
  <c r="A8764" i="1"/>
  <c r="B8764" i="1"/>
  <c r="C8764" i="1"/>
  <c r="E8764" i="1"/>
  <c r="G8764" i="1"/>
  <c r="K8764" i="1"/>
  <c r="A8765" i="1"/>
  <c r="B8765" i="1"/>
  <c r="C8765" i="1"/>
  <c r="E8765" i="1"/>
  <c r="G8765" i="1"/>
  <c r="K8765" i="1"/>
  <c r="A8766" i="1"/>
  <c r="B8766" i="1"/>
  <c r="C8766" i="1"/>
  <c r="E8766" i="1"/>
  <c r="G8766" i="1"/>
  <c r="K8766" i="1"/>
  <c r="A8767" i="1"/>
  <c r="B8767" i="1"/>
  <c r="C8767" i="1"/>
  <c r="E8767" i="1"/>
  <c r="G8767" i="1"/>
  <c r="K8767" i="1"/>
  <c r="A8768" i="1"/>
  <c r="B8768" i="1"/>
  <c r="C8768" i="1"/>
  <c r="E8768" i="1"/>
  <c r="G8768" i="1"/>
  <c r="K8768" i="1"/>
  <c r="A8769" i="1"/>
  <c r="B8769" i="1"/>
  <c r="C8769" i="1"/>
  <c r="E8769" i="1"/>
  <c r="G8769" i="1"/>
  <c r="K8769" i="1"/>
  <c r="A8770" i="1"/>
  <c r="B8770" i="1"/>
  <c r="C8770" i="1"/>
  <c r="E8770" i="1"/>
  <c r="G8770" i="1"/>
  <c r="K8770" i="1"/>
  <c r="A8771" i="1"/>
  <c r="B8771" i="1"/>
  <c r="C8771" i="1"/>
  <c r="E8771" i="1"/>
  <c r="G8771" i="1"/>
  <c r="K8771" i="1"/>
  <c r="A8772" i="1"/>
  <c r="B8772" i="1"/>
  <c r="C8772" i="1"/>
  <c r="E8772" i="1"/>
  <c r="G8772" i="1"/>
  <c r="K8772" i="1"/>
  <c r="A8773" i="1"/>
  <c r="B8773" i="1"/>
  <c r="C8773" i="1"/>
  <c r="E8773" i="1"/>
  <c r="G8773" i="1"/>
  <c r="K8773" i="1"/>
  <c r="A8774" i="1"/>
  <c r="B8774" i="1"/>
  <c r="C8774" i="1"/>
  <c r="E8774" i="1"/>
  <c r="G8774" i="1"/>
  <c r="K8774" i="1"/>
  <c r="A8775" i="1"/>
  <c r="B8775" i="1"/>
  <c r="C8775" i="1"/>
  <c r="E8775" i="1"/>
  <c r="G8775" i="1"/>
  <c r="K8775" i="1"/>
  <c r="A8776" i="1"/>
  <c r="B8776" i="1"/>
  <c r="C8776" i="1"/>
  <c r="E8776" i="1"/>
  <c r="G8776" i="1"/>
  <c r="K8776" i="1"/>
  <c r="A8777" i="1"/>
  <c r="B8777" i="1"/>
  <c r="C8777" i="1"/>
  <c r="E8777" i="1"/>
  <c r="G8777" i="1"/>
  <c r="K8777" i="1"/>
  <c r="A8778" i="1"/>
  <c r="B8778" i="1"/>
  <c r="C8778" i="1"/>
  <c r="E8778" i="1"/>
  <c r="G8778" i="1"/>
  <c r="K8778" i="1"/>
  <c r="A8779" i="1"/>
  <c r="B8779" i="1"/>
  <c r="C8779" i="1"/>
  <c r="E8779" i="1"/>
  <c r="G8779" i="1"/>
  <c r="K8779" i="1"/>
  <c r="A8780" i="1"/>
  <c r="B8780" i="1"/>
  <c r="C8780" i="1"/>
  <c r="E8780" i="1"/>
  <c r="G8780" i="1"/>
  <c r="K8780" i="1"/>
  <c r="A8781" i="1"/>
  <c r="B8781" i="1"/>
  <c r="C8781" i="1"/>
  <c r="E8781" i="1"/>
  <c r="G8781" i="1"/>
  <c r="K8781" i="1"/>
  <c r="A8782" i="1"/>
  <c r="B8782" i="1"/>
  <c r="C8782" i="1"/>
  <c r="E8782" i="1"/>
  <c r="G8782" i="1"/>
  <c r="K8782" i="1"/>
  <c r="A8783" i="1"/>
  <c r="B8783" i="1"/>
  <c r="C8783" i="1"/>
  <c r="E8783" i="1"/>
  <c r="G8783" i="1"/>
  <c r="K8783" i="1"/>
  <c r="A8784" i="1"/>
  <c r="B8784" i="1"/>
  <c r="C8784" i="1"/>
  <c r="E8784" i="1"/>
  <c r="G8784" i="1"/>
  <c r="K8784" i="1"/>
  <c r="A8785" i="1"/>
  <c r="B8785" i="1"/>
  <c r="C8785" i="1"/>
  <c r="E8785" i="1"/>
  <c r="G8785" i="1"/>
  <c r="K8785" i="1"/>
  <c r="A8786" i="1"/>
  <c r="B8786" i="1"/>
  <c r="C8786" i="1"/>
  <c r="E8786" i="1"/>
  <c r="G8786" i="1"/>
  <c r="K8786" i="1"/>
  <c r="A8787" i="1"/>
  <c r="B8787" i="1"/>
  <c r="C8787" i="1"/>
  <c r="E8787" i="1"/>
  <c r="G8787" i="1"/>
  <c r="K8787" i="1"/>
  <c r="A8788" i="1"/>
  <c r="B8788" i="1"/>
  <c r="C8788" i="1"/>
  <c r="E8788" i="1"/>
  <c r="G8788" i="1"/>
  <c r="K8788" i="1"/>
  <c r="A8789" i="1"/>
  <c r="B8789" i="1"/>
  <c r="C8789" i="1"/>
  <c r="E8789" i="1"/>
  <c r="G8789" i="1"/>
  <c r="K8789" i="1"/>
  <c r="A8790" i="1"/>
  <c r="B8790" i="1"/>
  <c r="C8790" i="1"/>
  <c r="E8790" i="1"/>
  <c r="G8790" i="1"/>
  <c r="K8790" i="1"/>
  <c r="A8791" i="1"/>
  <c r="B8791" i="1"/>
  <c r="C8791" i="1"/>
  <c r="E8791" i="1"/>
  <c r="G8791" i="1"/>
  <c r="K8791" i="1"/>
  <c r="A8792" i="1"/>
  <c r="B8792" i="1"/>
  <c r="C8792" i="1"/>
  <c r="E8792" i="1"/>
  <c r="G8792" i="1"/>
  <c r="K8792" i="1"/>
  <c r="A8793" i="1"/>
  <c r="B8793" i="1"/>
  <c r="C8793" i="1"/>
  <c r="E8793" i="1"/>
  <c r="G8793" i="1"/>
  <c r="K8793" i="1"/>
  <c r="A8794" i="1"/>
  <c r="B8794" i="1"/>
  <c r="C8794" i="1"/>
  <c r="E8794" i="1"/>
  <c r="G8794" i="1"/>
  <c r="K8794" i="1"/>
  <c r="A8795" i="1"/>
  <c r="B8795" i="1"/>
  <c r="C8795" i="1"/>
  <c r="E8795" i="1"/>
  <c r="G8795" i="1"/>
  <c r="K8795" i="1"/>
  <c r="A8796" i="1"/>
  <c r="B8796" i="1"/>
  <c r="C8796" i="1"/>
  <c r="E8796" i="1"/>
  <c r="G8796" i="1"/>
  <c r="K8796" i="1"/>
  <c r="A8797" i="1"/>
  <c r="B8797" i="1"/>
  <c r="C8797" i="1"/>
  <c r="E8797" i="1"/>
  <c r="G8797" i="1"/>
  <c r="K8797" i="1"/>
  <c r="A8798" i="1"/>
  <c r="B8798" i="1"/>
  <c r="C8798" i="1"/>
  <c r="E8798" i="1"/>
  <c r="G8798" i="1"/>
  <c r="K8798" i="1"/>
  <c r="A8799" i="1"/>
  <c r="B8799" i="1"/>
  <c r="C8799" i="1"/>
  <c r="E8799" i="1"/>
  <c r="G8799" i="1"/>
  <c r="K8799" i="1"/>
  <c r="A8800" i="1"/>
  <c r="B8800" i="1"/>
  <c r="C8800" i="1"/>
  <c r="E8800" i="1"/>
  <c r="G8800" i="1"/>
  <c r="K8800" i="1"/>
  <c r="A8801" i="1"/>
  <c r="B8801" i="1"/>
  <c r="C8801" i="1"/>
  <c r="E8801" i="1"/>
  <c r="G8801" i="1"/>
  <c r="K8801" i="1"/>
  <c r="A8802" i="1"/>
  <c r="B8802" i="1"/>
  <c r="C8802" i="1"/>
  <c r="E8802" i="1"/>
  <c r="G8802" i="1"/>
  <c r="K8802" i="1"/>
  <c r="A8803" i="1"/>
  <c r="B8803" i="1"/>
  <c r="C8803" i="1"/>
  <c r="E8803" i="1"/>
  <c r="G8803" i="1"/>
  <c r="K8803" i="1"/>
  <c r="A8804" i="1"/>
  <c r="B8804" i="1"/>
  <c r="C8804" i="1"/>
  <c r="E8804" i="1"/>
  <c r="G8804" i="1"/>
  <c r="K8804" i="1"/>
  <c r="A8805" i="1"/>
  <c r="B8805" i="1"/>
  <c r="C8805" i="1"/>
  <c r="E8805" i="1"/>
  <c r="G8805" i="1"/>
  <c r="K8805" i="1"/>
  <c r="A8806" i="1"/>
  <c r="B8806" i="1"/>
  <c r="C8806" i="1"/>
  <c r="E8806" i="1"/>
  <c r="G8806" i="1"/>
  <c r="K8806" i="1"/>
  <c r="A8807" i="1"/>
  <c r="B8807" i="1"/>
  <c r="C8807" i="1"/>
  <c r="E8807" i="1"/>
  <c r="G8807" i="1"/>
  <c r="K8807" i="1"/>
  <c r="A8808" i="1"/>
  <c r="B8808" i="1"/>
  <c r="C8808" i="1"/>
  <c r="E8808" i="1"/>
  <c r="G8808" i="1"/>
  <c r="K8808" i="1"/>
  <c r="A8809" i="1"/>
  <c r="B8809" i="1"/>
  <c r="C8809" i="1"/>
  <c r="E8809" i="1"/>
  <c r="G8809" i="1"/>
  <c r="K8809" i="1"/>
  <c r="A8810" i="1"/>
  <c r="B8810" i="1"/>
  <c r="C8810" i="1"/>
  <c r="E8810" i="1"/>
  <c r="G8810" i="1"/>
  <c r="K8810" i="1"/>
  <c r="A8811" i="1"/>
  <c r="B8811" i="1"/>
  <c r="C8811" i="1"/>
  <c r="E8811" i="1"/>
  <c r="G8811" i="1"/>
  <c r="K8811" i="1"/>
  <c r="A8812" i="1"/>
  <c r="B8812" i="1"/>
  <c r="C8812" i="1"/>
  <c r="E8812" i="1"/>
  <c r="G8812" i="1"/>
  <c r="K8812" i="1"/>
  <c r="A8813" i="1"/>
  <c r="B8813" i="1"/>
  <c r="C8813" i="1"/>
  <c r="E8813" i="1"/>
  <c r="G8813" i="1"/>
  <c r="K8813" i="1"/>
  <c r="A8814" i="1"/>
  <c r="B8814" i="1"/>
  <c r="C8814" i="1"/>
  <c r="E8814" i="1"/>
  <c r="G8814" i="1"/>
  <c r="K8814" i="1"/>
  <c r="A8815" i="1"/>
  <c r="B8815" i="1"/>
  <c r="C8815" i="1"/>
  <c r="E8815" i="1"/>
  <c r="G8815" i="1"/>
  <c r="K8815" i="1"/>
  <c r="A8816" i="1"/>
  <c r="B8816" i="1"/>
  <c r="C8816" i="1"/>
  <c r="E8816" i="1"/>
  <c r="G8816" i="1"/>
  <c r="K8816" i="1"/>
  <c r="A8817" i="1"/>
  <c r="B8817" i="1"/>
  <c r="C8817" i="1"/>
  <c r="E8817" i="1"/>
  <c r="G8817" i="1"/>
  <c r="K8817" i="1"/>
  <c r="A8818" i="1"/>
  <c r="B8818" i="1"/>
  <c r="C8818" i="1"/>
  <c r="E8818" i="1"/>
  <c r="G8818" i="1"/>
  <c r="K8818" i="1"/>
  <c r="A8819" i="1"/>
  <c r="B8819" i="1"/>
  <c r="C8819" i="1"/>
  <c r="E8819" i="1"/>
  <c r="G8819" i="1"/>
  <c r="K8819" i="1"/>
  <c r="A8820" i="1"/>
  <c r="B8820" i="1"/>
  <c r="C8820" i="1"/>
  <c r="E8820" i="1"/>
  <c r="G8820" i="1"/>
  <c r="K8820" i="1"/>
  <c r="A8821" i="1"/>
  <c r="B8821" i="1"/>
  <c r="C8821" i="1"/>
  <c r="E8821" i="1"/>
  <c r="G8821" i="1"/>
  <c r="K8821" i="1"/>
  <c r="A8822" i="1"/>
  <c r="B8822" i="1"/>
  <c r="C8822" i="1"/>
  <c r="E8822" i="1"/>
  <c r="G8822" i="1"/>
  <c r="K8822" i="1"/>
  <c r="A8823" i="1"/>
  <c r="B8823" i="1"/>
  <c r="C8823" i="1"/>
  <c r="E8823" i="1"/>
  <c r="G8823" i="1"/>
  <c r="K8823" i="1"/>
  <c r="A8824" i="1"/>
  <c r="B8824" i="1"/>
  <c r="C8824" i="1"/>
  <c r="E8824" i="1"/>
  <c r="G8824" i="1"/>
  <c r="K8824" i="1"/>
  <c r="A8825" i="1"/>
  <c r="B8825" i="1"/>
  <c r="C8825" i="1"/>
  <c r="E8825" i="1"/>
  <c r="G8825" i="1"/>
  <c r="K8825" i="1"/>
  <c r="A8826" i="1"/>
  <c r="B8826" i="1"/>
  <c r="C8826" i="1"/>
  <c r="E8826" i="1"/>
  <c r="G8826" i="1"/>
  <c r="K8826" i="1"/>
  <c r="A8827" i="1"/>
  <c r="B8827" i="1"/>
  <c r="C8827" i="1"/>
  <c r="E8827" i="1"/>
  <c r="G8827" i="1"/>
  <c r="K8827" i="1"/>
  <c r="A8828" i="1"/>
  <c r="B8828" i="1"/>
  <c r="C8828" i="1"/>
  <c r="E8828" i="1"/>
  <c r="G8828" i="1"/>
  <c r="K8828" i="1"/>
  <c r="A8829" i="1"/>
  <c r="B8829" i="1"/>
  <c r="C8829" i="1"/>
  <c r="E8829" i="1"/>
  <c r="G8829" i="1"/>
  <c r="K8829" i="1"/>
  <c r="A8830" i="1"/>
  <c r="B8830" i="1"/>
  <c r="C8830" i="1"/>
  <c r="E8830" i="1"/>
  <c r="G8830" i="1"/>
  <c r="K8830" i="1"/>
  <c r="A8831" i="1"/>
  <c r="B8831" i="1"/>
  <c r="C8831" i="1"/>
  <c r="E8831" i="1"/>
  <c r="G8831" i="1"/>
  <c r="K8831" i="1"/>
  <c r="A8832" i="1"/>
  <c r="B8832" i="1"/>
  <c r="C8832" i="1"/>
  <c r="E8832" i="1"/>
  <c r="G8832" i="1"/>
  <c r="K8832" i="1"/>
  <c r="A8833" i="1"/>
  <c r="B8833" i="1"/>
  <c r="C8833" i="1"/>
  <c r="E8833" i="1"/>
  <c r="G8833" i="1"/>
  <c r="K8833" i="1"/>
  <c r="A8834" i="1"/>
  <c r="B8834" i="1"/>
  <c r="C8834" i="1"/>
  <c r="E8834" i="1"/>
  <c r="G8834" i="1"/>
  <c r="K8834" i="1"/>
  <c r="A8835" i="1"/>
  <c r="B8835" i="1"/>
  <c r="C8835" i="1"/>
  <c r="E8835" i="1"/>
  <c r="G8835" i="1"/>
  <c r="K8835" i="1"/>
  <c r="A8836" i="1"/>
  <c r="B8836" i="1"/>
  <c r="C8836" i="1"/>
  <c r="E8836" i="1"/>
  <c r="G8836" i="1"/>
  <c r="K8836" i="1"/>
  <c r="A8837" i="1"/>
  <c r="B8837" i="1"/>
  <c r="C8837" i="1"/>
  <c r="E8837" i="1"/>
  <c r="G8837" i="1"/>
  <c r="K8837" i="1"/>
  <c r="A8838" i="1"/>
  <c r="B8838" i="1"/>
  <c r="C8838" i="1"/>
  <c r="E8838" i="1"/>
  <c r="G8838" i="1"/>
  <c r="K8838" i="1"/>
  <c r="A8839" i="1"/>
  <c r="B8839" i="1"/>
  <c r="C8839" i="1"/>
  <c r="E8839" i="1"/>
  <c r="G8839" i="1"/>
  <c r="K8839" i="1"/>
  <c r="A8840" i="1"/>
  <c r="B8840" i="1"/>
  <c r="C8840" i="1"/>
  <c r="E8840" i="1"/>
  <c r="G8840" i="1"/>
  <c r="K8840" i="1"/>
  <c r="A8841" i="1"/>
  <c r="B8841" i="1"/>
  <c r="C8841" i="1"/>
  <c r="E8841" i="1"/>
  <c r="G8841" i="1"/>
  <c r="K8841" i="1"/>
  <c r="A8842" i="1"/>
  <c r="B8842" i="1"/>
  <c r="C8842" i="1"/>
  <c r="E8842" i="1"/>
  <c r="G8842" i="1"/>
  <c r="K8842" i="1"/>
  <c r="A8843" i="1"/>
  <c r="B8843" i="1"/>
  <c r="C8843" i="1"/>
  <c r="E8843" i="1"/>
  <c r="G8843" i="1"/>
  <c r="K8843" i="1"/>
  <c r="A8844" i="1"/>
  <c r="B8844" i="1"/>
  <c r="C8844" i="1"/>
  <c r="E8844" i="1"/>
  <c r="G8844" i="1"/>
  <c r="K8844" i="1"/>
  <c r="A8845" i="1"/>
  <c r="B8845" i="1"/>
  <c r="C8845" i="1"/>
  <c r="E8845" i="1"/>
  <c r="G8845" i="1"/>
  <c r="K8845" i="1"/>
  <c r="A8846" i="1"/>
  <c r="B8846" i="1"/>
  <c r="C8846" i="1"/>
  <c r="E8846" i="1"/>
  <c r="G8846" i="1"/>
  <c r="K8846" i="1"/>
  <c r="A8847" i="1"/>
  <c r="B8847" i="1"/>
  <c r="C8847" i="1"/>
  <c r="E8847" i="1"/>
  <c r="G8847" i="1"/>
  <c r="K8847" i="1"/>
  <c r="A8848" i="1"/>
  <c r="B8848" i="1"/>
  <c r="C8848" i="1"/>
  <c r="E8848" i="1"/>
  <c r="G8848" i="1"/>
  <c r="K8848" i="1"/>
  <c r="A8849" i="1"/>
  <c r="B8849" i="1"/>
  <c r="C8849" i="1"/>
  <c r="E8849" i="1"/>
  <c r="G8849" i="1"/>
  <c r="K8849" i="1"/>
  <c r="A8850" i="1"/>
  <c r="B8850" i="1"/>
  <c r="C8850" i="1"/>
  <c r="E8850" i="1"/>
  <c r="G8850" i="1"/>
  <c r="K8850" i="1"/>
  <c r="A8851" i="1"/>
  <c r="B8851" i="1"/>
  <c r="C8851" i="1"/>
  <c r="E8851" i="1"/>
  <c r="G8851" i="1"/>
  <c r="K8851" i="1"/>
  <c r="A8852" i="1"/>
  <c r="B8852" i="1"/>
  <c r="C8852" i="1"/>
  <c r="E8852" i="1"/>
  <c r="G8852" i="1"/>
  <c r="K8852" i="1"/>
  <c r="A8853" i="1"/>
  <c r="B8853" i="1"/>
  <c r="C8853" i="1"/>
  <c r="E8853" i="1"/>
  <c r="G8853" i="1"/>
  <c r="K8853" i="1"/>
  <c r="A8854" i="1"/>
  <c r="B8854" i="1"/>
  <c r="C8854" i="1"/>
  <c r="E8854" i="1"/>
  <c r="G8854" i="1"/>
  <c r="K8854" i="1"/>
  <c r="A8855" i="1"/>
  <c r="B8855" i="1"/>
  <c r="C8855" i="1"/>
  <c r="E8855" i="1"/>
  <c r="G8855" i="1"/>
  <c r="K8855" i="1"/>
  <c r="A8856" i="1"/>
  <c r="B8856" i="1"/>
  <c r="C8856" i="1"/>
  <c r="E8856" i="1"/>
  <c r="G8856" i="1"/>
  <c r="K8856" i="1"/>
  <c r="A8857" i="1"/>
  <c r="B8857" i="1"/>
  <c r="C8857" i="1"/>
  <c r="E8857" i="1"/>
  <c r="G8857" i="1"/>
  <c r="K8857" i="1"/>
  <c r="A8858" i="1"/>
  <c r="B8858" i="1"/>
  <c r="C8858" i="1"/>
  <c r="E8858" i="1"/>
  <c r="G8858" i="1"/>
  <c r="K8858" i="1"/>
  <c r="A8859" i="1"/>
  <c r="B8859" i="1"/>
  <c r="C8859" i="1"/>
  <c r="E8859" i="1"/>
  <c r="G8859" i="1"/>
  <c r="K8859" i="1"/>
  <c r="A8860" i="1"/>
  <c r="B8860" i="1"/>
  <c r="C8860" i="1"/>
  <c r="E8860" i="1"/>
  <c r="G8860" i="1"/>
  <c r="K8860" i="1"/>
  <c r="A8861" i="1"/>
  <c r="B8861" i="1"/>
  <c r="C8861" i="1"/>
  <c r="E8861" i="1"/>
  <c r="G8861" i="1"/>
  <c r="K8861" i="1"/>
  <c r="A8862" i="1"/>
  <c r="B8862" i="1"/>
  <c r="C8862" i="1"/>
  <c r="E8862" i="1"/>
  <c r="G8862" i="1"/>
  <c r="K8862" i="1"/>
  <c r="A8863" i="1"/>
  <c r="B8863" i="1"/>
  <c r="C8863" i="1"/>
  <c r="E8863" i="1"/>
  <c r="G8863" i="1"/>
  <c r="K8863" i="1"/>
  <c r="A8864" i="1"/>
  <c r="B8864" i="1"/>
  <c r="C8864" i="1"/>
  <c r="E8864" i="1"/>
  <c r="G8864" i="1"/>
  <c r="K8864" i="1"/>
  <c r="A8865" i="1"/>
  <c r="B8865" i="1"/>
  <c r="C8865" i="1"/>
  <c r="E8865" i="1"/>
  <c r="G8865" i="1"/>
  <c r="K8865" i="1"/>
  <c r="A8866" i="1"/>
  <c r="B8866" i="1"/>
  <c r="C8866" i="1"/>
  <c r="E8866" i="1"/>
  <c r="G8866" i="1"/>
  <c r="K8866" i="1"/>
  <c r="A8867" i="1"/>
  <c r="B8867" i="1"/>
  <c r="C8867" i="1"/>
  <c r="E8867" i="1"/>
  <c r="G8867" i="1"/>
  <c r="K8867" i="1"/>
  <c r="A8868" i="1"/>
  <c r="B8868" i="1"/>
  <c r="C8868" i="1"/>
  <c r="E8868" i="1"/>
  <c r="G8868" i="1"/>
  <c r="K8868" i="1"/>
  <c r="A8869" i="1"/>
  <c r="B8869" i="1"/>
  <c r="C8869" i="1"/>
  <c r="E8869" i="1"/>
  <c r="G8869" i="1"/>
  <c r="K8869" i="1"/>
  <c r="A8870" i="1"/>
  <c r="B8870" i="1"/>
  <c r="C8870" i="1"/>
  <c r="E8870" i="1"/>
  <c r="G8870" i="1"/>
  <c r="K8870" i="1"/>
  <c r="A8871" i="1"/>
  <c r="B8871" i="1"/>
  <c r="C8871" i="1"/>
  <c r="E8871" i="1"/>
  <c r="G8871" i="1"/>
  <c r="K8871" i="1"/>
  <c r="A8872" i="1"/>
  <c r="B8872" i="1"/>
  <c r="C8872" i="1"/>
  <c r="E8872" i="1"/>
  <c r="G8872" i="1"/>
  <c r="K8872" i="1"/>
  <c r="A8873" i="1"/>
  <c r="B8873" i="1"/>
  <c r="C8873" i="1"/>
  <c r="E8873" i="1"/>
  <c r="G8873" i="1"/>
  <c r="K8873" i="1"/>
  <c r="A8874" i="1"/>
  <c r="B8874" i="1"/>
  <c r="C8874" i="1"/>
  <c r="E8874" i="1"/>
  <c r="G8874" i="1"/>
  <c r="K8874" i="1"/>
  <c r="A8875" i="1"/>
  <c r="B8875" i="1"/>
  <c r="C8875" i="1"/>
  <c r="E8875" i="1"/>
  <c r="G8875" i="1"/>
  <c r="K8875" i="1"/>
  <c r="A8876" i="1"/>
  <c r="B8876" i="1"/>
  <c r="C8876" i="1"/>
  <c r="E8876" i="1"/>
  <c r="G8876" i="1"/>
  <c r="K8876" i="1"/>
  <c r="A8877" i="1"/>
  <c r="B8877" i="1"/>
  <c r="C8877" i="1"/>
  <c r="E8877" i="1"/>
  <c r="G8877" i="1"/>
  <c r="K8877" i="1"/>
  <c r="A8878" i="1"/>
  <c r="B8878" i="1"/>
  <c r="C8878" i="1"/>
  <c r="E8878" i="1"/>
  <c r="G8878" i="1"/>
  <c r="K8878" i="1"/>
  <c r="A8879" i="1"/>
  <c r="B8879" i="1"/>
  <c r="C8879" i="1"/>
  <c r="E8879" i="1"/>
  <c r="G8879" i="1"/>
  <c r="K8879" i="1"/>
  <c r="A8880" i="1"/>
  <c r="B8880" i="1"/>
  <c r="C8880" i="1"/>
  <c r="E8880" i="1"/>
  <c r="G8880" i="1"/>
  <c r="K8880" i="1"/>
  <c r="A8881" i="1"/>
  <c r="B8881" i="1"/>
  <c r="C8881" i="1"/>
  <c r="E8881" i="1"/>
  <c r="G8881" i="1"/>
  <c r="K8881" i="1"/>
  <c r="A8882" i="1"/>
  <c r="B8882" i="1"/>
  <c r="C8882" i="1"/>
  <c r="E8882" i="1"/>
  <c r="G8882" i="1"/>
  <c r="K8882" i="1"/>
  <c r="A8883" i="1"/>
  <c r="B8883" i="1"/>
  <c r="C8883" i="1"/>
  <c r="E8883" i="1"/>
  <c r="G8883" i="1"/>
  <c r="K8883" i="1"/>
  <c r="A8884" i="1"/>
  <c r="B8884" i="1"/>
  <c r="C8884" i="1"/>
  <c r="E8884" i="1"/>
  <c r="G8884" i="1"/>
  <c r="K8884" i="1"/>
  <c r="A8885" i="1"/>
  <c r="B8885" i="1"/>
  <c r="C8885" i="1"/>
  <c r="E8885" i="1"/>
  <c r="G8885" i="1"/>
  <c r="K8885" i="1"/>
  <c r="A8886" i="1"/>
  <c r="B8886" i="1"/>
  <c r="C8886" i="1"/>
  <c r="E8886" i="1"/>
  <c r="G8886" i="1"/>
  <c r="K8886" i="1"/>
  <c r="A8887" i="1"/>
  <c r="B8887" i="1"/>
  <c r="C8887" i="1"/>
  <c r="E8887" i="1"/>
  <c r="G8887" i="1"/>
  <c r="K8887" i="1"/>
  <c r="A8888" i="1"/>
  <c r="B8888" i="1"/>
  <c r="C8888" i="1"/>
  <c r="E8888" i="1"/>
  <c r="G8888" i="1"/>
  <c r="K8888" i="1"/>
  <c r="A8889" i="1"/>
  <c r="B8889" i="1"/>
  <c r="C8889" i="1"/>
  <c r="E8889" i="1"/>
  <c r="G8889" i="1"/>
  <c r="K8889" i="1"/>
  <c r="A8890" i="1"/>
  <c r="B8890" i="1"/>
  <c r="C8890" i="1"/>
  <c r="E8890" i="1"/>
  <c r="G8890" i="1"/>
  <c r="K8890" i="1"/>
  <c r="A8891" i="1"/>
  <c r="B8891" i="1"/>
  <c r="C8891" i="1"/>
  <c r="E8891" i="1"/>
  <c r="G8891" i="1"/>
  <c r="K8891" i="1"/>
  <c r="A8892" i="1"/>
  <c r="B8892" i="1"/>
  <c r="C8892" i="1"/>
  <c r="E8892" i="1"/>
  <c r="G8892" i="1"/>
  <c r="K8892" i="1"/>
  <c r="A8893" i="1"/>
  <c r="B8893" i="1"/>
  <c r="C8893" i="1"/>
  <c r="E8893" i="1"/>
  <c r="G8893" i="1"/>
  <c r="K8893" i="1"/>
  <c r="A8894" i="1"/>
  <c r="B8894" i="1"/>
  <c r="C8894" i="1"/>
  <c r="E8894" i="1"/>
  <c r="G8894" i="1"/>
  <c r="K8894" i="1"/>
  <c r="A8895" i="1"/>
  <c r="B8895" i="1"/>
  <c r="C8895" i="1"/>
  <c r="E8895" i="1"/>
  <c r="G8895" i="1"/>
  <c r="K8895" i="1"/>
  <c r="A8896" i="1"/>
  <c r="B8896" i="1"/>
  <c r="C8896" i="1"/>
  <c r="E8896" i="1"/>
  <c r="G8896" i="1"/>
  <c r="K8896" i="1"/>
  <c r="A8897" i="1"/>
  <c r="B8897" i="1"/>
  <c r="C8897" i="1"/>
  <c r="E8897" i="1"/>
  <c r="G8897" i="1"/>
  <c r="K8897" i="1"/>
  <c r="A8898" i="1"/>
  <c r="B8898" i="1"/>
  <c r="C8898" i="1"/>
  <c r="E8898" i="1"/>
  <c r="G8898" i="1"/>
  <c r="K8898" i="1"/>
  <c r="A8899" i="1"/>
  <c r="B8899" i="1"/>
  <c r="C8899" i="1"/>
  <c r="E8899" i="1"/>
  <c r="G8899" i="1"/>
  <c r="K8899" i="1"/>
  <c r="A8900" i="1"/>
  <c r="B8900" i="1"/>
  <c r="C8900" i="1"/>
  <c r="E8900" i="1"/>
  <c r="G8900" i="1"/>
  <c r="K8900" i="1"/>
  <c r="A8901" i="1"/>
  <c r="B8901" i="1"/>
  <c r="C8901" i="1"/>
  <c r="E8901" i="1"/>
  <c r="G8901" i="1"/>
  <c r="K8901" i="1"/>
  <c r="A8902" i="1"/>
  <c r="B8902" i="1"/>
  <c r="C8902" i="1"/>
  <c r="E8902" i="1"/>
  <c r="G8902" i="1"/>
  <c r="K8902" i="1"/>
  <c r="A8903" i="1"/>
  <c r="B8903" i="1"/>
  <c r="C8903" i="1"/>
  <c r="E8903" i="1"/>
  <c r="G8903" i="1"/>
  <c r="K8903" i="1"/>
  <c r="A8904" i="1"/>
  <c r="B8904" i="1"/>
  <c r="C8904" i="1"/>
  <c r="E8904" i="1"/>
  <c r="G8904" i="1"/>
  <c r="K8904" i="1"/>
  <c r="A8905" i="1"/>
  <c r="B8905" i="1"/>
  <c r="C8905" i="1"/>
  <c r="E8905" i="1"/>
  <c r="G8905" i="1"/>
  <c r="K8905" i="1"/>
  <c r="A8906" i="1"/>
  <c r="B8906" i="1"/>
  <c r="C8906" i="1"/>
  <c r="E8906" i="1"/>
  <c r="G8906" i="1"/>
  <c r="K8906" i="1"/>
  <c r="A8907" i="1"/>
  <c r="B8907" i="1"/>
  <c r="C8907" i="1"/>
  <c r="E8907" i="1"/>
  <c r="G8907" i="1"/>
  <c r="K8907" i="1"/>
  <c r="A8908" i="1"/>
  <c r="B8908" i="1"/>
  <c r="C8908" i="1"/>
  <c r="E8908" i="1"/>
  <c r="G8908" i="1"/>
  <c r="K8908" i="1"/>
  <c r="A8909" i="1"/>
  <c r="B8909" i="1"/>
  <c r="C8909" i="1"/>
  <c r="E8909" i="1"/>
  <c r="G8909" i="1"/>
  <c r="K8909" i="1"/>
  <c r="A8910" i="1"/>
  <c r="B8910" i="1"/>
  <c r="C8910" i="1"/>
  <c r="E8910" i="1"/>
  <c r="G8910" i="1"/>
  <c r="K8910" i="1"/>
  <c r="A8911" i="1"/>
  <c r="B8911" i="1"/>
  <c r="C8911" i="1"/>
  <c r="E8911" i="1"/>
  <c r="G8911" i="1"/>
  <c r="K8911" i="1"/>
  <c r="A8912" i="1"/>
  <c r="B8912" i="1"/>
  <c r="C8912" i="1"/>
  <c r="E8912" i="1"/>
  <c r="G8912" i="1"/>
  <c r="K8912" i="1"/>
  <c r="A8913" i="1"/>
  <c r="B8913" i="1"/>
  <c r="C8913" i="1"/>
  <c r="E8913" i="1"/>
  <c r="G8913" i="1"/>
  <c r="K8913" i="1"/>
  <c r="A8914" i="1"/>
  <c r="B8914" i="1"/>
  <c r="C8914" i="1"/>
  <c r="E8914" i="1"/>
  <c r="G8914" i="1"/>
  <c r="K8914" i="1"/>
  <c r="A8915" i="1"/>
  <c r="B8915" i="1"/>
  <c r="C8915" i="1"/>
  <c r="E8915" i="1"/>
  <c r="G8915" i="1"/>
  <c r="K8915" i="1"/>
  <c r="A8916" i="1"/>
  <c r="B8916" i="1"/>
  <c r="C8916" i="1"/>
  <c r="E8916" i="1"/>
  <c r="G8916" i="1"/>
  <c r="K8916" i="1"/>
  <c r="A8917" i="1"/>
  <c r="B8917" i="1"/>
  <c r="C8917" i="1"/>
  <c r="E8917" i="1"/>
  <c r="G8917" i="1"/>
  <c r="K8917" i="1"/>
  <c r="A8918" i="1"/>
  <c r="B8918" i="1"/>
  <c r="C8918" i="1"/>
  <c r="E8918" i="1"/>
  <c r="G8918" i="1"/>
  <c r="K8918" i="1"/>
  <c r="A8919" i="1"/>
  <c r="B8919" i="1"/>
  <c r="C8919" i="1"/>
  <c r="E8919" i="1"/>
  <c r="G8919" i="1"/>
  <c r="K8919" i="1"/>
  <c r="A8920" i="1"/>
  <c r="B8920" i="1"/>
  <c r="C8920" i="1"/>
  <c r="E8920" i="1"/>
  <c r="G8920" i="1"/>
  <c r="K8920" i="1"/>
  <c r="A8921" i="1"/>
  <c r="B8921" i="1"/>
  <c r="C8921" i="1"/>
  <c r="E8921" i="1"/>
  <c r="G8921" i="1"/>
  <c r="K8921" i="1"/>
  <c r="A8922" i="1"/>
  <c r="B8922" i="1"/>
  <c r="C8922" i="1"/>
  <c r="E8922" i="1"/>
  <c r="G8922" i="1"/>
  <c r="K8922" i="1"/>
  <c r="A8923" i="1"/>
  <c r="B8923" i="1"/>
  <c r="C8923" i="1"/>
  <c r="E8923" i="1"/>
  <c r="G8923" i="1"/>
  <c r="K8923" i="1"/>
  <c r="A8924" i="1"/>
  <c r="B8924" i="1"/>
  <c r="C8924" i="1"/>
  <c r="E8924" i="1"/>
  <c r="G8924" i="1"/>
  <c r="K8924" i="1"/>
  <c r="A8925" i="1"/>
  <c r="B8925" i="1"/>
  <c r="C8925" i="1"/>
  <c r="E8925" i="1"/>
  <c r="G8925" i="1"/>
  <c r="K8925" i="1"/>
  <c r="A8926" i="1"/>
  <c r="B8926" i="1"/>
  <c r="C8926" i="1"/>
  <c r="E8926" i="1"/>
  <c r="G8926" i="1"/>
  <c r="K8926" i="1"/>
  <c r="A8927" i="1"/>
  <c r="B8927" i="1"/>
  <c r="C8927" i="1"/>
  <c r="E8927" i="1"/>
  <c r="G8927" i="1"/>
  <c r="K8927" i="1"/>
  <c r="A8928" i="1"/>
  <c r="B8928" i="1"/>
  <c r="C8928" i="1"/>
  <c r="E8928" i="1"/>
  <c r="G8928" i="1"/>
  <c r="K8928" i="1"/>
  <c r="A8929" i="1"/>
  <c r="B8929" i="1"/>
  <c r="C8929" i="1"/>
  <c r="E8929" i="1"/>
  <c r="G8929" i="1"/>
  <c r="K8929" i="1"/>
  <c r="A8930" i="1"/>
  <c r="B8930" i="1"/>
  <c r="C8930" i="1"/>
  <c r="E8930" i="1"/>
  <c r="G8930" i="1"/>
  <c r="K8930" i="1"/>
  <c r="A8931" i="1"/>
  <c r="B8931" i="1"/>
  <c r="C8931" i="1"/>
  <c r="E8931" i="1"/>
  <c r="G8931" i="1"/>
  <c r="K8931" i="1"/>
  <c r="A8932" i="1"/>
  <c r="B8932" i="1"/>
  <c r="C8932" i="1"/>
  <c r="E8932" i="1"/>
  <c r="G8932" i="1"/>
  <c r="K8932" i="1"/>
  <c r="A8933" i="1"/>
  <c r="B8933" i="1"/>
  <c r="C8933" i="1"/>
  <c r="E8933" i="1"/>
  <c r="G8933" i="1"/>
  <c r="K8933" i="1"/>
  <c r="A8934" i="1"/>
  <c r="B8934" i="1"/>
  <c r="C8934" i="1"/>
  <c r="E8934" i="1"/>
  <c r="G8934" i="1"/>
  <c r="K8934" i="1"/>
  <c r="A8935" i="1"/>
  <c r="B8935" i="1"/>
  <c r="C8935" i="1"/>
  <c r="E8935" i="1"/>
  <c r="G8935" i="1"/>
  <c r="K8935" i="1"/>
  <c r="A8936" i="1"/>
  <c r="B8936" i="1"/>
  <c r="C8936" i="1"/>
  <c r="E8936" i="1"/>
  <c r="G8936" i="1"/>
  <c r="K8936" i="1"/>
  <c r="A8937" i="1"/>
  <c r="B8937" i="1"/>
  <c r="C8937" i="1"/>
  <c r="E8937" i="1"/>
  <c r="G8937" i="1"/>
  <c r="K8937" i="1"/>
  <c r="A8938" i="1"/>
  <c r="B8938" i="1"/>
  <c r="C8938" i="1"/>
  <c r="E8938" i="1"/>
  <c r="G8938" i="1"/>
  <c r="K8938" i="1"/>
  <c r="A8939" i="1"/>
  <c r="B8939" i="1"/>
  <c r="C8939" i="1"/>
  <c r="E8939" i="1"/>
  <c r="G8939" i="1"/>
  <c r="K8939" i="1"/>
  <c r="A8940" i="1"/>
  <c r="B8940" i="1"/>
  <c r="C8940" i="1"/>
  <c r="E8940" i="1"/>
  <c r="G8940" i="1"/>
  <c r="K8940" i="1"/>
  <c r="A8941" i="1"/>
  <c r="B8941" i="1"/>
  <c r="C8941" i="1"/>
  <c r="E8941" i="1"/>
  <c r="G8941" i="1"/>
  <c r="K8941" i="1"/>
  <c r="A8942" i="1"/>
  <c r="B8942" i="1"/>
  <c r="C8942" i="1"/>
  <c r="E8942" i="1"/>
  <c r="G8942" i="1"/>
  <c r="K8942" i="1"/>
  <c r="A8943" i="1"/>
  <c r="B8943" i="1"/>
  <c r="C8943" i="1"/>
  <c r="E8943" i="1"/>
  <c r="G8943" i="1"/>
  <c r="K8943" i="1"/>
  <c r="A8944" i="1"/>
  <c r="B8944" i="1"/>
  <c r="C8944" i="1"/>
  <c r="E8944" i="1"/>
  <c r="G8944" i="1"/>
  <c r="K8944" i="1"/>
  <c r="A8945" i="1"/>
  <c r="B8945" i="1"/>
  <c r="C8945" i="1"/>
  <c r="E8945" i="1"/>
  <c r="G8945" i="1"/>
  <c r="K8945" i="1"/>
  <c r="A8946" i="1"/>
  <c r="B8946" i="1"/>
  <c r="C8946" i="1"/>
  <c r="E8946" i="1"/>
  <c r="G8946" i="1"/>
  <c r="K8946" i="1"/>
  <c r="A8947" i="1"/>
  <c r="B8947" i="1"/>
  <c r="C8947" i="1"/>
  <c r="E8947" i="1"/>
  <c r="G8947" i="1"/>
  <c r="K8947" i="1"/>
  <c r="A8948" i="1"/>
  <c r="B8948" i="1"/>
  <c r="C8948" i="1"/>
  <c r="E8948" i="1"/>
  <c r="G8948" i="1"/>
  <c r="K8948" i="1"/>
  <c r="A8949" i="1"/>
  <c r="B8949" i="1"/>
  <c r="C8949" i="1"/>
  <c r="E8949" i="1"/>
  <c r="G8949" i="1"/>
  <c r="K8949" i="1"/>
  <c r="A8950" i="1"/>
  <c r="B8950" i="1"/>
  <c r="C8950" i="1"/>
  <c r="E8950" i="1"/>
  <c r="G8950" i="1"/>
  <c r="K8950" i="1"/>
  <c r="A8951" i="1"/>
  <c r="B8951" i="1"/>
  <c r="C8951" i="1"/>
  <c r="E8951" i="1"/>
  <c r="G8951" i="1"/>
  <c r="K8951" i="1"/>
  <c r="A8952" i="1"/>
  <c r="B8952" i="1"/>
  <c r="C8952" i="1"/>
  <c r="E8952" i="1"/>
  <c r="G8952" i="1"/>
  <c r="K8952" i="1"/>
  <c r="A8953" i="1"/>
  <c r="B8953" i="1"/>
  <c r="C8953" i="1"/>
  <c r="E8953" i="1"/>
  <c r="G8953" i="1"/>
  <c r="K8953" i="1"/>
  <c r="A8954" i="1"/>
  <c r="B8954" i="1"/>
  <c r="C8954" i="1"/>
  <c r="E8954" i="1"/>
  <c r="G8954" i="1"/>
  <c r="K8954" i="1"/>
  <c r="A8955" i="1"/>
  <c r="B8955" i="1"/>
  <c r="C8955" i="1"/>
  <c r="E8955" i="1"/>
  <c r="G8955" i="1"/>
  <c r="K8955" i="1"/>
  <c r="A8956" i="1"/>
  <c r="B8956" i="1"/>
  <c r="C8956" i="1"/>
  <c r="E8956" i="1"/>
  <c r="G8956" i="1"/>
  <c r="K8956" i="1"/>
  <c r="A8957" i="1"/>
  <c r="B8957" i="1"/>
  <c r="C8957" i="1"/>
  <c r="E8957" i="1"/>
  <c r="G8957" i="1"/>
  <c r="K8957" i="1"/>
  <c r="A8958" i="1"/>
  <c r="B8958" i="1"/>
  <c r="C8958" i="1"/>
  <c r="E8958" i="1"/>
  <c r="G8958" i="1"/>
  <c r="K8958" i="1"/>
  <c r="A8959" i="1"/>
  <c r="B8959" i="1"/>
  <c r="C8959" i="1"/>
  <c r="E8959" i="1"/>
  <c r="G8959" i="1"/>
  <c r="K8959" i="1"/>
  <c r="A8960" i="1"/>
  <c r="B8960" i="1"/>
  <c r="C8960" i="1"/>
  <c r="E8960" i="1"/>
  <c r="G8960" i="1"/>
  <c r="K8960" i="1"/>
  <c r="A8961" i="1"/>
  <c r="B8961" i="1"/>
  <c r="C8961" i="1"/>
  <c r="E8961" i="1"/>
  <c r="G8961" i="1"/>
  <c r="K8961" i="1"/>
  <c r="A8962" i="1"/>
  <c r="B8962" i="1"/>
  <c r="C8962" i="1"/>
  <c r="E8962" i="1"/>
  <c r="G8962" i="1"/>
  <c r="K8962" i="1"/>
  <c r="A8963" i="1"/>
  <c r="B8963" i="1"/>
  <c r="C8963" i="1"/>
  <c r="E8963" i="1"/>
  <c r="G8963" i="1"/>
  <c r="K8963" i="1"/>
  <c r="A8964" i="1"/>
  <c r="B8964" i="1"/>
  <c r="C8964" i="1"/>
  <c r="E8964" i="1"/>
  <c r="G8964" i="1"/>
  <c r="K8964" i="1"/>
  <c r="A8965" i="1"/>
  <c r="B8965" i="1"/>
  <c r="C8965" i="1"/>
  <c r="E8965" i="1"/>
  <c r="G8965" i="1"/>
  <c r="K8965" i="1"/>
  <c r="A8966" i="1"/>
  <c r="B8966" i="1"/>
  <c r="C8966" i="1"/>
  <c r="E8966" i="1"/>
  <c r="G8966" i="1"/>
  <c r="K8966" i="1"/>
  <c r="A8967" i="1"/>
  <c r="B8967" i="1"/>
  <c r="C8967" i="1"/>
  <c r="E8967" i="1"/>
  <c r="G8967" i="1"/>
  <c r="K8967" i="1"/>
  <c r="A8968" i="1"/>
  <c r="B8968" i="1"/>
  <c r="C8968" i="1"/>
  <c r="E8968" i="1"/>
  <c r="G8968" i="1"/>
  <c r="K8968" i="1"/>
  <c r="A8969" i="1"/>
  <c r="B8969" i="1"/>
  <c r="C8969" i="1"/>
  <c r="E8969" i="1"/>
  <c r="G8969" i="1"/>
  <c r="K8969" i="1"/>
  <c r="A8970" i="1"/>
  <c r="B8970" i="1"/>
  <c r="C8970" i="1"/>
  <c r="E8970" i="1"/>
  <c r="G8970" i="1"/>
  <c r="K8970" i="1"/>
  <c r="A8971" i="1"/>
  <c r="B8971" i="1"/>
  <c r="C8971" i="1"/>
  <c r="E8971" i="1"/>
  <c r="G8971" i="1"/>
  <c r="K8971" i="1"/>
  <c r="A8972" i="1"/>
  <c r="B8972" i="1"/>
  <c r="C8972" i="1"/>
  <c r="E8972" i="1"/>
  <c r="G8972" i="1"/>
  <c r="K8972" i="1"/>
  <c r="A8973" i="1"/>
  <c r="B8973" i="1"/>
  <c r="C8973" i="1"/>
  <c r="E8973" i="1"/>
  <c r="G8973" i="1"/>
  <c r="K8973" i="1"/>
  <c r="A8974" i="1"/>
  <c r="B8974" i="1"/>
  <c r="C8974" i="1"/>
  <c r="E8974" i="1"/>
  <c r="G8974" i="1"/>
  <c r="K8974" i="1"/>
  <c r="A8975" i="1"/>
  <c r="B8975" i="1"/>
  <c r="C8975" i="1"/>
  <c r="E8975" i="1"/>
  <c r="G8975" i="1"/>
  <c r="K8975" i="1"/>
  <c r="A8976" i="1"/>
  <c r="B8976" i="1"/>
  <c r="C8976" i="1"/>
  <c r="E8976" i="1"/>
  <c r="G8976" i="1"/>
  <c r="K8976" i="1"/>
  <c r="A8977" i="1"/>
  <c r="B8977" i="1"/>
  <c r="C8977" i="1"/>
  <c r="E8977" i="1"/>
  <c r="G8977" i="1"/>
  <c r="K8977" i="1"/>
  <c r="A8978" i="1"/>
  <c r="B8978" i="1"/>
  <c r="C8978" i="1"/>
  <c r="E8978" i="1"/>
  <c r="G8978" i="1"/>
  <c r="K8978" i="1"/>
  <c r="A8979" i="1"/>
  <c r="B8979" i="1"/>
  <c r="C8979" i="1"/>
  <c r="E8979" i="1"/>
  <c r="G8979" i="1"/>
  <c r="K8979" i="1"/>
  <c r="A8980" i="1"/>
  <c r="B8980" i="1"/>
  <c r="C8980" i="1"/>
  <c r="E8980" i="1"/>
  <c r="G8980" i="1"/>
  <c r="K8980" i="1"/>
  <c r="A8981" i="1"/>
  <c r="B8981" i="1"/>
  <c r="C8981" i="1"/>
  <c r="E8981" i="1"/>
  <c r="G8981" i="1"/>
  <c r="K8981" i="1"/>
  <c r="A8982" i="1"/>
  <c r="B8982" i="1"/>
  <c r="C8982" i="1"/>
  <c r="E8982" i="1"/>
  <c r="G8982" i="1"/>
  <c r="K8982" i="1"/>
  <c r="A8983" i="1"/>
  <c r="B8983" i="1"/>
  <c r="C8983" i="1"/>
  <c r="E8983" i="1"/>
  <c r="G8983" i="1"/>
  <c r="K8983" i="1"/>
  <c r="A8984" i="1"/>
  <c r="B8984" i="1"/>
  <c r="C8984" i="1"/>
  <c r="E8984" i="1"/>
  <c r="G8984" i="1"/>
  <c r="K8984" i="1"/>
  <c r="A8985" i="1"/>
  <c r="B8985" i="1"/>
  <c r="C8985" i="1"/>
  <c r="E8985" i="1"/>
  <c r="G8985" i="1"/>
  <c r="K8985" i="1"/>
  <c r="A8986" i="1"/>
  <c r="B8986" i="1"/>
  <c r="C8986" i="1"/>
  <c r="E8986" i="1"/>
  <c r="G8986" i="1"/>
  <c r="K8986" i="1"/>
  <c r="A8987" i="1"/>
  <c r="B8987" i="1"/>
  <c r="C8987" i="1"/>
  <c r="E8987" i="1"/>
  <c r="G8987" i="1"/>
  <c r="K8987" i="1"/>
  <c r="A8988" i="1"/>
  <c r="B8988" i="1"/>
  <c r="C8988" i="1"/>
  <c r="E8988" i="1"/>
  <c r="G8988" i="1"/>
  <c r="K8988" i="1"/>
  <c r="A8989" i="1"/>
  <c r="B8989" i="1"/>
  <c r="C8989" i="1"/>
  <c r="E8989" i="1"/>
  <c r="G8989" i="1"/>
  <c r="K8989" i="1"/>
  <c r="A8990" i="1"/>
  <c r="B8990" i="1"/>
  <c r="C8990" i="1"/>
  <c r="E8990" i="1"/>
  <c r="G8990" i="1"/>
  <c r="K8990" i="1"/>
  <c r="A8991" i="1"/>
  <c r="B8991" i="1"/>
  <c r="C8991" i="1"/>
  <c r="E8991" i="1"/>
  <c r="G8991" i="1"/>
  <c r="K8991" i="1"/>
  <c r="A8992" i="1"/>
  <c r="B8992" i="1"/>
  <c r="C8992" i="1"/>
  <c r="E8992" i="1"/>
  <c r="G8992" i="1"/>
  <c r="K8992" i="1"/>
  <c r="A8993" i="1"/>
  <c r="B8993" i="1"/>
  <c r="C8993" i="1"/>
  <c r="E8993" i="1"/>
  <c r="G8993" i="1"/>
  <c r="K8993" i="1"/>
  <c r="A8994" i="1"/>
  <c r="B8994" i="1"/>
  <c r="C8994" i="1"/>
  <c r="E8994" i="1"/>
  <c r="G8994" i="1"/>
  <c r="K8994" i="1"/>
  <c r="A8995" i="1"/>
  <c r="B8995" i="1"/>
  <c r="C8995" i="1"/>
  <c r="E8995" i="1"/>
  <c r="G8995" i="1"/>
  <c r="K8995" i="1"/>
  <c r="A8996" i="1"/>
  <c r="B8996" i="1"/>
  <c r="C8996" i="1"/>
  <c r="E8996" i="1"/>
  <c r="G8996" i="1"/>
  <c r="K8996" i="1"/>
  <c r="A8997" i="1"/>
  <c r="B8997" i="1"/>
  <c r="C8997" i="1"/>
  <c r="E8997" i="1"/>
  <c r="G8997" i="1"/>
  <c r="K8997" i="1"/>
  <c r="A8998" i="1"/>
  <c r="B8998" i="1"/>
  <c r="C8998" i="1"/>
  <c r="E8998" i="1"/>
  <c r="G8998" i="1"/>
  <c r="K8998" i="1"/>
  <c r="A8999" i="1"/>
  <c r="B8999" i="1"/>
  <c r="C8999" i="1"/>
  <c r="E8999" i="1"/>
  <c r="G8999" i="1"/>
  <c r="K8999" i="1"/>
  <c r="A9000" i="1"/>
  <c r="B9000" i="1"/>
  <c r="C9000" i="1"/>
  <c r="E9000" i="1"/>
  <c r="G9000" i="1"/>
  <c r="K9000" i="1"/>
  <c r="A9001" i="1"/>
  <c r="B9001" i="1"/>
  <c r="C9001" i="1"/>
  <c r="E9001" i="1"/>
  <c r="G9001" i="1"/>
  <c r="K9001" i="1"/>
  <c r="A9002" i="1"/>
  <c r="B9002" i="1"/>
  <c r="C9002" i="1"/>
  <c r="E9002" i="1"/>
  <c r="G9002" i="1"/>
  <c r="K9002" i="1"/>
  <c r="A9003" i="1"/>
  <c r="B9003" i="1"/>
  <c r="C9003" i="1"/>
  <c r="E9003" i="1"/>
  <c r="G9003" i="1"/>
  <c r="K9003" i="1"/>
  <c r="A9004" i="1"/>
  <c r="B9004" i="1"/>
  <c r="C9004" i="1"/>
  <c r="E9004" i="1"/>
  <c r="G9004" i="1"/>
  <c r="K9004" i="1"/>
  <c r="A9005" i="1"/>
  <c r="B9005" i="1"/>
  <c r="C9005" i="1"/>
  <c r="E9005" i="1"/>
  <c r="G9005" i="1"/>
  <c r="K9005" i="1"/>
  <c r="A9006" i="1"/>
  <c r="B9006" i="1"/>
  <c r="C9006" i="1"/>
  <c r="E9006" i="1"/>
  <c r="G9006" i="1"/>
  <c r="K9006" i="1"/>
  <c r="A9007" i="1"/>
  <c r="B9007" i="1"/>
  <c r="C9007" i="1"/>
  <c r="E9007" i="1"/>
  <c r="G9007" i="1"/>
  <c r="K9007" i="1"/>
  <c r="A9008" i="1"/>
  <c r="B9008" i="1"/>
  <c r="C9008" i="1"/>
  <c r="E9008" i="1"/>
  <c r="G9008" i="1"/>
  <c r="K9008" i="1"/>
  <c r="A9009" i="1"/>
  <c r="B9009" i="1"/>
  <c r="C9009" i="1"/>
  <c r="E9009" i="1"/>
  <c r="G9009" i="1"/>
  <c r="K9009" i="1"/>
  <c r="A9010" i="1"/>
  <c r="B9010" i="1"/>
  <c r="C9010" i="1"/>
  <c r="E9010" i="1"/>
  <c r="G9010" i="1"/>
  <c r="K9010" i="1"/>
  <c r="A9011" i="1"/>
  <c r="B9011" i="1"/>
  <c r="C9011" i="1"/>
  <c r="E9011" i="1"/>
  <c r="G9011" i="1"/>
  <c r="K9011" i="1"/>
  <c r="A9012" i="1"/>
  <c r="B9012" i="1"/>
  <c r="C9012" i="1"/>
  <c r="E9012" i="1"/>
  <c r="G9012" i="1"/>
  <c r="K9012" i="1"/>
  <c r="A9013" i="1"/>
  <c r="B9013" i="1"/>
  <c r="C9013" i="1"/>
  <c r="E9013" i="1"/>
  <c r="G9013" i="1"/>
  <c r="K9013" i="1"/>
  <c r="A9014" i="1"/>
  <c r="B9014" i="1"/>
  <c r="C9014" i="1"/>
  <c r="E9014" i="1"/>
  <c r="G9014" i="1"/>
  <c r="K9014" i="1"/>
  <c r="A9015" i="1"/>
  <c r="B9015" i="1"/>
  <c r="C9015" i="1"/>
  <c r="E9015" i="1"/>
  <c r="G9015" i="1"/>
  <c r="K9015" i="1"/>
  <c r="A9016" i="1"/>
  <c r="B9016" i="1"/>
  <c r="C9016" i="1"/>
  <c r="E9016" i="1"/>
  <c r="G9016" i="1"/>
  <c r="K9016" i="1"/>
  <c r="A9017" i="1"/>
  <c r="B9017" i="1"/>
  <c r="C9017" i="1"/>
  <c r="E9017" i="1"/>
  <c r="G9017" i="1"/>
  <c r="K9017" i="1"/>
  <c r="A9018" i="1"/>
  <c r="B9018" i="1"/>
  <c r="C9018" i="1"/>
  <c r="E9018" i="1"/>
  <c r="G9018" i="1"/>
  <c r="K9018" i="1"/>
  <c r="A9019" i="1"/>
  <c r="B9019" i="1"/>
  <c r="C9019" i="1"/>
  <c r="E9019" i="1"/>
  <c r="G9019" i="1"/>
  <c r="K9019" i="1"/>
  <c r="A9020" i="1"/>
  <c r="B9020" i="1"/>
  <c r="C9020" i="1"/>
  <c r="E9020" i="1"/>
  <c r="G9020" i="1"/>
  <c r="K9020" i="1"/>
  <c r="A9021" i="1"/>
  <c r="B9021" i="1"/>
  <c r="C9021" i="1"/>
  <c r="E9021" i="1"/>
  <c r="G9021" i="1"/>
  <c r="K9021" i="1"/>
  <c r="A9022" i="1"/>
  <c r="B9022" i="1"/>
  <c r="C9022" i="1"/>
  <c r="E9022" i="1"/>
  <c r="G9022" i="1"/>
  <c r="K9022" i="1"/>
  <c r="A9023" i="1"/>
  <c r="B9023" i="1"/>
  <c r="C9023" i="1"/>
  <c r="E9023" i="1"/>
  <c r="G9023" i="1"/>
  <c r="K9023" i="1"/>
  <c r="A9024" i="1"/>
  <c r="B9024" i="1"/>
  <c r="C9024" i="1"/>
  <c r="E9024" i="1"/>
  <c r="G9024" i="1"/>
  <c r="K9024" i="1"/>
  <c r="A9025" i="1"/>
  <c r="B9025" i="1"/>
  <c r="C9025" i="1"/>
  <c r="E9025" i="1"/>
  <c r="G9025" i="1"/>
  <c r="K9025" i="1"/>
  <c r="A9026" i="1"/>
  <c r="B9026" i="1"/>
  <c r="C9026" i="1"/>
  <c r="E9026" i="1"/>
  <c r="G9026" i="1"/>
  <c r="K9026" i="1"/>
  <c r="A9027" i="1"/>
  <c r="B9027" i="1"/>
  <c r="C9027" i="1"/>
  <c r="E9027" i="1"/>
  <c r="G9027" i="1"/>
  <c r="K9027" i="1"/>
  <c r="A9028" i="1"/>
  <c r="B9028" i="1"/>
  <c r="C9028" i="1"/>
  <c r="E9028" i="1"/>
  <c r="G9028" i="1"/>
  <c r="K9028" i="1"/>
  <c r="A9029" i="1"/>
  <c r="B9029" i="1"/>
  <c r="C9029" i="1"/>
  <c r="E9029" i="1"/>
  <c r="G9029" i="1"/>
  <c r="K9029" i="1"/>
  <c r="A9030" i="1"/>
  <c r="B9030" i="1"/>
  <c r="C9030" i="1"/>
  <c r="E9030" i="1"/>
  <c r="G9030" i="1"/>
  <c r="K9030" i="1"/>
  <c r="A9031" i="1"/>
  <c r="B9031" i="1"/>
  <c r="C9031" i="1"/>
  <c r="E9031" i="1"/>
  <c r="G9031" i="1"/>
  <c r="K9031" i="1"/>
  <c r="A9032" i="1"/>
  <c r="B9032" i="1"/>
  <c r="C9032" i="1"/>
  <c r="E9032" i="1"/>
  <c r="G9032" i="1"/>
  <c r="K9032" i="1"/>
  <c r="A9033" i="1"/>
  <c r="B9033" i="1"/>
  <c r="C9033" i="1"/>
  <c r="E9033" i="1"/>
  <c r="G9033" i="1"/>
  <c r="K9033" i="1"/>
  <c r="A9034" i="1"/>
  <c r="B9034" i="1"/>
  <c r="C9034" i="1"/>
  <c r="E9034" i="1"/>
  <c r="G9034" i="1"/>
  <c r="K9034" i="1"/>
  <c r="A9035" i="1"/>
  <c r="B9035" i="1"/>
  <c r="C9035" i="1"/>
  <c r="E9035" i="1"/>
  <c r="G9035" i="1"/>
  <c r="K9035" i="1"/>
  <c r="A9036" i="1"/>
  <c r="B9036" i="1"/>
  <c r="C9036" i="1"/>
  <c r="E9036" i="1"/>
  <c r="G9036" i="1"/>
  <c r="K9036" i="1"/>
  <c r="A9037" i="1"/>
  <c r="B9037" i="1"/>
  <c r="C9037" i="1"/>
  <c r="E9037" i="1"/>
  <c r="G9037" i="1"/>
  <c r="K9037" i="1"/>
  <c r="A9038" i="1"/>
  <c r="B9038" i="1"/>
  <c r="C9038" i="1"/>
  <c r="E9038" i="1"/>
  <c r="G9038" i="1"/>
  <c r="K9038" i="1"/>
  <c r="A9039" i="1"/>
  <c r="B9039" i="1"/>
  <c r="C9039" i="1"/>
  <c r="E9039" i="1"/>
  <c r="G9039" i="1"/>
  <c r="K9039" i="1"/>
  <c r="A9040" i="1"/>
  <c r="B9040" i="1"/>
  <c r="C9040" i="1"/>
  <c r="E9040" i="1"/>
  <c r="G9040" i="1"/>
  <c r="K9040" i="1"/>
  <c r="A9041" i="1"/>
  <c r="B9041" i="1"/>
  <c r="C9041" i="1"/>
  <c r="E9041" i="1"/>
  <c r="G9041" i="1"/>
  <c r="K9041" i="1"/>
  <c r="A9042" i="1"/>
  <c r="B9042" i="1"/>
  <c r="C9042" i="1"/>
  <c r="E9042" i="1"/>
  <c r="G9042" i="1"/>
  <c r="K9042" i="1"/>
  <c r="A9043" i="1"/>
  <c r="B9043" i="1"/>
  <c r="C9043" i="1"/>
  <c r="E9043" i="1"/>
  <c r="G9043" i="1"/>
  <c r="K9043" i="1"/>
  <c r="A9044" i="1"/>
  <c r="B9044" i="1"/>
  <c r="C9044" i="1"/>
  <c r="E9044" i="1"/>
  <c r="G9044" i="1"/>
  <c r="K9044" i="1"/>
  <c r="A9045" i="1"/>
  <c r="B9045" i="1"/>
  <c r="C9045" i="1"/>
  <c r="E9045" i="1"/>
  <c r="G9045" i="1"/>
  <c r="K9045" i="1"/>
  <c r="A9046" i="1"/>
  <c r="B9046" i="1"/>
  <c r="C9046" i="1"/>
  <c r="E9046" i="1"/>
  <c r="G9046" i="1"/>
  <c r="K9046" i="1"/>
  <c r="A9047" i="1"/>
  <c r="B9047" i="1"/>
  <c r="C9047" i="1"/>
  <c r="E9047" i="1"/>
  <c r="G9047" i="1"/>
  <c r="K9047" i="1"/>
  <c r="A9048" i="1"/>
  <c r="B9048" i="1"/>
  <c r="C9048" i="1"/>
  <c r="E9048" i="1"/>
  <c r="G9048" i="1"/>
  <c r="K9048" i="1"/>
  <c r="A9049" i="1"/>
  <c r="B9049" i="1"/>
  <c r="C9049" i="1"/>
  <c r="E9049" i="1"/>
  <c r="G9049" i="1"/>
  <c r="K9049" i="1"/>
  <c r="A9050" i="1"/>
  <c r="B9050" i="1"/>
  <c r="C9050" i="1"/>
  <c r="E9050" i="1"/>
  <c r="G9050" i="1"/>
  <c r="K9050" i="1"/>
  <c r="A9051" i="1"/>
  <c r="B9051" i="1"/>
  <c r="C9051" i="1"/>
  <c r="E9051" i="1"/>
  <c r="G9051" i="1"/>
  <c r="K9051" i="1"/>
  <c r="A9052" i="1"/>
  <c r="B9052" i="1"/>
  <c r="C9052" i="1"/>
  <c r="E9052" i="1"/>
  <c r="G9052" i="1"/>
  <c r="K9052" i="1"/>
  <c r="A9053" i="1"/>
  <c r="B9053" i="1"/>
  <c r="C9053" i="1"/>
  <c r="E9053" i="1"/>
  <c r="G9053" i="1"/>
  <c r="K9053" i="1"/>
  <c r="A9054" i="1"/>
  <c r="B9054" i="1"/>
  <c r="C9054" i="1"/>
  <c r="E9054" i="1"/>
  <c r="G9054" i="1"/>
  <c r="K9054" i="1"/>
  <c r="A9055" i="1"/>
  <c r="B9055" i="1"/>
  <c r="C9055" i="1"/>
  <c r="E9055" i="1"/>
  <c r="G9055" i="1"/>
  <c r="K9055" i="1"/>
  <c r="A9056" i="1"/>
  <c r="B9056" i="1"/>
  <c r="C9056" i="1"/>
  <c r="E9056" i="1"/>
  <c r="G9056" i="1"/>
  <c r="K9056" i="1"/>
  <c r="A9057" i="1"/>
  <c r="B9057" i="1"/>
  <c r="C9057" i="1"/>
  <c r="E9057" i="1"/>
  <c r="G9057" i="1"/>
  <c r="K9057" i="1"/>
  <c r="A9058" i="1"/>
  <c r="B9058" i="1"/>
  <c r="C9058" i="1"/>
  <c r="E9058" i="1"/>
  <c r="G9058" i="1"/>
  <c r="K9058" i="1"/>
  <c r="A9059" i="1"/>
  <c r="B9059" i="1"/>
  <c r="C9059" i="1"/>
  <c r="E9059" i="1"/>
  <c r="G9059" i="1"/>
  <c r="K9059" i="1"/>
  <c r="A9060" i="1"/>
  <c r="B9060" i="1"/>
  <c r="C9060" i="1"/>
  <c r="E9060" i="1"/>
  <c r="G9060" i="1"/>
  <c r="K9060" i="1"/>
  <c r="A9061" i="1"/>
  <c r="B9061" i="1"/>
  <c r="C9061" i="1"/>
  <c r="E9061" i="1"/>
  <c r="G9061" i="1"/>
  <c r="K9061" i="1"/>
  <c r="A9062" i="1"/>
  <c r="B9062" i="1"/>
  <c r="C9062" i="1"/>
  <c r="E9062" i="1"/>
  <c r="G9062" i="1"/>
  <c r="K9062" i="1"/>
  <c r="A9063" i="1"/>
  <c r="B9063" i="1"/>
  <c r="C9063" i="1"/>
  <c r="E9063" i="1"/>
  <c r="G9063" i="1"/>
  <c r="K9063" i="1"/>
  <c r="A9064" i="1"/>
  <c r="B9064" i="1"/>
  <c r="C9064" i="1"/>
  <c r="E9064" i="1"/>
  <c r="G9064" i="1"/>
  <c r="K9064" i="1"/>
  <c r="A9065" i="1"/>
  <c r="B9065" i="1"/>
  <c r="C9065" i="1"/>
  <c r="E9065" i="1"/>
  <c r="G9065" i="1"/>
  <c r="K9065" i="1"/>
  <c r="A9066" i="1"/>
  <c r="B9066" i="1"/>
  <c r="C9066" i="1"/>
  <c r="E9066" i="1"/>
  <c r="G9066" i="1"/>
  <c r="K9066" i="1"/>
  <c r="A9067" i="1"/>
  <c r="B9067" i="1"/>
  <c r="C9067" i="1"/>
  <c r="E9067" i="1"/>
  <c r="G9067" i="1"/>
  <c r="K9067" i="1"/>
  <c r="A9068" i="1"/>
  <c r="B9068" i="1"/>
  <c r="C9068" i="1"/>
  <c r="E9068" i="1"/>
  <c r="G9068" i="1"/>
  <c r="K9068" i="1"/>
  <c r="A9069" i="1"/>
  <c r="B9069" i="1"/>
  <c r="C9069" i="1"/>
  <c r="E9069" i="1"/>
  <c r="G9069" i="1"/>
  <c r="K9069" i="1"/>
  <c r="A9070" i="1"/>
  <c r="B9070" i="1"/>
  <c r="C9070" i="1"/>
  <c r="E9070" i="1"/>
  <c r="G9070" i="1"/>
  <c r="K9070" i="1"/>
  <c r="A9071" i="1"/>
  <c r="B9071" i="1"/>
  <c r="C9071" i="1"/>
  <c r="E9071" i="1"/>
  <c r="G9071" i="1"/>
  <c r="K9071" i="1"/>
  <c r="A9072" i="1"/>
  <c r="B9072" i="1"/>
  <c r="C9072" i="1"/>
  <c r="E9072" i="1"/>
  <c r="G9072" i="1"/>
  <c r="K9072" i="1"/>
  <c r="A9073" i="1"/>
  <c r="B9073" i="1"/>
  <c r="C9073" i="1"/>
  <c r="E9073" i="1"/>
  <c r="G9073" i="1"/>
  <c r="K9073" i="1"/>
  <c r="A9074" i="1"/>
  <c r="B9074" i="1"/>
  <c r="C9074" i="1"/>
  <c r="E9074" i="1"/>
  <c r="G9074" i="1"/>
  <c r="K9074" i="1"/>
  <c r="A9075" i="1"/>
  <c r="B9075" i="1"/>
  <c r="C9075" i="1"/>
  <c r="E9075" i="1"/>
  <c r="G9075" i="1"/>
  <c r="K9075" i="1"/>
  <c r="A9076" i="1"/>
  <c r="B9076" i="1"/>
  <c r="C9076" i="1"/>
  <c r="E9076" i="1"/>
  <c r="G9076" i="1"/>
  <c r="K9076" i="1"/>
  <c r="A9077" i="1"/>
  <c r="B9077" i="1"/>
  <c r="C9077" i="1"/>
  <c r="E9077" i="1"/>
  <c r="G9077" i="1"/>
  <c r="K9077" i="1"/>
  <c r="A9078" i="1"/>
  <c r="B9078" i="1"/>
  <c r="C9078" i="1"/>
  <c r="E9078" i="1"/>
  <c r="G9078" i="1"/>
  <c r="K9078" i="1"/>
  <c r="A9079" i="1"/>
  <c r="B9079" i="1"/>
  <c r="C9079" i="1"/>
  <c r="E9079" i="1"/>
  <c r="G9079" i="1"/>
  <c r="K9079" i="1"/>
  <c r="A9080" i="1"/>
  <c r="B9080" i="1"/>
  <c r="C9080" i="1"/>
  <c r="E9080" i="1"/>
  <c r="G9080" i="1"/>
  <c r="K9080" i="1"/>
  <c r="A9081" i="1"/>
  <c r="B9081" i="1"/>
  <c r="C9081" i="1"/>
  <c r="E9081" i="1"/>
  <c r="G9081" i="1"/>
  <c r="K9081" i="1"/>
  <c r="A9082" i="1"/>
  <c r="B9082" i="1"/>
  <c r="C9082" i="1"/>
  <c r="E9082" i="1"/>
  <c r="G9082" i="1"/>
  <c r="K9082" i="1"/>
  <c r="A9083" i="1"/>
  <c r="B9083" i="1"/>
  <c r="C9083" i="1"/>
  <c r="E9083" i="1"/>
  <c r="G9083" i="1"/>
  <c r="K9083" i="1"/>
  <c r="A9084" i="1"/>
  <c r="B9084" i="1"/>
  <c r="C9084" i="1"/>
  <c r="E9084" i="1"/>
  <c r="G9084" i="1"/>
  <c r="K9084" i="1"/>
  <c r="A9085" i="1"/>
  <c r="B9085" i="1"/>
  <c r="C9085" i="1"/>
  <c r="E9085" i="1"/>
  <c r="G9085" i="1"/>
  <c r="K9085" i="1"/>
  <c r="A9086" i="1"/>
  <c r="B9086" i="1"/>
  <c r="C9086" i="1"/>
  <c r="E9086" i="1"/>
  <c r="G9086" i="1"/>
  <c r="K9086" i="1"/>
  <c r="A9087" i="1"/>
  <c r="B9087" i="1"/>
  <c r="C9087" i="1"/>
  <c r="E9087" i="1"/>
  <c r="G9087" i="1"/>
  <c r="K9087" i="1"/>
  <c r="A9088" i="1"/>
  <c r="B9088" i="1"/>
  <c r="C9088" i="1"/>
  <c r="E9088" i="1"/>
  <c r="G9088" i="1"/>
  <c r="K9088" i="1"/>
  <c r="A9089" i="1"/>
  <c r="B9089" i="1"/>
  <c r="C9089" i="1"/>
  <c r="E9089" i="1"/>
  <c r="G9089" i="1"/>
  <c r="K9089" i="1"/>
  <c r="A9090" i="1"/>
  <c r="B9090" i="1"/>
  <c r="C9090" i="1"/>
  <c r="E9090" i="1"/>
  <c r="G9090" i="1"/>
  <c r="K9090" i="1"/>
  <c r="A9091" i="1"/>
  <c r="B9091" i="1"/>
  <c r="C9091" i="1"/>
  <c r="E9091" i="1"/>
  <c r="G9091" i="1"/>
  <c r="K9091" i="1"/>
  <c r="A9092" i="1"/>
  <c r="B9092" i="1"/>
  <c r="C9092" i="1"/>
  <c r="E9092" i="1"/>
  <c r="G9092" i="1"/>
  <c r="K9092" i="1"/>
  <c r="A9093" i="1"/>
  <c r="B9093" i="1"/>
  <c r="C9093" i="1"/>
  <c r="E9093" i="1"/>
  <c r="G9093" i="1"/>
  <c r="K9093" i="1"/>
  <c r="A9094" i="1"/>
  <c r="B9094" i="1"/>
  <c r="C9094" i="1"/>
  <c r="E9094" i="1"/>
  <c r="G9094" i="1"/>
  <c r="K9094" i="1"/>
  <c r="A9095" i="1"/>
  <c r="B9095" i="1"/>
  <c r="C9095" i="1"/>
  <c r="E9095" i="1"/>
  <c r="G9095" i="1"/>
  <c r="K9095" i="1"/>
  <c r="A9096" i="1"/>
  <c r="B9096" i="1"/>
  <c r="C9096" i="1"/>
  <c r="E9096" i="1"/>
  <c r="G9096" i="1"/>
  <c r="K9096" i="1"/>
  <c r="A9097" i="1"/>
  <c r="B9097" i="1"/>
  <c r="C9097" i="1"/>
  <c r="E9097" i="1"/>
  <c r="G9097" i="1"/>
  <c r="K9097" i="1"/>
  <c r="A9098" i="1"/>
  <c r="B9098" i="1"/>
  <c r="C9098" i="1"/>
  <c r="E9098" i="1"/>
  <c r="G9098" i="1"/>
  <c r="K9098" i="1"/>
  <c r="A9099" i="1"/>
  <c r="B9099" i="1"/>
  <c r="C9099" i="1"/>
  <c r="E9099" i="1"/>
  <c r="G9099" i="1"/>
  <c r="K9099" i="1"/>
  <c r="A9100" i="1"/>
  <c r="B9100" i="1"/>
  <c r="C9100" i="1"/>
  <c r="E9100" i="1"/>
  <c r="G9100" i="1"/>
  <c r="K9100" i="1"/>
  <c r="A9101" i="1"/>
  <c r="B9101" i="1"/>
  <c r="C9101" i="1"/>
  <c r="E9101" i="1"/>
  <c r="G9101" i="1"/>
  <c r="K9101" i="1"/>
  <c r="A9102" i="1"/>
  <c r="B9102" i="1"/>
  <c r="C9102" i="1"/>
  <c r="E9102" i="1"/>
  <c r="G9102" i="1"/>
  <c r="K9102" i="1"/>
  <c r="A9103" i="1"/>
  <c r="B9103" i="1"/>
  <c r="C9103" i="1"/>
  <c r="E9103" i="1"/>
  <c r="G9103" i="1"/>
  <c r="K9103" i="1"/>
  <c r="A9104" i="1"/>
  <c r="B9104" i="1"/>
  <c r="C9104" i="1"/>
  <c r="E9104" i="1"/>
  <c r="G9104" i="1"/>
  <c r="K9104" i="1"/>
  <c r="A9105" i="1"/>
  <c r="B9105" i="1"/>
  <c r="C9105" i="1"/>
  <c r="E9105" i="1"/>
  <c r="G9105" i="1"/>
  <c r="K9105" i="1"/>
  <c r="A9106" i="1"/>
  <c r="B9106" i="1"/>
  <c r="C9106" i="1"/>
  <c r="E9106" i="1"/>
  <c r="G9106" i="1"/>
  <c r="K9106" i="1"/>
  <c r="A9107" i="1"/>
  <c r="B9107" i="1"/>
  <c r="C9107" i="1"/>
  <c r="E9107" i="1"/>
  <c r="G9107" i="1"/>
  <c r="K9107" i="1"/>
  <c r="A9108" i="1"/>
  <c r="B9108" i="1"/>
  <c r="C9108" i="1"/>
  <c r="E9108" i="1"/>
  <c r="G9108" i="1"/>
  <c r="K9108" i="1"/>
  <c r="A9109" i="1"/>
  <c r="B9109" i="1"/>
  <c r="C9109" i="1"/>
  <c r="E9109" i="1"/>
  <c r="G9109" i="1"/>
  <c r="K9109" i="1"/>
  <c r="A9110" i="1"/>
  <c r="B9110" i="1"/>
  <c r="C9110" i="1"/>
  <c r="E9110" i="1"/>
  <c r="G9110" i="1"/>
  <c r="K9110" i="1"/>
  <c r="A9111" i="1"/>
  <c r="B9111" i="1"/>
  <c r="C9111" i="1"/>
  <c r="E9111" i="1"/>
  <c r="G9111" i="1"/>
  <c r="K9111" i="1"/>
  <c r="A9112" i="1"/>
  <c r="B9112" i="1"/>
  <c r="C9112" i="1"/>
  <c r="E9112" i="1"/>
  <c r="G9112" i="1"/>
  <c r="K9112" i="1"/>
  <c r="A9113" i="1"/>
  <c r="B9113" i="1"/>
  <c r="C9113" i="1"/>
  <c r="E9113" i="1"/>
  <c r="G9113" i="1"/>
  <c r="K9113" i="1"/>
  <c r="A9114" i="1"/>
  <c r="B9114" i="1"/>
  <c r="C9114" i="1"/>
  <c r="E9114" i="1"/>
  <c r="G9114" i="1"/>
  <c r="K9114" i="1"/>
  <c r="A9115" i="1"/>
  <c r="B9115" i="1"/>
  <c r="C9115" i="1"/>
  <c r="E9115" i="1"/>
  <c r="G9115" i="1"/>
  <c r="K9115" i="1"/>
  <c r="A9116" i="1"/>
  <c r="B9116" i="1"/>
  <c r="C9116" i="1"/>
  <c r="E9116" i="1"/>
  <c r="G9116" i="1"/>
  <c r="K9116" i="1"/>
  <c r="A9117" i="1"/>
  <c r="B9117" i="1"/>
  <c r="C9117" i="1"/>
  <c r="E9117" i="1"/>
  <c r="G9117" i="1"/>
  <c r="K9117" i="1"/>
  <c r="A9118" i="1"/>
  <c r="B9118" i="1"/>
  <c r="C9118" i="1"/>
  <c r="E9118" i="1"/>
  <c r="G9118" i="1"/>
  <c r="K9118" i="1"/>
  <c r="A9119" i="1"/>
  <c r="B9119" i="1"/>
  <c r="C9119" i="1"/>
  <c r="E9119" i="1"/>
  <c r="G9119" i="1"/>
  <c r="K9119" i="1"/>
  <c r="A9120" i="1"/>
  <c r="B9120" i="1"/>
  <c r="C9120" i="1"/>
  <c r="E9120" i="1"/>
  <c r="G9120" i="1"/>
  <c r="K9120" i="1"/>
  <c r="A9121" i="1"/>
  <c r="B9121" i="1"/>
  <c r="C9121" i="1"/>
  <c r="E9121" i="1"/>
  <c r="G9121" i="1"/>
  <c r="K9121" i="1"/>
  <c r="A9122" i="1"/>
  <c r="B9122" i="1"/>
  <c r="C9122" i="1"/>
  <c r="E9122" i="1"/>
  <c r="G9122" i="1"/>
  <c r="K9122" i="1"/>
  <c r="A9123" i="1"/>
  <c r="B9123" i="1"/>
  <c r="C9123" i="1"/>
  <c r="E9123" i="1"/>
  <c r="G9123" i="1"/>
  <c r="K9123" i="1"/>
  <c r="A9124" i="1"/>
  <c r="B9124" i="1"/>
  <c r="C9124" i="1"/>
  <c r="E9124" i="1"/>
  <c r="G9124" i="1"/>
  <c r="K9124" i="1"/>
  <c r="A9125" i="1"/>
  <c r="B9125" i="1"/>
  <c r="C9125" i="1"/>
  <c r="E9125" i="1"/>
  <c r="G9125" i="1"/>
  <c r="K9125" i="1"/>
  <c r="A9126" i="1"/>
  <c r="B9126" i="1"/>
  <c r="C9126" i="1"/>
  <c r="E9126" i="1"/>
  <c r="G9126" i="1"/>
  <c r="K9126" i="1"/>
  <c r="A9127" i="1"/>
  <c r="B9127" i="1"/>
  <c r="C9127" i="1"/>
  <c r="E9127" i="1"/>
  <c r="G9127" i="1"/>
  <c r="K9127" i="1"/>
  <c r="A9128" i="1"/>
  <c r="B9128" i="1"/>
  <c r="C9128" i="1"/>
  <c r="E9128" i="1"/>
  <c r="G9128" i="1"/>
  <c r="K9128" i="1"/>
  <c r="A9129" i="1"/>
  <c r="B9129" i="1"/>
  <c r="C9129" i="1"/>
  <c r="E9129" i="1"/>
  <c r="G9129" i="1"/>
  <c r="K9129" i="1"/>
  <c r="A9130" i="1"/>
  <c r="B9130" i="1"/>
  <c r="C9130" i="1"/>
  <c r="E9130" i="1"/>
  <c r="G9130" i="1"/>
  <c r="K9130" i="1"/>
  <c r="A9131" i="1"/>
  <c r="B9131" i="1"/>
  <c r="C9131" i="1"/>
  <c r="E9131" i="1"/>
  <c r="G9131" i="1"/>
  <c r="K9131" i="1"/>
  <c r="A9132" i="1"/>
  <c r="B9132" i="1"/>
  <c r="C9132" i="1"/>
  <c r="E9132" i="1"/>
  <c r="G9132" i="1"/>
  <c r="K9132" i="1"/>
  <c r="A9133" i="1"/>
  <c r="B9133" i="1"/>
  <c r="C9133" i="1"/>
  <c r="E9133" i="1"/>
  <c r="G9133" i="1"/>
  <c r="K9133" i="1"/>
  <c r="A9134" i="1"/>
  <c r="B9134" i="1"/>
  <c r="C9134" i="1"/>
  <c r="E9134" i="1"/>
  <c r="G9134" i="1"/>
  <c r="K9134" i="1"/>
  <c r="A9135" i="1"/>
  <c r="B9135" i="1"/>
  <c r="C9135" i="1"/>
  <c r="E9135" i="1"/>
  <c r="G9135" i="1"/>
  <c r="K9135" i="1"/>
  <c r="A9136" i="1"/>
  <c r="B9136" i="1"/>
  <c r="C9136" i="1"/>
  <c r="E9136" i="1"/>
  <c r="G9136" i="1"/>
  <c r="K9136" i="1"/>
  <c r="A9137" i="1"/>
  <c r="B9137" i="1"/>
  <c r="C9137" i="1"/>
  <c r="E9137" i="1"/>
  <c r="G9137" i="1"/>
  <c r="K9137" i="1"/>
  <c r="A9138" i="1"/>
  <c r="B9138" i="1"/>
  <c r="C9138" i="1"/>
  <c r="E9138" i="1"/>
  <c r="G9138" i="1"/>
  <c r="K9138" i="1"/>
  <c r="A9139" i="1"/>
  <c r="B9139" i="1"/>
  <c r="C9139" i="1"/>
  <c r="E9139" i="1"/>
  <c r="G9139" i="1"/>
  <c r="K9139" i="1"/>
  <c r="A9140" i="1"/>
  <c r="B9140" i="1"/>
  <c r="C9140" i="1"/>
  <c r="E9140" i="1"/>
  <c r="G9140" i="1"/>
  <c r="K9140" i="1"/>
  <c r="A9141" i="1"/>
  <c r="B9141" i="1"/>
  <c r="C9141" i="1"/>
  <c r="E9141" i="1"/>
  <c r="G9141" i="1"/>
  <c r="K9141" i="1"/>
  <c r="A9142" i="1"/>
  <c r="B9142" i="1"/>
  <c r="C9142" i="1"/>
  <c r="E9142" i="1"/>
  <c r="G9142" i="1"/>
  <c r="K9142" i="1"/>
  <c r="A9143" i="1"/>
  <c r="B9143" i="1"/>
  <c r="C9143" i="1"/>
  <c r="E9143" i="1"/>
  <c r="G9143" i="1"/>
  <c r="K9143" i="1"/>
  <c r="A9144" i="1"/>
  <c r="B9144" i="1"/>
  <c r="C9144" i="1"/>
  <c r="E9144" i="1"/>
  <c r="G9144" i="1"/>
  <c r="K9144" i="1"/>
  <c r="A9145" i="1"/>
  <c r="B9145" i="1"/>
  <c r="C9145" i="1"/>
  <c r="E9145" i="1"/>
  <c r="G9145" i="1"/>
  <c r="K9145" i="1"/>
  <c r="A9146" i="1"/>
  <c r="B9146" i="1"/>
  <c r="C9146" i="1"/>
  <c r="E9146" i="1"/>
  <c r="G9146" i="1"/>
  <c r="K9146" i="1"/>
  <c r="A9147" i="1"/>
  <c r="B9147" i="1"/>
  <c r="C9147" i="1"/>
  <c r="E9147" i="1"/>
  <c r="G9147" i="1"/>
  <c r="K9147" i="1"/>
  <c r="A9148" i="1"/>
  <c r="B9148" i="1"/>
  <c r="C9148" i="1"/>
  <c r="E9148" i="1"/>
  <c r="G9148" i="1"/>
  <c r="K9148" i="1"/>
  <c r="A9149" i="1"/>
  <c r="B9149" i="1"/>
  <c r="C9149" i="1"/>
  <c r="E9149" i="1"/>
  <c r="G9149" i="1"/>
  <c r="K9149" i="1"/>
  <c r="A9150" i="1"/>
  <c r="B9150" i="1"/>
  <c r="C9150" i="1"/>
  <c r="E9150" i="1"/>
  <c r="G9150" i="1"/>
  <c r="K9150" i="1"/>
  <c r="A9151" i="1"/>
  <c r="B9151" i="1"/>
  <c r="C9151" i="1"/>
  <c r="E9151" i="1"/>
  <c r="G9151" i="1"/>
  <c r="K9151" i="1"/>
  <c r="A9152" i="1"/>
  <c r="B9152" i="1"/>
  <c r="C9152" i="1"/>
  <c r="E9152" i="1"/>
  <c r="G9152" i="1"/>
  <c r="K9152" i="1"/>
  <c r="A9153" i="1"/>
  <c r="B9153" i="1"/>
  <c r="C9153" i="1"/>
  <c r="E9153" i="1"/>
  <c r="G9153" i="1"/>
  <c r="K9153" i="1"/>
  <c r="A9154" i="1"/>
  <c r="B9154" i="1"/>
  <c r="C9154" i="1"/>
  <c r="E9154" i="1"/>
  <c r="G9154" i="1"/>
  <c r="K9154" i="1"/>
  <c r="A9155" i="1"/>
  <c r="B9155" i="1"/>
  <c r="C9155" i="1"/>
  <c r="E9155" i="1"/>
  <c r="G9155" i="1"/>
  <c r="K9155" i="1"/>
  <c r="A9156" i="1"/>
  <c r="B9156" i="1"/>
  <c r="C9156" i="1"/>
  <c r="E9156" i="1"/>
  <c r="G9156" i="1"/>
  <c r="K9156" i="1"/>
  <c r="A9157" i="1"/>
  <c r="B9157" i="1"/>
  <c r="C9157" i="1"/>
  <c r="E9157" i="1"/>
  <c r="G9157" i="1"/>
  <c r="K9157" i="1"/>
  <c r="A9158" i="1"/>
  <c r="B9158" i="1"/>
  <c r="C9158" i="1"/>
  <c r="E9158" i="1"/>
  <c r="G9158" i="1"/>
  <c r="K9158" i="1"/>
  <c r="A9159" i="1"/>
  <c r="B9159" i="1"/>
  <c r="C9159" i="1"/>
  <c r="E9159" i="1"/>
  <c r="G9159" i="1"/>
  <c r="K9159" i="1"/>
  <c r="A9160" i="1"/>
  <c r="B9160" i="1"/>
  <c r="C9160" i="1"/>
  <c r="E9160" i="1"/>
  <c r="G9160" i="1"/>
  <c r="K9160" i="1"/>
  <c r="A9161" i="1"/>
  <c r="B9161" i="1"/>
  <c r="C9161" i="1"/>
  <c r="E9161" i="1"/>
  <c r="G9161" i="1"/>
  <c r="K9161" i="1"/>
  <c r="A9162" i="1"/>
  <c r="B9162" i="1"/>
  <c r="C9162" i="1"/>
  <c r="E9162" i="1"/>
  <c r="G9162" i="1"/>
  <c r="K9162" i="1"/>
  <c r="A9163" i="1"/>
  <c r="B9163" i="1"/>
  <c r="C9163" i="1"/>
  <c r="E9163" i="1"/>
  <c r="G9163" i="1"/>
  <c r="K9163" i="1"/>
  <c r="A9164" i="1"/>
  <c r="B9164" i="1"/>
  <c r="C9164" i="1"/>
  <c r="E9164" i="1"/>
  <c r="G9164" i="1"/>
  <c r="K9164" i="1"/>
  <c r="A9165" i="1"/>
  <c r="B9165" i="1"/>
  <c r="C9165" i="1"/>
  <c r="E9165" i="1"/>
  <c r="G9165" i="1"/>
  <c r="K9165" i="1"/>
  <c r="A9166" i="1"/>
  <c r="B9166" i="1"/>
  <c r="C9166" i="1"/>
  <c r="E9166" i="1"/>
  <c r="G9166" i="1"/>
  <c r="K9166" i="1"/>
  <c r="A9167" i="1"/>
  <c r="B9167" i="1"/>
  <c r="C9167" i="1"/>
  <c r="E9167" i="1"/>
  <c r="G9167" i="1"/>
  <c r="K9167" i="1"/>
  <c r="A9168" i="1"/>
  <c r="B9168" i="1"/>
  <c r="C9168" i="1"/>
  <c r="E9168" i="1"/>
  <c r="G9168" i="1"/>
  <c r="K9168" i="1"/>
  <c r="A9169" i="1"/>
  <c r="B9169" i="1"/>
  <c r="C9169" i="1"/>
  <c r="E9169" i="1"/>
  <c r="G9169" i="1"/>
  <c r="K9169" i="1"/>
  <c r="A9170" i="1"/>
  <c r="B9170" i="1"/>
  <c r="C9170" i="1"/>
  <c r="E9170" i="1"/>
  <c r="G9170" i="1"/>
  <c r="K9170" i="1"/>
  <c r="A9171" i="1"/>
  <c r="B9171" i="1"/>
  <c r="C9171" i="1"/>
  <c r="E9171" i="1"/>
  <c r="G9171" i="1"/>
  <c r="K9171" i="1"/>
  <c r="A9172" i="1"/>
  <c r="B9172" i="1"/>
  <c r="C9172" i="1"/>
  <c r="E9172" i="1"/>
  <c r="G9172" i="1"/>
  <c r="K9172" i="1"/>
  <c r="A9173" i="1"/>
  <c r="B9173" i="1"/>
  <c r="C9173" i="1"/>
  <c r="E9173" i="1"/>
  <c r="G9173" i="1"/>
  <c r="K9173" i="1"/>
  <c r="A9174" i="1"/>
  <c r="B9174" i="1"/>
  <c r="C9174" i="1"/>
  <c r="E9174" i="1"/>
  <c r="G9174" i="1"/>
  <c r="K9174" i="1"/>
  <c r="A9175" i="1"/>
  <c r="B9175" i="1"/>
  <c r="C9175" i="1"/>
  <c r="E9175" i="1"/>
  <c r="G9175" i="1"/>
  <c r="K9175" i="1"/>
  <c r="A9176" i="1"/>
  <c r="B9176" i="1"/>
  <c r="C9176" i="1"/>
  <c r="E9176" i="1"/>
  <c r="G9176" i="1"/>
  <c r="K9176" i="1"/>
  <c r="A9177" i="1"/>
  <c r="B9177" i="1"/>
  <c r="C9177" i="1"/>
  <c r="E9177" i="1"/>
  <c r="G9177" i="1"/>
  <c r="K9177" i="1"/>
  <c r="A9178" i="1"/>
  <c r="B9178" i="1"/>
  <c r="C9178" i="1"/>
  <c r="E9178" i="1"/>
  <c r="G9178" i="1"/>
  <c r="K9178" i="1"/>
  <c r="A9179" i="1"/>
  <c r="B9179" i="1"/>
  <c r="C9179" i="1"/>
  <c r="E9179" i="1"/>
  <c r="G9179" i="1"/>
  <c r="K9179" i="1"/>
  <c r="A9180" i="1"/>
  <c r="B9180" i="1"/>
  <c r="C9180" i="1"/>
  <c r="E9180" i="1"/>
  <c r="G9180" i="1"/>
  <c r="K9180" i="1"/>
  <c r="A9181" i="1"/>
  <c r="B9181" i="1"/>
  <c r="C9181" i="1"/>
  <c r="E9181" i="1"/>
  <c r="G9181" i="1"/>
  <c r="K9181" i="1"/>
  <c r="A9182" i="1"/>
  <c r="B9182" i="1"/>
  <c r="C9182" i="1"/>
  <c r="E9182" i="1"/>
  <c r="G9182" i="1"/>
  <c r="K9182" i="1"/>
  <c r="A9183" i="1"/>
  <c r="B9183" i="1"/>
  <c r="C9183" i="1"/>
  <c r="E9183" i="1"/>
  <c r="G9183" i="1"/>
  <c r="K9183" i="1"/>
  <c r="A9184" i="1"/>
  <c r="B9184" i="1"/>
  <c r="C9184" i="1"/>
  <c r="E9184" i="1"/>
  <c r="G9184" i="1"/>
  <c r="K9184" i="1"/>
  <c r="A9185" i="1"/>
  <c r="B9185" i="1"/>
  <c r="C9185" i="1"/>
  <c r="E9185" i="1"/>
  <c r="G9185" i="1"/>
  <c r="K9185" i="1"/>
  <c r="A9186" i="1"/>
  <c r="B9186" i="1"/>
  <c r="C9186" i="1"/>
  <c r="E9186" i="1"/>
  <c r="G9186" i="1"/>
  <c r="K9186" i="1"/>
  <c r="A9187" i="1"/>
  <c r="B9187" i="1"/>
  <c r="C9187" i="1"/>
  <c r="E9187" i="1"/>
  <c r="G9187" i="1"/>
  <c r="K9187" i="1"/>
  <c r="A9188" i="1"/>
  <c r="B9188" i="1"/>
  <c r="C9188" i="1"/>
  <c r="E9188" i="1"/>
  <c r="G9188" i="1"/>
  <c r="K9188" i="1"/>
  <c r="A9189" i="1"/>
  <c r="B9189" i="1"/>
  <c r="C9189" i="1"/>
  <c r="E9189" i="1"/>
  <c r="G9189" i="1"/>
  <c r="K9189" i="1"/>
  <c r="A9190" i="1"/>
  <c r="B9190" i="1"/>
  <c r="C9190" i="1"/>
  <c r="E9190" i="1"/>
  <c r="G9190" i="1"/>
  <c r="K9190" i="1"/>
  <c r="A9191" i="1"/>
  <c r="B9191" i="1"/>
  <c r="C9191" i="1"/>
  <c r="E9191" i="1"/>
  <c r="G9191" i="1"/>
  <c r="K9191" i="1"/>
  <c r="A9192" i="1"/>
  <c r="B9192" i="1"/>
  <c r="C9192" i="1"/>
  <c r="E9192" i="1"/>
  <c r="G9192" i="1"/>
  <c r="K9192" i="1"/>
  <c r="A9193" i="1"/>
  <c r="B9193" i="1"/>
  <c r="C9193" i="1"/>
  <c r="E9193" i="1"/>
  <c r="G9193" i="1"/>
  <c r="K9193" i="1"/>
  <c r="A9194" i="1"/>
  <c r="B9194" i="1"/>
  <c r="C9194" i="1"/>
  <c r="E9194" i="1"/>
  <c r="G9194" i="1"/>
  <c r="K9194" i="1"/>
  <c r="A9195" i="1"/>
  <c r="B9195" i="1"/>
  <c r="C9195" i="1"/>
  <c r="E9195" i="1"/>
  <c r="G9195" i="1"/>
  <c r="K9195" i="1"/>
  <c r="A9196" i="1"/>
  <c r="B9196" i="1"/>
  <c r="C9196" i="1"/>
  <c r="E9196" i="1"/>
  <c r="G9196" i="1"/>
  <c r="K9196" i="1"/>
  <c r="A9197" i="1"/>
  <c r="B9197" i="1"/>
  <c r="C9197" i="1"/>
  <c r="E9197" i="1"/>
  <c r="G9197" i="1"/>
  <c r="K9197" i="1"/>
  <c r="A9198" i="1"/>
  <c r="B9198" i="1"/>
  <c r="C9198" i="1"/>
  <c r="E9198" i="1"/>
  <c r="G9198" i="1"/>
  <c r="K9198" i="1"/>
  <c r="A9199" i="1"/>
  <c r="B9199" i="1"/>
  <c r="C9199" i="1"/>
  <c r="E9199" i="1"/>
  <c r="G9199" i="1"/>
  <c r="K9199" i="1"/>
  <c r="A9200" i="1"/>
  <c r="B9200" i="1"/>
  <c r="C9200" i="1"/>
  <c r="E9200" i="1"/>
  <c r="G9200" i="1"/>
  <c r="K9200" i="1"/>
  <c r="A9201" i="1"/>
  <c r="B9201" i="1"/>
  <c r="C9201" i="1"/>
  <c r="E9201" i="1"/>
  <c r="G9201" i="1"/>
  <c r="K9201" i="1"/>
  <c r="A9202" i="1"/>
  <c r="B9202" i="1"/>
  <c r="C9202" i="1"/>
  <c r="E9202" i="1"/>
  <c r="G9202" i="1"/>
  <c r="K9202" i="1"/>
  <c r="A9203" i="1"/>
  <c r="B9203" i="1"/>
  <c r="C9203" i="1"/>
  <c r="E9203" i="1"/>
  <c r="G9203" i="1"/>
  <c r="K9203" i="1"/>
  <c r="A9204" i="1"/>
  <c r="B9204" i="1"/>
  <c r="C9204" i="1"/>
  <c r="E9204" i="1"/>
  <c r="G9204" i="1"/>
  <c r="K9204" i="1"/>
  <c r="A9205" i="1"/>
  <c r="B9205" i="1"/>
  <c r="C9205" i="1"/>
  <c r="E9205" i="1"/>
  <c r="G9205" i="1"/>
  <c r="K9205" i="1"/>
  <c r="A9206" i="1"/>
  <c r="B9206" i="1"/>
  <c r="C9206" i="1"/>
  <c r="E9206" i="1"/>
  <c r="G9206" i="1"/>
  <c r="K9206" i="1"/>
  <c r="A9207" i="1"/>
  <c r="B9207" i="1"/>
  <c r="C9207" i="1"/>
  <c r="E9207" i="1"/>
  <c r="G9207" i="1"/>
  <c r="K9207" i="1"/>
  <c r="A9208" i="1"/>
  <c r="B9208" i="1"/>
  <c r="C9208" i="1"/>
  <c r="E9208" i="1"/>
  <c r="G9208" i="1"/>
  <c r="K9208" i="1"/>
  <c r="A9209" i="1"/>
  <c r="B9209" i="1"/>
  <c r="C9209" i="1"/>
  <c r="E9209" i="1"/>
  <c r="G9209" i="1"/>
  <c r="K9209" i="1"/>
  <c r="A9210" i="1"/>
  <c r="B9210" i="1"/>
  <c r="C9210" i="1"/>
  <c r="E9210" i="1"/>
  <c r="G9210" i="1"/>
  <c r="K9210" i="1"/>
  <c r="A9211" i="1"/>
  <c r="B9211" i="1"/>
  <c r="C9211" i="1"/>
  <c r="E9211" i="1"/>
  <c r="G9211" i="1"/>
  <c r="K9211" i="1"/>
  <c r="A9212" i="1"/>
  <c r="B9212" i="1"/>
  <c r="C9212" i="1"/>
  <c r="E9212" i="1"/>
  <c r="G9212" i="1"/>
  <c r="K9212" i="1"/>
  <c r="A9213" i="1"/>
  <c r="B9213" i="1"/>
  <c r="C9213" i="1"/>
  <c r="E9213" i="1"/>
  <c r="G9213" i="1"/>
  <c r="K9213" i="1"/>
  <c r="A9214" i="1"/>
  <c r="B9214" i="1"/>
  <c r="C9214" i="1"/>
  <c r="E9214" i="1"/>
  <c r="G9214" i="1"/>
  <c r="K9214" i="1"/>
  <c r="A9215" i="1"/>
  <c r="B9215" i="1"/>
  <c r="C9215" i="1"/>
  <c r="E9215" i="1"/>
  <c r="G9215" i="1"/>
  <c r="K9215" i="1"/>
  <c r="A9216" i="1"/>
  <c r="B9216" i="1"/>
  <c r="C9216" i="1"/>
  <c r="E9216" i="1"/>
  <c r="G9216" i="1"/>
  <c r="K9216" i="1"/>
  <c r="A9217" i="1"/>
  <c r="B9217" i="1"/>
  <c r="C9217" i="1"/>
  <c r="E9217" i="1"/>
  <c r="G9217" i="1"/>
  <c r="K9217" i="1"/>
  <c r="A9218" i="1"/>
  <c r="B9218" i="1"/>
  <c r="C9218" i="1"/>
  <c r="E9218" i="1"/>
  <c r="G9218" i="1"/>
  <c r="K9218" i="1"/>
  <c r="A9219" i="1"/>
  <c r="B9219" i="1"/>
  <c r="C9219" i="1"/>
  <c r="E9219" i="1"/>
  <c r="G9219" i="1"/>
  <c r="K9219" i="1"/>
  <c r="A9220" i="1"/>
  <c r="B9220" i="1"/>
  <c r="C9220" i="1"/>
  <c r="E9220" i="1"/>
  <c r="G9220" i="1"/>
  <c r="K9220" i="1"/>
  <c r="A9221" i="1"/>
  <c r="B9221" i="1"/>
  <c r="C9221" i="1"/>
  <c r="E9221" i="1"/>
  <c r="G9221" i="1"/>
  <c r="K9221" i="1"/>
  <c r="A9222" i="1"/>
  <c r="B9222" i="1"/>
  <c r="C9222" i="1"/>
  <c r="E9222" i="1"/>
  <c r="G9222" i="1"/>
  <c r="K9222" i="1"/>
  <c r="A9223" i="1"/>
  <c r="B9223" i="1"/>
  <c r="C9223" i="1"/>
  <c r="E9223" i="1"/>
  <c r="G9223" i="1"/>
  <c r="K9223" i="1"/>
  <c r="A9224" i="1"/>
  <c r="B9224" i="1"/>
  <c r="C9224" i="1"/>
  <c r="E9224" i="1"/>
  <c r="G9224" i="1"/>
  <c r="K9224" i="1"/>
  <c r="A9225" i="1"/>
  <c r="B9225" i="1"/>
  <c r="C9225" i="1"/>
  <c r="E9225" i="1"/>
  <c r="G9225" i="1"/>
  <c r="K9225" i="1"/>
  <c r="A9226" i="1"/>
  <c r="B9226" i="1"/>
  <c r="C9226" i="1"/>
  <c r="E9226" i="1"/>
  <c r="G9226" i="1"/>
  <c r="K9226" i="1"/>
  <c r="A9227" i="1"/>
  <c r="B9227" i="1"/>
  <c r="C9227" i="1"/>
  <c r="E9227" i="1"/>
  <c r="G9227" i="1"/>
  <c r="K9227" i="1"/>
  <c r="A9228" i="1"/>
  <c r="B9228" i="1"/>
  <c r="C9228" i="1"/>
  <c r="E9228" i="1"/>
  <c r="G9228" i="1"/>
  <c r="K9228" i="1"/>
  <c r="A9229" i="1"/>
  <c r="B9229" i="1"/>
  <c r="C9229" i="1"/>
  <c r="E9229" i="1"/>
  <c r="G9229" i="1"/>
  <c r="K9229" i="1"/>
  <c r="A9230" i="1"/>
  <c r="B9230" i="1"/>
  <c r="C9230" i="1"/>
  <c r="E9230" i="1"/>
  <c r="G9230" i="1"/>
  <c r="K9230" i="1"/>
  <c r="A9231" i="1"/>
  <c r="B9231" i="1"/>
  <c r="C9231" i="1"/>
  <c r="E9231" i="1"/>
  <c r="G9231" i="1"/>
  <c r="K9231" i="1"/>
  <c r="A9232" i="1"/>
  <c r="B9232" i="1"/>
  <c r="C9232" i="1"/>
  <c r="E9232" i="1"/>
  <c r="G9232" i="1"/>
  <c r="K9232" i="1"/>
  <c r="A9233" i="1"/>
  <c r="B9233" i="1"/>
  <c r="C9233" i="1"/>
  <c r="E9233" i="1"/>
  <c r="G9233" i="1"/>
  <c r="K9233" i="1"/>
  <c r="A9234" i="1"/>
  <c r="B9234" i="1"/>
  <c r="C9234" i="1"/>
  <c r="E9234" i="1"/>
  <c r="G9234" i="1"/>
  <c r="K9234" i="1"/>
  <c r="A9235" i="1"/>
  <c r="B9235" i="1"/>
  <c r="C9235" i="1"/>
  <c r="E9235" i="1"/>
  <c r="G9235" i="1"/>
  <c r="K9235" i="1"/>
  <c r="A9236" i="1"/>
  <c r="B9236" i="1"/>
  <c r="C9236" i="1"/>
  <c r="E9236" i="1"/>
  <c r="G9236" i="1"/>
  <c r="K9236" i="1"/>
  <c r="A9237" i="1"/>
  <c r="B9237" i="1"/>
  <c r="C9237" i="1"/>
  <c r="E9237" i="1"/>
  <c r="G9237" i="1"/>
  <c r="K9237" i="1"/>
  <c r="A9238" i="1"/>
  <c r="B9238" i="1"/>
  <c r="C9238" i="1"/>
  <c r="E9238" i="1"/>
  <c r="G9238" i="1"/>
  <c r="K9238" i="1"/>
  <c r="A9239" i="1"/>
  <c r="B9239" i="1"/>
  <c r="C9239" i="1"/>
  <c r="E9239" i="1"/>
  <c r="G9239" i="1"/>
  <c r="K9239" i="1"/>
  <c r="A9240" i="1"/>
  <c r="B9240" i="1"/>
  <c r="C9240" i="1"/>
  <c r="E9240" i="1"/>
  <c r="G9240" i="1"/>
  <c r="K9240" i="1"/>
  <c r="A9241" i="1"/>
  <c r="B9241" i="1"/>
  <c r="C9241" i="1"/>
  <c r="E9241" i="1"/>
  <c r="G9241" i="1"/>
  <c r="K9241" i="1"/>
  <c r="A9242" i="1"/>
  <c r="B9242" i="1"/>
  <c r="C9242" i="1"/>
  <c r="E9242" i="1"/>
  <c r="G9242" i="1"/>
  <c r="K9242" i="1"/>
  <c r="A9243" i="1"/>
  <c r="B9243" i="1"/>
  <c r="C9243" i="1"/>
  <c r="E9243" i="1"/>
  <c r="G9243" i="1"/>
  <c r="K9243" i="1"/>
  <c r="A9244" i="1"/>
  <c r="B9244" i="1"/>
  <c r="C9244" i="1"/>
  <c r="E9244" i="1"/>
  <c r="G9244" i="1"/>
  <c r="K9244" i="1"/>
  <c r="A9245" i="1"/>
  <c r="B9245" i="1"/>
  <c r="C9245" i="1"/>
  <c r="E9245" i="1"/>
  <c r="G9245" i="1"/>
  <c r="K9245" i="1"/>
  <c r="A9246" i="1"/>
  <c r="B9246" i="1"/>
  <c r="C9246" i="1"/>
  <c r="E9246" i="1"/>
  <c r="G9246" i="1"/>
  <c r="K9246" i="1"/>
  <c r="A9247" i="1"/>
  <c r="B9247" i="1"/>
  <c r="C9247" i="1"/>
  <c r="E9247" i="1"/>
  <c r="G9247" i="1"/>
  <c r="K9247" i="1"/>
  <c r="A9248" i="1"/>
  <c r="B9248" i="1"/>
  <c r="C9248" i="1"/>
  <c r="E9248" i="1"/>
  <c r="G9248" i="1"/>
  <c r="K9248" i="1"/>
  <c r="A9249" i="1"/>
  <c r="B9249" i="1"/>
  <c r="C9249" i="1"/>
  <c r="E9249" i="1"/>
  <c r="G9249" i="1"/>
  <c r="K9249" i="1"/>
  <c r="A9250" i="1"/>
  <c r="B9250" i="1"/>
  <c r="C9250" i="1"/>
  <c r="E9250" i="1"/>
  <c r="G9250" i="1"/>
  <c r="K9250" i="1"/>
  <c r="A9251" i="1"/>
  <c r="B9251" i="1"/>
  <c r="C9251" i="1"/>
  <c r="E9251" i="1"/>
  <c r="G9251" i="1"/>
  <c r="K9251" i="1"/>
  <c r="A9252" i="1"/>
  <c r="B9252" i="1"/>
  <c r="C9252" i="1"/>
  <c r="E9252" i="1"/>
  <c r="G9252" i="1"/>
  <c r="K9252" i="1"/>
  <c r="A9253" i="1"/>
  <c r="B9253" i="1"/>
  <c r="C9253" i="1"/>
  <c r="E9253" i="1"/>
  <c r="G9253" i="1"/>
  <c r="K9253" i="1"/>
  <c r="A9254" i="1"/>
  <c r="B9254" i="1"/>
  <c r="C9254" i="1"/>
  <c r="E9254" i="1"/>
  <c r="G9254" i="1"/>
  <c r="K9254" i="1"/>
  <c r="A9255" i="1"/>
  <c r="B9255" i="1"/>
  <c r="C9255" i="1"/>
  <c r="E9255" i="1"/>
  <c r="G9255" i="1"/>
  <c r="K9255" i="1"/>
  <c r="A9256" i="1"/>
  <c r="B9256" i="1"/>
  <c r="C9256" i="1"/>
  <c r="E9256" i="1"/>
  <c r="G9256" i="1"/>
  <c r="K9256" i="1"/>
  <c r="A9257" i="1"/>
  <c r="B9257" i="1"/>
  <c r="C9257" i="1"/>
  <c r="E9257" i="1"/>
  <c r="G9257" i="1"/>
  <c r="K9257" i="1"/>
  <c r="A9258" i="1"/>
  <c r="B9258" i="1"/>
  <c r="C9258" i="1"/>
  <c r="E9258" i="1"/>
  <c r="G9258" i="1"/>
  <c r="K9258" i="1"/>
  <c r="A9259" i="1"/>
  <c r="B9259" i="1"/>
  <c r="C9259" i="1"/>
  <c r="E9259" i="1"/>
  <c r="G9259" i="1"/>
  <c r="K9259" i="1"/>
  <c r="A9260" i="1"/>
  <c r="B9260" i="1"/>
  <c r="C9260" i="1"/>
  <c r="E9260" i="1"/>
  <c r="G9260" i="1"/>
  <c r="K9260" i="1"/>
  <c r="A9261" i="1"/>
  <c r="B9261" i="1"/>
  <c r="C9261" i="1"/>
  <c r="E9261" i="1"/>
  <c r="G9261" i="1"/>
  <c r="K9261" i="1"/>
  <c r="A9262" i="1"/>
  <c r="B9262" i="1"/>
  <c r="C9262" i="1"/>
  <c r="E9262" i="1"/>
  <c r="G9262" i="1"/>
  <c r="K9262" i="1"/>
  <c r="A9263" i="1"/>
  <c r="B9263" i="1"/>
  <c r="C9263" i="1"/>
  <c r="E9263" i="1"/>
  <c r="G9263" i="1"/>
  <c r="K9263" i="1"/>
  <c r="A9264" i="1"/>
  <c r="B9264" i="1"/>
  <c r="C9264" i="1"/>
  <c r="E9264" i="1"/>
  <c r="G9264" i="1"/>
  <c r="K9264" i="1"/>
  <c r="A9265" i="1"/>
  <c r="B9265" i="1"/>
  <c r="C9265" i="1"/>
  <c r="E9265" i="1"/>
  <c r="G9265" i="1"/>
  <c r="K9265" i="1"/>
  <c r="A9266" i="1"/>
  <c r="B9266" i="1"/>
  <c r="C9266" i="1"/>
  <c r="E9266" i="1"/>
  <c r="G9266" i="1"/>
  <c r="K9266" i="1"/>
  <c r="A9267" i="1"/>
  <c r="B9267" i="1"/>
  <c r="C9267" i="1"/>
  <c r="E9267" i="1"/>
  <c r="G9267" i="1"/>
  <c r="K9267" i="1"/>
  <c r="A9268" i="1"/>
  <c r="B9268" i="1"/>
  <c r="C9268" i="1"/>
  <c r="E9268" i="1"/>
  <c r="G9268" i="1"/>
  <c r="K9268" i="1"/>
  <c r="A9269" i="1"/>
  <c r="B9269" i="1"/>
  <c r="C9269" i="1"/>
  <c r="E9269" i="1"/>
  <c r="G9269" i="1"/>
  <c r="K9269" i="1"/>
  <c r="A9270" i="1"/>
  <c r="B9270" i="1"/>
  <c r="C9270" i="1"/>
  <c r="E9270" i="1"/>
  <c r="G9270" i="1"/>
  <c r="K9270" i="1"/>
  <c r="A9271" i="1"/>
  <c r="B9271" i="1"/>
  <c r="C9271" i="1"/>
  <c r="E9271" i="1"/>
  <c r="G9271" i="1"/>
  <c r="K9271" i="1"/>
  <c r="A9272" i="1"/>
  <c r="B9272" i="1"/>
  <c r="C9272" i="1"/>
  <c r="E9272" i="1"/>
  <c r="G9272" i="1"/>
  <c r="K9272" i="1"/>
  <c r="A9273" i="1"/>
  <c r="B9273" i="1"/>
  <c r="C9273" i="1"/>
  <c r="E9273" i="1"/>
  <c r="G9273" i="1"/>
  <c r="K9273" i="1"/>
  <c r="A9274" i="1"/>
  <c r="B9274" i="1"/>
  <c r="C9274" i="1"/>
  <c r="E9274" i="1"/>
  <c r="G9274" i="1"/>
  <c r="K9274" i="1"/>
  <c r="A9275" i="1"/>
  <c r="B9275" i="1"/>
  <c r="C9275" i="1"/>
  <c r="E9275" i="1"/>
  <c r="G9275" i="1"/>
  <c r="K9275" i="1"/>
  <c r="A9276" i="1"/>
  <c r="B9276" i="1"/>
  <c r="C9276" i="1"/>
  <c r="E9276" i="1"/>
  <c r="G9276" i="1"/>
  <c r="K9276" i="1"/>
  <c r="A9277" i="1"/>
  <c r="B9277" i="1"/>
  <c r="C9277" i="1"/>
  <c r="E9277" i="1"/>
  <c r="G9277" i="1"/>
  <c r="K9277" i="1"/>
  <c r="A9278" i="1"/>
  <c r="B9278" i="1"/>
  <c r="C9278" i="1"/>
  <c r="E9278" i="1"/>
  <c r="G9278" i="1"/>
  <c r="K9278" i="1"/>
  <c r="A9279" i="1"/>
  <c r="B9279" i="1"/>
  <c r="C9279" i="1"/>
  <c r="E9279" i="1"/>
  <c r="G9279" i="1"/>
  <c r="K9279" i="1"/>
  <c r="A9280" i="1"/>
  <c r="B9280" i="1"/>
  <c r="C9280" i="1"/>
  <c r="E9280" i="1"/>
  <c r="G9280" i="1"/>
  <c r="K9280" i="1"/>
  <c r="A9281" i="1"/>
  <c r="B9281" i="1"/>
  <c r="C9281" i="1"/>
  <c r="E9281" i="1"/>
  <c r="G9281" i="1"/>
  <c r="K9281" i="1"/>
  <c r="A9282" i="1"/>
  <c r="B9282" i="1"/>
  <c r="C9282" i="1"/>
  <c r="E9282" i="1"/>
  <c r="G9282" i="1"/>
  <c r="K9282" i="1"/>
  <c r="A9283" i="1"/>
  <c r="B9283" i="1"/>
  <c r="C9283" i="1"/>
  <c r="E9283" i="1"/>
  <c r="G9283" i="1"/>
  <c r="K9283" i="1"/>
  <c r="A9284" i="1"/>
  <c r="B9284" i="1"/>
  <c r="C9284" i="1"/>
  <c r="E9284" i="1"/>
  <c r="G9284" i="1"/>
  <c r="K9284" i="1"/>
  <c r="A9285" i="1"/>
  <c r="B9285" i="1"/>
  <c r="C9285" i="1"/>
  <c r="E9285" i="1"/>
  <c r="G9285" i="1"/>
  <c r="K9285" i="1"/>
  <c r="A9286" i="1"/>
  <c r="B9286" i="1"/>
  <c r="C9286" i="1"/>
  <c r="E9286" i="1"/>
  <c r="G9286" i="1"/>
  <c r="K9286" i="1"/>
  <c r="A9287" i="1"/>
  <c r="B9287" i="1"/>
  <c r="C9287" i="1"/>
  <c r="E9287" i="1"/>
  <c r="G9287" i="1"/>
  <c r="K9287" i="1"/>
  <c r="A9288" i="1"/>
  <c r="B9288" i="1"/>
  <c r="C9288" i="1"/>
  <c r="E9288" i="1"/>
  <c r="G9288" i="1"/>
  <c r="K9288" i="1"/>
  <c r="A9289" i="1"/>
  <c r="B9289" i="1"/>
  <c r="C9289" i="1"/>
  <c r="E9289" i="1"/>
  <c r="G9289" i="1"/>
  <c r="K9289" i="1"/>
  <c r="A9290" i="1"/>
  <c r="B9290" i="1"/>
  <c r="C9290" i="1"/>
  <c r="E9290" i="1"/>
  <c r="G9290" i="1"/>
  <c r="K9290" i="1"/>
  <c r="A9291" i="1"/>
  <c r="B9291" i="1"/>
  <c r="C9291" i="1"/>
  <c r="E9291" i="1"/>
  <c r="G9291" i="1"/>
  <c r="K9291" i="1"/>
  <c r="A9292" i="1"/>
  <c r="B9292" i="1"/>
  <c r="C9292" i="1"/>
  <c r="E9292" i="1"/>
  <c r="G9292" i="1"/>
  <c r="K9292" i="1"/>
  <c r="A9293" i="1"/>
  <c r="B9293" i="1"/>
  <c r="C9293" i="1"/>
  <c r="E9293" i="1"/>
  <c r="G9293" i="1"/>
  <c r="K9293" i="1"/>
  <c r="A9294" i="1"/>
  <c r="B9294" i="1"/>
  <c r="C9294" i="1"/>
  <c r="E9294" i="1"/>
  <c r="G9294" i="1"/>
  <c r="K9294" i="1"/>
  <c r="A9295" i="1"/>
  <c r="B9295" i="1"/>
  <c r="C9295" i="1"/>
  <c r="E9295" i="1"/>
  <c r="G9295" i="1"/>
  <c r="K9295" i="1"/>
  <c r="A9296" i="1"/>
  <c r="B9296" i="1"/>
  <c r="C9296" i="1"/>
  <c r="E9296" i="1"/>
  <c r="G9296" i="1"/>
  <c r="K9296" i="1"/>
  <c r="A9297" i="1"/>
  <c r="B9297" i="1"/>
  <c r="C9297" i="1"/>
  <c r="E9297" i="1"/>
  <c r="G9297" i="1"/>
  <c r="K9297" i="1"/>
  <c r="A9298" i="1"/>
  <c r="B9298" i="1"/>
  <c r="C9298" i="1"/>
  <c r="E9298" i="1"/>
  <c r="G9298" i="1"/>
  <c r="K9298" i="1"/>
  <c r="A9299" i="1"/>
  <c r="B9299" i="1"/>
  <c r="C9299" i="1"/>
  <c r="E9299" i="1"/>
  <c r="G9299" i="1"/>
  <c r="K9299" i="1"/>
  <c r="A9300" i="1"/>
  <c r="B9300" i="1"/>
  <c r="C9300" i="1"/>
  <c r="E9300" i="1"/>
  <c r="G9300" i="1"/>
  <c r="K9300" i="1"/>
  <c r="A9301" i="1"/>
  <c r="B9301" i="1"/>
  <c r="C9301" i="1"/>
  <c r="E9301" i="1"/>
  <c r="G9301" i="1"/>
  <c r="K9301" i="1"/>
  <c r="A9302" i="1"/>
  <c r="B9302" i="1"/>
  <c r="C9302" i="1"/>
  <c r="E9302" i="1"/>
  <c r="G9302" i="1"/>
  <c r="K9302" i="1"/>
  <c r="A9303" i="1"/>
  <c r="B9303" i="1"/>
  <c r="C9303" i="1"/>
  <c r="E9303" i="1"/>
  <c r="G9303" i="1"/>
  <c r="K9303" i="1"/>
  <c r="A9304" i="1"/>
  <c r="B9304" i="1"/>
  <c r="C9304" i="1"/>
  <c r="E9304" i="1"/>
  <c r="G9304" i="1"/>
  <c r="K9304" i="1"/>
  <c r="A9305" i="1"/>
  <c r="B9305" i="1"/>
  <c r="C9305" i="1"/>
  <c r="E9305" i="1"/>
  <c r="G9305" i="1"/>
  <c r="K9305" i="1"/>
  <c r="A9306" i="1"/>
  <c r="B9306" i="1"/>
  <c r="C9306" i="1"/>
  <c r="E9306" i="1"/>
  <c r="G9306" i="1"/>
  <c r="K9306" i="1"/>
  <c r="A9307" i="1"/>
  <c r="B9307" i="1"/>
  <c r="C9307" i="1"/>
  <c r="E9307" i="1"/>
  <c r="G9307" i="1"/>
  <c r="K9307" i="1"/>
  <c r="A9308" i="1"/>
  <c r="B9308" i="1"/>
  <c r="C9308" i="1"/>
  <c r="E9308" i="1"/>
  <c r="G9308" i="1"/>
  <c r="K9308" i="1"/>
  <c r="A9309" i="1"/>
  <c r="B9309" i="1"/>
  <c r="C9309" i="1"/>
  <c r="E9309" i="1"/>
  <c r="G9309" i="1"/>
  <c r="K9309" i="1"/>
  <c r="A9310" i="1"/>
  <c r="B9310" i="1"/>
  <c r="C9310" i="1"/>
  <c r="E9310" i="1"/>
  <c r="G9310" i="1"/>
  <c r="K9310" i="1"/>
  <c r="A9311" i="1"/>
  <c r="B9311" i="1"/>
  <c r="C9311" i="1"/>
  <c r="E9311" i="1"/>
  <c r="G9311" i="1"/>
  <c r="K9311" i="1"/>
  <c r="A9312" i="1"/>
  <c r="B9312" i="1"/>
  <c r="C9312" i="1"/>
  <c r="E9312" i="1"/>
  <c r="G9312" i="1"/>
  <c r="K9312" i="1"/>
  <c r="A9313" i="1"/>
  <c r="B9313" i="1"/>
  <c r="C9313" i="1"/>
  <c r="E9313" i="1"/>
  <c r="G9313" i="1"/>
  <c r="K9313" i="1"/>
  <c r="A9314" i="1"/>
  <c r="B9314" i="1"/>
  <c r="C9314" i="1"/>
  <c r="E9314" i="1"/>
  <c r="G9314" i="1"/>
  <c r="K9314" i="1"/>
  <c r="A9315" i="1"/>
  <c r="B9315" i="1"/>
  <c r="C9315" i="1"/>
  <c r="E9315" i="1"/>
  <c r="G9315" i="1"/>
  <c r="K9315" i="1"/>
  <c r="A9316" i="1"/>
  <c r="B9316" i="1"/>
  <c r="C9316" i="1"/>
  <c r="E9316" i="1"/>
  <c r="G9316" i="1"/>
  <c r="K9316" i="1"/>
  <c r="A9317" i="1"/>
  <c r="B9317" i="1"/>
  <c r="C9317" i="1"/>
  <c r="E9317" i="1"/>
  <c r="G9317" i="1"/>
  <c r="K9317" i="1"/>
  <c r="A9318" i="1"/>
  <c r="B9318" i="1"/>
  <c r="C9318" i="1"/>
  <c r="E9318" i="1"/>
  <c r="G9318" i="1"/>
  <c r="K9318" i="1"/>
  <c r="A9319" i="1"/>
  <c r="B9319" i="1"/>
  <c r="C9319" i="1"/>
  <c r="E9319" i="1"/>
  <c r="G9319" i="1"/>
  <c r="K9319" i="1"/>
  <c r="A9320" i="1"/>
  <c r="B9320" i="1"/>
  <c r="C9320" i="1"/>
  <c r="E9320" i="1"/>
  <c r="G9320" i="1"/>
  <c r="K9320" i="1"/>
  <c r="A9321" i="1"/>
  <c r="B9321" i="1"/>
  <c r="C9321" i="1"/>
  <c r="E9321" i="1"/>
  <c r="G9321" i="1"/>
  <c r="K9321" i="1"/>
  <c r="A9322" i="1"/>
  <c r="B9322" i="1"/>
  <c r="C9322" i="1"/>
  <c r="E9322" i="1"/>
  <c r="G9322" i="1"/>
  <c r="K9322" i="1"/>
  <c r="A9323" i="1"/>
  <c r="B9323" i="1"/>
  <c r="C9323" i="1"/>
  <c r="E9323" i="1"/>
  <c r="G9323" i="1"/>
  <c r="K9323" i="1"/>
  <c r="A9324" i="1"/>
  <c r="B9324" i="1"/>
  <c r="C9324" i="1"/>
  <c r="E9324" i="1"/>
  <c r="G9324" i="1"/>
  <c r="K9324" i="1"/>
  <c r="A9325" i="1"/>
  <c r="B9325" i="1"/>
  <c r="C9325" i="1"/>
  <c r="E9325" i="1"/>
  <c r="G9325" i="1"/>
  <c r="K9325" i="1"/>
  <c r="A9326" i="1"/>
  <c r="B9326" i="1"/>
  <c r="C9326" i="1"/>
  <c r="E9326" i="1"/>
  <c r="G9326" i="1"/>
  <c r="K9326" i="1"/>
  <c r="A9327" i="1"/>
  <c r="B9327" i="1"/>
  <c r="C9327" i="1"/>
  <c r="E9327" i="1"/>
  <c r="G9327" i="1"/>
  <c r="K9327" i="1"/>
  <c r="A9328" i="1"/>
  <c r="B9328" i="1"/>
  <c r="C9328" i="1"/>
  <c r="E9328" i="1"/>
  <c r="G9328" i="1"/>
  <c r="K9328" i="1"/>
  <c r="A9329" i="1"/>
  <c r="B9329" i="1"/>
  <c r="C9329" i="1"/>
  <c r="E9329" i="1"/>
  <c r="G9329" i="1"/>
  <c r="K9329" i="1"/>
  <c r="A9330" i="1"/>
  <c r="B9330" i="1"/>
  <c r="C9330" i="1"/>
  <c r="E9330" i="1"/>
  <c r="G9330" i="1"/>
  <c r="K9330" i="1"/>
  <c r="A9331" i="1"/>
  <c r="B9331" i="1"/>
  <c r="C9331" i="1"/>
  <c r="E9331" i="1"/>
  <c r="G9331" i="1"/>
  <c r="K9331" i="1"/>
  <c r="A9332" i="1"/>
  <c r="B9332" i="1"/>
  <c r="C9332" i="1"/>
  <c r="E9332" i="1"/>
  <c r="G9332" i="1"/>
  <c r="K9332" i="1"/>
  <c r="A9333" i="1"/>
  <c r="B9333" i="1"/>
  <c r="C9333" i="1"/>
  <c r="E9333" i="1"/>
  <c r="G9333" i="1"/>
  <c r="K9333" i="1"/>
  <c r="A9334" i="1"/>
  <c r="B9334" i="1"/>
  <c r="C9334" i="1"/>
  <c r="E9334" i="1"/>
  <c r="G9334" i="1"/>
  <c r="K9334" i="1"/>
  <c r="A9335" i="1"/>
  <c r="B9335" i="1"/>
  <c r="C9335" i="1"/>
  <c r="E9335" i="1"/>
  <c r="G9335" i="1"/>
  <c r="K9335" i="1"/>
  <c r="A9336" i="1"/>
  <c r="B9336" i="1"/>
  <c r="C9336" i="1"/>
  <c r="E9336" i="1"/>
  <c r="G9336" i="1"/>
  <c r="K9336" i="1"/>
  <c r="A9337" i="1"/>
  <c r="B9337" i="1"/>
  <c r="C9337" i="1"/>
  <c r="E9337" i="1"/>
  <c r="G9337" i="1"/>
  <c r="K9337" i="1"/>
  <c r="A9338" i="1"/>
  <c r="B9338" i="1"/>
  <c r="C9338" i="1"/>
  <c r="E9338" i="1"/>
  <c r="G9338" i="1"/>
  <c r="K9338" i="1"/>
  <c r="A9339" i="1"/>
  <c r="B9339" i="1"/>
  <c r="C9339" i="1"/>
  <c r="E9339" i="1"/>
  <c r="G9339" i="1"/>
  <c r="K9339" i="1"/>
  <c r="A9340" i="1"/>
  <c r="B9340" i="1"/>
  <c r="C9340" i="1"/>
  <c r="E9340" i="1"/>
  <c r="G9340" i="1"/>
  <c r="K9340" i="1"/>
  <c r="A9341" i="1"/>
  <c r="B9341" i="1"/>
  <c r="C9341" i="1"/>
  <c r="E9341" i="1"/>
  <c r="G9341" i="1"/>
  <c r="K9341" i="1"/>
  <c r="A9342" i="1"/>
  <c r="B9342" i="1"/>
  <c r="C9342" i="1"/>
  <c r="E9342" i="1"/>
  <c r="G9342" i="1"/>
  <c r="K9342" i="1"/>
  <c r="A9343" i="1"/>
  <c r="B9343" i="1"/>
  <c r="C9343" i="1"/>
  <c r="E9343" i="1"/>
  <c r="G9343" i="1"/>
  <c r="K9343" i="1"/>
  <c r="A9344" i="1"/>
  <c r="B9344" i="1"/>
  <c r="C9344" i="1"/>
  <c r="E9344" i="1"/>
  <c r="G9344" i="1"/>
  <c r="K9344" i="1"/>
  <c r="A9345" i="1"/>
  <c r="B9345" i="1"/>
  <c r="C9345" i="1"/>
  <c r="E9345" i="1"/>
  <c r="G9345" i="1"/>
  <c r="K9345" i="1"/>
  <c r="A9346" i="1"/>
  <c r="B9346" i="1"/>
  <c r="C9346" i="1"/>
  <c r="E9346" i="1"/>
  <c r="G9346" i="1"/>
  <c r="K9346" i="1"/>
  <c r="A9347" i="1"/>
  <c r="B9347" i="1"/>
  <c r="C9347" i="1"/>
  <c r="E9347" i="1"/>
  <c r="G9347" i="1"/>
  <c r="K9347" i="1"/>
  <c r="A9348" i="1"/>
  <c r="B9348" i="1"/>
  <c r="C9348" i="1"/>
  <c r="E9348" i="1"/>
  <c r="G9348" i="1"/>
  <c r="K9348" i="1"/>
  <c r="A9349" i="1"/>
  <c r="B9349" i="1"/>
  <c r="C9349" i="1"/>
  <c r="E9349" i="1"/>
  <c r="G9349" i="1"/>
  <c r="K9349" i="1"/>
  <c r="A9350" i="1"/>
  <c r="B9350" i="1"/>
  <c r="C9350" i="1"/>
  <c r="E9350" i="1"/>
  <c r="G9350" i="1"/>
  <c r="K9350" i="1"/>
  <c r="A9351" i="1"/>
  <c r="B9351" i="1"/>
  <c r="C9351" i="1"/>
  <c r="E9351" i="1"/>
  <c r="G9351" i="1"/>
  <c r="K9351" i="1"/>
  <c r="A9352" i="1"/>
  <c r="B9352" i="1"/>
  <c r="C9352" i="1"/>
  <c r="E9352" i="1"/>
  <c r="G9352" i="1"/>
  <c r="K9352" i="1"/>
  <c r="A9353" i="1"/>
  <c r="B9353" i="1"/>
  <c r="C9353" i="1"/>
  <c r="E9353" i="1"/>
  <c r="G9353" i="1"/>
  <c r="K9353" i="1"/>
  <c r="A9354" i="1"/>
  <c r="B9354" i="1"/>
  <c r="C9354" i="1"/>
  <c r="E9354" i="1"/>
  <c r="G9354" i="1"/>
  <c r="K9354" i="1"/>
  <c r="A9355" i="1"/>
  <c r="B9355" i="1"/>
  <c r="C9355" i="1"/>
  <c r="E9355" i="1"/>
  <c r="G9355" i="1"/>
  <c r="K9355" i="1"/>
  <c r="A9356" i="1"/>
  <c r="B9356" i="1"/>
  <c r="C9356" i="1"/>
  <c r="E9356" i="1"/>
  <c r="G9356" i="1"/>
  <c r="K9356" i="1"/>
  <c r="A9357" i="1"/>
  <c r="B9357" i="1"/>
  <c r="C9357" i="1"/>
  <c r="E9357" i="1"/>
  <c r="G9357" i="1"/>
  <c r="K9357" i="1"/>
  <c r="A9358" i="1"/>
  <c r="B9358" i="1"/>
  <c r="C9358" i="1"/>
  <c r="E9358" i="1"/>
  <c r="G9358" i="1"/>
  <c r="K9358" i="1"/>
  <c r="A9359" i="1"/>
  <c r="B9359" i="1"/>
  <c r="C9359" i="1"/>
  <c r="E9359" i="1"/>
  <c r="G9359" i="1"/>
  <c r="K9359" i="1"/>
  <c r="A9360" i="1"/>
  <c r="B9360" i="1"/>
  <c r="C9360" i="1"/>
  <c r="E9360" i="1"/>
  <c r="G9360" i="1"/>
  <c r="K9360" i="1"/>
  <c r="A9361" i="1"/>
  <c r="B9361" i="1"/>
  <c r="C9361" i="1"/>
  <c r="E9361" i="1"/>
  <c r="G9361" i="1"/>
  <c r="K9361" i="1"/>
  <c r="A9362" i="1"/>
  <c r="B9362" i="1"/>
  <c r="C9362" i="1"/>
  <c r="E9362" i="1"/>
  <c r="G9362" i="1"/>
  <c r="K9362" i="1"/>
  <c r="A9363" i="1"/>
  <c r="B9363" i="1"/>
  <c r="C9363" i="1"/>
  <c r="E9363" i="1"/>
  <c r="G9363" i="1"/>
  <c r="K9363" i="1"/>
  <c r="A9364" i="1"/>
  <c r="B9364" i="1"/>
  <c r="C9364" i="1"/>
  <c r="E9364" i="1"/>
  <c r="G9364" i="1"/>
  <c r="K9364" i="1"/>
  <c r="A9365" i="1"/>
  <c r="B9365" i="1"/>
  <c r="C9365" i="1"/>
  <c r="E9365" i="1"/>
  <c r="G9365" i="1"/>
  <c r="K9365" i="1"/>
  <c r="A9366" i="1"/>
  <c r="B9366" i="1"/>
  <c r="C9366" i="1"/>
  <c r="E9366" i="1"/>
  <c r="G9366" i="1"/>
  <c r="K9366" i="1"/>
  <c r="A9367" i="1"/>
  <c r="B9367" i="1"/>
  <c r="C9367" i="1"/>
  <c r="E9367" i="1"/>
  <c r="G9367" i="1"/>
  <c r="K9367" i="1"/>
  <c r="A9368" i="1"/>
  <c r="B9368" i="1"/>
  <c r="C9368" i="1"/>
  <c r="E9368" i="1"/>
  <c r="G9368" i="1"/>
  <c r="K9368" i="1"/>
  <c r="A9369" i="1"/>
  <c r="B9369" i="1"/>
  <c r="C9369" i="1"/>
  <c r="E9369" i="1"/>
  <c r="G9369" i="1"/>
  <c r="K9369" i="1"/>
  <c r="A9370" i="1"/>
  <c r="B9370" i="1"/>
  <c r="C9370" i="1"/>
  <c r="E9370" i="1"/>
  <c r="G9370" i="1"/>
  <c r="K9370" i="1"/>
  <c r="A9371" i="1"/>
  <c r="B9371" i="1"/>
  <c r="C9371" i="1"/>
  <c r="E9371" i="1"/>
  <c r="G9371" i="1"/>
  <c r="K9371" i="1"/>
  <c r="A9372" i="1"/>
  <c r="B9372" i="1"/>
  <c r="C9372" i="1"/>
  <c r="E9372" i="1"/>
  <c r="G9372" i="1"/>
  <c r="K9372" i="1"/>
  <c r="A9373" i="1"/>
  <c r="B9373" i="1"/>
  <c r="C9373" i="1"/>
  <c r="E9373" i="1"/>
  <c r="G9373" i="1"/>
  <c r="K9373" i="1"/>
  <c r="A9374" i="1"/>
  <c r="B9374" i="1"/>
  <c r="C9374" i="1"/>
  <c r="E9374" i="1"/>
  <c r="G9374" i="1"/>
  <c r="K9374" i="1"/>
  <c r="A9375" i="1"/>
  <c r="B9375" i="1"/>
  <c r="C9375" i="1"/>
  <c r="E9375" i="1"/>
  <c r="G9375" i="1"/>
  <c r="K9375" i="1"/>
  <c r="A9376" i="1"/>
  <c r="B9376" i="1"/>
  <c r="C9376" i="1"/>
  <c r="E9376" i="1"/>
  <c r="G9376" i="1"/>
  <c r="K9376" i="1"/>
  <c r="A9377" i="1"/>
  <c r="B9377" i="1"/>
  <c r="C9377" i="1"/>
  <c r="E9377" i="1"/>
  <c r="G9377" i="1"/>
  <c r="K9377" i="1"/>
  <c r="A9378" i="1"/>
  <c r="B9378" i="1"/>
  <c r="C9378" i="1"/>
  <c r="E9378" i="1"/>
  <c r="G9378" i="1"/>
  <c r="K9378" i="1"/>
  <c r="A9379" i="1"/>
  <c r="B9379" i="1"/>
  <c r="C9379" i="1"/>
  <c r="E9379" i="1"/>
  <c r="G9379" i="1"/>
  <c r="K9379" i="1"/>
  <c r="A9380" i="1"/>
  <c r="B9380" i="1"/>
  <c r="C9380" i="1"/>
  <c r="E9380" i="1"/>
  <c r="G9380" i="1"/>
  <c r="K9380" i="1"/>
  <c r="A9381" i="1"/>
  <c r="B9381" i="1"/>
  <c r="C9381" i="1"/>
  <c r="E9381" i="1"/>
  <c r="G9381" i="1"/>
  <c r="K9381" i="1"/>
  <c r="A9382" i="1"/>
  <c r="B9382" i="1"/>
  <c r="C9382" i="1"/>
  <c r="E9382" i="1"/>
  <c r="G9382" i="1"/>
  <c r="K9382" i="1"/>
  <c r="A9383" i="1"/>
  <c r="B9383" i="1"/>
  <c r="C9383" i="1"/>
  <c r="E9383" i="1"/>
  <c r="G9383" i="1"/>
  <c r="K9383" i="1"/>
  <c r="A9384" i="1"/>
  <c r="B9384" i="1"/>
  <c r="C9384" i="1"/>
  <c r="E9384" i="1"/>
  <c r="G9384" i="1"/>
  <c r="K9384" i="1"/>
  <c r="A9385" i="1"/>
  <c r="B9385" i="1"/>
  <c r="C9385" i="1"/>
  <c r="E9385" i="1"/>
  <c r="G9385" i="1"/>
  <c r="K9385" i="1"/>
  <c r="A9386" i="1"/>
  <c r="B9386" i="1"/>
  <c r="C9386" i="1"/>
  <c r="E9386" i="1"/>
  <c r="G9386" i="1"/>
  <c r="K9386" i="1"/>
  <c r="A9387" i="1"/>
  <c r="B9387" i="1"/>
  <c r="C9387" i="1"/>
  <c r="E9387" i="1"/>
  <c r="G9387" i="1"/>
  <c r="K9387" i="1"/>
  <c r="A9388" i="1"/>
  <c r="B9388" i="1"/>
  <c r="C9388" i="1"/>
  <c r="E9388" i="1"/>
  <c r="G9388" i="1"/>
  <c r="K9388" i="1"/>
  <c r="A9389" i="1"/>
  <c r="B9389" i="1"/>
  <c r="C9389" i="1"/>
  <c r="E9389" i="1"/>
  <c r="G9389" i="1"/>
  <c r="K9389" i="1"/>
  <c r="A9390" i="1"/>
  <c r="B9390" i="1"/>
  <c r="C9390" i="1"/>
  <c r="E9390" i="1"/>
  <c r="G9390" i="1"/>
  <c r="K9390" i="1"/>
  <c r="A9391" i="1"/>
  <c r="B9391" i="1"/>
  <c r="C9391" i="1"/>
  <c r="E9391" i="1"/>
  <c r="G9391" i="1"/>
  <c r="K9391" i="1"/>
  <c r="A9392" i="1"/>
  <c r="B9392" i="1"/>
  <c r="C9392" i="1"/>
  <c r="E9392" i="1"/>
  <c r="G9392" i="1"/>
  <c r="K9392" i="1"/>
  <c r="A9393" i="1"/>
  <c r="B9393" i="1"/>
  <c r="C9393" i="1"/>
  <c r="E9393" i="1"/>
  <c r="G9393" i="1"/>
  <c r="K9393" i="1"/>
  <c r="A9394" i="1"/>
  <c r="B9394" i="1"/>
  <c r="C9394" i="1"/>
  <c r="E9394" i="1"/>
  <c r="G9394" i="1"/>
  <c r="K9394" i="1"/>
  <c r="A9395" i="1"/>
  <c r="B9395" i="1"/>
  <c r="C9395" i="1"/>
  <c r="E9395" i="1"/>
  <c r="G9395" i="1"/>
  <c r="K9395" i="1"/>
  <c r="A9396" i="1"/>
  <c r="B9396" i="1"/>
  <c r="C9396" i="1"/>
  <c r="E9396" i="1"/>
  <c r="G9396" i="1"/>
  <c r="K9396" i="1"/>
  <c r="A9397" i="1"/>
  <c r="B9397" i="1"/>
  <c r="C9397" i="1"/>
  <c r="E9397" i="1"/>
  <c r="G9397" i="1"/>
  <c r="K9397" i="1"/>
  <c r="A9398" i="1"/>
  <c r="B9398" i="1"/>
  <c r="C9398" i="1"/>
  <c r="E9398" i="1"/>
  <c r="G9398" i="1"/>
  <c r="K9398" i="1"/>
  <c r="A9399" i="1"/>
  <c r="B9399" i="1"/>
  <c r="C9399" i="1"/>
  <c r="E9399" i="1"/>
  <c r="G9399" i="1"/>
  <c r="K9399" i="1"/>
  <c r="A9400" i="1"/>
  <c r="B9400" i="1"/>
  <c r="C9400" i="1"/>
  <c r="E9400" i="1"/>
  <c r="G9400" i="1"/>
  <c r="K9400" i="1"/>
  <c r="A9401" i="1"/>
  <c r="B9401" i="1"/>
  <c r="C9401" i="1"/>
  <c r="E9401" i="1"/>
  <c r="G9401" i="1"/>
  <c r="K9401" i="1"/>
  <c r="A9402" i="1"/>
  <c r="B9402" i="1"/>
  <c r="C9402" i="1"/>
  <c r="E9402" i="1"/>
  <c r="G9402" i="1"/>
  <c r="K9402" i="1"/>
  <c r="A9403" i="1"/>
  <c r="B9403" i="1"/>
  <c r="C9403" i="1"/>
  <c r="E9403" i="1"/>
  <c r="G9403" i="1"/>
  <c r="K9403" i="1"/>
  <c r="A9404" i="1"/>
  <c r="B9404" i="1"/>
  <c r="C9404" i="1"/>
  <c r="E9404" i="1"/>
  <c r="G9404" i="1"/>
  <c r="K9404" i="1"/>
  <c r="A9405" i="1"/>
  <c r="B9405" i="1"/>
  <c r="C9405" i="1"/>
  <c r="E9405" i="1"/>
  <c r="G9405" i="1"/>
  <c r="K9405" i="1"/>
  <c r="A9406" i="1"/>
  <c r="B9406" i="1"/>
  <c r="C9406" i="1"/>
  <c r="E9406" i="1"/>
  <c r="G9406" i="1"/>
  <c r="K9406" i="1"/>
  <c r="A9407" i="1"/>
  <c r="B9407" i="1"/>
  <c r="C9407" i="1"/>
  <c r="E9407" i="1"/>
  <c r="G9407" i="1"/>
  <c r="K9407" i="1"/>
  <c r="A9408" i="1"/>
  <c r="B9408" i="1"/>
  <c r="C9408" i="1"/>
  <c r="E9408" i="1"/>
  <c r="G9408" i="1"/>
  <c r="K9408" i="1"/>
  <c r="A9409" i="1"/>
  <c r="B9409" i="1"/>
  <c r="C9409" i="1"/>
  <c r="E9409" i="1"/>
  <c r="G9409" i="1"/>
  <c r="K9409" i="1"/>
  <c r="A9410" i="1"/>
  <c r="B9410" i="1"/>
  <c r="C9410" i="1"/>
  <c r="E9410" i="1"/>
  <c r="G9410" i="1"/>
  <c r="K9410" i="1"/>
  <c r="A9411" i="1"/>
  <c r="B9411" i="1"/>
  <c r="C9411" i="1"/>
  <c r="E9411" i="1"/>
  <c r="G9411" i="1"/>
  <c r="K9411" i="1"/>
  <c r="A9412" i="1"/>
  <c r="B9412" i="1"/>
  <c r="C9412" i="1"/>
  <c r="E9412" i="1"/>
  <c r="G9412" i="1"/>
  <c r="K9412" i="1"/>
  <c r="A9413" i="1"/>
  <c r="B9413" i="1"/>
  <c r="C9413" i="1"/>
  <c r="E9413" i="1"/>
  <c r="G9413" i="1"/>
  <c r="K9413" i="1"/>
  <c r="A9414" i="1"/>
  <c r="B9414" i="1"/>
  <c r="C9414" i="1"/>
  <c r="E9414" i="1"/>
  <c r="G9414" i="1"/>
  <c r="K9414" i="1"/>
  <c r="A9415" i="1"/>
  <c r="B9415" i="1"/>
  <c r="C9415" i="1"/>
  <c r="E9415" i="1"/>
  <c r="G9415" i="1"/>
  <c r="K9415" i="1"/>
  <c r="A9416" i="1"/>
  <c r="B9416" i="1"/>
  <c r="C9416" i="1"/>
  <c r="E9416" i="1"/>
  <c r="G9416" i="1"/>
  <c r="K9416" i="1"/>
  <c r="A9417" i="1"/>
  <c r="B9417" i="1"/>
  <c r="C9417" i="1"/>
  <c r="E9417" i="1"/>
  <c r="G9417" i="1"/>
  <c r="K9417" i="1"/>
  <c r="A9418" i="1"/>
  <c r="B9418" i="1"/>
  <c r="C9418" i="1"/>
  <c r="E9418" i="1"/>
  <c r="G9418" i="1"/>
  <c r="K9418" i="1"/>
  <c r="A9419" i="1"/>
  <c r="B9419" i="1"/>
  <c r="C9419" i="1"/>
  <c r="E9419" i="1"/>
  <c r="G9419" i="1"/>
  <c r="K9419" i="1"/>
  <c r="A9420" i="1"/>
  <c r="B9420" i="1"/>
  <c r="C9420" i="1"/>
  <c r="E9420" i="1"/>
  <c r="G9420" i="1"/>
  <c r="K9420" i="1"/>
  <c r="A9421" i="1"/>
  <c r="B9421" i="1"/>
  <c r="C9421" i="1"/>
  <c r="E9421" i="1"/>
  <c r="G9421" i="1"/>
  <c r="K9421" i="1"/>
  <c r="A9422" i="1"/>
  <c r="B9422" i="1"/>
  <c r="C9422" i="1"/>
  <c r="E9422" i="1"/>
  <c r="G9422" i="1"/>
  <c r="K9422" i="1"/>
  <c r="A9423" i="1"/>
  <c r="B9423" i="1"/>
  <c r="C9423" i="1"/>
  <c r="E9423" i="1"/>
  <c r="G9423" i="1"/>
  <c r="K9423" i="1"/>
  <c r="A9424" i="1"/>
  <c r="B9424" i="1"/>
  <c r="C9424" i="1"/>
  <c r="E9424" i="1"/>
  <c r="G9424" i="1"/>
  <c r="K9424" i="1"/>
  <c r="A9425" i="1"/>
  <c r="B9425" i="1"/>
  <c r="C9425" i="1"/>
  <c r="E9425" i="1"/>
  <c r="G9425" i="1"/>
  <c r="K9425" i="1"/>
  <c r="A9426" i="1"/>
  <c r="B9426" i="1"/>
  <c r="C9426" i="1"/>
  <c r="E9426" i="1"/>
  <c r="G9426" i="1"/>
  <c r="K9426" i="1"/>
  <c r="A9427" i="1"/>
  <c r="B9427" i="1"/>
  <c r="C9427" i="1"/>
  <c r="E9427" i="1"/>
  <c r="G9427" i="1"/>
  <c r="K9427" i="1"/>
  <c r="A9428" i="1"/>
  <c r="B9428" i="1"/>
  <c r="C9428" i="1"/>
  <c r="E9428" i="1"/>
  <c r="G9428" i="1"/>
  <c r="K9428" i="1"/>
  <c r="A9429" i="1"/>
  <c r="B9429" i="1"/>
  <c r="C9429" i="1"/>
  <c r="E9429" i="1"/>
  <c r="G9429" i="1"/>
  <c r="K9429" i="1"/>
  <c r="A9430" i="1"/>
  <c r="B9430" i="1"/>
  <c r="C9430" i="1"/>
  <c r="E9430" i="1"/>
  <c r="G9430" i="1"/>
  <c r="K9430" i="1"/>
  <c r="A9431" i="1"/>
  <c r="B9431" i="1"/>
  <c r="C9431" i="1"/>
  <c r="E9431" i="1"/>
  <c r="G9431" i="1"/>
  <c r="K9431" i="1"/>
  <c r="A9432" i="1"/>
  <c r="B9432" i="1"/>
  <c r="C9432" i="1"/>
  <c r="E9432" i="1"/>
  <c r="G9432" i="1"/>
  <c r="K9432" i="1"/>
  <c r="A9433" i="1"/>
  <c r="B9433" i="1"/>
  <c r="C9433" i="1"/>
  <c r="E9433" i="1"/>
  <c r="G9433" i="1"/>
  <c r="K9433" i="1"/>
  <c r="A9434" i="1"/>
  <c r="B9434" i="1"/>
  <c r="C9434" i="1"/>
  <c r="E9434" i="1"/>
  <c r="G9434" i="1"/>
  <c r="K9434" i="1"/>
  <c r="A9435" i="1"/>
  <c r="B9435" i="1"/>
  <c r="C9435" i="1"/>
  <c r="E9435" i="1"/>
  <c r="G9435" i="1"/>
  <c r="K9435" i="1"/>
  <c r="A9436" i="1"/>
  <c r="B9436" i="1"/>
  <c r="C9436" i="1"/>
  <c r="E9436" i="1"/>
  <c r="G9436" i="1"/>
  <c r="K9436" i="1"/>
  <c r="A9437" i="1"/>
  <c r="B9437" i="1"/>
  <c r="C9437" i="1"/>
  <c r="E9437" i="1"/>
  <c r="G9437" i="1"/>
  <c r="K9437" i="1"/>
  <c r="A9438" i="1"/>
  <c r="B9438" i="1"/>
  <c r="C9438" i="1"/>
  <c r="E9438" i="1"/>
  <c r="G9438" i="1"/>
  <c r="K9438" i="1"/>
  <c r="A9439" i="1"/>
  <c r="B9439" i="1"/>
  <c r="C9439" i="1"/>
  <c r="E9439" i="1"/>
  <c r="G9439" i="1"/>
  <c r="K9439" i="1"/>
  <c r="A9440" i="1"/>
  <c r="B9440" i="1"/>
  <c r="C9440" i="1"/>
  <c r="E9440" i="1"/>
  <c r="G9440" i="1"/>
  <c r="K9440" i="1"/>
  <c r="A9441" i="1"/>
  <c r="B9441" i="1"/>
  <c r="C9441" i="1"/>
  <c r="E9441" i="1"/>
  <c r="G9441" i="1"/>
  <c r="K9441" i="1"/>
  <c r="A9442" i="1"/>
  <c r="B9442" i="1"/>
  <c r="C9442" i="1"/>
  <c r="E9442" i="1"/>
  <c r="G9442" i="1"/>
  <c r="K9442" i="1"/>
  <c r="A9443" i="1"/>
  <c r="B9443" i="1"/>
  <c r="C9443" i="1"/>
  <c r="E9443" i="1"/>
  <c r="G9443" i="1"/>
  <c r="K9443" i="1"/>
  <c r="A9444" i="1"/>
  <c r="B9444" i="1"/>
  <c r="C9444" i="1"/>
  <c r="E9444" i="1"/>
  <c r="G9444" i="1"/>
  <c r="K9444" i="1"/>
  <c r="A9445" i="1"/>
  <c r="B9445" i="1"/>
  <c r="C9445" i="1"/>
  <c r="E9445" i="1"/>
  <c r="G9445" i="1"/>
  <c r="K9445" i="1"/>
  <c r="A9446" i="1"/>
  <c r="B9446" i="1"/>
  <c r="C9446" i="1"/>
  <c r="E9446" i="1"/>
  <c r="G9446" i="1"/>
  <c r="K9446" i="1"/>
  <c r="A9447" i="1"/>
  <c r="B9447" i="1"/>
  <c r="C9447" i="1"/>
  <c r="E9447" i="1"/>
  <c r="G9447" i="1"/>
  <c r="K9447" i="1"/>
  <c r="A9448" i="1"/>
  <c r="B9448" i="1"/>
  <c r="C9448" i="1"/>
  <c r="E9448" i="1"/>
  <c r="G9448" i="1"/>
  <c r="K9448" i="1"/>
  <c r="A9449" i="1"/>
  <c r="B9449" i="1"/>
  <c r="C9449" i="1"/>
  <c r="E9449" i="1"/>
  <c r="G9449" i="1"/>
  <c r="K9449" i="1"/>
  <c r="A9450" i="1"/>
  <c r="B9450" i="1"/>
  <c r="C9450" i="1"/>
  <c r="E9450" i="1"/>
  <c r="G9450" i="1"/>
  <c r="K9450" i="1"/>
  <c r="A9451" i="1"/>
  <c r="B9451" i="1"/>
  <c r="C9451" i="1"/>
  <c r="E9451" i="1"/>
  <c r="G9451" i="1"/>
  <c r="K9451" i="1"/>
  <c r="A9452" i="1"/>
  <c r="B9452" i="1"/>
  <c r="C9452" i="1"/>
  <c r="E9452" i="1"/>
  <c r="G9452" i="1"/>
  <c r="K9452" i="1"/>
  <c r="A9453" i="1"/>
  <c r="B9453" i="1"/>
  <c r="C9453" i="1"/>
  <c r="E9453" i="1"/>
  <c r="G9453" i="1"/>
  <c r="K9453" i="1"/>
  <c r="A9454" i="1"/>
  <c r="B9454" i="1"/>
  <c r="C9454" i="1"/>
  <c r="E9454" i="1"/>
  <c r="G9454" i="1"/>
  <c r="K9454" i="1"/>
  <c r="A9455" i="1"/>
  <c r="B9455" i="1"/>
  <c r="C9455" i="1"/>
  <c r="E9455" i="1"/>
  <c r="G9455" i="1"/>
  <c r="K9455" i="1"/>
  <c r="A9456" i="1"/>
  <c r="B9456" i="1"/>
  <c r="C9456" i="1"/>
  <c r="E9456" i="1"/>
  <c r="G9456" i="1"/>
  <c r="K9456" i="1"/>
  <c r="A9457" i="1"/>
  <c r="B9457" i="1"/>
  <c r="C9457" i="1"/>
  <c r="E9457" i="1"/>
  <c r="G9457" i="1"/>
  <c r="K9457" i="1"/>
  <c r="A9458" i="1"/>
  <c r="B9458" i="1"/>
  <c r="C9458" i="1"/>
  <c r="E9458" i="1"/>
  <c r="G9458" i="1"/>
  <c r="K9458" i="1"/>
  <c r="A9459" i="1"/>
  <c r="B9459" i="1"/>
  <c r="C9459" i="1"/>
  <c r="E9459" i="1"/>
  <c r="G9459" i="1"/>
  <c r="K9459" i="1"/>
  <c r="A9460" i="1"/>
  <c r="B9460" i="1"/>
  <c r="C9460" i="1"/>
  <c r="E9460" i="1"/>
  <c r="G9460" i="1"/>
  <c r="K9460" i="1"/>
  <c r="A9461" i="1"/>
  <c r="B9461" i="1"/>
  <c r="C9461" i="1"/>
  <c r="E9461" i="1"/>
  <c r="G9461" i="1"/>
  <c r="K9461" i="1"/>
  <c r="A9462" i="1"/>
  <c r="B9462" i="1"/>
  <c r="C9462" i="1"/>
  <c r="E9462" i="1"/>
  <c r="G9462" i="1"/>
  <c r="K9462" i="1"/>
  <c r="A9463" i="1"/>
  <c r="B9463" i="1"/>
  <c r="C9463" i="1"/>
  <c r="E9463" i="1"/>
  <c r="G9463" i="1"/>
  <c r="K9463" i="1"/>
  <c r="A9464" i="1"/>
  <c r="B9464" i="1"/>
  <c r="C9464" i="1"/>
  <c r="E9464" i="1"/>
  <c r="G9464" i="1"/>
  <c r="K9464" i="1"/>
  <c r="A9465" i="1"/>
  <c r="B9465" i="1"/>
  <c r="C9465" i="1"/>
  <c r="E9465" i="1"/>
  <c r="G9465" i="1"/>
  <c r="K9465" i="1"/>
  <c r="A9466" i="1"/>
  <c r="B9466" i="1"/>
  <c r="C9466" i="1"/>
  <c r="E9466" i="1"/>
  <c r="G9466" i="1"/>
  <c r="K9466" i="1"/>
  <c r="A9467" i="1"/>
  <c r="B9467" i="1"/>
  <c r="C9467" i="1"/>
  <c r="E9467" i="1"/>
  <c r="G9467" i="1"/>
  <c r="K9467" i="1"/>
  <c r="A9468" i="1"/>
  <c r="B9468" i="1"/>
  <c r="C9468" i="1"/>
  <c r="E9468" i="1"/>
  <c r="G9468" i="1"/>
  <c r="K9468" i="1"/>
  <c r="A9469" i="1"/>
  <c r="B9469" i="1"/>
  <c r="C9469" i="1"/>
  <c r="E9469" i="1"/>
  <c r="G9469" i="1"/>
  <c r="K9469" i="1"/>
  <c r="A9470" i="1"/>
  <c r="B9470" i="1"/>
  <c r="C9470" i="1"/>
  <c r="E9470" i="1"/>
  <c r="G9470" i="1"/>
  <c r="K9470" i="1"/>
  <c r="A9471" i="1"/>
  <c r="B9471" i="1"/>
  <c r="C9471" i="1"/>
  <c r="E9471" i="1"/>
  <c r="G9471" i="1"/>
  <c r="K9471" i="1"/>
  <c r="A9472" i="1"/>
  <c r="B9472" i="1"/>
  <c r="C9472" i="1"/>
  <c r="E9472" i="1"/>
  <c r="G9472" i="1"/>
  <c r="K9472" i="1"/>
  <c r="A9473" i="1"/>
  <c r="B9473" i="1"/>
  <c r="C9473" i="1"/>
  <c r="E9473" i="1"/>
  <c r="G9473" i="1"/>
  <c r="K9473" i="1"/>
  <c r="A9474" i="1"/>
  <c r="B9474" i="1"/>
  <c r="C9474" i="1"/>
  <c r="E9474" i="1"/>
  <c r="G9474" i="1"/>
  <c r="K9474" i="1"/>
  <c r="A9475" i="1"/>
  <c r="B9475" i="1"/>
  <c r="C9475" i="1"/>
  <c r="E9475" i="1"/>
  <c r="G9475" i="1"/>
  <c r="K9475" i="1"/>
  <c r="A9476" i="1"/>
  <c r="B9476" i="1"/>
  <c r="C9476" i="1"/>
  <c r="E9476" i="1"/>
  <c r="G9476" i="1"/>
  <c r="K9476" i="1"/>
  <c r="A9477" i="1"/>
  <c r="B9477" i="1"/>
  <c r="C9477" i="1"/>
  <c r="E9477" i="1"/>
  <c r="G9477" i="1"/>
  <c r="K9477" i="1"/>
  <c r="A9478" i="1"/>
  <c r="B9478" i="1"/>
  <c r="C9478" i="1"/>
  <c r="E9478" i="1"/>
  <c r="G9478" i="1"/>
  <c r="K9478" i="1"/>
  <c r="A9479" i="1"/>
  <c r="B9479" i="1"/>
  <c r="C9479" i="1"/>
  <c r="E9479" i="1"/>
  <c r="G9479" i="1"/>
  <c r="K9479" i="1"/>
  <c r="A9480" i="1"/>
  <c r="B9480" i="1"/>
  <c r="C9480" i="1"/>
  <c r="E9480" i="1"/>
  <c r="G9480" i="1"/>
  <c r="K9480" i="1"/>
  <c r="A9481" i="1"/>
  <c r="B9481" i="1"/>
  <c r="C9481" i="1"/>
  <c r="E9481" i="1"/>
  <c r="G9481" i="1"/>
  <c r="K9481" i="1"/>
  <c r="A9482" i="1"/>
  <c r="B9482" i="1"/>
  <c r="C9482" i="1"/>
  <c r="E9482" i="1"/>
  <c r="G9482" i="1"/>
  <c r="K9482" i="1"/>
  <c r="A9483" i="1"/>
  <c r="B9483" i="1"/>
  <c r="C9483" i="1"/>
  <c r="E9483" i="1"/>
  <c r="G9483" i="1"/>
  <c r="K9483" i="1"/>
  <c r="A9484" i="1"/>
  <c r="B9484" i="1"/>
  <c r="C9484" i="1"/>
  <c r="E9484" i="1"/>
  <c r="G9484" i="1"/>
  <c r="K9484" i="1"/>
  <c r="A9485" i="1"/>
  <c r="B9485" i="1"/>
  <c r="C9485" i="1"/>
  <c r="E9485" i="1"/>
  <c r="G9485" i="1"/>
  <c r="K9485" i="1"/>
  <c r="A9486" i="1"/>
  <c r="B9486" i="1"/>
  <c r="C9486" i="1"/>
  <c r="E9486" i="1"/>
  <c r="G9486" i="1"/>
  <c r="K9486" i="1"/>
  <c r="A9487" i="1"/>
  <c r="B9487" i="1"/>
  <c r="C9487" i="1"/>
  <c r="E9487" i="1"/>
  <c r="G9487" i="1"/>
  <c r="K9487" i="1"/>
  <c r="A9488" i="1"/>
  <c r="B9488" i="1"/>
  <c r="C9488" i="1"/>
  <c r="E9488" i="1"/>
  <c r="G9488" i="1"/>
  <c r="K9488" i="1"/>
  <c r="A9489" i="1"/>
  <c r="B9489" i="1"/>
  <c r="C9489" i="1"/>
  <c r="E9489" i="1"/>
  <c r="G9489" i="1"/>
  <c r="K9489" i="1"/>
  <c r="A9490" i="1"/>
  <c r="B9490" i="1"/>
  <c r="C9490" i="1"/>
  <c r="E9490" i="1"/>
  <c r="G9490" i="1"/>
  <c r="K9490" i="1"/>
  <c r="A9491" i="1"/>
  <c r="B9491" i="1"/>
  <c r="C9491" i="1"/>
  <c r="E9491" i="1"/>
  <c r="G9491" i="1"/>
  <c r="K9491" i="1"/>
  <c r="A9492" i="1"/>
  <c r="B9492" i="1"/>
  <c r="C9492" i="1"/>
  <c r="E9492" i="1"/>
  <c r="G9492" i="1"/>
  <c r="K9492" i="1"/>
  <c r="A9493" i="1"/>
  <c r="B9493" i="1"/>
  <c r="C9493" i="1"/>
  <c r="E9493" i="1"/>
  <c r="G9493" i="1"/>
  <c r="K9493" i="1"/>
  <c r="A9494" i="1"/>
  <c r="B9494" i="1"/>
  <c r="C9494" i="1"/>
  <c r="E9494" i="1"/>
  <c r="G9494" i="1"/>
  <c r="K9494" i="1"/>
  <c r="A9495" i="1"/>
  <c r="B9495" i="1"/>
  <c r="C9495" i="1"/>
  <c r="E9495" i="1"/>
  <c r="G9495" i="1"/>
  <c r="K9495" i="1"/>
  <c r="A9496" i="1"/>
  <c r="B9496" i="1"/>
  <c r="C9496" i="1"/>
  <c r="E9496" i="1"/>
  <c r="G9496" i="1"/>
  <c r="K9496" i="1"/>
  <c r="A9497" i="1"/>
  <c r="B9497" i="1"/>
  <c r="C9497" i="1"/>
  <c r="E9497" i="1"/>
  <c r="G9497" i="1"/>
  <c r="K9497" i="1"/>
  <c r="A9498" i="1"/>
  <c r="B9498" i="1"/>
  <c r="C9498" i="1"/>
  <c r="E9498" i="1"/>
  <c r="G9498" i="1"/>
  <c r="K9498" i="1"/>
  <c r="A9499" i="1"/>
  <c r="B9499" i="1"/>
  <c r="C9499" i="1"/>
  <c r="E9499" i="1"/>
  <c r="G9499" i="1"/>
  <c r="K9499" i="1"/>
  <c r="A9500" i="1"/>
  <c r="B9500" i="1"/>
  <c r="C9500" i="1"/>
  <c r="E9500" i="1"/>
  <c r="G9500" i="1"/>
  <c r="K9500" i="1"/>
  <c r="A9501" i="1"/>
  <c r="B9501" i="1"/>
  <c r="C9501" i="1"/>
  <c r="E9501" i="1"/>
  <c r="G9501" i="1"/>
  <c r="K9501" i="1"/>
  <c r="A9502" i="1"/>
  <c r="B9502" i="1"/>
  <c r="C9502" i="1"/>
  <c r="E9502" i="1"/>
  <c r="G9502" i="1"/>
  <c r="K9502" i="1"/>
  <c r="A9503" i="1"/>
  <c r="B9503" i="1"/>
  <c r="C9503" i="1"/>
  <c r="E9503" i="1"/>
  <c r="G9503" i="1"/>
  <c r="K9503" i="1"/>
  <c r="A9504" i="1"/>
  <c r="B9504" i="1"/>
  <c r="C9504" i="1"/>
  <c r="E9504" i="1"/>
  <c r="G9504" i="1"/>
  <c r="K9504" i="1"/>
  <c r="A9505" i="1"/>
  <c r="B9505" i="1"/>
  <c r="C9505" i="1"/>
  <c r="E9505" i="1"/>
  <c r="G9505" i="1"/>
  <c r="K9505" i="1"/>
  <c r="A9506" i="1"/>
  <c r="B9506" i="1"/>
  <c r="C9506" i="1"/>
  <c r="E9506" i="1"/>
  <c r="G9506" i="1"/>
  <c r="K9506" i="1"/>
  <c r="A9507" i="1"/>
  <c r="B9507" i="1"/>
  <c r="C9507" i="1"/>
  <c r="E9507" i="1"/>
  <c r="G9507" i="1"/>
  <c r="K9507" i="1"/>
  <c r="A9508" i="1"/>
  <c r="B9508" i="1"/>
  <c r="C9508" i="1"/>
  <c r="E9508" i="1"/>
  <c r="G9508" i="1"/>
  <c r="K9508" i="1"/>
  <c r="A9509" i="1"/>
  <c r="B9509" i="1"/>
  <c r="C9509" i="1"/>
  <c r="E9509" i="1"/>
  <c r="G9509" i="1"/>
  <c r="K9509" i="1"/>
  <c r="A9510" i="1"/>
  <c r="B9510" i="1"/>
  <c r="C9510" i="1"/>
  <c r="E9510" i="1"/>
  <c r="G9510" i="1"/>
  <c r="K9510" i="1"/>
  <c r="A9511" i="1"/>
  <c r="B9511" i="1"/>
  <c r="C9511" i="1"/>
  <c r="E9511" i="1"/>
  <c r="G9511" i="1"/>
  <c r="K9511" i="1"/>
  <c r="A9512" i="1"/>
  <c r="B9512" i="1"/>
  <c r="C9512" i="1"/>
  <c r="E9512" i="1"/>
  <c r="G9512" i="1"/>
  <c r="K9512" i="1"/>
  <c r="A9513" i="1"/>
  <c r="B9513" i="1"/>
  <c r="C9513" i="1"/>
  <c r="E9513" i="1"/>
  <c r="G9513" i="1"/>
  <c r="K9513" i="1"/>
  <c r="A9514" i="1"/>
  <c r="B9514" i="1"/>
  <c r="C9514" i="1"/>
  <c r="E9514" i="1"/>
  <c r="G9514" i="1"/>
  <c r="K9514" i="1"/>
  <c r="A9515" i="1"/>
  <c r="B9515" i="1"/>
  <c r="C9515" i="1"/>
  <c r="E9515" i="1"/>
  <c r="G9515" i="1"/>
  <c r="K9515" i="1"/>
  <c r="A9516" i="1"/>
  <c r="B9516" i="1"/>
  <c r="C9516" i="1"/>
  <c r="E9516" i="1"/>
  <c r="G9516" i="1"/>
  <c r="K9516" i="1"/>
  <c r="A9517" i="1"/>
  <c r="B9517" i="1"/>
  <c r="C9517" i="1"/>
  <c r="E9517" i="1"/>
  <c r="G9517" i="1"/>
  <c r="K9517" i="1"/>
  <c r="A9518" i="1"/>
  <c r="B9518" i="1"/>
  <c r="C9518" i="1"/>
  <c r="E9518" i="1"/>
  <c r="G9518" i="1"/>
  <c r="K9518" i="1"/>
  <c r="A9519" i="1"/>
  <c r="B9519" i="1"/>
  <c r="C9519" i="1"/>
  <c r="E9519" i="1"/>
  <c r="G9519" i="1"/>
  <c r="K9519" i="1"/>
  <c r="A9520" i="1"/>
  <c r="B9520" i="1"/>
  <c r="C9520" i="1"/>
  <c r="E9520" i="1"/>
  <c r="G9520" i="1"/>
  <c r="K9520" i="1"/>
  <c r="A9521" i="1"/>
  <c r="B9521" i="1"/>
  <c r="C9521" i="1"/>
  <c r="E9521" i="1"/>
  <c r="G9521" i="1"/>
  <c r="K9521" i="1"/>
  <c r="A9522" i="1"/>
  <c r="B9522" i="1"/>
  <c r="C9522" i="1"/>
  <c r="E9522" i="1"/>
  <c r="G9522" i="1"/>
  <c r="K9522" i="1"/>
  <c r="A9523" i="1"/>
  <c r="B9523" i="1"/>
  <c r="C9523" i="1"/>
  <c r="E9523" i="1"/>
  <c r="G9523" i="1"/>
  <c r="K9523" i="1"/>
  <c r="A9524" i="1"/>
  <c r="B9524" i="1"/>
  <c r="C9524" i="1"/>
  <c r="E9524" i="1"/>
  <c r="G9524" i="1"/>
  <c r="K9524" i="1"/>
  <c r="A9525" i="1"/>
  <c r="B9525" i="1"/>
  <c r="C9525" i="1"/>
  <c r="E9525" i="1"/>
  <c r="G9525" i="1"/>
  <c r="K9525" i="1"/>
  <c r="A9526" i="1"/>
  <c r="B9526" i="1"/>
  <c r="C9526" i="1"/>
  <c r="E9526" i="1"/>
  <c r="G9526" i="1"/>
  <c r="K9526" i="1"/>
  <c r="A9527" i="1"/>
  <c r="B9527" i="1"/>
  <c r="C9527" i="1"/>
  <c r="E9527" i="1"/>
  <c r="G9527" i="1"/>
  <c r="K9527" i="1"/>
  <c r="A9528" i="1"/>
  <c r="B9528" i="1"/>
  <c r="C9528" i="1"/>
  <c r="E9528" i="1"/>
  <c r="G9528" i="1"/>
  <c r="K9528" i="1"/>
  <c r="A9529" i="1"/>
  <c r="B9529" i="1"/>
  <c r="C9529" i="1"/>
  <c r="E9529" i="1"/>
  <c r="G9529" i="1"/>
  <c r="K9529" i="1"/>
  <c r="A9530" i="1"/>
  <c r="B9530" i="1"/>
  <c r="C9530" i="1"/>
  <c r="E9530" i="1"/>
  <c r="G9530" i="1"/>
  <c r="K9530" i="1"/>
  <c r="A9531" i="1"/>
  <c r="B9531" i="1"/>
  <c r="C9531" i="1"/>
  <c r="E9531" i="1"/>
  <c r="G9531" i="1"/>
  <c r="K9531" i="1"/>
  <c r="A9532" i="1"/>
  <c r="B9532" i="1"/>
  <c r="C9532" i="1"/>
  <c r="E9532" i="1"/>
  <c r="G9532" i="1"/>
  <c r="K9532" i="1"/>
  <c r="A9533" i="1"/>
  <c r="B9533" i="1"/>
  <c r="C9533" i="1"/>
  <c r="E9533" i="1"/>
  <c r="G9533" i="1"/>
  <c r="K9533" i="1"/>
  <c r="A9534" i="1"/>
  <c r="B9534" i="1"/>
  <c r="C9534" i="1"/>
  <c r="E9534" i="1"/>
  <c r="G9534" i="1"/>
  <c r="K9534" i="1"/>
  <c r="A9535" i="1"/>
  <c r="B9535" i="1"/>
  <c r="C9535" i="1"/>
  <c r="E9535" i="1"/>
  <c r="G9535" i="1"/>
  <c r="K9535" i="1"/>
  <c r="A9536" i="1"/>
  <c r="B9536" i="1"/>
  <c r="C9536" i="1"/>
  <c r="E9536" i="1"/>
  <c r="G9536" i="1"/>
  <c r="K9536" i="1"/>
  <c r="A9537" i="1"/>
  <c r="B9537" i="1"/>
  <c r="C9537" i="1"/>
  <c r="E9537" i="1"/>
  <c r="G9537" i="1"/>
  <c r="K9537" i="1"/>
  <c r="A9538" i="1"/>
  <c r="B9538" i="1"/>
  <c r="C9538" i="1"/>
  <c r="E9538" i="1"/>
  <c r="G9538" i="1"/>
  <c r="K9538" i="1"/>
  <c r="A9539" i="1"/>
  <c r="B9539" i="1"/>
  <c r="C9539" i="1"/>
  <c r="E9539" i="1"/>
  <c r="G9539" i="1"/>
  <c r="K9539" i="1"/>
  <c r="A9540" i="1"/>
  <c r="B9540" i="1"/>
  <c r="C9540" i="1"/>
  <c r="E9540" i="1"/>
  <c r="G9540" i="1"/>
  <c r="K9540" i="1"/>
  <c r="A9541" i="1"/>
  <c r="B9541" i="1"/>
  <c r="C9541" i="1"/>
  <c r="E9541" i="1"/>
  <c r="G9541" i="1"/>
  <c r="K9541" i="1"/>
  <c r="A9542" i="1"/>
  <c r="B9542" i="1"/>
  <c r="C9542" i="1"/>
  <c r="E9542" i="1"/>
  <c r="G9542" i="1"/>
  <c r="K9542" i="1"/>
  <c r="A9543" i="1"/>
  <c r="B9543" i="1"/>
  <c r="C9543" i="1"/>
  <c r="E9543" i="1"/>
  <c r="G9543" i="1"/>
  <c r="K9543" i="1"/>
  <c r="A9544" i="1"/>
  <c r="B9544" i="1"/>
  <c r="C9544" i="1"/>
  <c r="E9544" i="1"/>
  <c r="G9544" i="1"/>
  <c r="K9544" i="1"/>
  <c r="A9545" i="1"/>
  <c r="B9545" i="1"/>
  <c r="C9545" i="1"/>
  <c r="E9545" i="1"/>
  <c r="G9545" i="1"/>
  <c r="K9545" i="1"/>
  <c r="A9546" i="1"/>
  <c r="B9546" i="1"/>
  <c r="C9546" i="1"/>
  <c r="E9546" i="1"/>
  <c r="G9546" i="1"/>
  <c r="K9546" i="1"/>
  <c r="A9547" i="1"/>
  <c r="B9547" i="1"/>
  <c r="C9547" i="1"/>
  <c r="E9547" i="1"/>
  <c r="G9547" i="1"/>
  <c r="K9547" i="1"/>
  <c r="A9548" i="1"/>
  <c r="B9548" i="1"/>
  <c r="C9548" i="1"/>
  <c r="E9548" i="1"/>
  <c r="G9548" i="1"/>
  <c r="K9548" i="1"/>
  <c r="A9549" i="1"/>
  <c r="B9549" i="1"/>
  <c r="C9549" i="1"/>
  <c r="E9549" i="1"/>
  <c r="G9549" i="1"/>
  <c r="K9549" i="1"/>
  <c r="A9550" i="1"/>
  <c r="B9550" i="1"/>
  <c r="C9550" i="1"/>
  <c r="E9550" i="1"/>
  <c r="G9550" i="1"/>
  <c r="K9550" i="1"/>
  <c r="A9551" i="1"/>
  <c r="B9551" i="1"/>
  <c r="C9551" i="1"/>
  <c r="E9551" i="1"/>
  <c r="G9551" i="1"/>
  <c r="K9551" i="1"/>
  <c r="A9552" i="1"/>
  <c r="B9552" i="1"/>
  <c r="C9552" i="1"/>
  <c r="E9552" i="1"/>
  <c r="G9552" i="1"/>
  <c r="K9552" i="1"/>
  <c r="A9553" i="1"/>
  <c r="B9553" i="1"/>
  <c r="C9553" i="1"/>
  <c r="E9553" i="1"/>
  <c r="G9553" i="1"/>
  <c r="K9553" i="1"/>
  <c r="A9554" i="1"/>
  <c r="B9554" i="1"/>
  <c r="C9554" i="1"/>
  <c r="E9554" i="1"/>
  <c r="G9554" i="1"/>
  <c r="K9554" i="1"/>
  <c r="A9555" i="1"/>
  <c r="B9555" i="1"/>
  <c r="C9555" i="1"/>
  <c r="E9555" i="1"/>
  <c r="G9555" i="1"/>
  <c r="K9555" i="1"/>
  <c r="A9556" i="1"/>
  <c r="B9556" i="1"/>
  <c r="C9556" i="1"/>
  <c r="E9556" i="1"/>
  <c r="G9556" i="1"/>
  <c r="K9556" i="1"/>
  <c r="A9557" i="1"/>
  <c r="B9557" i="1"/>
  <c r="C9557" i="1"/>
  <c r="E9557" i="1"/>
  <c r="G9557" i="1"/>
  <c r="K9557" i="1"/>
  <c r="A9558" i="1"/>
  <c r="B9558" i="1"/>
  <c r="C9558" i="1"/>
  <c r="E9558" i="1"/>
  <c r="G9558" i="1"/>
  <c r="K9558" i="1"/>
  <c r="A9559" i="1"/>
  <c r="B9559" i="1"/>
  <c r="C9559" i="1"/>
  <c r="E9559" i="1"/>
  <c r="G9559" i="1"/>
  <c r="K9559" i="1"/>
  <c r="A9560" i="1"/>
  <c r="B9560" i="1"/>
  <c r="C9560" i="1"/>
  <c r="E9560" i="1"/>
  <c r="G9560" i="1"/>
  <c r="K9560" i="1"/>
  <c r="A9561" i="1"/>
  <c r="B9561" i="1"/>
  <c r="C9561" i="1"/>
  <c r="E9561" i="1"/>
  <c r="G9561" i="1"/>
  <c r="K9561" i="1"/>
  <c r="A9562" i="1"/>
  <c r="B9562" i="1"/>
  <c r="C9562" i="1"/>
  <c r="E9562" i="1"/>
  <c r="G9562" i="1"/>
  <c r="K9562" i="1"/>
  <c r="A9563" i="1"/>
  <c r="B9563" i="1"/>
  <c r="C9563" i="1"/>
  <c r="E9563" i="1"/>
  <c r="G9563" i="1"/>
  <c r="K9563" i="1"/>
  <c r="A9564" i="1"/>
  <c r="B9564" i="1"/>
  <c r="C9564" i="1"/>
  <c r="E9564" i="1"/>
  <c r="G9564" i="1"/>
  <c r="K9564" i="1"/>
  <c r="A9565" i="1"/>
  <c r="B9565" i="1"/>
  <c r="C9565" i="1"/>
  <c r="E9565" i="1"/>
  <c r="G9565" i="1"/>
  <c r="K9565" i="1"/>
  <c r="A9566" i="1"/>
  <c r="B9566" i="1"/>
  <c r="C9566" i="1"/>
  <c r="E9566" i="1"/>
  <c r="G9566" i="1"/>
  <c r="K9566" i="1"/>
  <c r="A9567" i="1"/>
  <c r="B9567" i="1"/>
  <c r="C9567" i="1"/>
  <c r="E9567" i="1"/>
  <c r="G9567" i="1"/>
  <c r="K9567" i="1"/>
  <c r="A9568" i="1"/>
  <c r="B9568" i="1"/>
  <c r="C9568" i="1"/>
  <c r="E9568" i="1"/>
  <c r="G9568" i="1"/>
  <c r="K9568" i="1"/>
  <c r="A9569" i="1"/>
  <c r="B9569" i="1"/>
  <c r="C9569" i="1"/>
  <c r="E9569" i="1"/>
  <c r="G9569" i="1"/>
  <c r="K9569" i="1"/>
  <c r="A9570" i="1"/>
  <c r="B9570" i="1"/>
  <c r="C9570" i="1"/>
  <c r="E9570" i="1"/>
  <c r="G9570" i="1"/>
  <c r="K9570" i="1"/>
  <c r="A9571" i="1"/>
  <c r="B9571" i="1"/>
  <c r="C9571" i="1"/>
  <c r="E9571" i="1"/>
  <c r="G9571" i="1"/>
  <c r="K9571" i="1"/>
  <c r="A9572" i="1"/>
  <c r="B9572" i="1"/>
  <c r="C9572" i="1"/>
  <c r="E9572" i="1"/>
  <c r="G9572" i="1"/>
  <c r="K9572" i="1"/>
  <c r="A9573" i="1"/>
  <c r="B9573" i="1"/>
  <c r="C9573" i="1"/>
  <c r="E9573" i="1"/>
  <c r="G9573" i="1"/>
  <c r="K9573" i="1"/>
  <c r="A9574" i="1"/>
  <c r="B9574" i="1"/>
  <c r="C9574" i="1"/>
  <c r="E9574" i="1"/>
  <c r="G9574" i="1"/>
  <c r="K9574" i="1"/>
  <c r="A9575" i="1"/>
  <c r="B9575" i="1"/>
  <c r="C9575" i="1"/>
  <c r="E9575" i="1"/>
  <c r="G9575" i="1"/>
  <c r="K9575" i="1"/>
  <c r="A9576" i="1"/>
  <c r="B9576" i="1"/>
  <c r="C9576" i="1"/>
  <c r="E9576" i="1"/>
  <c r="G9576" i="1"/>
  <c r="K9576" i="1"/>
  <c r="A9577" i="1"/>
  <c r="B9577" i="1"/>
  <c r="C9577" i="1"/>
  <c r="E9577" i="1"/>
  <c r="G9577" i="1"/>
  <c r="K9577" i="1"/>
  <c r="A9578" i="1"/>
  <c r="B9578" i="1"/>
  <c r="C9578" i="1"/>
  <c r="E9578" i="1"/>
  <c r="G9578" i="1"/>
  <c r="K9578" i="1"/>
  <c r="A9579" i="1"/>
  <c r="B9579" i="1"/>
  <c r="C9579" i="1"/>
  <c r="E9579" i="1"/>
  <c r="G9579" i="1"/>
  <c r="K9579" i="1"/>
  <c r="A9580" i="1"/>
  <c r="B9580" i="1"/>
  <c r="C9580" i="1"/>
  <c r="E9580" i="1"/>
  <c r="G9580" i="1"/>
  <c r="K9580" i="1"/>
  <c r="A9581" i="1"/>
  <c r="B9581" i="1"/>
  <c r="C9581" i="1"/>
  <c r="E9581" i="1"/>
  <c r="G9581" i="1"/>
  <c r="K9581" i="1"/>
  <c r="A9582" i="1"/>
  <c r="B9582" i="1"/>
  <c r="C9582" i="1"/>
  <c r="E9582" i="1"/>
  <c r="G9582" i="1"/>
  <c r="K9582" i="1"/>
  <c r="A9583" i="1"/>
  <c r="B9583" i="1"/>
  <c r="C9583" i="1"/>
  <c r="E9583" i="1"/>
  <c r="G9583" i="1"/>
  <c r="K9583" i="1"/>
  <c r="A9584" i="1"/>
  <c r="B9584" i="1"/>
  <c r="C9584" i="1"/>
  <c r="E9584" i="1"/>
  <c r="G9584" i="1"/>
  <c r="K9584" i="1"/>
  <c r="A9585" i="1"/>
  <c r="B9585" i="1"/>
  <c r="C9585" i="1"/>
  <c r="E9585" i="1"/>
  <c r="G9585" i="1"/>
  <c r="K9585" i="1"/>
  <c r="A9586" i="1"/>
  <c r="B9586" i="1"/>
  <c r="C9586" i="1"/>
  <c r="E9586" i="1"/>
  <c r="G9586" i="1"/>
  <c r="K9586" i="1"/>
  <c r="A9587" i="1"/>
  <c r="B9587" i="1"/>
  <c r="C9587" i="1"/>
  <c r="E9587" i="1"/>
  <c r="G9587" i="1"/>
  <c r="K9587" i="1"/>
  <c r="A9588" i="1"/>
  <c r="B9588" i="1"/>
  <c r="C9588" i="1"/>
  <c r="E9588" i="1"/>
  <c r="G9588" i="1"/>
  <c r="K9588" i="1"/>
  <c r="A9589" i="1"/>
  <c r="B9589" i="1"/>
  <c r="C9589" i="1"/>
  <c r="E9589" i="1"/>
  <c r="G9589" i="1"/>
  <c r="K9589" i="1"/>
  <c r="A9590" i="1"/>
  <c r="B9590" i="1"/>
  <c r="C9590" i="1"/>
  <c r="E9590" i="1"/>
  <c r="G9590" i="1"/>
  <c r="K9590" i="1"/>
  <c r="A9591" i="1"/>
  <c r="B9591" i="1"/>
  <c r="C9591" i="1"/>
  <c r="E9591" i="1"/>
  <c r="G9591" i="1"/>
  <c r="K9591" i="1"/>
  <c r="A9592" i="1"/>
  <c r="B9592" i="1"/>
  <c r="C9592" i="1"/>
  <c r="E9592" i="1"/>
  <c r="G9592" i="1"/>
  <c r="K9592" i="1"/>
  <c r="A9593" i="1"/>
  <c r="B9593" i="1"/>
  <c r="C9593" i="1"/>
  <c r="E9593" i="1"/>
  <c r="G9593" i="1"/>
  <c r="K9593" i="1"/>
  <c r="A9594" i="1"/>
  <c r="B9594" i="1"/>
  <c r="C9594" i="1"/>
  <c r="E9594" i="1"/>
  <c r="G9594" i="1"/>
  <c r="K9594" i="1"/>
  <c r="A9595" i="1"/>
  <c r="B9595" i="1"/>
  <c r="C9595" i="1"/>
  <c r="E9595" i="1"/>
  <c r="G9595" i="1"/>
  <c r="K9595" i="1"/>
  <c r="A9596" i="1"/>
  <c r="B9596" i="1"/>
  <c r="C9596" i="1"/>
  <c r="E9596" i="1"/>
  <c r="G9596" i="1"/>
  <c r="K9596" i="1"/>
  <c r="A9597" i="1"/>
  <c r="B9597" i="1"/>
  <c r="C9597" i="1"/>
  <c r="E9597" i="1"/>
  <c r="G9597" i="1"/>
  <c r="K9597" i="1"/>
  <c r="A9598" i="1"/>
  <c r="B9598" i="1"/>
  <c r="C9598" i="1"/>
  <c r="E9598" i="1"/>
  <c r="G9598" i="1"/>
  <c r="K9598" i="1"/>
  <c r="A9599" i="1"/>
  <c r="B9599" i="1"/>
  <c r="C9599" i="1"/>
  <c r="E9599" i="1"/>
  <c r="G9599" i="1"/>
  <c r="K9599" i="1"/>
  <c r="A9600" i="1"/>
  <c r="B9600" i="1"/>
  <c r="C9600" i="1"/>
  <c r="E9600" i="1"/>
  <c r="G9600" i="1"/>
  <c r="K9600" i="1"/>
  <c r="A9601" i="1"/>
  <c r="B9601" i="1"/>
  <c r="C9601" i="1"/>
  <c r="E9601" i="1"/>
  <c r="G9601" i="1"/>
  <c r="K9601" i="1"/>
  <c r="A9602" i="1"/>
  <c r="B9602" i="1"/>
  <c r="C9602" i="1"/>
  <c r="E9602" i="1"/>
  <c r="G9602" i="1"/>
  <c r="K9602" i="1"/>
  <c r="A9603" i="1"/>
  <c r="B9603" i="1"/>
  <c r="C9603" i="1"/>
  <c r="E9603" i="1"/>
  <c r="G9603" i="1"/>
  <c r="K9603" i="1"/>
  <c r="A9604" i="1"/>
  <c r="B9604" i="1"/>
  <c r="C9604" i="1"/>
  <c r="E9604" i="1"/>
  <c r="G9604" i="1"/>
  <c r="K9604" i="1"/>
  <c r="A9605" i="1"/>
  <c r="B9605" i="1"/>
  <c r="C9605" i="1"/>
  <c r="E9605" i="1"/>
  <c r="G9605" i="1"/>
  <c r="K9605" i="1"/>
  <c r="A9606" i="1"/>
  <c r="B9606" i="1"/>
  <c r="C9606" i="1"/>
  <c r="E9606" i="1"/>
  <c r="G9606" i="1"/>
  <c r="K9606" i="1"/>
  <c r="A9607" i="1"/>
  <c r="B9607" i="1"/>
  <c r="C9607" i="1"/>
  <c r="E9607" i="1"/>
  <c r="G9607" i="1"/>
  <c r="K9607" i="1"/>
  <c r="A9608" i="1"/>
  <c r="B9608" i="1"/>
  <c r="C9608" i="1"/>
  <c r="E9608" i="1"/>
  <c r="G9608" i="1"/>
  <c r="K9608" i="1"/>
  <c r="A9609" i="1"/>
  <c r="B9609" i="1"/>
  <c r="C9609" i="1"/>
  <c r="E9609" i="1"/>
  <c r="G9609" i="1"/>
  <c r="K9609" i="1"/>
  <c r="A9610" i="1"/>
  <c r="B9610" i="1"/>
  <c r="C9610" i="1"/>
  <c r="E9610" i="1"/>
  <c r="G9610" i="1"/>
  <c r="K9610" i="1"/>
  <c r="A9611" i="1"/>
  <c r="B9611" i="1"/>
  <c r="C9611" i="1"/>
  <c r="E9611" i="1"/>
  <c r="G9611" i="1"/>
  <c r="K9611" i="1"/>
  <c r="A9612" i="1"/>
  <c r="B9612" i="1"/>
  <c r="C9612" i="1"/>
  <c r="E9612" i="1"/>
  <c r="G9612" i="1"/>
  <c r="K9612" i="1"/>
  <c r="A9613" i="1"/>
  <c r="B9613" i="1"/>
  <c r="C9613" i="1"/>
  <c r="E9613" i="1"/>
  <c r="G9613" i="1"/>
  <c r="K9613" i="1"/>
  <c r="A9614" i="1"/>
  <c r="B9614" i="1"/>
  <c r="C9614" i="1"/>
  <c r="E9614" i="1"/>
  <c r="G9614" i="1"/>
  <c r="K9614" i="1"/>
  <c r="A9615" i="1"/>
  <c r="B9615" i="1"/>
  <c r="C9615" i="1"/>
  <c r="E9615" i="1"/>
  <c r="G9615" i="1"/>
  <c r="K9615" i="1"/>
  <c r="A9616" i="1"/>
  <c r="B9616" i="1"/>
  <c r="C9616" i="1"/>
  <c r="E9616" i="1"/>
  <c r="G9616" i="1"/>
  <c r="K9616" i="1"/>
  <c r="A9617" i="1"/>
  <c r="B9617" i="1"/>
  <c r="C9617" i="1"/>
  <c r="E9617" i="1"/>
  <c r="G9617" i="1"/>
  <c r="K9617" i="1"/>
  <c r="A9618" i="1"/>
  <c r="B9618" i="1"/>
  <c r="C9618" i="1"/>
  <c r="E9618" i="1"/>
  <c r="G9618" i="1"/>
  <c r="K9618" i="1"/>
  <c r="A9619" i="1"/>
  <c r="B9619" i="1"/>
  <c r="C9619" i="1"/>
  <c r="E9619" i="1"/>
  <c r="G9619" i="1"/>
  <c r="K9619" i="1"/>
  <c r="A9620" i="1"/>
  <c r="B9620" i="1"/>
  <c r="C9620" i="1"/>
  <c r="E9620" i="1"/>
  <c r="G9620" i="1"/>
  <c r="K9620" i="1"/>
  <c r="A9621" i="1"/>
  <c r="B9621" i="1"/>
  <c r="C9621" i="1"/>
  <c r="E9621" i="1"/>
  <c r="G9621" i="1"/>
  <c r="K9621" i="1"/>
  <c r="A9622" i="1"/>
  <c r="B9622" i="1"/>
  <c r="C9622" i="1"/>
  <c r="E9622" i="1"/>
  <c r="G9622" i="1"/>
  <c r="K9622" i="1"/>
  <c r="A9623" i="1"/>
  <c r="B9623" i="1"/>
  <c r="C9623" i="1"/>
  <c r="E9623" i="1"/>
  <c r="G9623" i="1"/>
  <c r="K9623" i="1"/>
  <c r="A9624" i="1"/>
  <c r="B9624" i="1"/>
  <c r="C9624" i="1"/>
  <c r="E9624" i="1"/>
  <c r="G9624" i="1"/>
  <c r="K9624" i="1"/>
  <c r="A9625" i="1"/>
  <c r="B9625" i="1"/>
  <c r="C9625" i="1"/>
  <c r="E9625" i="1"/>
  <c r="G9625" i="1"/>
  <c r="K9625" i="1"/>
  <c r="A9626" i="1"/>
  <c r="B9626" i="1"/>
  <c r="C9626" i="1"/>
  <c r="E9626" i="1"/>
  <c r="G9626" i="1"/>
  <c r="K9626" i="1"/>
  <c r="A9627" i="1"/>
  <c r="B9627" i="1"/>
  <c r="C9627" i="1"/>
  <c r="E9627" i="1"/>
  <c r="G9627" i="1"/>
  <c r="K9627" i="1"/>
  <c r="A9628" i="1"/>
  <c r="B9628" i="1"/>
  <c r="C9628" i="1"/>
  <c r="E9628" i="1"/>
  <c r="G9628" i="1"/>
  <c r="K9628" i="1"/>
  <c r="A9629" i="1"/>
  <c r="B9629" i="1"/>
  <c r="C9629" i="1"/>
  <c r="E9629" i="1"/>
  <c r="G9629" i="1"/>
  <c r="K9629" i="1"/>
  <c r="A9630" i="1"/>
  <c r="B9630" i="1"/>
  <c r="C9630" i="1"/>
  <c r="E9630" i="1"/>
  <c r="G9630" i="1"/>
  <c r="K9630" i="1"/>
  <c r="A9631" i="1"/>
  <c r="B9631" i="1"/>
  <c r="C9631" i="1"/>
  <c r="E9631" i="1"/>
  <c r="G9631" i="1"/>
  <c r="K9631" i="1"/>
  <c r="A9632" i="1"/>
  <c r="B9632" i="1"/>
  <c r="C9632" i="1"/>
  <c r="E9632" i="1"/>
  <c r="G9632" i="1"/>
  <c r="K9632" i="1"/>
  <c r="A9633" i="1"/>
  <c r="B9633" i="1"/>
  <c r="C9633" i="1"/>
  <c r="E9633" i="1"/>
  <c r="G9633" i="1"/>
  <c r="K9633" i="1"/>
  <c r="A9634" i="1"/>
  <c r="B9634" i="1"/>
  <c r="C9634" i="1"/>
  <c r="E9634" i="1"/>
  <c r="G9634" i="1"/>
  <c r="K9634" i="1"/>
  <c r="A9635" i="1"/>
  <c r="B9635" i="1"/>
  <c r="C9635" i="1"/>
  <c r="E9635" i="1"/>
  <c r="G9635" i="1"/>
  <c r="K9635" i="1"/>
  <c r="A9636" i="1"/>
  <c r="B9636" i="1"/>
  <c r="C9636" i="1"/>
  <c r="E9636" i="1"/>
  <c r="G9636" i="1"/>
  <c r="K9636" i="1"/>
  <c r="A9637" i="1"/>
  <c r="B9637" i="1"/>
  <c r="C9637" i="1"/>
  <c r="E9637" i="1"/>
  <c r="G9637" i="1"/>
  <c r="K9637" i="1"/>
  <c r="A9638" i="1"/>
  <c r="B9638" i="1"/>
  <c r="C9638" i="1"/>
  <c r="E9638" i="1"/>
  <c r="G9638" i="1"/>
  <c r="K9638" i="1"/>
  <c r="A9639" i="1"/>
  <c r="B9639" i="1"/>
  <c r="C9639" i="1"/>
  <c r="E9639" i="1"/>
  <c r="G9639" i="1"/>
  <c r="K9639" i="1"/>
  <c r="A9640" i="1"/>
  <c r="B9640" i="1"/>
  <c r="C9640" i="1"/>
  <c r="E9640" i="1"/>
  <c r="G9640" i="1"/>
  <c r="K9640" i="1"/>
  <c r="A9641" i="1"/>
  <c r="B9641" i="1"/>
  <c r="C9641" i="1"/>
  <c r="E9641" i="1"/>
  <c r="G9641" i="1"/>
  <c r="K9641" i="1"/>
  <c r="A9642" i="1"/>
  <c r="B9642" i="1"/>
  <c r="C9642" i="1"/>
  <c r="E9642" i="1"/>
  <c r="G9642" i="1"/>
  <c r="K9642" i="1"/>
  <c r="A9643" i="1"/>
  <c r="B9643" i="1"/>
  <c r="C9643" i="1"/>
  <c r="E9643" i="1"/>
  <c r="G9643" i="1"/>
  <c r="K9643" i="1"/>
  <c r="A9644" i="1"/>
  <c r="B9644" i="1"/>
  <c r="C9644" i="1"/>
  <c r="E9644" i="1"/>
  <c r="G9644" i="1"/>
  <c r="K9644" i="1"/>
  <c r="A9645" i="1"/>
  <c r="B9645" i="1"/>
  <c r="C9645" i="1"/>
  <c r="E9645" i="1"/>
  <c r="G9645" i="1"/>
  <c r="K9645" i="1"/>
  <c r="A9646" i="1"/>
  <c r="B9646" i="1"/>
  <c r="C9646" i="1"/>
  <c r="E9646" i="1"/>
  <c r="G9646" i="1"/>
  <c r="K9646" i="1"/>
  <c r="A9647" i="1"/>
  <c r="B9647" i="1"/>
  <c r="C9647" i="1"/>
  <c r="E9647" i="1"/>
  <c r="G9647" i="1"/>
  <c r="K9647" i="1"/>
  <c r="A9648" i="1"/>
  <c r="B9648" i="1"/>
  <c r="C9648" i="1"/>
  <c r="E9648" i="1"/>
  <c r="G9648" i="1"/>
  <c r="K9648" i="1"/>
  <c r="A9649" i="1"/>
  <c r="B9649" i="1"/>
  <c r="C9649" i="1"/>
  <c r="E9649" i="1"/>
  <c r="G9649" i="1"/>
  <c r="K9649" i="1"/>
  <c r="A9650" i="1"/>
  <c r="B9650" i="1"/>
  <c r="C9650" i="1"/>
  <c r="E9650" i="1"/>
  <c r="G9650" i="1"/>
  <c r="K9650" i="1"/>
  <c r="A9651" i="1"/>
  <c r="B9651" i="1"/>
  <c r="C9651" i="1"/>
  <c r="E9651" i="1"/>
  <c r="G9651" i="1"/>
  <c r="K9651" i="1"/>
  <c r="A9652" i="1"/>
  <c r="B9652" i="1"/>
  <c r="C9652" i="1"/>
  <c r="E9652" i="1"/>
  <c r="G9652" i="1"/>
  <c r="K9652" i="1"/>
  <c r="A9653" i="1"/>
  <c r="B9653" i="1"/>
  <c r="C9653" i="1"/>
  <c r="E9653" i="1"/>
  <c r="G9653" i="1"/>
  <c r="K9653" i="1"/>
  <c r="A9654" i="1"/>
  <c r="B9654" i="1"/>
  <c r="C9654" i="1"/>
  <c r="E9654" i="1"/>
  <c r="G9654" i="1"/>
  <c r="K9654" i="1"/>
  <c r="A9655" i="1"/>
  <c r="B9655" i="1"/>
  <c r="C9655" i="1"/>
  <c r="E9655" i="1"/>
  <c r="G9655" i="1"/>
  <c r="K9655" i="1"/>
  <c r="A9656" i="1"/>
  <c r="B9656" i="1"/>
  <c r="C9656" i="1"/>
  <c r="E9656" i="1"/>
  <c r="G9656" i="1"/>
  <c r="K9656" i="1"/>
  <c r="A9657" i="1"/>
  <c r="B9657" i="1"/>
  <c r="C9657" i="1"/>
  <c r="E9657" i="1"/>
  <c r="G9657" i="1"/>
  <c r="K9657" i="1"/>
  <c r="A9658" i="1"/>
  <c r="B9658" i="1"/>
  <c r="C9658" i="1"/>
  <c r="E9658" i="1"/>
  <c r="G9658" i="1"/>
  <c r="K9658" i="1"/>
  <c r="A9659" i="1"/>
  <c r="B9659" i="1"/>
  <c r="C9659" i="1"/>
  <c r="E9659" i="1"/>
  <c r="G9659" i="1"/>
  <c r="K9659" i="1"/>
  <c r="A9660" i="1"/>
  <c r="B9660" i="1"/>
  <c r="C9660" i="1"/>
  <c r="E9660" i="1"/>
  <c r="G9660" i="1"/>
  <c r="K9660" i="1"/>
  <c r="A9661" i="1"/>
  <c r="B9661" i="1"/>
  <c r="C9661" i="1"/>
  <c r="E9661" i="1"/>
  <c r="G9661" i="1"/>
  <c r="K9661" i="1"/>
  <c r="A9662" i="1"/>
  <c r="B9662" i="1"/>
  <c r="C9662" i="1"/>
  <c r="E9662" i="1"/>
  <c r="G9662" i="1"/>
  <c r="K9662" i="1"/>
  <c r="A9663" i="1"/>
  <c r="B9663" i="1"/>
  <c r="C9663" i="1"/>
  <c r="E9663" i="1"/>
  <c r="G9663" i="1"/>
  <c r="K9663" i="1"/>
  <c r="A9664" i="1"/>
  <c r="B9664" i="1"/>
  <c r="C9664" i="1"/>
  <c r="E9664" i="1"/>
  <c r="G9664" i="1"/>
  <c r="K9664" i="1"/>
  <c r="A9665" i="1"/>
  <c r="B9665" i="1"/>
  <c r="C9665" i="1"/>
  <c r="E9665" i="1"/>
  <c r="G9665" i="1"/>
  <c r="K9665" i="1"/>
  <c r="A9666" i="1"/>
  <c r="B9666" i="1"/>
  <c r="C9666" i="1"/>
  <c r="E9666" i="1"/>
  <c r="G9666" i="1"/>
  <c r="K9666" i="1"/>
  <c r="A9667" i="1"/>
  <c r="B9667" i="1"/>
  <c r="C9667" i="1"/>
  <c r="E9667" i="1"/>
  <c r="G9667" i="1"/>
  <c r="K9667" i="1"/>
  <c r="A9668" i="1"/>
  <c r="B9668" i="1"/>
  <c r="C9668" i="1"/>
  <c r="E9668" i="1"/>
  <c r="G9668" i="1"/>
  <c r="K9668" i="1"/>
  <c r="A9669" i="1"/>
  <c r="B9669" i="1"/>
  <c r="C9669" i="1"/>
  <c r="E9669" i="1"/>
  <c r="G9669" i="1"/>
  <c r="K9669" i="1"/>
  <c r="A9670" i="1"/>
  <c r="B9670" i="1"/>
  <c r="C9670" i="1"/>
  <c r="E9670" i="1"/>
  <c r="G9670" i="1"/>
  <c r="K9670" i="1"/>
  <c r="A9671" i="1"/>
  <c r="B9671" i="1"/>
  <c r="C9671" i="1"/>
  <c r="E9671" i="1"/>
  <c r="G9671" i="1"/>
  <c r="K9671" i="1"/>
  <c r="A9672" i="1"/>
  <c r="B9672" i="1"/>
  <c r="C9672" i="1"/>
  <c r="E9672" i="1"/>
  <c r="G9672" i="1"/>
  <c r="K9672" i="1"/>
  <c r="A9673" i="1"/>
  <c r="B9673" i="1"/>
  <c r="C9673" i="1"/>
  <c r="E9673" i="1"/>
  <c r="G9673" i="1"/>
  <c r="K9673" i="1"/>
  <c r="A9674" i="1"/>
  <c r="B9674" i="1"/>
  <c r="C9674" i="1"/>
  <c r="E9674" i="1"/>
  <c r="G9674" i="1"/>
  <c r="K9674" i="1"/>
  <c r="A9675" i="1"/>
  <c r="B9675" i="1"/>
  <c r="C9675" i="1"/>
  <c r="E9675" i="1"/>
  <c r="G9675" i="1"/>
  <c r="K9675" i="1"/>
  <c r="A9676" i="1"/>
  <c r="B9676" i="1"/>
  <c r="C9676" i="1"/>
  <c r="E9676" i="1"/>
  <c r="G9676" i="1"/>
  <c r="K9676" i="1"/>
  <c r="A9677" i="1"/>
  <c r="B9677" i="1"/>
  <c r="C9677" i="1"/>
  <c r="E9677" i="1"/>
  <c r="G9677" i="1"/>
  <c r="K9677" i="1"/>
  <c r="A9678" i="1"/>
  <c r="B9678" i="1"/>
  <c r="C9678" i="1"/>
  <c r="E9678" i="1"/>
  <c r="G9678" i="1"/>
  <c r="K9678" i="1"/>
  <c r="A9679" i="1"/>
  <c r="B9679" i="1"/>
  <c r="C9679" i="1"/>
  <c r="E9679" i="1"/>
  <c r="G9679" i="1"/>
  <c r="K9679" i="1"/>
  <c r="A9680" i="1"/>
  <c r="B9680" i="1"/>
  <c r="C9680" i="1"/>
  <c r="E9680" i="1"/>
  <c r="G9680" i="1"/>
  <c r="K9680" i="1"/>
  <c r="A9681" i="1"/>
  <c r="B9681" i="1"/>
  <c r="C9681" i="1"/>
  <c r="E9681" i="1"/>
  <c r="G9681" i="1"/>
  <c r="K9681" i="1"/>
  <c r="A9682" i="1"/>
  <c r="B9682" i="1"/>
  <c r="C9682" i="1"/>
  <c r="E9682" i="1"/>
  <c r="G9682" i="1"/>
  <c r="K9682" i="1"/>
  <c r="A9683" i="1"/>
  <c r="B9683" i="1"/>
  <c r="C9683" i="1"/>
  <c r="E9683" i="1"/>
  <c r="G9683" i="1"/>
  <c r="K9683" i="1"/>
  <c r="A9684" i="1"/>
  <c r="B9684" i="1"/>
  <c r="C9684" i="1"/>
  <c r="E9684" i="1"/>
  <c r="G9684" i="1"/>
  <c r="K9684" i="1"/>
  <c r="A9685" i="1"/>
  <c r="B9685" i="1"/>
  <c r="C9685" i="1"/>
  <c r="E9685" i="1"/>
  <c r="G9685" i="1"/>
  <c r="K9685" i="1"/>
  <c r="A9686" i="1"/>
  <c r="B9686" i="1"/>
  <c r="C9686" i="1"/>
  <c r="E9686" i="1"/>
  <c r="G9686" i="1"/>
  <c r="K9686" i="1"/>
  <c r="A9687" i="1"/>
  <c r="B9687" i="1"/>
  <c r="C9687" i="1"/>
  <c r="E9687" i="1"/>
  <c r="G9687" i="1"/>
  <c r="K9687" i="1"/>
  <c r="A9688" i="1"/>
  <c r="B9688" i="1"/>
  <c r="C9688" i="1"/>
  <c r="E9688" i="1"/>
  <c r="G9688" i="1"/>
  <c r="K9688" i="1"/>
  <c r="A9689" i="1"/>
  <c r="B9689" i="1"/>
  <c r="C9689" i="1"/>
  <c r="E9689" i="1"/>
  <c r="G9689" i="1"/>
  <c r="K9689" i="1"/>
  <c r="A9690" i="1"/>
  <c r="B9690" i="1"/>
  <c r="C9690" i="1"/>
  <c r="E9690" i="1"/>
  <c r="G9690" i="1"/>
  <c r="K9690" i="1"/>
  <c r="A9691" i="1"/>
  <c r="B9691" i="1"/>
  <c r="C9691" i="1"/>
  <c r="E9691" i="1"/>
  <c r="G9691" i="1"/>
  <c r="K9691" i="1"/>
  <c r="A9692" i="1"/>
  <c r="B9692" i="1"/>
  <c r="C9692" i="1"/>
  <c r="E9692" i="1"/>
  <c r="G9692" i="1"/>
  <c r="K9692" i="1"/>
  <c r="A9693" i="1"/>
  <c r="B9693" i="1"/>
  <c r="C9693" i="1"/>
  <c r="E9693" i="1"/>
  <c r="G9693" i="1"/>
  <c r="K9693" i="1"/>
  <c r="A9694" i="1"/>
  <c r="B9694" i="1"/>
  <c r="C9694" i="1"/>
  <c r="E9694" i="1"/>
  <c r="G9694" i="1"/>
  <c r="K9694" i="1"/>
  <c r="A9695" i="1"/>
  <c r="B9695" i="1"/>
  <c r="C9695" i="1"/>
  <c r="E9695" i="1"/>
  <c r="G9695" i="1"/>
  <c r="K9695" i="1"/>
  <c r="A9696" i="1"/>
  <c r="B9696" i="1"/>
  <c r="C9696" i="1"/>
  <c r="E9696" i="1"/>
  <c r="G9696" i="1"/>
  <c r="K9696" i="1"/>
  <c r="A9697" i="1"/>
  <c r="B9697" i="1"/>
  <c r="C9697" i="1"/>
  <c r="E9697" i="1"/>
  <c r="G9697" i="1"/>
  <c r="K9697" i="1"/>
  <c r="A9698" i="1"/>
  <c r="B9698" i="1"/>
  <c r="C9698" i="1"/>
  <c r="E9698" i="1"/>
  <c r="G9698" i="1"/>
  <c r="K9698" i="1"/>
  <c r="A9699" i="1"/>
  <c r="B9699" i="1"/>
  <c r="C9699" i="1"/>
  <c r="E9699" i="1"/>
  <c r="G9699" i="1"/>
  <c r="K9699" i="1"/>
  <c r="A9700" i="1"/>
  <c r="B9700" i="1"/>
  <c r="C9700" i="1"/>
  <c r="E9700" i="1"/>
  <c r="G9700" i="1"/>
  <c r="K9700" i="1"/>
  <c r="A9701" i="1"/>
  <c r="B9701" i="1"/>
  <c r="C9701" i="1"/>
  <c r="E9701" i="1"/>
  <c r="G9701" i="1"/>
  <c r="K9701" i="1"/>
  <c r="A9702" i="1"/>
  <c r="B9702" i="1"/>
  <c r="C9702" i="1"/>
  <c r="E9702" i="1"/>
  <c r="G9702" i="1"/>
  <c r="K9702" i="1"/>
  <c r="A9703" i="1"/>
  <c r="B9703" i="1"/>
  <c r="C9703" i="1"/>
  <c r="E9703" i="1"/>
  <c r="G9703" i="1"/>
  <c r="K9703" i="1"/>
  <c r="A9704" i="1"/>
  <c r="B9704" i="1"/>
  <c r="C9704" i="1"/>
  <c r="E9704" i="1"/>
  <c r="G9704" i="1"/>
  <c r="K9704" i="1"/>
  <c r="A9705" i="1"/>
  <c r="B9705" i="1"/>
  <c r="C9705" i="1"/>
  <c r="E9705" i="1"/>
  <c r="G9705" i="1"/>
  <c r="K9705" i="1"/>
  <c r="A9706" i="1"/>
  <c r="B9706" i="1"/>
  <c r="C9706" i="1"/>
  <c r="E9706" i="1"/>
  <c r="G9706" i="1"/>
  <c r="K9706" i="1"/>
  <c r="A9707" i="1"/>
  <c r="B9707" i="1"/>
  <c r="C9707" i="1"/>
  <c r="E9707" i="1"/>
  <c r="G9707" i="1"/>
  <c r="K9707" i="1"/>
  <c r="A9708" i="1"/>
  <c r="B9708" i="1"/>
  <c r="C9708" i="1"/>
  <c r="E9708" i="1"/>
  <c r="G9708" i="1"/>
  <c r="K9708" i="1"/>
  <c r="A9709" i="1"/>
  <c r="B9709" i="1"/>
  <c r="C9709" i="1"/>
  <c r="E9709" i="1"/>
  <c r="G9709" i="1"/>
  <c r="K9709" i="1"/>
  <c r="A9710" i="1"/>
  <c r="B9710" i="1"/>
  <c r="C9710" i="1"/>
  <c r="E9710" i="1"/>
  <c r="G9710" i="1"/>
  <c r="K9710" i="1"/>
  <c r="A9711" i="1"/>
  <c r="B9711" i="1"/>
  <c r="C9711" i="1"/>
  <c r="E9711" i="1"/>
  <c r="G9711" i="1"/>
  <c r="K9711" i="1"/>
  <c r="A9712" i="1"/>
  <c r="B9712" i="1"/>
  <c r="C9712" i="1"/>
  <c r="E9712" i="1"/>
  <c r="G9712" i="1"/>
  <c r="K9712" i="1"/>
  <c r="A9713" i="1"/>
  <c r="B9713" i="1"/>
  <c r="C9713" i="1"/>
  <c r="E9713" i="1"/>
  <c r="G9713" i="1"/>
  <c r="K9713" i="1"/>
  <c r="A9714" i="1"/>
  <c r="B9714" i="1"/>
  <c r="C9714" i="1"/>
  <c r="E9714" i="1"/>
  <c r="G9714" i="1"/>
  <c r="K9714" i="1"/>
  <c r="A9715" i="1"/>
  <c r="B9715" i="1"/>
  <c r="C9715" i="1"/>
  <c r="E9715" i="1"/>
  <c r="G9715" i="1"/>
  <c r="K9715" i="1"/>
  <c r="A9716" i="1"/>
  <c r="B9716" i="1"/>
  <c r="C9716" i="1"/>
  <c r="E9716" i="1"/>
  <c r="G9716" i="1"/>
  <c r="K9716" i="1"/>
  <c r="A9717" i="1"/>
  <c r="B9717" i="1"/>
  <c r="C9717" i="1"/>
  <c r="E9717" i="1"/>
  <c r="G9717" i="1"/>
  <c r="K9717" i="1"/>
  <c r="A9718" i="1"/>
  <c r="B9718" i="1"/>
  <c r="C9718" i="1"/>
  <c r="E9718" i="1"/>
  <c r="G9718" i="1"/>
  <c r="K9718" i="1"/>
  <c r="A9719" i="1"/>
  <c r="B9719" i="1"/>
  <c r="C9719" i="1"/>
  <c r="E9719" i="1"/>
  <c r="G9719" i="1"/>
  <c r="K9719" i="1"/>
  <c r="A9720" i="1"/>
  <c r="B9720" i="1"/>
  <c r="C9720" i="1"/>
  <c r="E9720" i="1"/>
  <c r="G9720" i="1"/>
  <c r="K9720" i="1"/>
  <c r="A9721" i="1"/>
  <c r="B9721" i="1"/>
  <c r="C9721" i="1"/>
  <c r="E9721" i="1"/>
  <c r="G9721" i="1"/>
  <c r="K9721" i="1"/>
  <c r="A9722" i="1"/>
  <c r="B9722" i="1"/>
  <c r="C9722" i="1"/>
  <c r="E9722" i="1"/>
  <c r="G9722" i="1"/>
  <c r="K9722" i="1"/>
  <c r="A9723" i="1"/>
  <c r="B9723" i="1"/>
  <c r="C9723" i="1"/>
  <c r="E9723" i="1"/>
  <c r="G9723" i="1"/>
  <c r="K9723" i="1"/>
  <c r="A9724" i="1"/>
  <c r="B9724" i="1"/>
  <c r="C9724" i="1"/>
  <c r="E9724" i="1"/>
  <c r="G9724" i="1"/>
  <c r="K9724" i="1"/>
  <c r="A9725" i="1"/>
  <c r="B9725" i="1"/>
  <c r="C9725" i="1"/>
  <c r="E9725" i="1"/>
  <c r="G9725" i="1"/>
  <c r="K9725" i="1"/>
  <c r="A9726" i="1"/>
  <c r="B9726" i="1"/>
  <c r="C9726" i="1"/>
  <c r="E9726" i="1"/>
  <c r="G9726" i="1"/>
  <c r="K9726" i="1"/>
  <c r="A9727" i="1"/>
  <c r="B9727" i="1"/>
  <c r="C9727" i="1"/>
  <c r="E9727" i="1"/>
  <c r="G9727" i="1"/>
  <c r="K9727" i="1"/>
  <c r="A9728" i="1"/>
  <c r="B9728" i="1"/>
  <c r="C9728" i="1"/>
  <c r="E9728" i="1"/>
  <c r="G9728" i="1"/>
  <c r="K9728" i="1"/>
  <c r="A9729" i="1"/>
  <c r="B9729" i="1"/>
  <c r="C9729" i="1"/>
  <c r="E9729" i="1"/>
  <c r="G9729" i="1"/>
  <c r="K9729" i="1"/>
  <c r="A9730" i="1"/>
  <c r="B9730" i="1"/>
  <c r="C9730" i="1"/>
  <c r="E9730" i="1"/>
  <c r="G9730" i="1"/>
  <c r="K9730" i="1"/>
  <c r="A9731" i="1"/>
  <c r="B9731" i="1"/>
  <c r="C9731" i="1"/>
  <c r="E9731" i="1"/>
  <c r="G9731" i="1"/>
  <c r="K9731" i="1"/>
  <c r="A9732" i="1"/>
  <c r="B9732" i="1"/>
  <c r="C9732" i="1"/>
  <c r="E9732" i="1"/>
  <c r="G9732" i="1"/>
  <c r="K9732" i="1"/>
  <c r="A9733" i="1"/>
  <c r="B9733" i="1"/>
  <c r="C9733" i="1"/>
  <c r="E9733" i="1"/>
  <c r="G9733" i="1"/>
  <c r="K9733" i="1"/>
  <c r="A9734" i="1"/>
  <c r="B9734" i="1"/>
  <c r="C9734" i="1"/>
  <c r="E9734" i="1"/>
  <c r="G9734" i="1"/>
  <c r="K9734" i="1"/>
  <c r="A9735" i="1"/>
  <c r="B9735" i="1"/>
  <c r="C9735" i="1"/>
  <c r="E9735" i="1"/>
  <c r="G9735" i="1"/>
  <c r="K9735" i="1"/>
  <c r="A9736" i="1"/>
  <c r="B9736" i="1"/>
  <c r="C9736" i="1"/>
  <c r="E9736" i="1"/>
  <c r="G9736" i="1"/>
  <c r="K9736" i="1"/>
  <c r="A9737" i="1"/>
  <c r="B9737" i="1"/>
  <c r="C9737" i="1"/>
  <c r="E9737" i="1"/>
  <c r="G9737" i="1"/>
  <c r="K9737" i="1"/>
  <c r="A9738" i="1"/>
  <c r="B9738" i="1"/>
  <c r="C9738" i="1"/>
  <c r="E9738" i="1"/>
  <c r="G9738" i="1"/>
  <c r="K9738" i="1"/>
  <c r="A9739" i="1"/>
  <c r="B9739" i="1"/>
  <c r="C9739" i="1"/>
  <c r="E9739" i="1"/>
  <c r="G9739" i="1"/>
  <c r="K9739" i="1"/>
  <c r="A9740" i="1"/>
  <c r="B9740" i="1"/>
  <c r="C9740" i="1"/>
  <c r="E9740" i="1"/>
  <c r="G9740" i="1"/>
  <c r="K9740" i="1"/>
  <c r="A9741" i="1"/>
  <c r="B9741" i="1"/>
  <c r="C9741" i="1"/>
  <c r="E9741" i="1"/>
  <c r="G9741" i="1"/>
  <c r="K9741" i="1"/>
  <c r="A9742" i="1"/>
  <c r="B9742" i="1"/>
  <c r="C9742" i="1"/>
  <c r="E9742" i="1"/>
  <c r="G9742" i="1"/>
  <c r="K9742" i="1"/>
  <c r="A9743" i="1"/>
  <c r="B9743" i="1"/>
  <c r="C9743" i="1"/>
  <c r="E9743" i="1"/>
  <c r="G9743" i="1"/>
  <c r="K9743" i="1"/>
  <c r="A9744" i="1"/>
  <c r="B9744" i="1"/>
  <c r="C9744" i="1"/>
  <c r="E9744" i="1"/>
  <c r="G9744" i="1"/>
  <c r="K9744" i="1"/>
  <c r="A9745" i="1"/>
  <c r="B9745" i="1"/>
  <c r="C9745" i="1"/>
  <c r="E9745" i="1"/>
  <c r="G9745" i="1"/>
  <c r="K9745" i="1"/>
  <c r="A9746" i="1"/>
  <c r="B9746" i="1"/>
  <c r="C9746" i="1"/>
  <c r="E9746" i="1"/>
  <c r="G9746" i="1"/>
  <c r="K9746" i="1"/>
  <c r="A9747" i="1"/>
  <c r="B9747" i="1"/>
  <c r="C9747" i="1"/>
  <c r="E9747" i="1"/>
  <c r="G9747" i="1"/>
  <c r="K9747" i="1"/>
  <c r="A9748" i="1"/>
  <c r="B9748" i="1"/>
  <c r="C9748" i="1"/>
  <c r="E9748" i="1"/>
  <c r="G9748" i="1"/>
  <c r="K9748" i="1"/>
  <c r="A9749" i="1"/>
  <c r="B9749" i="1"/>
  <c r="C9749" i="1"/>
  <c r="E9749" i="1"/>
  <c r="G9749" i="1"/>
  <c r="K9749" i="1"/>
  <c r="A9750" i="1"/>
  <c r="B9750" i="1"/>
  <c r="C9750" i="1"/>
  <c r="E9750" i="1"/>
  <c r="G9750" i="1"/>
  <c r="K9750" i="1"/>
  <c r="A9751" i="1"/>
  <c r="B9751" i="1"/>
  <c r="C9751" i="1"/>
  <c r="E9751" i="1"/>
  <c r="G9751" i="1"/>
  <c r="K9751" i="1"/>
  <c r="A9752" i="1"/>
  <c r="B9752" i="1"/>
  <c r="C9752" i="1"/>
  <c r="E9752" i="1"/>
  <c r="G9752" i="1"/>
  <c r="K9752" i="1"/>
  <c r="A9753" i="1"/>
  <c r="B9753" i="1"/>
  <c r="C9753" i="1"/>
  <c r="E9753" i="1"/>
  <c r="G9753" i="1"/>
  <c r="K9753" i="1"/>
  <c r="A9754" i="1"/>
  <c r="B9754" i="1"/>
  <c r="C9754" i="1"/>
  <c r="E9754" i="1"/>
  <c r="G9754" i="1"/>
  <c r="K9754" i="1"/>
  <c r="A9755" i="1"/>
  <c r="B9755" i="1"/>
  <c r="C9755" i="1"/>
  <c r="E9755" i="1"/>
  <c r="G9755" i="1"/>
  <c r="K9755" i="1"/>
  <c r="A9756" i="1"/>
  <c r="B9756" i="1"/>
  <c r="C9756" i="1"/>
  <c r="E9756" i="1"/>
  <c r="G9756" i="1"/>
  <c r="K9756" i="1"/>
  <c r="A9757" i="1"/>
  <c r="B9757" i="1"/>
  <c r="C9757" i="1"/>
  <c r="E9757" i="1"/>
  <c r="G9757" i="1"/>
  <c r="K9757" i="1"/>
  <c r="A9758" i="1"/>
  <c r="B9758" i="1"/>
  <c r="C9758" i="1"/>
  <c r="E9758" i="1"/>
  <c r="G9758" i="1"/>
  <c r="K9758" i="1"/>
  <c r="A9759" i="1"/>
  <c r="B9759" i="1"/>
  <c r="C9759" i="1"/>
  <c r="E9759" i="1"/>
  <c r="G9759" i="1"/>
  <c r="K9759" i="1"/>
  <c r="A9760" i="1"/>
  <c r="B9760" i="1"/>
  <c r="C9760" i="1"/>
  <c r="E9760" i="1"/>
  <c r="G9760" i="1"/>
  <c r="K9760" i="1"/>
  <c r="A9761" i="1"/>
  <c r="B9761" i="1"/>
  <c r="C9761" i="1"/>
  <c r="E9761" i="1"/>
  <c r="G9761" i="1"/>
  <c r="K9761" i="1"/>
  <c r="A9762" i="1"/>
  <c r="B9762" i="1"/>
  <c r="C9762" i="1"/>
  <c r="E9762" i="1"/>
  <c r="G9762" i="1"/>
  <c r="K9762" i="1"/>
  <c r="A9763" i="1"/>
  <c r="B9763" i="1"/>
  <c r="C9763" i="1"/>
  <c r="E9763" i="1"/>
  <c r="G9763" i="1"/>
  <c r="K9763" i="1"/>
  <c r="A9764" i="1"/>
  <c r="B9764" i="1"/>
  <c r="C9764" i="1"/>
  <c r="E9764" i="1"/>
  <c r="G9764" i="1"/>
  <c r="K9764" i="1"/>
  <c r="A9765" i="1"/>
  <c r="B9765" i="1"/>
  <c r="C9765" i="1"/>
  <c r="E9765" i="1"/>
  <c r="G9765" i="1"/>
  <c r="K9765" i="1"/>
  <c r="A9766" i="1"/>
  <c r="B9766" i="1"/>
  <c r="C9766" i="1"/>
  <c r="E9766" i="1"/>
  <c r="G9766" i="1"/>
  <c r="K9766" i="1"/>
  <c r="A9767" i="1"/>
  <c r="B9767" i="1"/>
  <c r="C9767" i="1"/>
  <c r="E9767" i="1"/>
  <c r="G9767" i="1"/>
  <c r="K9767" i="1"/>
  <c r="A9768" i="1"/>
  <c r="B9768" i="1"/>
  <c r="C9768" i="1"/>
  <c r="E9768" i="1"/>
  <c r="G9768" i="1"/>
  <c r="K9768" i="1"/>
  <c r="A9769" i="1"/>
  <c r="B9769" i="1"/>
  <c r="C9769" i="1"/>
  <c r="E9769" i="1"/>
  <c r="G9769" i="1"/>
  <c r="K9769" i="1"/>
  <c r="A9770" i="1"/>
  <c r="B9770" i="1"/>
  <c r="C9770" i="1"/>
  <c r="E9770" i="1"/>
  <c r="G9770" i="1"/>
  <c r="K9770" i="1"/>
  <c r="A9771" i="1"/>
  <c r="B9771" i="1"/>
  <c r="C9771" i="1"/>
  <c r="E9771" i="1"/>
  <c r="G9771" i="1"/>
  <c r="K9771" i="1"/>
  <c r="A9772" i="1"/>
  <c r="B9772" i="1"/>
  <c r="C9772" i="1"/>
  <c r="E9772" i="1"/>
  <c r="G9772" i="1"/>
  <c r="K9772" i="1"/>
  <c r="A9773" i="1"/>
  <c r="B9773" i="1"/>
  <c r="C9773" i="1"/>
  <c r="E9773" i="1"/>
  <c r="G9773" i="1"/>
  <c r="K9773" i="1"/>
  <c r="A9774" i="1"/>
  <c r="B9774" i="1"/>
  <c r="C9774" i="1"/>
  <c r="E9774" i="1"/>
  <c r="G9774" i="1"/>
  <c r="K9774" i="1"/>
  <c r="A9775" i="1"/>
  <c r="B9775" i="1"/>
  <c r="C9775" i="1"/>
  <c r="E9775" i="1"/>
  <c r="G9775" i="1"/>
  <c r="K9775" i="1"/>
  <c r="A9776" i="1"/>
  <c r="B9776" i="1"/>
  <c r="C9776" i="1"/>
  <c r="E9776" i="1"/>
  <c r="G9776" i="1"/>
  <c r="K9776" i="1"/>
  <c r="A9777" i="1"/>
  <c r="B9777" i="1"/>
  <c r="C9777" i="1"/>
  <c r="E9777" i="1"/>
  <c r="G9777" i="1"/>
  <c r="K9777" i="1"/>
  <c r="A9778" i="1"/>
  <c r="B9778" i="1"/>
  <c r="C9778" i="1"/>
  <c r="E9778" i="1"/>
  <c r="G9778" i="1"/>
  <c r="K9778" i="1"/>
  <c r="A9779" i="1"/>
  <c r="B9779" i="1"/>
  <c r="C9779" i="1"/>
  <c r="E9779" i="1"/>
  <c r="G9779" i="1"/>
  <c r="K9779" i="1"/>
  <c r="A9780" i="1"/>
  <c r="B9780" i="1"/>
  <c r="C9780" i="1"/>
  <c r="E9780" i="1"/>
  <c r="G9780" i="1"/>
  <c r="K9780" i="1"/>
  <c r="A9781" i="1"/>
  <c r="B9781" i="1"/>
  <c r="C9781" i="1"/>
  <c r="E9781" i="1"/>
  <c r="G9781" i="1"/>
  <c r="K9781" i="1"/>
  <c r="A9782" i="1"/>
  <c r="B9782" i="1"/>
  <c r="C9782" i="1"/>
  <c r="E9782" i="1"/>
  <c r="G9782" i="1"/>
  <c r="K9782" i="1"/>
  <c r="A9783" i="1"/>
  <c r="B9783" i="1"/>
  <c r="C9783" i="1"/>
  <c r="E9783" i="1"/>
  <c r="G9783" i="1"/>
  <c r="K9783" i="1"/>
  <c r="A9784" i="1"/>
  <c r="B9784" i="1"/>
  <c r="C9784" i="1"/>
  <c r="E9784" i="1"/>
  <c r="G9784" i="1"/>
  <c r="K9784" i="1"/>
  <c r="A9785" i="1"/>
  <c r="B9785" i="1"/>
  <c r="C9785" i="1"/>
  <c r="E9785" i="1"/>
  <c r="G9785" i="1"/>
  <c r="K9785" i="1"/>
  <c r="A9786" i="1"/>
  <c r="B9786" i="1"/>
  <c r="C9786" i="1"/>
  <c r="E9786" i="1"/>
  <c r="G9786" i="1"/>
  <c r="K9786" i="1"/>
  <c r="A9787" i="1"/>
  <c r="B9787" i="1"/>
  <c r="C9787" i="1"/>
  <c r="E9787" i="1"/>
  <c r="G9787" i="1"/>
  <c r="K9787" i="1"/>
  <c r="A9788" i="1"/>
  <c r="B9788" i="1"/>
  <c r="C9788" i="1"/>
  <c r="E9788" i="1"/>
  <c r="G9788" i="1"/>
  <c r="K9788" i="1"/>
  <c r="A9789" i="1"/>
  <c r="B9789" i="1"/>
  <c r="C9789" i="1"/>
  <c r="E9789" i="1"/>
  <c r="G9789" i="1"/>
  <c r="K9789" i="1"/>
  <c r="A9790" i="1"/>
  <c r="B9790" i="1"/>
  <c r="C9790" i="1"/>
  <c r="E9790" i="1"/>
  <c r="G9790" i="1"/>
  <c r="K9790" i="1"/>
  <c r="A9791" i="1"/>
  <c r="B9791" i="1"/>
  <c r="C9791" i="1"/>
  <c r="E9791" i="1"/>
  <c r="G9791" i="1"/>
  <c r="K9791" i="1"/>
  <c r="A9792" i="1"/>
  <c r="B9792" i="1"/>
  <c r="C9792" i="1"/>
  <c r="E9792" i="1"/>
  <c r="G9792" i="1"/>
  <c r="K9792" i="1"/>
  <c r="A9793" i="1"/>
  <c r="B9793" i="1"/>
  <c r="C9793" i="1"/>
  <c r="E9793" i="1"/>
  <c r="G9793" i="1"/>
  <c r="K9793" i="1"/>
  <c r="A9794" i="1"/>
  <c r="B9794" i="1"/>
  <c r="C9794" i="1"/>
  <c r="E9794" i="1"/>
  <c r="G9794" i="1"/>
  <c r="K9794" i="1"/>
  <c r="A9795" i="1"/>
  <c r="B9795" i="1"/>
  <c r="C9795" i="1"/>
  <c r="E9795" i="1"/>
  <c r="G9795" i="1"/>
  <c r="K9795" i="1"/>
  <c r="A9796" i="1"/>
  <c r="B9796" i="1"/>
  <c r="C9796" i="1"/>
  <c r="E9796" i="1"/>
  <c r="G9796" i="1"/>
  <c r="K9796" i="1"/>
  <c r="A9797" i="1"/>
  <c r="B9797" i="1"/>
  <c r="C9797" i="1"/>
  <c r="E9797" i="1"/>
  <c r="G9797" i="1"/>
  <c r="K9797" i="1"/>
  <c r="A9798" i="1"/>
  <c r="B9798" i="1"/>
  <c r="C9798" i="1"/>
  <c r="E9798" i="1"/>
  <c r="G9798" i="1"/>
  <c r="K9798" i="1"/>
  <c r="A9799" i="1"/>
  <c r="B9799" i="1"/>
  <c r="C9799" i="1"/>
  <c r="E9799" i="1"/>
  <c r="G9799" i="1"/>
  <c r="K9799" i="1"/>
  <c r="A9800" i="1"/>
  <c r="B9800" i="1"/>
  <c r="C9800" i="1"/>
  <c r="E9800" i="1"/>
  <c r="G9800" i="1"/>
  <c r="K9800" i="1"/>
  <c r="A9801" i="1"/>
  <c r="B9801" i="1"/>
  <c r="C9801" i="1"/>
  <c r="E9801" i="1"/>
  <c r="G9801" i="1"/>
  <c r="K9801" i="1"/>
  <c r="A9802" i="1"/>
  <c r="B9802" i="1"/>
  <c r="C9802" i="1"/>
  <c r="E9802" i="1"/>
  <c r="G9802" i="1"/>
  <c r="K9802" i="1"/>
  <c r="A9803" i="1"/>
  <c r="B9803" i="1"/>
  <c r="C9803" i="1"/>
  <c r="E9803" i="1"/>
  <c r="G9803" i="1"/>
  <c r="K9803" i="1"/>
  <c r="A9804" i="1"/>
  <c r="B9804" i="1"/>
  <c r="C9804" i="1"/>
  <c r="E9804" i="1"/>
  <c r="G9804" i="1"/>
  <c r="K9804" i="1"/>
  <c r="A9805" i="1"/>
  <c r="B9805" i="1"/>
  <c r="C9805" i="1"/>
  <c r="E9805" i="1"/>
  <c r="G9805" i="1"/>
  <c r="K9805" i="1"/>
  <c r="A9806" i="1"/>
  <c r="B9806" i="1"/>
  <c r="C9806" i="1"/>
  <c r="E9806" i="1"/>
  <c r="G9806" i="1"/>
  <c r="K9806" i="1"/>
  <c r="A9807" i="1"/>
  <c r="B9807" i="1"/>
  <c r="C9807" i="1"/>
  <c r="E9807" i="1"/>
  <c r="G9807" i="1"/>
  <c r="K9807" i="1"/>
  <c r="A9808" i="1"/>
  <c r="B9808" i="1"/>
  <c r="C9808" i="1"/>
  <c r="E9808" i="1"/>
  <c r="G9808" i="1"/>
  <c r="K9808" i="1"/>
  <c r="A9809" i="1"/>
  <c r="B9809" i="1"/>
  <c r="C9809" i="1"/>
  <c r="E9809" i="1"/>
  <c r="G9809" i="1"/>
  <c r="K9809" i="1"/>
  <c r="A9810" i="1"/>
  <c r="B9810" i="1"/>
  <c r="C9810" i="1"/>
  <c r="E9810" i="1"/>
  <c r="G9810" i="1"/>
  <c r="K9810" i="1"/>
  <c r="A9811" i="1"/>
  <c r="B9811" i="1"/>
  <c r="C9811" i="1"/>
  <c r="E9811" i="1"/>
  <c r="G9811" i="1"/>
  <c r="K9811" i="1"/>
  <c r="A9812" i="1"/>
  <c r="B9812" i="1"/>
  <c r="C9812" i="1"/>
  <c r="E9812" i="1"/>
  <c r="G9812" i="1"/>
  <c r="K9812" i="1"/>
  <c r="A9813" i="1"/>
  <c r="B9813" i="1"/>
  <c r="C9813" i="1"/>
  <c r="E9813" i="1"/>
  <c r="G9813" i="1"/>
  <c r="K9813" i="1"/>
  <c r="A9814" i="1"/>
  <c r="B9814" i="1"/>
  <c r="C9814" i="1"/>
  <c r="E9814" i="1"/>
  <c r="G9814" i="1"/>
  <c r="K9814" i="1"/>
  <c r="A9815" i="1"/>
  <c r="B9815" i="1"/>
  <c r="C9815" i="1"/>
  <c r="E9815" i="1"/>
  <c r="G9815" i="1"/>
  <c r="K9815" i="1"/>
  <c r="A9816" i="1"/>
  <c r="B9816" i="1"/>
  <c r="C9816" i="1"/>
  <c r="E9816" i="1"/>
  <c r="G9816" i="1"/>
  <c r="K9816" i="1"/>
  <c r="A9817" i="1"/>
  <c r="B9817" i="1"/>
  <c r="C9817" i="1"/>
  <c r="E9817" i="1"/>
  <c r="G9817" i="1"/>
  <c r="K9817" i="1"/>
  <c r="A9818" i="1"/>
  <c r="B9818" i="1"/>
  <c r="C9818" i="1"/>
  <c r="E9818" i="1"/>
  <c r="G9818" i="1"/>
  <c r="K9818" i="1"/>
  <c r="A9819" i="1"/>
  <c r="B9819" i="1"/>
  <c r="C9819" i="1"/>
  <c r="E9819" i="1"/>
  <c r="G9819" i="1"/>
  <c r="K9819" i="1"/>
  <c r="A9820" i="1"/>
  <c r="B9820" i="1"/>
  <c r="C9820" i="1"/>
  <c r="E9820" i="1"/>
  <c r="G9820" i="1"/>
  <c r="K9820" i="1"/>
  <c r="A9821" i="1"/>
  <c r="B9821" i="1"/>
  <c r="C9821" i="1"/>
  <c r="E9821" i="1"/>
  <c r="G9821" i="1"/>
  <c r="K9821" i="1"/>
  <c r="A9822" i="1"/>
  <c r="B9822" i="1"/>
  <c r="C9822" i="1"/>
  <c r="E9822" i="1"/>
  <c r="G9822" i="1"/>
  <c r="K9822" i="1"/>
  <c r="A9823" i="1"/>
  <c r="B9823" i="1"/>
  <c r="C9823" i="1"/>
  <c r="E9823" i="1"/>
  <c r="G9823" i="1"/>
  <c r="K9823" i="1"/>
  <c r="A9824" i="1"/>
  <c r="B9824" i="1"/>
  <c r="C9824" i="1"/>
  <c r="E9824" i="1"/>
  <c r="G9824" i="1"/>
  <c r="K9824" i="1"/>
  <c r="A9825" i="1"/>
  <c r="B9825" i="1"/>
  <c r="C9825" i="1"/>
  <c r="E9825" i="1"/>
  <c r="G9825" i="1"/>
  <c r="K9825" i="1"/>
  <c r="A9826" i="1"/>
  <c r="B9826" i="1"/>
  <c r="C9826" i="1"/>
  <c r="E9826" i="1"/>
  <c r="G9826" i="1"/>
  <c r="K9826" i="1"/>
  <c r="A9827" i="1"/>
  <c r="B9827" i="1"/>
  <c r="C9827" i="1"/>
  <c r="E9827" i="1"/>
  <c r="G9827" i="1"/>
  <c r="K9827" i="1"/>
  <c r="A9828" i="1"/>
  <c r="B9828" i="1"/>
  <c r="C9828" i="1"/>
  <c r="E9828" i="1"/>
  <c r="G9828" i="1"/>
  <c r="K9828" i="1"/>
  <c r="A9829" i="1"/>
  <c r="B9829" i="1"/>
  <c r="C9829" i="1"/>
  <c r="E9829" i="1"/>
  <c r="G9829" i="1"/>
  <c r="K9829" i="1"/>
  <c r="A9830" i="1"/>
  <c r="B9830" i="1"/>
  <c r="C9830" i="1"/>
  <c r="E9830" i="1"/>
  <c r="G9830" i="1"/>
  <c r="K9830" i="1"/>
  <c r="A9831" i="1"/>
  <c r="B9831" i="1"/>
  <c r="C9831" i="1"/>
  <c r="E9831" i="1"/>
  <c r="G9831" i="1"/>
  <c r="K9831" i="1"/>
  <c r="A9832" i="1"/>
  <c r="B9832" i="1"/>
  <c r="C9832" i="1"/>
  <c r="E9832" i="1"/>
  <c r="G9832" i="1"/>
  <c r="K9832" i="1"/>
  <c r="A9833" i="1"/>
  <c r="B9833" i="1"/>
  <c r="C9833" i="1"/>
  <c r="E9833" i="1"/>
  <c r="G9833" i="1"/>
  <c r="K9833" i="1"/>
  <c r="A9834" i="1"/>
  <c r="B9834" i="1"/>
  <c r="C9834" i="1"/>
  <c r="E9834" i="1"/>
  <c r="G9834" i="1"/>
  <c r="K9834" i="1"/>
  <c r="A9835" i="1"/>
  <c r="B9835" i="1"/>
  <c r="C9835" i="1"/>
  <c r="E9835" i="1"/>
  <c r="G9835" i="1"/>
  <c r="K9835" i="1"/>
  <c r="A9836" i="1"/>
  <c r="B9836" i="1"/>
  <c r="C9836" i="1"/>
  <c r="E9836" i="1"/>
  <c r="G9836" i="1"/>
  <c r="K9836" i="1"/>
  <c r="A9837" i="1"/>
  <c r="B9837" i="1"/>
  <c r="C9837" i="1"/>
  <c r="E9837" i="1"/>
  <c r="G9837" i="1"/>
  <c r="K9837" i="1"/>
  <c r="A9838" i="1"/>
  <c r="B9838" i="1"/>
  <c r="C9838" i="1"/>
  <c r="E9838" i="1"/>
  <c r="G9838" i="1"/>
  <c r="K9838" i="1"/>
  <c r="A9839" i="1"/>
  <c r="B9839" i="1"/>
  <c r="C9839" i="1"/>
  <c r="E9839" i="1"/>
  <c r="G9839" i="1"/>
  <c r="K9839" i="1"/>
  <c r="A9840" i="1"/>
  <c r="B9840" i="1"/>
  <c r="C9840" i="1"/>
  <c r="E9840" i="1"/>
  <c r="G9840" i="1"/>
  <c r="K9840" i="1"/>
  <c r="A9841" i="1"/>
  <c r="B9841" i="1"/>
  <c r="C9841" i="1"/>
  <c r="E9841" i="1"/>
  <c r="G9841" i="1"/>
  <c r="K9841" i="1"/>
  <c r="A9842" i="1"/>
  <c r="B9842" i="1"/>
  <c r="C9842" i="1"/>
  <c r="E9842" i="1"/>
  <c r="G9842" i="1"/>
  <c r="K9842" i="1"/>
  <c r="A9843" i="1"/>
  <c r="B9843" i="1"/>
  <c r="C9843" i="1"/>
  <c r="E9843" i="1"/>
  <c r="G9843" i="1"/>
  <c r="K9843" i="1"/>
  <c r="A9844" i="1"/>
  <c r="B9844" i="1"/>
  <c r="C9844" i="1"/>
  <c r="E9844" i="1"/>
  <c r="G9844" i="1"/>
  <c r="K9844" i="1"/>
  <c r="A9845" i="1"/>
  <c r="B9845" i="1"/>
  <c r="C9845" i="1"/>
  <c r="E9845" i="1"/>
  <c r="G9845" i="1"/>
  <c r="K9845" i="1"/>
  <c r="A9846" i="1"/>
  <c r="B9846" i="1"/>
  <c r="C9846" i="1"/>
  <c r="E9846" i="1"/>
  <c r="G9846" i="1"/>
  <c r="K9846" i="1"/>
  <c r="A9847" i="1"/>
  <c r="B9847" i="1"/>
  <c r="C9847" i="1"/>
  <c r="E9847" i="1"/>
  <c r="G9847" i="1"/>
  <c r="K9847" i="1"/>
  <c r="A9848" i="1"/>
  <c r="B9848" i="1"/>
  <c r="C9848" i="1"/>
  <c r="E9848" i="1"/>
  <c r="G9848" i="1"/>
  <c r="K9848" i="1"/>
  <c r="A9849" i="1"/>
  <c r="B9849" i="1"/>
  <c r="C9849" i="1"/>
  <c r="E9849" i="1"/>
  <c r="G9849" i="1"/>
  <c r="K9849" i="1"/>
  <c r="A9850" i="1"/>
  <c r="B9850" i="1"/>
  <c r="C9850" i="1"/>
  <c r="E9850" i="1"/>
  <c r="G9850" i="1"/>
  <c r="K9850" i="1"/>
  <c r="A9851" i="1"/>
  <c r="B9851" i="1"/>
  <c r="C9851" i="1"/>
  <c r="E9851" i="1"/>
  <c r="G9851" i="1"/>
  <c r="K9851" i="1"/>
  <c r="A9852" i="1"/>
  <c r="B9852" i="1"/>
  <c r="C9852" i="1"/>
  <c r="E9852" i="1"/>
  <c r="G9852" i="1"/>
  <c r="K9852" i="1"/>
  <c r="A9853" i="1"/>
  <c r="B9853" i="1"/>
  <c r="C9853" i="1"/>
  <c r="E9853" i="1"/>
  <c r="G9853" i="1"/>
  <c r="K9853" i="1"/>
  <c r="A9854" i="1"/>
  <c r="B9854" i="1"/>
  <c r="C9854" i="1"/>
  <c r="E9854" i="1"/>
  <c r="G9854" i="1"/>
  <c r="K9854" i="1"/>
  <c r="A9855" i="1"/>
  <c r="B9855" i="1"/>
  <c r="C9855" i="1"/>
  <c r="E9855" i="1"/>
  <c r="G9855" i="1"/>
  <c r="K9855" i="1"/>
  <c r="A9856" i="1"/>
  <c r="B9856" i="1"/>
  <c r="C9856" i="1"/>
  <c r="E9856" i="1"/>
  <c r="G9856" i="1"/>
  <c r="K9856" i="1"/>
  <c r="A9857" i="1"/>
  <c r="B9857" i="1"/>
  <c r="C9857" i="1"/>
  <c r="E9857" i="1"/>
  <c r="G9857" i="1"/>
  <c r="K9857" i="1"/>
  <c r="A9858" i="1"/>
  <c r="B9858" i="1"/>
  <c r="C9858" i="1"/>
  <c r="E9858" i="1"/>
  <c r="G9858" i="1"/>
  <c r="K9858" i="1"/>
  <c r="A9859" i="1"/>
  <c r="B9859" i="1"/>
  <c r="C9859" i="1"/>
  <c r="E9859" i="1"/>
  <c r="G9859" i="1"/>
  <c r="K9859" i="1"/>
  <c r="A9860" i="1"/>
  <c r="B9860" i="1"/>
  <c r="C9860" i="1"/>
  <c r="E9860" i="1"/>
  <c r="G9860" i="1"/>
  <c r="K9860" i="1"/>
  <c r="A9861" i="1"/>
  <c r="B9861" i="1"/>
  <c r="C9861" i="1"/>
  <c r="E9861" i="1"/>
  <c r="G9861" i="1"/>
  <c r="K9861" i="1"/>
  <c r="A9862" i="1"/>
  <c r="B9862" i="1"/>
  <c r="C9862" i="1"/>
  <c r="E9862" i="1"/>
  <c r="G9862" i="1"/>
  <c r="K9862" i="1"/>
  <c r="A9863" i="1"/>
  <c r="B9863" i="1"/>
  <c r="C9863" i="1"/>
  <c r="E9863" i="1"/>
  <c r="G9863" i="1"/>
  <c r="K9863" i="1"/>
  <c r="A9864" i="1"/>
  <c r="B9864" i="1"/>
  <c r="C9864" i="1"/>
  <c r="E9864" i="1"/>
  <c r="G9864" i="1"/>
  <c r="K9864" i="1"/>
  <c r="A9865" i="1"/>
  <c r="B9865" i="1"/>
  <c r="C9865" i="1"/>
  <c r="E9865" i="1"/>
  <c r="G9865" i="1"/>
  <c r="K9865" i="1"/>
  <c r="A9866" i="1"/>
  <c r="B9866" i="1"/>
  <c r="C9866" i="1"/>
  <c r="E9866" i="1"/>
  <c r="G9866" i="1"/>
  <c r="K9866" i="1"/>
  <c r="A9867" i="1"/>
  <c r="B9867" i="1"/>
  <c r="C9867" i="1"/>
  <c r="E9867" i="1"/>
  <c r="G9867" i="1"/>
  <c r="K9867" i="1"/>
  <c r="A9868" i="1"/>
  <c r="B9868" i="1"/>
  <c r="C9868" i="1"/>
  <c r="E9868" i="1"/>
  <c r="G9868" i="1"/>
  <c r="K9868" i="1"/>
  <c r="A9869" i="1"/>
  <c r="B9869" i="1"/>
  <c r="C9869" i="1"/>
  <c r="E9869" i="1"/>
  <c r="G9869" i="1"/>
  <c r="K9869" i="1"/>
  <c r="A9870" i="1"/>
  <c r="B9870" i="1"/>
  <c r="C9870" i="1"/>
  <c r="E9870" i="1"/>
  <c r="G9870" i="1"/>
  <c r="K9870" i="1"/>
  <c r="A9871" i="1"/>
  <c r="B9871" i="1"/>
  <c r="C9871" i="1"/>
  <c r="E9871" i="1"/>
  <c r="G9871" i="1"/>
  <c r="K9871" i="1"/>
  <c r="A9872" i="1"/>
  <c r="B9872" i="1"/>
  <c r="C9872" i="1"/>
  <c r="E9872" i="1"/>
  <c r="G9872" i="1"/>
  <c r="K9872" i="1"/>
  <c r="A9873" i="1"/>
  <c r="B9873" i="1"/>
  <c r="C9873" i="1"/>
  <c r="E9873" i="1"/>
  <c r="G9873" i="1"/>
  <c r="K9873" i="1"/>
  <c r="A9874" i="1"/>
  <c r="B9874" i="1"/>
  <c r="C9874" i="1"/>
  <c r="E9874" i="1"/>
  <c r="G9874" i="1"/>
  <c r="K9874" i="1"/>
  <c r="A9875" i="1"/>
  <c r="B9875" i="1"/>
  <c r="C9875" i="1"/>
  <c r="E9875" i="1"/>
  <c r="G9875" i="1"/>
  <c r="K9875" i="1"/>
  <c r="A9876" i="1"/>
  <c r="B9876" i="1"/>
  <c r="C9876" i="1"/>
  <c r="E9876" i="1"/>
  <c r="G9876" i="1"/>
  <c r="K9876" i="1"/>
  <c r="A9877" i="1"/>
  <c r="B9877" i="1"/>
  <c r="C9877" i="1"/>
  <c r="E9877" i="1"/>
  <c r="G9877" i="1"/>
  <c r="K9877" i="1"/>
  <c r="A9878" i="1"/>
  <c r="B9878" i="1"/>
  <c r="C9878" i="1"/>
  <c r="E9878" i="1"/>
  <c r="G9878" i="1"/>
  <c r="K9878" i="1"/>
  <c r="A9879" i="1"/>
  <c r="B9879" i="1"/>
  <c r="C9879" i="1"/>
  <c r="E9879" i="1"/>
  <c r="G9879" i="1"/>
  <c r="K9879" i="1"/>
  <c r="A9880" i="1"/>
  <c r="B9880" i="1"/>
  <c r="C9880" i="1"/>
  <c r="E9880" i="1"/>
  <c r="G9880" i="1"/>
  <c r="K9880" i="1"/>
  <c r="A9881" i="1"/>
  <c r="B9881" i="1"/>
  <c r="C9881" i="1"/>
  <c r="E9881" i="1"/>
  <c r="G9881" i="1"/>
  <c r="K9881" i="1"/>
  <c r="A9882" i="1"/>
  <c r="B9882" i="1"/>
  <c r="C9882" i="1"/>
  <c r="E9882" i="1"/>
  <c r="G9882" i="1"/>
  <c r="K9882" i="1"/>
  <c r="A9883" i="1"/>
  <c r="B9883" i="1"/>
  <c r="C9883" i="1"/>
  <c r="E9883" i="1"/>
  <c r="G9883" i="1"/>
  <c r="K9883" i="1"/>
  <c r="A9884" i="1"/>
  <c r="B9884" i="1"/>
  <c r="C9884" i="1"/>
  <c r="E9884" i="1"/>
  <c r="G9884" i="1"/>
  <c r="K9884" i="1"/>
  <c r="A9885" i="1"/>
  <c r="B9885" i="1"/>
  <c r="C9885" i="1"/>
  <c r="E9885" i="1"/>
  <c r="G9885" i="1"/>
  <c r="K9885" i="1"/>
  <c r="A9886" i="1"/>
  <c r="B9886" i="1"/>
  <c r="C9886" i="1"/>
  <c r="E9886" i="1"/>
  <c r="G9886" i="1"/>
  <c r="K9886" i="1"/>
  <c r="A9887" i="1"/>
  <c r="B9887" i="1"/>
  <c r="C9887" i="1"/>
  <c r="E9887" i="1"/>
  <c r="G9887" i="1"/>
  <c r="K9887" i="1"/>
  <c r="A9888" i="1"/>
  <c r="B9888" i="1"/>
  <c r="C9888" i="1"/>
  <c r="E9888" i="1"/>
  <c r="G9888" i="1"/>
  <c r="K9888" i="1"/>
  <c r="A9889" i="1"/>
  <c r="B9889" i="1"/>
  <c r="C9889" i="1"/>
  <c r="E9889" i="1"/>
  <c r="G9889" i="1"/>
  <c r="K9889" i="1"/>
  <c r="A9890" i="1"/>
  <c r="B9890" i="1"/>
  <c r="C9890" i="1"/>
  <c r="E9890" i="1"/>
  <c r="G9890" i="1"/>
  <c r="K9890" i="1"/>
  <c r="A9891" i="1"/>
  <c r="B9891" i="1"/>
  <c r="C9891" i="1"/>
  <c r="E9891" i="1"/>
  <c r="G9891" i="1"/>
  <c r="K9891" i="1"/>
  <c r="A9892" i="1"/>
  <c r="B9892" i="1"/>
  <c r="C9892" i="1"/>
  <c r="E9892" i="1"/>
  <c r="G9892" i="1"/>
  <c r="K9892" i="1"/>
  <c r="A9893" i="1"/>
  <c r="B9893" i="1"/>
  <c r="C9893" i="1"/>
  <c r="E9893" i="1"/>
  <c r="G9893" i="1"/>
  <c r="K9893" i="1"/>
  <c r="A9894" i="1"/>
  <c r="B9894" i="1"/>
  <c r="C9894" i="1"/>
  <c r="E9894" i="1"/>
  <c r="G9894" i="1"/>
  <c r="K9894" i="1"/>
  <c r="A9895" i="1"/>
  <c r="B9895" i="1"/>
  <c r="C9895" i="1"/>
  <c r="E9895" i="1"/>
  <c r="G9895" i="1"/>
  <c r="K9895" i="1"/>
  <c r="A9896" i="1"/>
  <c r="B9896" i="1"/>
  <c r="C9896" i="1"/>
  <c r="E9896" i="1"/>
  <c r="G9896" i="1"/>
  <c r="K9896" i="1"/>
  <c r="A9897" i="1"/>
  <c r="B9897" i="1"/>
  <c r="C9897" i="1"/>
  <c r="E9897" i="1"/>
  <c r="G9897" i="1"/>
  <c r="K9897" i="1"/>
  <c r="A9898" i="1"/>
  <c r="B9898" i="1"/>
  <c r="C9898" i="1"/>
  <c r="E9898" i="1"/>
  <c r="G9898" i="1"/>
  <c r="K9898" i="1"/>
  <c r="A9899" i="1"/>
  <c r="B9899" i="1"/>
  <c r="C9899" i="1"/>
  <c r="E9899" i="1"/>
  <c r="G9899" i="1"/>
  <c r="K9899" i="1"/>
  <c r="A9900" i="1"/>
  <c r="B9900" i="1"/>
  <c r="C9900" i="1"/>
  <c r="E9900" i="1"/>
  <c r="G9900" i="1"/>
  <c r="K9900" i="1"/>
  <c r="A9901" i="1"/>
  <c r="B9901" i="1"/>
  <c r="C9901" i="1"/>
  <c r="E9901" i="1"/>
  <c r="G9901" i="1"/>
  <c r="K9901" i="1"/>
  <c r="A9902" i="1"/>
  <c r="B9902" i="1"/>
  <c r="C9902" i="1"/>
  <c r="E9902" i="1"/>
  <c r="G9902" i="1"/>
  <c r="K9902" i="1"/>
  <c r="A9903" i="1"/>
  <c r="B9903" i="1"/>
  <c r="C9903" i="1"/>
  <c r="E9903" i="1"/>
  <c r="G9903" i="1"/>
  <c r="K9903" i="1"/>
  <c r="A9904" i="1"/>
  <c r="B9904" i="1"/>
  <c r="C9904" i="1"/>
  <c r="E9904" i="1"/>
  <c r="G9904" i="1"/>
  <c r="K9904" i="1"/>
  <c r="A9905" i="1"/>
  <c r="B9905" i="1"/>
  <c r="C9905" i="1"/>
  <c r="E9905" i="1"/>
  <c r="G9905" i="1"/>
  <c r="K9905" i="1"/>
  <c r="A9906" i="1"/>
  <c r="B9906" i="1"/>
  <c r="C9906" i="1"/>
  <c r="E9906" i="1"/>
  <c r="G9906" i="1"/>
  <c r="K9906" i="1"/>
  <c r="A9907" i="1"/>
  <c r="B9907" i="1"/>
  <c r="C9907" i="1"/>
  <c r="E9907" i="1"/>
  <c r="G9907" i="1"/>
  <c r="K9907" i="1"/>
  <c r="A9908" i="1"/>
  <c r="B9908" i="1"/>
  <c r="C9908" i="1"/>
  <c r="E9908" i="1"/>
  <c r="G9908" i="1"/>
  <c r="K9908" i="1"/>
  <c r="A9909" i="1"/>
  <c r="B9909" i="1"/>
  <c r="C9909" i="1"/>
  <c r="E9909" i="1"/>
  <c r="G9909" i="1"/>
  <c r="K9909" i="1"/>
  <c r="A9910" i="1"/>
  <c r="B9910" i="1"/>
  <c r="C9910" i="1"/>
  <c r="E9910" i="1"/>
  <c r="G9910" i="1"/>
  <c r="K9910" i="1"/>
  <c r="A9911" i="1"/>
  <c r="B9911" i="1"/>
  <c r="C9911" i="1"/>
  <c r="E9911" i="1"/>
  <c r="G9911" i="1"/>
  <c r="K9911" i="1"/>
  <c r="A9912" i="1"/>
  <c r="B9912" i="1"/>
  <c r="C9912" i="1"/>
  <c r="E9912" i="1"/>
  <c r="G9912" i="1"/>
  <c r="K9912" i="1"/>
  <c r="A9913" i="1"/>
  <c r="B9913" i="1"/>
  <c r="C9913" i="1"/>
  <c r="E9913" i="1"/>
  <c r="G9913" i="1"/>
  <c r="K9913" i="1"/>
  <c r="A9914" i="1"/>
  <c r="B9914" i="1"/>
  <c r="C9914" i="1"/>
  <c r="E9914" i="1"/>
  <c r="G9914" i="1"/>
  <c r="K9914" i="1"/>
  <c r="A9915" i="1"/>
  <c r="B9915" i="1"/>
  <c r="C9915" i="1"/>
  <c r="E9915" i="1"/>
  <c r="G9915" i="1"/>
  <c r="K9915" i="1"/>
  <c r="A9916" i="1"/>
  <c r="B9916" i="1"/>
  <c r="C9916" i="1"/>
  <c r="E9916" i="1"/>
  <c r="G9916" i="1"/>
  <c r="K9916" i="1"/>
  <c r="A9917" i="1"/>
  <c r="B9917" i="1"/>
  <c r="C9917" i="1"/>
  <c r="E9917" i="1"/>
  <c r="G9917" i="1"/>
  <c r="K9917" i="1"/>
  <c r="A9918" i="1"/>
  <c r="B9918" i="1"/>
  <c r="C9918" i="1"/>
  <c r="E9918" i="1"/>
  <c r="G9918" i="1"/>
  <c r="K9918" i="1"/>
  <c r="A9919" i="1"/>
  <c r="B9919" i="1"/>
  <c r="C9919" i="1"/>
  <c r="E9919" i="1"/>
  <c r="G9919" i="1"/>
  <c r="K9919" i="1"/>
  <c r="A9920" i="1"/>
  <c r="B9920" i="1"/>
  <c r="C9920" i="1"/>
  <c r="E9920" i="1"/>
  <c r="G9920" i="1"/>
  <c r="K9920" i="1"/>
  <c r="A9921" i="1"/>
  <c r="B9921" i="1"/>
  <c r="C9921" i="1"/>
  <c r="E9921" i="1"/>
  <c r="G9921" i="1"/>
  <c r="K9921" i="1"/>
  <c r="A9922" i="1"/>
  <c r="B9922" i="1"/>
  <c r="C9922" i="1"/>
  <c r="E9922" i="1"/>
  <c r="G9922" i="1"/>
  <c r="K9922" i="1"/>
  <c r="A9923" i="1"/>
  <c r="B9923" i="1"/>
  <c r="C9923" i="1"/>
  <c r="E9923" i="1"/>
  <c r="G9923" i="1"/>
  <c r="K9923" i="1"/>
  <c r="A9924" i="1"/>
  <c r="B9924" i="1"/>
  <c r="C9924" i="1"/>
  <c r="E9924" i="1"/>
  <c r="G9924" i="1"/>
  <c r="K9924" i="1"/>
  <c r="A9925" i="1"/>
  <c r="B9925" i="1"/>
  <c r="C9925" i="1"/>
  <c r="E9925" i="1"/>
  <c r="G9925" i="1"/>
  <c r="K9925" i="1"/>
  <c r="A9926" i="1"/>
  <c r="B9926" i="1"/>
  <c r="C9926" i="1"/>
  <c r="E9926" i="1"/>
  <c r="G9926" i="1"/>
  <c r="K9926" i="1"/>
  <c r="A9927" i="1"/>
  <c r="B9927" i="1"/>
  <c r="C9927" i="1"/>
  <c r="E9927" i="1"/>
  <c r="G9927" i="1"/>
  <c r="K9927" i="1"/>
  <c r="A9928" i="1"/>
  <c r="B9928" i="1"/>
  <c r="C9928" i="1"/>
  <c r="E9928" i="1"/>
  <c r="G9928" i="1"/>
  <c r="K9928" i="1"/>
  <c r="A9929" i="1"/>
  <c r="B9929" i="1"/>
  <c r="C9929" i="1"/>
  <c r="E9929" i="1"/>
  <c r="G9929" i="1"/>
  <c r="K9929" i="1"/>
  <c r="A9930" i="1"/>
  <c r="B9930" i="1"/>
  <c r="C9930" i="1"/>
  <c r="E9930" i="1"/>
  <c r="G9930" i="1"/>
  <c r="K9930" i="1"/>
  <c r="A9931" i="1"/>
  <c r="B9931" i="1"/>
  <c r="C9931" i="1"/>
  <c r="E9931" i="1"/>
  <c r="G9931" i="1"/>
  <c r="K9931" i="1"/>
  <c r="A9932" i="1"/>
  <c r="B9932" i="1"/>
  <c r="C9932" i="1"/>
  <c r="E9932" i="1"/>
  <c r="G9932" i="1"/>
  <c r="K9932" i="1"/>
  <c r="A9933" i="1"/>
  <c r="B9933" i="1"/>
  <c r="C9933" i="1"/>
  <c r="E9933" i="1"/>
  <c r="G9933" i="1"/>
  <c r="K9933" i="1"/>
  <c r="A9934" i="1"/>
  <c r="B9934" i="1"/>
  <c r="C9934" i="1"/>
  <c r="E9934" i="1"/>
  <c r="G9934" i="1"/>
  <c r="K9934" i="1"/>
  <c r="A9935" i="1"/>
  <c r="B9935" i="1"/>
  <c r="C9935" i="1"/>
  <c r="E9935" i="1"/>
  <c r="G9935" i="1"/>
  <c r="K9935" i="1"/>
  <c r="A9936" i="1"/>
  <c r="B9936" i="1"/>
  <c r="C9936" i="1"/>
  <c r="E9936" i="1"/>
  <c r="G9936" i="1"/>
  <c r="K9936" i="1"/>
  <c r="A9937" i="1"/>
  <c r="B9937" i="1"/>
  <c r="C9937" i="1"/>
  <c r="E9937" i="1"/>
  <c r="G9937" i="1"/>
  <c r="K9937" i="1"/>
  <c r="A9938" i="1"/>
  <c r="B9938" i="1"/>
  <c r="C9938" i="1"/>
  <c r="E9938" i="1"/>
  <c r="G9938" i="1"/>
  <c r="K9938" i="1"/>
  <c r="A9939" i="1"/>
  <c r="B9939" i="1"/>
  <c r="C9939" i="1"/>
  <c r="E9939" i="1"/>
  <c r="G9939" i="1"/>
  <c r="K9939" i="1"/>
  <c r="A9940" i="1"/>
  <c r="B9940" i="1"/>
  <c r="C9940" i="1"/>
  <c r="E9940" i="1"/>
  <c r="G9940" i="1"/>
  <c r="K9940" i="1"/>
  <c r="A9941" i="1"/>
  <c r="B9941" i="1"/>
  <c r="C9941" i="1"/>
  <c r="E9941" i="1"/>
  <c r="G9941" i="1"/>
  <c r="K9941" i="1"/>
  <c r="A9942" i="1"/>
  <c r="B9942" i="1"/>
  <c r="C9942" i="1"/>
  <c r="E9942" i="1"/>
  <c r="G9942" i="1"/>
  <c r="K9942" i="1"/>
  <c r="A9943" i="1"/>
  <c r="B9943" i="1"/>
  <c r="C9943" i="1"/>
  <c r="E9943" i="1"/>
  <c r="G9943" i="1"/>
  <c r="K9943" i="1"/>
  <c r="A9944" i="1"/>
  <c r="B9944" i="1"/>
  <c r="C9944" i="1"/>
  <c r="E9944" i="1"/>
  <c r="G9944" i="1"/>
  <c r="K9944" i="1"/>
  <c r="A9945" i="1"/>
  <c r="B9945" i="1"/>
  <c r="C9945" i="1"/>
  <c r="E9945" i="1"/>
  <c r="G9945" i="1"/>
  <c r="K9945" i="1"/>
  <c r="A9946" i="1"/>
  <c r="B9946" i="1"/>
  <c r="C9946" i="1"/>
  <c r="E9946" i="1"/>
  <c r="G9946" i="1"/>
  <c r="K9946" i="1"/>
  <c r="A9947" i="1"/>
  <c r="B9947" i="1"/>
  <c r="C9947" i="1"/>
  <c r="E9947" i="1"/>
  <c r="G9947" i="1"/>
  <c r="K9947" i="1"/>
  <c r="A9948" i="1"/>
  <c r="B9948" i="1"/>
  <c r="C9948" i="1"/>
  <c r="E9948" i="1"/>
  <c r="G9948" i="1"/>
  <c r="K9948" i="1"/>
  <c r="A9949" i="1"/>
  <c r="B9949" i="1"/>
  <c r="C9949" i="1"/>
  <c r="E9949" i="1"/>
  <c r="G9949" i="1"/>
  <c r="K9949" i="1"/>
  <c r="A9950" i="1"/>
  <c r="B9950" i="1"/>
  <c r="C9950" i="1"/>
  <c r="E9950" i="1"/>
  <c r="G9950" i="1"/>
  <c r="K9950" i="1"/>
  <c r="A9951" i="1"/>
  <c r="B9951" i="1"/>
  <c r="C9951" i="1"/>
  <c r="E9951" i="1"/>
  <c r="G9951" i="1"/>
  <c r="K9951" i="1"/>
  <c r="A9952" i="1"/>
  <c r="B9952" i="1"/>
  <c r="C9952" i="1"/>
  <c r="E9952" i="1"/>
  <c r="G9952" i="1"/>
  <c r="K9952" i="1"/>
  <c r="A9953" i="1"/>
  <c r="B9953" i="1"/>
  <c r="C9953" i="1"/>
  <c r="E9953" i="1"/>
  <c r="G9953" i="1"/>
  <c r="K9953" i="1"/>
  <c r="A9954" i="1"/>
  <c r="B9954" i="1"/>
  <c r="C9954" i="1"/>
  <c r="E9954" i="1"/>
  <c r="G9954" i="1"/>
  <c r="K9954" i="1"/>
  <c r="A9955" i="1"/>
  <c r="B9955" i="1"/>
  <c r="C9955" i="1"/>
  <c r="E9955" i="1"/>
  <c r="G9955" i="1"/>
  <c r="K9955" i="1"/>
  <c r="A9956" i="1"/>
  <c r="B9956" i="1"/>
  <c r="C9956" i="1"/>
  <c r="E9956" i="1"/>
  <c r="G9956" i="1"/>
  <c r="K9956" i="1"/>
  <c r="A9957" i="1"/>
  <c r="B9957" i="1"/>
  <c r="C9957" i="1"/>
  <c r="E9957" i="1"/>
  <c r="G9957" i="1"/>
  <c r="K9957" i="1"/>
  <c r="A9958" i="1"/>
  <c r="B9958" i="1"/>
  <c r="C9958" i="1"/>
  <c r="E9958" i="1"/>
  <c r="G9958" i="1"/>
  <c r="K9958" i="1"/>
  <c r="A9959" i="1"/>
  <c r="B9959" i="1"/>
  <c r="C9959" i="1"/>
  <c r="E9959" i="1"/>
  <c r="G9959" i="1"/>
  <c r="K9959" i="1"/>
  <c r="A9960" i="1"/>
  <c r="B9960" i="1"/>
  <c r="C9960" i="1"/>
  <c r="E9960" i="1"/>
  <c r="G9960" i="1"/>
  <c r="K9960" i="1"/>
  <c r="A9961" i="1"/>
  <c r="B9961" i="1"/>
  <c r="C9961" i="1"/>
  <c r="E9961" i="1"/>
  <c r="G9961" i="1"/>
  <c r="K9961" i="1"/>
  <c r="A9962" i="1"/>
  <c r="B9962" i="1"/>
  <c r="C9962" i="1"/>
  <c r="E9962" i="1"/>
  <c r="G9962" i="1"/>
  <c r="K9962" i="1"/>
  <c r="A9963" i="1"/>
  <c r="B9963" i="1"/>
  <c r="C9963" i="1"/>
  <c r="E9963" i="1"/>
  <c r="G9963" i="1"/>
  <c r="K9963" i="1"/>
  <c r="A9964" i="1"/>
  <c r="B9964" i="1"/>
  <c r="C9964" i="1"/>
  <c r="E9964" i="1"/>
  <c r="G9964" i="1"/>
  <c r="K9964" i="1"/>
  <c r="A9965" i="1"/>
  <c r="B9965" i="1"/>
  <c r="C9965" i="1"/>
  <c r="E9965" i="1"/>
  <c r="G9965" i="1"/>
  <c r="K9965" i="1"/>
  <c r="A9966" i="1"/>
  <c r="B9966" i="1"/>
  <c r="C9966" i="1"/>
  <c r="E9966" i="1"/>
  <c r="G9966" i="1"/>
  <c r="K9966" i="1"/>
  <c r="A9967" i="1"/>
  <c r="B9967" i="1"/>
  <c r="C9967" i="1"/>
  <c r="E9967" i="1"/>
  <c r="G9967" i="1"/>
  <c r="K9967" i="1"/>
  <c r="A9968" i="1"/>
  <c r="B9968" i="1"/>
  <c r="C9968" i="1"/>
  <c r="E9968" i="1"/>
  <c r="G9968" i="1"/>
  <c r="K9968" i="1"/>
  <c r="A9969" i="1"/>
  <c r="B9969" i="1"/>
  <c r="C9969" i="1"/>
  <c r="E9969" i="1"/>
  <c r="G9969" i="1"/>
  <c r="K9969" i="1"/>
  <c r="A9970" i="1"/>
  <c r="B9970" i="1"/>
  <c r="C9970" i="1"/>
  <c r="E9970" i="1"/>
  <c r="G9970" i="1"/>
  <c r="K9970" i="1"/>
  <c r="A9971" i="1"/>
  <c r="B9971" i="1"/>
  <c r="C9971" i="1"/>
  <c r="E9971" i="1"/>
  <c r="G9971" i="1"/>
  <c r="K9971" i="1"/>
  <c r="A9972" i="1"/>
  <c r="B9972" i="1"/>
  <c r="C9972" i="1"/>
  <c r="E9972" i="1"/>
  <c r="G9972" i="1"/>
  <c r="K9972" i="1"/>
  <c r="A9973" i="1"/>
  <c r="B9973" i="1"/>
  <c r="C9973" i="1"/>
  <c r="E9973" i="1"/>
  <c r="G9973" i="1"/>
  <c r="K9973" i="1"/>
  <c r="A9974" i="1"/>
  <c r="B9974" i="1"/>
  <c r="C9974" i="1"/>
  <c r="E9974" i="1"/>
  <c r="G9974" i="1"/>
  <c r="K9974" i="1"/>
  <c r="A9975" i="1"/>
  <c r="B9975" i="1"/>
  <c r="C9975" i="1"/>
  <c r="E9975" i="1"/>
  <c r="G9975" i="1"/>
  <c r="K9975" i="1"/>
  <c r="A9976" i="1"/>
  <c r="B9976" i="1"/>
  <c r="C9976" i="1"/>
  <c r="E9976" i="1"/>
  <c r="G9976" i="1"/>
  <c r="K9976" i="1"/>
  <c r="A9977" i="1"/>
  <c r="B9977" i="1"/>
  <c r="C9977" i="1"/>
  <c r="E9977" i="1"/>
  <c r="G9977" i="1"/>
  <c r="K9977" i="1"/>
  <c r="A9978" i="1"/>
  <c r="B9978" i="1"/>
  <c r="C9978" i="1"/>
  <c r="E9978" i="1"/>
  <c r="G9978" i="1"/>
  <c r="K9978" i="1"/>
  <c r="A9979" i="1"/>
  <c r="B9979" i="1"/>
  <c r="C9979" i="1"/>
  <c r="E9979" i="1"/>
  <c r="G9979" i="1"/>
  <c r="K9979" i="1"/>
  <c r="A9980" i="1"/>
  <c r="B9980" i="1"/>
  <c r="C9980" i="1"/>
  <c r="E9980" i="1"/>
  <c r="G9980" i="1"/>
  <c r="K9980" i="1"/>
  <c r="A9981" i="1"/>
  <c r="B9981" i="1"/>
  <c r="C9981" i="1"/>
  <c r="E9981" i="1"/>
  <c r="G9981" i="1"/>
  <c r="K9981" i="1"/>
  <c r="A9982" i="1"/>
  <c r="B9982" i="1"/>
  <c r="C9982" i="1"/>
  <c r="E9982" i="1"/>
  <c r="G9982" i="1"/>
  <c r="K9982" i="1"/>
  <c r="A9983" i="1"/>
  <c r="B9983" i="1"/>
  <c r="C9983" i="1"/>
  <c r="E9983" i="1"/>
  <c r="G9983" i="1"/>
  <c r="K9983" i="1"/>
  <c r="A9984" i="1"/>
  <c r="B9984" i="1"/>
  <c r="C9984" i="1"/>
  <c r="E9984" i="1"/>
  <c r="G9984" i="1"/>
  <c r="K9984" i="1"/>
  <c r="A9985" i="1"/>
  <c r="B9985" i="1"/>
  <c r="C9985" i="1"/>
  <c r="E9985" i="1"/>
  <c r="G9985" i="1"/>
  <c r="K9985" i="1"/>
  <c r="A9986" i="1"/>
  <c r="B9986" i="1"/>
  <c r="C9986" i="1"/>
  <c r="E9986" i="1"/>
  <c r="G9986" i="1"/>
  <c r="K9986" i="1"/>
  <c r="A9987" i="1"/>
  <c r="B9987" i="1"/>
  <c r="C9987" i="1"/>
  <c r="E9987" i="1"/>
  <c r="G9987" i="1"/>
  <c r="K9987" i="1"/>
  <c r="A9988" i="1"/>
  <c r="B9988" i="1"/>
  <c r="C9988" i="1"/>
  <c r="E9988" i="1"/>
  <c r="G9988" i="1"/>
  <c r="K9988" i="1"/>
  <c r="A9989" i="1"/>
  <c r="B9989" i="1"/>
  <c r="C9989" i="1"/>
  <c r="E9989" i="1"/>
  <c r="G9989" i="1"/>
  <c r="K9989" i="1"/>
  <c r="A9990" i="1"/>
  <c r="B9990" i="1"/>
  <c r="C9990" i="1"/>
  <c r="E9990" i="1"/>
  <c r="G9990" i="1"/>
  <c r="K9990" i="1"/>
  <c r="A9991" i="1"/>
  <c r="B9991" i="1"/>
  <c r="C9991" i="1"/>
  <c r="E9991" i="1"/>
  <c r="G9991" i="1"/>
  <c r="K9991" i="1"/>
  <c r="A9992" i="1"/>
  <c r="B9992" i="1"/>
  <c r="C9992" i="1"/>
  <c r="E9992" i="1"/>
  <c r="G9992" i="1"/>
  <c r="K9992" i="1"/>
  <c r="A9993" i="1"/>
  <c r="B9993" i="1"/>
  <c r="C9993" i="1"/>
  <c r="E9993" i="1"/>
  <c r="G9993" i="1"/>
  <c r="K9993" i="1"/>
  <c r="A9994" i="1"/>
  <c r="B9994" i="1"/>
  <c r="C9994" i="1"/>
  <c r="E9994" i="1"/>
  <c r="G9994" i="1"/>
  <c r="K9994" i="1"/>
  <c r="A9995" i="1"/>
  <c r="B9995" i="1"/>
  <c r="C9995" i="1"/>
  <c r="E9995" i="1"/>
  <c r="G9995" i="1"/>
  <c r="K9995" i="1"/>
  <c r="A9996" i="1"/>
  <c r="B9996" i="1"/>
  <c r="C9996" i="1"/>
  <c r="E9996" i="1"/>
  <c r="G9996" i="1"/>
  <c r="K9996" i="1"/>
  <c r="A9997" i="1"/>
  <c r="B9997" i="1"/>
  <c r="C9997" i="1"/>
  <c r="E9997" i="1"/>
  <c r="G9997" i="1"/>
  <c r="K9997" i="1"/>
  <c r="A9998" i="1"/>
  <c r="B9998" i="1"/>
  <c r="C9998" i="1"/>
  <c r="E9998" i="1"/>
  <c r="G9998" i="1"/>
  <c r="K9998" i="1"/>
  <c r="A9999" i="1"/>
  <c r="B9999" i="1"/>
  <c r="C9999" i="1"/>
  <c r="E9999" i="1"/>
  <c r="G9999" i="1"/>
  <c r="K9999" i="1"/>
  <c r="A10000" i="1"/>
  <c r="B10000" i="1"/>
  <c r="C10000" i="1"/>
  <c r="E10000" i="1"/>
  <c r="G10000" i="1"/>
  <c r="K10000" i="1"/>
  <c r="A10001" i="1"/>
  <c r="B10001" i="1"/>
  <c r="C10001" i="1"/>
  <c r="E10001" i="1"/>
  <c r="G10001" i="1"/>
  <c r="K10001" i="1"/>
  <c r="A10002" i="1"/>
  <c r="B10002" i="1"/>
  <c r="C10002" i="1"/>
  <c r="E10002" i="1"/>
  <c r="G10002" i="1"/>
  <c r="K10002" i="1"/>
  <c r="A10003" i="1"/>
  <c r="B10003" i="1"/>
  <c r="C10003" i="1"/>
  <c r="E10003" i="1"/>
  <c r="G10003" i="1"/>
  <c r="K10003" i="1"/>
  <c r="A10004" i="1"/>
  <c r="B10004" i="1"/>
  <c r="C10004" i="1"/>
  <c r="E10004" i="1"/>
  <c r="G10004" i="1"/>
  <c r="K10004" i="1"/>
  <c r="A10005" i="1"/>
  <c r="B10005" i="1"/>
  <c r="C10005" i="1"/>
  <c r="E10005" i="1"/>
  <c r="G10005" i="1"/>
  <c r="K10005" i="1"/>
  <c r="A10006" i="1"/>
  <c r="B10006" i="1"/>
  <c r="C10006" i="1"/>
  <c r="E10006" i="1"/>
  <c r="G10006" i="1"/>
  <c r="K10006" i="1"/>
  <c r="A10007" i="1"/>
  <c r="B10007" i="1"/>
  <c r="C10007" i="1"/>
  <c r="E10007" i="1"/>
  <c r="G10007" i="1"/>
  <c r="K10007" i="1"/>
  <c r="A10008" i="1"/>
  <c r="B10008" i="1"/>
  <c r="C10008" i="1"/>
  <c r="E10008" i="1"/>
  <c r="G10008" i="1"/>
  <c r="K10008" i="1"/>
  <c r="A10009" i="1"/>
  <c r="B10009" i="1"/>
  <c r="C10009" i="1"/>
  <c r="E10009" i="1"/>
  <c r="G10009" i="1"/>
  <c r="K10009" i="1"/>
  <c r="A10010" i="1"/>
  <c r="B10010" i="1"/>
  <c r="C10010" i="1"/>
  <c r="E10010" i="1"/>
  <c r="G10010" i="1"/>
  <c r="K10010" i="1"/>
  <c r="A10011" i="1"/>
  <c r="B10011" i="1"/>
  <c r="C10011" i="1"/>
  <c r="E10011" i="1"/>
  <c r="G10011" i="1"/>
  <c r="K10011" i="1"/>
  <c r="A10012" i="1"/>
  <c r="B10012" i="1"/>
  <c r="C10012" i="1"/>
  <c r="E10012" i="1"/>
  <c r="G10012" i="1"/>
  <c r="K10012" i="1"/>
  <c r="A10013" i="1"/>
  <c r="B10013" i="1"/>
  <c r="C10013" i="1"/>
  <c r="E10013" i="1"/>
  <c r="G10013" i="1"/>
  <c r="K10013" i="1"/>
  <c r="A10014" i="1"/>
  <c r="B10014" i="1"/>
  <c r="C10014" i="1"/>
  <c r="E10014" i="1"/>
  <c r="G10014" i="1"/>
  <c r="K10014" i="1"/>
  <c r="A10015" i="1"/>
  <c r="B10015" i="1"/>
  <c r="C10015" i="1"/>
  <c r="E10015" i="1"/>
  <c r="G10015" i="1"/>
  <c r="K10015" i="1"/>
  <c r="A10016" i="1"/>
  <c r="B10016" i="1"/>
  <c r="C10016" i="1"/>
  <c r="E10016" i="1"/>
  <c r="G10016" i="1"/>
  <c r="K10016" i="1"/>
  <c r="A10017" i="1"/>
  <c r="B10017" i="1"/>
  <c r="C10017" i="1"/>
  <c r="E10017" i="1"/>
  <c r="G10017" i="1"/>
  <c r="K10017" i="1"/>
  <c r="A10018" i="1"/>
  <c r="B10018" i="1"/>
  <c r="C10018" i="1"/>
  <c r="E10018" i="1"/>
  <c r="G10018" i="1"/>
  <c r="K10018" i="1"/>
  <c r="A10019" i="1"/>
  <c r="B10019" i="1"/>
  <c r="C10019" i="1"/>
  <c r="E10019" i="1"/>
  <c r="G10019" i="1"/>
  <c r="K10019" i="1"/>
  <c r="A10020" i="1"/>
  <c r="B10020" i="1"/>
  <c r="C10020" i="1"/>
  <c r="E10020" i="1"/>
  <c r="G10020" i="1"/>
  <c r="K10020" i="1"/>
  <c r="A10021" i="1"/>
  <c r="B10021" i="1"/>
  <c r="C10021" i="1"/>
  <c r="E10021" i="1"/>
  <c r="G10021" i="1"/>
  <c r="K10021" i="1"/>
  <c r="A10022" i="1"/>
  <c r="B10022" i="1"/>
  <c r="C10022" i="1"/>
  <c r="E10022" i="1"/>
  <c r="G10022" i="1"/>
  <c r="K10022" i="1"/>
  <c r="A10023" i="1"/>
  <c r="B10023" i="1"/>
  <c r="C10023" i="1"/>
  <c r="E10023" i="1"/>
  <c r="G10023" i="1"/>
  <c r="K10023" i="1"/>
  <c r="A10024" i="1"/>
  <c r="B10024" i="1"/>
  <c r="C10024" i="1"/>
  <c r="E10024" i="1"/>
  <c r="G10024" i="1"/>
  <c r="K10024" i="1"/>
  <c r="A10025" i="1"/>
  <c r="B10025" i="1"/>
  <c r="C10025" i="1"/>
  <c r="E10025" i="1"/>
  <c r="G10025" i="1"/>
  <c r="K10025" i="1"/>
  <c r="A10026" i="1"/>
  <c r="B10026" i="1"/>
  <c r="C10026" i="1"/>
  <c r="E10026" i="1"/>
  <c r="G10026" i="1"/>
  <c r="K10026" i="1"/>
  <c r="A10027" i="1"/>
  <c r="B10027" i="1"/>
  <c r="C10027" i="1"/>
  <c r="E10027" i="1"/>
  <c r="G10027" i="1"/>
  <c r="K10027" i="1"/>
  <c r="A10028" i="1"/>
  <c r="B10028" i="1"/>
  <c r="C10028" i="1"/>
  <c r="E10028" i="1"/>
  <c r="G10028" i="1"/>
  <c r="K10028" i="1"/>
  <c r="A10029" i="1"/>
  <c r="B10029" i="1"/>
  <c r="C10029" i="1"/>
  <c r="E10029" i="1"/>
  <c r="G10029" i="1"/>
  <c r="K10029" i="1"/>
  <c r="A10030" i="1"/>
  <c r="B10030" i="1"/>
  <c r="C10030" i="1"/>
  <c r="E10030" i="1"/>
  <c r="G10030" i="1"/>
  <c r="K10030" i="1"/>
  <c r="A10031" i="1"/>
  <c r="B10031" i="1"/>
  <c r="C10031" i="1"/>
  <c r="E10031" i="1"/>
  <c r="G10031" i="1"/>
  <c r="K10031" i="1"/>
  <c r="A10032" i="1"/>
  <c r="B10032" i="1"/>
  <c r="C10032" i="1"/>
  <c r="E10032" i="1"/>
  <c r="G10032" i="1"/>
  <c r="K10032" i="1"/>
  <c r="A10033" i="1"/>
  <c r="B10033" i="1"/>
  <c r="C10033" i="1"/>
  <c r="E10033" i="1"/>
  <c r="G10033" i="1"/>
  <c r="K10033" i="1"/>
  <c r="A10034" i="1"/>
  <c r="B10034" i="1"/>
  <c r="C10034" i="1"/>
  <c r="E10034" i="1"/>
  <c r="G10034" i="1"/>
  <c r="K10034" i="1"/>
  <c r="A10035" i="1"/>
  <c r="B10035" i="1"/>
  <c r="C10035" i="1"/>
  <c r="E10035" i="1"/>
  <c r="G10035" i="1"/>
  <c r="K10035" i="1"/>
  <c r="A10036" i="1"/>
  <c r="B10036" i="1"/>
  <c r="C10036" i="1"/>
  <c r="E10036" i="1"/>
  <c r="G10036" i="1"/>
  <c r="K10036" i="1"/>
  <c r="A10037" i="1"/>
  <c r="B10037" i="1"/>
  <c r="C10037" i="1"/>
  <c r="E10037" i="1"/>
  <c r="G10037" i="1"/>
  <c r="K10037" i="1"/>
  <c r="A10038" i="1"/>
  <c r="B10038" i="1"/>
  <c r="C10038" i="1"/>
  <c r="E10038" i="1"/>
  <c r="G10038" i="1"/>
  <c r="K10038" i="1"/>
  <c r="A10039" i="1"/>
  <c r="B10039" i="1"/>
  <c r="C10039" i="1"/>
  <c r="E10039" i="1"/>
  <c r="G10039" i="1"/>
  <c r="K10039" i="1"/>
  <c r="A10040" i="1"/>
  <c r="B10040" i="1"/>
  <c r="C10040" i="1"/>
  <c r="E10040" i="1"/>
  <c r="G10040" i="1"/>
  <c r="K10040" i="1"/>
  <c r="A10041" i="1"/>
  <c r="B10041" i="1"/>
  <c r="C10041" i="1"/>
  <c r="E10041" i="1"/>
  <c r="G10041" i="1"/>
  <c r="K10041" i="1"/>
  <c r="A10042" i="1"/>
  <c r="B10042" i="1"/>
  <c r="C10042" i="1"/>
  <c r="E10042" i="1"/>
  <c r="G10042" i="1"/>
  <c r="K10042" i="1"/>
  <c r="A10043" i="1"/>
  <c r="B10043" i="1"/>
  <c r="C10043" i="1"/>
  <c r="E10043" i="1"/>
  <c r="G10043" i="1"/>
  <c r="K10043" i="1"/>
  <c r="A10044" i="1"/>
  <c r="B10044" i="1"/>
  <c r="C10044" i="1"/>
  <c r="E10044" i="1"/>
  <c r="G10044" i="1"/>
  <c r="K10044" i="1"/>
  <c r="A10045" i="1"/>
  <c r="B10045" i="1"/>
  <c r="C10045" i="1"/>
  <c r="E10045" i="1"/>
  <c r="G10045" i="1"/>
  <c r="K10045" i="1"/>
  <c r="A10046" i="1"/>
  <c r="B10046" i="1"/>
  <c r="C10046" i="1"/>
  <c r="E10046" i="1"/>
  <c r="G10046" i="1"/>
  <c r="K10046" i="1"/>
  <c r="A10047" i="1"/>
  <c r="B10047" i="1"/>
  <c r="C10047" i="1"/>
  <c r="E10047" i="1"/>
  <c r="G10047" i="1"/>
  <c r="K10047" i="1"/>
  <c r="A10048" i="1"/>
  <c r="B10048" i="1"/>
  <c r="C10048" i="1"/>
  <c r="E10048" i="1"/>
  <c r="G10048" i="1"/>
  <c r="K10048" i="1"/>
  <c r="A10049" i="1"/>
  <c r="B10049" i="1"/>
  <c r="C10049" i="1"/>
  <c r="E10049" i="1"/>
  <c r="G10049" i="1"/>
  <c r="K10049" i="1"/>
  <c r="A10050" i="1"/>
  <c r="B10050" i="1"/>
  <c r="C10050" i="1"/>
  <c r="E10050" i="1"/>
  <c r="G10050" i="1"/>
  <c r="K10050" i="1"/>
  <c r="A10051" i="1"/>
  <c r="B10051" i="1"/>
  <c r="C10051" i="1"/>
  <c r="E10051" i="1"/>
  <c r="G10051" i="1"/>
  <c r="K10051" i="1"/>
  <c r="A10052" i="1"/>
  <c r="B10052" i="1"/>
  <c r="C10052" i="1"/>
  <c r="E10052" i="1"/>
  <c r="G10052" i="1"/>
  <c r="K10052" i="1"/>
  <c r="A10053" i="1"/>
  <c r="B10053" i="1"/>
  <c r="C10053" i="1"/>
  <c r="E10053" i="1"/>
  <c r="G10053" i="1"/>
  <c r="K10053" i="1"/>
  <c r="A10054" i="1"/>
  <c r="B10054" i="1"/>
  <c r="C10054" i="1"/>
  <c r="E10054" i="1"/>
  <c r="G10054" i="1"/>
  <c r="K10054" i="1"/>
  <c r="A10055" i="1"/>
  <c r="B10055" i="1"/>
  <c r="C10055" i="1"/>
  <c r="E10055" i="1"/>
  <c r="G10055" i="1"/>
  <c r="K10055" i="1"/>
  <c r="A10056" i="1"/>
  <c r="B10056" i="1"/>
  <c r="C10056" i="1"/>
  <c r="E10056" i="1"/>
  <c r="G10056" i="1"/>
  <c r="K10056" i="1"/>
  <c r="A10057" i="1"/>
  <c r="B10057" i="1"/>
  <c r="C10057" i="1"/>
  <c r="E10057" i="1"/>
  <c r="G10057" i="1"/>
  <c r="K10057" i="1"/>
  <c r="A10058" i="1"/>
  <c r="B10058" i="1"/>
  <c r="C10058" i="1"/>
  <c r="E10058" i="1"/>
  <c r="G10058" i="1"/>
  <c r="K10058" i="1"/>
  <c r="A10059" i="1"/>
  <c r="B10059" i="1"/>
  <c r="C10059" i="1"/>
  <c r="E10059" i="1"/>
  <c r="G10059" i="1"/>
  <c r="K10059" i="1"/>
  <c r="A10060" i="1"/>
  <c r="B10060" i="1"/>
  <c r="C10060" i="1"/>
  <c r="E10060" i="1"/>
  <c r="G10060" i="1"/>
  <c r="K10060" i="1"/>
  <c r="A10061" i="1"/>
  <c r="B10061" i="1"/>
  <c r="C10061" i="1"/>
  <c r="E10061" i="1"/>
  <c r="G10061" i="1"/>
  <c r="K10061" i="1"/>
  <c r="A10062" i="1"/>
  <c r="B10062" i="1"/>
  <c r="C10062" i="1"/>
  <c r="E10062" i="1"/>
  <c r="G10062" i="1"/>
  <c r="K10062" i="1"/>
  <c r="A10063" i="1"/>
  <c r="B10063" i="1"/>
  <c r="C10063" i="1"/>
  <c r="E10063" i="1"/>
  <c r="G10063" i="1"/>
  <c r="K10063" i="1"/>
  <c r="A10064" i="1"/>
  <c r="B10064" i="1"/>
  <c r="C10064" i="1"/>
  <c r="E10064" i="1"/>
  <c r="G10064" i="1"/>
  <c r="K10064" i="1"/>
  <c r="A10065" i="1"/>
  <c r="B10065" i="1"/>
  <c r="C10065" i="1"/>
  <c r="E10065" i="1"/>
  <c r="G10065" i="1"/>
  <c r="K10065" i="1"/>
  <c r="A10066" i="1"/>
  <c r="B10066" i="1"/>
  <c r="C10066" i="1"/>
  <c r="E10066" i="1"/>
  <c r="G10066" i="1"/>
  <c r="K10066" i="1"/>
  <c r="A10067" i="1"/>
  <c r="B10067" i="1"/>
  <c r="C10067" i="1"/>
  <c r="E10067" i="1"/>
  <c r="G10067" i="1"/>
  <c r="K10067" i="1"/>
  <c r="A10068" i="1"/>
  <c r="B10068" i="1"/>
  <c r="C10068" i="1"/>
  <c r="E10068" i="1"/>
  <c r="G10068" i="1"/>
  <c r="K10068" i="1"/>
  <c r="A10069" i="1"/>
  <c r="B10069" i="1"/>
  <c r="C10069" i="1"/>
  <c r="E10069" i="1"/>
  <c r="G10069" i="1"/>
  <c r="K10069" i="1"/>
  <c r="A10070" i="1"/>
  <c r="B10070" i="1"/>
  <c r="C10070" i="1"/>
  <c r="E10070" i="1"/>
  <c r="G10070" i="1"/>
  <c r="K10070" i="1"/>
  <c r="A10071" i="1"/>
  <c r="B10071" i="1"/>
  <c r="C10071" i="1"/>
  <c r="E10071" i="1"/>
  <c r="G10071" i="1"/>
  <c r="K10071" i="1"/>
  <c r="A10072" i="1"/>
  <c r="B10072" i="1"/>
  <c r="C10072" i="1"/>
  <c r="E10072" i="1"/>
  <c r="G10072" i="1"/>
  <c r="K10072" i="1"/>
  <c r="A10073" i="1"/>
  <c r="B10073" i="1"/>
  <c r="C10073" i="1"/>
  <c r="E10073" i="1"/>
  <c r="G10073" i="1"/>
  <c r="K10073" i="1"/>
  <c r="A10074" i="1"/>
  <c r="B10074" i="1"/>
  <c r="C10074" i="1"/>
  <c r="E10074" i="1"/>
  <c r="G10074" i="1"/>
  <c r="K10074" i="1"/>
  <c r="A10075" i="1"/>
  <c r="B10075" i="1"/>
  <c r="C10075" i="1"/>
  <c r="E10075" i="1"/>
  <c r="G10075" i="1"/>
  <c r="K10075" i="1"/>
  <c r="A10076" i="1"/>
  <c r="B10076" i="1"/>
  <c r="C10076" i="1"/>
  <c r="E10076" i="1"/>
  <c r="G10076" i="1"/>
  <c r="K10076" i="1"/>
  <c r="A10077" i="1"/>
  <c r="B10077" i="1"/>
  <c r="C10077" i="1"/>
  <c r="E10077" i="1"/>
  <c r="G10077" i="1"/>
  <c r="K10077" i="1"/>
  <c r="A10078" i="1"/>
  <c r="B10078" i="1"/>
  <c r="C10078" i="1"/>
  <c r="E10078" i="1"/>
  <c r="G10078" i="1"/>
  <c r="K10078" i="1"/>
  <c r="A10079" i="1"/>
  <c r="B10079" i="1"/>
  <c r="C10079" i="1"/>
  <c r="E10079" i="1"/>
  <c r="G10079" i="1"/>
  <c r="K10079" i="1"/>
  <c r="A10080" i="1"/>
  <c r="B10080" i="1"/>
  <c r="C10080" i="1"/>
  <c r="E10080" i="1"/>
  <c r="G10080" i="1"/>
  <c r="K10080" i="1"/>
  <c r="A10081" i="1"/>
  <c r="B10081" i="1"/>
  <c r="C10081" i="1"/>
  <c r="E10081" i="1"/>
  <c r="G10081" i="1"/>
  <c r="K10081" i="1"/>
  <c r="A10082" i="1"/>
  <c r="B10082" i="1"/>
  <c r="C10082" i="1"/>
  <c r="E10082" i="1"/>
  <c r="G10082" i="1"/>
  <c r="K10082" i="1"/>
  <c r="A10083" i="1"/>
  <c r="B10083" i="1"/>
  <c r="C10083" i="1"/>
  <c r="E10083" i="1"/>
  <c r="G10083" i="1"/>
  <c r="K10083" i="1"/>
  <c r="A10084" i="1"/>
  <c r="B10084" i="1"/>
  <c r="C10084" i="1"/>
  <c r="E10084" i="1"/>
  <c r="G10084" i="1"/>
  <c r="K10084" i="1"/>
  <c r="A10085" i="1"/>
  <c r="B10085" i="1"/>
  <c r="C10085" i="1"/>
  <c r="E10085" i="1"/>
  <c r="G10085" i="1"/>
  <c r="K10085" i="1"/>
  <c r="A10086" i="1"/>
  <c r="B10086" i="1"/>
  <c r="C10086" i="1"/>
  <c r="E10086" i="1"/>
  <c r="G10086" i="1"/>
  <c r="K10086" i="1"/>
  <c r="A10087" i="1"/>
  <c r="B10087" i="1"/>
  <c r="C10087" i="1"/>
  <c r="E10087" i="1"/>
  <c r="G10087" i="1"/>
  <c r="K10087" i="1"/>
  <c r="A10088" i="1"/>
  <c r="B10088" i="1"/>
  <c r="C10088" i="1"/>
  <c r="E10088" i="1"/>
  <c r="G10088" i="1"/>
  <c r="K10088" i="1"/>
  <c r="A10089" i="1"/>
  <c r="B10089" i="1"/>
  <c r="C10089" i="1"/>
  <c r="E10089" i="1"/>
  <c r="G10089" i="1"/>
  <c r="K10089" i="1"/>
  <c r="A10090" i="1"/>
  <c r="B10090" i="1"/>
  <c r="C10090" i="1"/>
  <c r="E10090" i="1"/>
  <c r="G10090" i="1"/>
  <c r="K10090" i="1"/>
  <c r="A10091" i="1"/>
  <c r="B10091" i="1"/>
  <c r="C10091" i="1"/>
  <c r="E10091" i="1"/>
  <c r="G10091" i="1"/>
  <c r="K10091" i="1"/>
  <c r="A10092" i="1"/>
  <c r="B10092" i="1"/>
  <c r="C10092" i="1"/>
  <c r="E10092" i="1"/>
  <c r="G10092" i="1"/>
  <c r="K10092" i="1"/>
  <c r="A10093" i="1"/>
  <c r="B10093" i="1"/>
  <c r="C10093" i="1"/>
  <c r="E10093" i="1"/>
  <c r="G10093" i="1"/>
  <c r="K10093" i="1"/>
  <c r="A10094" i="1"/>
  <c r="B10094" i="1"/>
  <c r="C10094" i="1"/>
  <c r="E10094" i="1"/>
  <c r="G10094" i="1"/>
  <c r="K10094" i="1"/>
  <c r="A10095" i="1"/>
  <c r="B10095" i="1"/>
  <c r="C10095" i="1"/>
  <c r="E10095" i="1"/>
  <c r="G10095" i="1"/>
  <c r="K10095" i="1"/>
  <c r="A10096" i="1"/>
  <c r="B10096" i="1"/>
  <c r="C10096" i="1"/>
  <c r="E10096" i="1"/>
  <c r="G10096" i="1"/>
  <c r="K10096" i="1"/>
  <c r="A10097" i="1"/>
  <c r="B10097" i="1"/>
  <c r="C10097" i="1"/>
  <c r="E10097" i="1"/>
  <c r="G10097" i="1"/>
  <c r="K10097" i="1"/>
  <c r="A10098" i="1"/>
  <c r="B10098" i="1"/>
  <c r="C10098" i="1"/>
  <c r="E10098" i="1"/>
  <c r="G10098" i="1"/>
  <c r="K10098" i="1"/>
  <c r="A10099" i="1"/>
  <c r="B10099" i="1"/>
  <c r="C10099" i="1"/>
  <c r="E10099" i="1"/>
  <c r="G10099" i="1"/>
  <c r="K10099" i="1"/>
  <c r="A10100" i="1"/>
  <c r="B10100" i="1"/>
  <c r="C10100" i="1"/>
  <c r="E10100" i="1"/>
  <c r="G10100" i="1"/>
  <c r="K10100" i="1"/>
  <c r="A10101" i="1"/>
  <c r="B10101" i="1"/>
  <c r="C10101" i="1"/>
  <c r="E10101" i="1"/>
  <c r="G10101" i="1"/>
  <c r="K10101" i="1"/>
  <c r="A10102" i="1"/>
  <c r="B10102" i="1"/>
  <c r="C10102" i="1"/>
  <c r="E10102" i="1"/>
  <c r="G10102" i="1"/>
  <c r="K10102" i="1"/>
  <c r="A10103" i="1"/>
  <c r="B10103" i="1"/>
  <c r="C10103" i="1"/>
  <c r="E10103" i="1"/>
  <c r="G10103" i="1"/>
  <c r="K10103" i="1"/>
  <c r="A10104" i="1"/>
  <c r="B10104" i="1"/>
  <c r="C10104" i="1"/>
  <c r="E10104" i="1"/>
  <c r="G10104" i="1"/>
  <c r="K10104" i="1"/>
  <c r="A10105" i="1"/>
  <c r="B10105" i="1"/>
  <c r="C10105" i="1"/>
  <c r="E10105" i="1"/>
  <c r="G10105" i="1"/>
  <c r="K10105" i="1"/>
  <c r="A10106" i="1"/>
  <c r="B10106" i="1"/>
  <c r="C10106" i="1"/>
  <c r="E10106" i="1"/>
  <c r="G10106" i="1"/>
  <c r="K10106" i="1"/>
  <c r="A10107" i="1"/>
  <c r="B10107" i="1"/>
  <c r="C10107" i="1"/>
  <c r="E10107" i="1"/>
  <c r="G10107" i="1"/>
  <c r="K10107" i="1"/>
  <c r="A10108" i="1"/>
  <c r="B10108" i="1"/>
  <c r="C10108" i="1"/>
  <c r="E10108" i="1"/>
  <c r="G10108" i="1"/>
  <c r="K10108" i="1"/>
  <c r="A10109" i="1"/>
  <c r="B10109" i="1"/>
  <c r="C10109" i="1"/>
  <c r="E10109" i="1"/>
  <c r="G10109" i="1"/>
  <c r="K10109" i="1"/>
  <c r="A10110" i="1"/>
  <c r="B10110" i="1"/>
  <c r="C10110" i="1"/>
  <c r="E10110" i="1"/>
  <c r="G10110" i="1"/>
  <c r="K10110" i="1"/>
  <c r="A10111" i="1"/>
  <c r="B10111" i="1"/>
  <c r="C10111" i="1"/>
  <c r="E10111" i="1"/>
  <c r="G10111" i="1"/>
  <c r="K10111" i="1"/>
  <c r="A10112" i="1"/>
  <c r="B10112" i="1"/>
  <c r="C10112" i="1"/>
  <c r="E10112" i="1"/>
  <c r="G10112" i="1"/>
  <c r="K10112" i="1"/>
  <c r="A10113" i="1"/>
  <c r="B10113" i="1"/>
  <c r="C10113" i="1"/>
  <c r="E10113" i="1"/>
  <c r="G10113" i="1"/>
  <c r="K10113" i="1"/>
  <c r="A10114" i="1"/>
  <c r="B10114" i="1"/>
  <c r="C10114" i="1"/>
  <c r="E10114" i="1"/>
  <c r="G10114" i="1"/>
  <c r="K10114" i="1"/>
  <c r="A10115" i="1"/>
  <c r="B10115" i="1"/>
  <c r="C10115" i="1"/>
  <c r="E10115" i="1"/>
  <c r="G10115" i="1"/>
  <c r="K10115" i="1"/>
  <c r="A10116" i="1"/>
  <c r="B10116" i="1"/>
  <c r="C10116" i="1"/>
  <c r="E10116" i="1"/>
  <c r="G10116" i="1"/>
  <c r="K10116" i="1"/>
  <c r="A10117" i="1"/>
  <c r="B10117" i="1"/>
  <c r="C10117" i="1"/>
  <c r="E10117" i="1"/>
  <c r="G10117" i="1"/>
  <c r="K10117" i="1"/>
  <c r="A10118" i="1"/>
  <c r="B10118" i="1"/>
  <c r="C10118" i="1"/>
  <c r="E10118" i="1"/>
  <c r="G10118" i="1"/>
  <c r="K10118" i="1"/>
  <c r="A10119" i="1"/>
  <c r="B10119" i="1"/>
  <c r="C10119" i="1"/>
  <c r="E10119" i="1"/>
  <c r="G10119" i="1"/>
  <c r="K10119" i="1"/>
  <c r="A10120" i="1"/>
  <c r="B10120" i="1"/>
  <c r="C10120" i="1"/>
  <c r="E10120" i="1"/>
  <c r="G10120" i="1"/>
  <c r="K10120" i="1"/>
  <c r="A10121" i="1"/>
  <c r="B10121" i="1"/>
  <c r="C10121" i="1"/>
  <c r="E10121" i="1"/>
  <c r="G10121" i="1"/>
  <c r="K10121" i="1"/>
  <c r="A10122" i="1"/>
  <c r="B10122" i="1"/>
  <c r="C10122" i="1"/>
  <c r="E10122" i="1"/>
  <c r="G10122" i="1"/>
  <c r="K10122" i="1"/>
  <c r="A10123" i="1"/>
  <c r="B10123" i="1"/>
  <c r="C10123" i="1"/>
  <c r="E10123" i="1"/>
  <c r="G10123" i="1"/>
  <c r="K10123" i="1"/>
  <c r="A10124" i="1"/>
  <c r="B10124" i="1"/>
  <c r="C10124" i="1"/>
  <c r="E10124" i="1"/>
  <c r="G10124" i="1"/>
  <c r="K10124" i="1"/>
  <c r="A10125" i="1"/>
  <c r="B10125" i="1"/>
  <c r="C10125" i="1"/>
  <c r="E10125" i="1"/>
  <c r="G10125" i="1"/>
  <c r="K10125" i="1"/>
  <c r="A10126" i="1"/>
  <c r="B10126" i="1"/>
  <c r="C10126" i="1"/>
  <c r="E10126" i="1"/>
  <c r="G10126" i="1"/>
  <c r="K10126" i="1"/>
  <c r="A10127" i="1"/>
  <c r="B10127" i="1"/>
  <c r="C10127" i="1"/>
  <c r="E10127" i="1"/>
  <c r="G10127" i="1"/>
  <c r="K10127" i="1"/>
  <c r="A10128" i="1"/>
  <c r="B10128" i="1"/>
  <c r="C10128" i="1"/>
  <c r="E10128" i="1"/>
  <c r="G10128" i="1"/>
  <c r="K10128" i="1"/>
  <c r="A10129" i="1"/>
  <c r="B10129" i="1"/>
  <c r="C10129" i="1"/>
  <c r="E10129" i="1"/>
  <c r="G10129" i="1"/>
  <c r="K10129" i="1"/>
  <c r="A10130" i="1"/>
  <c r="B10130" i="1"/>
  <c r="C10130" i="1"/>
  <c r="E10130" i="1"/>
  <c r="G10130" i="1"/>
  <c r="K10130" i="1"/>
  <c r="A10131" i="1"/>
  <c r="B10131" i="1"/>
  <c r="C10131" i="1"/>
  <c r="E10131" i="1"/>
  <c r="G10131" i="1"/>
  <c r="K10131" i="1"/>
  <c r="A10132" i="1"/>
  <c r="B10132" i="1"/>
  <c r="C10132" i="1"/>
  <c r="E10132" i="1"/>
  <c r="G10132" i="1"/>
  <c r="K10132" i="1"/>
  <c r="A10133" i="1"/>
  <c r="B10133" i="1"/>
  <c r="C10133" i="1"/>
  <c r="E10133" i="1"/>
  <c r="G10133" i="1"/>
  <c r="K10133" i="1"/>
  <c r="A10134" i="1"/>
  <c r="B10134" i="1"/>
  <c r="C10134" i="1"/>
  <c r="E10134" i="1"/>
  <c r="G10134" i="1"/>
  <c r="K10134" i="1"/>
  <c r="A10135" i="1"/>
  <c r="B10135" i="1"/>
  <c r="C10135" i="1"/>
  <c r="E10135" i="1"/>
  <c r="G10135" i="1"/>
  <c r="K10135" i="1"/>
  <c r="A10136" i="1"/>
  <c r="B10136" i="1"/>
  <c r="C10136" i="1"/>
  <c r="E10136" i="1"/>
  <c r="G10136" i="1"/>
  <c r="K10136" i="1"/>
  <c r="A10137" i="1"/>
  <c r="B10137" i="1"/>
  <c r="C10137" i="1"/>
  <c r="E10137" i="1"/>
  <c r="G10137" i="1"/>
  <c r="K10137" i="1"/>
  <c r="A10138" i="1"/>
  <c r="B10138" i="1"/>
  <c r="C10138" i="1"/>
  <c r="E10138" i="1"/>
  <c r="G10138" i="1"/>
  <c r="K10138" i="1"/>
  <c r="A10139" i="1"/>
  <c r="B10139" i="1"/>
  <c r="C10139" i="1"/>
  <c r="E10139" i="1"/>
  <c r="G10139" i="1"/>
  <c r="K10139" i="1"/>
  <c r="A10140" i="1"/>
  <c r="B10140" i="1"/>
  <c r="C10140" i="1"/>
  <c r="E10140" i="1"/>
  <c r="G10140" i="1"/>
  <c r="K10140" i="1"/>
  <c r="A10141" i="1"/>
  <c r="B10141" i="1"/>
  <c r="C10141" i="1"/>
  <c r="E10141" i="1"/>
  <c r="G10141" i="1"/>
  <c r="K10141" i="1"/>
  <c r="A10142" i="1"/>
  <c r="B10142" i="1"/>
  <c r="C10142" i="1"/>
  <c r="E10142" i="1"/>
  <c r="G10142" i="1"/>
  <c r="K10142" i="1"/>
  <c r="A10143" i="1"/>
  <c r="B10143" i="1"/>
  <c r="C10143" i="1"/>
  <c r="E10143" i="1"/>
  <c r="G10143" i="1"/>
  <c r="K10143" i="1"/>
  <c r="A10144" i="1"/>
  <c r="B10144" i="1"/>
  <c r="C10144" i="1"/>
  <c r="E10144" i="1"/>
  <c r="G10144" i="1"/>
  <c r="K10144" i="1"/>
  <c r="A10145" i="1"/>
  <c r="B10145" i="1"/>
  <c r="C10145" i="1"/>
  <c r="E10145" i="1"/>
  <c r="G10145" i="1"/>
  <c r="K10145" i="1"/>
  <c r="A10146" i="1"/>
  <c r="B10146" i="1"/>
  <c r="C10146" i="1"/>
  <c r="E10146" i="1"/>
  <c r="G10146" i="1"/>
  <c r="K10146" i="1"/>
  <c r="A10147" i="1"/>
  <c r="B10147" i="1"/>
  <c r="C10147" i="1"/>
  <c r="E10147" i="1"/>
  <c r="G10147" i="1"/>
  <c r="K10147" i="1"/>
  <c r="A10148" i="1"/>
  <c r="B10148" i="1"/>
  <c r="C10148" i="1"/>
  <c r="E10148" i="1"/>
  <c r="G10148" i="1"/>
  <c r="K10148" i="1"/>
  <c r="A10149" i="1"/>
  <c r="B10149" i="1"/>
  <c r="C10149" i="1"/>
  <c r="E10149" i="1"/>
  <c r="G10149" i="1"/>
  <c r="K10149" i="1"/>
  <c r="A10150" i="1"/>
  <c r="B10150" i="1"/>
  <c r="C10150" i="1"/>
  <c r="E10150" i="1"/>
  <c r="G10150" i="1"/>
  <c r="K10150" i="1"/>
  <c r="A10151" i="1"/>
  <c r="B10151" i="1"/>
  <c r="C10151" i="1"/>
  <c r="E10151" i="1"/>
  <c r="G10151" i="1"/>
  <c r="K10151" i="1"/>
  <c r="A10152" i="1"/>
  <c r="B10152" i="1"/>
  <c r="C10152" i="1"/>
  <c r="E10152" i="1"/>
  <c r="G10152" i="1"/>
  <c r="K10152" i="1"/>
  <c r="A10153" i="1"/>
  <c r="B10153" i="1"/>
  <c r="C10153" i="1"/>
  <c r="E10153" i="1"/>
  <c r="G10153" i="1"/>
  <c r="K10153" i="1"/>
  <c r="A10154" i="1"/>
  <c r="B10154" i="1"/>
  <c r="C10154" i="1"/>
  <c r="E10154" i="1"/>
  <c r="G10154" i="1"/>
  <c r="K10154" i="1"/>
  <c r="A10155" i="1"/>
  <c r="B10155" i="1"/>
  <c r="C10155" i="1"/>
  <c r="E10155" i="1"/>
  <c r="G10155" i="1"/>
  <c r="K10155" i="1"/>
  <c r="A10156" i="1"/>
  <c r="B10156" i="1"/>
  <c r="C10156" i="1"/>
  <c r="E10156" i="1"/>
  <c r="G10156" i="1"/>
  <c r="K10156" i="1"/>
  <c r="A10157" i="1"/>
  <c r="B10157" i="1"/>
  <c r="C10157" i="1"/>
  <c r="E10157" i="1"/>
  <c r="G10157" i="1"/>
  <c r="K10157" i="1"/>
  <c r="A10158" i="1"/>
  <c r="B10158" i="1"/>
  <c r="C10158" i="1"/>
  <c r="E10158" i="1"/>
  <c r="G10158" i="1"/>
  <c r="K10158" i="1"/>
  <c r="A10159" i="1"/>
  <c r="B10159" i="1"/>
  <c r="C10159" i="1"/>
  <c r="E10159" i="1"/>
  <c r="G10159" i="1"/>
  <c r="K10159" i="1"/>
  <c r="A10160" i="1"/>
  <c r="B10160" i="1"/>
  <c r="C10160" i="1"/>
  <c r="E10160" i="1"/>
  <c r="G10160" i="1"/>
  <c r="K10160" i="1"/>
  <c r="A10161" i="1"/>
  <c r="B10161" i="1"/>
  <c r="C10161" i="1"/>
  <c r="E10161" i="1"/>
  <c r="G10161" i="1"/>
  <c r="K10161" i="1"/>
  <c r="A10162" i="1"/>
  <c r="B10162" i="1"/>
  <c r="C10162" i="1"/>
  <c r="E10162" i="1"/>
  <c r="G10162" i="1"/>
  <c r="K10162" i="1"/>
  <c r="A10163" i="1"/>
  <c r="B10163" i="1"/>
  <c r="C10163" i="1"/>
  <c r="E10163" i="1"/>
  <c r="G10163" i="1"/>
  <c r="K10163" i="1"/>
  <c r="A10164" i="1"/>
  <c r="B10164" i="1"/>
  <c r="C10164" i="1"/>
  <c r="E10164" i="1"/>
  <c r="G10164" i="1"/>
  <c r="K10164" i="1"/>
  <c r="A10165" i="1"/>
  <c r="B10165" i="1"/>
  <c r="C10165" i="1"/>
  <c r="E10165" i="1"/>
  <c r="G10165" i="1"/>
  <c r="K10165" i="1"/>
  <c r="A10166" i="1"/>
  <c r="B10166" i="1"/>
  <c r="C10166" i="1"/>
  <c r="E10166" i="1"/>
  <c r="G10166" i="1"/>
  <c r="K10166" i="1"/>
  <c r="A10167" i="1"/>
  <c r="B10167" i="1"/>
  <c r="C10167" i="1"/>
  <c r="E10167" i="1"/>
  <c r="G10167" i="1"/>
  <c r="K10167" i="1"/>
  <c r="A10168" i="1"/>
  <c r="B10168" i="1"/>
  <c r="C10168" i="1"/>
  <c r="E10168" i="1"/>
  <c r="G10168" i="1"/>
  <c r="K10168" i="1"/>
  <c r="A10169" i="1"/>
  <c r="B10169" i="1"/>
  <c r="C10169" i="1"/>
  <c r="E10169" i="1"/>
  <c r="G10169" i="1"/>
  <c r="K10169" i="1"/>
  <c r="A10170" i="1"/>
  <c r="B10170" i="1"/>
  <c r="C10170" i="1"/>
  <c r="E10170" i="1"/>
  <c r="G10170" i="1"/>
  <c r="K10170" i="1"/>
  <c r="A10171" i="1"/>
  <c r="B10171" i="1"/>
  <c r="C10171" i="1"/>
  <c r="E10171" i="1"/>
  <c r="G10171" i="1"/>
  <c r="K10171" i="1"/>
  <c r="A10172" i="1"/>
  <c r="B10172" i="1"/>
  <c r="C10172" i="1"/>
  <c r="E10172" i="1"/>
  <c r="G10172" i="1"/>
  <c r="K10172" i="1"/>
  <c r="A10173" i="1"/>
  <c r="B10173" i="1"/>
  <c r="C10173" i="1"/>
  <c r="E10173" i="1"/>
  <c r="G10173" i="1"/>
  <c r="K10173" i="1"/>
  <c r="A10174" i="1"/>
  <c r="B10174" i="1"/>
  <c r="C10174" i="1"/>
  <c r="E10174" i="1"/>
  <c r="G10174" i="1"/>
  <c r="K10174" i="1"/>
  <c r="A10175" i="1"/>
  <c r="B10175" i="1"/>
  <c r="C10175" i="1"/>
  <c r="E10175" i="1"/>
  <c r="G10175" i="1"/>
  <c r="K10175" i="1"/>
  <c r="A10176" i="1"/>
  <c r="B10176" i="1"/>
  <c r="C10176" i="1"/>
  <c r="E10176" i="1"/>
  <c r="G10176" i="1"/>
  <c r="K10176" i="1"/>
  <c r="A10177" i="1"/>
  <c r="B10177" i="1"/>
  <c r="C10177" i="1"/>
  <c r="E10177" i="1"/>
  <c r="G10177" i="1"/>
  <c r="K10177" i="1"/>
  <c r="A10178" i="1"/>
  <c r="B10178" i="1"/>
  <c r="C10178" i="1"/>
  <c r="E10178" i="1"/>
  <c r="G10178" i="1"/>
  <c r="K10178" i="1"/>
  <c r="A10179" i="1"/>
  <c r="B10179" i="1"/>
  <c r="C10179" i="1"/>
  <c r="E10179" i="1"/>
  <c r="G10179" i="1"/>
  <c r="K10179" i="1"/>
  <c r="A10180" i="1"/>
  <c r="B10180" i="1"/>
  <c r="C10180" i="1"/>
  <c r="E10180" i="1"/>
  <c r="G10180" i="1"/>
  <c r="K10180" i="1"/>
  <c r="A10181" i="1"/>
  <c r="B10181" i="1"/>
  <c r="C10181" i="1"/>
  <c r="E10181" i="1"/>
  <c r="G10181" i="1"/>
  <c r="K10181" i="1"/>
  <c r="A10182" i="1"/>
  <c r="B10182" i="1"/>
  <c r="C10182" i="1"/>
  <c r="E10182" i="1"/>
  <c r="G10182" i="1"/>
  <c r="K10182" i="1"/>
  <c r="A10183" i="1"/>
  <c r="B10183" i="1"/>
  <c r="C10183" i="1"/>
  <c r="E10183" i="1"/>
  <c r="G10183" i="1"/>
  <c r="K10183" i="1"/>
  <c r="A10184" i="1"/>
  <c r="B10184" i="1"/>
  <c r="C10184" i="1"/>
  <c r="E10184" i="1"/>
  <c r="G10184" i="1"/>
  <c r="K10184" i="1"/>
  <c r="A10185" i="1"/>
  <c r="B10185" i="1"/>
  <c r="C10185" i="1"/>
  <c r="E10185" i="1"/>
  <c r="G10185" i="1"/>
  <c r="K10185" i="1"/>
  <c r="A10186" i="1"/>
  <c r="B10186" i="1"/>
  <c r="C10186" i="1"/>
  <c r="E10186" i="1"/>
  <c r="G10186" i="1"/>
  <c r="K10186" i="1"/>
  <c r="A10187" i="1"/>
  <c r="B10187" i="1"/>
  <c r="C10187" i="1"/>
  <c r="E10187" i="1"/>
  <c r="G10187" i="1"/>
  <c r="K10187" i="1"/>
  <c r="A10188" i="1"/>
  <c r="B10188" i="1"/>
  <c r="C10188" i="1"/>
  <c r="E10188" i="1"/>
  <c r="G10188" i="1"/>
  <c r="K10188" i="1"/>
  <c r="A10189" i="1"/>
  <c r="B10189" i="1"/>
  <c r="C10189" i="1"/>
  <c r="E10189" i="1"/>
  <c r="G10189" i="1"/>
  <c r="K10189" i="1"/>
  <c r="A10190" i="1"/>
  <c r="B10190" i="1"/>
  <c r="C10190" i="1"/>
  <c r="E10190" i="1"/>
  <c r="G10190" i="1"/>
  <c r="K10190" i="1"/>
  <c r="A10191" i="1"/>
  <c r="B10191" i="1"/>
  <c r="C10191" i="1"/>
  <c r="E10191" i="1"/>
  <c r="G10191" i="1"/>
  <c r="K10191" i="1"/>
  <c r="A10192" i="1"/>
  <c r="B10192" i="1"/>
  <c r="C10192" i="1"/>
  <c r="E10192" i="1"/>
  <c r="G10192" i="1"/>
  <c r="K10192" i="1"/>
  <c r="A10193" i="1"/>
  <c r="B10193" i="1"/>
  <c r="C10193" i="1"/>
  <c r="E10193" i="1"/>
  <c r="G10193" i="1"/>
  <c r="K10193" i="1"/>
  <c r="A10194" i="1"/>
  <c r="B10194" i="1"/>
  <c r="C10194" i="1"/>
  <c r="E10194" i="1"/>
  <c r="G10194" i="1"/>
  <c r="K10194" i="1"/>
  <c r="A10195" i="1"/>
  <c r="B10195" i="1"/>
  <c r="C10195" i="1"/>
  <c r="E10195" i="1"/>
  <c r="G10195" i="1"/>
  <c r="K10195" i="1"/>
  <c r="A10196" i="1"/>
  <c r="B10196" i="1"/>
  <c r="C10196" i="1"/>
  <c r="E10196" i="1"/>
  <c r="G10196" i="1"/>
  <c r="K10196" i="1"/>
  <c r="A10197" i="1"/>
  <c r="B10197" i="1"/>
  <c r="C10197" i="1"/>
  <c r="E10197" i="1"/>
  <c r="G10197" i="1"/>
  <c r="K10197" i="1"/>
  <c r="A10198" i="1"/>
  <c r="B10198" i="1"/>
  <c r="C10198" i="1"/>
  <c r="E10198" i="1"/>
  <c r="G10198" i="1"/>
  <c r="K10198" i="1"/>
  <c r="A10199" i="1"/>
  <c r="B10199" i="1"/>
  <c r="C10199" i="1"/>
  <c r="E10199" i="1"/>
  <c r="G10199" i="1"/>
  <c r="K10199" i="1"/>
  <c r="A10200" i="1"/>
  <c r="B10200" i="1"/>
  <c r="C10200" i="1"/>
  <c r="E10200" i="1"/>
  <c r="G10200" i="1"/>
  <c r="K10200" i="1"/>
  <c r="A10201" i="1"/>
  <c r="B10201" i="1"/>
  <c r="C10201" i="1"/>
  <c r="E10201" i="1"/>
  <c r="G10201" i="1"/>
  <c r="K10201" i="1"/>
  <c r="A10202" i="1"/>
  <c r="B10202" i="1"/>
  <c r="C10202" i="1"/>
  <c r="E10202" i="1"/>
  <c r="G10202" i="1"/>
  <c r="K10202" i="1"/>
  <c r="A10203" i="1"/>
  <c r="B10203" i="1"/>
  <c r="C10203" i="1"/>
  <c r="E10203" i="1"/>
  <c r="G10203" i="1"/>
  <c r="K10203" i="1"/>
  <c r="A10204" i="1"/>
  <c r="B10204" i="1"/>
  <c r="C10204" i="1"/>
  <c r="E10204" i="1"/>
  <c r="G10204" i="1"/>
  <c r="K10204" i="1"/>
  <c r="A10205" i="1"/>
  <c r="B10205" i="1"/>
  <c r="C10205" i="1"/>
  <c r="E10205" i="1"/>
  <c r="G10205" i="1"/>
  <c r="K10205" i="1"/>
  <c r="A10206" i="1"/>
  <c r="B10206" i="1"/>
  <c r="C10206" i="1"/>
  <c r="E10206" i="1"/>
  <c r="G10206" i="1"/>
  <c r="K10206" i="1"/>
  <c r="A10207" i="1"/>
  <c r="B10207" i="1"/>
  <c r="C10207" i="1"/>
  <c r="E10207" i="1"/>
  <c r="G10207" i="1"/>
  <c r="K10207" i="1"/>
  <c r="A10208" i="1"/>
  <c r="B10208" i="1"/>
  <c r="C10208" i="1"/>
  <c r="E10208" i="1"/>
  <c r="G10208" i="1"/>
  <c r="K10208" i="1"/>
  <c r="A10209" i="1"/>
  <c r="B10209" i="1"/>
  <c r="C10209" i="1"/>
  <c r="E10209" i="1"/>
  <c r="G10209" i="1"/>
  <c r="K10209" i="1"/>
  <c r="A10210" i="1"/>
  <c r="B10210" i="1"/>
  <c r="C10210" i="1"/>
  <c r="E10210" i="1"/>
  <c r="G10210" i="1"/>
  <c r="K10210" i="1"/>
  <c r="A10211" i="1"/>
  <c r="B10211" i="1"/>
  <c r="C10211" i="1"/>
  <c r="E10211" i="1"/>
  <c r="G10211" i="1"/>
  <c r="K10211" i="1"/>
  <c r="A10212" i="1"/>
  <c r="B10212" i="1"/>
  <c r="C10212" i="1"/>
  <c r="E10212" i="1"/>
  <c r="G10212" i="1"/>
  <c r="K10212" i="1"/>
  <c r="A10213" i="1"/>
  <c r="B10213" i="1"/>
  <c r="C10213" i="1"/>
  <c r="E10213" i="1"/>
  <c r="G10213" i="1"/>
  <c r="K10213" i="1"/>
  <c r="A10214" i="1"/>
  <c r="B10214" i="1"/>
  <c r="C10214" i="1"/>
  <c r="E10214" i="1"/>
  <c r="G10214" i="1"/>
  <c r="K10214" i="1"/>
  <c r="A10215" i="1"/>
  <c r="B10215" i="1"/>
  <c r="C10215" i="1"/>
  <c r="E10215" i="1"/>
  <c r="G10215" i="1"/>
  <c r="K10215" i="1"/>
  <c r="A10216" i="1"/>
  <c r="B10216" i="1"/>
  <c r="C10216" i="1"/>
  <c r="E10216" i="1"/>
  <c r="G10216" i="1"/>
  <c r="K10216" i="1"/>
  <c r="A10217" i="1"/>
  <c r="B10217" i="1"/>
  <c r="C10217" i="1"/>
  <c r="E10217" i="1"/>
  <c r="G10217" i="1"/>
  <c r="K10217" i="1"/>
  <c r="A10218" i="1"/>
  <c r="B10218" i="1"/>
  <c r="C10218" i="1"/>
  <c r="E10218" i="1"/>
  <c r="G10218" i="1"/>
  <c r="K10218" i="1"/>
  <c r="A10219" i="1"/>
  <c r="B10219" i="1"/>
  <c r="C10219" i="1"/>
  <c r="E10219" i="1"/>
  <c r="G10219" i="1"/>
  <c r="K10219" i="1"/>
  <c r="A10220" i="1"/>
  <c r="B10220" i="1"/>
  <c r="C10220" i="1"/>
  <c r="E10220" i="1"/>
  <c r="G10220" i="1"/>
  <c r="K10220" i="1"/>
  <c r="A10221" i="1"/>
  <c r="B10221" i="1"/>
  <c r="C10221" i="1"/>
  <c r="E10221" i="1"/>
  <c r="G10221" i="1"/>
  <c r="K10221" i="1"/>
  <c r="A10222" i="1"/>
  <c r="B10222" i="1"/>
  <c r="C10222" i="1"/>
  <c r="E10222" i="1"/>
  <c r="G10222" i="1"/>
  <c r="K10222" i="1"/>
  <c r="A10223" i="1"/>
  <c r="B10223" i="1"/>
  <c r="C10223" i="1"/>
  <c r="E10223" i="1"/>
  <c r="G10223" i="1"/>
  <c r="K10223" i="1"/>
  <c r="A10224" i="1"/>
  <c r="B10224" i="1"/>
  <c r="C10224" i="1"/>
  <c r="E10224" i="1"/>
  <c r="G10224" i="1"/>
  <c r="K10224" i="1"/>
  <c r="A10225" i="1"/>
  <c r="B10225" i="1"/>
  <c r="C10225" i="1"/>
  <c r="E10225" i="1"/>
  <c r="G10225" i="1"/>
  <c r="K10225" i="1"/>
  <c r="A10226" i="1"/>
  <c r="B10226" i="1"/>
  <c r="C10226" i="1"/>
  <c r="E10226" i="1"/>
  <c r="G10226" i="1"/>
  <c r="K10226" i="1"/>
  <c r="A10227" i="1"/>
  <c r="B10227" i="1"/>
  <c r="C10227" i="1"/>
  <c r="E10227" i="1"/>
  <c r="G10227" i="1"/>
  <c r="K10227" i="1"/>
  <c r="A10228" i="1"/>
  <c r="B10228" i="1"/>
  <c r="C10228" i="1"/>
  <c r="E10228" i="1"/>
  <c r="G10228" i="1"/>
  <c r="K10228" i="1"/>
  <c r="A10229" i="1"/>
  <c r="B10229" i="1"/>
  <c r="C10229" i="1"/>
  <c r="E10229" i="1"/>
  <c r="G10229" i="1"/>
  <c r="K10229" i="1"/>
  <c r="A10230" i="1"/>
  <c r="B10230" i="1"/>
  <c r="C10230" i="1"/>
  <c r="E10230" i="1"/>
  <c r="G10230" i="1"/>
  <c r="K10230" i="1"/>
  <c r="A10231" i="1"/>
  <c r="B10231" i="1"/>
  <c r="C10231" i="1"/>
  <c r="E10231" i="1"/>
  <c r="G10231" i="1"/>
  <c r="K10231" i="1"/>
  <c r="A10232" i="1"/>
  <c r="B10232" i="1"/>
  <c r="C10232" i="1"/>
  <c r="E10232" i="1"/>
  <c r="G10232" i="1"/>
  <c r="K10232" i="1"/>
  <c r="A10233" i="1"/>
  <c r="B10233" i="1"/>
  <c r="C10233" i="1"/>
  <c r="E10233" i="1"/>
  <c r="G10233" i="1"/>
  <c r="K10233" i="1"/>
  <c r="A10234" i="1"/>
  <c r="B10234" i="1"/>
  <c r="C10234" i="1"/>
  <c r="E10234" i="1"/>
  <c r="G10234" i="1"/>
  <c r="K10234" i="1"/>
  <c r="A10235" i="1"/>
  <c r="B10235" i="1"/>
  <c r="C10235" i="1"/>
  <c r="E10235" i="1"/>
  <c r="G10235" i="1"/>
  <c r="K10235" i="1"/>
  <c r="A10236" i="1"/>
  <c r="B10236" i="1"/>
  <c r="C10236" i="1"/>
  <c r="E10236" i="1"/>
  <c r="G10236" i="1"/>
  <c r="K10236" i="1"/>
  <c r="A10237" i="1"/>
  <c r="B10237" i="1"/>
  <c r="C10237" i="1"/>
  <c r="E10237" i="1"/>
  <c r="G10237" i="1"/>
  <c r="K10237" i="1"/>
  <c r="A10238" i="1"/>
  <c r="B10238" i="1"/>
  <c r="C10238" i="1"/>
  <c r="E10238" i="1"/>
  <c r="G10238" i="1"/>
  <c r="K10238" i="1"/>
  <c r="A10239" i="1"/>
  <c r="B10239" i="1"/>
  <c r="C10239" i="1"/>
  <c r="E10239" i="1"/>
  <c r="G10239" i="1"/>
  <c r="K10239" i="1"/>
  <c r="A10240" i="1"/>
  <c r="B10240" i="1"/>
  <c r="C10240" i="1"/>
  <c r="E10240" i="1"/>
  <c r="G10240" i="1"/>
  <c r="K10240" i="1"/>
  <c r="A10241" i="1"/>
  <c r="B10241" i="1"/>
  <c r="C10241" i="1"/>
  <c r="E10241" i="1"/>
  <c r="G10241" i="1"/>
  <c r="K10241" i="1"/>
  <c r="A10242" i="1"/>
  <c r="B10242" i="1"/>
  <c r="C10242" i="1"/>
  <c r="E10242" i="1"/>
  <c r="G10242" i="1"/>
  <c r="K10242" i="1"/>
  <c r="A10243" i="1"/>
  <c r="B10243" i="1"/>
  <c r="C10243" i="1"/>
  <c r="E10243" i="1"/>
  <c r="G10243" i="1"/>
  <c r="K10243" i="1"/>
  <c r="A10244" i="1"/>
  <c r="B10244" i="1"/>
  <c r="C10244" i="1"/>
  <c r="E10244" i="1"/>
  <c r="G10244" i="1"/>
  <c r="K10244" i="1"/>
  <c r="A10245" i="1"/>
  <c r="B10245" i="1"/>
  <c r="C10245" i="1"/>
  <c r="E10245" i="1"/>
  <c r="G10245" i="1"/>
  <c r="K10245" i="1"/>
  <c r="A10246" i="1"/>
  <c r="B10246" i="1"/>
  <c r="C10246" i="1"/>
  <c r="E10246" i="1"/>
  <c r="G10246" i="1"/>
  <c r="K10246" i="1"/>
  <c r="A10247" i="1"/>
  <c r="B10247" i="1"/>
  <c r="C10247" i="1"/>
  <c r="E10247" i="1"/>
  <c r="G10247" i="1"/>
  <c r="K10247" i="1"/>
  <c r="A10248" i="1"/>
  <c r="B10248" i="1"/>
  <c r="C10248" i="1"/>
  <c r="E10248" i="1"/>
  <c r="G10248" i="1"/>
  <c r="K10248" i="1"/>
  <c r="A10249" i="1"/>
  <c r="B10249" i="1"/>
  <c r="C10249" i="1"/>
  <c r="E10249" i="1"/>
  <c r="G10249" i="1"/>
  <c r="K10249" i="1"/>
  <c r="A10250" i="1"/>
  <c r="B10250" i="1"/>
  <c r="C10250" i="1"/>
  <c r="E10250" i="1"/>
  <c r="G10250" i="1"/>
  <c r="K10250" i="1"/>
  <c r="A10251" i="1"/>
  <c r="B10251" i="1"/>
  <c r="C10251" i="1"/>
  <c r="E10251" i="1"/>
  <c r="G10251" i="1"/>
  <c r="K10251" i="1"/>
  <c r="A10252" i="1"/>
  <c r="B10252" i="1"/>
  <c r="C10252" i="1"/>
  <c r="E10252" i="1"/>
  <c r="G10252" i="1"/>
  <c r="K10252" i="1"/>
  <c r="A10253" i="1"/>
  <c r="B10253" i="1"/>
  <c r="C10253" i="1"/>
  <c r="E10253" i="1"/>
  <c r="G10253" i="1"/>
  <c r="K10253" i="1"/>
  <c r="A10254" i="1"/>
  <c r="B10254" i="1"/>
  <c r="C10254" i="1"/>
  <c r="E10254" i="1"/>
  <c r="G10254" i="1"/>
  <c r="K10254" i="1"/>
  <c r="A10255" i="1"/>
  <c r="B10255" i="1"/>
  <c r="C10255" i="1"/>
  <c r="E10255" i="1"/>
  <c r="G10255" i="1"/>
  <c r="K10255" i="1"/>
  <c r="A10256" i="1"/>
  <c r="B10256" i="1"/>
  <c r="C10256" i="1"/>
  <c r="E10256" i="1"/>
  <c r="G10256" i="1"/>
  <c r="K10256" i="1"/>
  <c r="A10257" i="1"/>
  <c r="B10257" i="1"/>
  <c r="C10257" i="1"/>
  <c r="E10257" i="1"/>
  <c r="G10257" i="1"/>
  <c r="K10257" i="1"/>
  <c r="A10258" i="1"/>
  <c r="B10258" i="1"/>
  <c r="C10258" i="1"/>
  <c r="E10258" i="1"/>
  <c r="G10258" i="1"/>
  <c r="K10258" i="1"/>
  <c r="A10259" i="1"/>
  <c r="B10259" i="1"/>
  <c r="C10259" i="1"/>
  <c r="E10259" i="1"/>
  <c r="G10259" i="1"/>
  <c r="K10259" i="1"/>
  <c r="A10260" i="1"/>
  <c r="B10260" i="1"/>
  <c r="C10260" i="1"/>
  <c r="E10260" i="1"/>
  <c r="G10260" i="1"/>
  <c r="K10260" i="1"/>
  <c r="A10261" i="1"/>
  <c r="B10261" i="1"/>
  <c r="C10261" i="1"/>
  <c r="E10261" i="1"/>
  <c r="G10261" i="1"/>
  <c r="K10261" i="1"/>
  <c r="A10262" i="1"/>
  <c r="B10262" i="1"/>
  <c r="C10262" i="1"/>
  <c r="E10262" i="1"/>
  <c r="G10262" i="1"/>
  <c r="K10262" i="1"/>
  <c r="A10263" i="1"/>
  <c r="B10263" i="1"/>
  <c r="C10263" i="1"/>
  <c r="E10263" i="1"/>
  <c r="G10263" i="1"/>
  <c r="K10263" i="1"/>
  <c r="A10264" i="1"/>
  <c r="B10264" i="1"/>
  <c r="C10264" i="1"/>
  <c r="E10264" i="1"/>
  <c r="G10264" i="1"/>
  <c r="K10264" i="1"/>
  <c r="A10265" i="1"/>
  <c r="B10265" i="1"/>
  <c r="C10265" i="1"/>
  <c r="E10265" i="1"/>
  <c r="G10265" i="1"/>
  <c r="K10265" i="1"/>
  <c r="A10266" i="1"/>
  <c r="B10266" i="1"/>
  <c r="C10266" i="1"/>
  <c r="E10266" i="1"/>
  <c r="G10266" i="1"/>
  <c r="K10266" i="1"/>
  <c r="A10267" i="1"/>
  <c r="B10267" i="1"/>
  <c r="C10267" i="1"/>
  <c r="E10267" i="1"/>
  <c r="G10267" i="1"/>
  <c r="K10267" i="1"/>
  <c r="A10268" i="1"/>
  <c r="B10268" i="1"/>
  <c r="C10268" i="1"/>
  <c r="E10268" i="1"/>
  <c r="G10268" i="1"/>
  <c r="K10268" i="1"/>
  <c r="A10269" i="1"/>
  <c r="B10269" i="1"/>
  <c r="C10269" i="1"/>
  <c r="E10269" i="1"/>
  <c r="G10269" i="1"/>
  <c r="K10269" i="1"/>
  <c r="A10270" i="1"/>
  <c r="B10270" i="1"/>
  <c r="C10270" i="1"/>
  <c r="E10270" i="1"/>
  <c r="G10270" i="1"/>
  <c r="K10270" i="1"/>
  <c r="A10271" i="1"/>
  <c r="B10271" i="1"/>
  <c r="C10271" i="1"/>
  <c r="E10271" i="1"/>
  <c r="G10271" i="1"/>
  <c r="K10271" i="1"/>
  <c r="A10272" i="1"/>
  <c r="B10272" i="1"/>
  <c r="C10272" i="1"/>
  <c r="E10272" i="1"/>
  <c r="G10272" i="1"/>
  <c r="K10272" i="1"/>
  <c r="A10273" i="1"/>
  <c r="B10273" i="1"/>
  <c r="C10273" i="1"/>
  <c r="E10273" i="1"/>
  <c r="G10273" i="1"/>
  <c r="K10273" i="1"/>
  <c r="A10274" i="1"/>
  <c r="B10274" i="1"/>
  <c r="C10274" i="1"/>
  <c r="E10274" i="1"/>
  <c r="G10274" i="1"/>
  <c r="K10274" i="1"/>
  <c r="A10275" i="1"/>
  <c r="B10275" i="1"/>
  <c r="C10275" i="1"/>
  <c r="E10275" i="1"/>
  <c r="G10275" i="1"/>
  <c r="K10275" i="1"/>
  <c r="A10276" i="1"/>
  <c r="B10276" i="1"/>
  <c r="C10276" i="1"/>
  <c r="E10276" i="1"/>
  <c r="G10276" i="1"/>
  <c r="K10276" i="1"/>
  <c r="A10277" i="1"/>
  <c r="B10277" i="1"/>
  <c r="C10277" i="1"/>
  <c r="E10277" i="1"/>
  <c r="G10277" i="1"/>
  <c r="K10277" i="1"/>
  <c r="A10278" i="1"/>
  <c r="B10278" i="1"/>
  <c r="C10278" i="1"/>
  <c r="E10278" i="1"/>
  <c r="G10278" i="1"/>
  <c r="K10278" i="1"/>
  <c r="A10279" i="1"/>
  <c r="B10279" i="1"/>
  <c r="C10279" i="1"/>
  <c r="E10279" i="1"/>
  <c r="G10279" i="1"/>
  <c r="K10279" i="1"/>
  <c r="A10280" i="1"/>
  <c r="B10280" i="1"/>
  <c r="C10280" i="1"/>
  <c r="E10280" i="1"/>
  <c r="G10280" i="1"/>
  <c r="K10280" i="1"/>
  <c r="A10281" i="1"/>
  <c r="B10281" i="1"/>
  <c r="C10281" i="1"/>
  <c r="E10281" i="1"/>
  <c r="G10281" i="1"/>
  <c r="K10281" i="1"/>
  <c r="A10282" i="1"/>
  <c r="B10282" i="1"/>
  <c r="C10282" i="1"/>
  <c r="E10282" i="1"/>
  <c r="G10282" i="1"/>
  <c r="K10282" i="1"/>
  <c r="A10283" i="1"/>
  <c r="B10283" i="1"/>
  <c r="C10283" i="1"/>
  <c r="E10283" i="1"/>
  <c r="G10283" i="1"/>
  <c r="K10283" i="1"/>
  <c r="A10284" i="1"/>
  <c r="B10284" i="1"/>
  <c r="C10284" i="1"/>
  <c r="E10284" i="1"/>
  <c r="G10284" i="1"/>
  <c r="K10284" i="1"/>
  <c r="A10285" i="1"/>
  <c r="B10285" i="1"/>
  <c r="C10285" i="1"/>
  <c r="E10285" i="1"/>
  <c r="G10285" i="1"/>
  <c r="K10285" i="1"/>
  <c r="A10286" i="1"/>
  <c r="B10286" i="1"/>
  <c r="C10286" i="1"/>
  <c r="E10286" i="1"/>
  <c r="G10286" i="1"/>
  <c r="K10286" i="1"/>
  <c r="A10287" i="1"/>
  <c r="B10287" i="1"/>
  <c r="C10287" i="1"/>
  <c r="E10287" i="1"/>
  <c r="G10287" i="1"/>
  <c r="K10287" i="1"/>
  <c r="A10288" i="1"/>
  <c r="B10288" i="1"/>
  <c r="C10288" i="1"/>
  <c r="E10288" i="1"/>
  <c r="G10288" i="1"/>
  <c r="K10288" i="1"/>
  <c r="A10289" i="1"/>
  <c r="B10289" i="1"/>
  <c r="C10289" i="1"/>
  <c r="E10289" i="1"/>
  <c r="G10289" i="1"/>
  <c r="K10289" i="1"/>
  <c r="A10290" i="1"/>
  <c r="B10290" i="1"/>
  <c r="C10290" i="1"/>
  <c r="E10290" i="1"/>
  <c r="G10290" i="1"/>
  <c r="K10290" i="1"/>
  <c r="A10291" i="1"/>
  <c r="B10291" i="1"/>
  <c r="C10291" i="1"/>
  <c r="E10291" i="1"/>
  <c r="G10291" i="1"/>
  <c r="K10291" i="1"/>
  <c r="A10292" i="1"/>
  <c r="B10292" i="1"/>
  <c r="C10292" i="1"/>
  <c r="E10292" i="1"/>
  <c r="G10292" i="1"/>
  <c r="K10292" i="1"/>
  <c r="A10293" i="1"/>
  <c r="B10293" i="1"/>
  <c r="C10293" i="1"/>
  <c r="E10293" i="1"/>
  <c r="G10293" i="1"/>
  <c r="K10293" i="1"/>
  <c r="A10294" i="1"/>
  <c r="B10294" i="1"/>
  <c r="C10294" i="1"/>
  <c r="E10294" i="1"/>
  <c r="G10294" i="1"/>
  <c r="K10294" i="1"/>
  <c r="A10295" i="1"/>
  <c r="B10295" i="1"/>
  <c r="C10295" i="1"/>
  <c r="E10295" i="1"/>
  <c r="G10295" i="1"/>
  <c r="K10295" i="1"/>
  <c r="A10296" i="1"/>
  <c r="B10296" i="1"/>
  <c r="C10296" i="1"/>
  <c r="E10296" i="1"/>
  <c r="G10296" i="1"/>
  <c r="K10296" i="1"/>
  <c r="A10297" i="1"/>
  <c r="B10297" i="1"/>
  <c r="C10297" i="1"/>
  <c r="E10297" i="1"/>
  <c r="G10297" i="1"/>
  <c r="K10297" i="1"/>
  <c r="A10298" i="1"/>
  <c r="B10298" i="1"/>
  <c r="C10298" i="1"/>
  <c r="E10298" i="1"/>
  <c r="G10298" i="1"/>
  <c r="K10298" i="1"/>
  <c r="A10299" i="1"/>
  <c r="B10299" i="1"/>
  <c r="C10299" i="1"/>
  <c r="E10299" i="1"/>
  <c r="G10299" i="1"/>
  <c r="K10299" i="1"/>
  <c r="A10300" i="1"/>
  <c r="B10300" i="1"/>
  <c r="C10300" i="1"/>
  <c r="E10300" i="1"/>
  <c r="G10300" i="1"/>
  <c r="K10300" i="1"/>
  <c r="A10301" i="1"/>
  <c r="B10301" i="1"/>
  <c r="C10301" i="1"/>
  <c r="E10301" i="1"/>
  <c r="G10301" i="1"/>
  <c r="K10301" i="1"/>
  <c r="A10302" i="1"/>
  <c r="B10302" i="1"/>
  <c r="C10302" i="1"/>
  <c r="E10302" i="1"/>
  <c r="G10302" i="1"/>
  <c r="K10302" i="1"/>
  <c r="A10303" i="1"/>
  <c r="B10303" i="1"/>
  <c r="C10303" i="1"/>
  <c r="E10303" i="1"/>
  <c r="G10303" i="1"/>
  <c r="K10303" i="1"/>
  <c r="A10304" i="1"/>
  <c r="B10304" i="1"/>
  <c r="C10304" i="1"/>
  <c r="E10304" i="1"/>
  <c r="G10304" i="1"/>
  <c r="K10304" i="1"/>
  <c r="A10305" i="1"/>
  <c r="B10305" i="1"/>
  <c r="C10305" i="1"/>
  <c r="E10305" i="1"/>
  <c r="G10305" i="1"/>
  <c r="K10305" i="1"/>
  <c r="A10306" i="1"/>
  <c r="B10306" i="1"/>
  <c r="C10306" i="1"/>
  <c r="E10306" i="1"/>
  <c r="G10306" i="1"/>
  <c r="K10306" i="1"/>
  <c r="A10307" i="1"/>
  <c r="B10307" i="1"/>
  <c r="C10307" i="1"/>
  <c r="E10307" i="1"/>
  <c r="G10307" i="1"/>
  <c r="K10307" i="1"/>
  <c r="A10308" i="1"/>
  <c r="B10308" i="1"/>
  <c r="C10308" i="1"/>
  <c r="E10308" i="1"/>
  <c r="G10308" i="1"/>
  <c r="K10308" i="1"/>
  <c r="A10309" i="1"/>
  <c r="B10309" i="1"/>
  <c r="C10309" i="1"/>
  <c r="E10309" i="1"/>
  <c r="G10309" i="1"/>
  <c r="K10309" i="1"/>
  <c r="A10310" i="1"/>
  <c r="B10310" i="1"/>
  <c r="C10310" i="1"/>
  <c r="E10310" i="1"/>
  <c r="G10310" i="1"/>
  <c r="K10310" i="1"/>
  <c r="A10311" i="1"/>
  <c r="B10311" i="1"/>
  <c r="C10311" i="1"/>
  <c r="E10311" i="1"/>
  <c r="G10311" i="1"/>
  <c r="K10311" i="1"/>
  <c r="A10312" i="1"/>
  <c r="B10312" i="1"/>
  <c r="C10312" i="1"/>
  <c r="E10312" i="1"/>
  <c r="G10312" i="1"/>
  <c r="K10312" i="1"/>
  <c r="A10313" i="1"/>
  <c r="B10313" i="1"/>
  <c r="C10313" i="1"/>
  <c r="E10313" i="1"/>
  <c r="G10313" i="1"/>
  <c r="K10313" i="1"/>
  <c r="A10314" i="1"/>
  <c r="B10314" i="1"/>
  <c r="C10314" i="1"/>
  <c r="E10314" i="1"/>
  <c r="G10314" i="1"/>
  <c r="K10314" i="1"/>
  <c r="A10315" i="1"/>
  <c r="B10315" i="1"/>
  <c r="C10315" i="1"/>
  <c r="E10315" i="1"/>
  <c r="G10315" i="1"/>
  <c r="K10315" i="1"/>
  <c r="A10316" i="1"/>
  <c r="B10316" i="1"/>
  <c r="C10316" i="1"/>
  <c r="E10316" i="1"/>
  <c r="G10316" i="1"/>
  <c r="K10316" i="1"/>
  <c r="A10317" i="1"/>
  <c r="B10317" i="1"/>
  <c r="C10317" i="1"/>
  <c r="E10317" i="1"/>
  <c r="G10317" i="1"/>
  <c r="K10317" i="1"/>
  <c r="A10318" i="1"/>
  <c r="B10318" i="1"/>
  <c r="C10318" i="1"/>
  <c r="E10318" i="1"/>
  <c r="G10318" i="1"/>
  <c r="K10318" i="1"/>
  <c r="A10319" i="1"/>
  <c r="B10319" i="1"/>
  <c r="C10319" i="1"/>
  <c r="E10319" i="1"/>
  <c r="G10319" i="1"/>
  <c r="K10319" i="1"/>
  <c r="A10320" i="1"/>
  <c r="B10320" i="1"/>
  <c r="C10320" i="1"/>
  <c r="E10320" i="1"/>
  <c r="G10320" i="1"/>
  <c r="K10320" i="1"/>
  <c r="A10321" i="1"/>
  <c r="B10321" i="1"/>
  <c r="C10321" i="1"/>
  <c r="E10321" i="1"/>
  <c r="G10321" i="1"/>
  <c r="K10321" i="1"/>
  <c r="A10322" i="1"/>
  <c r="B10322" i="1"/>
  <c r="C10322" i="1"/>
  <c r="E10322" i="1"/>
  <c r="G10322" i="1"/>
  <c r="K10322" i="1"/>
  <c r="A10323" i="1"/>
  <c r="B10323" i="1"/>
  <c r="C10323" i="1"/>
  <c r="E10323" i="1"/>
  <c r="G10323" i="1"/>
  <c r="K10323" i="1"/>
  <c r="A10324" i="1"/>
  <c r="B10324" i="1"/>
  <c r="C10324" i="1"/>
  <c r="E10324" i="1"/>
  <c r="G10324" i="1"/>
  <c r="K10324" i="1"/>
  <c r="A10325" i="1"/>
  <c r="B10325" i="1"/>
  <c r="C10325" i="1"/>
  <c r="E10325" i="1"/>
  <c r="G10325" i="1"/>
  <c r="K10325" i="1"/>
  <c r="A10326" i="1"/>
  <c r="B10326" i="1"/>
  <c r="C10326" i="1"/>
  <c r="E10326" i="1"/>
  <c r="G10326" i="1"/>
  <c r="K10326" i="1"/>
  <c r="A10327" i="1"/>
  <c r="B10327" i="1"/>
  <c r="C10327" i="1"/>
  <c r="E10327" i="1"/>
  <c r="G10327" i="1"/>
  <c r="K10327" i="1"/>
  <c r="A10328" i="1"/>
  <c r="B10328" i="1"/>
  <c r="C10328" i="1"/>
  <c r="E10328" i="1"/>
  <c r="G10328" i="1"/>
  <c r="K10328" i="1"/>
  <c r="A10329" i="1"/>
  <c r="B10329" i="1"/>
  <c r="C10329" i="1"/>
  <c r="E10329" i="1"/>
  <c r="G10329" i="1"/>
  <c r="K10329" i="1"/>
  <c r="A10330" i="1"/>
  <c r="B10330" i="1"/>
  <c r="C10330" i="1"/>
  <c r="E10330" i="1"/>
  <c r="G10330" i="1"/>
  <c r="K10330" i="1"/>
  <c r="A10331" i="1"/>
  <c r="B10331" i="1"/>
  <c r="C10331" i="1"/>
  <c r="E10331" i="1"/>
  <c r="G10331" i="1"/>
  <c r="K10331" i="1"/>
  <c r="A10332" i="1"/>
  <c r="B10332" i="1"/>
  <c r="C10332" i="1"/>
  <c r="E10332" i="1"/>
  <c r="G10332" i="1"/>
  <c r="K10332" i="1"/>
  <c r="A10333" i="1"/>
  <c r="B10333" i="1"/>
  <c r="C10333" i="1"/>
  <c r="E10333" i="1"/>
  <c r="G10333" i="1"/>
  <c r="K10333" i="1"/>
  <c r="A10334" i="1"/>
  <c r="B10334" i="1"/>
  <c r="C10334" i="1"/>
  <c r="E10334" i="1"/>
  <c r="G10334" i="1"/>
  <c r="K10334" i="1"/>
  <c r="A10335" i="1"/>
  <c r="B10335" i="1"/>
  <c r="C10335" i="1"/>
  <c r="E10335" i="1"/>
  <c r="G10335" i="1"/>
  <c r="K10335" i="1"/>
  <c r="A10336" i="1"/>
  <c r="B10336" i="1"/>
  <c r="C10336" i="1"/>
  <c r="E10336" i="1"/>
  <c r="G10336" i="1"/>
  <c r="K10336" i="1"/>
  <c r="A10337" i="1"/>
  <c r="B10337" i="1"/>
  <c r="C10337" i="1"/>
  <c r="E10337" i="1"/>
  <c r="G10337" i="1"/>
  <c r="K10337" i="1"/>
  <c r="A10338" i="1"/>
  <c r="B10338" i="1"/>
  <c r="C10338" i="1"/>
  <c r="E10338" i="1"/>
  <c r="G10338" i="1"/>
  <c r="K10338" i="1"/>
  <c r="A10339" i="1"/>
  <c r="B10339" i="1"/>
  <c r="C10339" i="1"/>
  <c r="E10339" i="1"/>
  <c r="G10339" i="1"/>
  <c r="K10339" i="1"/>
  <c r="A10340" i="1"/>
  <c r="B10340" i="1"/>
  <c r="C10340" i="1"/>
  <c r="E10340" i="1"/>
  <c r="G10340" i="1"/>
  <c r="K10340" i="1"/>
  <c r="A10341" i="1"/>
  <c r="B10341" i="1"/>
  <c r="C10341" i="1"/>
  <c r="E10341" i="1"/>
  <c r="G10341" i="1"/>
  <c r="K10341" i="1"/>
  <c r="A10342" i="1"/>
  <c r="B10342" i="1"/>
  <c r="C10342" i="1"/>
  <c r="E10342" i="1"/>
  <c r="G10342" i="1"/>
  <c r="K10342" i="1"/>
  <c r="A10343" i="1"/>
  <c r="B10343" i="1"/>
  <c r="C10343" i="1"/>
  <c r="E10343" i="1"/>
  <c r="G10343" i="1"/>
  <c r="K10343" i="1"/>
  <c r="A10344" i="1"/>
  <c r="B10344" i="1"/>
  <c r="C10344" i="1"/>
  <c r="E10344" i="1"/>
  <c r="G10344" i="1"/>
  <c r="K10344" i="1"/>
  <c r="A10345" i="1"/>
  <c r="B10345" i="1"/>
  <c r="C10345" i="1"/>
  <c r="E10345" i="1"/>
  <c r="G10345" i="1"/>
  <c r="K10345" i="1"/>
  <c r="A10346" i="1"/>
  <c r="B10346" i="1"/>
  <c r="C10346" i="1"/>
  <c r="E10346" i="1"/>
  <c r="G10346" i="1"/>
  <c r="K10346" i="1"/>
  <c r="A10347" i="1"/>
  <c r="B10347" i="1"/>
  <c r="C10347" i="1"/>
  <c r="E10347" i="1"/>
  <c r="G10347" i="1"/>
  <c r="K10347" i="1"/>
  <c r="A10348" i="1"/>
  <c r="B10348" i="1"/>
  <c r="C10348" i="1"/>
  <c r="E10348" i="1"/>
  <c r="G10348" i="1"/>
  <c r="K10348" i="1"/>
  <c r="A10349" i="1"/>
  <c r="B10349" i="1"/>
  <c r="C10349" i="1"/>
  <c r="E10349" i="1"/>
  <c r="G10349" i="1"/>
  <c r="K10349" i="1"/>
  <c r="A10350" i="1"/>
  <c r="B10350" i="1"/>
  <c r="C10350" i="1"/>
  <c r="E10350" i="1"/>
  <c r="G10350" i="1"/>
  <c r="K10350" i="1"/>
  <c r="A10351" i="1"/>
  <c r="B10351" i="1"/>
  <c r="C10351" i="1"/>
  <c r="E10351" i="1"/>
  <c r="G10351" i="1"/>
  <c r="K10351" i="1"/>
  <c r="A10352" i="1"/>
  <c r="B10352" i="1"/>
  <c r="C10352" i="1"/>
  <c r="E10352" i="1"/>
  <c r="G10352" i="1"/>
  <c r="K10352" i="1"/>
  <c r="A10353" i="1"/>
  <c r="B10353" i="1"/>
  <c r="C10353" i="1"/>
  <c r="E10353" i="1"/>
  <c r="G10353" i="1"/>
  <c r="K10353" i="1"/>
  <c r="A10354" i="1"/>
  <c r="B10354" i="1"/>
  <c r="C10354" i="1"/>
  <c r="E10354" i="1"/>
  <c r="G10354" i="1"/>
  <c r="K10354" i="1"/>
  <c r="A10355" i="1"/>
  <c r="B10355" i="1"/>
  <c r="C10355" i="1"/>
  <c r="E10355" i="1"/>
  <c r="G10355" i="1"/>
  <c r="K10355" i="1"/>
  <c r="A10356" i="1"/>
  <c r="B10356" i="1"/>
  <c r="C10356" i="1"/>
  <c r="E10356" i="1"/>
  <c r="G10356" i="1"/>
  <c r="K10356" i="1"/>
  <c r="A10357" i="1"/>
  <c r="B10357" i="1"/>
  <c r="C10357" i="1"/>
  <c r="E10357" i="1"/>
  <c r="G10357" i="1"/>
  <c r="K10357" i="1"/>
  <c r="A10358" i="1"/>
  <c r="B10358" i="1"/>
  <c r="C10358" i="1"/>
  <c r="E10358" i="1"/>
  <c r="G10358" i="1"/>
  <c r="K10358" i="1"/>
  <c r="A10359" i="1"/>
  <c r="B10359" i="1"/>
  <c r="C10359" i="1"/>
  <c r="E10359" i="1"/>
  <c r="G10359" i="1"/>
  <c r="K10359" i="1"/>
  <c r="A10360" i="1"/>
  <c r="B10360" i="1"/>
  <c r="C10360" i="1"/>
  <c r="E10360" i="1"/>
  <c r="G10360" i="1"/>
  <c r="K10360" i="1"/>
  <c r="A10361" i="1"/>
  <c r="B10361" i="1"/>
  <c r="C10361" i="1"/>
  <c r="E10361" i="1"/>
  <c r="G10361" i="1"/>
  <c r="K10361" i="1"/>
  <c r="A10362" i="1"/>
  <c r="B10362" i="1"/>
  <c r="C10362" i="1"/>
  <c r="E10362" i="1"/>
  <c r="G10362" i="1"/>
  <c r="K10362" i="1"/>
  <c r="A10363" i="1"/>
  <c r="B10363" i="1"/>
  <c r="C10363" i="1"/>
  <c r="E10363" i="1"/>
  <c r="G10363" i="1"/>
  <c r="K10363" i="1"/>
  <c r="A10364" i="1"/>
  <c r="B10364" i="1"/>
  <c r="C10364" i="1"/>
  <c r="E10364" i="1"/>
  <c r="G10364" i="1"/>
  <c r="K10364" i="1"/>
  <c r="A10365" i="1"/>
  <c r="B10365" i="1"/>
  <c r="C10365" i="1"/>
  <c r="E10365" i="1"/>
  <c r="G10365" i="1"/>
  <c r="K10365" i="1"/>
  <c r="A10366" i="1"/>
  <c r="B10366" i="1"/>
  <c r="C10366" i="1"/>
  <c r="E10366" i="1"/>
  <c r="G10366" i="1"/>
  <c r="K10366" i="1"/>
  <c r="A10367" i="1"/>
  <c r="B10367" i="1"/>
  <c r="C10367" i="1"/>
  <c r="E10367" i="1"/>
  <c r="G10367" i="1"/>
  <c r="K10367" i="1"/>
  <c r="A10368" i="1"/>
  <c r="B10368" i="1"/>
  <c r="C10368" i="1"/>
  <c r="E10368" i="1"/>
  <c r="G10368" i="1"/>
  <c r="K10368" i="1"/>
  <c r="A10369" i="1"/>
  <c r="B10369" i="1"/>
  <c r="C10369" i="1"/>
  <c r="E10369" i="1"/>
  <c r="G10369" i="1"/>
  <c r="K10369" i="1"/>
  <c r="A10370" i="1"/>
  <c r="B10370" i="1"/>
  <c r="C10370" i="1"/>
  <c r="E10370" i="1"/>
  <c r="G10370" i="1"/>
  <c r="K10370" i="1"/>
  <c r="A10371" i="1"/>
  <c r="B10371" i="1"/>
  <c r="C10371" i="1"/>
  <c r="E10371" i="1"/>
  <c r="G10371" i="1"/>
  <c r="K10371" i="1"/>
  <c r="A10372" i="1"/>
  <c r="B10372" i="1"/>
  <c r="C10372" i="1"/>
  <c r="E10372" i="1"/>
  <c r="G10372" i="1"/>
  <c r="K10372" i="1"/>
  <c r="A10373" i="1"/>
  <c r="B10373" i="1"/>
  <c r="C10373" i="1"/>
  <c r="E10373" i="1"/>
  <c r="G10373" i="1"/>
  <c r="K10373" i="1"/>
  <c r="A10374" i="1"/>
  <c r="B10374" i="1"/>
  <c r="C10374" i="1"/>
  <c r="E10374" i="1"/>
  <c r="G10374" i="1"/>
  <c r="K10374" i="1"/>
  <c r="A10375" i="1"/>
  <c r="B10375" i="1"/>
  <c r="C10375" i="1"/>
  <c r="E10375" i="1"/>
  <c r="G10375" i="1"/>
  <c r="K10375" i="1"/>
  <c r="A10376" i="1"/>
  <c r="B10376" i="1"/>
  <c r="C10376" i="1"/>
  <c r="E10376" i="1"/>
  <c r="G10376" i="1"/>
  <c r="K10376" i="1"/>
  <c r="A10377" i="1"/>
  <c r="B10377" i="1"/>
  <c r="C10377" i="1"/>
  <c r="E10377" i="1"/>
  <c r="G10377" i="1"/>
  <c r="K10377" i="1"/>
  <c r="A10378" i="1"/>
  <c r="B10378" i="1"/>
  <c r="C10378" i="1"/>
  <c r="E10378" i="1"/>
  <c r="G10378" i="1"/>
  <c r="K10378" i="1"/>
  <c r="A10379" i="1"/>
  <c r="B10379" i="1"/>
  <c r="C10379" i="1"/>
  <c r="E10379" i="1"/>
  <c r="G10379" i="1"/>
  <c r="K10379" i="1"/>
  <c r="A10380" i="1"/>
  <c r="B10380" i="1"/>
  <c r="C10380" i="1"/>
  <c r="E10380" i="1"/>
  <c r="G10380" i="1"/>
  <c r="K10380" i="1"/>
  <c r="A10381" i="1"/>
  <c r="B10381" i="1"/>
  <c r="C10381" i="1"/>
  <c r="E10381" i="1"/>
  <c r="G10381" i="1"/>
  <c r="K10381" i="1"/>
  <c r="A10382" i="1"/>
  <c r="B10382" i="1"/>
  <c r="C10382" i="1"/>
  <c r="E10382" i="1"/>
  <c r="G10382" i="1"/>
  <c r="K10382" i="1"/>
  <c r="A10383" i="1"/>
  <c r="B10383" i="1"/>
  <c r="C10383" i="1"/>
  <c r="E10383" i="1"/>
  <c r="G10383" i="1"/>
  <c r="K10383" i="1"/>
  <c r="A10384" i="1"/>
  <c r="B10384" i="1"/>
  <c r="C10384" i="1"/>
  <c r="E10384" i="1"/>
  <c r="G10384" i="1"/>
  <c r="K10384" i="1"/>
  <c r="A10385" i="1"/>
  <c r="B10385" i="1"/>
  <c r="C10385" i="1"/>
  <c r="E10385" i="1"/>
  <c r="G10385" i="1"/>
  <c r="K10385" i="1"/>
  <c r="A10386" i="1"/>
  <c r="B10386" i="1"/>
  <c r="C10386" i="1"/>
  <c r="E10386" i="1"/>
  <c r="G10386" i="1"/>
  <c r="K10386" i="1"/>
  <c r="A10387" i="1"/>
  <c r="B10387" i="1"/>
  <c r="C10387" i="1"/>
  <c r="E10387" i="1"/>
  <c r="G10387" i="1"/>
  <c r="K10387" i="1"/>
  <c r="A10388" i="1"/>
  <c r="B10388" i="1"/>
  <c r="C10388" i="1"/>
  <c r="E10388" i="1"/>
  <c r="G10388" i="1"/>
  <c r="K10388" i="1"/>
  <c r="A10389" i="1"/>
  <c r="B10389" i="1"/>
  <c r="C10389" i="1"/>
  <c r="E10389" i="1"/>
  <c r="G10389" i="1"/>
  <c r="K10389" i="1"/>
  <c r="A10390" i="1"/>
  <c r="B10390" i="1"/>
  <c r="C10390" i="1"/>
  <c r="E10390" i="1"/>
  <c r="G10390" i="1"/>
  <c r="K10390" i="1"/>
  <c r="A10391" i="1"/>
  <c r="B10391" i="1"/>
  <c r="C10391" i="1"/>
  <c r="E10391" i="1"/>
  <c r="G10391" i="1"/>
  <c r="K10391" i="1"/>
  <c r="A10392" i="1"/>
  <c r="B10392" i="1"/>
  <c r="C10392" i="1"/>
  <c r="E10392" i="1"/>
  <c r="G10392" i="1"/>
  <c r="K10392" i="1"/>
  <c r="A10393" i="1"/>
  <c r="B10393" i="1"/>
  <c r="C10393" i="1"/>
  <c r="E10393" i="1"/>
  <c r="G10393" i="1"/>
  <c r="K10393" i="1"/>
  <c r="A10394" i="1"/>
  <c r="B10394" i="1"/>
  <c r="C10394" i="1"/>
  <c r="E10394" i="1"/>
  <c r="G10394" i="1"/>
  <c r="K10394" i="1"/>
  <c r="A10395" i="1"/>
  <c r="B10395" i="1"/>
  <c r="C10395" i="1"/>
  <c r="E10395" i="1"/>
  <c r="G10395" i="1"/>
  <c r="K10395" i="1"/>
  <c r="A10396" i="1"/>
  <c r="B10396" i="1"/>
  <c r="C10396" i="1"/>
  <c r="E10396" i="1"/>
  <c r="G10396" i="1"/>
  <c r="K10396" i="1"/>
  <c r="A10397" i="1"/>
  <c r="B10397" i="1"/>
  <c r="C10397" i="1"/>
  <c r="E10397" i="1"/>
  <c r="G10397" i="1"/>
  <c r="K10397" i="1"/>
  <c r="A10398" i="1"/>
  <c r="B10398" i="1"/>
  <c r="C10398" i="1"/>
  <c r="E10398" i="1"/>
  <c r="G10398" i="1"/>
  <c r="K10398" i="1"/>
  <c r="A10399" i="1"/>
  <c r="B10399" i="1"/>
  <c r="C10399" i="1"/>
  <c r="E10399" i="1"/>
  <c r="G10399" i="1"/>
  <c r="K10399" i="1"/>
  <c r="A10400" i="1"/>
  <c r="B10400" i="1"/>
  <c r="C10400" i="1"/>
  <c r="E10400" i="1"/>
  <c r="G10400" i="1"/>
  <c r="K10400" i="1"/>
  <c r="A10401" i="1"/>
  <c r="B10401" i="1"/>
  <c r="C10401" i="1"/>
  <c r="E10401" i="1"/>
  <c r="G10401" i="1"/>
  <c r="K10401" i="1"/>
  <c r="A10402" i="1"/>
  <c r="B10402" i="1"/>
  <c r="C10402" i="1"/>
  <c r="E10402" i="1"/>
  <c r="G10402" i="1"/>
  <c r="K10402" i="1"/>
  <c r="A10403" i="1"/>
  <c r="B10403" i="1"/>
  <c r="C10403" i="1"/>
  <c r="E10403" i="1"/>
  <c r="G10403" i="1"/>
  <c r="K10403" i="1"/>
  <c r="A10404" i="1"/>
  <c r="B10404" i="1"/>
  <c r="C10404" i="1"/>
  <c r="E10404" i="1"/>
  <c r="G10404" i="1"/>
  <c r="K10404" i="1"/>
  <c r="A10405" i="1"/>
  <c r="B10405" i="1"/>
  <c r="C10405" i="1"/>
  <c r="E10405" i="1"/>
  <c r="G10405" i="1"/>
  <c r="K10405" i="1"/>
  <c r="A10406" i="1"/>
  <c r="B10406" i="1"/>
  <c r="C10406" i="1"/>
  <c r="E10406" i="1"/>
  <c r="G10406" i="1"/>
  <c r="K10406" i="1"/>
  <c r="A10407" i="1"/>
  <c r="B10407" i="1"/>
  <c r="C10407" i="1"/>
  <c r="E10407" i="1"/>
  <c r="G10407" i="1"/>
  <c r="K10407" i="1"/>
  <c r="A10408" i="1"/>
  <c r="B10408" i="1"/>
  <c r="C10408" i="1"/>
  <c r="E10408" i="1"/>
  <c r="G10408" i="1"/>
  <c r="K10408" i="1"/>
  <c r="A10409" i="1"/>
  <c r="B10409" i="1"/>
  <c r="C10409" i="1"/>
  <c r="E10409" i="1"/>
  <c r="G10409" i="1"/>
  <c r="K10409" i="1"/>
  <c r="A10410" i="1"/>
  <c r="B10410" i="1"/>
  <c r="C10410" i="1"/>
  <c r="E10410" i="1"/>
  <c r="G10410" i="1"/>
  <c r="K10410" i="1"/>
  <c r="A10411" i="1"/>
  <c r="B10411" i="1"/>
  <c r="C10411" i="1"/>
  <c r="E10411" i="1"/>
  <c r="G10411" i="1"/>
  <c r="K10411" i="1"/>
  <c r="A10412" i="1"/>
  <c r="B10412" i="1"/>
  <c r="C10412" i="1"/>
  <c r="E10412" i="1"/>
  <c r="G10412" i="1"/>
  <c r="K10412" i="1"/>
  <c r="A10413" i="1"/>
  <c r="B10413" i="1"/>
  <c r="C10413" i="1"/>
  <c r="E10413" i="1"/>
  <c r="G10413" i="1"/>
  <c r="K10413" i="1"/>
  <c r="A10414" i="1"/>
  <c r="B10414" i="1"/>
  <c r="C10414" i="1"/>
  <c r="E10414" i="1"/>
  <c r="G10414" i="1"/>
  <c r="K10414" i="1"/>
  <c r="A10415" i="1"/>
  <c r="B10415" i="1"/>
  <c r="C10415" i="1"/>
  <c r="E10415" i="1"/>
  <c r="G10415" i="1"/>
  <c r="K10415" i="1"/>
  <c r="A10416" i="1"/>
  <c r="B10416" i="1"/>
  <c r="C10416" i="1"/>
  <c r="E10416" i="1"/>
  <c r="G10416" i="1"/>
  <c r="K10416" i="1"/>
  <c r="A10417" i="1"/>
  <c r="B10417" i="1"/>
  <c r="C10417" i="1"/>
  <c r="E10417" i="1"/>
  <c r="G10417" i="1"/>
  <c r="K10417" i="1"/>
  <c r="A10418" i="1"/>
  <c r="B10418" i="1"/>
  <c r="C10418" i="1"/>
  <c r="E10418" i="1"/>
  <c r="G10418" i="1"/>
  <c r="K10418" i="1"/>
  <c r="A10419" i="1"/>
  <c r="B10419" i="1"/>
  <c r="C10419" i="1"/>
  <c r="E10419" i="1"/>
  <c r="G10419" i="1"/>
  <c r="K10419" i="1"/>
  <c r="A10420" i="1"/>
  <c r="B10420" i="1"/>
  <c r="C10420" i="1"/>
  <c r="E10420" i="1"/>
  <c r="G10420" i="1"/>
  <c r="K10420" i="1"/>
  <c r="A10421" i="1"/>
  <c r="B10421" i="1"/>
  <c r="C10421" i="1"/>
  <c r="E10421" i="1"/>
  <c r="G10421" i="1"/>
  <c r="K10421" i="1"/>
  <c r="A10422" i="1"/>
  <c r="B10422" i="1"/>
  <c r="C10422" i="1"/>
  <c r="E10422" i="1"/>
  <c r="G10422" i="1"/>
  <c r="K10422" i="1"/>
  <c r="A10423" i="1"/>
  <c r="B10423" i="1"/>
  <c r="C10423" i="1"/>
  <c r="E10423" i="1"/>
  <c r="G10423" i="1"/>
  <c r="K10423" i="1"/>
  <c r="A10424" i="1"/>
  <c r="B10424" i="1"/>
  <c r="C10424" i="1"/>
  <c r="E10424" i="1"/>
  <c r="G10424" i="1"/>
  <c r="K10424" i="1"/>
  <c r="A10425" i="1"/>
  <c r="B10425" i="1"/>
  <c r="C10425" i="1"/>
  <c r="E10425" i="1"/>
  <c r="G10425" i="1"/>
  <c r="K10425" i="1"/>
  <c r="A10426" i="1"/>
  <c r="B10426" i="1"/>
  <c r="C10426" i="1"/>
  <c r="E10426" i="1"/>
  <c r="G10426" i="1"/>
  <c r="K10426" i="1"/>
  <c r="A10427" i="1"/>
  <c r="B10427" i="1"/>
  <c r="C10427" i="1"/>
  <c r="E10427" i="1"/>
  <c r="G10427" i="1"/>
  <c r="K10427" i="1"/>
  <c r="A10428" i="1"/>
  <c r="B10428" i="1"/>
  <c r="C10428" i="1"/>
  <c r="E10428" i="1"/>
  <c r="G10428" i="1"/>
  <c r="K10428" i="1"/>
  <c r="A10429" i="1"/>
  <c r="B10429" i="1"/>
  <c r="C10429" i="1"/>
  <c r="E10429" i="1"/>
  <c r="G10429" i="1"/>
  <c r="K10429" i="1"/>
  <c r="A10430" i="1"/>
  <c r="B10430" i="1"/>
  <c r="C10430" i="1"/>
  <c r="E10430" i="1"/>
  <c r="G10430" i="1"/>
  <c r="K10430" i="1"/>
  <c r="A10431" i="1"/>
  <c r="B10431" i="1"/>
  <c r="C10431" i="1"/>
  <c r="E10431" i="1"/>
  <c r="G10431" i="1"/>
  <c r="K10431" i="1"/>
  <c r="A10432" i="1"/>
  <c r="B10432" i="1"/>
  <c r="C10432" i="1"/>
  <c r="E10432" i="1"/>
  <c r="G10432" i="1"/>
  <c r="K10432" i="1"/>
  <c r="A10433" i="1"/>
  <c r="B10433" i="1"/>
  <c r="C10433" i="1"/>
  <c r="E10433" i="1"/>
  <c r="G10433" i="1"/>
  <c r="K10433" i="1"/>
  <c r="A10434" i="1"/>
  <c r="B10434" i="1"/>
  <c r="C10434" i="1"/>
  <c r="E10434" i="1"/>
  <c r="G10434" i="1"/>
  <c r="K10434" i="1"/>
  <c r="A10435" i="1"/>
  <c r="B10435" i="1"/>
  <c r="C10435" i="1"/>
  <c r="E10435" i="1"/>
  <c r="G10435" i="1"/>
  <c r="K10435" i="1"/>
  <c r="A10436" i="1"/>
  <c r="B10436" i="1"/>
  <c r="C10436" i="1"/>
  <c r="E10436" i="1"/>
  <c r="G10436" i="1"/>
  <c r="K10436" i="1"/>
  <c r="A10437" i="1"/>
  <c r="B10437" i="1"/>
  <c r="C10437" i="1"/>
  <c r="E10437" i="1"/>
  <c r="G10437" i="1"/>
  <c r="K10437" i="1"/>
  <c r="A10438" i="1"/>
  <c r="B10438" i="1"/>
  <c r="C10438" i="1"/>
  <c r="E10438" i="1"/>
  <c r="G10438" i="1"/>
  <c r="K10438" i="1"/>
  <c r="A10439" i="1"/>
  <c r="B10439" i="1"/>
  <c r="C10439" i="1"/>
  <c r="E10439" i="1"/>
  <c r="G10439" i="1"/>
  <c r="K10439" i="1"/>
  <c r="A10440" i="1"/>
  <c r="B10440" i="1"/>
  <c r="C10440" i="1"/>
  <c r="E10440" i="1"/>
  <c r="G10440" i="1"/>
  <c r="K10440" i="1"/>
  <c r="A10441" i="1"/>
  <c r="B10441" i="1"/>
  <c r="C10441" i="1"/>
  <c r="E10441" i="1"/>
  <c r="G10441" i="1"/>
  <c r="K10441" i="1"/>
  <c r="A10442" i="1"/>
  <c r="B10442" i="1"/>
  <c r="C10442" i="1"/>
  <c r="E10442" i="1"/>
  <c r="G10442" i="1"/>
  <c r="K10442" i="1"/>
  <c r="A10443" i="1"/>
  <c r="B10443" i="1"/>
  <c r="C10443" i="1"/>
  <c r="E10443" i="1"/>
  <c r="G10443" i="1"/>
  <c r="K10443" i="1"/>
  <c r="A10444" i="1"/>
  <c r="B10444" i="1"/>
  <c r="C10444" i="1"/>
  <c r="E10444" i="1"/>
  <c r="G10444" i="1"/>
  <c r="K10444" i="1"/>
  <c r="A10445" i="1"/>
  <c r="B10445" i="1"/>
  <c r="C10445" i="1"/>
  <c r="E10445" i="1"/>
  <c r="G10445" i="1"/>
  <c r="K10445" i="1"/>
  <c r="A10446" i="1"/>
  <c r="B10446" i="1"/>
  <c r="C10446" i="1"/>
  <c r="E10446" i="1"/>
  <c r="G10446" i="1"/>
  <c r="K10446" i="1"/>
  <c r="A10447" i="1"/>
  <c r="B10447" i="1"/>
  <c r="C10447" i="1"/>
  <c r="E10447" i="1"/>
  <c r="G10447" i="1"/>
  <c r="K10447" i="1"/>
  <c r="A10448" i="1"/>
  <c r="B10448" i="1"/>
  <c r="C10448" i="1"/>
  <c r="E10448" i="1"/>
  <c r="G10448" i="1"/>
  <c r="K10448" i="1"/>
  <c r="A10449" i="1"/>
  <c r="B10449" i="1"/>
  <c r="C10449" i="1"/>
  <c r="E10449" i="1"/>
  <c r="G10449" i="1"/>
  <c r="K10449" i="1"/>
  <c r="A10450" i="1"/>
  <c r="B10450" i="1"/>
  <c r="C10450" i="1"/>
  <c r="E10450" i="1"/>
  <c r="G10450" i="1"/>
  <c r="K10450" i="1"/>
  <c r="A10451" i="1"/>
  <c r="B10451" i="1"/>
  <c r="C10451" i="1"/>
  <c r="E10451" i="1"/>
  <c r="G10451" i="1"/>
  <c r="K10451" i="1"/>
  <c r="A10452" i="1"/>
  <c r="B10452" i="1"/>
  <c r="C10452" i="1"/>
  <c r="E10452" i="1"/>
  <c r="G10452" i="1"/>
  <c r="K10452" i="1"/>
  <c r="A10453" i="1"/>
  <c r="B10453" i="1"/>
  <c r="C10453" i="1"/>
  <c r="E10453" i="1"/>
  <c r="G10453" i="1"/>
  <c r="K10453" i="1"/>
  <c r="A10454" i="1"/>
  <c r="B10454" i="1"/>
  <c r="C10454" i="1"/>
  <c r="E10454" i="1"/>
  <c r="G10454" i="1"/>
  <c r="K10454" i="1"/>
  <c r="A10455" i="1"/>
  <c r="B10455" i="1"/>
  <c r="C10455" i="1"/>
  <c r="E10455" i="1"/>
  <c r="G10455" i="1"/>
  <c r="K10455" i="1"/>
  <c r="A10456" i="1"/>
  <c r="B10456" i="1"/>
  <c r="C10456" i="1"/>
  <c r="E10456" i="1"/>
  <c r="G10456" i="1"/>
  <c r="K10456" i="1"/>
  <c r="A10457" i="1"/>
  <c r="B10457" i="1"/>
  <c r="C10457" i="1"/>
  <c r="E10457" i="1"/>
  <c r="G10457" i="1"/>
  <c r="K10457" i="1"/>
  <c r="A10458" i="1"/>
  <c r="B10458" i="1"/>
  <c r="C10458" i="1"/>
  <c r="E10458" i="1"/>
  <c r="G10458" i="1"/>
  <c r="K10458" i="1"/>
  <c r="A10459" i="1"/>
  <c r="B10459" i="1"/>
  <c r="C10459" i="1"/>
  <c r="E10459" i="1"/>
  <c r="G10459" i="1"/>
  <c r="K10459" i="1"/>
  <c r="A10460" i="1"/>
  <c r="B10460" i="1"/>
  <c r="C10460" i="1"/>
  <c r="E10460" i="1"/>
  <c r="G10460" i="1"/>
  <c r="K10460" i="1"/>
  <c r="A10461" i="1"/>
  <c r="B10461" i="1"/>
  <c r="C10461" i="1"/>
  <c r="E10461" i="1"/>
  <c r="G10461" i="1"/>
  <c r="K10461" i="1"/>
  <c r="A10462" i="1"/>
  <c r="B10462" i="1"/>
  <c r="C10462" i="1"/>
  <c r="E10462" i="1"/>
  <c r="G10462" i="1"/>
  <c r="K10462" i="1"/>
  <c r="A10463" i="1"/>
  <c r="B10463" i="1"/>
  <c r="C10463" i="1"/>
  <c r="E10463" i="1"/>
  <c r="G10463" i="1"/>
  <c r="K10463" i="1"/>
  <c r="A10464" i="1"/>
  <c r="B10464" i="1"/>
  <c r="C10464" i="1"/>
  <c r="E10464" i="1"/>
  <c r="G10464" i="1"/>
  <c r="K10464" i="1"/>
  <c r="A10465" i="1"/>
  <c r="B10465" i="1"/>
  <c r="C10465" i="1"/>
  <c r="E10465" i="1"/>
  <c r="G10465" i="1"/>
  <c r="K10465" i="1"/>
  <c r="A10466" i="1"/>
  <c r="B10466" i="1"/>
  <c r="C10466" i="1"/>
  <c r="E10466" i="1"/>
  <c r="G10466" i="1"/>
  <c r="K10466" i="1"/>
  <c r="A10467" i="1"/>
  <c r="B10467" i="1"/>
  <c r="C10467" i="1"/>
  <c r="E10467" i="1"/>
  <c r="G10467" i="1"/>
  <c r="K10467" i="1"/>
  <c r="A10468" i="1"/>
  <c r="B10468" i="1"/>
  <c r="C10468" i="1"/>
  <c r="E10468" i="1"/>
  <c r="G10468" i="1"/>
  <c r="K10468" i="1"/>
  <c r="A10469" i="1"/>
  <c r="B10469" i="1"/>
  <c r="C10469" i="1"/>
  <c r="E10469" i="1"/>
  <c r="G10469" i="1"/>
  <c r="K10469" i="1"/>
  <c r="A10470" i="1"/>
  <c r="B10470" i="1"/>
  <c r="C10470" i="1"/>
  <c r="E10470" i="1"/>
  <c r="G10470" i="1"/>
  <c r="K10470" i="1"/>
  <c r="A10471" i="1"/>
  <c r="B10471" i="1"/>
  <c r="C10471" i="1"/>
  <c r="E10471" i="1"/>
  <c r="G10471" i="1"/>
  <c r="K10471" i="1"/>
  <c r="A10472" i="1"/>
  <c r="B10472" i="1"/>
  <c r="C10472" i="1"/>
  <c r="E10472" i="1"/>
  <c r="G10472" i="1"/>
  <c r="K10472" i="1"/>
  <c r="A10473" i="1"/>
  <c r="B10473" i="1"/>
  <c r="C10473" i="1"/>
  <c r="E10473" i="1"/>
  <c r="G10473" i="1"/>
  <c r="K10473" i="1"/>
  <c r="A10474" i="1"/>
  <c r="B10474" i="1"/>
  <c r="C10474" i="1"/>
  <c r="E10474" i="1"/>
  <c r="G10474" i="1"/>
  <c r="K10474" i="1"/>
  <c r="A10475" i="1"/>
  <c r="B10475" i="1"/>
  <c r="C10475" i="1"/>
  <c r="E10475" i="1"/>
  <c r="G10475" i="1"/>
  <c r="K10475" i="1"/>
  <c r="A10476" i="1"/>
  <c r="B10476" i="1"/>
  <c r="C10476" i="1"/>
  <c r="E10476" i="1"/>
  <c r="G10476" i="1"/>
  <c r="K10476" i="1"/>
  <c r="A10477" i="1"/>
  <c r="B10477" i="1"/>
  <c r="C10477" i="1"/>
  <c r="E10477" i="1"/>
  <c r="G10477" i="1"/>
  <c r="K10477" i="1"/>
  <c r="A10478" i="1"/>
  <c r="B10478" i="1"/>
  <c r="C10478" i="1"/>
  <c r="E10478" i="1"/>
  <c r="G10478" i="1"/>
  <c r="K10478" i="1"/>
  <c r="A10479" i="1"/>
  <c r="B10479" i="1"/>
  <c r="C10479" i="1"/>
  <c r="E10479" i="1"/>
  <c r="G10479" i="1"/>
  <c r="K10479" i="1"/>
  <c r="A10480" i="1"/>
  <c r="B10480" i="1"/>
  <c r="C10480" i="1"/>
  <c r="E10480" i="1"/>
  <c r="G10480" i="1"/>
  <c r="K10480" i="1"/>
  <c r="A10481" i="1"/>
  <c r="B10481" i="1"/>
  <c r="C10481" i="1"/>
  <c r="E10481" i="1"/>
  <c r="G10481" i="1"/>
  <c r="K10481" i="1"/>
  <c r="A10482" i="1"/>
  <c r="B10482" i="1"/>
  <c r="C10482" i="1"/>
  <c r="E10482" i="1"/>
  <c r="G10482" i="1"/>
  <c r="K10482" i="1"/>
  <c r="A10483" i="1"/>
  <c r="B10483" i="1"/>
  <c r="C10483" i="1"/>
  <c r="E10483" i="1"/>
  <c r="G10483" i="1"/>
  <c r="K10483" i="1"/>
  <c r="A10484" i="1"/>
  <c r="B10484" i="1"/>
  <c r="C10484" i="1"/>
  <c r="E10484" i="1"/>
  <c r="G10484" i="1"/>
  <c r="K10484" i="1"/>
  <c r="A10485" i="1"/>
  <c r="B10485" i="1"/>
  <c r="C10485" i="1"/>
  <c r="E10485" i="1"/>
  <c r="G10485" i="1"/>
  <c r="K10485" i="1"/>
  <c r="A10486" i="1"/>
  <c r="B10486" i="1"/>
  <c r="C10486" i="1"/>
  <c r="E10486" i="1"/>
  <c r="G10486" i="1"/>
  <c r="K10486" i="1"/>
  <c r="A10487" i="1"/>
  <c r="B10487" i="1"/>
  <c r="C10487" i="1"/>
  <c r="E10487" i="1"/>
  <c r="G10487" i="1"/>
  <c r="K10487" i="1"/>
  <c r="A10488" i="1"/>
  <c r="B10488" i="1"/>
  <c r="C10488" i="1"/>
  <c r="E10488" i="1"/>
  <c r="G10488" i="1"/>
  <c r="K10488" i="1"/>
  <c r="A10489" i="1"/>
  <c r="B10489" i="1"/>
  <c r="C10489" i="1"/>
  <c r="E10489" i="1"/>
  <c r="G10489" i="1"/>
  <c r="K10489" i="1"/>
  <c r="A10490" i="1"/>
  <c r="B10490" i="1"/>
  <c r="C10490" i="1"/>
  <c r="E10490" i="1"/>
  <c r="G10490" i="1"/>
  <c r="K10490" i="1"/>
  <c r="A10491" i="1"/>
  <c r="B10491" i="1"/>
  <c r="C10491" i="1"/>
  <c r="E10491" i="1"/>
  <c r="G10491" i="1"/>
  <c r="K10491" i="1"/>
  <c r="A10492" i="1"/>
  <c r="B10492" i="1"/>
  <c r="C10492" i="1"/>
  <c r="E10492" i="1"/>
  <c r="G10492" i="1"/>
  <c r="K10492" i="1"/>
  <c r="A10493" i="1"/>
  <c r="B10493" i="1"/>
  <c r="C10493" i="1"/>
  <c r="E10493" i="1"/>
  <c r="G10493" i="1"/>
  <c r="K10493" i="1"/>
  <c r="A10494" i="1"/>
  <c r="B10494" i="1"/>
  <c r="C10494" i="1"/>
  <c r="E10494" i="1"/>
  <c r="G10494" i="1"/>
  <c r="K10494" i="1"/>
  <c r="A10495" i="1"/>
  <c r="B10495" i="1"/>
  <c r="C10495" i="1"/>
  <c r="E10495" i="1"/>
  <c r="G10495" i="1"/>
  <c r="K10495" i="1"/>
  <c r="A10496" i="1"/>
  <c r="B10496" i="1"/>
  <c r="C10496" i="1"/>
  <c r="E10496" i="1"/>
  <c r="G10496" i="1"/>
  <c r="K10496" i="1"/>
  <c r="A10497" i="1"/>
  <c r="B10497" i="1"/>
  <c r="C10497" i="1"/>
  <c r="E10497" i="1"/>
  <c r="G10497" i="1"/>
  <c r="K10497" i="1"/>
  <c r="A10498" i="1"/>
  <c r="B10498" i="1"/>
  <c r="C10498" i="1"/>
  <c r="E10498" i="1"/>
  <c r="G10498" i="1"/>
  <c r="K10498" i="1"/>
  <c r="A10499" i="1"/>
  <c r="B10499" i="1"/>
  <c r="C10499" i="1"/>
  <c r="E10499" i="1"/>
  <c r="G10499" i="1"/>
  <c r="K10499" i="1"/>
  <c r="A10500" i="1"/>
  <c r="B10500" i="1"/>
  <c r="C10500" i="1"/>
  <c r="E10500" i="1"/>
  <c r="G10500" i="1"/>
  <c r="K10500" i="1"/>
  <c r="A10501" i="1"/>
  <c r="B10501" i="1"/>
  <c r="C10501" i="1"/>
  <c r="E10501" i="1"/>
  <c r="G10501" i="1"/>
  <c r="K10501" i="1"/>
  <c r="A10502" i="1"/>
  <c r="B10502" i="1"/>
  <c r="C10502" i="1"/>
  <c r="E10502" i="1"/>
  <c r="G10502" i="1"/>
  <c r="K10502" i="1"/>
  <c r="A10503" i="1"/>
  <c r="B10503" i="1"/>
  <c r="C10503" i="1"/>
  <c r="E10503" i="1"/>
  <c r="G10503" i="1"/>
  <c r="K10503" i="1"/>
  <c r="A10504" i="1"/>
  <c r="B10504" i="1"/>
  <c r="C10504" i="1"/>
  <c r="E10504" i="1"/>
  <c r="G10504" i="1"/>
  <c r="K10504" i="1"/>
  <c r="A10505" i="1"/>
  <c r="B10505" i="1"/>
  <c r="C10505" i="1"/>
  <c r="E10505" i="1"/>
  <c r="G10505" i="1"/>
  <c r="K10505" i="1"/>
  <c r="A10506" i="1"/>
  <c r="B10506" i="1"/>
  <c r="C10506" i="1"/>
  <c r="E10506" i="1"/>
  <c r="G10506" i="1"/>
  <c r="K10506" i="1"/>
  <c r="A10507" i="1"/>
  <c r="B10507" i="1"/>
  <c r="C10507" i="1"/>
  <c r="E10507" i="1"/>
  <c r="G10507" i="1"/>
  <c r="K10507" i="1"/>
  <c r="A10508" i="1"/>
  <c r="B10508" i="1"/>
  <c r="C10508" i="1"/>
  <c r="E10508" i="1"/>
  <c r="G10508" i="1"/>
  <c r="K10508" i="1"/>
  <c r="A10509" i="1"/>
  <c r="B10509" i="1"/>
  <c r="C10509" i="1"/>
  <c r="E10509" i="1"/>
  <c r="G10509" i="1"/>
  <c r="K10509" i="1"/>
  <c r="A10510" i="1"/>
  <c r="B10510" i="1"/>
  <c r="C10510" i="1"/>
  <c r="E10510" i="1"/>
  <c r="G10510" i="1"/>
  <c r="K10510" i="1"/>
  <c r="A10511" i="1"/>
  <c r="B10511" i="1"/>
  <c r="C10511" i="1"/>
  <c r="E10511" i="1"/>
  <c r="G10511" i="1"/>
  <c r="K10511" i="1"/>
  <c r="A10512" i="1"/>
  <c r="B10512" i="1"/>
  <c r="C10512" i="1"/>
  <c r="E10512" i="1"/>
  <c r="G10512" i="1"/>
  <c r="K10512" i="1"/>
  <c r="A10513" i="1"/>
  <c r="B10513" i="1"/>
  <c r="C10513" i="1"/>
  <c r="E10513" i="1"/>
  <c r="G10513" i="1"/>
  <c r="K10513" i="1"/>
  <c r="A10514" i="1"/>
  <c r="B10514" i="1"/>
  <c r="C10514" i="1"/>
  <c r="E10514" i="1"/>
  <c r="G10514" i="1"/>
  <c r="K10514" i="1"/>
  <c r="A10515" i="1"/>
  <c r="B10515" i="1"/>
  <c r="C10515" i="1"/>
  <c r="E10515" i="1"/>
  <c r="G10515" i="1"/>
  <c r="K10515" i="1"/>
  <c r="A10516" i="1"/>
  <c r="B10516" i="1"/>
  <c r="C10516" i="1"/>
  <c r="E10516" i="1"/>
  <c r="G10516" i="1"/>
  <c r="K10516" i="1"/>
  <c r="A10517" i="1"/>
  <c r="B10517" i="1"/>
  <c r="C10517" i="1"/>
  <c r="E10517" i="1"/>
  <c r="G10517" i="1"/>
  <c r="K10517" i="1"/>
  <c r="A10518" i="1"/>
  <c r="B10518" i="1"/>
  <c r="C10518" i="1"/>
  <c r="E10518" i="1"/>
  <c r="G10518" i="1"/>
  <c r="K10518" i="1"/>
  <c r="A10519" i="1"/>
  <c r="B10519" i="1"/>
  <c r="C10519" i="1"/>
  <c r="E10519" i="1"/>
  <c r="G10519" i="1"/>
  <c r="K10519" i="1"/>
  <c r="A10520" i="1"/>
  <c r="B10520" i="1"/>
  <c r="C10520" i="1"/>
  <c r="E10520" i="1"/>
  <c r="G10520" i="1"/>
  <c r="K10520" i="1"/>
  <c r="A10521" i="1"/>
  <c r="B10521" i="1"/>
  <c r="C10521" i="1"/>
  <c r="E10521" i="1"/>
  <c r="G10521" i="1"/>
  <c r="K10521" i="1"/>
  <c r="A10522" i="1"/>
  <c r="B10522" i="1"/>
  <c r="C10522" i="1"/>
  <c r="E10522" i="1"/>
  <c r="G10522" i="1"/>
  <c r="K10522" i="1"/>
  <c r="A10523" i="1"/>
  <c r="B10523" i="1"/>
  <c r="C10523" i="1"/>
  <c r="E10523" i="1"/>
  <c r="G10523" i="1"/>
  <c r="K10523" i="1"/>
  <c r="A10524" i="1"/>
  <c r="B10524" i="1"/>
  <c r="C10524" i="1"/>
  <c r="E10524" i="1"/>
  <c r="G10524" i="1"/>
  <c r="K10524" i="1"/>
  <c r="A10525" i="1"/>
  <c r="B10525" i="1"/>
  <c r="C10525" i="1"/>
  <c r="E10525" i="1"/>
  <c r="G10525" i="1"/>
  <c r="K10525" i="1"/>
  <c r="A10526" i="1"/>
  <c r="B10526" i="1"/>
  <c r="C10526" i="1"/>
  <c r="E10526" i="1"/>
  <c r="G10526" i="1"/>
  <c r="K10526" i="1"/>
  <c r="A10527" i="1"/>
  <c r="B10527" i="1"/>
  <c r="C10527" i="1"/>
  <c r="E10527" i="1"/>
  <c r="G10527" i="1"/>
  <c r="K10527" i="1"/>
  <c r="A10528" i="1"/>
  <c r="B10528" i="1"/>
  <c r="C10528" i="1"/>
  <c r="E10528" i="1"/>
  <c r="G10528" i="1"/>
  <c r="K10528" i="1"/>
  <c r="A10529" i="1"/>
  <c r="B10529" i="1"/>
  <c r="C10529" i="1"/>
  <c r="E10529" i="1"/>
  <c r="G10529" i="1"/>
  <c r="K10529" i="1"/>
  <c r="A10530" i="1"/>
  <c r="B10530" i="1"/>
  <c r="C10530" i="1"/>
  <c r="E10530" i="1"/>
  <c r="G10530" i="1"/>
  <c r="K10530" i="1"/>
  <c r="A10531" i="1"/>
  <c r="B10531" i="1"/>
  <c r="C10531" i="1"/>
  <c r="E10531" i="1"/>
  <c r="G10531" i="1"/>
  <c r="K10531" i="1"/>
  <c r="A10532" i="1"/>
  <c r="B10532" i="1"/>
  <c r="C10532" i="1"/>
  <c r="E10532" i="1"/>
  <c r="G10532" i="1"/>
  <c r="K10532" i="1"/>
  <c r="A10533" i="1"/>
  <c r="B10533" i="1"/>
  <c r="C10533" i="1"/>
  <c r="E10533" i="1"/>
  <c r="G10533" i="1"/>
  <c r="K10533" i="1"/>
  <c r="A10534" i="1"/>
  <c r="B10534" i="1"/>
  <c r="C10534" i="1"/>
  <c r="E10534" i="1"/>
  <c r="G10534" i="1"/>
  <c r="K10534" i="1"/>
  <c r="A10535" i="1"/>
  <c r="B10535" i="1"/>
  <c r="C10535" i="1"/>
  <c r="E10535" i="1"/>
  <c r="G10535" i="1"/>
  <c r="K10535" i="1"/>
  <c r="A10536" i="1"/>
  <c r="B10536" i="1"/>
  <c r="C10536" i="1"/>
  <c r="E10536" i="1"/>
  <c r="G10536" i="1"/>
  <c r="K10536" i="1"/>
  <c r="A10537" i="1"/>
  <c r="B10537" i="1"/>
  <c r="C10537" i="1"/>
  <c r="E10537" i="1"/>
  <c r="G10537" i="1"/>
  <c r="K10537" i="1"/>
  <c r="A10538" i="1"/>
  <c r="B10538" i="1"/>
  <c r="C10538" i="1"/>
  <c r="E10538" i="1"/>
  <c r="G10538" i="1"/>
  <c r="K10538" i="1"/>
  <c r="A10539" i="1"/>
  <c r="B10539" i="1"/>
  <c r="C10539" i="1"/>
  <c r="E10539" i="1"/>
  <c r="G10539" i="1"/>
  <c r="K10539" i="1"/>
  <c r="A10540" i="1"/>
  <c r="B10540" i="1"/>
  <c r="C10540" i="1"/>
  <c r="E10540" i="1"/>
  <c r="G10540" i="1"/>
  <c r="K10540" i="1"/>
  <c r="A10541" i="1"/>
  <c r="B10541" i="1"/>
  <c r="C10541" i="1"/>
  <c r="E10541" i="1"/>
  <c r="G10541" i="1"/>
  <c r="K10541" i="1"/>
  <c r="A10542" i="1"/>
  <c r="B10542" i="1"/>
  <c r="C10542" i="1"/>
  <c r="E10542" i="1"/>
  <c r="G10542" i="1"/>
  <c r="K10542" i="1"/>
  <c r="A10543" i="1"/>
  <c r="B10543" i="1"/>
  <c r="C10543" i="1"/>
  <c r="E10543" i="1"/>
  <c r="G10543" i="1"/>
  <c r="K10543" i="1"/>
  <c r="A10544" i="1"/>
  <c r="B10544" i="1"/>
  <c r="C10544" i="1"/>
  <c r="E10544" i="1"/>
  <c r="G10544" i="1"/>
  <c r="K10544" i="1"/>
  <c r="A10545" i="1"/>
  <c r="B10545" i="1"/>
  <c r="C10545" i="1"/>
  <c r="E10545" i="1"/>
  <c r="G10545" i="1"/>
  <c r="K10545" i="1"/>
  <c r="A10546" i="1"/>
  <c r="B10546" i="1"/>
  <c r="C10546" i="1"/>
  <c r="E10546" i="1"/>
  <c r="G10546" i="1"/>
  <c r="K10546" i="1"/>
  <c r="A10547" i="1"/>
  <c r="B10547" i="1"/>
  <c r="C10547" i="1"/>
  <c r="E10547" i="1"/>
  <c r="G10547" i="1"/>
  <c r="K10547" i="1"/>
  <c r="A10548" i="1"/>
  <c r="B10548" i="1"/>
  <c r="C10548" i="1"/>
  <c r="E10548" i="1"/>
  <c r="G10548" i="1"/>
  <c r="K10548" i="1"/>
  <c r="A10549" i="1"/>
  <c r="B10549" i="1"/>
  <c r="C10549" i="1"/>
  <c r="E10549" i="1"/>
  <c r="G10549" i="1"/>
  <c r="K10549" i="1"/>
  <c r="A10550" i="1"/>
  <c r="B10550" i="1"/>
  <c r="C10550" i="1"/>
  <c r="E10550" i="1"/>
  <c r="G10550" i="1"/>
  <c r="K10550" i="1"/>
  <c r="A10551" i="1"/>
  <c r="B10551" i="1"/>
  <c r="C10551" i="1"/>
  <c r="E10551" i="1"/>
  <c r="G10551" i="1"/>
  <c r="K10551" i="1"/>
  <c r="A10552" i="1"/>
  <c r="B10552" i="1"/>
  <c r="C10552" i="1"/>
  <c r="E10552" i="1"/>
  <c r="G10552" i="1"/>
  <c r="K10552" i="1"/>
  <c r="A10553" i="1"/>
  <c r="B10553" i="1"/>
  <c r="C10553" i="1"/>
  <c r="E10553" i="1"/>
  <c r="G10553" i="1"/>
  <c r="K10553" i="1"/>
  <c r="A10554" i="1"/>
  <c r="B10554" i="1"/>
  <c r="C10554" i="1"/>
  <c r="E10554" i="1"/>
  <c r="G10554" i="1"/>
  <c r="K10554" i="1"/>
  <c r="A10555" i="1"/>
  <c r="B10555" i="1"/>
  <c r="C10555" i="1"/>
  <c r="E10555" i="1"/>
  <c r="G10555" i="1"/>
  <c r="K10555" i="1"/>
  <c r="A10556" i="1"/>
  <c r="B10556" i="1"/>
  <c r="C10556" i="1"/>
  <c r="E10556" i="1"/>
  <c r="G10556" i="1"/>
  <c r="K10556" i="1"/>
  <c r="A10557" i="1"/>
  <c r="B10557" i="1"/>
  <c r="C10557" i="1"/>
  <c r="E10557" i="1"/>
  <c r="G10557" i="1"/>
  <c r="K10557" i="1"/>
  <c r="A10558" i="1"/>
  <c r="B10558" i="1"/>
  <c r="C10558" i="1"/>
  <c r="E10558" i="1"/>
  <c r="G10558" i="1"/>
  <c r="K10558" i="1"/>
  <c r="A10559" i="1"/>
  <c r="B10559" i="1"/>
  <c r="C10559" i="1"/>
  <c r="E10559" i="1"/>
  <c r="G10559" i="1"/>
  <c r="K10559" i="1"/>
  <c r="A10560" i="1"/>
  <c r="B10560" i="1"/>
  <c r="C10560" i="1"/>
  <c r="E10560" i="1"/>
  <c r="G10560" i="1"/>
  <c r="K10560" i="1"/>
  <c r="A10561" i="1"/>
  <c r="B10561" i="1"/>
  <c r="C10561" i="1"/>
  <c r="E10561" i="1"/>
  <c r="G10561" i="1"/>
  <c r="K10561" i="1"/>
  <c r="A10562" i="1"/>
  <c r="B10562" i="1"/>
  <c r="C10562" i="1"/>
  <c r="E10562" i="1"/>
  <c r="G10562" i="1"/>
  <c r="K10562" i="1"/>
  <c r="A10563" i="1"/>
  <c r="B10563" i="1"/>
  <c r="C10563" i="1"/>
  <c r="E10563" i="1"/>
  <c r="G10563" i="1"/>
  <c r="K10563" i="1"/>
  <c r="A10564" i="1"/>
  <c r="B10564" i="1"/>
  <c r="C10564" i="1"/>
  <c r="E10564" i="1"/>
  <c r="G10564" i="1"/>
  <c r="K10564" i="1"/>
  <c r="A10565" i="1"/>
  <c r="B10565" i="1"/>
  <c r="C10565" i="1"/>
  <c r="E10565" i="1"/>
  <c r="G10565" i="1"/>
  <c r="K10565" i="1"/>
  <c r="A10566" i="1"/>
  <c r="B10566" i="1"/>
  <c r="C10566" i="1"/>
  <c r="E10566" i="1"/>
  <c r="G10566" i="1"/>
  <c r="K10566" i="1"/>
  <c r="A10567" i="1"/>
  <c r="B10567" i="1"/>
  <c r="C10567" i="1"/>
  <c r="E10567" i="1"/>
  <c r="G10567" i="1"/>
  <c r="K10567" i="1"/>
  <c r="A10568" i="1"/>
  <c r="B10568" i="1"/>
  <c r="C10568" i="1"/>
  <c r="E10568" i="1"/>
  <c r="G10568" i="1"/>
  <c r="K10568" i="1"/>
  <c r="A10569" i="1"/>
  <c r="B10569" i="1"/>
  <c r="C10569" i="1"/>
  <c r="E10569" i="1"/>
  <c r="G10569" i="1"/>
  <c r="K10569" i="1"/>
  <c r="A10570" i="1"/>
  <c r="B10570" i="1"/>
  <c r="C10570" i="1"/>
  <c r="E10570" i="1"/>
  <c r="G10570" i="1"/>
  <c r="K10570" i="1"/>
  <c r="A10571" i="1"/>
  <c r="B10571" i="1"/>
  <c r="C10571" i="1"/>
  <c r="E10571" i="1"/>
  <c r="G10571" i="1"/>
  <c r="K10571" i="1"/>
  <c r="A10572" i="1"/>
  <c r="B10572" i="1"/>
  <c r="C10572" i="1"/>
  <c r="E10572" i="1"/>
  <c r="G10572" i="1"/>
  <c r="K10572" i="1"/>
  <c r="A10573" i="1"/>
  <c r="B10573" i="1"/>
  <c r="C10573" i="1"/>
  <c r="E10573" i="1"/>
  <c r="G10573" i="1"/>
  <c r="K10573" i="1"/>
  <c r="A10574" i="1"/>
  <c r="B10574" i="1"/>
  <c r="C10574" i="1"/>
  <c r="E10574" i="1"/>
  <c r="G10574" i="1"/>
  <c r="K10574" i="1"/>
  <c r="A10575" i="1"/>
  <c r="B10575" i="1"/>
  <c r="C10575" i="1"/>
  <c r="E10575" i="1"/>
  <c r="G10575" i="1"/>
  <c r="K10575" i="1"/>
  <c r="A10576" i="1"/>
  <c r="B10576" i="1"/>
  <c r="C10576" i="1"/>
  <c r="E10576" i="1"/>
  <c r="G10576" i="1"/>
  <c r="K10576" i="1"/>
  <c r="A10577" i="1"/>
  <c r="B10577" i="1"/>
  <c r="C10577" i="1"/>
  <c r="E10577" i="1"/>
  <c r="G10577" i="1"/>
  <c r="K10577" i="1"/>
  <c r="A10578" i="1"/>
  <c r="B10578" i="1"/>
  <c r="C10578" i="1"/>
  <c r="E10578" i="1"/>
  <c r="G10578" i="1"/>
  <c r="K10578" i="1"/>
  <c r="A10579" i="1"/>
  <c r="B10579" i="1"/>
  <c r="C10579" i="1"/>
  <c r="E10579" i="1"/>
  <c r="G10579" i="1"/>
  <c r="K10579" i="1"/>
  <c r="A10580" i="1"/>
  <c r="B10580" i="1"/>
  <c r="C10580" i="1"/>
  <c r="E10580" i="1"/>
  <c r="G10580" i="1"/>
  <c r="K10580" i="1"/>
  <c r="A10581" i="1"/>
  <c r="B10581" i="1"/>
  <c r="C10581" i="1"/>
  <c r="E10581" i="1"/>
  <c r="G10581" i="1"/>
  <c r="K10581" i="1"/>
  <c r="A10582" i="1"/>
  <c r="B10582" i="1"/>
  <c r="C10582" i="1"/>
  <c r="E10582" i="1"/>
  <c r="G10582" i="1"/>
  <c r="K10582" i="1"/>
  <c r="A10583" i="1"/>
  <c r="B10583" i="1"/>
  <c r="C10583" i="1"/>
  <c r="E10583" i="1"/>
  <c r="G10583" i="1"/>
  <c r="K10583" i="1"/>
  <c r="A10584" i="1"/>
  <c r="B10584" i="1"/>
  <c r="C10584" i="1"/>
  <c r="E10584" i="1"/>
  <c r="G10584" i="1"/>
  <c r="K10584" i="1"/>
  <c r="A10585" i="1"/>
  <c r="B10585" i="1"/>
  <c r="C10585" i="1"/>
  <c r="E10585" i="1"/>
  <c r="G10585" i="1"/>
  <c r="K10585" i="1"/>
  <c r="A10586" i="1"/>
  <c r="B10586" i="1"/>
  <c r="C10586" i="1"/>
  <c r="E10586" i="1"/>
  <c r="G10586" i="1"/>
  <c r="K10586" i="1"/>
  <c r="A10587" i="1"/>
  <c r="B10587" i="1"/>
  <c r="C10587" i="1"/>
  <c r="E10587" i="1"/>
  <c r="G10587" i="1"/>
  <c r="K10587" i="1"/>
  <c r="A10588" i="1"/>
  <c r="B10588" i="1"/>
  <c r="C10588" i="1"/>
  <c r="E10588" i="1"/>
  <c r="G10588" i="1"/>
  <c r="K10588" i="1"/>
  <c r="A10589" i="1"/>
  <c r="B10589" i="1"/>
  <c r="C10589" i="1"/>
  <c r="E10589" i="1"/>
  <c r="G10589" i="1"/>
  <c r="K10589" i="1"/>
  <c r="A10590" i="1"/>
  <c r="B10590" i="1"/>
  <c r="C10590" i="1"/>
  <c r="E10590" i="1"/>
  <c r="G10590" i="1"/>
  <c r="K10590" i="1"/>
  <c r="A10591" i="1"/>
  <c r="B10591" i="1"/>
  <c r="C10591" i="1"/>
  <c r="E10591" i="1"/>
  <c r="G10591" i="1"/>
  <c r="K10591" i="1"/>
  <c r="A10592" i="1"/>
  <c r="B10592" i="1"/>
  <c r="C10592" i="1"/>
  <c r="E10592" i="1"/>
  <c r="G10592" i="1"/>
  <c r="K10592" i="1"/>
  <c r="A10593" i="1"/>
  <c r="B10593" i="1"/>
  <c r="C10593" i="1"/>
  <c r="E10593" i="1"/>
  <c r="G10593" i="1"/>
  <c r="K10593" i="1"/>
  <c r="A10594" i="1"/>
  <c r="B10594" i="1"/>
  <c r="C10594" i="1"/>
  <c r="E10594" i="1"/>
  <c r="G10594" i="1"/>
  <c r="K10594" i="1"/>
  <c r="A10595" i="1"/>
  <c r="B10595" i="1"/>
  <c r="C10595" i="1"/>
  <c r="E10595" i="1"/>
  <c r="G10595" i="1"/>
  <c r="K10595" i="1"/>
  <c r="A10596" i="1"/>
  <c r="B10596" i="1"/>
  <c r="C10596" i="1"/>
  <c r="E10596" i="1"/>
  <c r="G10596" i="1"/>
  <c r="K10596" i="1"/>
  <c r="A10597" i="1"/>
  <c r="B10597" i="1"/>
  <c r="C10597" i="1"/>
  <c r="E10597" i="1"/>
  <c r="G10597" i="1"/>
  <c r="K10597" i="1"/>
  <c r="A10598" i="1"/>
  <c r="B10598" i="1"/>
  <c r="C10598" i="1"/>
  <c r="E10598" i="1"/>
  <c r="G10598" i="1"/>
  <c r="K10598" i="1"/>
  <c r="A10599" i="1"/>
  <c r="B10599" i="1"/>
  <c r="C10599" i="1"/>
  <c r="E10599" i="1"/>
  <c r="G10599" i="1"/>
  <c r="K10599" i="1"/>
  <c r="A10600" i="1"/>
  <c r="B10600" i="1"/>
  <c r="C10600" i="1"/>
  <c r="E10600" i="1"/>
  <c r="G10600" i="1"/>
  <c r="K10600" i="1"/>
  <c r="A10601" i="1"/>
  <c r="B10601" i="1"/>
  <c r="C10601" i="1"/>
  <c r="E10601" i="1"/>
  <c r="G10601" i="1"/>
  <c r="K10601" i="1"/>
  <c r="A10602" i="1"/>
  <c r="B10602" i="1"/>
  <c r="C10602" i="1"/>
  <c r="E10602" i="1"/>
  <c r="G10602" i="1"/>
  <c r="K10602" i="1"/>
  <c r="A10603" i="1"/>
  <c r="B10603" i="1"/>
  <c r="C10603" i="1"/>
  <c r="E10603" i="1"/>
  <c r="G10603" i="1"/>
  <c r="K10603" i="1"/>
  <c r="A10604" i="1"/>
  <c r="B10604" i="1"/>
  <c r="C10604" i="1"/>
  <c r="E10604" i="1"/>
  <c r="G10604" i="1"/>
  <c r="K10604" i="1"/>
  <c r="A10605" i="1"/>
  <c r="B10605" i="1"/>
  <c r="C10605" i="1"/>
  <c r="E10605" i="1"/>
  <c r="G10605" i="1"/>
  <c r="K10605" i="1"/>
  <c r="A10606" i="1"/>
  <c r="B10606" i="1"/>
  <c r="C10606" i="1"/>
  <c r="E10606" i="1"/>
  <c r="G10606" i="1"/>
  <c r="K10606" i="1"/>
  <c r="A10607" i="1"/>
  <c r="B10607" i="1"/>
  <c r="C10607" i="1"/>
  <c r="E10607" i="1"/>
  <c r="G10607" i="1"/>
  <c r="K10607" i="1"/>
  <c r="A10608" i="1"/>
  <c r="B10608" i="1"/>
  <c r="C10608" i="1"/>
  <c r="E10608" i="1"/>
  <c r="G10608" i="1"/>
  <c r="K10608" i="1"/>
  <c r="A10609" i="1"/>
  <c r="B10609" i="1"/>
  <c r="C10609" i="1"/>
  <c r="E10609" i="1"/>
  <c r="G10609" i="1"/>
  <c r="K10609" i="1"/>
  <c r="A10610" i="1"/>
  <c r="B10610" i="1"/>
  <c r="C10610" i="1"/>
  <c r="E10610" i="1"/>
  <c r="G10610" i="1"/>
  <c r="K10610" i="1"/>
  <c r="A10611" i="1"/>
  <c r="B10611" i="1"/>
  <c r="C10611" i="1"/>
  <c r="E10611" i="1"/>
  <c r="G10611" i="1"/>
  <c r="K10611" i="1"/>
  <c r="A10612" i="1"/>
  <c r="B10612" i="1"/>
  <c r="C10612" i="1"/>
  <c r="E10612" i="1"/>
  <c r="G10612" i="1"/>
  <c r="K10612" i="1"/>
  <c r="A10613" i="1"/>
  <c r="B10613" i="1"/>
  <c r="C10613" i="1"/>
  <c r="E10613" i="1"/>
  <c r="G10613" i="1"/>
  <c r="K10613" i="1"/>
  <c r="A10614" i="1"/>
  <c r="B10614" i="1"/>
  <c r="C10614" i="1"/>
  <c r="E10614" i="1"/>
  <c r="G10614" i="1"/>
  <c r="K10614" i="1"/>
  <c r="A10615" i="1"/>
  <c r="B10615" i="1"/>
  <c r="C10615" i="1"/>
  <c r="E10615" i="1"/>
  <c r="G10615" i="1"/>
  <c r="K10615" i="1"/>
  <c r="A10616" i="1"/>
  <c r="B10616" i="1"/>
  <c r="C10616" i="1"/>
  <c r="E10616" i="1"/>
  <c r="G10616" i="1"/>
  <c r="K10616" i="1"/>
  <c r="A10617" i="1"/>
  <c r="B10617" i="1"/>
  <c r="C10617" i="1"/>
  <c r="E10617" i="1"/>
  <c r="G10617" i="1"/>
  <c r="K10617" i="1"/>
  <c r="A10618" i="1"/>
  <c r="B10618" i="1"/>
  <c r="C10618" i="1"/>
  <c r="E10618" i="1"/>
  <c r="G10618" i="1"/>
  <c r="K10618" i="1"/>
  <c r="A10619" i="1"/>
  <c r="B10619" i="1"/>
  <c r="C10619" i="1"/>
  <c r="E10619" i="1"/>
  <c r="G10619" i="1"/>
  <c r="K10619" i="1"/>
  <c r="A10620" i="1"/>
  <c r="B10620" i="1"/>
  <c r="C10620" i="1"/>
  <c r="E10620" i="1"/>
  <c r="G10620" i="1"/>
  <c r="K10620" i="1"/>
  <c r="A10621" i="1"/>
  <c r="B10621" i="1"/>
  <c r="C10621" i="1"/>
  <c r="E10621" i="1"/>
  <c r="G10621" i="1"/>
  <c r="K10621" i="1"/>
  <c r="A10622" i="1"/>
  <c r="B10622" i="1"/>
  <c r="C10622" i="1"/>
  <c r="E10622" i="1"/>
  <c r="G10622" i="1"/>
  <c r="K10622" i="1"/>
  <c r="A10623" i="1"/>
  <c r="B10623" i="1"/>
  <c r="C10623" i="1"/>
  <c r="E10623" i="1"/>
  <c r="G10623" i="1"/>
  <c r="K10623" i="1"/>
  <c r="A10624" i="1"/>
  <c r="B10624" i="1"/>
  <c r="C10624" i="1"/>
  <c r="E10624" i="1"/>
  <c r="G10624" i="1"/>
  <c r="K10624" i="1"/>
  <c r="A10625" i="1"/>
  <c r="B10625" i="1"/>
  <c r="C10625" i="1"/>
  <c r="E10625" i="1"/>
  <c r="G10625" i="1"/>
  <c r="K10625" i="1"/>
  <c r="A10626" i="1"/>
  <c r="B10626" i="1"/>
  <c r="C10626" i="1"/>
  <c r="E10626" i="1"/>
  <c r="G10626" i="1"/>
  <c r="K10626" i="1"/>
  <c r="A10627" i="1"/>
  <c r="B10627" i="1"/>
  <c r="C10627" i="1"/>
  <c r="E10627" i="1"/>
  <c r="G10627" i="1"/>
  <c r="K10627" i="1"/>
  <c r="A10628" i="1"/>
  <c r="B10628" i="1"/>
  <c r="C10628" i="1"/>
  <c r="E10628" i="1"/>
  <c r="G10628" i="1"/>
  <c r="K10628" i="1"/>
  <c r="A10629" i="1"/>
  <c r="B10629" i="1"/>
  <c r="C10629" i="1"/>
  <c r="E10629" i="1"/>
  <c r="G10629" i="1"/>
  <c r="K10629" i="1"/>
  <c r="A10630" i="1"/>
  <c r="B10630" i="1"/>
  <c r="C10630" i="1"/>
  <c r="E10630" i="1"/>
  <c r="G10630" i="1"/>
  <c r="K10630" i="1"/>
  <c r="A10631" i="1"/>
  <c r="B10631" i="1"/>
  <c r="C10631" i="1"/>
  <c r="E10631" i="1"/>
  <c r="G10631" i="1"/>
  <c r="K10631" i="1"/>
  <c r="A10632" i="1"/>
  <c r="B10632" i="1"/>
  <c r="C10632" i="1"/>
  <c r="E10632" i="1"/>
  <c r="G10632" i="1"/>
  <c r="K10632" i="1"/>
  <c r="A10633" i="1"/>
  <c r="B10633" i="1"/>
  <c r="C10633" i="1"/>
  <c r="E10633" i="1"/>
  <c r="G10633" i="1"/>
  <c r="K10633" i="1"/>
  <c r="A10634" i="1"/>
  <c r="B10634" i="1"/>
  <c r="C10634" i="1"/>
  <c r="E10634" i="1"/>
  <c r="G10634" i="1"/>
  <c r="K10634" i="1"/>
  <c r="A10635" i="1"/>
  <c r="B10635" i="1"/>
  <c r="C10635" i="1"/>
  <c r="E10635" i="1"/>
  <c r="G10635" i="1"/>
  <c r="K10635" i="1"/>
  <c r="A10636" i="1"/>
  <c r="B10636" i="1"/>
  <c r="C10636" i="1"/>
  <c r="E10636" i="1"/>
  <c r="G10636" i="1"/>
  <c r="K10636" i="1"/>
  <c r="A10637" i="1"/>
  <c r="B10637" i="1"/>
  <c r="C10637" i="1"/>
  <c r="E10637" i="1"/>
  <c r="G10637" i="1"/>
  <c r="K10637" i="1"/>
  <c r="A10638" i="1"/>
  <c r="B10638" i="1"/>
  <c r="C10638" i="1"/>
  <c r="E10638" i="1"/>
  <c r="G10638" i="1"/>
  <c r="K10638" i="1"/>
  <c r="A10639" i="1"/>
  <c r="B10639" i="1"/>
  <c r="C10639" i="1"/>
  <c r="E10639" i="1"/>
  <c r="G10639" i="1"/>
  <c r="K10639" i="1"/>
  <c r="A10640" i="1"/>
  <c r="B10640" i="1"/>
  <c r="C10640" i="1"/>
  <c r="E10640" i="1"/>
  <c r="G10640" i="1"/>
  <c r="K10640" i="1"/>
  <c r="A10641" i="1"/>
  <c r="B10641" i="1"/>
  <c r="C10641" i="1"/>
  <c r="E10641" i="1"/>
  <c r="G10641" i="1"/>
  <c r="K10641" i="1"/>
  <c r="A10642" i="1"/>
  <c r="B10642" i="1"/>
  <c r="C10642" i="1"/>
  <c r="E10642" i="1"/>
  <c r="G10642" i="1"/>
  <c r="K10642" i="1"/>
  <c r="A10643" i="1"/>
  <c r="B10643" i="1"/>
  <c r="C10643" i="1"/>
  <c r="E10643" i="1"/>
  <c r="G10643" i="1"/>
  <c r="K10643" i="1"/>
  <c r="A10644" i="1"/>
  <c r="B10644" i="1"/>
  <c r="C10644" i="1"/>
  <c r="E10644" i="1"/>
  <c r="G10644" i="1"/>
  <c r="K10644" i="1"/>
  <c r="A10645" i="1"/>
  <c r="B10645" i="1"/>
  <c r="C10645" i="1"/>
  <c r="E10645" i="1"/>
  <c r="G10645" i="1"/>
  <c r="K10645" i="1"/>
  <c r="A10646" i="1"/>
  <c r="B10646" i="1"/>
  <c r="C10646" i="1"/>
  <c r="E10646" i="1"/>
  <c r="G10646" i="1"/>
  <c r="K10646" i="1"/>
  <c r="A10647" i="1"/>
  <c r="B10647" i="1"/>
  <c r="C10647" i="1"/>
  <c r="E10647" i="1"/>
  <c r="G10647" i="1"/>
  <c r="K10647" i="1"/>
  <c r="A10648" i="1"/>
  <c r="B10648" i="1"/>
  <c r="C10648" i="1"/>
  <c r="E10648" i="1"/>
  <c r="G10648" i="1"/>
  <c r="K10648" i="1"/>
  <c r="A10649" i="1"/>
  <c r="B10649" i="1"/>
  <c r="C10649" i="1"/>
  <c r="E10649" i="1"/>
  <c r="G10649" i="1"/>
  <c r="K10649" i="1"/>
  <c r="A10650" i="1"/>
  <c r="B10650" i="1"/>
  <c r="C10650" i="1"/>
  <c r="E10650" i="1"/>
  <c r="G10650" i="1"/>
  <c r="K10650" i="1"/>
  <c r="A10651" i="1"/>
  <c r="B10651" i="1"/>
  <c r="C10651" i="1"/>
  <c r="E10651" i="1"/>
  <c r="G10651" i="1"/>
  <c r="K10651" i="1"/>
  <c r="A10652" i="1"/>
  <c r="B10652" i="1"/>
  <c r="C10652" i="1"/>
  <c r="E10652" i="1"/>
  <c r="G10652" i="1"/>
  <c r="K10652" i="1"/>
  <c r="A10653" i="1"/>
  <c r="B10653" i="1"/>
  <c r="C10653" i="1"/>
  <c r="E10653" i="1"/>
  <c r="G10653" i="1"/>
  <c r="K10653" i="1"/>
  <c r="A10654" i="1"/>
  <c r="B10654" i="1"/>
  <c r="C10654" i="1"/>
  <c r="E10654" i="1"/>
  <c r="G10654" i="1"/>
  <c r="K10654" i="1"/>
  <c r="A10655" i="1"/>
  <c r="B10655" i="1"/>
  <c r="C10655" i="1"/>
  <c r="E10655" i="1"/>
  <c r="G10655" i="1"/>
  <c r="K10655" i="1"/>
  <c r="A10656" i="1"/>
  <c r="B10656" i="1"/>
  <c r="C10656" i="1"/>
  <c r="E10656" i="1"/>
  <c r="G10656" i="1"/>
  <c r="K10656" i="1"/>
  <c r="A10657" i="1"/>
  <c r="B10657" i="1"/>
  <c r="C10657" i="1"/>
  <c r="E10657" i="1"/>
  <c r="G10657" i="1"/>
  <c r="K10657" i="1"/>
  <c r="A10658" i="1"/>
  <c r="B10658" i="1"/>
  <c r="C10658" i="1"/>
  <c r="E10658" i="1"/>
  <c r="G10658" i="1"/>
  <c r="K10658" i="1"/>
  <c r="A10659" i="1"/>
  <c r="B10659" i="1"/>
  <c r="C10659" i="1"/>
  <c r="E10659" i="1"/>
  <c r="G10659" i="1"/>
  <c r="K10659" i="1"/>
  <c r="A10660" i="1"/>
  <c r="B10660" i="1"/>
  <c r="C10660" i="1"/>
  <c r="E10660" i="1"/>
  <c r="G10660" i="1"/>
  <c r="K10660" i="1"/>
  <c r="A10661" i="1"/>
  <c r="B10661" i="1"/>
  <c r="C10661" i="1"/>
  <c r="E10661" i="1"/>
  <c r="G10661" i="1"/>
  <c r="K10661" i="1"/>
  <c r="A10662" i="1"/>
  <c r="B10662" i="1"/>
  <c r="C10662" i="1"/>
  <c r="E10662" i="1"/>
  <c r="G10662" i="1"/>
  <c r="K10662" i="1"/>
  <c r="A10663" i="1"/>
  <c r="B10663" i="1"/>
  <c r="C10663" i="1"/>
  <c r="E10663" i="1"/>
  <c r="G10663" i="1"/>
  <c r="K10663" i="1"/>
  <c r="A10664" i="1"/>
  <c r="B10664" i="1"/>
  <c r="C10664" i="1"/>
  <c r="E10664" i="1"/>
  <c r="G10664" i="1"/>
  <c r="K10664" i="1"/>
  <c r="A10665" i="1"/>
  <c r="B10665" i="1"/>
  <c r="C10665" i="1"/>
  <c r="E10665" i="1"/>
  <c r="G10665" i="1"/>
  <c r="K10665" i="1"/>
  <c r="A10666" i="1"/>
  <c r="B10666" i="1"/>
  <c r="C10666" i="1"/>
  <c r="E10666" i="1"/>
  <c r="G10666" i="1"/>
  <c r="K10666" i="1"/>
  <c r="A10667" i="1"/>
  <c r="B10667" i="1"/>
  <c r="C10667" i="1"/>
  <c r="E10667" i="1"/>
  <c r="G10667" i="1"/>
  <c r="K10667" i="1"/>
  <c r="A10668" i="1"/>
  <c r="B10668" i="1"/>
  <c r="C10668" i="1"/>
  <c r="E10668" i="1"/>
  <c r="G10668" i="1"/>
  <c r="K10668" i="1"/>
  <c r="A10669" i="1"/>
  <c r="B10669" i="1"/>
  <c r="C10669" i="1"/>
  <c r="E10669" i="1"/>
  <c r="G10669" i="1"/>
  <c r="K10669" i="1"/>
  <c r="A10670" i="1"/>
  <c r="B10670" i="1"/>
  <c r="C10670" i="1"/>
  <c r="E10670" i="1"/>
  <c r="G10670" i="1"/>
  <c r="K10670" i="1"/>
  <c r="A10671" i="1"/>
  <c r="B10671" i="1"/>
  <c r="C10671" i="1"/>
  <c r="E10671" i="1"/>
  <c r="G10671" i="1"/>
  <c r="K10671" i="1"/>
  <c r="A10672" i="1"/>
  <c r="B10672" i="1"/>
  <c r="C10672" i="1"/>
  <c r="E10672" i="1"/>
  <c r="G10672" i="1"/>
  <c r="K10672" i="1"/>
  <c r="A10673" i="1"/>
  <c r="B10673" i="1"/>
  <c r="C10673" i="1"/>
  <c r="E10673" i="1"/>
  <c r="G10673" i="1"/>
  <c r="K10673" i="1"/>
  <c r="A10674" i="1"/>
  <c r="B10674" i="1"/>
  <c r="C10674" i="1"/>
  <c r="E10674" i="1"/>
  <c r="G10674" i="1"/>
  <c r="K10674" i="1"/>
  <c r="A10675" i="1"/>
  <c r="B10675" i="1"/>
  <c r="C10675" i="1"/>
  <c r="E10675" i="1"/>
  <c r="G10675" i="1"/>
  <c r="K10675" i="1"/>
  <c r="A10676" i="1"/>
  <c r="B10676" i="1"/>
  <c r="C10676" i="1"/>
  <c r="E10676" i="1"/>
  <c r="G10676" i="1"/>
  <c r="K10676" i="1"/>
  <c r="A10677" i="1"/>
  <c r="B10677" i="1"/>
  <c r="C10677" i="1"/>
  <c r="E10677" i="1"/>
  <c r="G10677" i="1"/>
  <c r="K10677" i="1"/>
  <c r="A10678" i="1"/>
  <c r="B10678" i="1"/>
  <c r="C10678" i="1"/>
  <c r="E10678" i="1"/>
  <c r="G10678" i="1"/>
  <c r="K10678" i="1"/>
  <c r="A10679" i="1"/>
  <c r="B10679" i="1"/>
  <c r="C10679" i="1"/>
  <c r="E10679" i="1"/>
  <c r="G10679" i="1"/>
  <c r="K10679" i="1"/>
  <c r="A10680" i="1"/>
  <c r="B10680" i="1"/>
  <c r="C10680" i="1"/>
  <c r="E10680" i="1"/>
  <c r="G10680" i="1"/>
  <c r="K10680" i="1"/>
  <c r="A10681" i="1"/>
  <c r="B10681" i="1"/>
  <c r="C10681" i="1"/>
  <c r="E10681" i="1"/>
  <c r="G10681" i="1"/>
  <c r="K10681" i="1"/>
  <c r="A10682" i="1"/>
  <c r="B10682" i="1"/>
  <c r="C10682" i="1"/>
  <c r="E10682" i="1"/>
  <c r="G10682" i="1"/>
  <c r="K10682" i="1"/>
  <c r="A10683" i="1"/>
  <c r="B10683" i="1"/>
  <c r="C10683" i="1"/>
  <c r="E10683" i="1"/>
  <c r="G10683" i="1"/>
  <c r="K10683" i="1"/>
  <c r="A10684" i="1"/>
  <c r="B10684" i="1"/>
  <c r="C10684" i="1"/>
  <c r="E10684" i="1"/>
  <c r="G10684" i="1"/>
  <c r="K10684" i="1"/>
  <c r="A10685" i="1"/>
  <c r="B10685" i="1"/>
  <c r="C10685" i="1"/>
  <c r="E10685" i="1"/>
  <c r="G10685" i="1"/>
  <c r="K10685" i="1"/>
  <c r="A10686" i="1"/>
  <c r="B10686" i="1"/>
  <c r="C10686" i="1"/>
  <c r="E10686" i="1"/>
  <c r="G10686" i="1"/>
  <c r="K10686" i="1"/>
  <c r="A10687" i="1"/>
  <c r="B10687" i="1"/>
  <c r="C10687" i="1"/>
  <c r="E10687" i="1"/>
  <c r="G10687" i="1"/>
  <c r="K10687" i="1"/>
  <c r="A10688" i="1"/>
  <c r="B10688" i="1"/>
  <c r="C10688" i="1"/>
  <c r="E10688" i="1"/>
  <c r="G10688" i="1"/>
  <c r="K10688" i="1"/>
  <c r="A10689" i="1"/>
  <c r="B10689" i="1"/>
  <c r="C10689" i="1"/>
  <c r="E10689" i="1"/>
  <c r="G10689" i="1"/>
  <c r="K10689" i="1"/>
  <c r="A10690" i="1"/>
  <c r="B10690" i="1"/>
  <c r="C10690" i="1"/>
  <c r="E10690" i="1"/>
  <c r="G10690" i="1"/>
  <c r="K10690" i="1"/>
  <c r="A10691" i="1"/>
  <c r="B10691" i="1"/>
  <c r="C10691" i="1"/>
  <c r="E10691" i="1"/>
  <c r="G10691" i="1"/>
  <c r="K10691" i="1"/>
  <c r="A10692" i="1"/>
  <c r="B10692" i="1"/>
  <c r="C10692" i="1"/>
  <c r="E10692" i="1"/>
  <c r="G10692" i="1"/>
  <c r="K10692" i="1"/>
  <c r="A10693" i="1"/>
  <c r="B10693" i="1"/>
  <c r="C10693" i="1"/>
  <c r="E10693" i="1"/>
  <c r="G10693" i="1"/>
  <c r="K10693" i="1"/>
  <c r="A10694" i="1"/>
  <c r="B10694" i="1"/>
  <c r="C10694" i="1"/>
  <c r="E10694" i="1"/>
  <c r="G10694" i="1"/>
  <c r="K10694" i="1"/>
  <c r="A10695" i="1"/>
  <c r="B10695" i="1"/>
  <c r="C10695" i="1"/>
  <c r="E10695" i="1"/>
  <c r="G10695" i="1"/>
  <c r="K10695" i="1"/>
  <c r="A10696" i="1"/>
  <c r="B10696" i="1"/>
  <c r="C10696" i="1"/>
  <c r="E10696" i="1"/>
  <c r="G10696" i="1"/>
  <c r="K10696" i="1"/>
  <c r="A10697" i="1"/>
  <c r="B10697" i="1"/>
  <c r="C10697" i="1"/>
  <c r="E10697" i="1"/>
  <c r="G10697" i="1"/>
  <c r="K10697" i="1"/>
  <c r="A10698" i="1"/>
  <c r="B10698" i="1"/>
  <c r="C10698" i="1"/>
  <c r="E10698" i="1"/>
  <c r="G10698" i="1"/>
  <c r="K10698" i="1"/>
  <c r="A10699" i="1"/>
  <c r="B10699" i="1"/>
  <c r="C10699" i="1"/>
  <c r="E10699" i="1"/>
  <c r="G10699" i="1"/>
  <c r="K10699" i="1"/>
  <c r="A10700" i="1"/>
  <c r="B10700" i="1"/>
  <c r="C10700" i="1"/>
  <c r="E10700" i="1"/>
  <c r="G10700" i="1"/>
  <c r="K10700" i="1"/>
  <c r="A10701" i="1"/>
  <c r="B10701" i="1"/>
  <c r="C10701" i="1"/>
  <c r="E10701" i="1"/>
  <c r="G10701" i="1"/>
  <c r="K10701" i="1"/>
  <c r="A10702" i="1"/>
  <c r="B10702" i="1"/>
  <c r="C10702" i="1"/>
  <c r="E10702" i="1"/>
  <c r="G10702" i="1"/>
  <c r="K10702" i="1"/>
  <c r="A10703" i="1"/>
  <c r="B10703" i="1"/>
  <c r="C10703" i="1"/>
  <c r="E10703" i="1"/>
  <c r="G10703" i="1"/>
  <c r="K10703" i="1"/>
  <c r="A10704" i="1"/>
  <c r="B10704" i="1"/>
  <c r="C10704" i="1"/>
  <c r="E10704" i="1"/>
  <c r="G10704" i="1"/>
  <c r="K10704" i="1"/>
  <c r="A10705" i="1"/>
  <c r="B10705" i="1"/>
  <c r="C10705" i="1"/>
  <c r="E10705" i="1"/>
  <c r="G10705" i="1"/>
  <c r="K10705" i="1"/>
  <c r="A10706" i="1"/>
  <c r="B10706" i="1"/>
  <c r="C10706" i="1"/>
  <c r="E10706" i="1"/>
  <c r="G10706" i="1"/>
  <c r="K10706" i="1"/>
  <c r="A10707" i="1"/>
  <c r="B10707" i="1"/>
  <c r="C10707" i="1"/>
  <c r="E10707" i="1"/>
  <c r="G10707" i="1"/>
  <c r="K10707" i="1"/>
  <c r="A10708" i="1"/>
  <c r="B10708" i="1"/>
  <c r="C10708" i="1"/>
  <c r="E10708" i="1"/>
  <c r="G10708" i="1"/>
  <c r="K10708" i="1"/>
  <c r="A10709" i="1"/>
  <c r="B10709" i="1"/>
  <c r="C10709" i="1"/>
  <c r="E10709" i="1"/>
  <c r="G10709" i="1"/>
  <c r="K10709" i="1"/>
  <c r="A10710" i="1"/>
  <c r="B10710" i="1"/>
  <c r="C10710" i="1"/>
  <c r="E10710" i="1"/>
  <c r="G10710" i="1"/>
  <c r="K10710" i="1"/>
  <c r="A10711" i="1"/>
  <c r="B10711" i="1"/>
  <c r="C10711" i="1"/>
  <c r="E10711" i="1"/>
  <c r="G10711" i="1"/>
  <c r="K10711" i="1"/>
  <c r="A10712" i="1"/>
  <c r="B10712" i="1"/>
  <c r="C10712" i="1"/>
  <c r="E10712" i="1"/>
  <c r="G10712" i="1"/>
  <c r="K10712" i="1"/>
  <c r="A10713" i="1"/>
  <c r="B10713" i="1"/>
  <c r="C10713" i="1"/>
  <c r="E10713" i="1"/>
  <c r="G10713" i="1"/>
  <c r="K10713" i="1"/>
  <c r="A10714" i="1"/>
  <c r="B10714" i="1"/>
  <c r="C10714" i="1"/>
  <c r="E10714" i="1"/>
  <c r="G10714" i="1"/>
  <c r="K10714" i="1"/>
  <c r="A10715" i="1"/>
  <c r="B10715" i="1"/>
  <c r="C10715" i="1"/>
  <c r="E10715" i="1"/>
  <c r="G10715" i="1"/>
  <c r="K10715" i="1"/>
  <c r="A10716" i="1"/>
  <c r="B10716" i="1"/>
  <c r="C10716" i="1"/>
  <c r="E10716" i="1"/>
  <c r="G10716" i="1"/>
  <c r="K10716" i="1"/>
  <c r="A10717" i="1"/>
  <c r="B10717" i="1"/>
  <c r="C10717" i="1"/>
  <c r="E10717" i="1"/>
  <c r="G10717" i="1"/>
  <c r="K10717" i="1"/>
  <c r="A10718" i="1"/>
  <c r="B10718" i="1"/>
  <c r="C10718" i="1"/>
  <c r="E10718" i="1"/>
  <c r="G10718" i="1"/>
  <c r="K10718" i="1"/>
  <c r="A10719" i="1"/>
  <c r="B10719" i="1"/>
  <c r="C10719" i="1"/>
  <c r="E10719" i="1"/>
  <c r="G10719" i="1"/>
  <c r="K10719" i="1"/>
  <c r="A10720" i="1"/>
  <c r="B10720" i="1"/>
  <c r="C10720" i="1"/>
  <c r="E10720" i="1"/>
  <c r="G10720" i="1"/>
  <c r="K10720" i="1"/>
  <c r="A10721" i="1"/>
  <c r="B10721" i="1"/>
  <c r="C10721" i="1"/>
  <c r="E10721" i="1"/>
  <c r="G10721" i="1"/>
  <c r="K10721" i="1"/>
  <c r="A10722" i="1"/>
  <c r="B10722" i="1"/>
  <c r="C10722" i="1"/>
  <c r="E10722" i="1"/>
  <c r="G10722" i="1"/>
  <c r="K10722" i="1"/>
  <c r="A10723" i="1"/>
  <c r="B10723" i="1"/>
  <c r="C10723" i="1"/>
  <c r="E10723" i="1"/>
  <c r="G10723" i="1"/>
  <c r="K10723" i="1"/>
  <c r="A10724" i="1"/>
  <c r="B10724" i="1"/>
  <c r="C10724" i="1"/>
  <c r="E10724" i="1"/>
  <c r="G10724" i="1"/>
  <c r="K10724" i="1"/>
  <c r="A10725" i="1"/>
  <c r="B10725" i="1"/>
  <c r="C10725" i="1"/>
  <c r="E10725" i="1"/>
  <c r="G10725" i="1"/>
  <c r="K10725" i="1"/>
  <c r="A10726" i="1"/>
  <c r="B10726" i="1"/>
  <c r="C10726" i="1"/>
  <c r="E10726" i="1"/>
  <c r="G10726" i="1"/>
  <c r="K10726" i="1"/>
  <c r="A10727" i="1"/>
  <c r="B10727" i="1"/>
  <c r="C10727" i="1"/>
  <c r="E10727" i="1"/>
  <c r="G10727" i="1"/>
  <c r="K10727" i="1"/>
  <c r="A10728" i="1"/>
  <c r="B10728" i="1"/>
  <c r="C10728" i="1"/>
  <c r="E10728" i="1"/>
  <c r="G10728" i="1"/>
  <c r="K10728" i="1"/>
  <c r="A10729" i="1"/>
  <c r="B10729" i="1"/>
  <c r="C10729" i="1"/>
  <c r="E10729" i="1"/>
  <c r="G10729" i="1"/>
  <c r="K10729" i="1"/>
  <c r="A10730" i="1"/>
  <c r="B10730" i="1"/>
  <c r="C10730" i="1"/>
  <c r="E10730" i="1"/>
  <c r="G10730" i="1"/>
  <c r="K10730" i="1"/>
  <c r="A10731" i="1"/>
  <c r="B10731" i="1"/>
  <c r="C10731" i="1"/>
  <c r="E10731" i="1"/>
  <c r="G10731" i="1"/>
  <c r="K10731" i="1"/>
  <c r="A10732" i="1"/>
  <c r="B10732" i="1"/>
  <c r="C10732" i="1"/>
  <c r="E10732" i="1"/>
  <c r="G10732" i="1"/>
  <c r="K10732" i="1"/>
  <c r="A10733" i="1"/>
  <c r="B10733" i="1"/>
  <c r="C10733" i="1"/>
  <c r="E10733" i="1"/>
  <c r="G10733" i="1"/>
  <c r="K10733" i="1"/>
  <c r="A10734" i="1"/>
  <c r="B10734" i="1"/>
  <c r="C10734" i="1"/>
  <c r="E10734" i="1"/>
  <c r="G10734" i="1"/>
  <c r="K10734" i="1"/>
  <c r="A10735" i="1"/>
  <c r="B10735" i="1"/>
  <c r="C10735" i="1"/>
  <c r="E10735" i="1"/>
  <c r="G10735" i="1"/>
  <c r="K10735" i="1"/>
  <c r="A10736" i="1"/>
  <c r="B10736" i="1"/>
  <c r="C10736" i="1"/>
  <c r="E10736" i="1"/>
  <c r="G10736" i="1"/>
  <c r="K10736" i="1"/>
  <c r="A10737" i="1"/>
  <c r="B10737" i="1"/>
  <c r="C10737" i="1"/>
  <c r="E10737" i="1"/>
  <c r="G10737" i="1"/>
  <c r="K10737" i="1"/>
  <c r="A10738" i="1"/>
  <c r="B10738" i="1"/>
  <c r="C10738" i="1"/>
  <c r="E10738" i="1"/>
  <c r="G10738" i="1"/>
  <c r="K10738" i="1"/>
  <c r="A10739" i="1"/>
  <c r="B10739" i="1"/>
  <c r="C10739" i="1"/>
  <c r="E10739" i="1"/>
  <c r="G10739" i="1"/>
  <c r="K10739" i="1"/>
  <c r="A10740" i="1"/>
  <c r="B10740" i="1"/>
  <c r="C10740" i="1"/>
  <c r="E10740" i="1"/>
  <c r="G10740" i="1"/>
  <c r="K10740" i="1"/>
  <c r="A10741" i="1"/>
  <c r="B10741" i="1"/>
  <c r="C10741" i="1"/>
  <c r="E10741" i="1"/>
  <c r="G10741" i="1"/>
  <c r="K10741" i="1"/>
  <c r="A10742" i="1"/>
  <c r="B10742" i="1"/>
  <c r="C10742" i="1"/>
  <c r="E10742" i="1"/>
  <c r="G10742" i="1"/>
  <c r="K10742" i="1"/>
  <c r="A10743" i="1"/>
  <c r="B10743" i="1"/>
  <c r="C10743" i="1"/>
  <c r="E10743" i="1"/>
  <c r="G10743" i="1"/>
  <c r="K10743" i="1"/>
  <c r="A10744" i="1"/>
  <c r="B10744" i="1"/>
  <c r="C10744" i="1"/>
  <c r="E10744" i="1"/>
  <c r="G10744" i="1"/>
  <c r="K10744" i="1"/>
  <c r="A10745" i="1"/>
  <c r="B10745" i="1"/>
  <c r="C10745" i="1"/>
  <c r="E10745" i="1"/>
  <c r="G10745" i="1"/>
  <c r="K10745" i="1"/>
  <c r="A10746" i="1"/>
  <c r="B10746" i="1"/>
  <c r="C10746" i="1"/>
  <c r="E10746" i="1"/>
  <c r="G10746" i="1"/>
  <c r="K10746" i="1"/>
  <c r="A10747" i="1"/>
  <c r="B10747" i="1"/>
  <c r="C10747" i="1"/>
  <c r="E10747" i="1"/>
  <c r="G10747" i="1"/>
  <c r="K10747" i="1"/>
  <c r="A10748" i="1"/>
  <c r="B10748" i="1"/>
  <c r="C10748" i="1"/>
  <c r="E10748" i="1"/>
  <c r="G10748" i="1"/>
  <c r="K10748" i="1"/>
  <c r="A10749" i="1"/>
  <c r="B10749" i="1"/>
  <c r="C10749" i="1"/>
  <c r="E10749" i="1"/>
  <c r="G10749" i="1"/>
  <c r="K10749" i="1"/>
  <c r="A10750" i="1"/>
  <c r="B10750" i="1"/>
  <c r="C10750" i="1"/>
  <c r="E10750" i="1"/>
  <c r="G10750" i="1"/>
  <c r="K10750" i="1"/>
  <c r="A10751" i="1"/>
  <c r="B10751" i="1"/>
  <c r="C10751" i="1"/>
  <c r="E10751" i="1"/>
  <c r="G10751" i="1"/>
  <c r="K10751" i="1"/>
  <c r="A10752" i="1"/>
  <c r="B10752" i="1"/>
  <c r="C10752" i="1"/>
  <c r="E10752" i="1"/>
  <c r="G10752" i="1"/>
  <c r="K10752" i="1"/>
  <c r="A10753" i="1"/>
  <c r="B10753" i="1"/>
  <c r="C10753" i="1"/>
  <c r="E10753" i="1"/>
  <c r="G10753" i="1"/>
  <c r="K10753" i="1"/>
  <c r="A10754" i="1"/>
  <c r="B10754" i="1"/>
  <c r="C10754" i="1"/>
  <c r="E10754" i="1"/>
  <c r="G10754" i="1"/>
  <c r="K10754" i="1"/>
  <c r="A10755" i="1"/>
  <c r="B10755" i="1"/>
  <c r="C10755" i="1"/>
  <c r="E10755" i="1"/>
  <c r="G10755" i="1"/>
  <c r="K10755" i="1"/>
  <c r="A10756" i="1"/>
  <c r="B10756" i="1"/>
  <c r="C10756" i="1"/>
  <c r="E10756" i="1"/>
  <c r="G10756" i="1"/>
  <c r="K10756" i="1"/>
  <c r="A10757" i="1"/>
  <c r="B10757" i="1"/>
  <c r="C10757" i="1"/>
  <c r="E10757" i="1"/>
  <c r="G10757" i="1"/>
  <c r="K10757" i="1"/>
  <c r="A10758" i="1"/>
  <c r="B10758" i="1"/>
  <c r="C10758" i="1"/>
  <c r="E10758" i="1"/>
  <c r="G10758" i="1"/>
  <c r="K10758" i="1"/>
  <c r="A10759" i="1"/>
  <c r="B10759" i="1"/>
  <c r="C10759" i="1"/>
  <c r="E10759" i="1"/>
  <c r="G10759" i="1"/>
  <c r="K10759" i="1"/>
  <c r="A10760" i="1"/>
  <c r="B10760" i="1"/>
  <c r="C10760" i="1"/>
  <c r="E10760" i="1"/>
  <c r="G10760" i="1"/>
  <c r="K10760" i="1"/>
  <c r="A10761" i="1"/>
  <c r="B10761" i="1"/>
  <c r="C10761" i="1"/>
  <c r="E10761" i="1"/>
  <c r="G10761" i="1"/>
  <c r="K10761" i="1"/>
  <c r="A10762" i="1"/>
  <c r="B10762" i="1"/>
  <c r="C10762" i="1"/>
  <c r="E10762" i="1"/>
  <c r="G10762" i="1"/>
  <c r="K10762" i="1"/>
  <c r="A10763" i="1"/>
  <c r="B10763" i="1"/>
  <c r="C10763" i="1"/>
  <c r="E10763" i="1"/>
  <c r="G10763" i="1"/>
  <c r="K10763" i="1"/>
  <c r="A10764" i="1"/>
  <c r="B10764" i="1"/>
  <c r="C10764" i="1"/>
  <c r="E10764" i="1"/>
  <c r="G10764" i="1"/>
  <c r="K10764" i="1"/>
  <c r="A10765" i="1"/>
  <c r="B10765" i="1"/>
  <c r="C10765" i="1"/>
  <c r="E10765" i="1"/>
  <c r="G10765" i="1"/>
  <c r="K10765" i="1"/>
  <c r="A10766" i="1"/>
  <c r="B10766" i="1"/>
  <c r="C10766" i="1"/>
  <c r="E10766" i="1"/>
  <c r="G10766" i="1"/>
  <c r="K10766" i="1"/>
  <c r="A10767" i="1"/>
  <c r="B10767" i="1"/>
  <c r="C10767" i="1"/>
  <c r="E10767" i="1"/>
  <c r="G10767" i="1"/>
  <c r="K10767" i="1"/>
  <c r="A10768" i="1"/>
  <c r="B10768" i="1"/>
  <c r="C10768" i="1"/>
  <c r="E10768" i="1"/>
  <c r="G10768" i="1"/>
  <c r="K10768" i="1"/>
  <c r="A10769" i="1"/>
  <c r="B10769" i="1"/>
  <c r="C10769" i="1"/>
  <c r="E10769" i="1"/>
  <c r="G10769" i="1"/>
  <c r="K10769" i="1"/>
  <c r="A10770" i="1"/>
  <c r="B10770" i="1"/>
  <c r="C10770" i="1"/>
  <c r="E10770" i="1"/>
  <c r="G10770" i="1"/>
  <c r="K10770" i="1"/>
  <c r="A10771" i="1"/>
  <c r="B10771" i="1"/>
  <c r="C10771" i="1"/>
  <c r="E10771" i="1"/>
  <c r="G10771" i="1"/>
  <c r="K10771" i="1"/>
  <c r="A10772" i="1"/>
  <c r="B10772" i="1"/>
  <c r="C10772" i="1"/>
  <c r="E10772" i="1"/>
  <c r="G10772" i="1"/>
  <c r="K10772" i="1"/>
  <c r="A10773" i="1"/>
  <c r="B10773" i="1"/>
  <c r="C10773" i="1"/>
  <c r="E10773" i="1"/>
  <c r="G10773" i="1"/>
  <c r="K10773" i="1"/>
  <c r="A10774" i="1"/>
  <c r="B10774" i="1"/>
  <c r="C10774" i="1"/>
  <c r="E10774" i="1"/>
  <c r="G10774" i="1"/>
  <c r="K10774" i="1"/>
  <c r="A10775" i="1"/>
  <c r="B10775" i="1"/>
  <c r="C10775" i="1"/>
  <c r="E10775" i="1"/>
  <c r="G10775" i="1"/>
  <c r="K10775" i="1"/>
  <c r="A10776" i="1"/>
  <c r="B10776" i="1"/>
  <c r="C10776" i="1"/>
  <c r="E10776" i="1"/>
  <c r="G10776" i="1"/>
  <c r="K10776" i="1"/>
  <c r="A10777" i="1"/>
  <c r="B10777" i="1"/>
  <c r="C10777" i="1"/>
  <c r="E10777" i="1"/>
  <c r="G10777" i="1"/>
  <c r="K10777" i="1"/>
  <c r="A10778" i="1"/>
  <c r="B10778" i="1"/>
  <c r="C10778" i="1"/>
  <c r="E10778" i="1"/>
  <c r="G10778" i="1"/>
  <c r="K10778" i="1"/>
  <c r="A10779" i="1"/>
  <c r="B10779" i="1"/>
  <c r="C10779" i="1"/>
  <c r="E10779" i="1"/>
  <c r="G10779" i="1"/>
  <c r="K10779" i="1"/>
  <c r="A10780" i="1"/>
  <c r="B10780" i="1"/>
  <c r="C10780" i="1"/>
  <c r="E10780" i="1"/>
  <c r="G10780" i="1"/>
  <c r="K10780" i="1"/>
  <c r="A10781" i="1"/>
  <c r="B10781" i="1"/>
  <c r="C10781" i="1"/>
  <c r="E10781" i="1"/>
  <c r="G10781" i="1"/>
  <c r="K10781" i="1"/>
  <c r="A10782" i="1"/>
  <c r="B10782" i="1"/>
  <c r="C10782" i="1"/>
  <c r="E10782" i="1"/>
  <c r="G10782" i="1"/>
  <c r="K10782" i="1"/>
  <c r="A10783" i="1"/>
  <c r="B10783" i="1"/>
  <c r="C10783" i="1"/>
  <c r="E10783" i="1"/>
  <c r="G10783" i="1"/>
  <c r="K10783" i="1"/>
  <c r="A10784" i="1"/>
  <c r="B10784" i="1"/>
  <c r="C10784" i="1"/>
  <c r="E10784" i="1"/>
  <c r="G10784" i="1"/>
  <c r="K10784" i="1"/>
  <c r="A10785" i="1"/>
  <c r="B10785" i="1"/>
  <c r="C10785" i="1"/>
  <c r="E10785" i="1"/>
  <c r="G10785" i="1"/>
  <c r="K10785" i="1"/>
  <c r="A10786" i="1"/>
  <c r="B10786" i="1"/>
  <c r="C10786" i="1"/>
  <c r="E10786" i="1"/>
  <c r="G10786" i="1"/>
  <c r="K10786" i="1"/>
  <c r="A10787" i="1"/>
  <c r="B10787" i="1"/>
  <c r="C10787" i="1"/>
  <c r="E10787" i="1"/>
  <c r="G10787" i="1"/>
  <c r="K10787" i="1"/>
  <c r="A10788" i="1"/>
  <c r="B10788" i="1"/>
  <c r="C10788" i="1"/>
  <c r="E10788" i="1"/>
  <c r="G10788" i="1"/>
  <c r="K10788" i="1"/>
  <c r="A10789" i="1"/>
  <c r="B10789" i="1"/>
  <c r="C10789" i="1"/>
  <c r="E10789" i="1"/>
  <c r="G10789" i="1"/>
  <c r="K10789" i="1"/>
  <c r="A10790" i="1"/>
  <c r="B10790" i="1"/>
  <c r="C10790" i="1"/>
  <c r="E10790" i="1"/>
  <c r="G10790" i="1"/>
  <c r="K10790" i="1"/>
  <c r="A10791" i="1"/>
  <c r="B10791" i="1"/>
  <c r="C10791" i="1"/>
  <c r="E10791" i="1"/>
  <c r="G10791" i="1"/>
  <c r="K10791" i="1"/>
  <c r="A10792" i="1"/>
  <c r="B10792" i="1"/>
  <c r="C10792" i="1"/>
  <c r="E10792" i="1"/>
  <c r="G10792" i="1"/>
  <c r="K10792" i="1"/>
  <c r="A10793" i="1"/>
  <c r="B10793" i="1"/>
  <c r="C10793" i="1"/>
  <c r="E10793" i="1"/>
  <c r="G10793" i="1"/>
  <c r="K10793" i="1"/>
  <c r="A10794" i="1"/>
  <c r="B10794" i="1"/>
  <c r="C10794" i="1"/>
  <c r="E10794" i="1"/>
  <c r="G10794" i="1"/>
  <c r="K10794" i="1"/>
  <c r="A10795" i="1"/>
  <c r="B10795" i="1"/>
  <c r="C10795" i="1"/>
  <c r="E10795" i="1"/>
  <c r="G10795" i="1"/>
  <c r="K10795" i="1"/>
  <c r="A10796" i="1"/>
  <c r="B10796" i="1"/>
  <c r="C10796" i="1"/>
  <c r="E10796" i="1"/>
  <c r="G10796" i="1"/>
  <c r="K10796" i="1"/>
  <c r="A10797" i="1"/>
  <c r="B10797" i="1"/>
  <c r="C10797" i="1"/>
  <c r="E10797" i="1"/>
  <c r="G10797" i="1"/>
  <c r="K10797" i="1"/>
  <c r="A10798" i="1"/>
  <c r="B10798" i="1"/>
  <c r="C10798" i="1"/>
  <c r="E10798" i="1"/>
  <c r="G10798" i="1"/>
  <c r="K10798" i="1"/>
  <c r="A10799" i="1"/>
  <c r="B10799" i="1"/>
  <c r="C10799" i="1"/>
  <c r="E10799" i="1"/>
  <c r="G10799" i="1"/>
  <c r="K10799" i="1"/>
  <c r="A10800" i="1"/>
  <c r="B10800" i="1"/>
  <c r="C10800" i="1"/>
  <c r="E10800" i="1"/>
  <c r="G10800" i="1"/>
  <c r="K10800" i="1"/>
  <c r="A10801" i="1"/>
  <c r="B10801" i="1"/>
  <c r="C10801" i="1"/>
  <c r="E10801" i="1"/>
  <c r="G10801" i="1"/>
  <c r="K10801" i="1"/>
  <c r="A10802" i="1"/>
  <c r="B10802" i="1"/>
  <c r="C10802" i="1"/>
  <c r="E10802" i="1"/>
  <c r="G10802" i="1"/>
  <c r="K10802" i="1"/>
  <c r="A10803" i="1"/>
  <c r="B10803" i="1"/>
  <c r="C10803" i="1"/>
  <c r="E10803" i="1"/>
  <c r="G10803" i="1"/>
  <c r="K10803" i="1"/>
  <c r="A10804" i="1"/>
  <c r="B10804" i="1"/>
  <c r="C10804" i="1"/>
  <c r="E10804" i="1"/>
  <c r="G10804" i="1"/>
  <c r="K10804" i="1"/>
  <c r="A10805" i="1"/>
  <c r="B10805" i="1"/>
  <c r="C10805" i="1"/>
  <c r="E10805" i="1"/>
  <c r="G10805" i="1"/>
  <c r="K10805" i="1"/>
  <c r="A10806" i="1"/>
  <c r="B10806" i="1"/>
  <c r="C10806" i="1"/>
  <c r="E10806" i="1"/>
  <c r="G10806" i="1"/>
  <c r="K10806" i="1"/>
  <c r="A10807" i="1"/>
  <c r="B10807" i="1"/>
  <c r="C10807" i="1"/>
  <c r="E10807" i="1"/>
  <c r="G10807" i="1"/>
  <c r="K10807" i="1"/>
  <c r="A10808" i="1"/>
  <c r="B10808" i="1"/>
  <c r="C10808" i="1"/>
  <c r="E10808" i="1"/>
  <c r="G10808" i="1"/>
  <c r="K10808" i="1"/>
  <c r="A10809" i="1"/>
  <c r="B10809" i="1"/>
  <c r="C10809" i="1"/>
  <c r="E10809" i="1"/>
  <c r="G10809" i="1"/>
  <c r="K10809" i="1"/>
  <c r="A10810" i="1"/>
  <c r="B10810" i="1"/>
  <c r="C10810" i="1"/>
  <c r="E10810" i="1"/>
  <c r="G10810" i="1"/>
  <c r="K10810" i="1"/>
  <c r="A10811" i="1"/>
  <c r="B10811" i="1"/>
  <c r="C10811" i="1"/>
  <c r="E10811" i="1"/>
  <c r="G10811" i="1"/>
  <c r="K10811" i="1"/>
  <c r="A10812" i="1"/>
  <c r="B10812" i="1"/>
  <c r="C10812" i="1"/>
  <c r="E10812" i="1"/>
  <c r="G10812" i="1"/>
  <c r="K10812" i="1"/>
  <c r="A10813" i="1"/>
  <c r="B10813" i="1"/>
  <c r="C10813" i="1"/>
  <c r="E10813" i="1"/>
  <c r="G10813" i="1"/>
  <c r="K10813" i="1"/>
  <c r="A10814" i="1"/>
  <c r="B10814" i="1"/>
  <c r="C10814" i="1"/>
  <c r="E10814" i="1"/>
  <c r="G10814" i="1"/>
  <c r="K10814" i="1"/>
  <c r="A10815" i="1"/>
  <c r="B10815" i="1"/>
  <c r="C10815" i="1"/>
  <c r="E10815" i="1"/>
  <c r="G10815" i="1"/>
  <c r="K10815" i="1"/>
  <c r="A10816" i="1"/>
  <c r="B10816" i="1"/>
  <c r="C10816" i="1"/>
  <c r="E10816" i="1"/>
  <c r="G10816" i="1"/>
  <c r="K10816" i="1"/>
  <c r="A10817" i="1"/>
  <c r="B10817" i="1"/>
  <c r="C10817" i="1"/>
  <c r="E10817" i="1"/>
  <c r="G10817" i="1"/>
  <c r="K10817" i="1"/>
  <c r="A10818" i="1"/>
  <c r="B10818" i="1"/>
  <c r="C10818" i="1"/>
  <c r="E10818" i="1"/>
  <c r="G10818" i="1"/>
  <c r="K10818" i="1"/>
  <c r="A10819" i="1"/>
  <c r="B10819" i="1"/>
  <c r="C10819" i="1"/>
  <c r="E10819" i="1"/>
  <c r="G10819" i="1"/>
  <c r="K10819" i="1"/>
  <c r="A10820" i="1"/>
  <c r="B10820" i="1"/>
  <c r="C10820" i="1"/>
  <c r="E10820" i="1"/>
  <c r="G10820" i="1"/>
  <c r="K10820" i="1"/>
  <c r="A10821" i="1"/>
  <c r="B10821" i="1"/>
  <c r="C10821" i="1"/>
  <c r="E10821" i="1"/>
  <c r="G10821" i="1"/>
  <c r="K10821" i="1"/>
  <c r="A10822" i="1"/>
  <c r="B10822" i="1"/>
  <c r="C10822" i="1"/>
  <c r="E10822" i="1"/>
  <c r="G10822" i="1"/>
  <c r="K10822" i="1"/>
  <c r="A10823" i="1"/>
  <c r="B10823" i="1"/>
  <c r="C10823" i="1"/>
  <c r="E10823" i="1"/>
  <c r="G10823" i="1"/>
  <c r="K10823" i="1"/>
  <c r="A10824" i="1"/>
  <c r="B10824" i="1"/>
  <c r="C10824" i="1"/>
  <c r="E10824" i="1"/>
  <c r="G10824" i="1"/>
  <c r="K10824" i="1"/>
  <c r="A10825" i="1"/>
  <c r="B10825" i="1"/>
  <c r="C10825" i="1"/>
  <c r="E10825" i="1"/>
  <c r="G10825" i="1"/>
  <c r="K10825" i="1"/>
  <c r="A10826" i="1"/>
  <c r="B10826" i="1"/>
  <c r="C10826" i="1"/>
  <c r="E10826" i="1"/>
  <c r="G10826" i="1"/>
  <c r="K10826" i="1"/>
  <c r="A10827" i="1"/>
  <c r="B10827" i="1"/>
  <c r="C10827" i="1"/>
  <c r="E10827" i="1"/>
  <c r="G10827" i="1"/>
  <c r="K10827" i="1"/>
  <c r="A10828" i="1"/>
  <c r="B10828" i="1"/>
  <c r="C10828" i="1"/>
  <c r="E10828" i="1"/>
  <c r="G10828" i="1"/>
  <c r="K10828" i="1"/>
  <c r="A10829" i="1"/>
  <c r="B10829" i="1"/>
  <c r="C10829" i="1"/>
  <c r="E10829" i="1"/>
  <c r="G10829" i="1"/>
  <c r="K10829" i="1"/>
  <c r="A10830" i="1"/>
  <c r="B10830" i="1"/>
  <c r="C10830" i="1"/>
  <c r="E10830" i="1"/>
  <c r="G10830" i="1"/>
  <c r="K10830" i="1"/>
  <c r="A10831" i="1"/>
  <c r="B10831" i="1"/>
  <c r="C10831" i="1"/>
  <c r="E10831" i="1"/>
  <c r="G10831" i="1"/>
  <c r="K10831" i="1"/>
  <c r="A10832" i="1"/>
  <c r="B10832" i="1"/>
  <c r="C10832" i="1"/>
  <c r="E10832" i="1"/>
  <c r="G10832" i="1"/>
  <c r="K10832" i="1"/>
  <c r="A10833" i="1"/>
  <c r="B10833" i="1"/>
  <c r="C10833" i="1"/>
  <c r="E10833" i="1"/>
  <c r="G10833" i="1"/>
  <c r="K10833" i="1"/>
  <c r="A10834" i="1"/>
  <c r="B10834" i="1"/>
  <c r="C10834" i="1"/>
  <c r="E10834" i="1"/>
  <c r="G10834" i="1"/>
  <c r="K10834" i="1"/>
  <c r="A10835" i="1"/>
  <c r="B10835" i="1"/>
  <c r="C10835" i="1"/>
  <c r="E10835" i="1"/>
  <c r="G10835" i="1"/>
  <c r="K10835" i="1"/>
  <c r="A10836" i="1"/>
  <c r="B10836" i="1"/>
  <c r="C10836" i="1"/>
  <c r="E10836" i="1"/>
  <c r="G10836" i="1"/>
  <c r="K10836" i="1"/>
  <c r="A10837" i="1"/>
  <c r="B10837" i="1"/>
  <c r="C10837" i="1"/>
  <c r="E10837" i="1"/>
  <c r="G10837" i="1"/>
  <c r="K10837" i="1"/>
  <c r="A10838" i="1"/>
  <c r="B10838" i="1"/>
  <c r="C10838" i="1"/>
  <c r="E10838" i="1"/>
  <c r="G10838" i="1"/>
  <c r="K10838" i="1"/>
  <c r="A10839" i="1"/>
  <c r="B10839" i="1"/>
  <c r="C10839" i="1"/>
  <c r="E10839" i="1"/>
  <c r="G10839" i="1"/>
  <c r="K10839" i="1"/>
  <c r="A10840" i="1"/>
  <c r="B10840" i="1"/>
  <c r="C10840" i="1"/>
  <c r="E10840" i="1"/>
  <c r="G10840" i="1"/>
  <c r="K10840" i="1"/>
  <c r="A10841" i="1"/>
  <c r="B10841" i="1"/>
  <c r="C10841" i="1"/>
  <c r="E10841" i="1"/>
  <c r="G10841" i="1"/>
  <c r="K10841" i="1"/>
  <c r="A10842" i="1"/>
  <c r="B10842" i="1"/>
  <c r="C10842" i="1"/>
  <c r="E10842" i="1"/>
  <c r="G10842" i="1"/>
  <c r="K10842" i="1"/>
  <c r="A10843" i="1"/>
  <c r="B10843" i="1"/>
  <c r="C10843" i="1"/>
  <c r="E10843" i="1"/>
  <c r="G10843" i="1"/>
  <c r="K10843" i="1"/>
  <c r="A10844" i="1"/>
  <c r="B10844" i="1"/>
  <c r="C10844" i="1"/>
  <c r="E10844" i="1"/>
  <c r="G10844" i="1"/>
  <c r="K10844" i="1"/>
  <c r="A10845" i="1"/>
  <c r="B10845" i="1"/>
  <c r="C10845" i="1"/>
  <c r="E10845" i="1"/>
  <c r="G10845" i="1"/>
  <c r="K10845" i="1"/>
  <c r="A10846" i="1"/>
  <c r="B10846" i="1"/>
  <c r="C10846" i="1"/>
  <c r="E10846" i="1"/>
  <c r="G10846" i="1"/>
  <c r="K10846" i="1"/>
  <c r="A10847" i="1"/>
  <c r="B10847" i="1"/>
  <c r="C10847" i="1"/>
  <c r="E10847" i="1"/>
  <c r="G10847" i="1"/>
  <c r="K10847" i="1"/>
  <c r="A10848" i="1"/>
  <c r="B10848" i="1"/>
  <c r="C10848" i="1"/>
  <c r="E10848" i="1"/>
  <c r="G10848" i="1"/>
  <c r="K10848" i="1"/>
  <c r="A10849" i="1"/>
  <c r="B10849" i="1"/>
  <c r="C10849" i="1"/>
  <c r="E10849" i="1"/>
  <c r="G10849" i="1"/>
  <c r="K10849" i="1"/>
  <c r="A10850" i="1"/>
  <c r="B10850" i="1"/>
  <c r="C10850" i="1"/>
  <c r="E10850" i="1"/>
  <c r="G10850" i="1"/>
  <c r="K10850" i="1"/>
  <c r="A10851" i="1"/>
  <c r="B10851" i="1"/>
  <c r="C10851" i="1"/>
  <c r="E10851" i="1"/>
  <c r="G10851" i="1"/>
  <c r="K10851" i="1"/>
  <c r="A10852" i="1"/>
  <c r="B10852" i="1"/>
  <c r="C10852" i="1"/>
  <c r="E10852" i="1"/>
  <c r="G10852" i="1"/>
  <c r="K10852" i="1"/>
  <c r="A10853" i="1"/>
  <c r="B10853" i="1"/>
  <c r="C10853" i="1"/>
  <c r="E10853" i="1"/>
  <c r="G10853" i="1"/>
  <c r="K10853" i="1"/>
  <c r="A10854" i="1"/>
  <c r="B10854" i="1"/>
  <c r="C10854" i="1"/>
  <c r="E10854" i="1"/>
  <c r="G10854" i="1"/>
  <c r="K10854" i="1"/>
  <c r="A10855" i="1"/>
  <c r="B10855" i="1"/>
  <c r="C10855" i="1"/>
  <c r="E10855" i="1"/>
  <c r="G10855" i="1"/>
  <c r="K10855" i="1"/>
  <c r="A10856" i="1"/>
  <c r="B10856" i="1"/>
  <c r="C10856" i="1"/>
  <c r="E10856" i="1"/>
  <c r="G10856" i="1"/>
  <c r="K10856" i="1"/>
  <c r="A10857" i="1"/>
  <c r="B10857" i="1"/>
  <c r="C10857" i="1"/>
  <c r="E10857" i="1"/>
  <c r="G10857" i="1"/>
  <c r="K10857" i="1"/>
  <c r="A10858" i="1"/>
  <c r="B10858" i="1"/>
  <c r="C10858" i="1"/>
  <c r="E10858" i="1"/>
  <c r="G10858" i="1"/>
  <c r="K10858" i="1"/>
  <c r="A10859" i="1"/>
  <c r="B10859" i="1"/>
  <c r="C10859" i="1"/>
  <c r="E10859" i="1"/>
  <c r="G10859" i="1"/>
  <c r="K10859" i="1"/>
  <c r="A10860" i="1"/>
  <c r="B10860" i="1"/>
  <c r="C10860" i="1"/>
  <c r="E10860" i="1"/>
  <c r="G10860" i="1"/>
  <c r="K10860" i="1"/>
  <c r="A10861" i="1"/>
  <c r="B10861" i="1"/>
  <c r="C10861" i="1"/>
  <c r="E10861" i="1"/>
  <c r="G10861" i="1"/>
  <c r="K10861" i="1"/>
  <c r="A10862" i="1"/>
  <c r="B10862" i="1"/>
  <c r="C10862" i="1"/>
  <c r="E10862" i="1"/>
  <c r="G10862" i="1"/>
  <c r="K10862" i="1"/>
  <c r="A10863" i="1"/>
  <c r="B10863" i="1"/>
  <c r="C10863" i="1"/>
  <c r="E10863" i="1"/>
  <c r="G10863" i="1"/>
  <c r="K10863" i="1"/>
  <c r="A10864" i="1"/>
  <c r="B10864" i="1"/>
  <c r="C10864" i="1"/>
  <c r="E10864" i="1"/>
  <c r="G10864" i="1"/>
  <c r="K10864" i="1"/>
  <c r="A10865" i="1"/>
  <c r="B10865" i="1"/>
  <c r="C10865" i="1"/>
  <c r="E10865" i="1"/>
  <c r="G10865" i="1"/>
  <c r="K10865" i="1"/>
  <c r="A10866" i="1"/>
  <c r="B10866" i="1"/>
  <c r="C10866" i="1"/>
  <c r="E10866" i="1"/>
  <c r="G10866" i="1"/>
  <c r="K10866" i="1"/>
  <c r="A10867" i="1"/>
  <c r="B10867" i="1"/>
  <c r="C10867" i="1"/>
  <c r="E10867" i="1"/>
  <c r="G10867" i="1"/>
  <c r="K10867" i="1"/>
  <c r="A10868" i="1"/>
  <c r="B10868" i="1"/>
  <c r="C10868" i="1"/>
  <c r="E10868" i="1"/>
  <c r="G10868" i="1"/>
  <c r="K10868" i="1"/>
  <c r="A10869" i="1"/>
  <c r="B10869" i="1"/>
  <c r="C10869" i="1"/>
  <c r="E10869" i="1"/>
  <c r="G10869" i="1"/>
  <c r="K10869" i="1"/>
  <c r="A10870" i="1"/>
  <c r="B10870" i="1"/>
  <c r="C10870" i="1"/>
  <c r="E10870" i="1"/>
  <c r="G10870" i="1"/>
  <c r="K10870" i="1"/>
  <c r="A10871" i="1"/>
  <c r="B10871" i="1"/>
  <c r="C10871" i="1"/>
  <c r="E10871" i="1"/>
  <c r="G10871" i="1"/>
  <c r="K10871" i="1"/>
  <c r="A10872" i="1"/>
  <c r="B10872" i="1"/>
  <c r="C10872" i="1"/>
  <c r="E10872" i="1"/>
  <c r="G10872" i="1"/>
  <c r="K10872" i="1"/>
  <c r="A10873" i="1"/>
  <c r="B10873" i="1"/>
  <c r="C10873" i="1"/>
  <c r="E10873" i="1"/>
  <c r="G10873" i="1"/>
  <c r="K10873" i="1"/>
  <c r="A10874" i="1"/>
  <c r="B10874" i="1"/>
  <c r="C10874" i="1"/>
  <c r="E10874" i="1"/>
  <c r="G10874" i="1"/>
  <c r="K10874" i="1"/>
  <c r="A10875" i="1"/>
  <c r="B10875" i="1"/>
  <c r="C10875" i="1"/>
  <c r="E10875" i="1"/>
  <c r="G10875" i="1"/>
  <c r="K10875" i="1"/>
  <c r="A10876" i="1"/>
  <c r="B10876" i="1"/>
  <c r="C10876" i="1"/>
  <c r="E10876" i="1"/>
  <c r="G10876" i="1"/>
  <c r="K10876" i="1"/>
  <c r="A10877" i="1"/>
  <c r="B10877" i="1"/>
  <c r="C10877" i="1"/>
  <c r="E10877" i="1"/>
  <c r="G10877" i="1"/>
  <c r="K10877" i="1"/>
  <c r="A10878" i="1"/>
  <c r="B10878" i="1"/>
  <c r="C10878" i="1"/>
  <c r="E10878" i="1"/>
  <c r="G10878" i="1"/>
  <c r="K10878" i="1"/>
  <c r="A10879" i="1"/>
  <c r="B10879" i="1"/>
  <c r="C10879" i="1"/>
  <c r="E10879" i="1"/>
  <c r="G10879" i="1"/>
  <c r="K10879" i="1"/>
  <c r="A10880" i="1"/>
  <c r="B10880" i="1"/>
  <c r="C10880" i="1"/>
  <c r="E10880" i="1"/>
  <c r="G10880" i="1"/>
  <c r="K10880" i="1"/>
  <c r="A10881" i="1"/>
  <c r="B10881" i="1"/>
  <c r="C10881" i="1"/>
  <c r="E10881" i="1"/>
  <c r="G10881" i="1"/>
  <c r="K10881" i="1"/>
  <c r="A10882" i="1"/>
  <c r="B10882" i="1"/>
  <c r="C10882" i="1"/>
  <c r="E10882" i="1"/>
  <c r="G10882" i="1"/>
  <c r="K10882" i="1"/>
  <c r="A10883" i="1"/>
  <c r="B10883" i="1"/>
  <c r="C10883" i="1"/>
  <c r="E10883" i="1"/>
  <c r="G10883" i="1"/>
  <c r="K10883" i="1"/>
  <c r="A10884" i="1"/>
  <c r="B10884" i="1"/>
  <c r="C10884" i="1"/>
  <c r="E10884" i="1"/>
  <c r="G10884" i="1"/>
  <c r="K10884" i="1"/>
  <c r="A10885" i="1"/>
  <c r="B10885" i="1"/>
  <c r="C10885" i="1"/>
  <c r="E10885" i="1"/>
  <c r="G10885" i="1"/>
  <c r="K10885" i="1"/>
  <c r="A10886" i="1"/>
  <c r="B10886" i="1"/>
  <c r="C10886" i="1"/>
  <c r="E10886" i="1"/>
  <c r="G10886" i="1"/>
  <c r="K10886" i="1"/>
  <c r="A10887" i="1"/>
  <c r="B10887" i="1"/>
  <c r="C10887" i="1"/>
  <c r="E10887" i="1"/>
  <c r="G10887" i="1"/>
  <c r="K10887" i="1"/>
  <c r="A10888" i="1"/>
  <c r="B10888" i="1"/>
  <c r="C10888" i="1"/>
  <c r="E10888" i="1"/>
  <c r="G10888" i="1"/>
  <c r="K10888" i="1"/>
  <c r="A10889" i="1"/>
  <c r="B10889" i="1"/>
  <c r="C10889" i="1"/>
  <c r="E10889" i="1"/>
  <c r="G10889" i="1"/>
  <c r="K10889" i="1"/>
  <c r="A10890" i="1"/>
  <c r="B10890" i="1"/>
  <c r="C10890" i="1"/>
  <c r="E10890" i="1"/>
  <c r="G10890" i="1"/>
  <c r="K10890" i="1"/>
  <c r="A10891" i="1"/>
  <c r="B10891" i="1"/>
  <c r="C10891" i="1"/>
  <c r="E10891" i="1"/>
  <c r="G10891" i="1"/>
  <c r="K10891" i="1"/>
  <c r="A10892" i="1"/>
  <c r="B10892" i="1"/>
  <c r="C10892" i="1"/>
  <c r="E10892" i="1"/>
  <c r="G10892" i="1"/>
  <c r="K10892" i="1"/>
  <c r="A10893" i="1"/>
  <c r="B10893" i="1"/>
  <c r="C10893" i="1"/>
  <c r="E10893" i="1"/>
  <c r="G10893" i="1"/>
  <c r="K10893" i="1"/>
  <c r="A10894" i="1"/>
  <c r="B10894" i="1"/>
  <c r="C10894" i="1"/>
  <c r="E10894" i="1"/>
  <c r="G10894" i="1"/>
  <c r="K10894" i="1"/>
  <c r="A10895" i="1"/>
  <c r="B10895" i="1"/>
  <c r="C10895" i="1"/>
  <c r="E10895" i="1"/>
  <c r="G10895" i="1"/>
  <c r="K10895" i="1"/>
  <c r="A10896" i="1"/>
  <c r="B10896" i="1"/>
  <c r="C10896" i="1"/>
  <c r="E10896" i="1"/>
  <c r="G10896" i="1"/>
  <c r="K10896" i="1"/>
  <c r="A10897" i="1"/>
  <c r="B10897" i="1"/>
  <c r="C10897" i="1"/>
  <c r="E10897" i="1"/>
  <c r="G10897" i="1"/>
  <c r="K10897" i="1"/>
  <c r="A10898" i="1"/>
  <c r="B10898" i="1"/>
  <c r="C10898" i="1"/>
  <c r="E10898" i="1"/>
  <c r="G10898" i="1"/>
  <c r="K10898" i="1"/>
  <c r="A10899" i="1"/>
  <c r="B10899" i="1"/>
  <c r="C10899" i="1"/>
  <c r="E10899" i="1"/>
  <c r="G10899" i="1"/>
  <c r="K10899" i="1"/>
  <c r="A10900" i="1"/>
  <c r="B10900" i="1"/>
  <c r="C10900" i="1"/>
  <c r="E10900" i="1"/>
  <c r="G10900" i="1"/>
  <c r="K10900" i="1"/>
  <c r="A10901" i="1"/>
  <c r="B10901" i="1"/>
  <c r="C10901" i="1"/>
  <c r="E10901" i="1"/>
  <c r="G10901" i="1"/>
  <c r="K10901" i="1"/>
  <c r="A10902" i="1"/>
  <c r="B10902" i="1"/>
  <c r="C10902" i="1"/>
  <c r="E10902" i="1"/>
  <c r="G10902" i="1"/>
  <c r="K10902" i="1"/>
  <c r="A10903" i="1"/>
  <c r="B10903" i="1"/>
  <c r="C10903" i="1"/>
  <c r="E10903" i="1"/>
  <c r="G10903" i="1"/>
  <c r="K10903" i="1"/>
  <c r="A10904" i="1"/>
  <c r="B10904" i="1"/>
  <c r="C10904" i="1"/>
  <c r="E10904" i="1"/>
  <c r="G10904" i="1"/>
  <c r="K10904" i="1"/>
  <c r="A10905" i="1"/>
  <c r="B10905" i="1"/>
  <c r="C10905" i="1"/>
  <c r="E10905" i="1"/>
  <c r="G10905" i="1"/>
  <c r="K10905" i="1"/>
  <c r="A10906" i="1"/>
  <c r="B10906" i="1"/>
  <c r="C10906" i="1"/>
  <c r="E10906" i="1"/>
  <c r="G10906" i="1"/>
  <c r="K10906" i="1"/>
  <c r="A10907" i="1"/>
  <c r="B10907" i="1"/>
  <c r="C10907" i="1"/>
  <c r="E10907" i="1"/>
  <c r="G10907" i="1"/>
  <c r="K10907" i="1"/>
  <c r="A10908" i="1"/>
  <c r="B10908" i="1"/>
  <c r="C10908" i="1"/>
  <c r="E10908" i="1"/>
  <c r="G10908" i="1"/>
  <c r="K10908" i="1"/>
  <c r="A10909" i="1"/>
  <c r="B10909" i="1"/>
  <c r="C10909" i="1"/>
  <c r="E10909" i="1"/>
  <c r="G10909" i="1"/>
  <c r="K10909" i="1"/>
  <c r="A10910" i="1"/>
  <c r="B10910" i="1"/>
  <c r="C10910" i="1"/>
  <c r="E10910" i="1"/>
  <c r="G10910" i="1"/>
  <c r="K10910" i="1"/>
  <c r="A10911" i="1"/>
  <c r="B10911" i="1"/>
  <c r="C10911" i="1"/>
  <c r="E10911" i="1"/>
  <c r="G10911" i="1"/>
  <c r="K10911" i="1"/>
  <c r="A10912" i="1"/>
  <c r="B10912" i="1"/>
  <c r="C10912" i="1"/>
  <c r="E10912" i="1"/>
  <c r="G10912" i="1"/>
  <c r="K10912" i="1"/>
  <c r="A10913" i="1"/>
  <c r="B10913" i="1"/>
  <c r="C10913" i="1"/>
  <c r="E10913" i="1"/>
  <c r="G10913" i="1"/>
  <c r="K10913" i="1"/>
  <c r="A10914" i="1"/>
  <c r="B10914" i="1"/>
  <c r="C10914" i="1"/>
  <c r="E10914" i="1"/>
  <c r="G10914" i="1"/>
  <c r="K10914" i="1"/>
  <c r="A10915" i="1"/>
  <c r="B10915" i="1"/>
  <c r="C10915" i="1"/>
  <c r="E10915" i="1"/>
  <c r="G10915" i="1"/>
  <c r="K10915" i="1"/>
  <c r="A10916" i="1"/>
  <c r="B10916" i="1"/>
  <c r="C10916" i="1"/>
  <c r="E10916" i="1"/>
  <c r="G10916" i="1"/>
  <c r="K10916" i="1"/>
  <c r="A10917" i="1"/>
  <c r="B10917" i="1"/>
  <c r="C10917" i="1"/>
  <c r="E10917" i="1"/>
  <c r="G10917" i="1"/>
  <c r="K10917" i="1"/>
  <c r="A10918" i="1"/>
  <c r="B10918" i="1"/>
  <c r="C10918" i="1"/>
  <c r="E10918" i="1"/>
  <c r="G10918" i="1"/>
  <c r="K10918" i="1"/>
  <c r="A10919" i="1"/>
  <c r="B10919" i="1"/>
  <c r="C10919" i="1"/>
  <c r="E10919" i="1"/>
  <c r="G10919" i="1"/>
  <c r="K10919" i="1"/>
  <c r="A10920" i="1"/>
  <c r="B10920" i="1"/>
  <c r="C10920" i="1"/>
  <c r="E10920" i="1"/>
  <c r="G10920" i="1"/>
  <c r="K10920" i="1"/>
  <c r="A10921" i="1"/>
  <c r="B10921" i="1"/>
  <c r="C10921" i="1"/>
  <c r="E10921" i="1"/>
  <c r="G10921" i="1"/>
  <c r="K10921" i="1"/>
  <c r="A10922" i="1"/>
  <c r="B10922" i="1"/>
  <c r="C10922" i="1"/>
  <c r="E10922" i="1"/>
  <c r="G10922" i="1"/>
  <c r="K10922" i="1"/>
  <c r="A10923" i="1"/>
  <c r="B10923" i="1"/>
  <c r="C10923" i="1"/>
  <c r="E10923" i="1"/>
  <c r="G10923" i="1"/>
  <c r="K10923" i="1"/>
  <c r="A10924" i="1"/>
  <c r="B10924" i="1"/>
  <c r="C10924" i="1"/>
  <c r="E10924" i="1"/>
  <c r="G10924" i="1"/>
  <c r="K10924" i="1"/>
  <c r="A10925" i="1"/>
  <c r="B10925" i="1"/>
  <c r="C10925" i="1"/>
  <c r="E10925" i="1"/>
  <c r="G10925" i="1"/>
  <c r="K10925" i="1"/>
  <c r="A10926" i="1"/>
  <c r="B10926" i="1"/>
  <c r="C10926" i="1"/>
  <c r="E10926" i="1"/>
  <c r="G10926" i="1"/>
  <c r="K10926" i="1"/>
  <c r="A10927" i="1"/>
  <c r="B10927" i="1"/>
  <c r="C10927" i="1"/>
  <c r="E10927" i="1"/>
  <c r="G10927" i="1"/>
  <c r="K10927" i="1"/>
  <c r="A10928" i="1"/>
  <c r="B10928" i="1"/>
  <c r="C10928" i="1"/>
  <c r="E10928" i="1"/>
  <c r="G10928" i="1"/>
  <c r="K10928" i="1"/>
  <c r="A10929" i="1"/>
  <c r="B10929" i="1"/>
  <c r="C10929" i="1"/>
  <c r="E10929" i="1"/>
  <c r="G10929" i="1"/>
  <c r="K10929" i="1"/>
  <c r="A10930" i="1"/>
  <c r="B10930" i="1"/>
  <c r="C10930" i="1"/>
  <c r="E10930" i="1"/>
  <c r="G10930" i="1"/>
  <c r="K10930" i="1"/>
  <c r="A10931" i="1"/>
  <c r="B10931" i="1"/>
  <c r="C10931" i="1"/>
  <c r="E10931" i="1"/>
  <c r="G10931" i="1"/>
  <c r="K10931" i="1"/>
  <c r="A10932" i="1"/>
  <c r="B10932" i="1"/>
  <c r="C10932" i="1"/>
  <c r="E10932" i="1"/>
  <c r="G10932" i="1"/>
  <c r="K10932" i="1"/>
  <c r="A10933" i="1"/>
  <c r="B10933" i="1"/>
  <c r="C10933" i="1"/>
  <c r="E10933" i="1"/>
  <c r="G10933" i="1"/>
  <c r="K10933" i="1"/>
  <c r="A10934" i="1"/>
  <c r="B10934" i="1"/>
  <c r="C10934" i="1"/>
  <c r="E10934" i="1"/>
  <c r="G10934" i="1"/>
  <c r="K10934" i="1"/>
  <c r="A10935" i="1"/>
  <c r="B10935" i="1"/>
  <c r="C10935" i="1"/>
  <c r="E10935" i="1"/>
  <c r="G10935" i="1"/>
  <c r="K10935" i="1"/>
  <c r="A10936" i="1"/>
  <c r="B10936" i="1"/>
  <c r="C10936" i="1"/>
  <c r="E10936" i="1"/>
  <c r="G10936" i="1"/>
  <c r="K10936" i="1"/>
  <c r="A10937" i="1"/>
  <c r="B10937" i="1"/>
  <c r="C10937" i="1"/>
  <c r="E10937" i="1"/>
  <c r="G10937" i="1"/>
  <c r="K10937" i="1"/>
  <c r="A10938" i="1"/>
  <c r="B10938" i="1"/>
  <c r="C10938" i="1"/>
  <c r="E10938" i="1"/>
  <c r="G10938" i="1"/>
  <c r="K10938" i="1"/>
  <c r="A10939" i="1"/>
  <c r="B10939" i="1"/>
  <c r="C10939" i="1"/>
  <c r="E10939" i="1"/>
  <c r="G10939" i="1"/>
  <c r="K10939" i="1"/>
  <c r="A10940" i="1"/>
  <c r="B10940" i="1"/>
  <c r="C10940" i="1"/>
  <c r="E10940" i="1"/>
  <c r="G10940" i="1"/>
  <c r="K10940" i="1"/>
  <c r="A10941" i="1"/>
  <c r="B10941" i="1"/>
  <c r="C10941" i="1"/>
  <c r="E10941" i="1"/>
  <c r="G10941" i="1"/>
  <c r="K10941" i="1"/>
  <c r="A10942" i="1"/>
  <c r="B10942" i="1"/>
  <c r="C10942" i="1"/>
  <c r="E10942" i="1"/>
  <c r="G10942" i="1"/>
  <c r="K10942" i="1"/>
  <c r="A10943" i="1"/>
  <c r="B10943" i="1"/>
  <c r="C10943" i="1"/>
  <c r="E10943" i="1"/>
  <c r="G10943" i="1"/>
  <c r="K10943" i="1"/>
  <c r="A10944" i="1"/>
  <c r="B10944" i="1"/>
  <c r="C10944" i="1"/>
  <c r="E10944" i="1"/>
  <c r="G10944" i="1"/>
  <c r="K10944" i="1"/>
  <c r="A10945" i="1"/>
  <c r="B10945" i="1"/>
  <c r="C10945" i="1"/>
  <c r="E10945" i="1"/>
  <c r="G10945" i="1"/>
  <c r="K10945" i="1"/>
  <c r="A10946" i="1"/>
  <c r="B10946" i="1"/>
  <c r="C10946" i="1"/>
  <c r="E10946" i="1"/>
  <c r="G10946" i="1"/>
  <c r="K10946" i="1"/>
  <c r="A10947" i="1"/>
  <c r="B10947" i="1"/>
  <c r="C10947" i="1"/>
  <c r="E10947" i="1"/>
  <c r="G10947" i="1"/>
  <c r="K10947" i="1"/>
  <c r="A10948" i="1"/>
  <c r="B10948" i="1"/>
  <c r="C10948" i="1"/>
  <c r="E10948" i="1"/>
  <c r="G10948" i="1"/>
  <c r="K10948" i="1"/>
  <c r="A10949" i="1"/>
  <c r="B10949" i="1"/>
  <c r="C10949" i="1"/>
  <c r="E10949" i="1"/>
  <c r="G10949" i="1"/>
  <c r="K10949" i="1"/>
  <c r="A10950" i="1"/>
  <c r="B10950" i="1"/>
  <c r="C10950" i="1"/>
  <c r="E10950" i="1"/>
  <c r="G10950" i="1"/>
  <c r="K10950" i="1"/>
  <c r="A10951" i="1"/>
  <c r="B10951" i="1"/>
  <c r="C10951" i="1"/>
  <c r="E10951" i="1"/>
  <c r="G10951" i="1"/>
  <c r="K10951" i="1"/>
  <c r="A10952" i="1"/>
  <c r="B10952" i="1"/>
  <c r="C10952" i="1"/>
  <c r="E10952" i="1"/>
  <c r="G10952" i="1"/>
  <c r="K10952" i="1"/>
  <c r="A10953" i="1"/>
  <c r="B10953" i="1"/>
  <c r="C10953" i="1"/>
  <c r="E10953" i="1"/>
  <c r="G10953" i="1"/>
  <c r="K10953" i="1"/>
  <c r="A10954" i="1"/>
  <c r="B10954" i="1"/>
  <c r="C10954" i="1"/>
  <c r="E10954" i="1"/>
  <c r="G10954" i="1"/>
  <c r="K10954" i="1"/>
  <c r="A10955" i="1"/>
  <c r="B10955" i="1"/>
  <c r="C10955" i="1"/>
  <c r="E10955" i="1"/>
  <c r="G10955" i="1"/>
  <c r="K10955" i="1"/>
  <c r="A10956" i="1"/>
  <c r="B10956" i="1"/>
  <c r="C10956" i="1"/>
  <c r="E10956" i="1"/>
  <c r="G10956" i="1"/>
  <c r="K10956" i="1"/>
  <c r="A10957" i="1"/>
  <c r="B10957" i="1"/>
  <c r="C10957" i="1"/>
  <c r="E10957" i="1"/>
  <c r="G10957" i="1"/>
  <c r="K10957" i="1"/>
  <c r="A10958" i="1"/>
  <c r="B10958" i="1"/>
  <c r="C10958" i="1"/>
  <c r="E10958" i="1"/>
  <c r="G10958" i="1"/>
  <c r="K10958" i="1"/>
  <c r="A10959" i="1"/>
  <c r="B10959" i="1"/>
  <c r="C10959" i="1"/>
  <c r="E10959" i="1"/>
  <c r="G10959" i="1"/>
  <c r="K10959" i="1"/>
  <c r="A10960" i="1"/>
  <c r="B10960" i="1"/>
  <c r="C10960" i="1"/>
  <c r="E10960" i="1"/>
  <c r="G10960" i="1"/>
  <c r="K10960" i="1"/>
  <c r="A10961" i="1"/>
  <c r="B10961" i="1"/>
  <c r="C10961" i="1"/>
  <c r="E10961" i="1"/>
  <c r="G10961" i="1"/>
  <c r="K10961" i="1"/>
  <c r="A10962" i="1"/>
  <c r="B10962" i="1"/>
  <c r="C10962" i="1"/>
  <c r="E10962" i="1"/>
  <c r="G10962" i="1"/>
  <c r="K10962" i="1"/>
  <c r="A10963" i="1"/>
  <c r="B10963" i="1"/>
  <c r="C10963" i="1"/>
  <c r="E10963" i="1"/>
  <c r="G10963" i="1"/>
  <c r="K10963" i="1"/>
  <c r="A10964" i="1"/>
  <c r="B10964" i="1"/>
  <c r="C10964" i="1"/>
  <c r="E10964" i="1"/>
  <c r="G10964" i="1"/>
  <c r="K10964" i="1"/>
  <c r="A10965" i="1"/>
  <c r="B10965" i="1"/>
  <c r="C10965" i="1"/>
  <c r="E10965" i="1"/>
  <c r="G10965" i="1"/>
  <c r="K10965" i="1"/>
  <c r="A10966" i="1"/>
  <c r="B10966" i="1"/>
  <c r="C10966" i="1"/>
  <c r="E10966" i="1"/>
  <c r="G10966" i="1"/>
  <c r="K10966" i="1"/>
  <c r="A10967" i="1"/>
  <c r="B10967" i="1"/>
  <c r="C10967" i="1"/>
  <c r="E10967" i="1"/>
  <c r="G10967" i="1"/>
  <c r="K10967" i="1"/>
  <c r="A10968" i="1"/>
  <c r="B10968" i="1"/>
  <c r="C10968" i="1"/>
  <c r="E10968" i="1"/>
  <c r="G10968" i="1"/>
  <c r="K10968" i="1"/>
  <c r="A10969" i="1"/>
  <c r="B10969" i="1"/>
  <c r="C10969" i="1"/>
  <c r="E10969" i="1"/>
  <c r="G10969" i="1"/>
  <c r="K10969" i="1"/>
  <c r="A10970" i="1"/>
  <c r="B10970" i="1"/>
  <c r="C10970" i="1"/>
  <c r="E10970" i="1"/>
  <c r="G10970" i="1"/>
  <c r="K10970" i="1"/>
  <c r="A10971" i="1"/>
  <c r="B10971" i="1"/>
  <c r="C10971" i="1"/>
  <c r="E10971" i="1"/>
  <c r="G10971" i="1"/>
  <c r="K10971" i="1"/>
  <c r="A10972" i="1"/>
  <c r="B10972" i="1"/>
  <c r="C10972" i="1"/>
  <c r="E10972" i="1"/>
  <c r="G10972" i="1"/>
  <c r="K10972" i="1"/>
  <c r="A10973" i="1"/>
  <c r="B10973" i="1"/>
  <c r="C10973" i="1"/>
  <c r="E10973" i="1"/>
  <c r="G10973" i="1"/>
  <c r="K10973" i="1"/>
  <c r="A10974" i="1"/>
  <c r="B10974" i="1"/>
  <c r="C10974" i="1"/>
  <c r="E10974" i="1"/>
  <c r="G10974" i="1"/>
  <c r="K10974" i="1"/>
  <c r="A10975" i="1"/>
  <c r="B10975" i="1"/>
  <c r="C10975" i="1"/>
  <c r="E10975" i="1"/>
  <c r="G10975" i="1"/>
  <c r="K10975" i="1"/>
  <c r="A10976" i="1"/>
  <c r="B10976" i="1"/>
  <c r="C10976" i="1"/>
  <c r="E10976" i="1"/>
  <c r="G10976" i="1"/>
  <c r="K10976" i="1"/>
  <c r="A10977" i="1"/>
  <c r="B10977" i="1"/>
  <c r="C10977" i="1"/>
  <c r="E10977" i="1"/>
  <c r="G10977" i="1"/>
  <c r="K10977" i="1"/>
  <c r="A10978" i="1"/>
  <c r="B10978" i="1"/>
  <c r="C10978" i="1"/>
  <c r="E10978" i="1"/>
  <c r="G10978" i="1"/>
  <c r="K10978" i="1"/>
  <c r="A10979" i="1"/>
  <c r="B10979" i="1"/>
  <c r="C10979" i="1"/>
  <c r="E10979" i="1"/>
  <c r="G10979" i="1"/>
  <c r="K10979" i="1"/>
  <c r="A10980" i="1"/>
  <c r="B10980" i="1"/>
  <c r="C10980" i="1"/>
  <c r="E10980" i="1"/>
  <c r="G10980" i="1"/>
  <c r="K10980" i="1"/>
  <c r="A10981" i="1"/>
  <c r="B10981" i="1"/>
  <c r="C10981" i="1"/>
  <c r="E10981" i="1"/>
  <c r="G10981" i="1"/>
  <c r="K10981" i="1"/>
  <c r="A10982" i="1"/>
  <c r="B10982" i="1"/>
  <c r="C10982" i="1"/>
  <c r="E10982" i="1"/>
  <c r="G10982" i="1"/>
  <c r="K10982" i="1"/>
  <c r="A10983" i="1"/>
  <c r="B10983" i="1"/>
  <c r="C10983" i="1"/>
  <c r="E10983" i="1"/>
  <c r="G10983" i="1"/>
  <c r="K10983" i="1"/>
  <c r="A10984" i="1"/>
  <c r="B10984" i="1"/>
  <c r="C10984" i="1"/>
  <c r="E10984" i="1"/>
  <c r="G10984" i="1"/>
  <c r="K10984" i="1"/>
  <c r="A10985" i="1"/>
  <c r="B10985" i="1"/>
  <c r="C10985" i="1"/>
  <c r="E10985" i="1"/>
  <c r="G10985" i="1"/>
  <c r="K10985" i="1"/>
  <c r="A10986" i="1"/>
  <c r="B10986" i="1"/>
  <c r="C10986" i="1"/>
  <c r="E10986" i="1"/>
  <c r="G10986" i="1"/>
  <c r="K10986" i="1"/>
  <c r="A10987" i="1"/>
  <c r="B10987" i="1"/>
  <c r="C10987" i="1"/>
  <c r="E10987" i="1"/>
  <c r="G10987" i="1"/>
  <c r="K10987" i="1"/>
  <c r="A10988" i="1"/>
  <c r="B10988" i="1"/>
  <c r="C10988" i="1"/>
  <c r="E10988" i="1"/>
  <c r="G10988" i="1"/>
  <c r="K10988" i="1"/>
  <c r="A10989" i="1"/>
  <c r="B10989" i="1"/>
  <c r="C10989" i="1"/>
  <c r="E10989" i="1"/>
  <c r="G10989" i="1"/>
  <c r="K10989" i="1"/>
  <c r="A10990" i="1"/>
  <c r="B10990" i="1"/>
  <c r="C10990" i="1"/>
  <c r="E10990" i="1"/>
  <c r="G10990" i="1"/>
  <c r="K10990" i="1"/>
  <c r="A10991" i="1"/>
  <c r="B10991" i="1"/>
  <c r="C10991" i="1"/>
  <c r="E10991" i="1"/>
  <c r="G10991" i="1"/>
  <c r="K10991" i="1"/>
  <c r="A10992" i="1"/>
  <c r="B10992" i="1"/>
  <c r="C10992" i="1"/>
  <c r="E10992" i="1"/>
  <c r="G10992" i="1"/>
  <c r="K10992" i="1"/>
  <c r="A10993" i="1"/>
  <c r="B10993" i="1"/>
  <c r="C10993" i="1"/>
  <c r="E10993" i="1"/>
  <c r="G10993" i="1"/>
  <c r="K10993" i="1"/>
  <c r="A10994" i="1"/>
  <c r="B10994" i="1"/>
  <c r="C10994" i="1"/>
  <c r="E10994" i="1"/>
  <c r="G10994" i="1"/>
  <c r="K10994" i="1"/>
  <c r="A10995" i="1"/>
  <c r="B10995" i="1"/>
  <c r="C10995" i="1"/>
  <c r="E10995" i="1"/>
  <c r="G10995" i="1"/>
  <c r="K10995" i="1"/>
  <c r="A10996" i="1"/>
  <c r="B10996" i="1"/>
  <c r="C10996" i="1"/>
  <c r="E10996" i="1"/>
  <c r="G10996" i="1"/>
  <c r="K10996" i="1"/>
  <c r="A10997" i="1"/>
  <c r="B10997" i="1"/>
  <c r="C10997" i="1"/>
  <c r="E10997" i="1"/>
  <c r="G10997" i="1"/>
  <c r="K10997" i="1"/>
  <c r="A10998" i="1"/>
  <c r="B10998" i="1"/>
  <c r="C10998" i="1"/>
  <c r="E10998" i="1"/>
  <c r="G10998" i="1"/>
  <c r="K10998" i="1"/>
  <c r="A10999" i="1"/>
  <c r="B10999" i="1"/>
  <c r="C10999" i="1"/>
  <c r="E10999" i="1"/>
  <c r="G10999" i="1"/>
  <c r="K10999" i="1"/>
  <c r="A11000" i="1"/>
  <c r="B11000" i="1"/>
  <c r="C11000" i="1"/>
  <c r="E11000" i="1"/>
  <c r="G11000" i="1"/>
  <c r="K11000" i="1"/>
  <c r="A11001" i="1"/>
  <c r="B11001" i="1"/>
  <c r="C11001" i="1"/>
  <c r="E11001" i="1"/>
  <c r="G11001" i="1"/>
  <c r="K11001" i="1"/>
  <c r="A11002" i="1"/>
  <c r="B11002" i="1"/>
  <c r="C11002" i="1"/>
  <c r="E11002" i="1"/>
  <c r="G11002" i="1"/>
  <c r="K11002" i="1"/>
  <c r="A11003" i="1"/>
  <c r="B11003" i="1"/>
  <c r="C11003" i="1"/>
  <c r="E11003" i="1"/>
  <c r="G11003" i="1"/>
  <c r="K11003" i="1"/>
  <c r="A11004" i="1"/>
  <c r="B11004" i="1"/>
  <c r="C11004" i="1"/>
  <c r="E11004" i="1"/>
  <c r="G11004" i="1"/>
  <c r="K11004" i="1"/>
  <c r="A11005" i="1"/>
  <c r="B11005" i="1"/>
  <c r="C11005" i="1"/>
  <c r="E11005" i="1"/>
  <c r="G11005" i="1"/>
  <c r="K11005" i="1"/>
  <c r="A11006" i="1"/>
  <c r="B11006" i="1"/>
  <c r="C11006" i="1"/>
  <c r="E11006" i="1"/>
  <c r="G11006" i="1"/>
  <c r="K11006" i="1"/>
  <c r="A11007" i="1"/>
  <c r="B11007" i="1"/>
  <c r="C11007" i="1"/>
  <c r="E11007" i="1"/>
  <c r="G11007" i="1"/>
  <c r="K11007" i="1"/>
  <c r="A11008" i="1"/>
  <c r="B11008" i="1"/>
  <c r="C11008" i="1"/>
  <c r="E11008" i="1"/>
  <c r="G11008" i="1"/>
  <c r="K11008" i="1"/>
  <c r="A11009" i="1"/>
  <c r="B11009" i="1"/>
  <c r="C11009" i="1"/>
  <c r="E11009" i="1"/>
  <c r="G11009" i="1"/>
  <c r="K11009" i="1"/>
  <c r="A11010" i="1"/>
  <c r="B11010" i="1"/>
  <c r="C11010" i="1"/>
  <c r="E11010" i="1"/>
  <c r="G11010" i="1"/>
  <c r="K11010" i="1"/>
  <c r="A11011" i="1"/>
  <c r="B11011" i="1"/>
  <c r="C11011" i="1"/>
  <c r="E11011" i="1"/>
  <c r="G11011" i="1"/>
  <c r="K11011" i="1"/>
  <c r="A11012" i="1"/>
  <c r="B11012" i="1"/>
  <c r="C11012" i="1"/>
  <c r="E11012" i="1"/>
  <c r="G11012" i="1"/>
  <c r="K11012" i="1"/>
  <c r="A11013" i="1"/>
  <c r="B11013" i="1"/>
  <c r="C11013" i="1"/>
  <c r="E11013" i="1"/>
  <c r="G11013" i="1"/>
  <c r="K11013" i="1"/>
  <c r="A11014" i="1"/>
  <c r="B11014" i="1"/>
  <c r="C11014" i="1"/>
  <c r="E11014" i="1"/>
  <c r="G11014" i="1"/>
  <c r="K11014" i="1"/>
  <c r="A11015" i="1"/>
  <c r="B11015" i="1"/>
  <c r="C11015" i="1"/>
  <c r="E11015" i="1"/>
  <c r="G11015" i="1"/>
  <c r="K11015" i="1"/>
  <c r="A11016" i="1"/>
  <c r="B11016" i="1"/>
  <c r="C11016" i="1"/>
  <c r="E11016" i="1"/>
  <c r="G11016" i="1"/>
  <c r="K11016" i="1"/>
  <c r="A11017" i="1"/>
  <c r="B11017" i="1"/>
  <c r="C11017" i="1"/>
  <c r="E11017" i="1"/>
  <c r="G11017" i="1"/>
  <c r="K11017" i="1"/>
  <c r="A11018" i="1"/>
  <c r="B11018" i="1"/>
  <c r="C11018" i="1"/>
  <c r="E11018" i="1"/>
  <c r="G11018" i="1"/>
  <c r="K11018" i="1"/>
  <c r="A11019" i="1"/>
  <c r="B11019" i="1"/>
  <c r="C11019" i="1"/>
  <c r="E11019" i="1"/>
  <c r="G11019" i="1"/>
  <c r="K11019" i="1"/>
  <c r="A11020" i="1"/>
  <c r="B11020" i="1"/>
  <c r="C11020" i="1"/>
  <c r="E11020" i="1"/>
  <c r="G11020" i="1"/>
  <c r="K11020" i="1"/>
  <c r="A11021" i="1"/>
  <c r="B11021" i="1"/>
  <c r="C11021" i="1"/>
  <c r="E11021" i="1"/>
  <c r="G11021" i="1"/>
  <c r="K11021" i="1"/>
  <c r="A11022" i="1"/>
  <c r="B11022" i="1"/>
  <c r="C11022" i="1"/>
  <c r="E11022" i="1"/>
  <c r="G11022" i="1"/>
  <c r="K11022" i="1"/>
  <c r="A11023" i="1"/>
  <c r="B11023" i="1"/>
  <c r="C11023" i="1"/>
  <c r="E11023" i="1"/>
  <c r="G11023" i="1"/>
  <c r="K11023" i="1"/>
  <c r="A11024" i="1"/>
  <c r="B11024" i="1"/>
  <c r="C11024" i="1"/>
  <c r="E11024" i="1"/>
  <c r="G11024" i="1"/>
  <c r="K11024" i="1"/>
  <c r="A11025" i="1"/>
  <c r="B11025" i="1"/>
  <c r="C11025" i="1"/>
  <c r="E11025" i="1"/>
  <c r="G11025" i="1"/>
  <c r="K11025" i="1"/>
  <c r="A11026" i="1"/>
  <c r="B11026" i="1"/>
  <c r="C11026" i="1"/>
  <c r="E11026" i="1"/>
  <c r="G11026" i="1"/>
  <c r="K11026" i="1"/>
  <c r="A11027" i="1"/>
  <c r="B11027" i="1"/>
  <c r="C11027" i="1"/>
  <c r="E11027" i="1"/>
  <c r="G11027" i="1"/>
  <c r="K11027" i="1"/>
  <c r="A11028" i="1"/>
  <c r="B11028" i="1"/>
  <c r="C11028" i="1"/>
  <c r="E11028" i="1"/>
  <c r="G11028" i="1"/>
  <c r="K11028" i="1"/>
  <c r="A11029" i="1"/>
  <c r="B11029" i="1"/>
  <c r="C11029" i="1"/>
  <c r="E11029" i="1"/>
  <c r="G11029" i="1"/>
  <c r="K11029" i="1"/>
  <c r="A11030" i="1"/>
  <c r="B11030" i="1"/>
  <c r="C11030" i="1"/>
  <c r="E11030" i="1"/>
  <c r="G11030" i="1"/>
  <c r="K11030" i="1"/>
  <c r="A11031" i="1"/>
  <c r="B11031" i="1"/>
  <c r="C11031" i="1"/>
  <c r="E11031" i="1"/>
  <c r="G11031" i="1"/>
  <c r="K11031" i="1"/>
  <c r="A11032" i="1"/>
  <c r="B11032" i="1"/>
  <c r="C11032" i="1"/>
  <c r="E11032" i="1"/>
  <c r="G11032" i="1"/>
  <c r="K11032" i="1"/>
  <c r="A11033" i="1"/>
  <c r="B11033" i="1"/>
  <c r="C11033" i="1"/>
  <c r="E11033" i="1"/>
  <c r="G11033" i="1"/>
  <c r="K11033" i="1"/>
  <c r="A11034" i="1"/>
  <c r="B11034" i="1"/>
  <c r="C11034" i="1"/>
  <c r="E11034" i="1"/>
  <c r="G11034" i="1"/>
  <c r="K11034" i="1"/>
  <c r="A11035" i="1"/>
  <c r="B11035" i="1"/>
  <c r="C11035" i="1"/>
  <c r="E11035" i="1"/>
  <c r="G11035" i="1"/>
  <c r="K11035" i="1"/>
  <c r="A11036" i="1"/>
  <c r="B11036" i="1"/>
  <c r="C11036" i="1"/>
  <c r="E11036" i="1"/>
  <c r="G11036" i="1"/>
  <c r="K11036" i="1"/>
  <c r="A11037" i="1"/>
  <c r="B11037" i="1"/>
  <c r="C11037" i="1"/>
  <c r="E11037" i="1"/>
  <c r="G11037" i="1"/>
  <c r="K11037" i="1"/>
  <c r="A11038" i="1"/>
  <c r="B11038" i="1"/>
  <c r="C11038" i="1"/>
  <c r="E11038" i="1"/>
  <c r="G11038" i="1"/>
  <c r="K11038" i="1"/>
  <c r="A11039" i="1"/>
  <c r="B11039" i="1"/>
  <c r="C11039" i="1"/>
  <c r="E11039" i="1"/>
  <c r="G11039" i="1"/>
  <c r="K11039" i="1"/>
  <c r="A11040" i="1"/>
  <c r="B11040" i="1"/>
  <c r="C11040" i="1"/>
  <c r="E11040" i="1"/>
  <c r="G11040" i="1"/>
  <c r="K11040" i="1"/>
  <c r="A11041" i="1"/>
  <c r="B11041" i="1"/>
  <c r="C11041" i="1"/>
  <c r="E11041" i="1"/>
  <c r="G11041" i="1"/>
  <c r="K11041" i="1"/>
  <c r="A11042" i="1"/>
  <c r="B11042" i="1"/>
  <c r="C11042" i="1"/>
  <c r="E11042" i="1"/>
  <c r="G11042" i="1"/>
  <c r="K11042" i="1"/>
  <c r="A11043" i="1"/>
  <c r="B11043" i="1"/>
  <c r="C11043" i="1"/>
  <c r="E11043" i="1"/>
  <c r="G11043" i="1"/>
  <c r="K11043" i="1"/>
  <c r="A11044" i="1"/>
  <c r="B11044" i="1"/>
  <c r="C11044" i="1"/>
  <c r="E11044" i="1"/>
  <c r="G11044" i="1"/>
  <c r="K11044" i="1"/>
  <c r="A11045" i="1"/>
  <c r="B11045" i="1"/>
  <c r="C11045" i="1"/>
  <c r="E11045" i="1"/>
  <c r="G11045" i="1"/>
  <c r="K11045" i="1"/>
  <c r="A11046" i="1"/>
  <c r="B11046" i="1"/>
  <c r="C11046" i="1"/>
  <c r="E11046" i="1"/>
  <c r="G11046" i="1"/>
  <c r="K11046" i="1"/>
  <c r="A11047" i="1"/>
  <c r="B11047" i="1"/>
  <c r="C11047" i="1"/>
  <c r="E11047" i="1"/>
  <c r="G11047" i="1"/>
  <c r="K11047" i="1"/>
  <c r="A11048" i="1"/>
  <c r="B11048" i="1"/>
  <c r="C11048" i="1"/>
  <c r="E11048" i="1"/>
  <c r="G11048" i="1"/>
  <c r="K11048" i="1"/>
  <c r="A11049" i="1"/>
  <c r="B11049" i="1"/>
  <c r="C11049" i="1"/>
  <c r="E11049" i="1"/>
  <c r="G11049" i="1"/>
  <c r="K11049" i="1"/>
  <c r="A11050" i="1"/>
  <c r="B11050" i="1"/>
  <c r="C11050" i="1"/>
  <c r="E11050" i="1"/>
  <c r="G11050" i="1"/>
  <c r="K11050" i="1"/>
  <c r="A11051" i="1"/>
  <c r="B11051" i="1"/>
  <c r="C11051" i="1"/>
  <c r="E11051" i="1"/>
  <c r="G11051" i="1"/>
  <c r="K11051" i="1"/>
  <c r="A11052" i="1"/>
  <c r="B11052" i="1"/>
  <c r="C11052" i="1"/>
  <c r="E11052" i="1"/>
  <c r="G11052" i="1"/>
  <c r="K11052" i="1"/>
  <c r="A11053" i="1"/>
  <c r="B11053" i="1"/>
  <c r="C11053" i="1"/>
  <c r="E11053" i="1"/>
  <c r="G11053" i="1"/>
  <c r="K11053" i="1"/>
  <c r="A11054" i="1"/>
  <c r="B11054" i="1"/>
  <c r="C11054" i="1"/>
  <c r="E11054" i="1"/>
  <c r="G11054" i="1"/>
  <c r="K11054" i="1"/>
  <c r="A11055" i="1"/>
  <c r="B11055" i="1"/>
  <c r="C11055" i="1"/>
  <c r="E11055" i="1"/>
  <c r="G11055" i="1"/>
  <c r="K11055" i="1"/>
  <c r="A11056" i="1"/>
  <c r="B11056" i="1"/>
  <c r="C11056" i="1"/>
  <c r="E11056" i="1"/>
  <c r="G11056" i="1"/>
  <c r="K11056" i="1"/>
  <c r="A11057" i="1"/>
  <c r="B11057" i="1"/>
  <c r="C11057" i="1"/>
  <c r="E11057" i="1"/>
  <c r="G11057" i="1"/>
  <c r="K11057" i="1"/>
  <c r="A11058" i="1"/>
  <c r="B11058" i="1"/>
  <c r="C11058" i="1"/>
  <c r="E11058" i="1"/>
  <c r="G11058" i="1"/>
  <c r="K11058" i="1"/>
  <c r="A11059" i="1"/>
  <c r="B11059" i="1"/>
  <c r="C11059" i="1"/>
  <c r="E11059" i="1"/>
  <c r="G11059" i="1"/>
  <c r="K11059" i="1"/>
  <c r="A11060" i="1"/>
  <c r="B11060" i="1"/>
  <c r="C11060" i="1"/>
  <c r="E11060" i="1"/>
  <c r="G11060" i="1"/>
  <c r="K11060" i="1"/>
  <c r="A11061" i="1"/>
  <c r="B11061" i="1"/>
  <c r="C11061" i="1"/>
  <c r="E11061" i="1"/>
  <c r="G11061" i="1"/>
  <c r="K11061" i="1"/>
  <c r="A11062" i="1"/>
  <c r="B11062" i="1"/>
  <c r="C11062" i="1"/>
  <c r="E11062" i="1"/>
  <c r="G11062" i="1"/>
  <c r="K11062" i="1"/>
  <c r="A11063" i="1"/>
  <c r="B11063" i="1"/>
  <c r="C11063" i="1"/>
  <c r="E11063" i="1"/>
  <c r="G11063" i="1"/>
  <c r="K11063" i="1"/>
  <c r="A11064" i="1"/>
  <c r="B11064" i="1"/>
  <c r="C11064" i="1"/>
  <c r="E11064" i="1"/>
  <c r="G11064" i="1"/>
  <c r="K11064" i="1"/>
  <c r="A11065" i="1"/>
  <c r="B11065" i="1"/>
  <c r="C11065" i="1"/>
  <c r="E11065" i="1"/>
  <c r="G11065" i="1"/>
  <c r="K11065" i="1"/>
  <c r="A11066" i="1"/>
  <c r="B11066" i="1"/>
  <c r="C11066" i="1"/>
  <c r="E11066" i="1"/>
  <c r="G11066" i="1"/>
  <c r="K11066" i="1"/>
  <c r="A11067" i="1"/>
  <c r="B11067" i="1"/>
  <c r="C11067" i="1"/>
  <c r="E11067" i="1"/>
  <c r="G11067" i="1"/>
  <c r="K11067" i="1"/>
  <c r="A11068" i="1"/>
  <c r="B11068" i="1"/>
  <c r="C11068" i="1"/>
  <c r="E11068" i="1"/>
  <c r="G11068" i="1"/>
  <c r="K11068" i="1"/>
  <c r="A11069" i="1"/>
  <c r="B11069" i="1"/>
  <c r="C11069" i="1"/>
  <c r="E11069" i="1"/>
  <c r="G11069" i="1"/>
  <c r="K11069" i="1"/>
  <c r="A11070" i="1"/>
  <c r="B11070" i="1"/>
  <c r="C11070" i="1"/>
  <c r="E11070" i="1"/>
  <c r="G11070" i="1"/>
  <c r="K11070" i="1"/>
  <c r="A11071" i="1"/>
  <c r="B11071" i="1"/>
  <c r="C11071" i="1"/>
  <c r="E11071" i="1"/>
  <c r="G11071" i="1"/>
  <c r="K11071" i="1"/>
  <c r="A11072" i="1"/>
  <c r="B11072" i="1"/>
  <c r="C11072" i="1"/>
  <c r="E11072" i="1"/>
  <c r="G11072" i="1"/>
  <c r="K11072" i="1"/>
  <c r="A11073" i="1"/>
  <c r="B11073" i="1"/>
  <c r="C11073" i="1"/>
  <c r="E11073" i="1"/>
  <c r="G11073" i="1"/>
  <c r="K11073" i="1"/>
  <c r="A11074" i="1"/>
  <c r="B11074" i="1"/>
  <c r="C11074" i="1"/>
  <c r="E11074" i="1"/>
  <c r="G11074" i="1"/>
  <c r="K11074" i="1"/>
  <c r="A11075" i="1"/>
  <c r="B11075" i="1"/>
  <c r="C11075" i="1"/>
  <c r="E11075" i="1"/>
  <c r="G11075" i="1"/>
  <c r="K11075" i="1"/>
  <c r="A11076" i="1"/>
  <c r="B11076" i="1"/>
  <c r="C11076" i="1"/>
  <c r="E11076" i="1"/>
  <c r="G11076" i="1"/>
  <c r="K11076" i="1"/>
  <c r="A11077" i="1"/>
  <c r="B11077" i="1"/>
  <c r="C11077" i="1"/>
  <c r="E11077" i="1"/>
  <c r="G11077" i="1"/>
  <c r="K11077" i="1"/>
  <c r="A11078" i="1"/>
  <c r="B11078" i="1"/>
  <c r="C11078" i="1"/>
  <c r="E11078" i="1"/>
  <c r="G11078" i="1"/>
  <c r="K11078" i="1"/>
  <c r="A11079" i="1"/>
  <c r="B11079" i="1"/>
  <c r="C11079" i="1"/>
  <c r="E11079" i="1"/>
  <c r="G11079" i="1"/>
  <c r="K11079" i="1"/>
  <c r="A11080" i="1"/>
  <c r="B11080" i="1"/>
  <c r="C11080" i="1"/>
  <c r="E11080" i="1"/>
  <c r="G11080" i="1"/>
  <c r="K11080" i="1"/>
  <c r="A11081" i="1"/>
  <c r="B11081" i="1"/>
  <c r="C11081" i="1"/>
  <c r="E11081" i="1"/>
  <c r="G11081" i="1"/>
  <c r="K11081" i="1"/>
  <c r="A11082" i="1"/>
  <c r="B11082" i="1"/>
  <c r="C11082" i="1"/>
  <c r="E11082" i="1"/>
  <c r="G11082" i="1"/>
  <c r="K11082" i="1"/>
  <c r="A11083" i="1"/>
  <c r="B11083" i="1"/>
  <c r="C11083" i="1"/>
  <c r="E11083" i="1"/>
  <c r="G11083" i="1"/>
  <c r="K11083" i="1"/>
  <c r="A11084" i="1"/>
  <c r="B11084" i="1"/>
  <c r="C11084" i="1"/>
  <c r="E11084" i="1"/>
  <c r="G11084" i="1"/>
  <c r="K11084" i="1"/>
  <c r="A11085" i="1"/>
  <c r="B11085" i="1"/>
  <c r="C11085" i="1"/>
  <c r="E11085" i="1"/>
  <c r="G11085" i="1"/>
  <c r="K11085" i="1"/>
  <c r="A11086" i="1"/>
  <c r="B11086" i="1"/>
  <c r="C11086" i="1"/>
  <c r="E11086" i="1"/>
  <c r="G11086" i="1"/>
  <c r="K11086" i="1"/>
  <c r="A11087" i="1"/>
  <c r="B11087" i="1"/>
  <c r="C11087" i="1"/>
  <c r="E11087" i="1"/>
  <c r="G11087" i="1"/>
  <c r="K11087" i="1"/>
  <c r="A11088" i="1"/>
  <c r="B11088" i="1"/>
  <c r="C11088" i="1"/>
  <c r="E11088" i="1"/>
  <c r="G11088" i="1"/>
  <c r="K11088" i="1"/>
  <c r="A11089" i="1"/>
  <c r="B11089" i="1"/>
  <c r="C11089" i="1"/>
  <c r="E11089" i="1"/>
  <c r="G11089" i="1"/>
  <c r="K11089" i="1"/>
  <c r="A11090" i="1"/>
  <c r="B11090" i="1"/>
  <c r="C11090" i="1"/>
  <c r="E11090" i="1"/>
  <c r="G11090" i="1"/>
  <c r="K11090" i="1"/>
  <c r="A11091" i="1"/>
  <c r="B11091" i="1"/>
  <c r="C11091" i="1"/>
  <c r="E11091" i="1"/>
  <c r="G11091" i="1"/>
  <c r="K11091" i="1"/>
  <c r="A11092" i="1"/>
  <c r="B11092" i="1"/>
  <c r="C11092" i="1"/>
  <c r="E11092" i="1"/>
  <c r="G11092" i="1"/>
  <c r="K11092" i="1"/>
  <c r="A11093" i="1"/>
  <c r="B11093" i="1"/>
  <c r="C11093" i="1"/>
  <c r="E11093" i="1"/>
  <c r="G11093" i="1"/>
  <c r="K11093" i="1"/>
  <c r="A11094" i="1"/>
  <c r="B11094" i="1"/>
  <c r="C11094" i="1"/>
  <c r="E11094" i="1"/>
  <c r="G11094" i="1"/>
  <c r="K11094" i="1"/>
  <c r="A11095" i="1"/>
  <c r="B11095" i="1"/>
  <c r="C11095" i="1"/>
  <c r="E11095" i="1"/>
  <c r="G11095" i="1"/>
  <c r="K11095" i="1"/>
  <c r="A11096" i="1"/>
  <c r="B11096" i="1"/>
  <c r="C11096" i="1"/>
  <c r="E11096" i="1"/>
  <c r="G11096" i="1"/>
  <c r="K11096" i="1"/>
  <c r="A11097" i="1"/>
  <c r="B11097" i="1"/>
  <c r="C11097" i="1"/>
  <c r="E11097" i="1"/>
  <c r="G11097" i="1"/>
  <c r="K11097" i="1"/>
  <c r="A11098" i="1"/>
  <c r="B11098" i="1"/>
  <c r="C11098" i="1"/>
  <c r="E11098" i="1"/>
  <c r="G11098" i="1"/>
  <c r="K11098" i="1"/>
  <c r="A11099" i="1"/>
  <c r="B11099" i="1"/>
  <c r="C11099" i="1"/>
  <c r="E11099" i="1"/>
  <c r="G11099" i="1"/>
  <c r="K11099" i="1"/>
  <c r="A11100" i="1"/>
  <c r="B11100" i="1"/>
  <c r="C11100" i="1"/>
  <c r="E11100" i="1"/>
  <c r="G11100" i="1"/>
  <c r="K11100" i="1"/>
  <c r="A11101" i="1"/>
  <c r="B11101" i="1"/>
  <c r="C11101" i="1"/>
  <c r="E11101" i="1"/>
  <c r="G11101" i="1"/>
  <c r="K11101" i="1"/>
  <c r="A11102" i="1"/>
  <c r="B11102" i="1"/>
  <c r="C11102" i="1"/>
  <c r="E11102" i="1"/>
  <c r="G11102" i="1"/>
  <c r="K11102" i="1"/>
  <c r="A11103" i="1"/>
  <c r="B11103" i="1"/>
  <c r="C11103" i="1"/>
  <c r="E11103" i="1"/>
  <c r="G11103" i="1"/>
  <c r="K11103" i="1"/>
  <c r="A11104" i="1"/>
  <c r="B11104" i="1"/>
  <c r="C11104" i="1"/>
  <c r="E11104" i="1"/>
  <c r="G11104" i="1"/>
  <c r="K11104" i="1"/>
  <c r="A11105" i="1"/>
  <c r="B11105" i="1"/>
  <c r="C11105" i="1"/>
  <c r="E11105" i="1"/>
  <c r="G11105" i="1"/>
  <c r="K11105" i="1"/>
  <c r="A11106" i="1"/>
  <c r="B11106" i="1"/>
  <c r="C11106" i="1"/>
  <c r="E11106" i="1"/>
  <c r="G11106" i="1"/>
  <c r="K11106" i="1"/>
  <c r="A11107" i="1"/>
  <c r="B11107" i="1"/>
  <c r="C11107" i="1"/>
  <c r="E11107" i="1"/>
  <c r="G11107" i="1"/>
  <c r="K11107" i="1"/>
  <c r="A11108" i="1"/>
  <c r="B11108" i="1"/>
  <c r="C11108" i="1"/>
  <c r="E11108" i="1"/>
  <c r="G11108" i="1"/>
  <c r="K11108" i="1"/>
  <c r="A11109" i="1"/>
  <c r="B11109" i="1"/>
  <c r="C11109" i="1"/>
  <c r="E11109" i="1"/>
  <c r="G11109" i="1"/>
  <c r="K11109" i="1"/>
  <c r="A11110" i="1"/>
  <c r="B11110" i="1"/>
  <c r="C11110" i="1"/>
  <c r="E11110" i="1"/>
  <c r="G11110" i="1"/>
  <c r="K11110" i="1"/>
  <c r="A11111" i="1"/>
  <c r="B11111" i="1"/>
  <c r="C11111" i="1"/>
  <c r="E11111" i="1"/>
  <c r="G11111" i="1"/>
  <c r="K11111" i="1"/>
  <c r="A11112" i="1"/>
  <c r="B11112" i="1"/>
  <c r="C11112" i="1"/>
  <c r="E11112" i="1"/>
  <c r="G11112" i="1"/>
  <c r="K11112" i="1"/>
  <c r="A11113" i="1"/>
  <c r="B11113" i="1"/>
  <c r="C11113" i="1"/>
  <c r="E11113" i="1"/>
  <c r="G11113" i="1"/>
  <c r="K11113" i="1"/>
  <c r="A11114" i="1"/>
  <c r="B11114" i="1"/>
  <c r="C11114" i="1"/>
  <c r="E11114" i="1"/>
  <c r="G11114" i="1"/>
  <c r="K11114" i="1"/>
  <c r="A11115" i="1"/>
  <c r="B11115" i="1"/>
  <c r="C11115" i="1"/>
  <c r="E11115" i="1"/>
  <c r="G11115" i="1"/>
  <c r="K11115" i="1"/>
  <c r="A11116" i="1"/>
  <c r="B11116" i="1"/>
  <c r="C11116" i="1"/>
  <c r="E11116" i="1"/>
  <c r="G11116" i="1"/>
  <c r="K11116" i="1"/>
  <c r="A11117" i="1"/>
  <c r="B11117" i="1"/>
  <c r="C11117" i="1"/>
  <c r="E11117" i="1"/>
  <c r="G11117" i="1"/>
  <c r="K11117" i="1"/>
  <c r="A11118" i="1"/>
  <c r="B11118" i="1"/>
  <c r="C11118" i="1"/>
  <c r="E11118" i="1"/>
  <c r="G11118" i="1"/>
  <c r="K11118" i="1"/>
  <c r="A11119" i="1"/>
  <c r="B11119" i="1"/>
  <c r="C11119" i="1"/>
  <c r="E11119" i="1"/>
  <c r="G11119" i="1"/>
  <c r="K11119" i="1"/>
  <c r="A11120" i="1"/>
  <c r="B11120" i="1"/>
  <c r="C11120" i="1"/>
  <c r="E11120" i="1"/>
  <c r="G11120" i="1"/>
  <c r="K11120" i="1"/>
  <c r="A11121" i="1"/>
  <c r="B11121" i="1"/>
  <c r="C11121" i="1"/>
  <c r="E11121" i="1"/>
  <c r="G11121" i="1"/>
  <c r="K11121" i="1"/>
  <c r="A11122" i="1"/>
  <c r="B11122" i="1"/>
  <c r="C11122" i="1"/>
  <c r="E11122" i="1"/>
  <c r="G11122" i="1"/>
  <c r="K11122" i="1"/>
  <c r="A11123" i="1"/>
  <c r="B11123" i="1"/>
  <c r="C11123" i="1"/>
  <c r="E11123" i="1"/>
  <c r="G11123" i="1"/>
  <c r="K11123" i="1"/>
  <c r="A11124" i="1"/>
  <c r="B11124" i="1"/>
  <c r="C11124" i="1"/>
  <c r="E11124" i="1"/>
  <c r="G11124" i="1"/>
  <c r="K11124" i="1"/>
  <c r="A11125" i="1"/>
  <c r="B11125" i="1"/>
  <c r="C11125" i="1"/>
  <c r="E11125" i="1"/>
  <c r="G11125" i="1"/>
  <c r="K11125" i="1"/>
  <c r="A11126" i="1"/>
  <c r="B11126" i="1"/>
  <c r="C11126" i="1"/>
  <c r="E11126" i="1"/>
  <c r="G11126" i="1"/>
  <c r="K11126" i="1"/>
  <c r="A11127" i="1"/>
  <c r="B11127" i="1"/>
  <c r="C11127" i="1"/>
  <c r="E11127" i="1"/>
  <c r="G11127" i="1"/>
  <c r="K11127" i="1"/>
  <c r="A11128" i="1"/>
  <c r="B11128" i="1"/>
  <c r="C11128" i="1"/>
  <c r="E11128" i="1"/>
  <c r="G11128" i="1"/>
  <c r="K11128" i="1"/>
  <c r="A11129" i="1"/>
  <c r="B11129" i="1"/>
  <c r="C11129" i="1"/>
  <c r="E11129" i="1"/>
  <c r="G11129" i="1"/>
  <c r="K11129" i="1"/>
  <c r="A11130" i="1"/>
  <c r="B11130" i="1"/>
  <c r="C11130" i="1"/>
  <c r="E11130" i="1"/>
  <c r="G11130" i="1"/>
  <c r="K11130" i="1"/>
  <c r="A11131" i="1"/>
  <c r="B11131" i="1"/>
  <c r="C11131" i="1"/>
  <c r="E11131" i="1"/>
  <c r="G11131" i="1"/>
  <c r="K11131" i="1"/>
  <c r="A11132" i="1"/>
  <c r="B11132" i="1"/>
  <c r="C11132" i="1"/>
  <c r="E11132" i="1"/>
  <c r="G11132" i="1"/>
  <c r="K11132" i="1"/>
  <c r="A11133" i="1"/>
  <c r="B11133" i="1"/>
  <c r="C11133" i="1"/>
  <c r="E11133" i="1"/>
  <c r="G11133" i="1"/>
  <c r="K11133" i="1"/>
  <c r="A11134" i="1"/>
  <c r="B11134" i="1"/>
  <c r="C11134" i="1"/>
  <c r="E11134" i="1"/>
  <c r="G11134" i="1"/>
  <c r="K11134" i="1"/>
  <c r="A11135" i="1"/>
  <c r="B11135" i="1"/>
  <c r="C11135" i="1"/>
  <c r="E11135" i="1"/>
  <c r="G11135" i="1"/>
  <c r="K11135" i="1"/>
  <c r="A11136" i="1"/>
  <c r="B11136" i="1"/>
  <c r="C11136" i="1"/>
  <c r="E11136" i="1"/>
  <c r="G11136" i="1"/>
  <c r="K11136" i="1"/>
  <c r="A11137" i="1"/>
  <c r="B11137" i="1"/>
  <c r="C11137" i="1"/>
  <c r="E11137" i="1"/>
  <c r="G11137" i="1"/>
  <c r="K11137" i="1"/>
  <c r="A11138" i="1"/>
  <c r="B11138" i="1"/>
  <c r="C11138" i="1"/>
  <c r="E11138" i="1"/>
  <c r="G11138" i="1"/>
  <c r="K11138" i="1"/>
  <c r="A11139" i="1"/>
  <c r="B11139" i="1"/>
  <c r="C11139" i="1"/>
  <c r="E11139" i="1"/>
  <c r="G11139" i="1"/>
  <c r="K11139" i="1"/>
  <c r="A11140" i="1"/>
  <c r="B11140" i="1"/>
  <c r="C11140" i="1"/>
  <c r="E11140" i="1"/>
  <c r="G11140" i="1"/>
  <c r="K11140" i="1"/>
  <c r="A11141" i="1"/>
  <c r="B11141" i="1"/>
  <c r="C11141" i="1"/>
  <c r="E11141" i="1"/>
  <c r="G11141" i="1"/>
  <c r="K11141" i="1"/>
  <c r="A11142" i="1"/>
  <c r="B11142" i="1"/>
  <c r="C11142" i="1"/>
  <c r="E11142" i="1"/>
  <c r="G11142" i="1"/>
  <c r="K11142" i="1"/>
  <c r="A11143" i="1"/>
  <c r="B11143" i="1"/>
  <c r="C11143" i="1"/>
  <c r="E11143" i="1"/>
  <c r="G11143" i="1"/>
  <c r="K11143" i="1"/>
  <c r="A11144" i="1"/>
  <c r="B11144" i="1"/>
  <c r="C11144" i="1"/>
  <c r="E11144" i="1"/>
  <c r="G11144" i="1"/>
  <c r="K11144" i="1"/>
  <c r="A11145" i="1"/>
  <c r="B11145" i="1"/>
  <c r="C11145" i="1"/>
  <c r="E11145" i="1"/>
  <c r="G11145" i="1"/>
  <c r="K11145" i="1"/>
  <c r="A11146" i="1"/>
  <c r="B11146" i="1"/>
  <c r="C11146" i="1"/>
  <c r="E11146" i="1"/>
  <c r="G11146" i="1"/>
  <c r="K11146" i="1"/>
  <c r="A11147" i="1"/>
  <c r="B11147" i="1"/>
  <c r="C11147" i="1"/>
  <c r="E11147" i="1"/>
  <c r="G11147" i="1"/>
  <c r="K11147" i="1"/>
  <c r="A11148" i="1"/>
  <c r="B11148" i="1"/>
  <c r="C11148" i="1"/>
  <c r="E11148" i="1"/>
  <c r="G11148" i="1"/>
  <c r="K11148" i="1"/>
  <c r="A11149" i="1"/>
  <c r="B11149" i="1"/>
  <c r="C11149" i="1"/>
  <c r="E11149" i="1"/>
  <c r="G11149" i="1"/>
  <c r="K11149" i="1"/>
  <c r="A11150" i="1"/>
  <c r="B11150" i="1"/>
  <c r="C11150" i="1"/>
  <c r="E11150" i="1"/>
  <c r="G11150" i="1"/>
  <c r="K11150" i="1"/>
  <c r="A11151" i="1"/>
  <c r="B11151" i="1"/>
  <c r="C11151" i="1"/>
  <c r="E11151" i="1"/>
  <c r="G11151" i="1"/>
  <c r="K11151" i="1"/>
  <c r="A11152" i="1"/>
  <c r="B11152" i="1"/>
  <c r="C11152" i="1"/>
  <c r="E11152" i="1"/>
  <c r="G11152" i="1"/>
  <c r="K11152" i="1"/>
  <c r="A11153" i="1"/>
  <c r="B11153" i="1"/>
  <c r="C11153" i="1"/>
  <c r="E11153" i="1"/>
  <c r="G11153" i="1"/>
  <c r="K11153" i="1"/>
  <c r="A11154" i="1"/>
  <c r="B11154" i="1"/>
  <c r="C11154" i="1"/>
  <c r="E11154" i="1"/>
  <c r="G11154" i="1"/>
  <c r="K11154" i="1"/>
  <c r="A11155" i="1"/>
  <c r="B11155" i="1"/>
  <c r="C11155" i="1"/>
  <c r="E11155" i="1"/>
  <c r="G11155" i="1"/>
  <c r="K11155" i="1"/>
  <c r="A11156" i="1"/>
  <c r="B11156" i="1"/>
  <c r="C11156" i="1"/>
  <c r="E11156" i="1"/>
  <c r="G11156" i="1"/>
  <c r="K11156" i="1"/>
  <c r="A11157" i="1"/>
  <c r="B11157" i="1"/>
  <c r="C11157" i="1"/>
  <c r="E11157" i="1"/>
  <c r="G11157" i="1"/>
  <c r="K11157" i="1"/>
  <c r="A11158" i="1"/>
  <c r="B11158" i="1"/>
  <c r="C11158" i="1"/>
  <c r="E11158" i="1"/>
  <c r="G11158" i="1"/>
  <c r="K11158" i="1"/>
  <c r="A11159" i="1"/>
  <c r="B11159" i="1"/>
  <c r="C11159" i="1"/>
  <c r="E11159" i="1"/>
  <c r="G11159" i="1"/>
  <c r="K11159" i="1"/>
  <c r="A11160" i="1"/>
  <c r="B11160" i="1"/>
  <c r="C11160" i="1"/>
  <c r="E11160" i="1"/>
  <c r="G11160" i="1"/>
  <c r="K11160" i="1"/>
  <c r="A11161" i="1"/>
  <c r="B11161" i="1"/>
  <c r="C11161" i="1"/>
  <c r="E11161" i="1"/>
  <c r="G11161" i="1"/>
  <c r="K11161" i="1"/>
  <c r="A11162" i="1"/>
  <c r="B11162" i="1"/>
  <c r="C11162" i="1"/>
  <c r="E11162" i="1"/>
  <c r="G11162" i="1"/>
  <c r="K11162" i="1"/>
  <c r="A11163" i="1"/>
  <c r="B11163" i="1"/>
  <c r="C11163" i="1"/>
  <c r="E11163" i="1"/>
  <c r="G11163" i="1"/>
  <c r="K11163" i="1"/>
  <c r="A11164" i="1"/>
  <c r="B11164" i="1"/>
  <c r="C11164" i="1"/>
  <c r="E11164" i="1"/>
  <c r="G11164" i="1"/>
  <c r="K11164" i="1"/>
  <c r="A11165" i="1"/>
  <c r="B11165" i="1"/>
  <c r="C11165" i="1"/>
  <c r="E11165" i="1"/>
  <c r="G11165" i="1"/>
  <c r="K11165" i="1"/>
  <c r="A11166" i="1"/>
  <c r="B11166" i="1"/>
  <c r="C11166" i="1"/>
  <c r="E11166" i="1"/>
  <c r="G11166" i="1"/>
  <c r="K11166" i="1"/>
  <c r="A11167" i="1"/>
  <c r="B11167" i="1"/>
  <c r="C11167" i="1"/>
  <c r="E11167" i="1"/>
  <c r="G11167" i="1"/>
  <c r="K11167" i="1"/>
  <c r="A11168" i="1"/>
  <c r="B11168" i="1"/>
  <c r="C11168" i="1"/>
  <c r="E11168" i="1"/>
  <c r="G11168" i="1"/>
  <c r="K11168" i="1"/>
  <c r="A11169" i="1"/>
  <c r="B11169" i="1"/>
  <c r="C11169" i="1"/>
  <c r="E11169" i="1"/>
  <c r="G11169" i="1"/>
  <c r="K11169" i="1"/>
  <c r="A11170" i="1"/>
  <c r="B11170" i="1"/>
  <c r="C11170" i="1"/>
  <c r="E11170" i="1"/>
  <c r="G11170" i="1"/>
  <c r="K11170" i="1"/>
  <c r="A11171" i="1"/>
  <c r="B11171" i="1"/>
  <c r="C11171" i="1"/>
  <c r="E11171" i="1"/>
  <c r="G11171" i="1"/>
  <c r="K11171" i="1"/>
  <c r="A11172" i="1"/>
  <c r="B11172" i="1"/>
  <c r="C11172" i="1"/>
  <c r="E11172" i="1"/>
  <c r="G11172" i="1"/>
  <c r="K11172" i="1"/>
  <c r="A11173" i="1"/>
  <c r="B11173" i="1"/>
  <c r="C11173" i="1"/>
  <c r="E11173" i="1"/>
  <c r="G11173" i="1"/>
  <c r="K11173" i="1"/>
  <c r="A11174" i="1"/>
  <c r="B11174" i="1"/>
  <c r="C11174" i="1"/>
  <c r="E11174" i="1"/>
  <c r="G11174" i="1"/>
  <c r="K11174" i="1"/>
  <c r="A11175" i="1"/>
  <c r="B11175" i="1"/>
  <c r="C11175" i="1"/>
  <c r="E11175" i="1"/>
  <c r="G11175" i="1"/>
  <c r="K11175" i="1"/>
  <c r="A11176" i="1"/>
  <c r="B11176" i="1"/>
  <c r="C11176" i="1"/>
  <c r="E11176" i="1"/>
  <c r="G11176" i="1"/>
  <c r="K11176" i="1"/>
  <c r="A11177" i="1"/>
  <c r="B11177" i="1"/>
  <c r="C11177" i="1"/>
  <c r="E11177" i="1"/>
  <c r="G11177" i="1"/>
  <c r="K11177" i="1"/>
  <c r="A11178" i="1"/>
  <c r="B11178" i="1"/>
  <c r="C11178" i="1"/>
  <c r="E11178" i="1"/>
  <c r="G11178" i="1"/>
  <c r="K11178" i="1"/>
  <c r="A11179" i="1"/>
  <c r="B11179" i="1"/>
  <c r="C11179" i="1"/>
  <c r="E11179" i="1"/>
  <c r="G11179" i="1"/>
  <c r="K11179" i="1"/>
  <c r="A11180" i="1"/>
  <c r="B11180" i="1"/>
  <c r="C11180" i="1"/>
  <c r="E11180" i="1"/>
  <c r="G11180" i="1"/>
  <c r="K11180" i="1"/>
  <c r="A11181" i="1"/>
  <c r="B11181" i="1"/>
  <c r="C11181" i="1"/>
  <c r="E11181" i="1"/>
  <c r="G11181" i="1"/>
  <c r="K11181" i="1"/>
  <c r="A11182" i="1"/>
  <c r="B11182" i="1"/>
  <c r="C11182" i="1"/>
  <c r="E11182" i="1"/>
  <c r="G11182" i="1"/>
  <c r="K11182" i="1"/>
  <c r="A11183" i="1"/>
  <c r="B11183" i="1"/>
  <c r="C11183" i="1"/>
  <c r="E11183" i="1"/>
  <c r="G11183" i="1"/>
  <c r="K11183" i="1"/>
  <c r="A11184" i="1"/>
  <c r="B11184" i="1"/>
  <c r="C11184" i="1"/>
  <c r="E11184" i="1"/>
  <c r="G11184" i="1"/>
  <c r="K11184" i="1"/>
  <c r="A11185" i="1"/>
  <c r="B11185" i="1"/>
  <c r="C11185" i="1"/>
  <c r="E11185" i="1"/>
  <c r="G11185" i="1"/>
  <c r="K11185" i="1"/>
  <c r="A11186" i="1"/>
  <c r="B11186" i="1"/>
  <c r="C11186" i="1"/>
  <c r="E11186" i="1"/>
  <c r="G11186" i="1"/>
  <c r="K11186" i="1"/>
  <c r="A11187" i="1"/>
  <c r="B11187" i="1"/>
  <c r="C11187" i="1"/>
  <c r="E11187" i="1"/>
  <c r="G11187" i="1"/>
  <c r="K11187" i="1"/>
  <c r="A11188" i="1"/>
  <c r="B11188" i="1"/>
  <c r="C11188" i="1"/>
  <c r="E11188" i="1"/>
  <c r="G11188" i="1"/>
  <c r="K11188" i="1"/>
  <c r="A11189" i="1"/>
  <c r="B11189" i="1"/>
  <c r="C11189" i="1"/>
  <c r="E11189" i="1"/>
  <c r="G11189" i="1"/>
  <c r="K11189" i="1"/>
  <c r="A11190" i="1"/>
  <c r="B11190" i="1"/>
  <c r="C11190" i="1"/>
  <c r="E11190" i="1"/>
  <c r="G11190" i="1"/>
  <c r="K11190" i="1"/>
  <c r="A11191" i="1"/>
  <c r="B11191" i="1"/>
  <c r="C11191" i="1"/>
  <c r="E11191" i="1"/>
  <c r="G11191" i="1"/>
  <c r="K11191" i="1"/>
  <c r="A11192" i="1"/>
  <c r="B11192" i="1"/>
  <c r="C11192" i="1"/>
  <c r="E11192" i="1"/>
  <c r="G11192" i="1"/>
  <c r="K11192" i="1"/>
  <c r="A11193" i="1"/>
  <c r="B11193" i="1"/>
  <c r="C11193" i="1"/>
  <c r="E11193" i="1"/>
  <c r="G11193" i="1"/>
  <c r="K11193" i="1"/>
  <c r="A11194" i="1"/>
  <c r="B11194" i="1"/>
  <c r="C11194" i="1"/>
  <c r="E11194" i="1"/>
  <c r="G11194" i="1"/>
  <c r="K11194" i="1"/>
  <c r="A11195" i="1"/>
  <c r="B11195" i="1"/>
  <c r="C11195" i="1"/>
  <c r="E11195" i="1"/>
  <c r="G11195" i="1"/>
  <c r="K11195" i="1"/>
  <c r="A11196" i="1"/>
  <c r="B11196" i="1"/>
  <c r="C11196" i="1"/>
  <c r="E11196" i="1"/>
  <c r="G11196" i="1"/>
  <c r="K11196" i="1"/>
  <c r="A11197" i="1"/>
  <c r="B11197" i="1"/>
  <c r="C11197" i="1"/>
  <c r="E11197" i="1"/>
  <c r="G11197" i="1"/>
  <c r="K11197" i="1"/>
  <c r="A11198" i="1"/>
  <c r="B11198" i="1"/>
  <c r="C11198" i="1"/>
  <c r="E11198" i="1"/>
  <c r="G11198" i="1"/>
  <c r="K11198" i="1"/>
  <c r="A11199" i="1"/>
  <c r="B11199" i="1"/>
  <c r="C11199" i="1"/>
  <c r="E11199" i="1"/>
  <c r="G11199" i="1"/>
  <c r="K11199" i="1"/>
  <c r="A11200" i="1"/>
  <c r="B11200" i="1"/>
  <c r="C11200" i="1"/>
  <c r="E11200" i="1"/>
  <c r="G11200" i="1"/>
  <c r="K11200" i="1"/>
  <c r="A11201" i="1"/>
  <c r="B11201" i="1"/>
  <c r="C11201" i="1"/>
  <c r="E11201" i="1"/>
  <c r="G11201" i="1"/>
  <c r="K11201" i="1"/>
  <c r="A11202" i="1"/>
  <c r="B11202" i="1"/>
  <c r="C11202" i="1"/>
  <c r="E11202" i="1"/>
  <c r="G11202" i="1"/>
  <c r="K11202" i="1"/>
  <c r="A11203" i="1"/>
  <c r="B11203" i="1"/>
  <c r="C11203" i="1"/>
  <c r="E11203" i="1"/>
  <c r="G11203" i="1"/>
  <c r="K11203" i="1"/>
  <c r="A11204" i="1"/>
  <c r="B11204" i="1"/>
  <c r="C11204" i="1"/>
  <c r="E11204" i="1"/>
  <c r="G11204" i="1"/>
  <c r="K11204" i="1"/>
  <c r="A11205" i="1"/>
  <c r="B11205" i="1"/>
  <c r="C11205" i="1"/>
  <c r="E11205" i="1"/>
  <c r="G11205" i="1"/>
  <c r="K11205" i="1"/>
  <c r="A11206" i="1"/>
  <c r="B11206" i="1"/>
  <c r="C11206" i="1"/>
  <c r="E11206" i="1"/>
  <c r="G11206" i="1"/>
  <c r="K11206" i="1"/>
  <c r="A11207" i="1"/>
  <c r="B11207" i="1"/>
  <c r="C11207" i="1"/>
  <c r="E11207" i="1"/>
  <c r="G11207" i="1"/>
  <c r="K11207" i="1"/>
  <c r="A11208" i="1"/>
  <c r="B11208" i="1"/>
  <c r="C11208" i="1"/>
  <c r="E11208" i="1"/>
  <c r="G11208" i="1"/>
  <c r="K11208" i="1"/>
  <c r="A11209" i="1"/>
  <c r="B11209" i="1"/>
  <c r="C11209" i="1"/>
  <c r="E11209" i="1"/>
  <c r="G11209" i="1"/>
  <c r="K11209" i="1"/>
  <c r="A11210" i="1"/>
  <c r="B11210" i="1"/>
  <c r="C11210" i="1"/>
  <c r="E11210" i="1"/>
  <c r="G11210" i="1"/>
  <c r="K11210" i="1"/>
  <c r="A11211" i="1"/>
  <c r="B11211" i="1"/>
  <c r="C11211" i="1"/>
  <c r="E11211" i="1"/>
  <c r="G11211" i="1"/>
  <c r="K11211" i="1"/>
  <c r="A11212" i="1"/>
  <c r="B11212" i="1"/>
  <c r="C11212" i="1"/>
  <c r="E11212" i="1"/>
  <c r="G11212" i="1"/>
  <c r="K11212" i="1"/>
  <c r="A11213" i="1"/>
  <c r="B11213" i="1"/>
  <c r="C11213" i="1"/>
  <c r="E11213" i="1"/>
  <c r="G11213" i="1"/>
  <c r="K11213" i="1"/>
  <c r="A11214" i="1"/>
  <c r="B11214" i="1"/>
  <c r="C11214" i="1"/>
  <c r="E11214" i="1"/>
  <c r="G11214" i="1"/>
  <c r="K11214" i="1"/>
  <c r="A11215" i="1"/>
  <c r="B11215" i="1"/>
  <c r="C11215" i="1"/>
  <c r="E11215" i="1"/>
  <c r="G11215" i="1"/>
  <c r="K11215" i="1"/>
  <c r="A11216" i="1"/>
  <c r="B11216" i="1"/>
  <c r="C11216" i="1"/>
  <c r="E11216" i="1"/>
  <c r="G11216" i="1"/>
  <c r="K11216" i="1"/>
  <c r="A11217" i="1"/>
  <c r="B11217" i="1"/>
  <c r="C11217" i="1"/>
  <c r="E11217" i="1"/>
  <c r="G11217" i="1"/>
  <c r="K11217" i="1"/>
  <c r="A11218" i="1"/>
  <c r="B11218" i="1"/>
  <c r="C11218" i="1"/>
  <c r="E11218" i="1"/>
  <c r="G11218" i="1"/>
  <c r="K11218" i="1"/>
  <c r="A11219" i="1"/>
  <c r="B11219" i="1"/>
  <c r="C11219" i="1"/>
  <c r="E11219" i="1"/>
  <c r="G11219" i="1"/>
  <c r="K11219" i="1"/>
  <c r="A11220" i="1"/>
  <c r="B11220" i="1"/>
  <c r="C11220" i="1"/>
  <c r="E11220" i="1"/>
  <c r="G11220" i="1"/>
  <c r="K11220" i="1"/>
  <c r="A11221" i="1"/>
  <c r="B11221" i="1"/>
  <c r="C11221" i="1"/>
  <c r="E11221" i="1"/>
  <c r="G11221" i="1"/>
  <c r="K11221" i="1"/>
  <c r="A11222" i="1"/>
  <c r="B11222" i="1"/>
  <c r="C11222" i="1"/>
  <c r="E11222" i="1"/>
  <c r="G11222" i="1"/>
  <c r="K11222" i="1"/>
  <c r="A11223" i="1"/>
  <c r="B11223" i="1"/>
  <c r="C11223" i="1"/>
  <c r="E11223" i="1"/>
  <c r="G11223" i="1"/>
  <c r="K11223" i="1"/>
  <c r="A11224" i="1"/>
  <c r="B11224" i="1"/>
  <c r="C11224" i="1"/>
  <c r="E11224" i="1"/>
  <c r="G11224" i="1"/>
  <c r="K11224" i="1"/>
  <c r="A11225" i="1"/>
  <c r="B11225" i="1"/>
  <c r="C11225" i="1"/>
  <c r="E11225" i="1"/>
  <c r="G11225" i="1"/>
  <c r="K11225" i="1"/>
  <c r="A11226" i="1"/>
  <c r="B11226" i="1"/>
  <c r="C11226" i="1"/>
  <c r="E11226" i="1"/>
  <c r="G11226" i="1"/>
  <c r="K11226" i="1"/>
  <c r="A11227" i="1"/>
  <c r="B11227" i="1"/>
  <c r="C11227" i="1"/>
  <c r="E11227" i="1"/>
  <c r="G11227" i="1"/>
  <c r="K11227" i="1"/>
  <c r="A11228" i="1"/>
  <c r="B11228" i="1"/>
  <c r="C11228" i="1"/>
  <c r="E11228" i="1"/>
  <c r="G11228" i="1"/>
  <c r="K11228" i="1"/>
  <c r="A11229" i="1"/>
  <c r="B11229" i="1"/>
  <c r="C11229" i="1"/>
  <c r="E11229" i="1"/>
  <c r="G11229" i="1"/>
  <c r="K11229" i="1"/>
  <c r="A11230" i="1"/>
  <c r="B11230" i="1"/>
  <c r="C11230" i="1"/>
  <c r="E11230" i="1"/>
  <c r="G11230" i="1"/>
  <c r="K11230" i="1"/>
  <c r="A11231" i="1"/>
  <c r="B11231" i="1"/>
  <c r="C11231" i="1"/>
  <c r="E11231" i="1"/>
  <c r="G11231" i="1"/>
  <c r="K11231" i="1"/>
  <c r="A11232" i="1"/>
  <c r="B11232" i="1"/>
  <c r="C11232" i="1"/>
  <c r="E11232" i="1"/>
  <c r="G11232" i="1"/>
  <c r="K11232" i="1"/>
  <c r="A11233" i="1"/>
  <c r="B11233" i="1"/>
  <c r="C11233" i="1"/>
  <c r="E11233" i="1"/>
  <c r="G11233" i="1"/>
  <c r="K11233" i="1"/>
  <c r="A11234" i="1"/>
  <c r="B11234" i="1"/>
  <c r="C11234" i="1"/>
  <c r="E11234" i="1"/>
  <c r="G11234" i="1"/>
  <c r="K11234" i="1"/>
  <c r="A11235" i="1"/>
  <c r="B11235" i="1"/>
  <c r="C11235" i="1"/>
  <c r="E11235" i="1"/>
  <c r="G11235" i="1"/>
  <c r="K11235" i="1"/>
  <c r="A11236" i="1"/>
  <c r="B11236" i="1"/>
  <c r="C11236" i="1"/>
  <c r="E11236" i="1"/>
  <c r="G11236" i="1"/>
  <c r="K11236" i="1"/>
  <c r="A11237" i="1"/>
  <c r="B11237" i="1"/>
  <c r="C11237" i="1"/>
  <c r="E11237" i="1"/>
  <c r="G11237" i="1"/>
  <c r="K11237" i="1"/>
  <c r="A11238" i="1"/>
  <c r="B11238" i="1"/>
  <c r="C11238" i="1"/>
  <c r="E11238" i="1"/>
  <c r="G11238" i="1"/>
  <c r="K11238" i="1"/>
  <c r="A11239" i="1"/>
  <c r="B11239" i="1"/>
  <c r="C11239" i="1"/>
  <c r="E11239" i="1"/>
  <c r="G11239" i="1"/>
  <c r="K11239" i="1"/>
  <c r="A11240" i="1"/>
  <c r="B11240" i="1"/>
  <c r="C11240" i="1"/>
  <c r="E11240" i="1"/>
  <c r="G11240" i="1"/>
  <c r="K11240" i="1"/>
  <c r="A11241" i="1"/>
  <c r="B11241" i="1"/>
  <c r="C11241" i="1"/>
  <c r="E11241" i="1"/>
  <c r="G11241" i="1"/>
  <c r="K11241" i="1"/>
  <c r="A11242" i="1"/>
  <c r="B11242" i="1"/>
  <c r="C11242" i="1"/>
  <c r="E11242" i="1"/>
  <c r="G11242" i="1"/>
  <c r="K11242" i="1"/>
  <c r="A11243" i="1"/>
  <c r="B11243" i="1"/>
  <c r="C11243" i="1"/>
  <c r="E11243" i="1"/>
  <c r="G11243" i="1"/>
  <c r="K11243" i="1"/>
  <c r="A11244" i="1"/>
  <c r="B11244" i="1"/>
  <c r="C11244" i="1"/>
  <c r="E11244" i="1"/>
  <c r="G11244" i="1"/>
  <c r="K11244" i="1"/>
  <c r="A11245" i="1"/>
  <c r="B11245" i="1"/>
  <c r="C11245" i="1"/>
  <c r="E11245" i="1"/>
  <c r="G11245" i="1"/>
  <c r="K11245" i="1"/>
  <c r="A11246" i="1"/>
  <c r="B11246" i="1"/>
  <c r="C11246" i="1"/>
  <c r="E11246" i="1"/>
  <c r="G11246" i="1"/>
  <c r="K11246" i="1"/>
  <c r="A11247" i="1"/>
  <c r="B11247" i="1"/>
  <c r="C11247" i="1"/>
  <c r="E11247" i="1"/>
  <c r="G11247" i="1"/>
  <c r="K11247" i="1"/>
  <c r="A11248" i="1"/>
  <c r="B11248" i="1"/>
  <c r="C11248" i="1"/>
  <c r="E11248" i="1"/>
  <c r="G11248" i="1"/>
  <c r="K11248" i="1"/>
  <c r="A11249" i="1"/>
  <c r="B11249" i="1"/>
  <c r="C11249" i="1"/>
  <c r="E11249" i="1"/>
  <c r="G11249" i="1"/>
  <c r="K11249" i="1"/>
  <c r="A11250" i="1"/>
  <c r="B11250" i="1"/>
  <c r="C11250" i="1"/>
  <c r="E11250" i="1"/>
  <c r="G11250" i="1"/>
  <c r="K11250" i="1"/>
  <c r="A11251" i="1"/>
  <c r="B11251" i="1"/>
  <c r="C11251" i="1"/>
  <c r="E11251" i="1"/>
  <c r="G11251" i="1"/>
  <c r="K11251" i="1"/>
  <c r="A11252" i="1"/>
  <c r="B11252" i="1"/>
  <c r="C11252" i="1"/>
  <c r="E11252" i="1"/>
  <c r="G11252" i="1"/>
  <c r="K11252" i="1"/>
  <c r="A11253" i="1"/>
  <c r="B11253" i="1"/>
  <c r="C11253" i="1"/>
  <c r="E11253" i="1"/>
  <c r="G11253" i="1"/>
  <c r="K11253" i="1"/>
  <c r="A11254" i="1"/>
  <c r="B11254" i="1"/>
  <c r="C11254" i="1"/>
  <c r="E11254" i="1"/>
  <c r="G11254" i="1"/>
  <c r="K11254" i="1"/>
  <c r="A11255" i="1"/>
  <c r="B11255" i="1"/>
  <c r="C11255" i="1"/>
  <c r="E11255" i="1"/>
  <c r="G11255" i="1"/>
  <c r="K11255" i="1"/>
  <c r="A11256" i="1"/>
  <c r="B11256" i="1"/>
  <c r="C11256" i="1"/>
  <c r="E11256" i="1"/>
  <c r="G11256" i="1"/>
  <c r="K11256" i="1"/>
  <c r="A11257" i="1"/>
  <c r="B11257" i="1"/>
  <c r="C11257" i="1"/>
  <c r="E11257" i="1"/>
  <c r="G11257" i="1"/>
  <c r="K11257" i="1"/>
  <c r="A11258" i="1"/>
  <c r="B11258" i="1"/>
  <c r="C11258" i="1"/>
  <c r="E11258" i="1"/>
  <c r="G11258" i="1"/>
  <c r="K11258" i="1"/>
  <c r="A11259" i="1"/>
  <c r="B11259" i="1"/>
  <c r="C11259" i="1"/>
  <c r="E11259" i="1"/>
  <c r="G11259" i="1"/>
  <c r="K11259" i="1"/>
  <c r="A11260" i="1"/>
  <c r="B11260" i="1"/>
  <c r="C11260" i="1"/>
  <c r="E11260" i="1"/>
  <c r="G11260" i="1"/>
  <c r="K11260" i="1"/>
  <c r="A11261" i="1"/>
  <c r="B11261" i="1"/>
  <c r="C11261" i="1"/>
  <c r="E11261" i="1"/>
  <c r="G11261" i="1"/>
  <c r="K11261" i="1"/>
  <c r="A11262" i="1"/>
  <c r="B11262" i="1"/>
  <c r="C11262" i="1"/>
  <c r="E11262" i="1"/>
  <c r="G11262" i="1"/>
  <c r="K11262" i="1"/>
  <c r="A11263" i="1"/>
  <c r="B11263" i="1"/>
  <c r="C11263" i="1"/>
  <c r="E11263" i="1"/>
  <c r="G11263" i="1"/>
  <c r="K11263" i="1"/>
  <c r="A11264" i="1"/>
  <c r="B11264" i="1"/>
  <c r="C11264" i="1"/>
  <c r="E11264" i="1"/>
  <c r="G11264" i="1"/>
  <c r="K11264" i="1"/>
  <c r="A11265" i="1"/>
  <c r="B11265" i="1"/>
  <c r="C11265" i="1"/>
  <c r="E11265" i="1"/>
  <c r="G11265" i="1"/>
  <c r="K11265" i="1"/>
  <c r="A11266" i="1"/>
  <c r="B11266" i="1"/>
  <c r="C11266" i="1"/>
  <c r="E11266" i="1"/>
  <c r="G11266" i="1"/>
  <c r="K11266" i="1"/>
  <c r="A11267" i="1"/>
  <c r="B11267" i="1"/>
  <c r="C11267" i="1"/>
  <c r="E11267" i="1"/>
  <c r="G11267" i="1"/>
  <c r="K11267" i="1"/>
  <c r="A11268" i="1"/>
  <c r="B11268" i="1"/>
  <c r="C11268" i="1"/>
  <c r="E11268" i="1"/>
  <c r="G11268" i="1"/>
  <c r="K11268" i="1"/>
  <c r="A11269" i="1"/>
  <c r="B11269" i="1"/>
  <c r="C11269" i="1"/>
  <c r="E11269" i="1"/>
  <c r="G11269" i="1"/>
  <c r="K11269" i="1"/>
  <c r="A11270" i="1"/>
  <c r="B11270" i="1"/>
  <c r="C11270" i="1"/>
  <c r="E11270" i="1"/>
  <c r="G11270" i="1"/>
  <c r="K11270" i="1"/>
  <c r="A11271" i="1"/>
  <c r="B11271" i="1"/>
  <c r="C11271" i="1"/>
  <c r="E11271" i="1"/>
  <c r="G11271" i="1"/>
  <c r="K11271" i="1"/>
  <c r="A11272" i="1"/>
  <c r="B11272" i="1"/>
  <c r="C11272" i="1"/>
  <c r="E11272" i="1"/>
  <c r="G11272" i="1"/>
  <c r="K11272" i="1"/>
  <c r="A11273" i="1"/>
  <c r="B11273" i="1"/>
  <c r="C11273" i="1"/>
  <c r="E11273" i="1"/>
  <c r="G11273" i="1"/>
  <c r="K11273" i="1"/>
  <c r="A11274" i="1"/>
  <c r="B11274" i="1"/>
  <c r="C11274" i="1"/>
  <c r="E11274" i="1"/>
  <c r="G11274" i="1"/>
  <c r="K11274" i="1"/>
  <c r="A11275" i="1"/>
  <c r="B11275" i="1"/>
  <c r="C11275" i="1"/>
  <c r="E11275" i="1"/>
  <c r="G11275" i="1"/>
  <c r="K11275" i="1"/>
  <c r="A11276" i="1"/>
  <c r="B11276" i="1"/>
  <c r="C11276" i="1"/>
  <c r="E11276" i="1"/>
  <c r="G11276" i="1"/>
  <c r="K11276" i="1"/>
  <c r="A11277" i="1"/>
  <c r="B11277" i="1"/>
  <c r="C11277" i="1"/>
  <c r="E11277" i="1"/>
  <c r="G11277" i="1"/>
  <c r="K11277" i="1"/>
  <c r="A11278" i="1"/>
  <c r="B11278" i="1"/>
  <c r="C11278" i="1"/>
  <c r="E11278" i="1"/>
  <c r="G11278" i="1"/>
  <c r="K11278" i="1"/>
  <c r="A11279" i="1"/>
  <c r="B11279" i="1"/>
  <c r="C11279" i="1"/>
  <c r="E11279" i="1"/>
  <c r="G11279" i="1"/>
  <c r="K11279" i="1"/>
  <c r="A11280" i="1"/>
  <c r="B11280" i="1"/>
  <c r="C11280" i="1"/>
  <c r="E11280" i="1"/>
  <c r="G11280" i="1"/>
  <c r="K11280" i="1"/>
  <c r="A11281" i="1"/>
  <c r="B11281" i="1"/>
  <c r="C11281" i="1"/>
  <c r="E11281" i="1"/>
  <c r="G11281" i="1"/>
  <c r="K11281" i="1"/>
  <c r="A11282" i="1"/>
  <c r="B11282" i="1"/>
  <c r="C11282" i="1"/>
  <c r="E11282" i="1"/>
  <c r="G11282" i="1"/>
  <c r="K11282" i="1"/>
  <c r="A11283" i="1"/>
  <c r="B11283" i="1"/>
  <c r="C11283" i="1"/>
  <c r="E11283" i="1"/>
  <c r="G11283" i="1"/>
  <c r="K11283" i="1"/>
  <c r="A11284" i="1"/>
  <c r="B11284" i="1"/>
  <c r="C11284" i="1"/>
  <c r="E11284" i="1"/>
  <c r="G11284" i="1"/>
  <c r="K11284" i="1"/>
  <c r="A11285" i="1"/>
  <c r="B11285" i="1"/>
  <c r="C11285" i="1"/>
  <c r="E11285" i="1"/>
  <c r="G11285" i="1"/>
  <c r="K11285" i="1"/>
  <c r="A11286" i="1"/>
  <c r="B11286" i="1"/>
  <c r="C11286" i="1"/>
  <c r="E11286" i="1"/>
  <c r="G11286" i="1"/>
  <c r="K11286" i="1"/>
  <c r="A11287" i="1"/>
  <c r="B11287" i="1"/>
  <c r="C11287" i="1"/>
  <c r="E11287" i="1"/>
  <c r="G11287" i="1"/>
  <c r="K11287" i="1"/>
  <c r="A11288" i="1"/>
  <c r="B11288" i="1"/>
  <c r="C11288" i="1"/>
  <c r="E11288" i="1"/>
  <c r="G11288" i="1"/>
  <c r="K11288" i="1"/>
  <c r="A11289" i="1"/>
  <c r="B11289" i="1"/>
  <c r="C11289" i="1"/>
  <c r="E11289" i="1"/>
  <c r="G11289" i="1"/>
  <c r="K11289" i="1"/>
  <c r="A11290" i="1"/>
  <c r="B11290" i="1"/>
  <c r="C11290" i="1"/>
  <c r="E11290" i="1"/>
  <c r="G11290" i="1"/>
  <c r="K11290" i="1"/>
  <c r="A11291" i="1"/>
  <c r="B11291" i="1"/>
  <c r="C11291" i="1"/>
  <c r="E11291" i="1"/>
  <c r="G11291" i="1"/>
  <c r="K11291" i="1"/>
  <c r="A11292" i="1"/>
  <c r="B11292" i="1"/>
  <c r="C11292" i="1"/>
  <c r="E11292" i="1"/>
  <c r="G11292" i="1"/>
  <c r="K11292" i="1"/>
  <c r="A11293" i="1"/>
  <c r="B11293" i="1"/>
  <c r="C11293" i="1"/>
  <c r="E11293" i="1"/>
  <c r="G11293" i="1"/>
  <c r="K11293" i="1"/>
  <c r="A11294" i="1"/>
  <c r="B11294" i="1"/>
  <c r="C11294" i="1"/>
  <c r="E11294" i="1"/>
  <c r="G11294" i="1"/>
  <c r="K11294" i="1"/>
  <c r="A11295" i="1"/>
  <c r="B11295" i="1"/>
  <c r="C11295" i="1"/>
  <c r="E11295" i="1"/>
  <c r="G11295" i="1"/>
  <c r="K11295" i="1"/>
  <c r="A11296" i="1"/>
  <c r="B11296" i="1"/>
  <c r="C11296" i="1"/>
  <c r="E11296" i="1"/>
  <c r="G11296" i="1"/>
  <c r="K11296" i="1"/>
  <c r="A11297" i="1"/>
  <c r="B11297" i="1"/>
  <c r="C11297" i="1"/>
  <c r="E11297" i="1"/>
  <c r="G11297" i="1"/>
  <c r="K11297" i="1"/>
  <c r="A11298" i="1"/>
  <c r="B11298" i="1"/>
  <c r="C11298" i="1"/>
  <c r="E11298" i="1"/>
  <c r="G11298" i="1"/>
  <c r="K11298" i="1"/>
  <c r="A11299" i="1"/>
  <c r="B11299" i="1"/>
  <c r="C11299" i="1"/>
  <c r="E11299" i="1"/>
  <c r="G11299" i="1"/>
  <c r="K11299" i="1"/>
  <c r="A11300" i="1"/>
  <c r="B11300" i="1"/>
  <c r="C11300" i="1"/>
  <c r="E11300" i="1"/>
  <c r="G11300" i="1"/>
  <c r="K11300" i="1"/>
  <c r="A11301" i="1"/>
  <c r="B11301" i="1"/>
  <c r="C11301" i="1"/>
  <c r="E11301" i="1"/>
  <c r="G11301" i="1"/>
  <c r="K11301" i="1"/>
  <c r="A11302" i="1"/>
  <c r="B11302" i="1"/>
  <c r="C11302" i="1"/>
  <c r="E11302" i="1"/>
  <c r="G11302" i="1"/>
  <c r="K11302" i="1"/>
  <c r="A11303" i="1"/>
  <c r="B11303" i="1"/>
  <c r="C11303" i="1"/>
  <c r="E11303" i="1"/>
  <c r="G11303" i="1"/>
  <c r="K11303" i="1"/>
  <c r="A11304" i="1"/>
  <c r="B11304" i="1"/>
  <c r="C11304" i="1"/>
  <c r="E11304" i="1"/>
  <c r="G11304" i="1"/>
  <c r="K11304" i="1"/>
  <c r="A11305" i="1"/>
  <c r="B11305" i="1"/>
  <c r="C11305" i="1"/>
  <c r="E11305" i="1"/>
  <c r="G11305" i="1"/>
  <c r="K11305" i="1"/>
  <c r="A11306" i="1"/>
  <c r="B11306" i="1"/>
  <c r="C11306" i="1"/>
  <c r="E11306" i="1"/>
  <c r="G11306" i="1"/>
  <c r="K11306" i="1"/>
  <c r="A11307" i="1"/>
  <c r="B11307" i="1"/>
  <c r="C11307" i="1"/>
  <c r="E11307" i="1"/>
  <c r="G11307" i="1"/>
  <c r="K11307" i="1"/>
  <c r="A11308" i="1"/>
  <c r="B11308" i="1"/>
  <c r="C11308" i="1"/>
  <c r="E11308" i="1"/>
  <c r="G11308" i="1"/>
  <c r="K11308" i="1"/>
  <c r="A11309" i="1"/>
  <c r="B11309" i="1"/>
  <c r="C11309" i="1"/>
  <c r="E11309" i="1"/>
  <c r="G11309" i="1"/>
  <c r="K11309" i="1"/>
  <c r="A11310" i="1"/>
  <c r="B11310" i="1"/>
  <c r="C11310" i="1"/>
  <c r="E11310" i="1"/>
  <c r="G11310" i="1"/>
  <c r="K11310" i="1"/>
  <c r="A11311" i="1"/>
  <c r="B11311" i="1"/>
  <c r="C11311" i="1"/>
  <c r="E11311" i="1"/>
  <c r="G11311" i="1"/>
  <c r="K11311" i="1"/>
  <c r="A11312" i="1"/>
  <c r="B11312" i="1"/>
  <c r="C11312" i="1"/>
  <c r="E11312" i="1"/>
  <c r="G11312" i="1"/>
  <c r="K11312" i="1"/>
  <c r="A11313" i="1"/>
  <c r="B11313" i="1"/>
  <c r="C11313" i="1"/>
  <c r="E11313" i="1"/>
  <c r="G11313" i="1"/>
  <c r="K11313" i="1"/>
  <c r="A11314" i="1"/>
  <c r="B11314" i="1"/>
  <c r="C11314" i="1"/>
  <c r="E11314" i="1"/>
  <c r="G11314" i="1"/>
  <c r="K11314" i="1"/>
  <c r="A11315" i="1"/>
  <c r="B11315" i="1"/>
  <c r="C11315" i="1"/>
  <c r="E11315" i="1"/>
  <c r="G11315" i="1"/>
  <c r="K11315" i="1"/>
  <c r="A11316" i="1"/>
  <c r="B11316" i="1"/>
  <c r="C11316" i="1"/>
  <c r="E11316" i="1"/>
  <c r="G11316" i="1"/>
  <c r="K11316" i="1"/>
  <c r="A11317" i="1"/>
  <c r="B11317" i="1"/>
  <c r="C11317" i="1"/>
  <c r="E11317" i="1"/>
  <c r="G11317" i="1"/>
  <c r="K11317" i="1"/>
  <c r="A11318" i="1"/>
  <c r="B11318" i="1"/>
  <c r="C11318" i="1"/>
  <c r="E11318" i="1"/>
  <c r="G11318" i="1"/>
  <c r="K11318" i="1"/>
  <c r="A11319" i="1"/>
  <c r="B11319" i="1"/>
  <c r="C11319" i="1"/>
  <c r="E11319" i="1"/>
  <c r="G11319" i="1"/>
  <c r="K11319" i="1"/>
  <c r="A11320" i="1"/>
  <c r="B11320" i="1"/>
  <c r="C11320" i="1"/>
  <c r="E11320" i="1"/>
  <c r="G11320" i="1"/>
  <c r="K11320" i="1"/>
  <c r="A11321" i="1"/>
  <c r="B11321" i="1"/>
  <c r="C11321" i="1"/>
  <c r="E11321" i="1"/>
  <c r="G11321" i="1"/>
  <c r="K11321" i="1"/>
  <c r="A11322" i="1"/>
  <c r="B11322" i="1"/>
  <c r="C11322" i="1"/>
  <c r="E11322" i="1"/>
  <c r="G11322" i="1"/>
  <c r="K11322" i="1"/>
  <c r="A11323" i="1"/>
  <c r="B11323" i="1"/>
  <c r="C11323" i="1"/>
  <c r="E11323" i="1"/>
  <c r="G11323" i="1"/>
  <c r="K11323" i="1"/>
  <c r="A11324" i="1"/>
  <c r="B11324" i="1"/>
  <c r="C11324" i="1"/>
  <c r="E11324" i="1"/>
  <c r="G11324" i="1"/>
  <c r="K11324" i="1"/>
  <c r="A11325" i="1"/>
  <c r="B11325" i="1"/>
  <c r="C11325" i="1"/>
  <c r="E11325" i="1"/>
  <c r="G11325" i="1"/>
  <c r="K11325" i="1"/>
  <c r="A11326" i="1"/>
  <c r="B11326" i="1"/>
  <c r="C11326" i="1"/>
  <c r="E11326" i="1"/>
  <c r="G11326" i="1"/>
  <c r="K11326" i="1"/>
  <c r="A11327" i="1"/>
  <c r="B11327" i="1"/>
  <c r="C11327" i="1"/>
  <c r="E11327" i="1"/>
  <c r="G11327" i="1"/>
  <c r="K11327" i="1"/>
  <c r="A11328" i="1"/>
  <c r="B11328" i="1"/>
  <c r="C11328" i="1"/>
  <c r="E11328" i="1"/>
  <c r="G11328" i="1"/>
  <c r="K11328" i="1"/>
  <c r="A11329" i="1"/>
  <c r="B11329" i="1"/>
  <c r="C11329" i="1"/>
  <c r="E11329" i="1"/>
  <c r="G11329" i="1"/>
  <c r="K11329" i="1"/>
  <c r="A11330" i="1"/>
  <c r="B11330" i="1"/>
  <c r="C11330" i="1"/>
  <c r="E11330" i="1"/>
  <c r="G11330" i="1"/>
  <c r="K11330" i="1"/>
  <c r="A11331" i="1"/>
  <c r="B11331" i="1"/>
  <c r="C11331" i="1"/>
  <c r="E11331" i="1"/>
  <c r="G11331" i="1"/>
  <c r="K11331" i="1"/>
  <c r="A11332" i="1"/>
  <c r="B11332" i="1"/>
  <c r="C11332" i="1"/>
  <c r="E11332" i="1"/>
  <c r="G11332" i="1"/>
  <c r="K11332" i="1"/>
  <c r="A11333" i="1"/>
  <c r="B11333" i="1"/>
  <c r="C11333" i="1"/>
  <c r="E11333" i="1"/>
  <c r="G11333" i="1"/>
  <c r="K11333" i="1"/>
  <c r="A11334" i="1"/>
  <c r="B11334" i="1"/>
  <c r="C11334" i="1"/>
  <c r="E11334" i="1"/>
  <c r="G11334" i="1"/>
  <c r="K11334" i="1"/>
  <c r="A11335" i="1"/>
  <c r="B11335" i="1"/>
  <c r="C11335" i="1"/>
  <c r="E11335" i="1"/>
  <c r="G11335" i="1"/>
  <c r="K11335" i="1"/>
  <c r="A11336" i="1"/>
  <c r="B11336" i="1"/>
  <c r="C11336" i="1"/>
  <c r="E11336" i="1"/>
  <c r="G11336" i="1"/>
  <c r="K11336" i="1"/>
  <c r="A11337" i="1"/>
  <c r="B11337" i="1"/>
  <c r="C11337" i="1"/>
  <c r="E11337" i="1"/>
  <c r="G11337" i="1"/>
  <c r="K11337" i="1"/>
  <c r="A11338" i="1"/>
  <c r="B11338" i="1"/>
  <c r="C11338" i="1"/>
  <c r="E11338" i="1"/>
  <c r="G11338" i="1"/>
  <c r="K11338" i="1"/>
  <c r="A11339" i="1"/>
  <c r="B11339" i="1"/>
  <c r="C11339" i="1"/>
  <c r="E11339" i="1"/>
  <c r="G11339" i="1"/>
  <c r="K11339" i="1"/>
  <c r="A11340" i="1"/>
  <c r="B11340" i="1"/>
  <c r="C11340" i="1"/>
  <c r="E11340" i="1"/>
  <c r="G11340" i="1"/>
  <c r="K11340" i="1"/>
  <c r="A11341" i="1"/>
  <c r="B11341" i="1"/>
  <c r="C11341" i="1"/>
  <c r="E11341" i="1"/>
  <c r="G11341" i="1"/>
  <c r="K11341" i="1"/>
  <c r="A11342" i="1"/>
  <c r="B11342" i="1"/>
  <c r="C11342" i="1"/>
  <c r="E11342" i="1"/>
  <c r="G11342" i="1"/>
  <c r="K11342" i="1"/>
  <c r="A11343" i="1"/>
  <c r="B11343" i="1"/>
  <c r="C11343" i="1"/>
  <c r="E11343" i="1"/>
  <c r="G11343" i="1"/>
  <c r="K11343" i="1"/>
  <c r="A11344" i="1"/>
  <c r="B11344" i="1"/>
  <c r="C11344" i="1"/>
  <c r="E11344" i="1"/>
  <c r="G11344" i="1"/>
  <c r="K11344" i="1"/>
  <c r="A11345" i="1"/>
  <c r="B11345" i="1"/>
  <c r="C11345" i="1"/>
  <c r="E11345" i="1"/>
  <c r="G11345" i="1"/>
  <c r="K11345" i="1"/>
  <c r="A11346" i="1"/>
  <c r="B11346" i="1"/>
  <c r="C11346" i="1"/>
  <c r="E11346" i="1"/>
  <c r="G11346" i="1"/>
  <c r="K11346" i="1"/>
  <c r="A11347" i="1"/>
  <c r="B11347" i="1"/>
  <c r="C11347" i="1"/>
  <c r="E11347" i="1"/>
  <c r="G11347" i="1"/>
  <c r="K11347" i="1"/>
  <c r="A11348" i="1"/>
  <c r="B11348" i="1"/>
  <c r="C11348" i="1"/>
  <c r="E11348" i="1"/>
  <c r="G11348" i="1"/>
  <c r="K11348" i="1"/>
  <c r="A11349" i="1"/>
  <c r="B11349" i="1"/>
  <c r="C11349" i="1"/>
  <c r="E11349" i="1"/>
  <c r="G11349" i="1"/>
  <c r="K11349" i="1"/>
  <c r="A11350" i="1"/>
  <c r="B11350" i="1"/>
  <c r="C11350" i="1"/>
  <c r="E11350" i="1"/>
  <c r="G11350" i="1"/>
  <c r="K11350" i="1"/>
  <c r="A11351" i="1"/>
  <c r="B11351" i="1"/>
  <c r="C11351" i="1"/>
  <c r="E11351" i="1"/>
  <c r="G11351" i="1"/>
  <c r="K11351" i="1"/>
  <c r="A11352" i="1"/>
  <c r="B11352" i="1"/>
  <c r="C11352" i="1"/>
  <c r="E11352" i="1"/>
  <c r="G11352" i="1"/>
  <c r="K11352" i="1"/>
  <c r="A11353" i="1"/>
  <c r="B11353" i="1"/>
  <c r="C11353" i="1"/>
  <c r="E11353" i="1"/>
  <c r="G11353" i="1"/>
  <c r="K11353" i="1"/>
  <c r="A11354" i="1"/>
  <c r="B11354" i="1"/>
  <c r="C11354" i="1"/>
  <c r="E11354" i="1"/>
  <c r="G11354" i="1"/>
  <c r="K11354" i="1"/>
  <c r="A11355" i="1"/>
  <c r="B11355" i="1"/>
  <c r="C11355" i="1"/>
  <c r="E11355" i="1"/>
  <c r="G11355" i="1"/>
  <c r="K11355" i="1"/>
  <c r="A11356" i="1"/>
  <c r="B11356" i="1"/>
  <c r="C11356" i="1"/>
  <c r="E11356" i="1"/>
  <c r="G11356" i="1"/>
  <c r="K11356" i="1"/>
  <c r="A11357" i="1"/>
  <c r="B11357" i="1"/>
  <c r="C11357" i="1"/>
  <c r="E11357" i="1"/>
  <c r="G11357" i="1"/>
  <c r="K11357" i="1"/>
  <c r="A11358" i="1"/>
  <c r="B11358" i="1"/>
  <c r="C11358" i="1"/>
  <c r="E11358" i="1"/>
  <c r="G11358" i="1"/>
  <c r="K11358" i="1"/>
  <c r="A11359" i="1"/>
  <c r="B11359" i="1"/>
  <c r="C11359" i="1"/>
  <c r="E11359" i="1"/>
  <c r="G11359" i="1"/>
  <c r="K11359" i="1"/>
  <c r="A11360" i="1"/>
  <c r="B11360" i="1"/>
  <c r="C11360" i="1"/>
  <c r="E11360" i="1"/>
  <c r="G11360" i="1"/>
  <c r="K11360" i="1"/>
  <c r="A11361" i="1"/>
  <c r="B11361" i="1"/>
  <c r="C11361" i="1"/>
  <c r="E11361" i="1"/>
  <c r="G11361" i="1"/>
  <c r="K11361" i="1"/>
  <c r="A11362" i="1"/>
  <c r="B11362" i="1"/>
  <c r="C11362" i="1"/>
  <c r="E11362" i="1"/>
  <c r="G11362" i="1"/>
  <c r="K11362" i="1"/>
  <c r="A11363" i="1"/>
  <c r="B11363" i="1"/>
  <c r="C11363" i="1"/>
  <c r="E11363" i="1"/>
  <c r="G11363" i="1"/>
  <c r="K11363" i="1"/>
  <c r="A11364" i="1"/>
  <c r="B11364" i="1"/>
  <c r="C11364" i="1"/>
  <c r="E11364" i="1"/>
  <c r="G11364" i="1"/>
  <c r="K11364" i="1"/>
  <c r="A11365" i="1"/>
  <c r="B11365" i="1"/>
  <c r="C11365" i="1"/>
  <c r="E11365" i="1"/>
  <c r="G11365" i="1"/>
  <c r="K11365" i="1"/>
  <c r="A11366" i="1"/>
  <c r="B11366" i="1"/>
  <c r="C11366" i="1"/>
  <c r="E11366" i="1"/>
  <c r="G11366" i="1"/>
  <c r="K11366" i="1"/>
  <c r="A11367" i="1"/>
  <c r="B11367" i="1"/>
  <c r="C11367" i="1"/>
  <c r="E11367" i="1"/>
  <c r="G11367" i="1"/>
  <c r="K11367" i="1"/>
  <c r="A11368" i="1"/>
  <c r="B11368" i="1"/>
  <c r="C11368" i="1"/>
  <c r="E11368" i="1"/>
  <c r="G11368" i="1"/>
  <c r="K11368" i="1"/>
  <c r="A11369" i="1"/>
  <c r="B11369" i="1"/>
  <c r="C11369" i="1"/>
  <c r="E11369" i="1"/>
  <c r="G11369" i="1"/>
  <c r="K11369" i="1"/>
  <c r="A11370" i="1"/>
  <c r="B11370" i="1"/>
  <c r="C11370" i="1"/>
  <c r="E11370" i="1"/>
  <c r="G11370" i="1"/>
  <c r="K11370" i="1"/>
  <c r="A11371" i="1"/>
  <c r="B11371" i="1"/>
  <c r="C11371" i="1"/>
  <c r="E11371" i="1"/>
  <c r="G11371" i="1"/>
  <c r="K11371" i="1"/>
  <c r="A11372" i="1"/>
  <c r="B11372" i="1"/>
  <c r="C11372" i="1"/>
  <c r="E11372" i="1"/>
  <c r="G11372" i="1"/>
  <c r="K11372" i="1"/>
  <c r="A11373" i="1"/>
  <c r="B11373" i="1"/>
  <c r="C11373" i="1"/>
  <c r="E11373" i="1"/>
  <c r="G11373" i="1"/>
  <c r="K11373" i="1"/>
  <c r="A11374" i="1"/>
  <c r="B11374" i="1"/>
  <c r="C11374" i="1"/>
  <c r="E11374" i="1"/>
  <c r="G11374" i="1"/>
  <c r="K11374" i="1"/>
  <c r="A11375" i="1"/>
  <c r="B11375" i="1"/>
  <c r="C11375" i="1"/>
  <c r="E11375" i="1"/>
  <c r="G11375" i="1"/>
  <c r="K11375" i="1"/>
  <c r="A11376" i="1"/>
  <c r="B11376" i="1"/>
  <c r="C11376" i="1"/>
  <c r="E11376" i="1"/>
  <c r="G11376" i="1"/>
  <c r="K11376" i="1"/>
  <c r="A11377" i="1"/>
  <c r="B11377" i="1"/>
  <c r="C11377" i="1"/>
  <c r="E11377" i="1"/>
  <c r="G11377" i="1"/>
  <c r="K11377" i="1"/>
  <c r="A11378" i="1"/>
  <c r="B11378" i="1"/>
  <c r="C11378" i="1"/>
  <c r="E11378" i="1"/>
  <c r="G11378" i="1"/>
  <c r="K11378" i="1"/>
  <c r="A11379" i="1"/>
  <c r="B11379" i="1"/>
  <c r="C11379" i="1"/>
  <c r="E11379" i="1"/>
  <c r="G11379" i="1"/>
  <c r="K11379" i="1"/>
  <c r="A11380" i="1"/>
  <c r="B11380" i="1"/>
  <c r="C11380" i="1"/>
  <c r="E11380" i="1"/>
  <c r="G11380" i="1"/>
  <c r="K11380" i="1"/>
  <c r="A11381" i="1"/>
  <c r="B11381" i="1"/>
  <c r="C11381" i="1"/>
  <c r="E11381" i="1"/>
  <c r="G11381" i="1"/>
  <c r="K11381" i="1"/>
  <c r="A11382" i="1"/>
  <c r="B11382" i="1"/>
  <c r="C11382" i="1"/>
  <c r="E11382" i="1"/>
  <c r="G11382" i="1"/>
  <c r="K11382" i="1"/>
  <c r="A11383" i="1"/>
  <c r="B11383" i="1"/>
  <c r="C11383" i="1"/>
  <c r="E11383" i="1"/>
  <c r="G11383" i="1"/>
  <c r="K11383" i="1"/>
  <c r="A11384" i="1"/>
  <c r="B11384" i="1"/>
  <c r="C11384" i="1"/>
  <c r="E11384" i="1"/>
  <c r="G11384" i="1"/>
  <c r="K11384" i="1"/>
  <c r="A11385" i="1"/>
  <c r="B11385" i="1"/>
  <c r="C11385" i="1"/>
  <c r="E11385" i="1"/>
  <c r="G11385" i="1"/>
  <c r="K11385" i="1"/>
  <c r="A11386" i="1"/>
  <c r="B11386" i="1"/>
  <c r="C11386" i="1"/>
  <c r="E11386" i="1"/>
  <c r="G11386" i="1"/>
  <c r="K11386" i="1"/>
  <c r="A11387" i="1"/>
  <c r="B11387" i="1"/>
  <c r="C11387" i="1"/>
  <c r="E11387" i="1"/>
  <c r="G11387" i="1"/>
  <c r="K11387" i="1"/>
  <c r="A11388" i="1"/>
  <c r="B11388" i="1"/>
  <c r="C11388" i="1"/>
  <c r="E11388" i="1"/>
  <c r="G11388" i="1"/>
  <c r="K11388" i="1"/>
  <c r="A11389" i="1"/>
  <c r="B11389" i="1"/>
  <c r="C11389" i="1"/>
  <c r="E11389" i="1"/>
  <c r="G11389" i="1"/>
  <c r="K11389" i="1"/>
  <c r="A11390" i="1"/>
  <c r="B11390" i="1"/>
  <c r="C11390" i="1"/>
  <c r="E11390" i="1"/>
  <c r="G11390" i="1"/>
  <c r="K11390" i="1"/>
  <c r="A11391" i="1"/>
  <c r="B11391" i="1"/>
  <c r="C11391" i="1"/>
  <c r="E11391" i="1"/>
  <c r="G11391" i="1"/>
  <c r="K11391" i="1"/>
  <c r="A11392" i="1"/>
  <c r="B11392" i="1"/>
  <c r="C11392" i="1"/>
  <c r="E11392" i="1"/>
  <c r="G11392" i="1"/>
  <c r="K11392" i="1"/>
  <c r="A11393" i="1"/>
  <c r="B11393" i="1"/>
  <c r="C11393" i="1"/>
  <c r="E11393" i="1"/>
  <c r="G11393" i="1"/>
  <c r="K11393" i="1"/>
  <c r="A11394" i="1"/>
  <c r="B11394" i="1"/>
  <c r="C11394" i="1"/>
  <c r="E11394" i="1"/>
  <c r="G11394" i="1"/>
  <c r="K11394" i="1"/>
  <c r="A11395" i="1"/>
  <c r="B11395" i="1"/>
  <c r="C11395" i="1"/>
  <c r="E11395" i="1"/>
  <c r="G11395" i="1"/>
  <c r="K11395" i="1"/>
  <c r="A11396" i="1"/>
  <c r="B11396" i="1"/>
  <c r="C11396" i="1"/>
  <c r="E11396" i="1"/>
  <c r="G11396" i="1"/>
  <c r="K11396" i="1"/>
  <c r="A11397" i="1"/>
  <c r="B11397" i="1"/>
  <c r="C11397" i="1"/>
  <c r="E11397" i="1"/>
  <c r="G11397" i="1"/>
  <c r="K11397" i="1"/>
  <c r="A11398" i="1"/>
  <c r="B11398" i="1"/>
  <c r="C11398" i="1"/>
  <c r="E11398" i="1"/>
  <c r="G11398" i="1"/>
  <c r="K11398" i="1"/>
  <c r="A11399" i="1"/>
  <c r="B11399" i="1"/>
  <c r="C11399" i="1"/>
  <c r="E11399" i="1"/>
  <c r="G11399" i="1"/>
  <c r="K11399" i="1"/>
  <c r="A11400" i="1"/>
  <c r="B11400" i="1"/>
  <c r="C11400" i="1"/>
  <c r="E11400" i="1"/>
  <c r="G11400" i="1"/>
  <c r="K11400" i="1"/>
  <c r="A11401" i="1"/>
  <c r="B11401" i="1"/>
  <c r="C11401" i="1"/>
  <c r="E11401" i="1"/>
  <c r="G11401" i="1"/>
  <c r="K11401" i="1"/>
  <c r="A11402" i="1"/>
  <c r="B11402" i="1"/>
  <c r="C11402" i="1"/>
  <c r="E11402" i="1"/>
  <c r="G11402" i="1"/>
  <c r="K11402" i="1"/>
  <c r="A11403" i="1"/>
  <c r="B11403" i="1"/>
  <c r="C11403" i="1"/>
  <c r="E11403" i="1"/>
  <c r="G11403" i="1"/>
  <c r="K11403" i="1"/>
  <c r="A11404" i="1"/>
  <c r="B11404" i="1"/>
  <c r="C11404" i="1"/>
  <c r="E11404" i="1"/>
  <c r="G11404" i="1"/>
  <c r="K11404" i="1"/>
  <c r="A11405" i="1"/>
  <c r="B11405" i="1"/>
  <c r="C11405" i="1"/>
  <c r="E11405" i="1"/>
  <c r="G11405" i="1"/>
  <c r="K11405" i="1"/>
  <c r="A11406" i="1"/>
  <c r="B11406" i="1"/>
  <c r="C11406" i="1"/>
  <c r="E11406" i="1"/>
  <c r="G11406" i="1"/>
  <c r="K11406" i="1"/>
  <c r="A11407" i="1"/>
  <c r="B11407" i="1"/>
  <c r="C11407" i="1"/>
  <c r="E11407" i="1"/>
  <c r="G11407" i="1"/>
  <c r="K11407" i="1"/>
  <c r="A11408" i="1"/>
  <c r="B11408" i="1"/>
  <c r="C11408" i="1"/>
  <c r="E11408" i="1"/>
  <c r="G11408" i="1"/>
  <c r="K11408" i="1"/>
  <c r="A11409" i="1"/>
  <c r="B11409" i="1"/>
  <c r="C11409" i="1"/>
  <c r="E11409" i="1"/>
  <c r="G11409" i="1"/>
  <c r="K11409" i="1"/>
  <c r="A11410" i="1"/>
  <c r="B11410" i="1"/>
  <c r="C11410" i="1"/>
  <c r="E11410" i="1"/>
  <c r="G11410" i="1"/>
  <c r="K11410" i="1"/>
  <c r="A11411" i="1"/>
  <c r="B11411" i="1"/>
  <c r="C11411" i="1"/>
  <c r="E11411" i="1"/>
  <c r="G11411" i="1"/>
  <c r="K11411" i="1"/>
  <c r="A11412" i="1"/>
  <c r="B11412" i="1"/>
  <c r="C11412" i="1"/>
  <c r="E11412" i="1"/>
  <c r="G11412" i="1"/>
  <c r="K11412" i="1"/>
  <c r="A11413" i="1"/>
  <c r="B11413" i="1"/>
  <c r="C11413" i="1"/>
  <c r="E11413" i="1"/>
  <c r="G11413" i="1"/>
  <c r="K11413" i="1"/>
  <c r="A11414" i="1"/>
  <c r="B11414" i="1"/>
  <c r="C11414" i="1"/>
  <c r="E11414" i="1"/>
  <c r="G11414" i="1"/>
  <c r="K11414" i="1"/>
  <c r="A11415" i="1"/>
  <c r="B11415" i="1"/>
  <c r="C11415" i="1"/>
  <c r="E11415" i="1"/>
  <c r="G11415" i="1"/>
  <c r="K11415" i="1"/>
  <c r="A11416" i="1"/>
  <c r="B11416" i="1"/>
  <c r="C11416" i="1"/>
  <c r="E11416" i="1"/>
  <c r="G11416" i="1"/>
  <c r="K11416" i="1"/>
  <c r="A11417" i="1"/>
  <c r="B11417" i="1"/>
  <c r="C11417" i="1"/>
  <c r="E11417" i="1"/>
  <c r="G11417" i="1"/>
  <c r="K11417" i="1"/>
  <c r="A11418" i="1"/>
  <c r="B11418" i="1"/>
  <c r="C11418" i="1"/>
  <c r="E11418" i="1"/>
  <c r="G11418" i="1"/>
  <c r="K11418" i="1"/>
  <c r="A11419" i="1"/>
  <c r="B11419" i="1"/>
  <c r="C11419" i="1"/>
  <c r="E11419" i="1"/>
  <c r="G11419" i="1"/>
  <c r="K11419" i="1"/>
  <c r="A11420" i="1"/>
  <c r="B11420" i="1"/>
  <c r="C11420" i="1"/>
  <c r="E11420" i="1"/>
  <c r="G11420" i="1"/>
  <c r="K11420" i="1"/>
  <c r="A11421" i="1"/>
  <c r="B11421" i="1"/>
  <c r="C11421" i="1"/>
  <c r="E11421" i="1"/>
  <c r="G11421" i="1"/>
  <c r="K11421" i="1"/>
  <c r="A11422" i="1"/>
  <c r="B11422" i="1"/>
  <c r="C11422" i="1"/>
  <c r="E11422" i="1"/>
  <c r="G11422" i="1"/>
  <c r="K11422" i="1"/>
  <c r="A11423" i="1"/>
  <c r="B11423" i="1"/>
  <c r="C11423" i="1"/>
  <c r="E11423" i="1"/>
  <c r="G11423" i="1"/>
  <c r="K11423" i="1"/>
  <c r="A11424" i="1"/>
  <c r="B11424" i="1"/>
  <c r="C11424" i="1"/>
  <c r="E11424" i="1"/>
  <c r="G11424" i="1"/>
  <c r="K11424" i="1"/>
  <c r="A11425" i="1"/>
  <c r="B11425" i="1"/>
  <c r="C11425" i="1"/>
  <c r="E11425" i="1"/>
  <c r="G11425" i="1"/>
  <c r="K11425" i="1"/>
  <c r="A11426" i="1"/>
  <c r="B11426" i="1"/>
  <c r="C11426" i="1"/>
  <c r="E11426" i="1"/>
  <c r="G11426" i="1"/>
  <c r="K11426" i="1"/>
  <c r="A11427" i="1"/>
  <c r="B11427" i="1"/>
  <c r="C11427" i="1"/>
  <c r="E11427" i="1"/>
  <c r="G11427" i="1"/>
  <c r="K11427" i="1"/>
  <c r="A11428" i="1"/>
  <c r="B11428" i="1"/>
  <c r="C11428" i="1"/>
  <c r="E11428" i="1"/>
  <c r="G11428" i="1"/>
  <c r="K11428" i="1"/>
  <c r="A11429" i="1"/>
  <c r="B11429" i="1"/>
  <c r="C11429" i="1"/>
  <c r="E11429" i="1"/>
  <c r="G11429" i="1"/>
  <c r="K11429" i="1"/>
  <c r="A11430" i="1"/>
  <c r="B11430" i="1"/>
  <c r="C11430" i="1"/>
  <c r="E11430" i="1"/>
  <c r="G11430" i="1"/>
  <c r="K11430" i="1"/>
  <c r="A11431" i="1"/>
  <c r="B11431" i="1"/>
  <c r="C11431" i="1"/>
  <c r="E11431" i="1"/>
  <c r="G11431" i="1"/>
  <c r="K11431" i="1"/>
  <c r="A11432" i="1"/>
  <c r="B11432" i="1"/>
  <c r="C11432" i="1"/>
  <c r="E11432" i="1"/>
  <c r="G11432" i="1"/>
  <c r="K11432" i="1"/>
  <c r="A11433" i="1"/>
  <c r="B11433" i="1"/>
  <c r="C11433" i="1"/>
  <c r="E11433" i="1"/>
  <c r="G11433" i="1"/>
  <c r="K11433" i="1"/>
  <c r="A11434" i="1"/>
  <c r="B11434" i="1"/>
  <c r="C11434" i="1"/>
  <c r="E11434" i="1"/>
  <c r="G11434" i="1"/>
  <c r="K11434" i="1"/>
  <c r="A11435" i="1"/>
  <c r="B11435" i="1"/>
  <c r="C11435" i="1"/>
  <c r="E11435" i="1"/>
  <c r="G11435" i="1"/>
  <c r="K11435" i="1"/>
  <c r="A11436" i="1"/>
  <c r="B11436" i="1"/>
  <c r="C11436" i="1"/>
  <c r="E11436" i="1"/>
  <c r="G11436" i="1"/>
  <c r="K11436" i="1"/>
  <c r="A11437" i="1"/>
  <c r="B11437" i="1"/>
  <c r="C11437" i="1"/>
  <c r="E11437" i="1"/>
  <c r="G11437" i="1"/>
  <c r="K11437" i="1"/>
  <c r="A11438" i="1"/>
  <c r="B11438" i="1"/>
  <c r="C11438" i="1"/>
  <c r="E11438" i="1"/>
  <c r="G11438" i="1"/>
  <c r="K11438" i="1"/>
  <c r="A11439" i="1"/>
  <c r="B11439" i="1"/>
  <c r="C11439" i="1"/>
  <c r="E11439" i="1"/>
  <c r="G11439" i="1"/>
  <c r="K11439" i="1"/>
  <c r="A11440" i="1"/>
  <c r="B11440" i="1"/>
  <c r="C11440" i="1"/>
  <c r="E11440" i="1"/>
  <c r="G11440" i="1"/>
  <c r="K11440" i="1"/>
  <c r="A11441" i="1"/>
  <c r="B11441" i="1"/>
  <c r="C11441" i="1"/>
  <c r="E11441" i="1"/>
  <c r="G11441" i="1"/>
  <c r="K11441" i="1"/>
  <c r="A11442" i="1"/>
  <c r="B11442" i="1"/>
  <c r="C11442" i="1"/>
  <c r="E11442" i="1"/>
  <c r="G11442" i="1"/>
  <c r="K11442" i="1"/>
  <c r="A11443" i="1"/>
  <c r="B11443" i="1"/>
  <c r="C11443" i="1"/>
  <c r="E11443" i="1"/>
  <c r="G11443" i="1"/>
  <c r="K11443" i="1"/>
  <c r="A11444" i="1"/>
  <c r="B11444" i="1"/>
  <c r="C11444" i="1"/>
  <c r="E11444" i="1"/>
  <c r="G11444" i="1"/>
  <c r="K11444" i="1"/>
  <c r="A11445" i="1"/>
  <c r="B11445" i="1"/>
  <c r="C11445" i="1"/>
  <c r="E11445" i="1"/>
  <c r="G11445" i="1"/>
  <c r="K11445" i="1"/>
  <c r="A11446" i="1"/>
  <c r="B11446" i="1"/>
  <c r="C11446" i="1"/>
  <c r="E11446" i="1"/>
  <c r="G11446" i="1"/>
  <c r="K11446" i="1"/>
  <c r="A11447" i="1"/>
  <c r="B11447" i="1"/>
  <c r="C11447" i="1"/>
  <c r="E11447" i="1"/>
  <c r="G11447" i="1"/>
  <c r="K11447" i="1"/>
  <c r="A11448" i="1"/>
  <c r="B11448" i="1"/>
  <c r="C11448" i="1"/>
  <c r="E11448" i="1"/>
  <c r="G11448" i="1"/>
  <c r="K11448" i="1"/>
  <c r="A11449" i="1"/>
  <c r="B11449" i="1"/>
  <c r="C11449" i="1"/>
  <c r="E11449" i="1"/>
  <c r="G11449" i="1"/>
  <c r="K11449" i="1"/>
  <c r="A11450" i="1"/>
  <c r="B11450" i="1"/>
  <c r="C11450" i="1"/>
  <c r="E11450" i="1"/>
  <c r="G11450" i="1"/>
  <c r="K11450" i="1"/>
  <c r="A11451" i="1"/>
  <c r="B11451" i="1"/>
  <c r="C11451" i="1"/>
  <c r="E11451" i="1"/>
  <c r="G11451" i="1"/>
  <c r="K11451" i="1"/>
  <c r="A11452" i="1"/>
  <c r="B11452" i="1"/>
  <c r="C11452" i="1"/>
  <c r="E11452" i="1"/>
  <c r="G11452" i="1"/>
  <c r="K11452" i="1"/>
  <c r="A11453" i="1"/>
  <c r="B11453" i="1"/>
  <c r="C11453" i="1"/>
  <c r="E11453" i="1"/>
  <c r="G11453" i="1"/>
  <c r="K11453" i="1"/>
  <c r="A11454" i="1"/>
  <c r="B11454" i="1"/>
  <c r="C11454" i="1"/>
  <c r="E11454" i="1"/>
  <c r="G11454" i="1"/>
  <c r="K11454" i="1"/>
  <c r="A11455" i="1"/>
  <c r="B11455" i="1"/>
  <c r="C11455" i="1"/>
  <c r="E11455" i="1"/>
  <c r="G11455" i="1"/>
  <c r="K11455" i="1"/>
  <c r="A11456" i="1"/>
  <c r="B11456" i="1"/>
  <c r="C11456" i="1"/>
  <c r="E11456" i="1"/>
  <c r="G11456" i="1"/>
  <c r="K11456" i="1"/>
  <c r="A11457" i="1"/>
  <c r="B11457" i="1"/>
  <c r="C11457" i="1"/>
  <c r="E11457" i="1"/>
  <c r="G11457" i="1"/>
  <c r="K11457" i="1"/>
  <c r="A11458" i="1"/>
  <c r="B11458" i="1"/>
  <c r="C11458" i="1"/>
  <c r="E11458" i="1"/>
  <c r="G11458" i="1"/>
  <c r="K11458" i="1"/>
  <c r="A11459" i="1"/>
  <c r="B11459" i="1"/>
  <c r="C11459" i="1"/>
  <c r="E11459" i="1"/>
  <c r="G11459" i="1"/>
  <c r="K11459" i="1"/>
  <c r="A11460" i="1"/>
  <c r="B11460" i="1"/>
  <c r="C11460" i="1"/>
  <c r="E11460" i="1"/>
  <c r="G11460" i="1"/>
  <c r="K11460" i="1"/>
  <c r="A11461" i="1"/>
  <c r="B11461" i="1"/>
  <c r="C11461" i="1"/>
  <c r="E11461" i="1"/>
  <c r="G11461" i="1"/>
  <c r="K11461" i="1"/>
  <c r="A11462" i="1"/>
  <c r="B11462" i="1"/>
  <c r="C11462" i="1"/>
  <c r="E11462" i="1"/>
  <c r="G11462" i="1"/>
  <c r="K11462" i="1"/>
  <c r="A11463" i="1"/>
  <c r="B11463" i="1"/>
  <c r="C11463" i="1"/>
  <c r="E11463" i="1"/>
  <c r="G11463" i="1"/>
  <c r="K11463" i="1"/>
  <c r="A11464" i="1"/>
  <c r="B11464" i="1"/>
  <c r="C11464" i="1"/>
  <c r="E11464" i="1"/>
  <c r="G11464" i="1"/>
  <c r="K11464" i="1"/>
  <c r="A11465" i="1"/>
  <c r="B11465" i="1"/>
  <c r="C11465" i="1"/>
  <c r="E11465" i="1"/>
  <c r="G11465" i="1"/>
  <c r="K11465" i="1"/>
  <c r="A11466" i="1"/>
  <c r="B11466" i="1"/>
  <c r="C11466" i="1"/>
  <c r="E11466" i="1"/>
  <c r="G11466" i="1"/>
  <c r="K11466" i="1"/>
  <c r="A11467" i="1"/>
  <c r="B11467" i="1"/>
  <c r="C11467" i="1"/>
  <c r="E11467" i="1"/>
  <c r="G11467" i="1"/>
  <c r="K11467" i="1"/>
  <c r="A11468" i="1"/>
  <c r="B11468" i="1"/>
  <c r="C11468" i="1"/>
  <c r="E11468" i="1"/>
  <c r="G11468" i="1"/>
  <c r="K11468" i="1"/>
  <c r="A11469" i="1"/>
  <c r="B11469" i="1"/>
  <c r="C11469" i="1"/>
  <c r="E11469" i="1"/>
  <c r="G11469" i="1"/>
  <c r="K11469" i="1"/>
  <c r="A11470" i="1"/>
  <c r="B11470" i="1"/>
  <c r="C11470" i="1"/>
  <c r="E11470" i="1"/>
  <c r="G11470" i="1"/>
  <c r="K11470" i="1"/>
  <c r="A11471" i="1"/>
  <c r="B11471" i="1"/>
  <c r="C11471" i="1"/>
  <c r="E11471" i="1"/>
  <c r="G11471" i="1"/>
  <c r="K11471" i="1"/>
  <c r="A11472" i="1"/>
  <c r="B11472" i="1"/>
  <c r="C11472" i="1"/>
  <c r="E11472" i="1"/>
  <c r="G11472" i="1"/>
  <c r="K11472" i="1"/>
  <c r="A11473" i="1"/>
  <c r="B11473" i="1"/>
  <c r="C11473" i="1"/>
  <c r="E11473" i="1"/>
  <c r="G11473" i="1"/>
  <c r="K11473" i="1"/>
  <c r="A11474" i="1"/>
  <c r="B11474" i="1"/>
  <c r="C11474" i="1"/>
  <c r="E11474" i="1"/>
  <c r="G11474" i="1"/>
  <c r="K11474" i="1"/>
  <c r="A11475" i="1"/>
  <c r="B11475" i="1"/>
  <c r="C11475" i="1"/>
  <c r="E11475" i="1"/>
  <c r="G11475" i="1"/>
  <c r="K11475" i="1"/>
  <c r="A11476" i="1"/>
  <c r="B11476" i="1"/>
  <c r="C11476" i="1"/>
  <c r="E11476" i="1"/>
  <c r="G11476" i="1"/>
  <c r="K11476" i="1"/>
  <c r="A11477" i="1"/>
  <c r="B11477" i="1"/>
  <c r="C11477" i="1"/>
  <c r="E11477" i="1"/>
  <c r="G11477" i="1"/>
  <c r="K11477" i="1"/>
  <c r="A11478" i="1"/>
  <c r="B11478" i="1"/>
  <c r="C11478" i="1"/>
  <c r="E11478" i="1"/>
  <c r="G11478" i="1"/>
  <c r="K11478" i="1"/>
  <c r="A11479" i="1"/>
  <c r="B11479" i="1"/>
  <c r="C11479" i="1"/>
  <c r="E11479" i="1"/>
  <c r="G11479" i="1"/>
  <c r="K11479" i="1"/>
  <c r="A11480" i="1"/>
  <c r="B11480" i="1"/>
  <c r="C11480" i="1"/>
  <c r="E11480" i="1"/>
  <c r="G11480" i="1"/>
  <c r="K11480" i="1"/>
  <c r="A11481" i="1"/>
  <c r="B11481" i="1"/>
  <c r="C11481" i="1"/>
  <c r="E11481" i="1"/>
  <c r="G11481" i="1"/>
  <c r="K11481" i="1"/>
  <c r="A11482" i="1"/>
  <c r="B11482" i="1"/>
  <c r="C11482" i="1"/>
  <c r="E11482" i="1"/>
  <c r="G11482" i="1"/>
  <c r="K11482" i="1"/>
  <c r="A11483" i="1"/>
  <c r="B11483" i="1"/>
  <c r="C11483" i="1"/>
  <c r="E11483" i="1"/>
  <c r="G11483" i="1"/>
  <c r="K11483" i="1"/>
  <c r="A11484" i="1"/>
  <c r="B11484" i="1"/>
  <c r="C11484" i="1"/>
  <c r="E11484" i="1"/>
  <c r="G11484" i="1"/>
  <c r="K11484" i="1"/>
  <c r="A11485" i="1"/>
  <c r="B11485" i="1"/>
  <c r="C11485" i="1"/>
  <c r="E11485" i="1"/>
  <c r="G11485" i="1"/>
  <c r="K11485" i="1"/>
  <c r="A11486" i="1"/>
  <c r="B11486" i="1"/>
  <c r="C11486" i="1"/>
  <c r="E11486" i="1"/>
  <c r="G11486" i="1"/>
  <c r="K11486" i="1"/>
  <c r="A11487" i="1"/>
  <c r="B11487" i="1"/>
  <c r="C11487" i="1"/>
  <c r="E11487" i="1"/>
  <c r="G11487" i="1"/>
  <c r="K11487" i="1"/>
  <c r="A11488" i="1"/>
  <c r="B11488" i="1"/>
  <c r="C11488" i="1"/>
  <c r="E11488" i="1"/>
  <c r="G11488" i="1"/>
  <c r="K11488" i="1"/>
  <c r="A11489" i="1"/>
  <c r="B11489" i="1"/>
  <c r="C11489" i="1"/>
  <c r="E11489" i="1"/>
  <c r="G11489" i="1"/>
  <c r="K11489" i="1"/>
  <c r="A11490" i="1"/>
  <c r="B11490" i="1"/>
  <c r="C11490" i="1"/>
  <c r="E11490" i="1"/>
  <c r="G11490" i="1"/>
  <c r="K11490" i="1"/>
  <c r="A11491" i="1"/>
  <c r="B11491" i="1"/>
  <c r="C11491" i="1"/>
  <c r="E11491" i="1"/>
  <c r="G11491" i="1"/>
  <c r="K11491" i="1"/>
  <c r="A11492" i="1"/>
  <c r="B11492" i="1"/>
  <c r="C11492" i="1"/>
  <c r="E11492" i="1"/>
  <c r="G11492" i="1"/>
  <c r="K11492" i="1"/>
  <c r="A11493" i="1"/>
  <c r="B11493" i="1"/>
  <c r="C11493" i="1"/>
  <c r="E11493" i="1"/>
  <c r="G11493" i="1"/>
  <c r="K11493" i="1"/>
  <c r="A11494" i="1"/>
  <c r="B11494" i="1"/>
  <c r="C11494" i="1"/>
  <c r="E11494" i="1"/>
  <c r="G11494" i="1"/>
  <c r="K11494" i="1"/>
  <c r="A11495" i="1"/>
  <c r="B11495" i="1"/>
  <c r="C11495" i="1"/>
  <c r="E11495" i="1"/>
  <c r="G11495" i="1"/>
  <c r="K11495" i="1"/>
  <c r="A11496" i="1"/>
  <c r="B11496" i="1"/>
  <c r="C11496" i="1"/>
  <c r="E11496" i="1"/>
  <c r="G11496" i="1"/>
  <c r="K11496" i="1"/>
  <c r="A11497" i="1"/>
  <c r="B11497" i="1"/>
  <c r="C11497" i="1"/>
  <c r="E11497" i="1"/>
  <c r="G11497" i="1"/>
  <c r="K11497" i="1"/>
  <c r="A11498" i="1"/>
  <c r="B11498" i="1"/>
  <c r="C11498" i="1"/>
  <c r="E11498" i="1"/>
  <c r="G11498" i="1"/>
  <c r="K11498" i="1"/>
  <c r="A11499" i="1"/>
  <c r="B11499" i="1"/>
  <c r="C11499" i="1"/>
  <c r="E11499" i="1"/>
  <c r="G11499" i="1"/>
  <c r="K11499" i="1"/>
  <c r="A11500" i="1"/>
  <c r="B11500" i="1"/>
  <c r="C11500" i="1"/>
  <c r="E11500" i="1"/>
  <c r="G11500" i="1"/>
  <c r="K11500" i="1"/>
  <c r="A11501" i="1"/>
  <c r="B11501" i="1"/>
  <c r="C11501" i="1"/>
  <c r="E11501" i="1"/>
  <c r="G11501" i="1"/>
  <c r="K11501" i="1"/>
  <c r="A11502" i="1"/>
  <c r="B11502" i="1"/>
  <c r="C11502" i="1"/>
  <c r="E11502" i="1"/>
  <c r="G11502" i="1"/>
  <c r="K11502" i="1"/>
  <c r="A11503" i="1"/>
  <c r="B11503" i="1"/>
  <c r="C11503" i="1"/>
  <c r="E11503" i="1"/>
  <c r="G11503" i="1"/>
  <c r="K11503" i="1"/>
  <c r="A11504" i="1"/>
  <c r="B11504" i="1"/>
  <c r="C11504" i="1"/>
  <c r="E11504" i="1"/>
  <c r="G11504" i="1"/>
  <c r="K11504" i="1"/>
  <c r="A11505" i="1"/>
  <c r="B11505" i="1"/>
  <c r="C11505" i="1"/>
  <c r="E11505" i="1"/>
  <c r="G11505" i="1"/>
  <c r="K11505" i="1"/>
  <c r="A11506" i="1"/>
  <c r="B11506" i="1"/>
  <c r="C11506" i="1"/>
  <c r="E11506" i="1"/>
  <c r="G11506" i="1"/>
  <c r="K11506" i="1"/>
  <c r="A11507" i="1"/>
  <c r="B11507" i="1"/>
  <c r="C11507" i="1"/>
  <c r="E11507" i="1"/>
  <c r="G11507" i="1"/>
  <c r="K11507" i="1"/>
  <c r="A11508" i="1"/>
  <c r="B11508" i="1"/>
  <c r="C11508" i="1"/>
  <c r="E11508" i="1"/>
  <c r="G11508" i="1"/>
  <c r="K11508" i="1"/>
  <c r="A11509" i="1"/>
  <c r="B11509" i="1"/>
  <c r="C11509" i="1"/>
  <c r="E11509" i="1"/>
  <c r="G11509" i="1"/>
  <c r="K11509" i="1"/>
  <c r="A11510" i="1"/>
  <c r="B11510" i="1"/>
  <c r="C11510" i="1"/>
  <c r="E11510" i="1"/>
  <c r="G11510" i="1"/>
  <c r="K11510" i="1"/>
  <c r="A11511" i="1"/>
  <c r="B11511" i="1"/>
  <c r="C11511" i="1"/>
  <c r="E11511" i="1"/>
  <c r="G11511" i="1"/>
  <c r="K11511" i="1"/>
  <c r="A11512" i="1"/>
  <c r="B11512" i="1"/>
  <c r="C11512" i="1"/>
  <c r="E11512" i="1"/>
  <c r="G11512" i="1"/>
  <c r="K11512" i="1"/>
  <c r="A11513" i="1"/>
  <c r="B11513" i="1"/>
  <c r="C11513" i="1"/>
  <c r="E11513" i="1"/>
  <c r="G11513" i="1"/>
  <c r="K11513" i="1"/>
  <c r="A11514" i="1"/>
  <c r="B11514" i="1"/>
  <c r="C11514" i="1"/>
  <c r="E11514" i="1"/>
  <c r="G11514" i="1"/>
  <c r="K11514" i="1"/>
  <c r="A11515" i="1"/>
  <c r="B11515" i="1"/>
  <c r="C11515" i="1"/>
  <c r="E11515" i="1"/>
  <c r="G11515" i="1"/>
  <c r="K11515" i="1"/>
  <c r="A11516" i="1"/>
  <c r="B11516" i="1"/>
  <c r="C11516" i="1"/>
  <c r="E11516" i="1"/>
  <c r="G11516" i="1"/>
  <c r="K11516" i="1"/>
  <c r="A11517" i="1"/>
  <c r="B11517" i="1"/>
  <c r="C11517" i="1"/>
  <c r="E11517" i="1"/>
  <c r="G11517" i="1"/>
  <c r="K11517" i="1"/>
  <c r="A11518" i="1"/>
  <c r="B11518" i="1"/>
  <c r="C11518" i="1"/>
  <c r="E11518" i="1"/>
  <c r="G11518" i="1"/>
  <c r="K11518" i="1"/>
  <c r="A11519" i="1"/>
  <c r="B11519" i="1"/>
  <c r="C11519" i="1"/>
  <c r="E11519" i="1"/>
  <c r="G11519" i="1"/>
  <c r="K11519" i="1"/>
  <c r="A11520" i="1"/>
  <c r="B11520" i="1"/>
  <c r="C11520" i="1"/>
  <c r="E11520" i="1"/>
  <c r="G11520" i="1"/>
  <c r="K11520" i="1"/>
  <c r="A11521" i="1"/>
  <c r="B11521" i="1"/>
  <c r="C11521" i="1"/>
  <c r="E11521" i="1"/>
  <c r="G11521" i="1"/>
  <c r="K11521" i="1"/>
  <c r="A11522" i="1"/>
  <c r="B11522" i="1"/>
  <c r="C11522" i="1"/>
  <c r="E11522" i="1"/>
  <c r="G11522" i="1"/>
  <c r="K11522" i="1"/>
  <c r="A11523" i="1"/>
  <c r="B11523" i="1"/>
  <c r="C11523" i="1"/>
  <c r="E11523" i="1"/>
  <c r="G11523" i="1"/>
  <c r="K11523" i="1"/>
  <c r="A11524" i="1"/>
  <c r="B11524" i="1"/>
  <c r="C11524" i="1"/>
  <c r="E11524" i="1"/>
  <c r="G11524" i="1"/>
  <c r="K11524" i="1"/>
  <c r="A11525" i="1"/>
  <c r="B11525" i="1"/>
  <c r="C11525" i="1"/>
  <c r="E11525" i="1"/>
  <c r="G11525" i="1"/>
  <c r="K11525" i="1"/>
  <c r="A11526" i="1"/>
  <c r="B11526" i="1"/>
  <c r="C11526" i="1"/>
  <c r="E11526" i="1"/>
  <c r="G11526" i="1"/>
  <c r="K11526" i="1"/>
  <c r="A11527" i="1"/>
  <c r="B11527" i="1"/>
  <c r="C11527" i="1"/>
  <c r="E11527" i="1"/>
  <c r="G11527" i="1"/>
  <c r="K11527" i="1"/>
  <c r="A11528" i="1"/>
  <c r="B11528" i="1"/>
  <c r="C11528" i="1"/>
  <c r="E11528" i="1"/>
  <c r="G11528" i="1"/>
  <c r="K11528" i="1"/>
  <c r="A11529" i="1"/>
  <c r="B11529" i="1"/>
  <c r="C11529" i="1"/>
  <c r="E11529" i="1"/>
  <c r="G11529" i="1"/>
  <c r="K11529" i="1"/>
  <c r="A11530" i="1"/>
  <c r="B11530" i="1"/>
  <c r="C11530" i="1"/>
  <c r="E11530" i="1"/>
  <c r="G11530" i="1"/>
  <c r="K11530" i="1"/>
  <c r="A11531" i="1"/>
  <c r="B11531" i="1"/>
  <c r="C11531" i="1"/>
  <c r="E11531" i="1"/>
  <c r="G11531" i="1"/>
  <c r="K11531" i="1"/>
  <c r="A11532" i="1"/>
  <c r="B11532" i="1"/>
  <c r="C11532" i="1"/>
  <c r="E11532" i="1"/>
  <c r="G11532" i="1"/>
  <c r="K11532" i="1"/>
  <c r="A11533" i="1"/>
  <c r="B11533" i="1"/>
  <c r="C11533" i="1"/>
  <c r="E11533" i="1"/>
  <c r="G11533" i="1"/>
  <c r="K11533" i="1"/>
  <c r="A11534" i="1"/>
  <c r="B11534" i="1"/>
  <c r="C11534" i="1"/>
  <c r="E11534" i="1"/>
  <c r="G11534" i="1"/>
  <c r="K11534" i="1"/>
  <c r="A11535" i="1"/>
  <c r="B11535" i="1"/>
  <c r="C11535" i="1"/>
  <c r="E11535" i="1"/>
  <c r="G11535" i="1"/>
  <c r="K11535" i="1"/>
  <c r="A11536" i="1"/>
  <c r="B11536" i="1"/>
  <c r="C11536" i="1"/>
  <c r="E11536" i="1"/>
  <c r="G11536" i="1"/>
  <c r="K11536" i="1"/>
  <c r="A11537" i="1"/>
  <c r="B11537" i="1"/>
  <c r="C11537" i="1"/>
  <c r="E11537" i="1"/>
  <c r="G11537" i="1"/>
  <c r="K11537" i="1"/>
  <c r="A11538" i="1"/>
  <c r="B11538" i="1"/>
  <c r="C11538" i="1"/>
  <c r="E11538" i="1"/>
  <c r="G11538" i="1"/>
  <c r="K11538" i="1"/>
  <c r="A11539" i="1"/>
  <c r="B11539" i="1"/>
  <c r="C11539" i="1"/>
  <c r="E11539" i="1"/>
  <c r="G11539" i="1"/>
  <c r="K11539" i="1"/>
  <c r="A11540" i="1"/>
  <c r="B11540" i="1"/>
  <c r="C11540" i="1"/>
  <c r="E11540" i="1"/>
  <c r="G11540" i="1"/>
  <c r="K11540" i="1"/>
  <c r="A11541" i="1"/>
  <c r="B11541" i="1"/>
  <c r="C11541" i="1"/>
  <c r="E11541" i="1"/>
  <c r="G11541" i="1"/>
  <c r="K11541" i="1"/>
  <c r="A11542" i="1"/>
  <c r="B11542" i="1"/>
  <c r="C11542" i="1"/>
  <c r="E11542" i="1"/>
  <c r="G11542" i="1"/>
  <c r="K11542" i="1"/>
  <c r="A11543" i="1"/>
  <c r="B11543" i="1"/>
  <c r="C11543" i="1"/>
  <c r="E11543" i="1"/>
  <c r="G11543" i="1"/>
  <c r="K11543" i="1"/>
  <c r="A11544" i="1"/>
  <c r="B11544" i="1"/>
  <c r="C11544" i="1"/>
  <c r="E11544" i="1"/>
  <c r="G11544" i="1"/>
  <c r="K11544" i="1"/>
  <c r="A11545" i="1"/>
  <c r="B11545" i="1"/>
  <c r="C11545" i="1"/>
  <c r="E11545" i="1"/>
  <c r="G11545" i="1"/>
  <c r="K11545" i="1"/>
  <c r="A11546" i="1"/>
  <c r="B11546" i="1"/>
  <c r="C11546" i="1"/>
  <c r="E11546" i="1"/>
  <c r="G11546" i="1"/>
  <c r="K11546" i="1"/>
  <c r="A11547" i="1"/>
  <c r="B11547" i="1"/>
  <c r="C11547" i="1"/>
  <c r="E11547" i="1"/>
  <c r="G11547" i="1"/>
  <c r="K11547" i="1"/>
  <c r="A11548" i="1"/>
  <c r="B11548" i="1"/>
  <c r="C11548" i="1"/>
  <c r="E11548" i="1"/>
  <c r="G11548" i="1"/>
  <c r="K11548" i="1"/>
  <c r="A11549" i="1"/>
  <c r="B11549" i="1"/>
  <c r="C11549" i="1"/>
  <c r="E11549" i="1"/>
  <c r="G11549" i="1"/>
  <c r="K11549" i="1"/>
  <c r="A11550" i="1"/>
  <c r="B11550" i="1"/>
  <c r="C11550" i="1"/>
  <c r="E11550" i="1"/>
  <c r="G11550" i="1"/>
  <c r="K11550" i="1"/>
  <c r="A11551" i="1"/>
  <c r="B11551" i="1"/>
  <c r="C11551" i="1"/>
  <c r="E11551" i="1"/>
  <c r="G11551" i="1"/>
  <c r="K11551" i="1"/>
  <c r="A11552" i="1"/>
  <c r="B11552" i="1"/>
  <c r="C11552" i="1"/>
  <c r="E11552" i="1"/>
  <c r="G11552" i="1"/>
  <c r="K11552" i="1"/>
  <c r="A11553" i="1"/>
  <c r="B11553" i="1"/>
  <c r="C11553" i="1"/>
  <c r="E11553" i="1"/>
  <c r="G11553" i="1"/>
  <c r="K11553" i="1"/>
  <c r="A11554" i="1"/>
  <c r="B11554" i="1"/>
  <c r="C11554" i="1"/>
  <c r="E11554" i="1"/>
  <c r="G11554" i="1"/>
  <c r="K11554" i="1"/>
  <c r="A11555" i="1"/>
  <c r="B11555" i="1"/>
  <c r="C11555" i="1"/>
  <c r="E11555" i="1"/>
  <c r="G11555" i="1"/>
  <c r="K11555" i="1"/>
  <c r="A11556" i="1"/>
  <c r="B11556" i="1"/>
  <c r="C11556" i="1"/>
  <c r="E11556" i="1"/>
  <c r="G11556" i="1"/>
  <c r="K11556" i="1"/>
  <c r="A11557" i="1"/>
  <c r="B11557" i="1"/>
  <c r="C11557" i="1"/>
  <c r="E11557" i="1"/>
  <c r="G11557" i="1"/>
  <c r="K11557" i="1"/>
  <c r="A11558" i="1"/>
  <c r="B11558" i="1"/>
  <c r="C11558" i="1"/>
  <c r="E11558" i="1"/>
  <c r="G11558" i="1"/>
  <c r="K11558" i="1"/>
  <c r="A11559" i="1"/>
  <c r="B11559" i="1"/>
  <c r="C11559" i="1"/>
  <c r="E11559" i="1"/>
  <c r="G11559" i="1"/>
  <c r="K11559" i="1"/>
  <c r="A11560" i="1"/>
  <c r="B11560" i="1"/>
  <c r="C11560" i="1"/>
  <c r="E11560" i="1"/>
  <c r="G11560" i="1"/>
  <c r="K11560" i="1"/>
  <c r="A11561" i="1"/>
  <c r="B11561" i="1"/>
  <c r="C11561" i="1"/>
  <c r="E11561" i="1"/>
  <c r="G11561" i="1"/>
  <c r="K11561" i="1"/>
  <c r="A11562" i="1"/>
  <c r="B11562" i="1"/>
  <c r="C11562" i="1"/>
  <c r="E11562" i="1"/>
  <c r="G11562" i="1"/>
  <c r="K11562" i="1"/>
  <c r="A11563" i="1"/>
  <c r="B11563" i="1"/>
  <c r="C11563" i="1"/>
  <c r="E11563" i="1"/>
  <c r="G11563" i="1"/>
  <c r="K11563" i="1"/>
  <c r="A11564" i="1"/>
  <c r="B11564" i="1"/>
  <c r="C11564" i="1"/>
  <c r="E11564" i="1"/>
  <c r="G11564" i="1"/>
  <c r="K11564" i="1"/>
  <c r="A11565" i="1"/>
  <c r="B11565" i="1"/>
  <c r="C11565" i="1"/>
  <c r="E11565" i="1"/>
  <c r="G11565" i="1"/>
  <c r="K11565" i="1"/>
  <c r="A11566" i="1"/>
  <c r="B11566" i="1"/>
  <c r="C11566" i="1"/>
  <c r="E11566" i="1"/>
  <c r="G11566" i="1"/>
  <c r="K11566" i="1"/>
  <c r="A11567" i="1"/>
  <c r="B11567" i="1"/>
  <c r="C11567" i="1"/>
  <c r="E11567" i="1"/>
  <c r="G11567" i="1"/>
  <c r="K11567" i="1"/>
  <c r="A11568" i="1"/>
  <c r="B11568" i="1"/>
  <c r="C11568" i="1"/>
  <c r="E11568" i="1"/>
  <c r="G11568" i="1"/>
  <c r="K11568" i="1"/>
  <c r="A11569" i="1"/>
  <c r="B11569" i="1"/>
  <c r="C11569" i="1"/>
  <c r="E11569" i="1"/>
  <c r="G11569" i="1"/>
  <c r="K11569" i="1"/>
  <c r="A11570" i="1"/>
  <c r="B11570" i="1"/>
  <c r="C11570" i="1"/>
  <c r="E11570" i="1"/>
  <c r="G11570" i="1"/>
  <c r="K11570" i="1"/>
  <c r="A11571" i="1"/>
  <c r="B11571" i="1"/>
  <c r="C11571" i="1"/>
  <c r="E11571" i="1"/>
  <c r="G11571" i="1"/>
  <c r="K11571" i="1"/>
  <c r="A11572" i="1"/>
  <c r="B11572" i="1"/>
  <c r="C11572" i="1"/>
  <c r="E11572" i="1"/>
  <c r="G11572" i="1"/>
  <c r="K11572" i="1"/>
  <c r="A11573" i="1"/>
  <c r="B11573" i="1"/>
  <c r="C11573" i="1"/>
  <c r="E11573" i="1"/>
  <c r="G11573" i="1"/>
  <c r="K11573" i="1"/>
  <c r="A11574" i="1"/>
  <c r="B11574" i="1"/>
  <c r="C11574" i="1"/>
  <c r="E11574" i="1"/>
  <c r="G11574" i="1"/>
  <c r="K11574" i="1"/>
  <c r="A11575" i="1"/>
  <c r="B11575" i="1"/>
  <c r="C11575" i="1"/>
  <c r="E11575" i="1"/>
  <c r="G11575" i="1"/>
  <c r="K11575" i="1"/>
  <c r="A11576" i="1"/>
  <c r="B11576" i="1"/>
  <c r="C11576" i="1"/>
  <c r="E11576" i="1"/>
  <c r="G11576" i="1"/>
  <c r="K11576" i="1"/>
  <c r="A11577" i="1"/>
  <c r="B11577" i="1"/>
  <c r="C11577" i="1"/>
  <c r="E11577" i="1"/>
  <c r="G11577" i="1"/>
  <c r="K11577" i="1"/>
  <c r="A11578" i="1"/>
  <c r="B11578" i="1"/>
  <c r="C11578" i="1"/>
  <c r="E11578" i="1"/>
  <c r="G11578" i="1"/>
  <c r="K11578" i="1"/>
  <c r="A11579" i="1"/>
  <c r="B11579" i="1"/>
  <c r="C11579" i="1"/>
  <c r="E11579" i="1"/>
  <c r="G11579" i="1"/>
  <c r="K11579" i="1"/>
  <c r="A11580" i="1"/>
  <c r="B11580" i="1"/>
  <c r="C11580" i="1"/>
  <c r="E11580" i="1"/>
  <c r="G11580" i="1"/>
  <c r="K11580" i="1"/>
  <c r="A11581" i="1"/>
  <c r="B11581" i="1"/>
  <c r="C11581" i="1"/>
  <c r="E11581" i="1"/>
  <c r="G11581" i="1"/>
  <c r="K11581" i="1"/>
  <c r="A11582" i="1"/>
  <c r="B11582" i="1"/>
  <c r="C11582" i="1"/>
  <c r="E11582" i="1"/>
  <c r="G11582" i="1"/>
  <c r="K11582" i="1"/>
  <c r="A11583" i="1"/>
  <c r="B11583" i="1"/>
  <c r="C11583" i="1"/>
  <c r="E11583" i="1"/>
  <c r="G11583" i="1"/>
  <c r="K11583" i="1"/>
  <c r="A11584" i="1"/>
  <c r="B11584" i="1"/>
  <c r="C11584" i="1"/>
  <c r="E11584" i="1"/>
  <c r="G11584" i="1"/>
  <c r="K11584" i="1"/>
  <c r="A11585" i="1"/>
  <c r="B11585" i="1"/>
  <c r="C11585" i="1"/>
  <c r="E11585" i="1"/>
  <c r="G11585" i="1"/>
  <c r="K11585" i="1"/>
  <c r="A11586" i="1"/>
  <c r="B11586" i="1"/>
  <c r="C11586" i="1"/>
  <c r="E11586" i="1"/>
  <c r="G11586" i="1"/>
  <c r="K11586" i="1"/>
  <c r="A11587" i="1"/>
  <c r="B11587" i="1"/>
  <c r="C11587" i="1"/>
  <c r="E11587" i="1"/>
  <c r="G11587" i="1"/>
  <c r="K11587" i="1"/>
  <c r="A11588" i="1"/>
  <c r="B11588" i="1"/>
  <c r="C11588" i="1"/>
  <c r="E11588" i="1"/>
  <c r="G11588" i="1"/>
  <c r="K11588" i="1"/>
  <c r="A11589" i="1"/>
  <c r="B11589" i="1"/>
  <c r="C11589" i="1"/>
  <c r="E11589" i="1"/>
  <c r="G11589" i="1"/>
  <c r="K11589" i="1"/>
  <c r="A11590" i="1"/>
  <c r="B11590" i="1"/>
  <c r="C11590" i="1"/>
  <c r="E11590" i="1"/>
  <c r="G11590" i="1"/>
  <c r="K11590" i="1"/>
  <c r="A11591" i="1"/>
  <c r="B11591" i="1"/>
  <c r="C11591" i="1"/>
  <c r="E11591" i="1"/>
  <c r="G11591" i="1"/>
  <c r="K11591" i="1"/>
  <c r="A11592" i="1"/>
  <c r="B11592" i="1"/>
  <c r="C11592" i="1"/>
  <c r="E11592" i="1"/>
  <c r="G11592" i="1"/>
  <c r="K11592" i="1"/>
  <c r="A11593" i="1"/>
  <c r="B11593" i="1"/>
  <c r="C11593" i="1"/>
  <c r="E11593" i="1"/>
  <c r="G11593" i="1"/>
  <c r="K11593" i="1"/>
  <c r="A11594" i="1"/>
  <c r="B11594" i="1"/>
  <c r="C11594" i="1"/>
  <c r="E11594" i="1"/>
  <c r="G11594" i="1"/>
  <c r="K11594" i="1"/>
  <c r="A11595" i="1"/>
  <c r="B11595" i="1"/>
  <c r="C11595" i="1"/>
  <c r="E11595" i="1"/>
  <c r="G11595" i="1"/>
  <c r="K11595" i="1"/>
  <c r="A11596" i="1"/>
  <c r="B11596" i="1"/>
  <c r="C11596" i="1"/>
  <c r="E11596" i="1"/>
  <c r="G11596" i="1"/>
  <c r="K11596" i="1"/>
  <c r="A11597" i="1"/>
  <c r="B11597" i="1"/>
  <c r="C11597" i="1"/>
  <c r="E11597" i="1"/>
  <c r="G11597" i="1"/>
  <c r="K11597" i="1"/>
  <c r="A11598" i="1"/>
  <c r="B11598" i="1"/>
  <c r="C11598" i="1"/>
  <c r="E11598" i="1"/>
  <c r="G11598" i="1"/>
  <c r="K11598" i="1"/>
  <c r="A11599" i="1"/>
  <c r="B11599" i="1"/>
  <c r="C11599" i="1"/>
  <c r="E11599" i="1"/>
  <c r="G11599" i="1"/>
  <c r="K11599" i="1"/>
  <c r="A11600" i="1"/>
  <c r="B11600" i="1"/>
  <c r="C11600" i="1"/>
  <c r="E11600" i="1"/>
  <c r="G11600" i="1"/>
  <c r="K11600" i="1"/>
  <c r="A11601" i="1"/>
  <c r="B11601" i="1"/>
  <c r="C11601" i="1"/>
  <c r="E11601" i="1"/>
  <c r="G11601" i="1"/>
  <c r="K11601" i="1"/>
  <c r="A11602" i="1"/>
  <c r="B11602" i="1"/>
  <c r="C11602" i="1"/>
  <c r="E11602" i="1"/>
  <c r="G11602" i="1"/>
  <c r="K11602" i="1"/>
  <c r="A11603" i="1"/>
  <c r="B11603" i="1"/>
  <c r="C11603" i="1"/>
  <c r="E11603" i="1"/>
  <c r="G11603" i="1"/>
  <c r="K11603" i="1"/>
  <c r="A11604" i="1"/>
  <c r="B11604" i="1"/>
  <c r="C11604" i="1"/>
  <c r="E11604" i="1"/>
  <c r="G11604" i="1"/>
  <c r="K11604" i="1"/>
  <c r="A11605" i="1"/>
  <c r="B11605" i="1"/>
  <c r="C11605" i="1"/>
  <c r="E11605" i="1"/>
  <c r="G11605" i="1"/>
  <c r="K11605" i="1"/>
  <c r="A11606" i="1"/>
  <c r="B11606" i="1"/>
  <c r="C11606" i="1"/>
  <c r="E11606" i="1"/>
  <c r="G11606" i="1"/>
  <c r="K11606" i="1"/>
  <c r="A11607" i="1"/>
  <c r="B11607" i="1"/>
  <c r="C11607" i="1"/>
  <c r="E11607" i="1"/>
  <c r="G11607" i="1"/>
  <c r="K11607" i="1"/>
  <c r="A11608" i="1"/>
  <c r="B11608" i="1"/>
  <c r="C11608" i="1"/>
  <c r="E11608" i="1"/>
  <c r="G11608" i="1"/>
  <c r="K11608" i="1"/>
  <c r="A11609" i="1"/>
  <c r="B11609" i="1"/>
  <c r="C11609" i="1"/>
  <c r="E11609" i="1"/>
  <c r="G11609" i="1"/>
  <c r="K11609" i="1"/>
  <c r="A11610" i="1"/>
  <c r="B11610" i="1"/>
  <c r="C11610" i="1"/>
  <c r="E11610" i="1"/>
  <c r="G11610" i="1"/>
  <c r="K11610" i="1"/>
  <c r="A11611" i="1"/>
  <c r="B11611" i="1"/>
  <c r="C11611" i="1"/>
  <c r="E11611" i="1"/>
  <c r="G11611" i="1"/>
  <c r="K11611" i="1"/>
  <c r="A11612" i="1"/>
  <c r="B11612" i="1"/>
  <c r="C11612" i="1"/>
  <c r="E11612" i="1"/>
  <c r="G11612" i="1"/>
  <c r="K11612" i="1"/>
  <c r="A11613" i="1"/>
  <c r="B11613" i="1"/>
  <c r="C11613" i="1"/>
  <c r="E11613" i="1"/>
  <c r="G11613" i="1"/>
  <c r="K11613" i="1"/>
  <c r="A11614" i="1"/>
  <c r="B11614" i="1"/>
  <c r="C11614" i="1"/>
  <c r="E11614" i="1"/>
  <c r="G11614" i="1"/>
  <c r="K11614" i="1"/>
  <c r="A11615" i="1"/>
  <c r="B11615" i="1"/>
  <c r="C11615" i="1"/>
  <c r="E11615" i="1"/>
  <c r="G11615" i="1"/>
  <c r="K11615" i="1"/>
  <c r="A11616" i="1"/>
  <c r="B11616" i="1"/>
  <c r="C11616" i="1"/>
  <c r="E11616" i="1"/>
  <c r="G11616" i="1"/>
  <c r="K11616" i="1"/>
  <c r="A11617" i="1"/>
  <c r="B11617" i="1"/>
  <c r="C11617" i="1"/>
  <c r="E11617" i="1"/>
  <c r="G11617" i="1"/>
  <c r="K11617" i="1"/>
  <c r="A11618" i="1"/>
  <c r="B11618" i="1"/>
  <c r="C11618" i="1"/>
  <c r="E11618" i="1"/>
  <c r="G11618" i="1"/>
  <c r="K11618" i="1"/>
  <c r="A11619" i="1"/>
  <c r="B11619" i="1"/>
  <c r="C11619" i="1"/>
  <c r="E11619" i="1"/>
  <c r="G11619" i="1"/>
  <c r="K11619" i="1"/>
  <c r="A11620" i="1"/>
  <c r="B11620" i="1"/>
  <c r="C11620" i="1"/>
  <c r="E11620" i="1"/>
  <c r="G11620" i="1"/>
  <c r="K11620" i="1"/>
  <c r="A11621" i="1"/>
  <c r="B11621" i="1"/>
  <c r="C11621" i="1"/>
  <c r="E11621" i="1"/>
  <c r="G11621" i="1"/>
  <c r="K11621" i="1"/>
  <c r="A11622" i="1"/>
  <c r="B11622" i="1"/>
  <c r="C11622" i="1"/>
  <c r="E11622" i="1"/>
  <c r="G11622" i="1"/>
  <c r="K11622" i="1"/>
  <c r="A11623" i="1"/>
  <c r="B11623" i="1"/>
  <c r="C11623" i="1"/>
  <c r="E11623" i="1"/>
  <c r="G11623" i="1"/>
  <c r="K11623" i="1"/>
  <c r="A11624" i="1"/>
  <c r="B11624" i="1"/>
  <c r="C11624" i="1"/>
  <c r="E11624" i="1"/>
  <c r="G11624" i="1"/>
  <c r="K11624" i="1"/>
  <c r="A11625" i="1"/>
  <c r="B11625" i="1"/>
  <c r="C11625" i="1"/>
  <c r="E11625" i="1"/>
  <c r="G11625" i="1"/>
  <c r="K11625" i="1"/>
  <c r="A11626" i="1"/>
  <c r="B11626" i="1"/>
  <c r="C11626" i="1"/>
  <c r="E11626" i="1"/>
  <c r="G11626" i="1"/>
  <c r="K11626" i="1"/>
  <c r="A11627" i="1"/>
  <c r="B11627" i="1"/>
  <c r="C11627" i="1"/>
  <c r="E11627" i="1"/>
  <c r="G11627" i="1"/>
  <c r="K11627" i="1"/>
  <c r="A11628" i="1"/>
  <c r="B11628" i="1"/>
  <c r="C11628" i="1"/>
  <c r="E11628" i="1"/>
  <c r="G11628" i="1"/>
  <c r="K11628" i="1"/>
  <c r="A11629" i="1"/>
  <c r="B11629" i="1"/>
  <c r="C11629" i="1"/>
  <c r="E11629" i="1"/>
  <c r="G11629" i="1"/>
  <c r="K11629" i="1"/>
  <c r="A11630" i="1"/>
  <c r="B11630" i="1"/>
  <c r="C11630" i="1"/>
  <c r="E11630" i="1"/>
  <c r="G11630" i="1"/>
  <c r="K11630" i="1"/>
  <c r="A11631" i="1"/>
  <c r="B11631" i="1"/>
  <c r="C11631" i="1"/>
  <c r="E11631" i="1"/>
  <c r="G11631" i="1"/>
  <c r="K11631" i="1"/>
  <c r="A11632" i="1"/>
  <c r="B11632" i="1"/>
  <c r="C11632" i="1"/>
  <c r="E11632" i="1"/>
  <c r="G11632" i="1"/>
  <c r="K11632" i="1"/>
  <c r="A11633" i="1"/>
  <c r="B11633" i="1"/>
  <c r="C11633" i="1"/>
  <c r="E11633" i="1"/>
  <c r="G11633" i="1"/>
  <c r="K11633" i="1"/>
  <c r="A11634" i="1"/>
  <c r="B11634" i="1"/>
  <c r="C11634" i="1"/>
  <c r="E11634" i="1"/>
  <c r="G11634" i="1"/>
  <c r="K11634" i="1"/>
  <c r="A11635" i="1"/>
  <c r="B11635" i="1"/>
  <c r="C11635" i="1"/>
  <c r="E11635" i="1"/>
  <c r="G11635" i="1"/>
  <c r="K11635" i="1"/>
  <c r="A11636" i="1"/>
  <c r="B11636" i="1"/>
  <c r="C11636" i="1"/>
  <c r="E11636" i="1"/>
  <c r="G11636" i="1"/>
  <c r="K11636" i="1"/>
  <c r="A11637" i="1"/>
  <c r="B11637" i="1"/>
  <c r="C11637" i="1"/>
  <c r="E11637" i="1"/>
  <c r="G11637" i="1"/>
  <c r="K11637" i="1"/>
  <c r="A11638" i="1"/>
  <c r="B11638" i="1"/>
  <c r="C11638" i="1"/>
  <c r="E11638" i="1"/>
  <c r="G11638" i="1"/>
  <c r="K11638" i="1"/>
  <c r="A11639" i="1"/>
  <c r="B11639" i="1"/>
  <c r="C11639" i="1"/>
  <c r="E11639" i="1"/>
  <c r="G11639" i="1"/>
  <c r="K11639" i="1"/>
  <c r="A11640" i="1"/>
  <c r="B11640" i="1"/>
  <c r="C11640" i="1"/>
  <c r="E11640" i="1"/>
  <c r="G11640" i="1"/>
  <c r="K11640" i="1"/>
  <c r="A11641" i="1"/>
  <c r="B11641" i="1"/>
  <c r="C11641" i="1"/>
  <c r="E11641" i="1"/>
  <c r="G11641" i="1"/>
  <c r="K11641" i="1"/>
  <c r="A11642" i="1"/>
  <c r="B11642" i="1"/>
  <c r="C11642" i="1"/>
  <c r="E11642" i="1"/>
  <c r="G11642" i="1"/>
  <c r="K11642" i="1"/>
  <c r="A11643" i="1"/>
  <c r="B11643" i="1"/>
  <c r="C11643" i="1"/>
  <c r="E11643" i="1"/>
  <c r="G11643" i="1"/>
  <c r="K11643" i="1"/>
  <c r="A11644" i="1"/>
  <c r="B11644" i="1"/>
  <c r="C11644" i="1"/>
  <c r="E11644" i="1"/>
  <c r="G11644" i="1"/>
  <c r="K11644" i="1"/>
  <c r="A11645" i="1"/>
  <c r="B11645" i="1"/>
  <c r="C11645" i="1"/>
  <c r="E11645" i="1"/>
  <c r="G11645" i="1"/>
  <c r="K11645" i="1"/>
  <c r="A11646" i="1"/>
  <c r="B11646" i="1"/>
  <c r="C11646" i="1"/>
  <c r="E11646" i="1"/>
  <c r="G11646" i="1"/>
  <c r="K11646" i="1"/>
  <c r="A11647" i="1"/>
  <c r="B11647" i="1"/>
  <c r="C11647" i="1"/>
  <c r="E11647" i="1"/>
  <c r="G11647" i="1"/>
  <c r="K11647" i="1"/>
  <c r="A11648" i="1"/>
  <c r="B11648" i="1"/>
  <c r="C11648" i="1"/>
  <c r="E11648" i="1"/>
  <c r="G11648" i="1"/>
  <c r="K11648" i="1"/>
  <c r="A11649" i="1"/>
  <c r="B11649" i="1"/>
  <c r="C11649" i="1"/>
  <c r="E11649" i="1"/>
  <c r="G11649" i="1"/>
  <c r="K11649" i="1"/>
  <c r="A11650" i="1"/>
  <c r="B11650" i="1"/>
  <c r="C11650" i="1"/>
  <c r="E11650" i="1"/>
  <c r="G11650" i="1"/>
  <c r="K11650" i="1"/>
  <c r="A11651" i="1"/>
  <c r="B11651" i="1"/>
  <c r="C11651" i="1"/>
  <c r="E11651" i="1"/>
  <c r="G11651" i="1"/>
  <c r="K11651" i="1"/>
  <c r="A11652" i="1"/>
  <c r="B11652" i="1"/>
  <c r="C11652" i="1"/>
  <c r="E11652" i="1"/>
  <c r="G11652" i="1"/>
  <c r="K11652" i="1"/>
  <c r="A11653" i="1"/>
  <c r="B11653" i="1"/>
  <c r="C11653" i="1"/>
  <c r="E11653" i="1"/>
  <c r="G11653" i="1"/>
  <c r="K11653" i="1"/>
  <c r="A11654" i="1"/>
  <c r="B11654" i="1"/>
  <c r="C11654" i="1"/>
  <c r="E11654" i="1"/>
  <c r="G11654" i="1"/>
  <c r="K11654" i="1"/>
  <c r="A11655" i="1"/>
  <c r="B11655" i="1"/>
  <c r="C11655" i="1"/>
  <c r="E11655" i="1"/>
  <c r="G11655" i="1"/>
  <c r="K11655" i="1"/>
  <c r="A11656" i="1"/>
  <c r="B11656" i="1"/>
  <c r="C11656" i="1"/>
  <c r="E11656" i="1"/>
  <c r="G11656" i="1"/>
  <c r="K11656" i="1"/>
  <c r="A11657" i="1"/>
  <c r="B11657" i="1"/>
  <c r="C11657" i="1"/>
  <c r="E11657" i="1"/>
  <c r="G11657" i="1"/>
  <c r="K11657" i="1"/>
  <c r="A11658" i="1"/>
  <c r="B11658" i="1"/>
  <c r="C11658" i="1"/>
  <c r="E11658" i="1"/>
  <c r="G11658" i="1"/>
  <c r="K11658" i="1"/>
  <c r="A11659" i="1"/>
  <c r="B11659" i="1"/>
  <c r="C11659" i="1"/>
  <c r="E11659" i="1"/>
  <c r="G11659" i="1"/>
  <c r="K11659" i="1"/>
  <c r="A11660" i="1"/>
  <c r="B11660" i="1"/>
  <c r="C11660" i="1"/>
  <c r="E11660" i="1"/>
  <c r="G11660" i="1"/>
  <c r="K11660" i="1"/>
  <c r="A11661" i="1"/>
  <c r="B11661" i="1"/>
  <c r="C11661" i="1"/>
  <c r="E11661" i="1"/>
  <c r="G11661" i="1"/>
  <c r="K11661" i="1"/>
  <c r="A11662" i="1"/>
  <c r="B11662" i="1"/>
  <c r="C11662" i="1"/>
  <c r="E11662" i="1"/>
  <c r="G11662" i="1"/>
  <c r="K11662" i="1"/>
  <c r="A11663" i="1"/>
  <c r="B11663" i="1"/>
  <c r="C11663" i="1"/>
  <c r="E11663" i="1"/>
  <c r="G11663" i="1"/>
  <c r="K11663" i="1"/>
  <c r="A11664" i="1"/>
  <c r="B11664" i="1"/>
  <c r="C11664" i="1"/>
  <c r="E11664" i="1"/>
  <c r="G11664" i="1"/>
  <c r="K11664" i="1"/>
  <c r="A11665" i="1"/>
  <c r="B11665" i="1"/>
  <c r="C11665" i="1"/>
  <c r="E11665" i="1"/>
  <c r="G11665" i="1"/>
  <c r="K11665" i="1"/>
  <c r="A11666" i="1"/>
  <c r="B11666" i="1"/>
  <c r="C11666" i="1"/>
  <c r="E11666" i="1"/>
  <c r="G11666" i="1"/>
  <c r="K11666" i="1"/>
  <c r="A11667" i="1"/>
  <c r="B11667" i="1"/>
  <c r="C11667" i="1"/>
  <c r="E11667" i="1"/>
  <c r="G11667" i="1"/>
  <c r="K11667" i="1"/>
  <c r="A11668" i="1"/>
  <c r="B11668" i="1"/>
  <c r="C11668" i="1"/>
  <c r="E11668" i="1"/>
  <c r="G11668" i="1"/>
  <c r="K11668" i="1"/>
  <c r="A11669" i="1"/>
  <c r="B11669" i="1"/>
  <c r="C11669" i="1"/>
  <c r="E11669" i="1"/>
  <c r="G11669" i="1"/>
  <c r="K11669" i="1"/>
  <c r="A11670" i="1"/>
  <c r="B11670" i="1"/>
  <c r="C11670" i="1"/>
  <c r="E11670" i="1"/>
  <c r="G11670" i="1"/>
  <c r="K11670" i="1"/>
  <c r="A11671" i="1"/>
  <c r="B11671" i="1"/>
  <c r="C11671" i="1"/>
  <c r="E11671" i="1"/>
  <c r="G11671" i="1"/>
  <c r="K11671" i="1"/>
  <c r="A11672" i="1"/>
  <c r="B11672" i="1"/>
  <c r="C11672" i="1"/>
  <c r="E11672" i="1"/>
  <c r="G11672" i="1"/>
  <c r="K11672" i="1"/>
  <c r="A11673" i="1"/>
  <c r="B11673" i="1"/>
  <c r="C11673" i="1"/>
  <c r="E11673" i="1"/>
  <c r="G11673" i="1"/>
  <c r="K11673" i="1"/>
  <c r="A11674" i="1"/>
  <c r="B11674" i="1"/>
  <c r="C11674" i="1"/>
  <c r="E11674" i="1"/>
  <c r="G11674" i="1"/>
  <c r="K11674" i="1"/>
  <c r="A11675" i="1"/>
  <c r="B11675" i="1"/>
  <c r="C11675" i="1"/>
  <c r="E11675" i="1"/>
  <c r="G11675" i="1"/>
  <c r="K11675" i="1"/>
  <c r="A11676" i="1"/>
  <c r="B11676" i="1"/>
  <c r="C11676" i="1"/>
  <c r="E11676" i="1"/>
  <c r="G11676" i="1"/>
  <c r="K11676" i="1"/>
  <c r="A11677" i="1"/>
  <c r="B11677" i="1"/>
  <c r="C11677" i="1"/>
  <c r="E11677" i="1"/>
  <c r="G11677" i="1"/>
  <c r="K11677" i="1"/>
  <c r="A11678" i="1"/>
  <c r="B11678" i="1"/>
  <c r="C11678" i="1"/>
  <c r="E11678" i="1"/>
  <c r="G11678" i="1"/>
  <c r="K11678" i="1"/>
  <c r="A11679" i="1"/>
  <c r="B11679" i="1"/>
  <c r="C11679" i="1"/>
  <c r="E11679" i="1"/>
  <c r="G11679" i="1"/>
  <c r="K11679" i="1"/>
  <c r="A11680" i="1"/>
  <c r="B11680" i="1"/>
  <c r="C11680" i="1"/>
  <c r="E11680" i="1"/>
  <c r="G11680" i="1"/>
  <c r="K11680" i="1"/>
  <c r="A11681" i="1"/>
  <c r="B11681" i="1"/>
  <c r="C11681" i="1"/>
  <c r="E11681" i="1"/>
  <c r="G11681" i="1"/>
  <c r="K11681" i="1"/>
  <c r="A11682" i="1"/>
  <c r="B11682" i="1"/>
  <c r="C11682" i="1"/>
  <c r="E11682" i="1"/>
  <c r="G11682" i="1"/>
  <c r="K11682" i="1"/>
  <c r="A11683" i="1"/>
  <c r="B11683" i="1"/>
  <c r="C11683" i="1"/>
  <c r="E11683" i="1"/>
  <c r="G11683" i="1"/>
  <c r="K11683" i="1"/>
  <c r="A11684" i="1"/>
  <c r="B11684" i="1"/>
  <c r="C11684" i="1"/>
  <c r="E11684" i="1"/>
  <c r="G11684" i="1"/>
  <c r="K11684" i="1"/>
  <c r="A11685" i="1"/>
  <c r="B11685" i="1"/>
  <c r="C11685" i="1"/>
  <c r="E11685" i="1"/>
  <c r="G11685" i="1"/>
  <c r="K11685" i="1"/>
  <c r="A11686" i="1"/>
  <c r="B11686" i="1"/>
  <c r="C11686" i="1"/>
  <c r="E11686" i="1"/>
  <c r="G11686" i="1"/>
  <c r="K11686" i="1"/>
  <c r="A11687" i="1"/>
  <c r="B11687" i="1"/>
  <c r="C11687" i="1"/>
  <c r="E11687" i="1"/>
  <c r="G11687" i="1"/>
  <c r="K11687" i="1"/>
  <c r="A11688" i="1"/>
  <c r="B11688" i="1"/>
  <c r="C11688" i="1"/>
  <c r="E11688" i="1"/>
  <c r="G11688" i="1"/>
  <c r="K11688" i="1"/>
  <c r="A11689" i="1"/>
  <c r="B11689" i="1"/>
  <c r="C11689" i="1"/>
  <c r="E11689" i="1"/>
  <c r="G11689" i="1"/>
  <c r="K11689" i="1"/>
  <c r="A11690" i="1"/>
  <c r="B11690" i="1"/>
  <c r="C11690" i="1"/>
  <c r="E11690" i="1"/>
  <c r="G11690" i="1"/>
  <c r="K11690" i="1"/>
  <c r="A11691" i="1"/>
  <c r="B11691" i="1"/>
  <c r="C11691" i="1"/>
  <c r="E11691" i="1"/>
  <c r="G11691" i="1"/>
  <c r="K11691" i="1"/>
  <c r="A11692" i="1"/>
  <c r="B11692" i="1"/>
  <c r="C11692" i="1"/>
  <c r="E11692" i="1"/>
  <c r="G11692" i="1"/>
  <c r="K11692" i="1"/>
  <c r="A11693" i="1"/>
  <c r="B11693" i="1"/>
  <c r="C11693" i="1"/>
  <c r="E11693" i="1"/>
  <c r="G11693" i="1"/>
  <c r="K11693" i="1"/>
  <c r="A11694" i="1"/>
  <c r="B11694" i="1"/>
  <c r="C11694" i="1"/>
  <c r="E11694" i="1"/>
  <c r="G11694" i="1"/>
  <c r="K11694" i="1"/>
  <c r="A11695" i="1"/>
  <c r="B11695" i="1"/>
  <c r="C11695" i="1"/>
  <c r="E11695" i="1"/>
  <c r="G11695" i="1"/>
  <c r="K11695" i="1"/>
  <c r="A11696" i="1"/>
  <c r="B11696" i="1"/>
  <c r="C11696" i="1"/>
  <c r="E11696" i="1"/>
  <c r="G11696" i="1"/>
  <c r="K11696" i="1"/>
  <c r="A11697" i="1"/>
  <c r="B11697" i="1"/>
  <c r="C11697" i="1"/>
  <c r="E11697" i="1"/>
  <c r="G11697" i="1"/>
  <c r="K11697" i="1"/>
  <c r="A11698" i="1"/>
  <c r="B11698" i="1"/>
  <c r="C11698" i="1"/>
  <c r="E11698" i="1"/>
  <c r="G11698" i="1"/>
  <c r="K11698" i="1"/>
  <c r="A11699" i="1"/>
  <c r="B11699" i="1"/>
  <c r="C11699" i="1"/>
  <c r="E11699" i="1"/>
  <c r="G11699" i="1"/>
  <c r="K11699" i="1"/>
  <c r="A11700" i="1"/>
  <c r="B11700" i="1"/>
  <c r="C11700" i="1"/>
  <c r="E11700" i="1"/>
  <c r="G11700" i="1"/>
  <c r="K11700" i="1"/>
  <c r="A11701" i="1"/>
  <c r="B11701" i="1"/>
  <c r="C11701" i="1"/>
  <c r="E11701" i="1"/>
  <c r="G11701" i="1"/>
  <c r="K11701" i="1"/>
  <c r="A11702" i="1"/>
  <c r="B11702" i="1"/>
  <c r="C11702" i="1"/>
  <c r="E11702" i="1"/>
  <c r="G11702" i="1"/>
  <c r="K11702" i="1"/>
  <c r="A11703" i="1"/>
  <c r="B11703" i="1"/>
  <c r="C11703" i="1"/>
  <c r="E11703" i="1"/>
  <c r="G11703" i="1"/>
  <c r="K11703" i="1"/>
  <c r="A11704" i="1"/>
  <c r="B11704" i="1"/>
  <c r="C11704" i="1"/>
  <c r="E11704" i="1"/>
  <c r="G11704" i="1"/>
  <c r="K11704" i="1"/>
  <c r="A11705" i="1"/>
  <c r="B11705" i="1"/>
  <c r="C11705" i="1"/>
  <c r="E11705" i="1"/>
  <c r="G11705" i="1"/>
  <c r="K11705" i="1"/>
  <c r="A11706" i="1"/>
  <c r="B11706" i="1"/>
  <c r="C11706" i="1"/>
  <c r="E11706" i="1"/>
  <c r="G11706" i="1"/>
  <c r="K11706" i="1"/>
  <c r="A11707" i="1"/>
  <c r="B11707" i="1"/>
  <c r="C11707" i="1"/>
  <c r="E11707" i="1"/>
  <c r="G11707" i="1"/>
  <c r="K11707" i="1"/>
  <c r="A11708" i="1"/>
  <c r="B11708" i="1"/>
  <c r="C11708" i="1"/>
  <c r="E11708" i="1"/>
  <c r="G11708" i="1"/>
  <c r="K11708" i="1"/>
  <c r="A11709" i="1"/>
  <c r="B11709" i="1"/>
  <c r="C11709" i="1"/>
  <c r="E11709" i="1"/>
  <c r="G11709" i="1"/>
  <c r="K11709" i="1"/>
  <c r="A11710" i="1"/>
  <c r="B11710" i="1"/>
  <c r="C11710" i="1"/>
  <c r="E11710" i="1"/>
  <c r="G11710" i="1"/>
  <c r="K11710" i="1"/>
  <c r="A11711" i="1"/>
  <c r="B11711" i="1"/>
  <c r="C11711" i="1"/>
  <c r="E11711" i="1"/>
  <c r="G11711" i="1"/>
  <c r="K11711" i="1"/>
  <c r="A11712" i="1"/>
  <c r="B11712" i="1"/>
  <c r="C11712" i="1"/>
  <c r="E11712" i="1"/>
  <c r="G11712" i="1"/>
  <c r="K11712" i="1"/>
  <c r="A11713" i="1"/>
  <c r="B11713" i="1"/>
  <c r="C11713" i="1"/>
  <c r="E11713" i="1"/>
  <c r="G11713" i="1"/>
  <c r="K11713" i="1"/>
  <c r="A11714" i="1"/>
  <c r="B11714" i="1"/>
  <c r="C11714" i="1"/>
  <c r="E11714" i="1"/>
  <c r="G11714" i="1"/>
  <c r="K11714" i="1"/>
  <c r="A11715" i="1"/>
  <c r="B11715" i="1"/>
  <c r="C11715" i="1"/>
  <c r="E11715" i="1"/>
  <c r="G11715" i="1"/>
  <c r="K11715" i="1"/>
  <c r="A11716" i="1"/>
  <c r="B11716" i="1"/>
  <c r="C11716" i="1"/>
  <c r="E11716" i="1"/>
  <c r="G11716" i="1"/>
  <c r="K11716" i="1"/>
  <c r="A11717" i="1"/>
  <c r="B11717" i="1"/>
  <c r="C11717" i="1"/>
  <c r="E11717" i="1"/>
  <c r="G11717" i="1"/>
  <c r="K11717" i="1"/>
  <c r="A11718" i="1"/>
  <c r="B11718" i="1"/>
  <c r="C11718" i="1"/>
  <c r="E11718" i="1"/>
  <c r="G11718" i="1"/>
  <c r="K11718" i="1"/>
  <c r="A11719" i="1"/>
  <c r="B11719" i="1"/>
  <c r="C11719" i="1"/>
  <c r="E11719" i="1"/>
  <c r="G11719" i="1"/>
  <c r="K11719" i="1"/>
  <c r="A11720" i="1"/>
  <c r="B11720" i="1"/>
  <c r="C11720" i="1"/>
  <c r="E11720" i="1"/>
  <c r="G11720" i="1"/>
  <c r="K11720" i="1"/>
  <c r="A11721" i="1"/>
  <c r="B11721" i="1"/>
  <c r="C11721" i="1"/>
  <c r="E11721" i="1"/>
  <c r="G11721" i="1"/>
  <c r="K11721" i="1"/>
  <c r="A11722" i="1"/>
  <c r="B11722" i="1"/>
  <c r="C11722" i="1"/>
  <c r="E11722" i="1"/>
  <c r="G11722" i="1"/>
  <c r="K11722" i="1"/>
  <c r="A11723" i="1"/>
  <c r="B11723" i="1"/>
  <c r="C11723" i="1"/>
  <c r="E11723" i="1"/>
  <c r="G11723" i="1"/>
  <c r="K11723" i="1"/>
  <c r="A11724" i="1"/>
  <c r="B11724" i="1"/>
  <c r="C11724" i="1"/>
  <c r="E11724" i="1"/>
  <c r="G11724" i="1"/>
  <c r="K11724" i="1"/>
  <c r="A11725" i="1"/>
  <c r="B11725" i="1"/>
  <c r="C11725" i="1"/>
  <c r="E11725" i="1"/>
  <c r="G11725" i="1"/>
  <c r="K11725" i="1"/>
  <c r="A11726" i="1"/>
  <c r="B11726" i="1"/>
  <c r="C11726" i="1"/>
  <c r="E11726" i="1"/>
  <c r="G11726" i="1"/>
  <c r="K11726" i="1"/>
  <c r="A11727" i="1"/>
  <c r="B11727" i="1"/>
  <c r="C11727" i="1"/>
  <c r="E11727" i="1"/>
  <c r="G11727" i="1"/>
  <c r="K11727" i="1"/>
  <c r="A11728" i="1"/>
  <c r="B11728" i="1"/>
  <c r="C11728" i="1"/>
  <c r="E11728" i="1"/>
  <c r="G11728" i="1"/>
  <c r="K11728" i="1"/>
  <c r="A11729" i="1"/>
  <c r="B11729" i="1"/>
  <c r="C11729" i="1"/>
  <c r="E11729" i="1"/>
  <c r="G11729" i="1"/>
  <c r="K11729" i="1"/>
  <c r="A11730" i="1"/>
  <c r="B11730" i="1"/>
  <c r="C11730" i="1"/>
  <c r="E11730" i="1"/>
  <c r="G11730" i="1"/>
  <c r="K11730" i="1"/>
  <c r="A11731" i="1"/>
  <c r="B11731" i="1"/>
  <c r="C11731" i="1"/>
  <c r="E11731" i="1"/>
  <c r="G11731" i="1"/>
  <c r="K11731" i="1"/>
  <c r="A11732" i="1"/>
  <c r="B11732" i="1"/>
  <c r="C11732" i="1"/>
  <c r="E11732" i="1"/>
  <c r="G11732" i="1"/>
  <c r="K11732" i="1"/>
  <c r="A11733" i="1"/>
  <c r="B11733" i="1"/>
  <c r="C11733" i="1"/>
  <c r="E11733" i="1"/>
  <c r="G11733" i="1"/>
  <c r="K11733" i="1"/>
  <c r="A11734" i="1"/>
  <c r="B11734" i="1"/>
  <c r="C11734" i="1"/>
  <c r="E11734" i="1"/>
  <c r="G11734" i="1"/>
  <c r="K11734" i="1"/>
  <c r="A11735" i="1"/>
  <c r="B11735" i="1"/>
  <c r="C11735" i="1"/>
  <c r="E11735" i="1"/>
  <c r="G11735" i="1"/>
  <c r="K11735" i="1"/>
  <c r="A11736" i="1"/>
  <c r="B11736" i="1"/>
  <c r="C11736" i="1"/>
  <c r="E11736" i="1"/>
  <c r="G11736" i="1"/>
  <c r="K11736" i="1"/>
  <c r="A11737" i="1"/>
  <c r="B11737" i="1"/>
  <c r="C11737" i="1"/>
  <c r="E11737" i="1"/>
  <c r="G11737" i="1"/>
  <c r="K11737" i="1"/>
  <c r="A11738" i="1"/>
  <c r="B11738" i="1"/>
  <c r="C11738" i="1"/>
  <c r="E11738" i="1"/>
  <c r="G11738" i="1"/>
  <c r="K11738" i="1"/>
  <c r="A11739" i="1"/>
  <c r="B11739" i="1"/>
  <c r="C11739" i="1"/>
  <c r="E11739" i="1"/>
  <c r="G11739" i="1"/>
  <c r="K11739" i="1"/>
  <c r="A11740" i="1"/>
  <c r="B11740" i="1"/>
  <c r="C11740" i="1"/>
  <c r="E11740" i="1"/>
  <c r="G11740" i="1"/>
  <c r="K11740" i="1"/>
  <c r="A11741" i="1"/>
  <c r="B11741" i="1"/>
  <c r="C11741" i="1"/>
  <c r="E11741" i="1"/>
  <c r="G11741" i="1"/>
  <c r="K11741" i="1"/>
  <c r="A11742" i="1"/>
  <c r="B11742" i="1"/>
  <c r="C11742" i="1"/>
  <c r="E11742" i="1"/>
  <c r="G11742" i="1"/>
  <c r="K11742" i="1"/>
  <c r="A11743" i="1"/>
  <c r="B11743" i="1"/>
  <c r="C11743" i="1"/>
  <c r="E11743" i="1"/>
  <c r="G11743" i="1"/>
  <c r="K11743" i="1"/>
  <c r="A11744" i="1"/>
  <c r="B11744" i="1"/>
  <c r="C11744" i="1"/>
  <c r="E11744" i="1"/>
  <c r="G11744" i="1"/>
  <c r="K11744" i="1"/>
  <c r="A11745" i="1"/>
  <c r="B11745" i="1"/>
  <c r="C11745" i="1"/>
  <c r="E11745" i="1"/>
  <c r="G11745" i="1"/>
  <c r="K11745" i="1"/>
  <c r="A11746" i="1"/>
  <c r="B11746" i="1"/>
  <c r="C11746" i="1"/>
  <c r="E11746" i="1"/>
  <c r="G11746" i="1"/>
  <c r="K11746" i="1"/>
  <c r="A11747" i="1"/>
  <c r="B11747" i="1"/>
  <c r="C11747" i="1"/>
  <c r="E11747" i="1"/>
  <c r="G11747" i="1"/>
  <c r="K11747" i="1"/>
  <c r="A11748" i="1"/>
  <c r="B11748" i="1"/>
  <c r="C11748" i="1"/>
  <c r="E11748" i="1"/>
  <c r="G11748" i="1"/>
  <c r="K11748" i="1"/>
  <c r="A11749" i="1"/>
  <c r="B11749" i="1"/>
  <c r="C11749" i="1"/>
  <c r="E11749" i="1"/>
  <c r="G11749" i="1"/>
  <c r="K11749" i="1"/>
  <c r="A11750" i="1"/>
  <c r="B11750" i="1"/>
  <c r="C11750" i="1"/>
  <c r="E11750" i="1"/>
  <c r="G11750" i="1"/>
  <c r="K11750" i="1"/>
  <c r="A11751" i="1"/>
  <c r="B11751" i="1"/>
  <c r="C11751" i="1"/>
  <c r="E11751" i="1"/>
  <c r="G11751" i="1"/>
  <c r="K11751" i="1"/>
  <c r="A11752" i="1"/>
  <c r="B11752" i="1"/>
  <c r="C11752" i="1"/>
  <c r="E11752" i="1"/>
  <c r="G11752" i="1"/>
  <c r="K11752" i="1"/>
  <c r="A11753" i="1"/>
  <c r="B11753" i="1"/>
  <c r="C11753" i="1"/>
  <c r="E11753" i="1"/>
  <c r="G11753" i="1"/>
  <c r="K11753" i="1"/>
  <c r="A11754" i="1"/>
  <c r="B11754" i="1"/>
  <c r="C11754" i="1"/>
  <c r="E11754" i="1"/>
  <c r="G11754" i="1"/>
  <c r="K11754" i="1"/>
  <c r="A11755" i="1"/>
  <c r="B11755" i="1"/>
  <c r="C11755" i="1"/>
  <c r="E11755" i="1"/>
  <c r="G11755" i="1"/>
  <c r="K11755" i="1"/>
  <c r="A11756" i="1"/>
  <c r="B11756" i="1"/>
  <c r="C11756" i="1"/>
  <c r="E11756" i="1"/>
  <c r="G11756" i="1"/>
  <c r="K11756" i="1"/>
  <c r="A11757" i="1"/>
  <c r="B11757" i="1"/>
  <c r="C11757" i="1"/>
  <c r="E11757" i="1"/>
  <c r="G11757" i="1"/>
  <c r="K11757" i="1"/>
  <c r="A11758" i="1"/>
  <c r="B11758" i="1"/>
  <c r="C11758" i="1"/>
  <c r="E11758" i="1"/>
  <c r="G11758" i="1"/>
  <c r="K11758" i="1"/>
  <c r="A11759" i="1"/>
  <c r="B11759" i="1"/>
  <c r="C11759" i="1"/>
  <c r="E11759" i="1"/>
  <c r="G11759" i="1"/>
  <c r="K11759" i="1"/>
  <c r="A11760" i="1"/>
  <c r="B11760" i="1"/>
  <c r="C11760" i="1"/>
  <c r="E11760" i="1"/>
  <c r="G11760" i="1"/>
  <c r="K11760" i="1"/>
  <c r="A11761" i="1"/>
  <c r="B11761" i="1"/>
  <c r="C11761" i="1"/>
  <c r="E11761" i="1"/>
  <c r="G11761" i="1"/>
  <c r="K11761" i="1"/>
  <c r="A11762" i="1"/>
  <c r="B11762" i="1"/>
  <c r="C11762" i="1"/>
  <c r="E11762" i="1"/>
  <c r="G11762" i="1"/>
  <c r="K11762" i="1"/>
  <c r="A11763" i="1"/>
  <c r="B11763" i="1"/>
  <c r="C11763" i="1"/>
  <c r="E11763" i="1"/>
  <c r="G11763" i="1"/>
  <c r="K11763" i="1"/>
  <c r="A11764" i="1"/>
  <c r="B11764" i="1"/>
  <c r="C11764" i="1"/>
  <c r="E11764" i="1"/>
  <c r="G11764" i="1"/>
  <c r="K11764" i="1"/>
  <c r="A11765" i="1"/>
  <c r="B11765" i="1"/>
  <c r="C11765" i="1"/>
  <c r="E11765" i="1"/>
  <c r="G11765" i="1"/>
  <c r="K11765" i="1"/>
  <c r="A11766" i="1"/>
  <c r="B11766" i="1"/>
  <c r="C11766" i="1"/>
  <c r="E11766" i="1"/>
  <c r="G11766" i="1"/>
  <c r="K11766" i="1"/>
  <c r="A11767" i="1"/>
  <c r="B11767" i="1"/>
  <c r="C11767" i="1"/>
  <c r="E11767" i="1"/>
  <c r="G11767" i="1"/>
  <c r="K11767" i="1"/>
  <c r="A11768" i="1"/>
  <c r="B11768" i="1"/>
  <c r="C11768" i="1"/>
  <c r="E11768" i="1"/>
  <c r="G11768" i="1"/>
  <c r="K11768" i="1"/>
  <c r="A11769" i="1"/>
  <c r="B11769" i="1"/>
  <c r="C11769" i="1"/>
  <c r="E11769" i="1"/>
  <c r="G11769" i="1"/>
  <c r="K11769" i="1"/>
  <c r="A11770" i="1"/>
  <c r="B11770" i="1"/>
  <c r="C11770" i="1"/>
  <c r="E11770" i="1"/>
  <c r="G11770" i="1"/>
  <c r="K11770" i="1"/>
  <c r="A11771" i="1"/>
  <c r="B11771" i="1"/>
  <c r="C11771" i="1"/>
  <c r="E11771" i="1"/>
  <c r="G11771" i="1"/>
  <c r="K11771" i="1"/>
  <c r="A11772" i="1"/>
  <c r="B11772" i="1"/>
  <c r="C11772" i="1"/>
  <c r="E11772" i="1"/>
  <c r="G11772" i="1"/>
  <c r="K11772" i="1"/>
  <c r="A11773" i="1"/>
  <c r="B11773" i="1"/>
  <c r="C11773" i="1"/>
  <c r="E11773" i="1"/>
  <c r="G11773" i="1"/>
  <c r="K11773" i="1"/>
  <c r="A11774" i="1"/>
  <c r="B11774" i="1"/>
  <c r="C11774" i="1"/>
  <c r="E11774" i="1"/>
  <c r="G11774" i="1"/>
  <c r="K11774" i="1"/>
  <c r="A11775" i="1"/>
  <c r="B11775" i="1"/>
  <c r="C11775" i="1"/>
  <c r="E11775" i="1"/>
  <c r="G11775" i="1"/>
  <c r="K11775" i="1"/>
  <c r="A11776" i="1"/>
  <c r="B11776" i="1"/>
  <c r="C11776" i="1"/>
  <c r="E11776" i="1"/>
  <c r="G11776" i="1"/>
  <c r="K11776" i="1"/>
  <c r="A11777" i="1"/>
  <c r="B11777" i="1"/>
  <c r="C11777" i="1"/>
  <c r="E11777" i="1"/>
  <c r="G11777" i="1"/>
  <c r="K11777" i="1"/>
  <c r="A11778" i="1"/>
  <c r="B11778" i="1"/>
  <c r="C11778" i="1"/>
  <c r="E11778" i="1"/>
  <c r="G11778" i="1"/>
  <c r="K11778" i="1"/>
  <c r="A11779" i="1"/>
  <c r="B11779" i="1"/>
  <c r="C11779" i="1"/>
  <c r="E11779" i="1"/>
  <c r="G11779" i="1"/>
  <c r="K11779" i="1"/>
  <c r="A11780" i="1"/>
  <c r="B11780" i="1"/>
  <c r="C11780" i="1"/>
  <c r="E11780" i="1"/>
  <c r="G11780" i="1"/>
  <c r="K11780" i="1"/>
  <c r="A11781" i="1"/>
  <c r="B11781" i="1"/>
  <c r="C11781" i="1"/>
  <c r="E11781" i="1"/>
  <c r="G11781" i="1"/>
  <c r="K11781" i="1"/>
  <c r="A11782" i="1"/>
  <c r="B11782" i="1"/>
  <c r="C11782" i="1"/>
  <c r="E11782" i="1"/>
  <c r="G11782" i="1"/>
  <c r="K11782" i="1"/>
  <c r="A11783" i="1"/>
  <c r="B11783" i="1"/>
  <c r="C11783" i="1"/>
  <c r="E11783" i="1"/>
  <c r="G11783" i="1"/>
  <c r="K11783" i="1"/>
  <c r="A11784" i="1"/>
  <c r="B11784" i="1"/>
  <c r="C11784" i="1"/>
  <c r="E11784" i="1"/>
  <c r="G11784" i="1"/>
  <c r="K11784" i="1"/>
  <c r="A11785" i="1"/>
  <c r="B11785" i="1"/>
  <c r="C11785" i="1"/>
  <c r="E11785" i="1"/>
  <c r="G11785" i="1"/>
  <c r="K11785" i="1"/>
  <c r="A11786" i="1"/>
  <c r="B11786" i="1"/>
  <c r="C11786" i="1"/>
  <c r="E11786" i="1"/>
  <c r="G11786" i="1"/>
  <c r="K11786" i="1"/>
  <c r="A11787" i="1"/>
  <c r="B11787" i="1"/>
  <c r="C11787" i="1"/>
  <c r="E11787" i="1"/>
  <c r="G11787" i="1"/>
  <c r="K11787" i="1"/>
  <c r="A11788" i="1"/>
  <c r="B11788" i="1"/>
  <c r="C11788" i="1"/>
  <c r="E11788" i="1"/>
  <c r="G11788" i="1"/>
  <c r="K11788" i="1"/>
  <c r="A11789" i="1"/>
  <c r="B11789" i="1"/>
  <c r="C11789" i="1"/>
  <c r="E11789" i="1"/>
  <c r="G11789" i="1"/>
  <c r="K11789" i="1"/>
  <c r="A11790" i="1"/>
  <c r="B11790" i="1"/>
  <c r="C11790" i="1"/>
  <c r="E11790" i="1"/>
  <c r="G11790" i="1"/>
  <c r="K11790" i="1"/>
  <c r="A11791" i="1"/>
  <c r="B11791" i="1"/>
  <c r="C11791" i="1"/>
  <c r="E11791" i="1"/>
  <c r="G11791" i="1"/>
  <c r="K11791" i="1"/>
  <c r="A11792" i="1"/>
  <c r="B11792" i="1"/>
  <c r="C11792" i="1"/>
  <c r="E11792" i="1"/>
  <c r="G11792" i="1"/>
  <c r="K11792" i="1"/>
  <c r="A11793" i="1"/>
  <c r="B11793" i="1"/>
  <c r="C11793" i="1"/>
  <c r="E11793" i="1"/>
  <c r="G11793" i="1"/>
  <c r="K11793" i="1"/>
  <c r="A11794" i="1"/>
  <c r="B11794" i="1"/>
  <c r="C11794" i="1"/>
  <c r="E11794" i="1"/>
  <c r="G11794" i="1"/>
  <c r="K11794" i="1"/>
  <c r="A11795" i="1"/>
  <c r="B11795" i="1"/>
  <c r="C11795" i="1"/>
  <c r="E11795" i="1"/>
  <c r="G11795" i="1"/>
  <c r="K11795" i="1"/>
  <c r="A11796" i="1"/>
  <c r="B11796" i="1"/>
  <c r="C11796" i="1"/>
  <c r="E11796" i="1"/>
  <c r="G11796" i="1"/>
  <c r="K11796" i="1"/>
  <c r="A11797" i="1"/>
  <c r="B11797" i="1"/>
  <c r="C11797" i="1"/>
  <c r="E11797" i="1"/>
  <c r="G11797" i="1"/>
  <c r="K11797" i="1"/>
  <c r="A11798" i="1"/>
  <c r="B11798" i="1"/>
  <c r="C11798" i="1"/>
  <c r="E11798" i="1"/>
  <c r="G11798" i="1"/>
  <c r="K11798" i="1"/>
  <c r="A11799" i="1"/>
  <c r="B11799" i="1"/>
  <c r="C11799" i="1"/>
  <c r="E11799" i="1"/>
  <c r="G11799" i="1"/>
  <c r="K11799" i="1"/>
  <c r="A11800" i="1"/>
  <c r="B11800" i="1"/>
  <c r="C11800" i="1"/>
  <c r="E11800" i="1"/>
  <c r="G11800" i="1"/>
  <c r="K11800" i="1"/>
  <c r="A11801" i="1"/>
  <c r="B11801" i="1"/>
  <c r="C11801" i="1"/>
  <c r="E11801" i="1"/>
  <c r="G11801" i="1"/>
  <c r="K11801" i="1"/>
  <c r="A11802" i="1"/>
  <c r="B11802" i="1"/>
  <c r="C11802" i="1"/>
  <c r="E11802" i="1"/>
  <c r="G11802" i="1"/>
  <c r="K11802" i="1"/>
  <c r="A11803" i="1"/>
  <c r="B11803" i="1"/>
  <c r="C11803" i="1"/>
  <c r="E11803" i="1"/>
  <c r="G11803" i="1"/>
  <c r="K11803" i="1"/>
  <c r="A11804" i="1"/>
  <c r="B11804" i="1"/>
  <c r="C11804" i="1"/>
  <c r="E11804" i="1"/>
  <c r="G11804" i="1"/>
  <c r="K11804" i="1"/>
  <c r="A11805" i="1"/>
  <c r="B11805" i="1"/>
  <c r="C11805" i="1"/>
  <c r="E11805" i="1"/>
  <c r="G11805" i="1"/>
  <c r="K11805" i="1"/>
  <c r="A11806" i="1"/>
  <c r="B11806" i="1"/>
  <c r="C11806" i="1"/>
  <c r="E11806" i="1"/>
  <c r="G11806" i="1"/>
  <c r="K11806" i="1"/>
  <c r="A11807" i="1"/>
  <c r="B11807" i="1"/>
  <c r="C11807" i="1"/>
  <c r="E11807" i="1"/>
  <c r="G11807" i="1"/>
  <c r="K11807" i="1"/>
  <c r="A11808" i="1"/>
  <c r="B11808" i="1"/>
  <c r="C11808" i="1"/>
  <c r="E11808" i="1"/>
  <c r="G11808" i="1"/>
  <c r="K11808" i="1"/>
  <c r="A11809" i="1"/>
  <c r="B11809" i="1"/>
  <c r="C11809" i="1"/>
  <c r="E11809" i="1"/>
  <c r="G11809" i="1"/>
  <c r="K11809" i="1"/>
  <c r="A11810" i="1"/>
  <c r="B11810" i="1"/>
  <c r="C11810" i="1"/>
  <c r="E11810" i="1"/>
  <c r="G11810" i="1"/>
  <c r="K11810" i="1"/>
  <c r="A11811" i="1"/>
  <c r="B11811" i="1"/>
  <c r="C11811" i="1"/>
  <c r="E11811" i="1"/>
  <c r="G11811" i="1"/>
  <c r="K11811" i="1"/>
  <c r="A11812" i="1"/>
  <c r="B11812" i="1"/>
  <c r="C11812" i="1"/>
  <c r="E11812" i="1"/>
  <c r="G11812" i="1"/>
  <c r="K11812" i="1"/>
  <c r="A11813" i="1"/>
  <c r="B11813" i="1"/>
  <c r="C11813" i="1"/>
  <c r="E11813" i="1"/>
  <c r="G11813" i="1"/>
  <c r="K11813" i="1"/>
  <c r="A11814" i="1"/>
  <c r="B11814" i="1"/>
  <c r="C11814" i="1"/>
  <c r="E11814" i="1"/>
  <c r="G11814" i="1"/>
  <c r="K11814" i="1"/>
  <c r="A11815" i="1"/>
  <c r="B11815" i="1"/>
  <c r="C11815" i="1"/>
  <c r="E11815" i="1"/>
  <c r="G11815" i="1"/>
  <c r="K11815" i="1"/>
  <c r="A11816" i="1"/>
  <c r="B11816" i="1"/>
  <c r="C11816" i="1"/>
  <c r="E11816" i="1"/>
  <c r="G11816" i="1"/>
  <c r="K11816" i="1"/>
  <c r="A11817" i="1"/>
  <c r="B11817" i="1"/>
  <c r="C11817" i="1"/>
  <c r="E11817" i="1"/>
  <c r="G11817" i="1"/>
  <c r="K11817" i="1"/>
  <c r="A11818" i="1"/>
  <c r="B11818" i="1"/>
  <c r="C11818" i="1"/>
  <c r="E11818" i="1"/>
  <c r="G11818" i="1"/>
  <c r="K11818" i="1"/>
  <c r="A11819" i="1"/>
  <c r="B11819" i="1"/>
  <c r="C11819" i="1"/>
  <c r="E11819" i="1"/>
  <c r="G11819" i="1"/>
  <c r="K11819" i="1"/>
  <c r="A11820" i="1"/>
  <c r="B11820" i="1"/>
  <c r="C11820" i="1"/>
  <c r="E11820" i="1"/>
  <c r="G11820" i="1"/>
  <c r="K11820" i="1"/>
  <c r="A11821" i="1"/>
  <c r="B11821" i="1"/>
  <c r="C11821" i="1"/>
  <c r="E11821" i="1"/>
  <c r="G11821" i="1"/>
  <c r="K11821" i="1"/>
  <c r="A11822" i="1"/>
  <c r="B11822" i="1"/>
  <c r="C11822" i="1"/>
  <c r="E11822" i="1"/>
  <c r="G11822" i="1"/>
  <c r="K11822" i="1"/>
  <c r="A11823" i="1"/>
  <c r="B11823" i="1"/>
  <c r="C11823" i="1"/>
  <c r="E11823" i="1"/>
  <c r="G11823" i="1"/>
  <c r="K11823" i="1"/>
  <c r="A11824" i="1"/>
  <c r="B11824" i="1"/>
  <c r="C11824" i="1"/>
  <c r="E11824" i="1"/>
  <c r="G11824" i="1"/>
  <c r="K11824" i="1"/>
  <c r="A11825" i="1"/>
  <c r="B11825" i="1"/>
  <c r="C11825" i="1"/>
  <c r="E11825" i="1"/>
  <c r="G11825" i="1"/>
  <c r="K11825" i="1"/>
  <c r="A11826" i="1"/>
  <c r="B11826" i="1"/>
  <c r="C11826" i="1"/>
  <c r="E11826" i="1"/>
  <c r="G11826" i="1"/>
  <c r="K11826" i="1"/>
  <c r="A11827" i="1"/>
  <c r="B11827" i="1"/>
  <c r="C11827" i="1"/>
  <c r="E11827" i="1"/>
  <c r="G11827" i="1"/>
  <c r="K11827" i="1"/>
  <c r="A11828" i="1"/>
  <c r="B11828" i="1"/>
  <c r="C11828" i="1"/>
  <c r="E11828" i="1"/>
  <c r="G11828" i="1"/>
  <c r="K11828" i="1"/>
  <c r="A11829" i="1"/>
  <c r="B11829" i="1"/>
  <c r="C11829" i="1"/>
  <c r="E11829" i="1"/>
  <c r="G11829" i="1"/>
  <c r="K11829" i="1"/>
  <c r="A11830" i="1"/>
  <c r="B11830" i="1"/>
  <c r="C11830" i="1"/>
  <c r="E11830" i="1"/>
  <c r="G11830" i="1"/>
  <c r="K11830" i="1"/>
  <c r="A11831" i="1"/>
  <c r="B11831" i="1"/>
  <c r="C11831" i="1"/>
  <c r="E11831" i="1"/>
  <c r="G11831" i="1"/>
  <c r="K11831" i="1"/>
  <c r="A11832" i="1"/>
  <c r="B11832" i="1"/>
  <c r="C11832" i="1"/>
  <c r="E11832" i="1"/>
  <c r="G11832" i="1"/>
  <c r="K11832" i="1"/>
  <c r="A11833" i="1"/>
  <c r="B11833" i="1"/>
  <c r="C11833" i="1"/>
  <c r="E11833" i="1"/>
  <c r="G11833" i="1"/>
  <c r="K11833" i="1"/>
  <c r="A11834" i="1"/>
  <c r="B11834" i="1"/>
  <c r="C11834" i="1"/>
  <c r="E11834" i="1"/>
  <c r="G11834" i="1"/>
  <c r="K11834" i="1"/>
  <c r="A11835" i="1"/>
  <c r="B11835" i="1"/>
  <c r="C11835" i="1"/>
  <c r="E11835" i="1"/>
  <c r="G11835" i="1"/>
  <c r="K11835" i="1"/>
  <c r="A11836" i="1"/>
  <c r="B11836" i="1"/>
  <c r="C11836" i="1"/>
  <c r="E11836" i="1"/>
  <c r="G11836" i="1"/>
  <c r="K11836" i="1"/>
  <c r="A11837" i="1"/>
  <c r="B11837" i="1"/>
  <c r="C11837" i="1"/>
  <c r="E11837" i="1"/>
  <c r="G11837" i="1"/>
  <c r="K11837" i="1"/>
  <c r="A11838" i="1"/>
  <c r="B11838" i="1"/>
  <c r="C11838" i="1"/>
  <c r="E11838" i="1"/>
  <c r="G11838" i="1"/>
  <c r="K11838" i="1"/>
  <c r="A11839" i="1"/>
  <c r="B11839" i="1"/>
  <c r="C11839" i="1"/>
  <c r="E11839" i="1"/>
  <c r="G11839" i="1"/>
  <c r="K11839" i="1"/>
  <c r="A11840" i="1"/>
  <c r="B11840" i="1"/>
  <c r="C11840" i="1"/>
  <c r="E11840" i="1"/>
  <c r="G11840" i="1"/>
  <c r="K11840" i="1"/>
  <c r="A11841" i="1"/>
  <c r="B11841" i="1"/>
  <c r="C11841" i="1"/>
  <c r="E11841" i="1"/>
  <c r="G11841" i="1"/>
  <c r="K11841" i="1"/>
  <c r="A11842" i="1"/>
  <c r="B11842" i="1"/>
  <c r="C11842" i="1"/>
  <c r="E11842" i="1"/>
  <c r="G11842" i="1"/>
  <c r="K11842" i="1"/>
  <c r="A11843" i="1"/>
  <c r="B11843" i="1"/>
  <c r="C11843" i="1"/>
  <c r="E11843" i="1"/>
  <c r="G11843" i="1"/>
  <c r="K11843" i="1"/>
  <c r="A11844" i="1"/>
  <c r="B11844" i="1"/>
  <c r="C11844" i="1"/>
  <c r="E11844" i="1"/>
  <c r="G11844" i="1"/>
  <c r="K11844" i="1"/>
  <c r="A11845" i="1"/>
  <c r="B11845" i="1"/>
  <c r="C11845" i="1"/>
  <c r="E11845" i="1"/>
  <c r="G11845" i="1"/>
  <c r="K11845" i="1"/>
  <c r="A11846" i="1"/>
  <c r="B11846" i="1"/>
  <c r="C11846" i="1"/>
  <c r="E11846" i="1"/>
  <c r="G11846" i="1"/>
  <c r="K11846" i="1"/>
  <c r="A11847" i="1"/>
  <c r="B11847" i="1"/>
  <c r="C11847" i="1"/>
  <c r="E11847" i="1"/>
  <c r="G11847" i="1"/>
  <c r="K11847" i="1"/>
  <c r="A11848" i="1"/>
  <c r="B11848" i="1"/>
  <c r="C11848" i="1"/>
  <c r="E11848" i="1"/>
  <c r="G11848" i="1"/>
  <c r="K11848" i="1"/>
  <c r="A11849" i="1"/>
  <c r="B11849" i="1"/>
  <c r="C11849" i="1"/>
  <c r="E11849" i="1"/>
  <c r="G11849" i="1"/>
  <c r="K11849" i="1"/>
  <c r="A11850" i="1"/>
  <c r="B11850" i="1"/>
  <c r="C11850" i="1"/>
  <c r="E11850" i="1"/>
  <c r="G11850" i="1"/>
  <c r="K11850" i="1"/>
  <c r="A11851" i="1"/>
  <c r="B11851" i="1"/>
  <c r="C11851" i="1"/>
  <c r="E11851" i="1"/>
  <c r="G11851" i="1"/>
  <c r="K11851" i="1"/>
  <c r="A11852" i="1"/>
  <c r="B11852" i="1"/>
  <c r="C11852" i="1"/>
  <c r="E11852" i="1"/>
  <c r="G11852" i="1"/>
  <c r="K11852" i="1"/>
  <c r="A11853" i="1"/>
  <c r="B11853" i="1"/>
  <c r="C11853" i="1"/>
  <c r="E11853" i="1"/>
  <c r="G11853" i="1"/>
  <c r="K11853" i="1"/>
  <c r="A11854" i="1"/>
  <c r="B11854" i="1"/>
  <c r="C11854" i="1"/>
  <c r="E11854" i="1"/>
  <c r="G11854" i="1"/>
  <c r="K11854" i="1"/>
  <c r="A11855" i="1"/>
  <c r="B11855" i="1"/>
  <c r="C11855" i="1"/>
  <c r="E11855" i="1"/>
  <c r="G11855" i="1"/>
  <c r="K11855" i="1"/>
  <c r="A11856" i="1"/>
  <c r="B11856" i="1"/>
  <c r="C11856" i="1"/>
  <c r="E11856" i="1"/>
  <c r="G11856" i="1"/>
  <c r="K11856" i="1"/>
  <c r="A11857" i="1"/>
  <c r="B11857" i="1"/>
  <c r="C11857" i="1"/>
  <c r="E11857" i="1"/>
  <c r="G11857" i="1"/>
  <c r="K11857" i="1"/>
  <c r="A11858" i="1"/>
  <c r="B11858" i="1"/>
  <c r="C11858" i="1"/>
  <c r="E11858" i="1"/>
  <c r="G11858" i="1"/>
  <c r="K11858" i="1"/>
  <c r="A11859" i="1"/>
  <c r="B11859" i="1"/>
  <c r="C11859" i="1"/>
  <c r="E11859" i="1"/>
  <c r="G11859" i="1"/>
  <c r="K11859" i="1"/>
  <c r="A11860" i="1"/>
  <c r="B11860" i="1"/>
  <c r="C11860" i="1"/>
  <c r="E11860" i="1"/>
  <c r="G11860" i="1"/>
  <c r="K11860" i="1"/>
  <c r="A11861" i="1"/>
  <c r="B11861" i="1"/>
  <c r="C11861" i="1"/>
  <c r="E11861" i="1"/>
  <c r="G11861" i="1"/>
  <c r="K11861" i="1"/>
  <c r="A11862" i="1"/>
  <c r="B11862" i="1"/>
  <c r="C11862" i="1"/>
  <c r="E11862" i="1"/>
  <c r="G11862" i="1"/>
  <c r="K11862" i="1"/>
  <c r="A11863" i="1"/>
  <c r="B11863" i="1"/>
  <c r="C11863" i="1"/>
  <c r="E11863" i="1"/>
  <c r="G11863" i="1"/>
  <c r="K11863" i="1"/>
  <c r="A11864" i="1"/>
  <c r="B11864" i="1"/>
  <c r="C11864" i="1"/>
  <c r="E11864" i="1"/>
  <c r="G11864" i="1"/>
  <c r="K11864" i="1"/>
  <c r="A11865" i="1"/>
  <c r="B11865" i="1"/>
  <c r="C11865" i="1"/>
  <c r="E11865" i="1"/>
  <c r="G11865" i="1"/>
  <c r="K11865" i="1"/>
  <c r="A11866" i="1"/>
  <c r="B11866" i="1"/>
  <c r="C11866" i="1"/>
  <c r="E11866" i="1"/>
  <c r="G11866" i="1"/>
  <c r="K11866" i="1"/>
  <c r="A11867" i="1"/>
  <c r="B11867" i="1"/>
  <c r="C11867" i="1"/>
  <c r="E11867" i="1"/>
  <c r="G11867" i="1"/>
  <c r="K11867" i="1"/>
  <c r="A11868" i="1"/>
  <c r="B11868" i="1"/>
  <c r="C11868" i="1"/>
  <c r="E11868" i="1"/>
  <c r="G11868" i="1"/>
  <c r="K11868" i="1"/>
  <c r="A11869" i="1"/>
  <c r="B11869" i="1"/>
  <c r="C11869" i="1"/>
  <c r="E11869" i="1"/>
  <c r="G11869" i="1"/>
  <c r="K11869" i="1"/>
  <c r="A11870" i="1"/>
  <c r="B11870" i="1"/>
  <c r="C11870" i="1"/>
  <c r="E11870" i="1"/>
  <c r="G11870" i="1"/>
  <c r="K11870" i="1"/>
  <c r="A11871" i="1"/>
  <c r="B11871" i="1"/>
  <c r="C11871" i="1"/>
  <c r="E11871" i="1"/>
  <c r="G11871" i="1"/>
  <c r="K11871" i="1"/>
  <c r="A11872" i="1"/>
  <c r="B11872" i="1"/>
  <c r="C11872" i="1"/>
  <c r="E11872" i="1"/>
  <c r="G11872" i="1"/>
  <c r="K11872" i="1"/>
  <c r="A11873" i="1"/>
  <c r="B11873" i="1"/>
  <c r="C11873" i="1"/>
  <c r="E11873" i="1"/>
  <c r="G11873" i="1"/>
  <c r="K11873" i="1"/>
  <c r="A11874" i="1"/>
  <c r="B11874" i="1"/>
  <c r="C11874" i="1"/>
  <c r="E11874" i="1"/>
  <c r="G11874" i="1"/>
  <c r="K11874" i="1"/>
  <c r="A11875" i="1"/>
  <c r="B11875" i="1"/>
  <c r="C11875" i="1"/>
  <c r="E11875" i="1"/>
  <c r="G11875" i="1"/>
  <c r="K11875" i="1"/>
  <c r="A11876" i="1"/>
  <c r="B11876" i="1"/>
  <c r="C11876" i="1"/>
  <c r="E11876" i="1"/>
  <c r="G11876" i="1"/>
  <c r="K11876" i="1"/>
  <c r="A11877" i="1"/>
  <c r="B11877" i="1"/>
  <c r="C11877" i="1"/>
  <c r="E11877" i="1"/>
  <c r="G11877" i="1"/>
  <c r="K11877" i="1"/>
  <c r="A11878" i="1"/>
  <c r="B11878" i="1"/>
  <c r="C11878" i="1"/>
  <c r="E11878" i="1"/>
  <c r="G11878" i="1"/>
  <c r="K11878" i="1"/>
  <c r="A11879" i="1"/>
  <c r="B11879" i="1"/>
  <c r="C11879" i="1"/>
  <c r="E11879" i="1"/>
  <c r="G11879" i="1"/>
  <c r="K11879" i="1"/>
  <c r="A11880" i="1"/>
  <c r="B11880" i="1"/>
  <c r="C11880" i="1"/>
  <c r="E11880" i="1"/>
  <c r="G11880" i="1"/>
  <c r="K11880" i="1"/>
  <c r="A11881" i="1"/>
  <c r="B11881" i="1"/>
  <c r="C11881" i="1"/>
  <c r="E11881" i="1"/>
  <c r="G11881" i="1"/>
  <c r="K11881" i="1"/>
  <c r="A11882" i="1"/>
  <c r="B11882" i="1"/>
  <c r="C11882" i="1"/>
  <c r="E11882" i="1"/>
  <c r="G11882" i="1"/>
  <c r="K11882" i="1"/>
  <c r="A11883" i="1"/>
  <c r="B11883" i="1"/>
  <c r="C11883" i="1"/>
  <c r="E11883" i="1"/>
  <c r="G11883" i="1"/>
  <c r="K11883" i="1"/>
  <c r="A11884" i="1"/>
  <c r="B11884" i="1"/>
  <c r="C11884" i="1"/>
  <c r="E11884" i="1"/>
  <c r="G11884" i="1"/>
  <c r="K11884" i="1"/>
  <c r="A11885" i="1"/>
  <c r="B11885" i="1"/>
  <c r="C11885" i="1"/>
  <c r="E11885" i="1"/>
  <c r="G11885" i="1"/>
  <c r="K11885" i="1"/>
  <c r="A11886" i="1"/>
  <c r="B11886" i="1"/>
  <c r="C11886" i="1"/>
  <c r="E11886" i="1"/>
  <c r="G11886" i="1"/>
  <c r="K11886" i="1"/>
  <c r="A11887" i="1"/>
  <c r="B11887" i="1"/>
  <c r="C11887" i="1"/>
  <c r="E11887" i="1"/>
  <c r="G11887" i="1"/>
  <c r="K11887" i="1"/>
  <c r="A11888" i="1"/>
  <c r="B11888" i="1"/>
  <c r="C11888" i="1"/>
  <c r="E11888" i="1"/>
  <c r="G11888" i="1"/>
  <c r="K11888" i="1"/>
  <c r="A11889" i="1"/>
  <c r="B11889" i="1"/>
  <c r="C11889" i="1"/>
  <c r="E11889" i="1"/>
  <c r="G11889" i="1"/>
  <c r="K11889" i="1"/>
  <c r="A11890" i="1"/>
  <c r="B11890" i="1"/>
  <c r="C11890" i="1"/>
  <c r="E11890" i="1"/>
  <c r="G11890" i="1"/>
  <c r="K11890" i="1"/>
  <c r="A11891" i="1"/>
  <c r="B11891" i="1"/>
  <c r="C11891" i="1"/>
  <c r="E11891" i="1"/>
  <c r="G11891" i="1"/>
  <c r="K11891" i="1"/>
  <c r="A11892" i="1"/>
  <c r="B11892" i="1"/>
  <c r="C11892" i="1"/>
  <c r="E11892" i="1"/>
  <c r="G11892" i="1"/>
  <c r="K11892" i="1"/>
  <c r="A11893" i="1"/>
  <c r="B11893" i="1"/>
  <c r="C11893" i="1"/>
  <c r="E11893" i="1"/>
  <c r="G11893" i="1"/>
  <c r="K11893" i="1"/>
  <c r="A11894" i="1"/>
  <c r="B11894" i="1"/>
  <c r="C11894" i="1"/>
  <c r="E11894" i="1"/>
  <c r="G11894" i="1"/>
  <c r="K11894" i="1"/>
  <c r="A11895" i="1"/>
  <c r="B11895" i="1"/>
  <c r="C11895" i="1"/>
  <c r="E11895" i="1"/>
  <c r="G11895" i="1"/>
  <c r="K11895" i="1"/>
  <c r="A11896" i="1"/>
  <c r="B11896" i="1"/>
  <c r="C11896" i="1"/>
  <c r="E11896" i="1"/>
  <c r="G11896" i="1"/>
  <c r="K11896" i="1"/>
  <c r="A11897" i="1"/>
  <c r="B11897" i="1"/>
  <c r="C11897" i="1"/>
  <c r="E11897" i="1"/>
  <c r="G11897" i="1"/>
  <c r="K11897" i="1"/>
  <c r="A11898" i="1"/>
  <c r="B11898" i="1"/>
  <c r="C11898" i="1"/>
  <c r="E11898" i="1"/>
  <c r="G11898" i="1"/>
  <c r="K11898" i="1"/>
  <c r="A11899" i="1"/>
  <c r="B11899" i="1"/>
  <c r="C11899" i="1"/>
  <c r="E11899" i="1"/>
  <c r="G11899" i="1"/>
  <c r="K11899" i="1"/>
  <c r="A11900" i="1"/>
  <c r="B11900" i="1"/>
  <c r="C11900" i="1"/>
  <c r="E11900" i="1"/>
  <c r="G11900" i="1"/>
  <c r="K11900" i="1"/>
  <c r="A11901" i="1"/>
  <c r="B11901" i="1"/>
  <c r="C11901" i="1"/>
  <c r="E11901" i="1"/>
  <c r="G11901" i="1"/>
  <c r="K11901" i="1"/>
  <c r="A11902" i="1"/>
  <c r="B11902" i="1"/>
  <c r="C11902" i="1"/>
  <c r="E11902" i="1"/>
  <c r="G11902" i="1"/>
  <c r="K11902" i="1"/>
  <c r="A11903" i="1"/>
  <c r="B11903" i="1"/>
  <c r="C11903" i="1"/>
  <c r="E11903" i="1"/>
  <c r="G11903" i="1"/>
  <c r="K11903" i="1"/>
  <c r="A11904" i="1"/>
  <c r="B11904" i="1"/>
  <c r="C11904" i="1"/>
  <c r="E11904" i="1"/>
  <c r="G11904" i="1"/>
  <c r="K11904" i="1"/>
  <c r="A11905" i="1"/>
  <c r="B11905" i="1"/>
  <c r="C11905" i="1"/>
  <c r="E11905" i="1"/>
  <c r="G11905" i="1"/>
  <c r="K11905" i="1"/>
  <c r="A11906" i="1"/>
  <c r="B11906" i="1"/>
  <c r="C11906" i="1"/>
  <c r="E11906" i="1"/>
  <c r="G11906" i="1"/>
  <c r="K11906" i="1"/>
  <c r="A11907" i="1"/>
  <c r="B11907" i="1"/>
  <c r="C11907" i="1"/>
  <c r="E11907" i="1"/>
  <c r="G11907" i="1"/>
  <c r="K11907" i="1"/>
  <c r="A11908" i="1"/>
  <c r="B11908" i="1"/>
  <c r="C11908" i="1"/>
  <c r="E11908" i="1"/>
  <c r="G11908" i="1"/>
  <c r="K11908" i="1"/>
  <c r="A11909" i="1"/>
  <c r="B11909" i="1"/>
  <c r="C11909" i="1"/>
  <c r="E11909" i="1"/>
  <c r="G11909" i="1"/>
  <c r="K11909" i="1"/>
  <c r="A11910" i="1"/>
  <c r="B11910" i="1"/>
  <c r="C11910" i="1"/>
  <c r="E11910" i="1"/>
  <c r="G11910" i="1"/>
  <c r="K11910" i="1"/>
  <c r="A11911" i="1"/>
  <c r="B11911" i="1"/>
  <c r="C11911" i="1"/>
  <c r="E11911" i="1"/>
  <c r="G11911" i="1"/>
  <c r="K11911" i="1"/>
  <c r="A11912" i="1"/>
  <c r="B11912" i="1"/>
  <c r="C11912" i="1"/>
  <c r="E11912" i="1"/>
  <c r="G11912" i="1"/>
  <c r="K11912" i="1"/>
  <c r="A11913" i="1"/>
  <c r="B11913" i="1"/>
  <c r="C11913" i="1"/>
  <c r="E11913" i="1"/>
  <c r="G11913" i="1"/>
  <c r="K11913" i="1"/>
  <c r="A11914" i="1"/>
  <c r="B11914" i="1"/>
  <c r="C11914" i="1"/>
  <c r="E11914" i="1"/>
  <c r="G11914" i="1"/>
  <c r="K11914" i="1"/>
  <c r="A11915" i="1"/>
  <c r="B11915" i="1"/>
  <c r="C11915" i="1"/>
  <c r="E11915" i="1"/>
  <c r="G11915" i="1"/>
  <c r="K11915" i="1"/>
  <c r="A11916" i="1"/>
  <c r="B11916" i="1"/>
  <c r="C11916" i="1"/>
  <c r="E11916" i="1"/>
  <c r="G11916" i="1"/>
  <c r="K11916" i="1"/>
  <c r="A11917" i="1"/>
  <c r="B11917" i="1"/>
  <c r="C11917" i="1"/>
  <c r="E11917" i="1"/>
  <c r="G11917" i="1"/>
  <c r="K11917" i="1"/>
  <c r="A11918" i="1"/>
  <c r="B11918" i="1"/>
  <c r="C11918" i="1"/>
  <c r="E11918" i="1"/>
  <c r="G11918" i="1"/>
  <c r="K11918" i="1"/>
  <c r="A11919" i="1"/>
  <c r="B11919" i="1"/>
  <c r="C11919" i="1"/>
  <c r="E11919" i="1"/>
  <c r="G11919" i="1"/>
  <c r="K11919" i="1"/>
  <c r="A11920" i="1"/>
  <c r="B11920" i="1"/>
  <c r="C11920" i="1"/>
  <c r="E11920" i="1"/>
  <c r="G11920" i="1"/>
  <c r="K11920" i="1"/>
  <c r="A11921" i="1"/>
  <c r="B11921" i="1"/>
  <c r="C11921" i="1"/>
  <c r="E11921" i="1"/>
  <c r="G11921" i="1"/>
  <c r="K11921" i="1"/>
  <c r="A11922" i="1"/>
  <c r="B11922" i="1"/>
  <c r="C11922" i="1"/>
  <c r="E11922" i="1"/>
  <c r="G11922" i="1"/>
  <c r="K11922" i="1"/>
  <c r="A11923" i="1"/>
  <c r="B11923" i="1"/>
  <c r="C11923" i="1"/>
  <c r="E11923" i="1"/>
  <c r="G11923" i="1"/>
  <c r="K11923" i="1"/>
  <c r="A11924" i="1"/>
  <c r="B11924" i="1"/>
  <c r="C11924" i="1"/>
  <c r="E11924" i="1"/>
  <c r="G11924" i="1"/>
  <c r="K11924" i="1"/>
  <c r="A11925" i="1"/>
  <c r="B11925" i="1"/>
  <c r="C11925" i="1"/>
  <c r="E11925" i="1"/>
  <c r="G11925" i="1"/>
  <c r="K11925" i="1"/>
  <c r="A11926" i="1"/>
  <c r="B11926" i="1"/>
  <c r="C11926" i="1"/>
  <c r="E11926" i="1"/>
  <c r="G11926" i="1"/>
  <c r="K11926" i="1"/>
  <c r="A11927" i="1"/>
  <c r="B11927" i="1"/>
  <c r="C11927" i="1"/>
  <c r="E11927" i="1"/>
  <c r="G11927" i="1"/>
  <c r="K11927" i="1"/>
  <c r="A11928" i="1"/>
  <c r="B11928" i="1"/>
  <c r="C11928" i="1"/>
  <c r="E11928" i="1"/>
  <c r="G11928" i="1"/>
  <c r="K11928" i="1"/>
  <c r="A11929" i="1"/>
  <c r="B11929" i="1"/>
  <c r="C11929" i="1"/>
  <c r="E11929" i="1"/>
  <c r="G11929" i="1"/>
  <c r="K11929" i="1"/>
  <c r="A11930" i="1"/>
  <c r="B11930" i="1"/>
  <c r="C11930" i="1"/>
  <c r="E11930" i="1"/>
  <c r="G11930" i="1"/>
  <c r="K11930" i="1"/>
  <c r="A11931" i="1"/>
  <c r="B11931" i="1"/>
  <c r="C11931" i="1"/>
  <c r="E11931" i="1"/>
  <c r="G11931" i="1"/>
  <c r="K11931" i="1"/>
  <c r="A11932" i="1"/>
  <c r="B11932" i="1"/>
  <c r="C11932" i="1"/>
  <c r="E11932" i="1"/>
  <c r="G11932" i="1"/>
  <c r="K11932" i="1"/>
  <c r="A11933" i="1"/>
  <c r="B11933" i="1"/>
  <c r="C11933" i="1"/>
  <c r="E11933" i="1"/>
  <c r="G11933" i="1"/>
  <c r="K11933" i="1"/>
  <c r="A11934" i="1"/>
  <c r="B11934" i="1"/>
  <c r="C11934" i="1"/>
  <c r="E11934" i="1"/>
  <c r="G11934" i="1"/>
  <c r="K11934" i="1"/>
  <c r="A11935" i="1"/>
  <c r="B11935" i="1"/>
  <c r="C11935" i="1"/>
  <c r="E11935" i="1"/>
  <c r="G11935" i="1"/>
  <c r="K11935" i="1"/>
  <c r="A11936" i="1"/>
  <c r="B11936" i="1"/>
  <c r="C11936" i="1"/>
  <c r="E11936" i="1"/>
  <c r="G11936" i="1"/>
  <c r="K11936" i="1"/>
  <c r="A11937" i="1"/>
  <c r="B11937" i="1"/>
  <c r="C11937" i="1"/>
  <c r="E11937" i="1"/>
  <c r="G11937" i="1"/>
  <c r="K11937" i="1"/>
  <c r="A11938" i="1"/>
  <c r="B11938" i="1"/>
  <c r="C11938" i="1"/>
  <c r="E11938" i="1"/>
  <c r="G11938" i="1"/>
  <c r="K11938" i="1"/>
  <c r="A11939" i="1"/>
  <c r="B11939" i="1"/>
  <c r="C11939" i="1"/>
  <c r="E11939" i="1"/>
  <c r="G11939" i="1"/>
  <c r="K11939" i="1"/>
  <c r="A11940" i="1"/>
  <c r="B11940" i="1"/>
  <c r="C11940" i="1"/>
  <c r="E11940" i="1"/>
  <c r="G11940" i="1"/>
  <c r="K11940" i="1"/>
  <c r="A11941" i="1"/>
  <c r="B11941" i="1"/>
  <c r="C11941" i="1"/>
  <c r="E11941" i="1"/>
  <c r="G11941" i="1"/>
  <c r="K11941" i="1"/>
  <c r="A11942" i="1"/>
  <c r="B11942" i="1"/>
  <c r="C11942" i="1"/>
  <c r="E11942" i="1"/>
  <c r="G11942" i="1"/>
  <c r="K11942" i="1"/>
  <c r="A11943" i="1"/>
  <c r="B11943" i="1"/>
  <c r="C11943" i="1"/>
  <c r="E11943" i="1"/>
  <c r="G11943" i="1"/>
  <c r="K11943" i="1"/>
  <c r="A11944" i="1"/>
  <c r="B11944" i="1"/>
  <c r="C11944" i="1"/>
  <c r="E11944" i="1"/>
  <c r="G11944" i="1"/>
  <c r="K11944" i="1"/>
  <c r="A11945" i="1"/>
  <c r="B11945" i="1"/>
  <c r="C11945" i="1"/>
  <c r="E11945" i="1"/>
  <c r="G11945" i="1"/>
  <c r="K11945" i="1"/>
  <c r="A11946" i="1"/>
  <c r="B11946" i="1"/>
  <c r="C11946" i="1"/>
  <c r="E11946" i="1"/>
  <c r="G11946" i="1"/>
  <c r="K11946" i="1"/>
  <c r="A11947" i="1"/>
  <c r="B11947" i="1"/>
  <c r="C11947" i="1"/>
  <c r="E11947" i="1"/>
  <c r="G11947" i="1"/>
  <c r="K11947" i="1"/>
  <c r="A11948" i="1"/>
  <c r="B11948" i="1"/>
  <c r="C11948" i="1"/>
  <c r="E11948" i="1"/>
  <c r="G11948" i="1"/>
  <c r="K11948" i="1"/>
  <c r="A11949" i="1"/>
  <c r="B11949" i="1"/>
  <c r="C11949" i="1"/>
  <c r="E11949" i="1"/>
  <c r="G11949" i="1"/>
  <c r="K11949" i="1"/>
  <c r="A11950" i="1"/>
  <c r="B11950" i="1"/>
  <c r="C11950" i="1"/>
  <c r="E11950" i="1"/>
  <c r="G11950" i="1"/>
  <c r="K11950" i="1"/>
  <c r="A11951" i="1"/>
  <c r="B11951" i="1"/>
  <c r="C11951" i="1"/>
  <c r="E11951" i="1"/>
  <c r="G11951" i="1"/>
  <c r="K11951" i="1"/>
  <c r="A11952" i="1"/>
  <c r="B11952" i="1"/>
  <c r="C11952" i="1"/>
  <c r="E11952" i="1"/>
  <c r="G11952" i="1"/>
  <c r="K11952" i="1"/>
  <c r="A11953" i="1"/>
  <c r="B11953" i="1"/>
  <c r="C11953" i="1"/>
  <c r="E11953" i="1"/>
  <c r="G11953" i="1"/>
  <c r="K11953" i="1"/>
  <c r="A11954" i="1"/>
  <c r="B11954" i="1"/>
  <c r="C11954" i="1"/>
  <c r="E11954" i="1"/>
  <c r="G11954" i="1"/>
  <c r="K11954" i="1"/>
  <c r="A11955" i="1"/>
  <c r="B11955" i="1"/>
  <c r="C11955" i="1"/>
  <c r="E11955" i="1"/>
  <c r="G11955" i="1"/>
  <c r="K11955" i="1"/>
  <c r="A11956" i="1"/>
  <c r="B11956" i="1"/>
  <c r="C11956" i="1"/>
  <c r="E11956" i="1"/>
  <c r="G11956" i="1"/>
  <c r="K11956" i="1"/>
  <c r="A11957" i="1"/>
  <c r="B11957" i="1"/>
  <c r="C11957" i="1"/>
  <c r="E11957" i="1"/>
  <c r="G11957" i="1"/>
  <c r="K11957" i="1"/>
  <c r="A11958" i="1"/>
  <c r="B11958" i="1"/>
  <c r="C11958" i="1"/>
  <c r="E11958" i="1"/>
  <c r="G11958" i="1"/>
  <c r="K11958" i="1"/>
  <c r="A11959" i="1"/>
  <c r="B11959" i="1"/>
  <c r="C11959" i="1"/>
  <c r="E11959" i="1"/>
  <c r="G11959" i="1"/>
  <c r="K11959" i="1"/>
  <c r="A11960" i="1"/>
  <c r="B11960" i="1"/>
  <c r="C11960" i="1"/>
  <c r="E11960" i="1"/>
  <c r="G11960" i="1"/>
  <c r="K11960" i="1"/>
  <c r="A11961" i="1"/>
  <c r="B11961" i="1"/>
  <c r="C11961" i="1"/>
  <c r="E11961" i="1"/>
  <c r="G11961" i="1"/>
  <c r="K11961" i="1"/>
  <c r="A11962" i="1"/>
  <c r="B11962" i="1"/>
  <c r="C11962" i="1"/>
  <c r="E11962" i="1"/>
  <c r="G11962" i="1"/>
  <c r="K11962" i="1"/>
  <c r="A11963" i="1"/>
  <c r="B11963" i="1"/>
  <c r="C11963" i="1"/>
  <c r="E11963" i="1"/>
  <c r="G11963" i="1"/>
  <c r="K11963" i="1"/>
  <c r="A11964" i="1"/>
  <c r="B11964" i="1"/>
  <c r="C11964" i="1"/>
  <c r="E11964" i="1"/>
  <c r="G11964" i="1"/>
  <c r="K11964" i="1"/>
  <c r="A11965" i="1"/>
  <c r="B11965" i="1"/>
  <c r="C11965" i="1"/>
  <c r="E11965" i="1"/>
  <c r="G11965" i="1"/>
  <c r="K11965" i="1"/>
  <c r="A11966" i="1"/>
  <c r="B11966" i="1"/>
  <c r="C11966" i="1"/>
  <c r="E11966" i="1"/>
  <c r="G11966" i="1"/>
  <c r="K11966" i="1"/>
  <c r="A11967" i="1"/>
  <c r="B11967" i="1"/>
  <c r="C11967" i="1"/>
  <c r="E11967" i="1"/>
  <c r="G11967" i="1"/>
  <c r="K11967" i="1"/>
  <c r="A11968" i="1"/>
  <c r="B11968" i="1"/>
  <c r="C11968" i="1"/>
  <c r="E11968" i="1"/>
  <c r="G11968" i="1"/>
  <c r="K11968" i="1"/>
  <c r="A11969" i="1"/>
  <c r="B11969" i="1"/>
  <c r="C11969" i="1"/>
  <c r="E11969" i="1"/>
  <c r="G11969" i="1"/>
  <c r="K11969" i="1"/>
  <c r="A11970" i="1"/>
  <c r="B11970" i="1"/>
  <c r="C11970" i="1"/>
  <c r="E11970" i="1"/>
  <c r="G11970" i="1"/>
  <c r="K11970" i="1"/>
  <c r="A11971" i="1"/>
  <c r="B11971" i="1"/>
  <c r="C11971" i="1"/>
  <c r="E11971" i="1"/>
  <c r="G11971" i="1"/>
  <c r="K11971" i="1"/>
  <c r="A11972" i="1"/>
  <c r="B11972" i="1"/>
  <c r="C11972" i="1"/>
  <c r="E11972" i="1"/>
  <c r="G11972" i="1"/>
  <c r="K11972" i="1"/>
  <c r="A11973" i="1"/>
  <c r="B11973" i="1"/>
  <c r="C11973" i="1"/>
  <c r="E11973" i="1"/>
  <c r="G11973" i="1"/>
  <c r="K11973" i="1"/>
  <c r="A11974" i="1"/>
  <c r="B11974" i="1"/>
  <c r="C11974" i="1"/>
  <c r="E11974" i="1"/>
  <c r="G11974" i="1"/>
  <c r="K11974" i="1"/>
  <c r="A11975" i="1"/>
  <c r="B11975" i="1"/>
  <c r="C11975" i="1"/>
  <c r="E11975" i="1"/>
  <c r="G11975" i="1"/>
  <c r="K11975" i="1"/>
  <c r="A11976" i="1"/>
  <c r="B11976" i="1"/>
  <c r="C11976" i="1"/>
  <c r="E11976" i="1"/>
  <c r="G11976" i="1"/>
  <c r="K11976" i="1"/>
  <c r="A11977" i="1"/>
  <c r="B11977" i="1"/>
  <c r="C11977" i="1"/>
  <c r="E11977" i="1"/>
  <c r="G11977" i="1"/>
  <c r="K11977" i="1"/>
  <c r="A11978" i="1"/>
  <c r="B11978" i="1"/>
  <c r="C11978" i="1"/>
  <c r="E11978" i="1"/>
  <c r="G11978" i="1"/>
  <c r="K11978" i="1"/>
  <c r="A11979" i="1"/>
  <c r="B11979" i="1"/>
  <c r="C11979" i="1"/>
  <c r="E11979" i="1"/>
  <c r="G11979" i="1"/>
  <c r="K11979" i="1"/>
  <c r="A11980" i="1"/>
  <c r="B11980" i="1"/>
  <c r="C11980" i="1"/>
  <c r="E11980" i="1"/>
  <c r="G11980" i="1"/>
  <c r="K11980" i="1"/>
  <c r="A11981" i="1"/>
  <c r="B11981" i="1"/>
  <c r="C11981" i="1"/>
  <c r="E11981" i="1"/>
  <c r="G11981" i="1"/>
  <c r="K11981" i="1"/>
  <c r="A11982" i="1"/>
  <c r="B11982" i="1"/>
  <c r="C11982" i="1"/>
  <c r="E11982" i="1"/>
  <c r="G11982" i="1"/>
  <c r="K11982" i="1"/>
  <c r="A11983" i="1"/>
  <c r="B11983" i="1"/>
  <c r="C11983" i="1"/>
  <c r="E11983" i="1"/>
  <c r="G11983" i="1"/>
  <c r="K11983" i="1"/>
  <c r="A11984" i="1"/>
  <c r="B11984" i="1"/>
  <c r="C11984" i="1"/>
  <c r="E11984" i="1"/>
  <c r="G11984" i="1"/>
  <c r="K11984" i="1"/>
  <c r="A11985" i="1"/>
  <c r="B11985" i="1"/>
  <c r="C11985" i="1"/>
  <c r="E11985" i="1"/>
  <c r="G11985" i="1"/>
  <c r="K11985" i="1"/>
  <c r="A11986" i="1"/>
  <c r="B11986" i="1"/>
  <c r="C11986" i="1"/>
  <c r="E11986" i="1"/>
  <c r="G11986" i="1"/>
  <c r="K11986" i="1"/>
  <c r="A11987" i="1"/>
  <c r="B11987" i="1"/>
  <c r="C11987" i="1"/>
  <c r="E11987" i="1"/>
  <c r="G11987" i="1"/>
  <c r="K11987" i="1"/>
  <c r="A11988" i="1"/>
  <c r="B11988" i="1"/>
  <c r="C11988" i="1"/>
  <c r="E11988" i="1"/>
  <c r="G11988" i="1"/>
  <c r="K11988" i="1"/>
  <c r="A11989" i="1"/>
  <c r="B11989" i="1"/>
  <c r="C11989" i="1"/>
  <c r="E11989" i="1"/>
  <c r="G11989" i="1"/>
  <c r="K11989" i="1"/>
  <c r="A11990" i="1"/>
  <c r="B11990" i="1"/>
  <c r="C11990" i="1"/>
  <c r="E11990" i="1"/>
  <c r="G11990" i="1"/>
  <c r="K11990" i="1"/>
  <c r="A11991" i="1"/>
  <c r="B11991" i="1"/>
  <c r="C11991" i="1"/>
  <c r="E11991" i="1"/>
  <c r="G11991" i="1"/>
  <c r="K11991" i="1"/>
  <c r="A11992" i="1"/>
  <c r="B11992" i="1"/>
  <c r="C11992" i="1"/>
  <c r="E11992" i="1"/>
  <c r="G11992" i="1"/>
  <c r="K11992" i="1"/>
  <c r="A11993" i="1"/>
  <c r="B11993" i="1"/>
  <c r="C11993" i="1"/>
  <c r="E11993" i="1"/>
  <c r="G11993" i="1"/>
  <c r="K11993" i="1"/>
  <c r="A11994" i="1"/>
  <c r="B11994" i="1"/>
  <c r="C11994" i="1"/>
  <c r="E11994" i="1"/>
  <c r="G11994" i="1"/>
  <c r="K11994" i="1"/>
  <c r="A11995" i="1"/>
  <c r="B11995" i="1"/>
  <c r="C11995" i="1"/>
  <c r="E11995" i="1"/>
  <c r="G11995" i="1"/>
  <c r="K11995" i="1"/>
  <c r="A11996" i="1"/>
  <c r="B11996" i="1"/>
  <c r="C11996" i="1"/>
  <c r="E11996" i="1"/>
  <c r="G11996" i="1"/>
  <c r="K11996" i="1"/>
  <c r="A11997" i="1"/>
  <c r="B11997" i="1"/>
  <c r="C11997" i="1"/>
  <c r="E11997" i="1"/>
  <c r="G11997" i="1"/>
  <c r="K11997" i="1"/>
  <c r="A11998" i="1"/>
  <c r="B11998" i="1"/>
  <c r="C11998" i="1"/>
  <c r="E11998" i="1"/>
  <c r="G11998" i="1"/>
  <c r="K11998" i="1"/>
  <c r="A11999" i="1"/>
  <c r="B11999" i="1"/>
  <c r="C11999" i="1"/>
  <c r="E11999" i="1"/>
  <c r="G11999" i="1"/>
  <c r="K11999" i="1"/>
  <c r="A12000" i="1"/>
  <c r="B12000" i="1"/>
  <c r="C12000" i="1"/>
  <c r="E12000" i="1"/>
  <c r="G12000" i="1"/>
  <c r="K12000" i="1"/>
  <c r="A12001" i="1"/>
  <c r="B12001" i="1"/>
  <c r="C12001" i="1"/>
  <c r="E12001" i="1"/>
  <c r="G12001" i="1"/>
  <c r="K12001" i="1"/>
  <c r="A12002" i="1"/>
  <c r="B12002" i="1"/>
  <c r="C12002" i="1"/>
  <c r="E12002" i="1"/>
  <c r="G12002" i="1"/>
  <c r="K12002" i="1"/>
  <c r="A12003" i="1"/>
  <c r="B12003" i="1"/>
  <c r="C12003" i="1"/>
  <c r="E12003" i="1"/>
  <c r="G12003" i="1"/>
  <c r="K12003" i="1"/>
  <c r="A12004" i="1"/>
  <c r="B12004" i="1"/>
  <c r="C12004" i="1"/>
  <c r="E12004" i="1"/>
  <c r="G12004" i="1"/>
  <c r="K12004" i="1"/>
  <c r="A12005" i="1"/>
  <c r="B12005" i="1"/>
  <c r="C12005" i="1"/>
  <c r="E12005" i="1"/>
  <c r="G12005" i="1"/>
  <c r="K12005" i="1"/>
  <c r="A12006" i="1"/>
  <c r="B12006" i="1"/>
  <c r="C12006" i="1"/>
  <c r="E12006" i="1"/>
  <c r="G12006" i="1"/>
  <c r="K12006" i="1"/>
  <c r="A12007" i="1"/>
  <c r="B12007" i="1"/>
  <c r="C12007" i="1"/>
  <c r="E12007" i="1"/>
  <c r="G12007" i="1"/>
  <c r="K12007" i="1"/>
  <c r="A12008" i="1"/>
  <c r="B12008" i="1"/>
  <c r="C12008" i="1"/>
  <c r="E12008" i="1"/>
  <c r="G12008" i="1"/>
  <c r="K12008" i="1"/>
  <c r="A12009" i="1"/>
  <c r="B12009" i="1"/>
  <c r="C12009" i="1"/>
  <c r="E12009" i="1"/>
  <c r="G12009" i="1"/>
  <c r="K12009" i="1"/>
  <c r="A12010" i="1"/>
  <c r="B12010" i="1"/>
  <c r="C12010" i="1"/>
  <c r="E12010" i="1"/>
  <c r="G12010" i="1"/>
  <c r="K12010" i="1"/>
  <c r="A12011" i="1"/>
  <c r="B12011" i="1"/>
  <c r="C12011" i="1"/>
  <c r="E12011" i="1"/>
  <c r="G12011" i="1"/>
  <c r="K12011" i="1"/>
  <c r="A12012" i="1"/>
  <c r="B12012" i="1"/>
  <c r="C12012" i="1"/>
  <c r="E12012" i="1"/>
  <c r="G12012" i="1"/>
  <c r="K12012" i="1"/>
  <c r="A12013" i="1"/>
  <c r="B12013" i="1"/>
  <c r="C12013" i="1"/>
  <c r="E12013" i="1"/>
  <c r="G12013" i="1"/>
  <c r="K12013" i="1"/>
  <c r="A12014" i="1"/>
  <c r="B12014" i="1"/>
  <c r="C12014" i="1"/>
  <c r="E12014" i="1"/>
  <c r="G12014" i="1"/>
  <c r="K12014" i="1"/>
  <c r="A12015" i="1"/>
  <c r="B12015" i="1"/>
  <c r="C12015" i="1"/>
  <c r="E12015" i="1"/>
  <c r="G12015" i="1"/>
  <c r="K12015" i="1"/>
  <c r="A12016" i="1"/>
  <c r="B12016" i="1"/>
  <c r="C12016" i="1"/>
  <c r="E12016" i="1"/>
  <c r="G12016" i="1"/>
  <c r="K12016" i="1"/>
  <c r="A12017" i="1"/>
  <c r="B12017" i="1"/>
  <c r="C12017" i="1"/>
  <c r="E12017" i="1"/>
  <c r="G12017" i="1"/>
  <c r="K12017" i="1"/>
  <c r="A12018" i="1"/>
  <c r="B12018" i="1"/>
  <c r="C12018" i="1"/>
  <c r="E12018" i="1"/>
  <c r="G12018" i="1"/>
  <c r="K12018" i="1"/>
  <c r="A12019" i="1"/>
  <c r="B12019" i="1"/>
  <c r="C12019" i="1"/>
  <c r="E12019" i="1"/>
  <c r="G12019" i="1"/>
  <c r="K12019" i="1"/>
  <c r="A12020" i="1"/>
  <c r="B12020" i="1"/>
  <c r="C12020" i="1"/>
  <c r="E12020" i="1"/>
  <c r="G12020" i="1"/>
  <c r="K12020" i="1"/>
  <c r="A12021" i="1"/>
  <c r="B12021" i="1"/>
  <c r="C12021" i="1"/>
  <c r="E12021" i="1"/>
  <c r="G12021" i="1"/>
  <c r="K12021" i="1"/>
  <c r="A12022" i="1"/>
  <c r="B12022" i="1"/>
  <c r="C12022" i="1"/>
  <c r="E12022" i="1"/>
  <c r="G12022" i="1"/>
  <c r="K12022" i="1"/>
  <c r="A12023" i="1"/>
  <c r="B12023" i="1"/>
  <c r="C12023" i="1"/>
  <c r="E12023" i="1"/>
  <c r="G12023" i="1"/>
  <c r="K12023" i="1"/>
  <c r="A12024" i="1"/>
  <c r="B12024" i="1"/>
  <c r="C12024" i="1"/>
  <c r="E12024" i="1"/>
  <c r="G12024" i="1"/>
  <c r="K12024" i="1"/>
  <c r="A12025" i="1"/>
  <c r="B12025" i="1"/>
  <c r="C12025" i="1"/>
  <c r="E12025" i="1"/>
  <c r="G12025" i="1"/>
  <c r="K12025" i="1"/>
  <c r="A12026" i="1"/>
  <c r="B12026" i="1"/>
  <c r="C12026" i="1"/>
  <c r="E12026" i="1"/>
  <c r="G12026" i="1"/>
  <c r="K12026" i="1"/>
  <c r="A12027" i="1"/>
  <c r="B12027" i="1"/>
  <c r="C12027" i="1"/>
  <c r="E12027" i="1"/>
  <c r="G12027" i="1"/>
  <c r="K12027" i="1"/>
  <c r="A12028" i="1"/>
  <c r="B12028" i="1"/>
  <c r="C12028" i="1"/>
  <c r="E12028" i="1"/>
  <c r="G12028" i="1"/>
  <c r="K12028" i="1"/>
  <c r="A12029" i="1"/>
  <c r="B12029" i="1"/>
  <c r="C12029" i="1"/>
  <c r="E12029" i="1"/>
  <c r="G12029" i="1"/>
  <c r="K12029" i="1"/>
  <c r="A12030" i="1"/>
  <c r="B12030" i="1"/>
  <c r="C12030" i="1"/>
  <c r="E12030" i="1"/>
  <c r="G12030" i="1"/>
  <c r="K12030" i="1"/>
  <c r="A12031" i="1"/>
  <c r="B12031" i="1"/>
  <c r="C12031" i="1"/>
  <c r="E12031" i="1"/>
  <c r="G12031" i="1"/>
  <c r="K12031" i="1"/>
  <c r="A12032" i="1"/>
  <c r="B12032" i="1"/>
  <c r="C12032" i="1"/>
  <c r="E12032" i="1"/>
  <c r="G12032" i="1"/>
  <c r="K12032" i="1"/>
  <c r="A12033" i="1"/>
  <c r="B12033" i="1"/>
  <c r="C12033" i="1"/>
  <c r="E12033" i="1"/>
  <c r="G12033" i="1"/>
  <c r="K12033" i="1"/>
  <c r="A12034" i="1"/>
  <c r="B12034" i="1"/>
  <c r="C12034" i="1"/>
  <c r="E12034" i="1"/>
  <c r="G12034" i="1"/>
  <c r="K12034" i="1"/>
  <c r="A12035" i="1"/>
  <c r="B12035" i="1"/>
  <c r="C12035" i="1"/>
  <c r="E12035" i="1"/>
  <c r="G12035" i="1"/>
  <c r="K12035" i="1"/>
  <c r="A12036" i="1"/>
  <c r="B12036" i="1"/>
  <c r="C12036" i="1"/>
  <c r="E12036" i="1"/>
  <c r="G12036" i="1"/>
  <c r="K12036" i="1"/>
  <c r="A12037" i="1"/>
  <c r="B12037" i="1"/>
  <c r="C12037" i="1"/>
  <c r="E12037" i="1"/>
  <c r="G12037" i="1"/>
  <c r="K12037" i="1"/>
  <c r="A12038" i="1"/>
  <c r="B12038" i="1"/>
  <c r="C12038" i="1"/>
  <c r="E12038" i="1"/>
  <c r="G12038" i="1"/>
  <c r="K12038" i="1"/>
  <c r="A12039" i="1"/>
  <c r="B12039" i="1"/>
  <c r="C12039" i="1"/>
  <c r="E12039" i="1"/>
  <c r="G12039" i="1"/>
  <c r="K12039" i="1"/>
  <c r="A12040" i="1"/>
  <c r="B12040" i="1"/>
  <c r="C12040" i="1"/>
  <c r="E12040" i="1"/>
  <c r="G12040" i="1"/>
  <c r="K12040" i="1"/>
  <c r="A12041" i="1"/>
  <c r="B12041" i="1"/>
  <c r="C12041" i="1"/>
  <c r="E12041" i="1"/>
  <c r="G12041" i="1"/>
  <c r="K12041" i="1"/>
  <c r="A12042" i="1"/>
  <c r="B12042" i="1"/>
  <c r="C12042" i="1"/>
  <c r="E12042" i="1"/>
  <c r="G12042" i="1"/>
  <c r="K12042" i="1"/>
  <c r="A12043" i="1"/>
  <c r="B12043" i="1"/>
  <c r="C12043" i="1"/>
  <c r="E12043" i="1"/>
  <c r="G12043" i="1"/>
  <c r="K12043" i="1"/>
  <c r="A12044" i="1"/>
  <c r="B12044" i="1"/>
  <c r="C12044" i="1"/>
  <c r="E12044" i="1"/>
  <c r="G12044" i="1"/>
  <c r="K12044" i="1"/>
  <c r="A12045" i="1"/>
  <c r="B12045" i="1"/>
  <c r="C12045" i="1"/>
  <c r="E12045" i="1"/>
  <c r="G12045" i="1"/>
  <c r="K12045" i="1"/>
  <c r="A12046" i="1"/>
  <c r="B12046" i="1"/>
  <c r="C12046" i="1"/>
  <c r="E12046" i="1"/>
  <c r="G12046" i="1"/>
  <c r="K12046" i="1"/>
  <c r="A12047" i="1"/>
  <c r="B12047" i="1"/>
  <c r="C12047" i="1"/>
  <c r="E12047" i="1"/>
  <c r="G12047" i="1"/>
  <c r="K12047" i="1"/>
  <c r="A12048" i="1"/>
  <c r="B12048" i="1"/>
  <c r="C12048" i="1"/>
  <c r="E12048" i="1"/>
  <c r="G12048" i="1"/>
  <c r="K12048" i="1"/>
  <c r="A12049" i="1"/>
  <c r="B12049" i="1"/>
  <c r="C12049" i="1"/>
  <c r="E12049" i="1"/>
  <c r="G12049" i="1"/>
  <c r="K12049" i="1"/>
  <c r="A12050" i="1"/>
  <c r="B12050" i="1"/>
  <c r="C12050" i="1"/>
  <c r="E12050" i="1"/>
  <c r="G12050" i="1"/>
  <c r="K12050" i="1"/>
  <c r="A12051" i="1"/>
  <c r="B12051" i="1"/>
  <c r="C12051" i="1"/>
  <c r="E12051" i="1"/>
  <c r="G12051" i="1"/>
  <c r="K12051" i="1"/>
  <c r="A12052" i="1"/>
  <c r="B12052" i="1"/>
  <c r="C12052" i="1"/>
  <c r="E12052" i="1"/>
  <c r="G12052" i="1"/>
  <c r="K12052" i="1"/>
  <c r="A12053" i="1"/>
  <c r="B12053" i="1"/>
  <c r="C12053" i="1"/>
  <c r="E12053" i="1"/>
  <c r="G12053" i="1"/>
  <c r="K12053" i="1"/>
  <c r="A12054" i="1"/>
  <c r="B12054" i="1"/>
  <c r="C12054" i="1"/>
  <c r="E12054" i="1"/>
  <c r="G12054" i="1"/>
  <c r="K12054" i="1"/>
  <c r="A12055" i="1"/>
  <c r="B12055" i="1"/>
  <c r="C12055" i="1"/>
  <c r="E12055" i="1"/>
  <c r="G12055" i="1"/>
  <c r="K12055" i="1"/>
  <c r="A12056" i="1"/>
  <c r="B12056" i="1"/>
  <c r="C12056" i="1"/>
  <c r="E12056" i="1"/>
  <c r="G12056" i="1"/>
  <c r="K12056" i="1"/>
  <c r="A12057" i="1"/>
  <c r="B12057" i="1"/>
  <c r="C12057" i="1"/>
  <c r="E12057" i="1"/>
  <c r="G12057" i="1"/>
  <c r="K12057" i="1"/>
  <c r="A12058" i="1"/>
  <c r="B12058" i="1"/>
  <c r="C12058" i="1"/>
  <c r="E12058" i="1"/>
  <c r="G12058" i="1"/>
  <c r="K12058" i="1"/>
  <c r="A12059" i="1"/>
  <c r="B12059" i="1"/>
  <c r="C12059" i="1"/>
  <c r="E12059" i="1"/>
  <c r="G12059" i="1"/>
  <c r="K12059" i="1"/>
  <c r="A12060" i="1"/>
  <c r="B12060" i="1"/>
  <c r="C12060" i="1"/>
  <c r="E12060" i="1"/>
  <c r="G12060" i="1"/>
  <c r="K12060" i="1"/>
  <c r="A12061" i="1"/>
  <c r="B12061" i="1"/>
  <c r="C12061" i="1"/>
  <c r="E12061" i="1"/>
  <c r="G12061" i="1"/>
  <c r="K12061" i="1"/>
  <c r="A12062" i="1"/>
  <c r="B12062" i="1"/>
  <c r="C12062" i="1"/>
  <c r="E12062" i="1"/>
  <c r="G12062" i="1"/>
  <c r="K12062" i="1"/>
  <c r="A12063" i="1"/>
  <c r="B12063" i="1"/>
  <c r="C12063" i="1"/>
  <c r="E12063" i="1"/>
  <c r="G12063" i="1"/>
  <c r="K12063" i="1"/>
  <c r="A12064" i="1"/>
  <c r="B12064" i="1"/>
  <c r="C12064" i="1"/>
  <c r="E12064" i="1"/>
  <c r="G12064" i="1"/>
  <c r="K12064" i="1"/>
  <c r="A12065" i="1"/>
  <c r="B12065" i="1"/>
  <c r="C12065" i="1"/>
  <c r="E12065" i="1"/>
  <c r="G12065" i="1"/>
  <c r="K12065" i="1"/>
  <c r="A12066" i="1"/>
  <c r="B12066" i="1"/>
  <c r="C12066" i="1"/>
  <c r="E12066" i="1"/>
  <c r="G12066" i="1"/>
  <c r="K12066" i="1"/>
  <c r="A12067" i="1"/>
  <c r="B12067" i="1"/>
  <c r="C12067" i="1"/>
  <c r="E12067" i="1"/>
  <c r="G12067" i="1"/>
  <c r="K12067" i="1"/>
  <c r="A12068" i="1"/>
  <c r="B12068" i="1"/>
  <c r="C12068" i="1"/>
  <c r="E12068" i="1"/>
  <c r="G12068" i="1"/>
  <c r="K12068" i="1"/>
  <c r="A12069" i="1"/>
  <c r="B12069" i="1"/>
  <c r="C12069" i="1"/>
  <c r="E12069" i="1"/>
  <c r="G12069" i="1"/>
  <c r="K12069" i="1"/>
  <c r="A12070" i="1"/>
  <c r="B12070" i="1"/>
  <c r="C12070" i="1"/>
  <c r="E12070" i="1"/>
  <c r="G12070" i="1"/>
  <c r="K12070" i="1"/>
  <c r="A12071" i="1"/>
  <c r="B12071" i="1"/>
  <c r="C12071" i="1"/>
  <c r="E12071" i="1"/>
  <c r="G12071" i="1"/>
  <c r="K12071" i="1"/>
  <c r="A12072" i="1"/>
  <c r="B12072" i="1"/>
  <c r="C12072" i="1"/>
  <c r="E12072" i="1"/>
  <c r="G12072" i="1"/>
  <c r="K12072" i="1"/>
  <c r="A12073" i="1"/>
  <c r="B12073" i="1"/>
  <c r="C12073" i="1"/>
  <c r="E12073" i="1"/>
  <c r="G12073" i="1"/>
  <c r="K12073" i="1"/>
  <c r="A12074" i="1"/>
  <c r="B12074" i="1"/>
  <c r="C12074" i="1"/>
  <c r="E12074" i="1"/>
  <c r="G12074" i="1"/>
  <c r="K12074" i="1"/>
  <c r="A12075" i="1"/>
  <c r="B12075" i="1"/>
  <c r="C12075" i="1"/>
  <c r="E12075" i="1"/>
  <c r="G12075" i="1"/>
  <c r="K12075" i="1"/>
  <c r="A12076" i="1"/>
  <c r="B12076" i="1"/>
  <c r="C12076" i="1"/>
  <c r="E12076" i="1"/>
  <c r="G12076" i="1"/>
  <c r="K12076" i="1"/>
  <c r="A12077" i="1"/>
  <c r="B12077" i="1"/>
  <c r="C12077" i="1"/>
  <c r="E12077" i="1"/>
  <c r="G12077" i="1"/>
  <c r="K12077" i="1"/>
  <c r="A12078" i="1"/>
  <c r="B12078" i="1"/>
  <c r="C12078" i="1"/>
  <c r="E12078" i="1"/>
  <c r="G12078" i="1"/>
  <c r="K12078" i="1"/>
  <c r="A12079" i="1"/>
  <c r="B12079" i="1"/>
  <c r="C12079" i="1"/>
  <c r="E12079" i="1"/>
  <c r="G12079" i="1"/>
  <c r="K12079" i="1"/>
  <c r="A12080" i="1"/>
  <c r="B12080" i="1"/>
  <c r="C12080" i="1"/>
  <c r="E12080" i="1"/>
  <c r="G12080" i="1"/>
  <c r="K12080" i="1"/>
  <c r="A12081" i="1"/>
  <c r="B12081" i="1"/>
  <c r="C12081" i="1"/>
  <c r="E12081" i="1"/>
  <c r="G12081" i="1"/>
  <c r="K12081" i="1"/>
  <c r="A12082" i="1"/>
  <c r="B12082" i="1"/>
  <c r="C12082" i="1"/>
  <c r="E12082" i="1"/>
  <c r="G12082" i="1"/>
  <c r="K12082" i="1"/>
  <c r="A12083" i="1"/>
  <c r="B12083" i="1"/>
  <c r="C12083" i="1"/>
  <c r="E12083" i="1"/>
  <c r="G12083" i="1"/>
  <c r="K12083" i="1"/>
  <c r="A12084" i="1"/>
  <c r="B12084" i="1"/>
  <c r="C12084" i="1"/>
  <c r="E12084" i="1"/>
  <c r="G12084" i="1"/>
  <c r="K12084" i="1"/>
  <c r="A12085" i="1"/>
  <c r="B12085" i="1"/>
  <c r="C12085" i="1"/>
  <c r="E12085" i="1"/>
  <c r="G12085" i="1"/>
  <c r="K12085" i="1"/>
  <c r="A12086" i="1"/>
  <c r="B12086" i="1"/>
  <c r="C12086" i="1"/>
  <c r="E12086" i="1"/>
  <c r="G12086" i="1"/>
  <c r="K12086" i="1"/>
  <c r="A12087" i="1"/>
  <c r="B12087" i="1"/>
  <c r="C12087" i="1"/>
  <c r="E12087" i="1"/>
  <c r="G12087" i="1"/>
  <c r="K12087" i="1"/>
  <c r="A12088" i="1"/>
  <c r="B12088" i="1"/>
  <c r="C12088" i="1"/>
  <c r="E12088" i="1"/>
  <c r="G12088" i="1"/>
  <c r="K12088" i="1"/>
  <c r="A12089" i="1"/>
  <c r="B12089" i="1"/>
  <c r="C12089" i="1"/>
  <c r="E12089" i="1"/>
  <c r="G12089" i="1"/>
  <c r="K12089" i="1"/>
  <c r="A12090" i="1"/>
  <c r="B12090" i="1"/>
  <c r="C12090" i="1"/>
  <c r="E12090" i="1"/>
  <c r="G12090" i="1"/>
  <c r="K12090" i="1"/>
  <c r="A12091" i="1"/>
  <c r="B12091" i="1"/>
  <c r="C12091" i="1"/>
  <c r="E12091" i="1"/>
  <c r="G12091" i="1"/>
  <c r="K12091" i="1"/>
  <c r="A12092" i="1"/>
  <c r="B12092" i="1"/>
  <c r="C12092" i="1"/>
  <c r="E12092" i="1"/>
  <c r="G12092" i="1"/>
  <c r="K12092" i="1"/>
  <c r="A12093" i="1"/>
  <c r="B12093" i="1"/>
  <c r="C12093" i="1"/>
  <c r="E12093" i="1"/>
  <c r="G12093" i="1"/>
  <c r="K12093" i="1"/>
  <c r="A12094" i="1"/>
  <c r="B12094" i="1"/>
  <c r="C12094" i="1"/>
  <c r="E12094" i="1"/>
  <c r="G12094" i="1"/>
  <c r="K12094" i="1"/>
  <c r="A12095" i="1"/>
  <c r="B12095" i="1"/>
  <c r="C12095" i="1"/>
  <c r="E12095" i="1"/>
  <c r="G12095" i="1"/>
  <c r="K12095" i="1"/>
  <c r="A12096" i="1"/>
  <c r="B12096" i="1"/>
  <c r="C12096" i="1"/>
  <c r="E12096" i="1"/>
  <c r="G12096" i="1"/>
  <c r="K12096" i="1"/>
  <c r="A12097" i="1"/>
  <c r="B12097" i="1"/>
  <c r="C12097" i="1"/>
  <c r="E12097" i="1"/>
  <c r="G12097" i="1"/>
  <c r="K12097" i="1"/>
  <c r="A12098" i="1"/>
  <c r="B12098" i="1"/>
  <c r="C12098" i="1"/>
  <c r="E12098" i="1"/>
  <c r="G12098" i="1"/>
  <c r="K12098" i="1"/>
  <c r="A12099" i="1"/>
  <c r="B12099" i="1"/>
  <c r="C12099" i="1"/>
  <c r="E12099" i="1"/>
  <c r="G12099" i="1"/>
  <c r="K12099" i="1"/>
  <c r="A12100" i="1"/>
  <c r="B12100" i="1"/>
  <c r="C12100" i="1"/>
  <c r="E12100" i="1"/>
  <c r="G12100" i="1"/>
  <c r="K12100" i="1"/>
  <c r="A12101" i="1"/>
  <c r="B12101" i="1"/>
  <c r="C12101" i="1"/>
  <c r="E12101" i="1"/>
  <c r="G12101" i="1"/>
  <c r="K12101" i="1"/>
  <c r="A12102" i="1"/>
  <c r="B12102" i="1"/>
  <c r="C12102" i="1"/>
  <c r="E12102" i="1"/>
  <c r="G12102" i="1"/>
  <c r="K12102" i="1"/>
  <c r="A12103" i="1"/>
  <c r="B12103" i="1"/>
  <c r="C12103" i="1"/>
  <c r="E12103" i="1"/>
  <c r="G12103" i="1"/>
  <c r="K12103" i="1"/>
  <c r="A12104" i="1"/>
  <c r="B12104" i="1"/>
  <c r="C12104" i="1"/>
  <c r="E12104" i="1"/>
  <c r="G12104" i="1"/>
  <c r="K12104" i="1"/>
  <c r="A12105" i="1"/>
  <c r="B12105" i="1"/>
  <c r="C12105" i="1"/>
  <c r="E12105" i="1"/>
  <c r="G12105" i="1"/>
  <c r="K12105" i="1"/>
  <c r="A12106" i="1"/>
  <c r="B12106" i="1"/>
  <c r="C12106" i="1"/>
  <c r="E12106" i="1"/>
  <c r="G12106" i="1"/>
  <c r="K12106" i="1"/>
  <c r="A12107" i="1"/>
  <c r="B12107" i="1"/>
  <c r="C12107" i="1"/>
  <c r="E12107" i="1"/>
  <c r="G12107" i="1"/>
  <c r="K12107" i="1"/>
  <c r="A12108" i="1"/>
  <c r="B12108" i="1"/>
  <c r="C12108" i="1"/>
  <c r="E12108" i="1"/>
  <c r="G12108" i="1"/>
  <c r="K12108" i="1"/>
  <c r="A12109" i="1"/>
  <c r="B12109" i="1"/>
  <c r="C12109" i="1"/>
  <c r="E12109" i="1"/>
  <c r="G12109" i="1"/>
  <c r="K12109" i="1"/>
  <c r="A12110" i="1"/>
  <c r="B12110" i="1"/>
  <c r="C12110" i="1"/>
  <c r="E12110" i="1"/>
  <c r="G12110" i="1"/>
  <c r="K12110" i="1"/>
  <c r="A12111" i="1"/>
  <c r="B12111" i="1"/>
  <c r="C12111" i="1"/>
  <c r="E12111" i="1"/>
  <c r="G12111" i="1"/>
  <c r="K12111" i="1"/>
  <c r="A12112" i="1"/>
  <c r="B12112" i="1"/>
  <c r="C12112" i="1"/>
  <c r="E12112" i="1"/>
  <c r="G12112" i="1"/>
  <c r="K12112" i="1"/>
  <c r="A12113" i="1"/>
  <c r="B12113" i="1"/>
  <c r="C12113" i="1"/>
  <c r="E12113" i="1"/>
  <c r="G12113" i="1"/>
  <c r="K12113" i="1"/>
  <c r="A12114" i="1"/>
  <c r="B12114" i="1"/>
  <c r="C12114" i="1"/>
  <c r="E12114" i="1"/>
  <c r="G12114" i="1"/>
  <c r="K12114" i="1"/>
  <c r="A12115" i="1"/>
  <c r="B12115" i="1"/>
  <c r="C12115" i="1"/>
  <c r="E12115" i="1"/>
  <c r="G12115" i="1"/>
  <c r="K12115" i="1"/>
  <c r="A12116" i="1"/>
  <c r="B12116" i="1"/>
  <c r="C12116" i="1"/>
  <c r="E12116" i="1"/>
  <c r="G12116" i="1"/>
  <c r="K12116" i="1"/>
  <c r="A12117" i="1"/>
  <c r="B12117" i="1"/>
  <c r="C12117" i="1"/>
  <c r="E12117" i="1"/>
  <c r="G12117" i="1"/>
  <c r="K12117" i="1"/>
  <c r="A12118" i="1"/>
  <c r="B12118" i="1"/>
  <c r="C12118" i="1"/>
  <c r="E12118" i="1"/>
  <c r="G12118" i="1"/>
  <c r="K12118" i="1"/>
  <c r="A12119" i="1"/>
  <c r="B12119" i="1"/>
  <c r="C12119" i="1"/>
  <c r="E12119" i="1"/>
  <c r="G12119" i="1"/>
  <c r="K12119" i="1"/>
  <c r="A12120" i="1"/>
  <c r="B12120" i="1"/>
  <c r="C12120" i="1"/>
  <c r="E12120" i="1"/>
  <c r="G12120" i="1"/>
  <c r="K12120" i="1"/>
  <c r="A12121" i="1"/>
  <c r="B12121" i="1"/>
  <c r="C12121" i="1"/>
  <c r="E12121" i="1"/>
  <c r="G12121" i="1"/>
  <c r="K12121" i="1"/>
  <c r="A12122" i="1"/>
  <c r="B12122" i="1"/>
  <c r="C12122" i="1"/>
  <c r="E12122" i="1"/>
  <c r="G12122" i="1"/>
  <c r="K12122" i="1"/>
  <c r="A12123" i="1"/>
  <c r="B12123" i="1"/>
  <c r="C12123" i="1"/>
  <c r="E12123" i="1"/>
  <c r="G12123" i="1"/>
  <c r="K12123" i="1"/>
  <c r="A12124" i="1"/>
  <c r="B12124" i="1"/>
  <c r="C12124" i="1"/>
  <c r="E12124" i="1"/>
  <c r="G12124" i="1"/>
  <c r="K12124" i="1"/>
  <c r="A12125" i="1"/>
  <c r="B12125" i="1"/>
  <c r="C12125" i="1"/>
  <c r="E12125" i="1"/>
  <c r="G12125" i="1"/>
  <c r="K12125" i="1"/>
  <c r="A12126" i="1"/>
  <c r="B12126" i="1"/>
  <c r="C12126" i="1"/>
  <c r="E12126" i="1"/>
  <c r="G12126" i="1"/>
  <c r="K12126" i="1"/>
  <c r="A12127" i="1"/>
  <c r="B12127" i="1"/>
  <c r="C12127" i="1"/>
  <c r="E12127" i="1"/>
  <c r="G12127" i="1"/>
  <c r="K12127" i="1"/>
  <c r="A12128" i="1"/>
  <c r="B12128" i="1"/>
  <c r="C12128" i="1"/>
  <c r="E12128" i="1"/>
  <c r="G12128" i="1"/>
  <c r="K12128" i="1"/>
  <c r="A12129" i="1"/>
  <c r="B12129" i="1"/>
  <c r="C12129" i="1"/>
  <c r="E12129" i="1"/>
  <c r="G12129" i="1"/>
  <c r="K12129" i="1"/>
  <c r="A12130" i="1"/>
  <c r="B12130" i="1"/>
  <c r="C12130" i="1"/>
  <c r="E12130" i="1"/>
  <c r="G12130" i="1"/>
  <c r="K12130" i="1"/>
  <c r="A12131" i="1"/>
  <c r="B12131" i="1"/>
  <c r="C12131" i="1"/>
  <c r="E12131" i="1"/>
  <c r="G12131" i="1"/>
  <c r="K12131" i="1"/>
  <c r="A12132" i="1"/>
  <c r="B12132" i="1"/>
  <c r="C12132" i="1"/>
  <c r="E12132" i="1"/>
  <c r="G12132" i="1"/>
  <c r="K12132" i="1"/>
  <c r="A12133" i="1"/>
  <c r="B12133" i="1"/>
  <c r="C12133" i="1"/>
  <c r="E12133" i="1"/>
  <c r="G12133" i="1"/>
  <c r="K12133" i="1"/>
  <c r="A12134" i="1"/>
  <c r="B12134" i="1"/>
  <c r="C12134" i="1"/>
  <c r="E12134" i="1"/>
  <c r="G12134" i="1"/>
  <c r="K12134" i="1"/>
  <c r="A12135" i="1"/>
  <c r="B12135" i="1"/>
  <c r="C12135" i="1"/>
  <c r="E12135" i="1"/>
  <c r="G12135" i="1"/>
  <c r="K12135" i="1"/>
  <c r="A12136" i="1"/>
  <c r="B12136" i="1"/>
  <c r="C12136" i="1"/>
  <c r="E12136" i="1"/>
  <c r="G12136" i="1"/>
  <c r="K12136" i="1"/>
  <c r="A12137" i="1"/>
  <c r="B12137" i="1"/>
  <c r="C12137" i="1"/>
  <c r="E12137" i="1"/>
  <c r="G12137" i="1"/>
  <c r="K12137" i="1"/>
  <c r="A12138" i="1"/>
  <c r="B12138" i="1"/>
  <c r="C12138" i="1"/>
  <c r="E12138" i="1"/>
  <c r="G12138" i="1"/>
  <c r="K12138" i="1"/>
  <c r="A12139" i="1"/>
  <c r="B12139" i="1"/>
  <c r="C12139" i="1"/>
  <c r="E12139" i="1"/>
  <c r="G12139" i="1"/>
  <c r="K12139" i="1"/>
  <c r="A12140" i="1"/>
  <c r="B12140" i="1"/>
  <c r="C12140" i="1"/>
  <c r="E12140" i="1"/>
  <c r="G12140" i="1"/>
  <c r="K12140" i="1"/>
  <c r="A12141" i="1"/>
  <c r="B12141" i="1"/>
  <c r="C12141" i="1"/>
  <c r="E12141" i="1"/>
  <c r="G12141" i="1"/>
  <c r="K12141" i="1"/>
  <c r="A12142" i="1"/>
  <c r="B12142" i="1"/>
  <c r="C12142" i="1"/>
  <c r="E12142" i="1"/>
  <c r="G12142" i="1"/>
  <c r="K12142" i="1"/>
  <c r="A12143" i="1"/>
  <c r="B12143" i="1"/>
  <c r="C12143" i="1"/>
  <c r="E12143" i="1"/>
  <c r="G12143" i="1"/>
  <c r="K12143" i="1"/>
  <c r="A12144" i="1"/>
  <c r="B12144" i="1"/>
  <c r="C12144" i="1"/>
  <c r="E12144" i="1"/>
  <c r="G12144" i="1"/>
  <c r="K12144" i="1"/>
  <c r="A12145" i="1"/>
  <c r="B12145" i="1"/>
  <c r="C12145" i="1"/>
  <c r="E12145" i="1"/>
  <c r="G12145" i="1"/>
  <c r="K12145" i="1"/>
  <c r="A12146" i="1"/>
  <c r="B12146" i="1"/>
  <c r="C12146" i="1"/>
  <c r="E12146" i="1"/>
  <c r="G12146" i="1"/>
  <c r="K12146" i="1"/>
  <c r="A12147" i="1"/>
  <c r="B12147" i="1"/>
  <c r="C12147" i="1"/>
  <c r="E12147" i="1"/>
  <c r="G12147" i="1"/>
  <c r="K12147" i="1"/>
  <c r="A12148" i="1"/>
  <c r="B12148" i="1"/>
  <c r="C12148" i="1"/>
  <c r="E12148" i="1"/>
  <c r="G12148" i="1"/>
  <c r="K12148" i="1"/>
  <c r="A12149" i="1"/>
  <c r="B12149" i="1"/>
  <c r="C12149" i="1"/>
  <c r="E12149" i="1"/>
  <c r="G12149" i="1"/>
  <c r="K12149" i="1"/>
  <c r="A12150" i="1"/>
  <c r="B12150" i="1"/>
  <c r="C12150" i="1"/>
  <c r="E12150" i="1"/>
  <c r="G12150" i="1"/>
  <c r="K12150" i="1"/>
  <c r="A12151" i="1"/>
  <c r="B12151" i="1"/>
  <c r="C12151" i="1"/>
  <c r="E12151" i="1"/>
  <c r="G12151" i="1"/>
  <c r="K12151" i="1"/>
  <c r="A12152" i="1"/>
  <c r="B12152" i="1"/>
  <c r="C12152" i="1"/>
  <c r="E12152" i="1"/>
  <c r="G12152" i="1"/>
  <c r="K12152" i="1"/>
  <c r="A12153" i="1"/>
  <c r="B12153" i="1"/>
  <c r="C12153" i="1"/>
  <c r="E12153" i="1"/>
  <c r="G12153" i="1"/>
  <c r="K12153" i="1"/>
  <c r="A12154" i="1"/>
  <c r="B12154" i="1"/>
  <c r="C12154" i="1"/>
  <c r="E12154" i="1"/>
  <c r="G12154" i="1"/>
  <c r="K12154" i="1"/>
  <c r="A12155" i="1"/>
  <c r="B12155" i="1"/>
  <c r="C12155" i="1"/>
  <c r="E12155" i="1"/>
  <c r="G12155" i="1"/>
  <c r="K12155" i="1"/>
  <c r="A12156" i="1"/>
  <c r="B12156" i="1"/>
  <c r="C12156" i="1"/>
  <c r="E12156" i="1"/>
  <c r="G12156" i="1"/>
  <c r="K12156" i="1"/>
  <c r="A12157" i="1"/>
  <c r="B12157" i="1"/>
  <c r="C12157" i="1"/>
  <c r="E12157" i="1"/>
  <c r="G12157" i="1"/>
  <c r="K12157" i="1"/>
  <c r="A12158" i="1"/>
  <c r="B12158" i="1"/>
  <c r="C12158" i="1"/>
  <c r="E12158" i="1"/>
  <c r="G12158" i="1"/>
  <c r="K12158" i="1"/>
  <c r="A12159" i="1"/>
  <c r="B12159" i="1"/>
  <c r="C12159" i="1"/>
  <c r="E12159" i="1"/>
  <c r="G12159" i="1"/>
  <c r="K12159" i="1"/>
  <c r="A12160" i="1"/>
  <c r="B12160" i="1"/>
  <c r="C12160" i="1"/>
  <c r="E12160" i="1"/>
  <c r="G12160" i="1"/>
  <c r="K12160" i="1"/>
  <c r="A12161" i="1"/>
  <c r="B12161" i="1"/>
  <c r="C12161" i="1"/>
  <c r="E12161" i="1"/>
  <c r="G12161" i="1"/>
  <c r="K12161" i="1"/>
  <c r="A12162" i="1"/>
  <c r="B12162" i="1"/>
  <c r="C12162" i="1"/>
  <c r="E12162" i="1"/>
  <c r="G12162" i="1"/>
  <c r="K12162" i="1"/>
  <c r="A12163" i="1"/>
  <c r="B12163" i="1"/>
  <c r="C12163" i="1"/>
  <c r="E12163" i="1"/>
  <c r="G12163" i="1"/>
  <c r="K12163" i="1"/>
  <c r="A12164" i="1"/>
  <c r="B12164" i="1"/>
  <c r="C12164" i="1"/>
  <c r="E12164" i="1"/>
  <c r="G12164" i="1"/>
  <c r="K12164" i="1"/>
  <c r="A12165" i="1"/>
  <c r="B12165" i="1"/>
  <c r="C12165" i="1"/>
  <c r="E12165" i="1"/>
  <c r="G12165" i="1"/>
  <c r="K12165" i="1"/>
  <c r="A12166" i="1"/>
  <c r="B12166" i="1"/>
  <c r="C12166" i="1"/>
  <c r="E12166" i="1"/>
  <c r="G12166" i="1"/>
  <c r="K12166" i="1"/>
  <c r="A12167" i="1"/>
  <c r="B12167" i="1"/>
  <c r="C12167" i="1"/>
  <c r="E12167" i="1"/>
  <c r="G12167" i="1"/>
  <c r="K12167" i="1"/>
  <c r="A12168" i="1"/>
  <c r="B12168" i="1"/>
  <c r="C12168" i="1"/>
  <c r="E12168" i="1"/>
  <c r="G12168" i="1"/>
  <c r="K12168" i="1"/>
  <c r="A12169" i="1"/>
  <c r="B12169" i="1"/>
  <c r="C12169" i="1"/>
  <c r="E12169" i="1"/>
  <c r="G12169" i="1"/>
  <c r="K12169" i="1"/>
  <c r="A12170" i="1"/>
  <c r="B12170" i="1"/>
  <c r="C12170" i="1"/>
  <c r="E12170" i="1"/>
  <c r="G12170" i="1"/>
  <c r="K12170" i="1"/>
  <c r="A12171" i="1"/>
  <c r="B12171" i="1"/>
  <c r="C12171" i="1"/>
  <c r="E12171" i="1"/>
  <c r="G12171" i="1"/>
  <c r="K12171" i="1"/>
  <c r="A12172" i="1"/>
  <c r="B12172" i="1"/>
  <c r="C12172" i="1"/>
  <c r="E12172" i="1"/>
  <c r="G12172" i="1"/>
  <c r="K12172" i="1"/>
  <c r="A12173" i="1"/>
  <c r="B12173" i="1"/>
  <c r="C12173" i="1"/>
  <c r="E12173" i="1"/>
  <c r="G12173" i="1"/>
  <c r="K12173" i="1"/>
  <c r="A12174" i="1"/>
  <c r="B12174" i="1"/>
  <c r="C12174" i="1"/>
  <c r="E12174" i="1"/>
  <c r="G12174" i="1"/>
  <c r="K12174" i="1"/>
  <c r="A12175" i="1"/>
  <c r="B12175" i="1"/>
  <c r="C12175" i="1"/>
  <c r="E12175" i="1"/>
  <c r="G12175" i="1"/>
  <c r="K12175" i="1"/>
  <c r="A12176" i="1"/>
  <c r="B12176" i="1"/>
  <c r="C12176" i="1"/>
  <c r="E12176" i="1"/>
  <c r="G12176" i="1"/>
  <c r="K12176" i="1"/>
  <c r="A12177" i="1"/>
  <c r="B12177" i="1"/>
  <c r="C12177" i="1"/>
  <c r="E12177" i="1"/>
  <c r="G12177" i="1"/>
  <c r="K12177" i="1"/>
  <c r="A12178" i="1"/>
  <c r="B12178" i="1"/>
  <c r="C12178" i="1"/>
  <c r="E12178" i="1"/>
  <c r="G12178" i="1"/>
  <c r="K12178" i="1"/>
  <c r="A12179" i="1"/>
  <c r="B12179" i="1"/>
  <c r="C12179" i="1"/>
  <c r="E12179" i="1"/>
  <c r="G12179" i="1"/>
  <c r="K12179" i="1"/>
  <c r="A12180" i="1"/>
  <c r="B12180" i="1"/>
  <c r="C12180" i="1"/>
  <c r="E12180" i="1"/>
  <c r="G12180" i="1"/>
  <c r="K12180" i="1"/>
  <c r="A12181" i="1"/>
  <c r="B12181" i="1"/>
  <c r="C12181" i="1"/>
  <c r="E12181" i="1"/>
  <c r="G12181" i="1"/>
  <c r="K12181" i="1"/>
  <c r="A12182" i="1"/>
  <c r="B12182" i="1"/>
  <c r="C12182" i="1"/>
  <c r="E12182" i="1"/>
  <c r="G12182" i="1"/>
  <c r="K12182" i="1"/>
  <c r="A12183" i="1"/>
  <c r="B12183" i="1"/>
  <c r="C12183" i="1"/>
  <c r="E12183" i="1"/>
  <c r="G12183" i="1"/>
  <c r="K12183" i="1"/>
  <c r="A12184" i="1"/>
  <c r="B12184" i="1"/>
  <c r="C12184" i="1"/>
  <c r="E12184" i="1"/>
  <c r="G12184" i="1"/>
  <c r="K12184" i="1"/>
  <c r="A12185" i="1"/>
  <c r="B12185" i="1"/>
  <c r="C12185" i="1"/>
  <c r="E12185" i="1"/>
  <c r="G12185" i="1"/>
  <c r="K12185" i="1"/>
  <c r="A12186" i="1"/>
  <c r="B12186" i="1"/>
  <c r="C12186" i="1"/>
  <c r="E12186" i="1"/>
  <c r="G12186" i="1"/>
  <c r="K12186" i="1"/>
  <c r="A12187" i="1"/>
  <c r="B12187" i="1"/>
  <c r="C12187" i="1"/>
  <c r="E12187" i="1"/>
  <c r="G12187" i="1"/>
  <c r="K12187" i="1"/>
  <c r="A12188" i="1"/>
  <c r="B12188" i="1"/>
  <c r="C12188" i="1"/>
  <c r="E12188" i="1"/>
  <c r="G12188" i="1"/>
  <c r="K12188" i="1"/>
  <c r="A12189" i="1"/>
  <c r="B12189" i="1"/>
  <c r="C12189" i="1"/>
  <c r="E12189" i="1"/>
  <c r="G12189" i="1"/>
  <c r="K12189" i="1"/>
  <c r="A12190" i="1"/>
  <c r="B12190" i="1"/>
  <c r="C12190" i="1"/>
  <c r="E12190" i="1"/>
  <c r="G12190" i="1"/>
  <c r="K12190" i="1"/>
  <c r="A12191" i="1"/>
  <c r="B12191" i="1"/>
  <c r="C12191" i="1"/>
  <c r="E12191" i="1"/>
  <c r="G12191" i="1"/>
  <c r="K12191" i="1"/>
  <c r="A12192" i="1"/>
  <c r="B12192" i="1"/>
  <c r="C12192" i="1"/>
  <c r="E12192" i="1"/>
  <c r="G12192" i="1"/>
  <c r="K12192" i="1"/>
  <c r="A12193" i="1"/>
  <c r="B12193" i="1"/>
  <c r="C12193" i="1"/>
  <c r="E12193" i="1"/>
  <c r="G12193" i="1"/>
  <c r="K12193" i="1"/>
  <c r="A12194" i="1"/>
  <c r="B12194" i="1"/>
  <c r="C12194" i="1"/>
  <c r="E12194" i="1"/>
  <c r="G12194" i="1"/>
  <c r="K12194" i="1"/>
  <c r="A12195" i="1"/>
  <c r="B12195" i="1"/>
  <c r="C12195" i="1"/>
  <c r="E12195" i="1"/>
  <c r="G12195" i="1"/>
  <c r="K12195" i="1"/>
  <c r="A12196" i="1"/>
  <c r="B12196" i="1"/>
  <c r="C12196" i="1"/>
  <c r="E12196" i="1"/>
  <c r="G12196" i="1"/>
  <c r="K12196" i="1"/>
  <c r="A12197" i="1"/>
  <c r="B12197" i="1"/>
  <c r="C12197" i="1"/>
  <c r="E12197" i="1"/>
  <c r="G12197" i="1"/>
  <c r="K12197" i="1"/>
  <c r="A12198" i="1"/>
  <c r="B12198" i="1"/>
  <c r="C12198" i="1"/>
  <c r="E12198" i="1"/>
  <c r="G12198" i="1"/>
  <c r="K12198" i="1"/>
  <c r="A12199" i="1"/>
  <c r="B12199" i="1"/>
  <c r="C12199" i="1"/>
  <c r="E12199" i="1"/>
  <c r="G12199" i="1"/>
  <c r="K12199" i="1"/>
  <c r="A12200" i="1"/>
  <c r="B12200" i="1"/>
  <c r="C12200" i="1"/>
  <c r="E12200" i="1"/>
  <c r="G12200" i="1"/>
  <c r="K12200" i="1"/>
  <c r="A12201" i="1"/>
  <c r="B12201" i="1"/>
  <c r="C12201" i="1"/>
  <c r="E12201" i="1"/>
  <c r="G12201" i="1"/>
  <c r="K12201" i="1"/>
  <c r="A12202" i="1"/>
  <c r="B12202" i="1"/>
  <c r="C12202" i="1"/>
  <c r="E12202" i="1"/>
  <c r="G12202" i="1"/>
  <c r="K12202" i="1"/>
  <c r="A12203" i="1"/>
  <c r="B12203" i="1"/>
  <c r="C12203" i="1"/>
  <c r="E12203" i="1"/>
  <c r="G12203" i="1"/>
  <c r="K12203" i="1"/>
  <c r="A12204" i="1"/>
  <c r="B12204" i="1"/>
  <c r="C12204" i="1"/>
  <c r="E12204" i="1"/>
  <c r="G12204" i="1"/>
  <c r="K12204" i="1"/>
  <c r="A12205" i="1"/>
  <c r="B12205" i="1"/>
  <c r="C12205" i="1"/>
  <c r="E12205" i="1"/>
  <c r="G12205" i="1"/>
  <c r="K12205" i="1"/>
  <c r="A12206" i="1"/>
  <c r="B12206" i="1"/>
  <c r="C12206" i="1"/>
  <c r="E12206" i="1"/>
  <c r="G12206" i="1"/>
  <c r="K12206" i="1"/>
  <c r="A12207" i="1"/>
  <c r="B12207" i="1"/>
  <c r="C12207" i="1"/>
  <c r="E12207" i="1"/>
  <c r="G12207" i="1"/>
  <c r="K12207" i="1"/>
  <c r="A12208" i="1"/>
  <c r="B12208" i="1"/>
  <c r="C12208" i="1"/>
  <c r="E12208" i="1"/>
  <c r="G12208" i="1"/>
  <c r="K12208" i="1"/>
  <c r="A12209" i="1"/>
  <c r="B12209" i="1"/>
  <c r="C12209" i="1"/>
  <c r="E12209" i="1"/>
  <c r="G12209" i="1"/>
  <c r="K12209" i="1"/>
  <c r="A12210" i="1"/>
  <c r="B12210" i="1"/>
  <c r="C12210" i="1"/>
  <c r="E12210" i="1"/>
  <c r="G12210" i="1"/>
  <c r="K12210" i="1"/>
  <c r="A12211" i="1"/>
  <c r="B12211" i="1"/>
  <c r="C12211" i="1"/>
  <c r="E12211" i="1"/>
  <c r="G12211" i="1"/>
  <c r="K12211" i="1"/>
  <c r="A12212" i="1"/>
  <c r="B12212" i="1"/>
  <c r="C12212" i="1"/>
  <c r="E12212" i="1"/>
  <c r="G12212" i="1"/>
  <c r="K12212" i="1"/>
  <c r="A12213" i="1"/>
  <c r="B12213" i="1"/>
  <c r="C12213" i="1"/>
  <c r="E12213" i="1"/>
  <c r="G12213" i="1"/>
  <c r="K12213" i="1"/>
  <c r="A12214" i="1"/>
  <c r="B12214" i="1"/>
  <c r="C12214" i="1"/>
  <c r="E12214" i="1"/>
  <c r="G12214" i="1"/>
  <c r="K12214" i="1"/>
  <c r="A12215" i="1"/>
  <c r="B12215" i="1"/>
  <c r="C12215" i="1"/>
  <c r="E12215" i="1"/>
  <c r="G12215" i="1"/>
  <c r="K12215" i="1"/>
  <c r="A12216" i="1"/>
  <c r="B12216" i="1"/>
  <c r="C12216" i="1"/>
  <c r="E12216" i="1"/>
  <c r="G12216" i="1"/>
  <c r="K12216" i="1"/>
  <c r="A12217" i="1"/>
  <c r="B12217" i="1"/>
  <c r="C12217" i="1"/>
  <c r="E12217" i="1"/>
  <c r="G12217" i="1"/>
  <c r="K12217" i="1"/>
  <c r="A12218" i="1"/>
  <c r="B12218" i="1"/>
  <c r="C12218" i="1"/>
  <c r="E12218" i="1"/>
  <c r="G12218" i="1"/>
  <c r="K12218" i="1"/>
  <c r="A12219" i="1"/>
  <c r="B12219" i="1"/>
  <c r="C12219" i="1"/>
  <c r="E12219" i="1"/>
  <c r="G12219" i="1"/>
  <c r="K12219" i="1"/>
  <c r="A12220" i="1"/>
  <c r="B12220" i="1"/>
  <c r="C12220" i="1"/>
  <c r="E12220" i="1"/>
  <c r="G12220" i="1"/>
  <c r="K12220" i="1"/>
  <c r="A12221" i="1"/>
  <c r="B12221" i="1"/>
  <c r="C12221" i="1"/>
  <c r="E12221" i="1"/>
  <c r="G12221" i="1"/>
  <c r="K12221" i="1"/>
  <c r="A12222" i="1"/>
  <c r="B12222" i="1"/>
  <c r="C12222" i="1"/>
  <c r="E12222" i="1"/>
  <c r="G12222" i="1"/>
  <c r="K12222" i="1"/>
  <c r="A12223" i="1"/>
  <c r="B12223" i="1"/>
  <c r="C12223" i="1"/>
  <c r="E12223" i="1"/>
  <c r="G12223" i="1"/>
  <c r="K12223" i="1"/>
  <c r="A12224" i="1"/>
  <c r="B12224" i="1"/>
  <c r="C12224" i="1"/>
  <c r="E12224" i="1"/>
  <c r="G12224" i="1"/>
  <c r="K12224" i="1"/>
  <c r="A12225" i="1"/>
  <c r="B12225" i="1"/>
  <c r="C12225" i="1"/>
  <c r="E12225" i="1"/>
  <c r="G12225" i="1"/>
  <c r="K12225" i="1"/>
  <c r="A12226" i="1"/>
  <c r="B12226" i="1"/>
  <c r="C12226" i="1"/>
  <c r="E12226" i="1"/>
  <c r="G12226" i="1"/>
  <c r="K12226" i="1"/>
  <c r="A12227" i="1"/>
  <c r="B12227" i="1"/>
  <c r="C12227" i="1"/>
  <c r="E12227" i="1"/>
  <c r="G12227" i="1"/>
  <c r="K12227" i="1"/>
  <c r="A12228" i="1"/>
  <c r="B12228" i="1"/>
  <c r="C12228" i="1"/>
  <c r="E12228" i="1"/>
  <c r="G12228" i="1"/>
  <c r="K12228" i="1"/>
  <c r="A12229" i="1"/>
  <c r="B12229" i="1"/>
  <c r="C12229" i="1"/>
  <c r="E12229" i="1"/>
  <c r="G12229" i="1"/>
  <c r="K12229" i="1"/>
  <c r="A12230" i="1"/>
  <c r="B12230" i="1"/>
  <c r="C12230" i="1"/>
  <c r="E12230" i="1"/>
  <c r="G12230" i="1"/>
  <c r="K12230" i="1"/>
  <c r="A12231" i="1"/>
  <c r="B12231" i="1"/>
  <c r="C12231" i="1"/>
  <c r="E12231" i="1"/>
  <c r="G12231" i="1"/>
  <c r="K12231" i="1"/>
  <c r="A12232" i="1"/>
  <c r="B12232" i="1"/>
  <c r="C12232" i="1"/>
  <c r="E12232" i="1"/>
  <c r="G12232" i="1"/>
  <c r="K12232" i="1"/>
  <c r="A12233" i="1"/>
  <c r="B12233" i="1"/>
  <c r="C12233" i="1"/>
  <c r="E12233" i="1"/>
  <c r="G12233" i="1"/>
  <c r="K12233" i="1"/>
  <c r="A12234" i="1"/>
  <c r="B12234" i="1"/>
  <c r="C12234" i="1"/>
  <c r="E12234" i="1"/>
  <c r="G12234" i="1"/>
  <c r="K12234" i="1"/>
  <c r="A12235" i="1"/>
  <c r="B12235" i="1"/>
  <c r="C12235" i="1"/>
  <c r="E12235" i="1"/>
  <c r="G12235" i="1"/>
  <c r="K12235" i="1"/>
  <c r="A12236" i="1"/>
  <c r="B12236" i="1"/>
  <c r="C12236" i="1"/>
  <c r="E12236" i="1"/>
  <c r="G12236" i="1"/>
  <c r="K12236" i="1"/>
  <c r="A12237" i="1"/>
  <c r="B12237" i="1"/>
  <c r="C12237" i="1"/>
  <c r="E12237" i="1"/>
  <c r="G12237" i="1"/>
  <c r="K12237" i="1"/>
  <c r="A12238" i="1"/>
  <c r="B12238" i="1"/>
  <c r="C12238" i="1"/>
  <c r="E12238" i="1"/>
  <c r="G12238" i="1"/>
  <c r="K12238" i="1"/>
  <c r="A12239" i="1"/>
  <c r="B12239" i="1"/>
  <c r="C12239" i="1"/>
  <c r="E12239" i="1"/>
  <c r="G12239" i="1"/>
  <c r="K12239" i="1"/>
  <c r="A12240" i="1"/>
  <c r="B12240" i="1"/>
  <c r="C12240" i="1"/>
  <c r="E12240" i="1"/>
  <c r="G12240" i="1"/>
  <c r="K12240" i="1"/>
  <c r="A12241" i="1"/>
  <c r="B12241" i="1"/>
  <c r="C12241" i="1"/>
  <c r="E12241" i="1"/>
  <c r="G12241" i="1"/>
  <c r="K12241" i="1"/>
  <c r="A12242" i="1"/>
  <c r="B12242" i="1"/>
  <c r="C12242" i="1"/>
  <c r="E12242" i="1"/>
  <c r="G12242" i="1"/>
  <c r="K12242" i="1"/>
  <c r="A12243" i="1"/>
  <c r="B12243" i="1"/>
  <c r="C12243" i="1"/>
  <c r="E12243" i="1"/>
  <c r="G12243" i="1"/>
  <c r="K12243" i="1"/>
  <c r="A12244" i="1"/>
  <c r="B12244" i="1"/>
  <c r="C12244" i="1"/>
  <c r="E12244" i="1"/>
  <c r="G12244" i="1"/>
  <c r="K12244" i="1"/>
  <c r="A12245" i="1"/>
  <c r="B12245" i="1"/>
  <c r="C12245" i="1"/>
  <c r="E12245" i="1"/>
  <c r="G12245" i="1"/>
  <c r="K12245" i="1"/>
  <c r="A12246" i="1"/>
  <c r="B12246" i="1"/>
  <c r="C12246" i="1"/>
  <c r="E12246" i="1"/>
  <c r="G12246" i="1"/>
  <c r="K12246" i="1"/>
  <c r="A12247" i="1"/>
  <c r="B12247" i="1"/>
  <c r="C12247" i="1"/>
  <c r="E12247" i="1"/>
  <c r="G12247" i="1"/>
  <c r="K12247" i="1"/>
  <c r="A12248" i="1"/>
  <c r="B12248" i="1"/>
  <c r="C12248" i="1"/>
  <c r="E12248" i="1"/>
  <c r="G12248" i="1"/>
  <c r="K12248" i="1"/>
  <c r="A12249" i="1"/>
  <c r="B12249" i="1"/>
  <c r="C12249" i="1"/>
  <c r="E12249" i="1"/>
  <c r="G12249" i="1"/>
  <c r="K12249" i="1"/>
  <c r="A12250" i="1"/>
  <c r="B12250" i="1"/>
  <c r="C12250" i="1"/>
  <c r="E12250" i="1"/>
  <c r="G12250" i="1"/>
  <c r="K12250" i="1"/>
  <c r="A12251" i="1"/>
  <c r="B12251" i="1"/>
  <c r="C12251" i="1"/>
  <c r="E12251" i="1"/>
  <c r="G12251" i="1"/>
  <c r="K12251" i="1"/>
  <c r="A12252" i="1"/>
  <c r="B12252" i="1"/>
  <c r="C12252" i="1"/>
  <c r="E12252" i="1"/>
  <c r="G12252" i="1"/>
  <c r="K12252" i="1"/>
  <c r="A12253" i="1"/>
  <c r="B12253" i="1"/>
  <c r="C12253" i="1"/>
  <c r="E12253" i="1"/>
  <c r="G12253" i="1"/>
  <c r="K12253" i="1"/>
  <c r="A12254" i="1"/>
  <c r="B12254" i="1"/>
  <c r="C12254" i="1"/>
  <c r="E12254" i="1"/>
  <c r="G12254" i="1"/>
  <c r="K12254" i="1"/>
  <c r="A12255" i="1"/>
  <c r="B12255" i="1"/>
  <c r="C12255" i="1"/>
  <c r="E12255" i="1"/>
  <c r="G12255" i="1"/>
  <c r="K12255" i="1"/>
  <c r="A12256" i="1"/>
  <c r="B12256" i="1"/>
  <c r="C12256" i="1"/>
  <c r="E12256" i="1"/>
  <c r="G12256" i="1"/>
  <c r="K12256" i="1"/>
  <c r="A12257" i="1"/>
  <c r="B12257" i="1"/>
  <c r="C12257" i="1"/>
  <c r="E12257" i="1"/>
  <c r="G12257" i="1"/>
  <c r="K12257" i="1"/>
  <c r="A12258" i="1"/>
  <c r="B12258" i="1"/>
  <c r="C12258" i="1"/>
  <c r="E12258" i="1"/>
  <c r="G12258" i="1"/>
  <c r="K12258" i="1"/>
  <c r="A12259" i="1"/>
  <c r="B12259" i="1"/>
  <c r="C12259" i="1"/>
  <c r="E12259" i="1"/>
  <c r="G12259" i="1"/>
  <c r="K12259" i="1"/>
  <c r="A12260" i="1"/>
  <c r="B12260" i="1"/>
  <c r="C12260" i="1"/>
  <c r="E12260" i="1"/>
  <c r="G12260" i="1"/>
  <c r="K12260" i="1"/>
  <c r="A12261" i="1"/>
  <c r="B12261" i="1"/>
  <c r="C12261" i="1"/>
  <c r="E12261" i="1"/>
  <c r="G12261" i="1"/>
  <c r="K12261" i="1"/>
  <c r="A12262" i="1"/>
  <c r="B12262" i="1"/>
  <c r="C12262" i="1"/>
  <c r="E12262" i="1"/>
  <c r="G12262" i="1"/>
  <c r="K12262" i="1"/>
  <c r="A12263" i="1"/>
  <c r="B12263" i="1"/>
  <c r="C12263" i="1"/>
  <c r="E12263" i="1"/>
  <c r="G12263" i="1"/>
  <c r="K12263" i="1"/>
  <c r="A12264" i="1"/>
  <c r="B12264" i="1"/>
  <c r="C12264" i="1"/>
  <c r="E12264" i="1"/>
  <c r="G12264" i="1"/>
  <c r="K12264" i="1"/>
  <c r="A12265" i="1"/>
  <c r="B12265" i="1"/>
  <c r="C12265" i="1"/>
  <c r="E12265" i="1"/>
  <c r="G12265" i="1"/>
  <c r="K12265" i="1"/>
  <c r="A12266" i="1"/>
  <c r="B12266" i="1"/>
  <c r="C12266" i="1"/>
  <c r="E12266" i="1"/>
  <c r="G12266" i="1"/>
  <c r="K12266" i="1"/>
  <c r="A12267" i="1"/>
  <c r="B12267" i="1"/>
  <c r="C12267" i="1"/>
  <c r="E12267" i="1"/>
  <c r="G12267" i="1"/>
  <c r="K12267" i="1"/>
  <c r="A12268" i="1"/>
  <c r="B12268" i="1"/>
  <c r="C12268" i="1"/>
  <c r="E12268" i="1"/>
  <c r="G12268" i="1"/>
  <c r="K12268" i="1"/>
  <c r="A12269" i="1"/>
  <c r="B12269" i="1"/>
  <c r="C12269" i="1"/>
  <c r="E12269" i="1"/>
  <c r="G12269" i="1"/>
  <c r="K12269" i="1"/>
  <c r="A12270" i="1"/>
  <c r="B12270" i="1"/>
  <c r="C12270" i="1"/>
  <c r="E12270" i="1"/>
  <c r="G12270" i="1"/>
  <c r="K12270" i="1"/>
  <c r="A12271" i="1"/>
  <c r="B12271" i="1"/>
  <c r="C12271" i="1"/>
  <c r="E12271" i="1"/>
  <c r="G12271" i="1"/>
  <c r="K12271" i="1"/>
  <c r="A12272" i="1"/>
  <c r="B12272" i="1"/>
  <c r="C12272" i="1"/>
  <c r="E12272" i="1"/>
  <c r="G12272" i="1"/>
  <c r="K12272" i="1"/>
  <c r="A12273" i="1"/>
  <c r="B12273" i="1"/>
  <c r="C12273" i="1"/>
  <c r="E12273" i="1"/>
  <c r="G12273" i="1"/>
  <c r="K12273" i="1"/>
  <c r="A12274" i="1"/>
  <c r="B12274" i="1"/>
  <c r="C12274" i="1"/>
  <c r="E12274" i="1"/>
  <c r="G12274" i="1"/>
  <c r="K12274" i="1"/>
  <c r="A12275" i="1"/>
  <c r="B12275" i="1"/>
  <c r="C12275" i="1"/>
  <c r="E12275" i="1"/>
  <c r="G12275" i="1"/>
  <c r="K12275" i="1"/>
  <c r="A12276" i="1"/>
  <c r="B12276" i="1"/>
  <c r="C12276" i="1"/>
  <c r="E12276" i="1"/>
  <c r="G12276" i="1"/>
  <c r="K12276" i="1"/>
  <c r="A12277" i="1"/>
  <c r="B12277" i="1"/>
  <c r="C12277" i="1"/>
  <c r="E12277" i="1"/>
  <c r="G12277" i="1"/>
  <c r="K12277" i="1"/>
  <c r="A12278" i="1"/>
  <c r="B12278" i="1"/>
  <c r="C12278" i="1"/>
  <c r="E12278" i="1"/>
  <c r="G12278" i="1"/>
  <c r="K12278" i="1"/>
  <c r="A12279" i="1"/>
  <c r="B12279" i="1"/>
  <c r="C12279" i="1"/>
  <c r="E12279" i="1"/>
  <c r="G12279" i="1"/>
  <c r="K12279" i="1"/>
  <c r="A12280" i="1"/>
  <c r="B12280" i="1"/>
  <c r="C12280" i="1"/>
  <c r="E12280" i="1"/>
  <c r="G12280" i="1"/>
  <c r="K12280" i="1"/>
  <c r="A12281" i="1"/>
  <c r="B12281" i="1"/>
  <c r="C12281" i="1"/>
  <c r="E12281" i="1"/>
  <c r="G12281" i="1"/>
  <c r="K12281" i="1"/>
  <c r="A12282" i="1"/>
  <c r="B12282" i="1"/>
  <c r="C12282" i="1"/>
  <c r="E12282" i="1"/>
  <c r="G12282" i="1"/>
  <c r="K12282" i="1"/>
  <c r="A12283" i="1"/>
  <c r="B12283" i="1"/>
  <c r="C12283" i="1"/>
  <c r="E12283" i="1"/>
  <c r="G12283" i="1"/>
  <c r="K12283" i="1"/>
  <c r="A12284" i="1"/>
  <c r="B12284" i="1"/>
  <c r="C12284" i="1"/>
  <c r="E12284" i="1"/>
  <c r="G12284" i="1"/>
  <c r="K12284" i="1"/>
  <c r="A12285" i="1"/>
  <c r="B12285" i="1"/>
  <c r="C12285" i="1"/>
  <c r="E12285" i="1"/>
  <c r="G12285" i="1"/>
  <c r="K12285" i="1"/>
  <c r="A12286" i="1"/>
  <c r="B12286" i="1"/>
  <c r="C12286" i="1"/>
  <c r="E12286" i="1"/>
  <c r="G12286" i="1"/>
  <c r="K12286" i="1"/>
  <c r="A12287" i="1"/>
  <c r="B12287" i="1"/>
  <c r="C12287" i="1"/>
  <c r="E12287" i="1"/>
  <c r="G12287" i="1"/>
  <c r="K12287" i="1"/>
  <c r="A12288" i="1"/>
  <c r="B12288" i="1"/>
  <c r="C12288" i="1"/>
  <c r="E12288" i="1"/>
  <c r="G12288" i="1"/>
  <c r="K12288" i="1"/>
  <c r="A12289" i="1"/>
  <c r="B12289" i="1"/>
  <c r="C12289" i="1"/>
  <c r="E12289" i="1"/>
  <c r="G12289" i="1"/>
  <c r="K12289" i="1"/>
  <c r="A12290" i="1"/>
  <c r="B12290" i="1"/>
  <c r="C12290" i="1"/>
  <c r="E12290" i="1"/>
  <c r="G12290" i="1"/>
  <c r="K12290" i="1"/>
  <c r="A12291" i="1"/>
  <c r="B12291" i="1"/>
  <c r="C12291" i="1"/>
  <c r="E12291" i="1"/>
  <c r="G12291" i="1"/>
  <c r="K12291" i="1"/>
  <c r="A12292" i="1"/>
  <c r="B12292" i="1"/>
  <c r="C12292" i="1"/>
  <c r="E12292" i="1"/>
  <c r="G12292" i="1"/>
  <c r="K12292" i="1"/>
  <c r="A12293" i="1"/>
  <c r="B12293" i="1"/>
  <c r="C12293" i="1"/>
  <c r="E12293" i="1"/>
  <c r="G12293" i="1"/>
  <c r="K12293" i="1"/>
  <c r="A12294" i="1"/>
  <c r="B12294" i="1"/>
  <c r="C12294" i="1"/>
  <c r="E12294" i="1"/>
  <c r="G12294" i="1"/>
  <c r="K12294" i="1"/>
  <c r="A12295" i="1"/>
  <c r="B12295" i="1"/>
  <c r="C12295" i="1"/>
  <c r="E12295" i="1"/>
  <c r="G12295" i="1"/>
  <c r="K12295" i="1"/>
  <c r="A12296" i="1"/>
  <c r="B12296" i="1"/>
  <c r="C12296" i="1"/>
  <c r="E12296" i="1"/>
  <c r="G12296" i="1"/>
  <c r="K12296" i="1"/>
  <c r="A12297" i="1"/>
  <c r="B12297" i="1"/>
  <c r="C12297" i="1"/>
  <c r="E12297" i="1"/>
  <c r="G12297" i="1"/>
  <c r="K12297" i="1"/>
  <c r="A12298" i="1"/>
  <c r="B12298" i="1"/>
  <c r="C12298" i="1"/>
  <c r="E12298" i="1"/>
  <c r="G12298" i="1"/>
  <c r="K12298" i="1"/>
  <c r="A12299" i="1"/>
  <c r="B12299" i="1"/>
  <c r="C12299" i="1"/>
  <c r="E12299" i="1"/>
  <c r="G12299" i="1"/>
  <c r="K12299" i="1"/>
  <c r="A12300" i="1"/>
  <c r="B12300" i="1"/>
  <c r="C12300" i="1"/>
  <c r="E12300" i="1"/>
  <c r="G12300" i="1"/>
  <c r="K12300" i="1"/>
  <c r="A12301" i="1"/>
  <c r="B12301" i="1"/>
  <c r="C12301" i="1"/>
  <c r="E12301" i="1"/>
  <c r="G12301" i="1"/>
  <c r="K12301" i="1"/>
  <c r="A12302" i="1"/>
  <c r="B12302" i="1"/>
  <c r="C12302" i="1"/>
  <c r="E12302" i="1"/>
  <c r="G12302" i="1"/>
  <c r="K12302" i="1"/>
  <c r="A12303" i="1"/>
  <c r="B12303" i="1"/>
  <c r="C12303" i="1"/>
  <c r="E12303" i="1"/>
  <c r="G12303" i="1"/>
  <c r="K12303" i="1"/>
  <c r="A12304" i="1"/>
  <c r="B12304" i="1"/>
  <c r="C12304" i="1"/>
  <c r="E12304" i="1"/>
  <c r="G12304" i="1"/>
  <c r="K12304" i="1"/>
  <c r="A12305" i="1"/>
  <c r="B12305" i="1"/>
  <c r="C12305" i="1"/>
  <c r="E12305" i="1"/>
  <c r="G12305" i="1"/>
  <c r="K12305" i="1"/>
  <c r="A12306" i="1"/>
  <c r="B12306" i="1"/>
  <c r="C12306" i="1"/>
  <c r="E12306" i="1"/>
  <c r="G12306" i="1"/>
  <c r="K12306" i="1"/>
  <c r="A12307" i="1"/>
  <c r="B12307" i="1"/>
  <c r="C12307" i="1"/>
  <c r="E12307" i="1"/>
  <c r="G12307" i="1"/>
  <c r="K12307" i="1"/>
  <c r="A12308" i="1"/>
  <c r="B12308" i="1"/>
  <c r="C12308" i="1"/>
  <c r="E12308" i="1"/>
  <c r="G12308" i="1"/>
  <c r="K12308" i="1"/>
  <c r="A12309" i="1"/>
  <c r="B12309" i="1"/>
  <c r="C12309" i="1"/>
  <c r="E12309" i="1"/>
  <c r="G12309" i="1"/>
  <c r="K12309" i="1"/>
  <c r="A12310" i="1"/>
  <c r="B12310" i="1"/>
  <c r="C12310" i="1"/>
  <c r="E12310" i="1"/>
  <c r="G12310" i="1"/>
  <c r="K12310" i="1"/>
  <c r="A12311" i="1"/>
  <c r="B12311" i="1"/>
  <c r="C12311" i="1"/>
  <c r="E12311" i="1"/>
  <c r="G12311" i="1"/>
  <c r="K12311" i="1"/>
  <c r="A12312" i="1"/>
  <c r="B12312" i="1"/>
  <c r="C12312" i="1"/>
  <c r="E12312" i="1"/>
  <c r="G12312" i="1"/>
  <c r="K12312" i="1"/>
  <c r="A12313" i="1"/>
  <c r="B12313" i="1"/>
  <c r="C12313" i="1"/>
  <c r="E12313" i="1"/>
  <c r="G12313" i="1"/>
  <c r="K12313" i="1"/>
  <c r="A12314" i="1"/>
  <c r="B12314" i="1"/>
  <c r="C12314" i="1"/>
  <c r="E12314" i="1"/>
  <c r="G12314" i="1"/>
  <c r="K12314" i="1"/>
  <c r="A12315" i="1"/>
  <c r="B12315" i="1"/>
  <c r="C12315" i="1"/>
  <c r="E12315" i="1"/>
  <c r="G12315" i="1"/>
  <c r="K12315" i="1"/>
  <c r="A12316" i="1"/>
  <c r="B12316" i="1"/>
  <c r="C12316" i="1"/>
  <c r="E12316" i="1"/>
  <c r="G12316" i="1"/>
  <c r="K12316" i="1"/>
  <c r="A12317" i="1"/>
  <c r="B12317" i="1"/>
  <c r="C12317" i="1"/>
  <c r="E12317" i="1"/>
  <c r="G12317" i="1"/>
  <c r="K12317" i="1"/>
  <c r="A12318" i="1"/>
  <c r="B12318" i="1"/>
  <c r="C12318" i="1"/>
  <c r="E12318" i="1"/>
  <c r="G12318" i="1"/>
  <c r="K12318" i="1"/>
  <c r="A12319" i="1"/>
  <c r="B12319" i="1"/>
  <c r="C12319" i="1"/>
  <c r="E12319" i="1"/>
  <c r="G12319" i="1"/>
  <c r="K12319" i="1"/>
  <c r="A12320" i="1"/>
  <c r="B12320" i="1"/>
  <c r="C12320" i="1"/>
  <c r="E12320" i="1"/>
  <c r="G12320" i="1"/>
  <c r="K12320" i="1"/>
  <c r="A12321" i="1"/>
  <c r="B12321" i="1"/>
  <c r="C12321" i="1"/>
  <c r="E12321" i="1"/>
  <c r="G12321" i="1"/>
  <c r="K12321" i="1"/>
  <c r="A12322" i="1"/>
  <c r="B12322" i="1"/>
  <c r="C12322" i="1"/>
  <c r="E12322" i="1"/>
  <c r="G12322" i="1"/>
  <c r="K12322" i="1"/>
  <c r="A12323" i="1"/>
  <c r="B12323" i="1"/>
  <c r="C12323" i="1"/>
  <c r="E12323" i="1"/>
  <c r="G12323" i="1"/>
  <c r="K12323" i="1"/>
  <c r="A12324" i="1"/>
  <c r="B12324" i="1"/>
  <c r="C12324" i="1"/>
  <c r="E12324" i="1"/>
  <c r="G12324" i="1"/>
  <c r="K12324" i="1"/>
  <c r="A12325" i="1"/>
  <c r="B12325" i="1"/>
  <c r="C12325" i="1"/>
  <c r="E12325" i="1"/>
  <c r="G12325" i="1"/>
  <c r="K12325" i="1"/>
  <c r="A12326" i="1"/>
  <c r="B12326" i="1"/>
  <c r="C12326" i="1"/>
  <c r="E12326" i="1"/>
  <c r="G12326" i="1"/>
  <c r="K12326" i="1"/>
  <c r="A12327" i="1"/>
  <c r="B12327" i="1"/>
  <c r="C12327" i="1"/>
  <c r="E12327" i="1"/>
  <c r="G12327" i="1"/>
  <c r="K12327" i="1"/>
  <c r="A12328" i="1"/>
  <c r="B12328" i="1"/>
  <c r="C12328" i="1"/>
  <c r="E12328" i="1"/>
  <c r="G12328" i="1"/>
  <c r="K12328" i="1"/>
  <c r="A12329" i="1"/>
  <c r="B12329" i="1"/>
  <c r="C12329" i="1"/>
  <c r="E12329" i="1"/>
  <c r="G12329" i="1"/>
  <c r="K12329" i="1"/>
  <c r="A12330" i="1"/>
  <c r="B12330" i="1"/>
  <c r="C12330" i="1"/>
  <c r="E12330" i="1"/>
  <c r="G12330" i="1"/>
  <c r="K12330" i="1"/>
  <c r="A12331" i="1"/>
  <c r="B12331" i="1"/>
  <c r="C12331" i="1"/>
  <c r="E12331" i="1"/>
  <c r="G12331" i="1"/>
  <c r="K12331" i="1"/>
  <c r="A12332" i="1"/>
  <c r="B12332" i="1"/>
  <c r="C12332" i="1"/>
  <c r="E12332" i="1"/>
  <c r="G12332" i="1"/>
  <c r="K12332" i="1"/>
  <c r="A12333" i="1"/>
  <c r="B12333" i="1"/>
  <c r="C12333" i="1"/>
  <c r="E12333" i="1"/>
  <c r="G12333" i="1"/>
  <c r="K12333" i="1"/>
  <c r="A12334" i="1"/>
  <c r="B12334" i="1"/>
  <c r="C12334" i="1"/>
  <c r="E12334" i="1"/>
  <c r="G12334" i="1"/>
  <c r="K12334" i="1"/>
  <c r="A12335" i="1"/>
  <c r="B12335" i="1"/>
  <c r="C12335" i="1"/>
  <c r="E12335" i="1"/>
  <c r="G12335" i="1"/>
  <c r="K12335" i="1"/>
  <c r="A12336" i="1"/>
  <c r="B12336" i="1"/>
  <c r="C12336" i="1"/>
  <c r="E12336" i="1"/>
  <c r="G12336" i="1"/>
  <c r="K12336" i="1"/>
  <c r="A12337" i="1"/>
  <c r="B12337" i="1"/>
  <c r="C12337" i="1"/>
  <c r="E12337" i="1"/>
  <c r="G12337" i="1"/>
  <c r="K12337" i="1"/>
  <c r="A12338" i="1"/>
  <c r="B12338" i="1"/>
  <c r="C12338" i="1"/>
  <c r="E12338" i="1"/>
  <c r="G12338" i="1"/>
  <c r="K12338" i="1"/>
  <c r="A12339" i="1"/>
  <c r="B12339" i="1"/>
  <c r="C12339" i="1"/>
  <c r="E12339" i="1"/>
  <c r="G12339" i="1"/>
  <c r="K12339" i="1"/>
  <c r="A12340" i="1"/>
  <c r="B12340" i="1"/>
  <c r="C12340" i="1"/>
  <c r="E12340" i="1"/>
  <c r="G12340" i="1"/>
  <c r="K12340" i="1"/>
  <c r="A12341" i="1"/>
  <c r="B12341" i="1"/>
  <c r="C12341" i="1"/>
  <c r="E12341" i="1"/>
  <c r="G12341" i="1"/>
  <c r="K12341" i="1"/>
  <c r="A12342" i="1"/>
  <c r="B12342" i="1"/>
  <c r="C12342" i="1"/>
  <c r="E12342" i="1"/>
  <c r="G12342" i="1"/>
  <c r="K12342" i="1"/>
  <c r="A12343" i="1"/>
  <c r="B12343" i="1"/>
  <c r="C12343" i="1"/>
  <c r="E12343" i="1"/>
  <c r="G12343" i="1"/>
  <c r="K12343" i="1"/>
  <c r="A12344" i="1"/>
  <c r="B12344" i="1"/>
  <c r="C12344" i="1"/>
  <c r="E12344" i="1"/>
  <c r="G12344" i="1"/>
  <c r="K12344" i="1"/>
  <c r="A12345" i="1"/>
  <c r="B12345" i="1"/>
  <c r="C12345" i="1"/>
  <c r="E12345" i="1"/>
  <c r="G12345" i="1"/>
  <c r="K12345" i="1"/>
  <c r="A12346" i="1"/>
  <c r="B12346" i="1"/>
  <c r="C12346" i="1"/>
  <c r="E12346" i="1"/>
  <c r="G12346" i="1"/>
  <c r="K12346" i="1"/>
  <c r="A12347" i="1"/>
  <c r="B12347" i="1"/>
  <c r="C12347" i="1"/>
  <c r="E12347" i="1"/>
  <c r="G12347" i="1"/>
  <c r="K12347" i="1"/>
  <c r="A12348" i="1"/>
  <c r="B12348" i="1"/>
  <c r="C12348" i="1"/>
  <c r="E12348" i="1"/>
  <c r="G12348" i="1"/>
  <c r="K12348" i="1"/>
  <c r="A12349" i="1"/>
  <c r="B12349" i="1"/>
  <c r="C12349" i="1"/>
  <c r="E12349" i="1"/>
  <c r="G12349" i="1"/>
  <c r="K12349" i="1"/>
  <c r="A12350" i="1"/>
  <c r="B12350" i="1"/>
  <c r="C12350" i="1"/>
  <c r="E12350" i="1"/>
  <c r="G12350" i="1"/>
  <c r="K12350" i="1"/>
  <c r="A12351" i="1"/>
  <c r="B12351" i="1"/>
  <c r="C12351" i="1"/>
  <c r="E12351" i="1"/>
  <c r="G12351" i="1"/>
  <c r="K12351" i="1"/>
  <c r="A12352" i="1"/>
  <c r="B12352" i="1"/>
  <c r="C12352" i="1"/>
  <c r="E12352" i="1"/>
  <c r="G12352" i="1"/>
  <c r="K12352" i="1"/>
  <c r="A12353" i="1"/>
  <c r="B12353" i="1"/>
  <c r="C12353" i="1"/>
  <c r="E12353" i="1"/>
  <c r="G12353" i="1"/>
  <c r="K12353" i="1"/>
  <c r="A12354" i="1"/>
  <c r="B12354" i="1"/>
  <c r="C12354" i="1"/>
  <c r="E12354" i="1"/>
  <c r="G12354" i="1"/>
  <c r="K12354" i="1"/>
  <c r="A12355" i="1"/>
  <c r="B12355" i="1"/>
  <c r="C12355" i="1"/>
  <c r="E12355" i="1"/>
  <c r="G12355" i="1"/>
  <c r="K12355" i="1"/>
  <c r="A12356" i="1"/>
  <c r="B12356" i="1"/>
  <c r="C12356" i="1"/>
  <c r="E12356" i="1"/>
  <c r="G12356" i="1"/>
  <c r="K12356" i="1"/>
  <c r="A12357" i="1"/>
  <c r="B12357" i="1"/>
  <c r="C12357" i="1"/>
  <c r="E12357" i="1"/>
  <c r="G12357" i="1"/>
  <c r="K12357" i="1"/>
  <c r="A12358" i="1"/>
  <c r="B12358" i="1"/>
  <c r="C12358" i="1"/>
  <c r="E12358" i="1"/>
  <c r="G12358" i="1"/>
  <c r="K12358" i="1"/>
  <c r="A12359" i="1"/>
  <c r="B12359" i="1"/>
  <c r="C12359" i="1"/>
  <c r="E12359" i="1"/>
  <c r="G12359" i="1"/>
  <c r="K12359" i="1"/>
  <c r="A12360" i="1"/>
  <c r="B12360" i="1"/>
  <c r="C12360" i="1"/>
  <c r="E12360" i="1"/>
  <c r="G12360" i="1"/>
  <c r="K12360" i="1"/>
  <c r="A12361" i="1"/>
  <c r="B12361" i="1"/>
  <c r="C12361" i="1"/>
  <c r="E12361" i="1"/>
  <c r="G12361" i="1"/>
  <c r="K12361" i="1"/>
  <c r="A12362" i="1"/>
  <c r="B12362" i="1"/>
  <c r="C12362" i="1"/>
  <c r="E12362" i="1"/>
  <c r="G12362" i="1"/>
  <c r="K12362" i="1"/>
  <c r="A12363" i="1"/>
  <c r="B12363" i="1"/>
  <c r="C12363" i="1"/>
  <c r="E12363" i="1"/>
  <c r="G12363" i="1"/>
  <c r="K12363" i="1"/>
  <c r="A12364" i="1"/>
  <c r="B12364" i="1"/>
  <c r="C12364" i="1"/>
  <c r="E12364" i="1"/>
  <c r="G12364" i="1"/>
  <c r="K12364" i="1"/>
  <c r="A12365" i="1"/>
  <c r="B12365" i="1"/>
  <c r="C12365" i="1"/>
  <c r="E12365" i="1"/>
  <c r="G12365" i="1"/>
  <c r="K12365" i="1"/>
  <c r="A12366" i="1"/>
  <c r="B12366" i="1"/>
  <c r="C12366" i="1"/>
  <c r="E12366" i="1"/>
  <c r="G12366" i="1"/>
  <c r="K12366" i="1"/>
  <c r="A12367" i="1"/>
  <c r="B12367" i="1"/>
  <c r="C12367" i="1"/>
  <c r="E12367" i="1"/>
  <c r="G12367" i="1"/>
  <c r="K12367" i="1"/>
  <c r="A12368" i="1"/>
  <c r="B12368" i="1"/>
  <c r="C12368" i="1"/>
  <c r="E12368" i="1"/>
  <c r="G12368" i="1"/>
  <c r="K12368" i="1"/>
  <c r="A12369" i="1"/>
  <c r="B12369" i="1"/>
  <c r="C12369" i="1"/>
  <c r="E12369" i="1"/>
  <c r="G12369" i="1"/>
  <c r="K12369" i="1"/>
  <c r="A12370" i="1"/>
  <c r="B12370" i="1"/>
  <c r="C12370" i="1"/>
  <c r="E12370" i="1"/>
  <c r="G12370" i="1"/>
  <c r="K12370" i="1"/>
  <c r="A12371" i="1"/>
  <c r="B12371" i="1"/>
  <c r="C12371" i="1"/>
  <c r="E12371" i="1"/>
  <c r="G12371" i="1"/>
  <c r="K12371" i="1"/>
  <c r="A12372" i="1"/>
  <c r="B12372" i="1"/>
  <c r="C12372" i="1"/>
  <c r="E12372" i="1"/>
  <c r="G12372" i="1"/>
  <c r="K12372" i="1"/>
  <c r="A12373" i="1"/>
  <c r="B12373" i="1"/>
  <c r="C12373" i="1"/>
  <c r="E12373" i="1"/>
  <c r="G12373" i="1"/>
  <c r="K12373" i="1"/>
  <c r="A12374" i="1"/>
  <c r="B12374" i="1"/>
  <c r="C12374" i="1"/>
  <c r="E12374" i="1"/>
  <c r="G12374" i="1"/>
  <c r="K12374" i="1"/>
  <c r="A12375" i="1"/>
  <c r="B12375" i="1"/>
  <c r="C12375" i="1"/>
  <c r="E12375" i="1"/>
  <c r="G12375" i="1"/>
  <c r="K12375" i="1"/>
  <c r="A12376" i="1"/>
  <c r="B12376" i="1"/>
  <c r="C12376" i="1"/>
  <c r="E12376" i="1"/>
  <c r="G12376" i="1"/>
  <c r="K12376" i="1"/>
  <c r="A12377" i="1"/>
  <c r="B12377" i="1"/>
  <c r="C12377" i="1"/>
  <c r="E12377" i="1"/>
  <c r="G12377" i="1"/>
  <c r="K12377" i="1"/>
  <c r="A12378" i="1"/>
  <c r="B12378" i="1"/>
  <c r="C12378" i="1"/>
  <c r="E12378" i="1"/>
  <c r="G12378" i="1"/>
  <c r="K12378" i="1"/>
  <c r="A12379" i="1"/>
  <c r="B12379" i="1"/>
  <c r="C12379" i="1"/>
  <c r="E12379" i="1"/>
  <c r="G12379" i="1"/>
  <c r="K12379" i="1"/>
  <c r="A12380" i="1"/>
  <c r="B12380" i="1"/>
  <c r="C12380" i="1"/>
  <c r="E12380" i="1"/>
  <c r="G12380" i="1"/>
  <c r="K12380" i="1"/>
  <c r="A12381" i="1"/>
  <c r="B12381" i="1"/>
  <c r="C12381" i="1"/>
  <c r="E12381" i="1"/>
  <c r="G12381" i="1"/>
  <c r="K12381" i="1"/>
  <c r="A12382" i="1"/>
  <c r="B12382" i="1"/>
  <c r="C12382" i="1"/>
  <c r="E12382" i="1"/>
  <c r="G12382" i="1"/>
  <c r="K12382" i="1"/>
  <c r="A12383" i="1"/>
  <c r="B12383" i="1"/>
  <c r="C12383" i="1"/>
  <c r="E12383" i="1"/>
  <c r="G12383" i="1"/>
  <c r="K12383" i="1"/>
  <c r="A12384" i="1"/>
  <c r="B12384" i="1"/>
  <c r="C12384" i="1"/>
  <c r="E12384" i="1"/>
  <c r="G12384" i="1"/>
  <c r="K12384" i="1"/>
  <c r="A12385" i="1"/>
  <c r="B12385" i="1"/>
  <c r="C12385" i="1"/>
  <c r="E12385" i="1"/>
  <c r="G12385" i="1"/>
  <c r="K12385" i="1"/>
  <c r="A12386" i="1"/>
  <c r="B12386" i="1"/>
  <c r="C12386" i="1"/>
  <c r="E12386" i="1"/>
  <c r="G12386" i="1"/>
  <c r="K12386" i="1"/>
  <c r="A12387" i="1"/>
  <c r="B12387" i="1"/>
  <c r="C12387" i="1"/>
  <c r="E12387" i="1"/>
  <c r="G12387" i="1"/>
  <c r="K12387" i="1"/>
  <c r="A12388" i="1"/>
  <c r="B12388" i="1"/>
  <c r="C12388" i="1"/>
  <c r="E12388" i="1"/>
  <c r="G12388" i="1"/>
  <c r="K12388" i="1"/>
  <c r="A12389" i="1"/>
  <c r="B12389" i="1"/>
  <c r="C12389" i="1"/>
  <c r="E12389" i="1"/>
  <c r="G12389" i="1"/>
  <c r="K12389" i="1"/>
  <c r="A12390" i="1"/>
  <c r="B12390" i="1"/>
  <c r="C12390" i="1"/>
  <c r="E12390" i="1"/>
  <c r="G12390" i="1"/>
  <c r="K12390" i="1"/>
  <c r="A12391" i="1"/>
  <c r="B12391" i="1"/>
  <c r="C12391" i="1"/>
  <c r="E12391" i="1"/>
  <c r="G12391" i="1"/>
  <c r="K12391" i="1"/>
  <c r="A12392" i="1"/>
  <c r="B12392" i="1"/>
  <c r="C12392" i="1"/>
  <c r="E12392" i="1"/>
  <c r="G12392" i="1"/>
  <c r="K12392" i="1"/>
  <c r="A12393" i="1"/>
  <c r="B12393" i="1"/>
  <c r="C12393" i="1"/>
  <c r="E12393" i="1"/>
  <c r="G12393" i="1"/>
  <c r="K12393" i="1"/>
  <c r="A12394" i="1"/>
  <c r="B12394" i="1"/>
  <c r="C12394" i="1"/>
  <c r="E12394" i="1"/>
  <c r="G12394" i="1"/>
  <c r="K12394" i="1"/>
  <c r="A12395" i="1"/>
  <c r="B12395" i="1"/>
  <c r="C12395" i="1"/>
  <c r="E12395" i="1"/>
  <c r="G12395" i="1"/>
  <c r="K12395" i="1"/>
  <c r="A12396" i="1"/>
  <c r="B12396" i="1"/>
  <c r="C12396" i="1"/>
  <c r="E12396" i="1"/>
  <c r="G12396" i="1"/>
  <c r="K12396" i="1"/>
  <c r="A12397" i="1"/>
  <c r="B12397" i="1"/>
  <c r="C12397" i="1"/>
  <c r="E12397" i="1"/>
  <c r="G12397" i="1"/>
  <c r="K12397" i="1"/>
  <c r="A12398" i="1"/>
  <c r="B12398" i="1"/>
  <c r="C12398" i="1"/>
  <c r="E12398" i="1"/>
  <c r="G12398" i="1"/>
  <c r="K12398" i="1"/>
  <c r="A12399" i="1"/>
  <c r="B12399" i="1"/>
  <c r="C12399" i="1"/>
  <c r="E12399" i="1"/>
  <c r="G12399" i="1"/>
  <c r="K12399" i="1"/>
  <c r="A12400" i="1"/>
  <c r="B12400" i="1"/>
  <c r="C12400" i="1"/>
  <c r="E12400" i="1"/>
  <c r="G12400" i="1"/>
  <c r="K12400" i="1"/>
  <c r="A12401" i="1"/>
  <c r="B12401" i="1"/>
  <c r="C12401" i="1"/>
  <c r="E12401" i="1"/>
  <c r="G12401" i="1"/>
  <c r="K12401" i="1"/>
  <c r="A12402" i="1"/>
  <c r="B12402" i="1"/>
  <c r="C12402" i="1"/>
  <c r="E12402" i="1"/>
  <c r="G12402" i="1"/>
  <c r="K12402" i="1"/>
  <c r="A12403" i="1"/>
  <c r="B12403" i="1"/>
  <c r="C12403" i="1"/>
  <c r="E12403" i="1"/>
  <c r="G12403" i="1"/>
  <c r="K12403" i="1"/>
  <c r="A12404" i="1"/>
  <c r="B12404" i="1"/>
  <c r="C12404" i="1"/>
  <c r="E12404" i="1"/>
  <c r="G12404" i="1"/>
  <c r="K12404" i="1"/>
  <c r="A12405" i="1"/>
  <c r="B12405" i="1"/>
  <c r="C12405" i="1"/>
  <c r="E12405" i="1"/>
  <c r="G12405" i="1"/>
  <c r="K12405" i="1"/>
  <c r="A12406" i="1"/>
  <c r="B12406" i="1"/>
  <c r="C12406" i="1"/>
  <c r="E12406" i="1"/>
  <c r="G12406" i="1"/>
  <c r="K12406" i="1"/>
  <c r="A12407" i="1"/>
  <c r="B12407" i="1"/>
  <c r="C12407" i="1"/>
  <c r="E12407" i="1"/>
  <c r="G12407" i="1"/>
  <c r="K12407" i="1"/>
  <c r="A12408" i="1"/>
  <c r="B12408" i="1"/>
  <c r="C12408" i="1"/>
  <c r="E12408" i="1"/>
  <c r="G12408" i="1"/>
  <c r="K12408" i="1"/>
  <c r="A12409" i="1"/>
  <c r="B12409" i="1"/>
  <c r="C12409" i="1"/>
  <c r="E12409" i="1"/>
  <c r="G12409" i="1"/>
  <c r="K12409" i="1"/>
  <c r="A12410" i="1"/>
  <c r="B12410" i="1"/>
  <c r="C12410" i="1"/>
  <c r="E12410" i="1"/>
  <c r="G12410" i="1"/>
  <c r="K12410" i="1"/>
  <c r="A12411" i="1"/>
  <c r="B12411" i="1"/>
  <c r="C12411" i="1"/>
  <c r="E12411" i="1"/>
  <c r="G12411" i="1"/>
  <c r="K12411" i="1"/>
  <c r="A12412" i="1"/>
  <c r="B12412" i="1"/>
  <c r="C12412" i="1"/>
  <c r="E12412" i="1"/>
  <c r="G12412" i="1"/>
  <c r="K12412" i="1"/>
  <c r="A12413" i="1"/>
  <c r="B12413" i="1"/>
  <c r="C12413" i="1"/>
  <c r="E12413" i="1"/>
  <c r="G12413" i="1"/>
  <c r="K12413" i="1"/>
  <c r="A12414" i="1"/>
  <c r="B12414" i="1"/>
  <c r="C12414" i="1"/>
  <c r="E12414" i="1"/>
  <c r="G12414" i="1"/>
  <c r="K12414" i="1"/>
  <c r="A12415" i="1"/>
  <c r="B12415" i="1"/>
  <c r="C12415" i="1"/>
  <c r="E12415" i="1"/>
  <c r="G12415" i="1"/>
  <c r="K12415" i="1"/>
  <c r="A12416" i="1"/>
  <c r="B12416" i="1"/>
  <c r="C12416" i="1"/>
  <c r="E12416" i="1"/>
  <c r="G12416" i="1"/>
  <c r="K12416" i="1"/>
  <c r="A12417" i="1"/>
  <c r="B12417" i="1"/>
  <c r="C12417" i="1"/>
  <c r="E12417" i="1"/>
  <c r="G12417" i="1"/>
  <c r="K12417" i="1"/>
  <c r="A12418" i="1"/>
  <c r="B12418" i="1"/>
  <c r="C12418" i="1"/>
  <c r="E12418" i="1"/>
  <c r="G12418" i="1"/>
  <c r="K12418" i="1"/>
  <c r="A12419" i="1"/>
  <c r="B12419" i="1"/>
  <c r="C12419" i="1"/>
  <c r="E12419" i="1"/>
  <c r="G12419" i="1"/>
  <c r="K12419" i="1"/>
  <c r="A12420" i="1"/>
  <c r="B12420" i="1"/>
  <c r="C12420" i="1"/>
  <c r="E12420" i="1"/>
  <c r="G12420" i="1"/>
  <c r="K12420" i="1"/>
  <c r="A12421" i="1"/>
  <c r="B12421" i="1"/>
  <c r="C12421" i="1"/>
  <c r="E12421" i="1"/>
  <c r="G12421" i="1"/>
  <c r="K12421" i="1"/>
  <c r="A12422" i="1"/>
  <c r="B12422" i="1"/>
  <c r="C12422" i="1"/>
  <c r="E12422" i="1"/>
  <c r="G12422" i="1"/>
  <c r="K12422" i="1"/>
  <c r="A12423" i="1"/>
  <c r="B12423" i="1"/>
  <c r="C12423" i="1"/>
  <c r="E12423" i="1"/>
  <c r="G12423" i="1"/>
  <c r="K12423" i="1"/>
  <c r="A12424" i="1"/>
  <c r="B12424" i="1"/>
  <c r="C12424" i="1"/>
  <c r="E12424" i="1"/>
  <c r="G12424" i="1"/>
  <c r="K12424" i="1"/>
  <c r="A12425" i="1"/>
  <c r="B12425" i="1"/>
  <c r="C12425" i="1"/>
  <c r="E12425" i="1"/>
  <c r="G12425" i="1"/>
  <c r="K12425" i="1"/>
  <c r="A12426" i="1"/>
  <c r="B12426" i="1"/>
  <c r="C12426" i="1"/>
  <c r="E12426" i="1"/>
  <c r="G12426" i="1"/>
  <c r="K12426" i="1"/>
  <c r="A12427" i="1"/>
  <c r="B12427" i="1"/>
  <c r="C12427" i="1"/>
  <c r="E12427" i="1"/>
  <c r="G12427" i="1"/>
  <c r="K12427" i="1"/>
  <c r="A12428" i="1"/>
  <c r="B12428" i="1"/>
  <c r="C12428" i="1"/>
  <c r="E12428" i="1"/>
  <c r="G12428" i="1"/>
  <c r="K12428" i="1"/>
  <c r="A12429" i="1"/>
  <c r="B12429" i="1"/>
  <c r="C12429" i="1"/>
  <c r="E12429" i="1"/>
  <c r="G12429" i="1"/>
  <c r="K12429" i="1"/>
  <c r="A12430" i="1"/>
  <c r="B12430" i="1"/>
  <c r="C12430" i="1"/>
  <c r="E12430" i="1"/>
  <c r="G12430" i="1"/>
  <c r="K12430" i="1"/>
  <c r="A12431" i="1"/>
  <c r="B12431" i="1"/>
  <c r="C12431" i="1"/>
  <c r="E12431" i="1"/>
  <c r="G12431" i="1"/>
  <c r="K12431" i="1"/>
  <c r="A12432" i="1"/>
  <c r="B12432" i="1"/>
  <c r="C12432" i="1"/>
  <c r="E12432" i="1"/>
  <c r="G12432" i="1"/>
  <c r="K12432" i="1"/>
  <c r="A12433" i="1"/>
  <c r="B12433" i="1"/>
  <c r="C12433" i="1"/>
  <c r="E12433" i="1"/>
  <c r="G12433" i="1"/>
  <c r="K12433" i="1"/>
  <c r="A12434" i="1"/>
  <c r="B12434" i="1"/>
  <c r="C12434" i="1"/>
  <c r="E12434" i="1"/>
  <c r="G12434" i="1"/>
  <c r="K12434" i="1"/>
  <c r="A12435" i="1"/>
  <c r="B12435" i="1"/>
  <c r="C12435" i="1"/>
  <c r="E12435" i="1"/>
  <c r="G12435" i="1"/>
  <c r="K12435" i="1"/>
  <c r="A12436" i="1"/>
  <c r="B12436" i="1"/>
  <c r="C12436" i="1"/>
  <c r="E12436" i="1"/>
  <c r="G12436" i="1"/>
  <c r="K12436" i="1"/>
  <c r="A12437" i="1"/>
  <c r="B12437" i="1"/>
  <c r="C12437" i="1"/>
  <c r="E12437" i="1"/>
  <c r="G12437" i="1"/>
  <c r="K12437" i="1"/>
  <c r="A12438" i="1"/>
  <c r="B12438" i="1"/>
  <c r="C12438" i="1"/>
  <c r="E12438" i="1"/>
  <c r="G12438" i="1"/>
  <c r="K12438" i="1"/>
  <c r="A12439" i="1"/>
  <c r="B12439" i="1"/>
  <c r="C12439" i="1"/>
  <c r="E12439" i="1"/>
  <c r="G12439" i="1"/>
  <c r="K12439" i="1"/>
  <c r="A12440" i="1"/>
  <c r="B12440" i="1"/>
  <c r="C12440" i="1"/>
  <c r="E12440" i="1"/>
  <c r="G12440" i="1"/>
  <c r="K12440" i="1"/>
  <c r="A12441" i="1"/>
  <c r="B12441" i="1"/>
  <c r="C12441" i="1"/>
  <c r="E12441" i="1"/>
  <c r="G12441" i="1"/>
  <c r="K12441" i="1"/>
  <c r="A12442" i="1"/>
  <c r="B12442" i="1"/>
  <c r="C12442" i="1"/>
  <c r="E12442" i="1"/>
  <c r="G12442" i="1"/>
  <c r="K12442" i="1"/>
  <c r="A12443" i="1"/>
  <c r="B12443" i="1"/>
  <c r="C12443" i="1"/>
  <c r="E12443" i="1"/>
  <c r="G12443" i="1"/>
  <c r="K12443" i="1"/>
  <c r="A12444" i="1"/>
  <c r="B12444" i="1"/>
  <c r="C12444" i="1"/>
  <c r="E12444" i="1"/>
  <c r="G12444" i="1"/>
  <c r="K12444" i="1"/>
  <c r="A12445" i="1"/>
  <c r="B12445" i="1"/>
  <c r="C12445" i="1"/>
  <c r="E12445" i="1"/>
  <c r="G12445" i="1"/>
  <c r="K12445" i="1"/>
  <c r="A12446" i="1"/>
  <c r="B12446" i="1"/>
  <c r="C12446" i="1"/>
  <c r="E12446" i="1"/>
  <c r="G12446" i="1"/>
  <c r="K12446" i="1"/>
  <c r="A12447" i="1"/>
  <c r="B12447" i="1"/>
  <c r="C12447" i="1"/>
  <c r="E12447" i="1"/>
  <c r="G12447" i="1"/>
  <c r="K12447" i="1"/>
  <c r="A12448" i="1"/>
  <c r="B12448" i="1"/>
  <c r="C12448" i="1"/>
  <c r="E12448" i="1"/>
  <c r="G12448" i="1"/>
  <c r="K12448" i="1"/>
  <c r="A12449" i="1"/>
  <c r="B12449" i="1"/>
  <c r="C12449" i="1"/>
  <c r="E12449" i="1"/>
  <c r="G12449" i="1"/>
  <c r="K12449" i="1"/>
  <c r="A12450" i="1"/>
  <c r="B12450" i="1"/>
  <c r="C12450" i="1"/>
  <c r="E12450" i="1"/>
  <c r="G12450" i="1"/>
  <c r="K12450" i="1"/>
  <c r="A12451" i="1"/>
  <c r="B12451" i="1"/>
  <c r="C12451" i="1"/>
  <c r="E12451" i="1"/>
  <c r="G12451" i="1"/>
  <c r="K12451" i="1"/>
  <c r="A12452" i="1"/>
  <c r="B12452" i="1"/>
  <c r="C12452" i="1"/>
  <c r="E12452" i="1"/>
  <c r="G12452" i="1"/>
  <c r="K12452" i="1"/>
  <c r="A12453" i="1"/>
  <c r="B12453" i="1"/>
  <c r="C12453" i="1"/>
  <c r="E12453" i="1"/>
  <c r="G12453" i="1"/>
  <c r="K12453" i="1"/>
  <c r="A12454" i="1"/>
  <c r="B12454" i="1"/>
  <c r="C12454" i="1"/>
  <c r="E12454" i="1"/>
  <c r="G12454" i="1"/>
  <c r="K12454" i="1"/>
  <c r="A12455" i="1"/>
  <c r="B12455" i="1"/>
  <c r="C12455" i="1"/>
  <c r="E12455" i="1"/>
  <c r="G12455" i="1"/>
  <c r="K12455" i="1"/>
  <c r="A12456" i="1"/>
  <c r="B12456" i="1"/>
  <c r="C12456" i="1"/>
  <c r="E12456" i="1"/>
  <c r="G12456" i="1"/>
  <c r="K12456" i="1"/>
  <c r="A12457" i="1"/>
  <c r="B12457" i="1"/>
  <c r="C12457" i="1"/>
  <c r="E12457" i="1"/>
  <c r="G12457" i="1"/>
  <c r="K12457" i="1"/>
  <c r="A12458" i="1"/>
  <c r="B12458" i="1"/>
  <c r="C12458" i="1"/>
  <c r="E12458" i="1"/>
  <c r="G12458" i="1"/>
  <c r="K12458" i="1"/>
  <c r="A12459" i="1"/>
  <c r="B12459" i="1"/>
  <c r="C12459" i="1"/>
  <c r="E12459" i="1"/>
  <c r="G12459" i="1"/>
  <c r="K12459" i="1"/>
  <c r="A12460" i="1"/>
  <c r="B12460" i="1"/>
  <c r="C12460" i="1"/>
  <c r="E12460" i="1"/>
  <c r="G12460" i="1"/>
  <c r="K12460" i="1"/>
  <c r="A12461" i="1"/>
  <c r="B12461" i="1"/>
  <c r="C12461" i="1"/>
  <c r="E12461" i="1"/>
  <c r="G12461" i="1"/>
  <c r="K12461" i="1"/>
  <c r="A12462" i="1"/>
  <c r="B12462" i="1"/>
  <c r="C12462" i="1"/>
  <c r="E12462" i="1"/>
  <c r="G12462" i="1"/>
  <c r="K12462" i="1"/>
  <c r="A12463" i="1"/>
  <c r="B12463" i="1"/>
  <c r="C12463" i="1"/>
  <c r="E12463" i="1"/>
  <c r="G12463" i="1"/>
  <c r="K12463" i="1"/>
  <c r="A12464" i="1"/>
  <c r="B12464" i="1"/>
  <c r="C12464" i="1"/>
  <c r="E12464" i="1"/>
  <c r="G12464" i="1"/>
  <c r="K12464" i="1"/>
  <c r="A12465" i="1"/>
  <c r="B12465" i="1"/>
  <c r="C12465" i="1"/>
  <c r="E12465" i="1"/>
  <c r="G12465" i="1"/>
  <c r="K12465" i="1"/>
  <c r="A12466" i="1"/>
  <c r="B12466" i="1"/>
  <c r="C12466" i="1"/>
  <c r="E12466" i="1"/>
  <c r="G12466" i="1"/>
  <c r="K12466" i="1"/>
  <c r="A12467" i="1"/>
  <c r="B12467" i="1"/>
  <c r="C12467" i="1"/>
  <c r="E12467" i="1"/>
  <c r="G12467" i="1"/>
  <c r="K12467" i="1"/>
  <c r="A12468" i="1"/>
  <c r="B12468" i="1"/>
  <c r="C12468" i="1"/>
  <c r="E12468" i="1"/>
  <c r="G12468" i="1"/>
  <c r="K12468" i="1"/>
  <c r="A12469" i="1"/>
  <c r="B12469" i="1"/>
  <c r="C12469" i="1"/>
  <c r="E12469" i="1"/>
  <c r="G12469" i="1"/>
  <c r="K12469" i="1"/>
  <c r="A12470" i="1"/>
  <c r="B12470" i="1"/>
  <c r="C12470" i="1"/>
  <c r="E12470" i="1"/>
  <c r="G12470" i="1"/>
  <c r="K12470" i="1"/>
  <c r="A12471" i="1"/>
  <c r="B12471" i="1"/>
  <c r="C12471" i="1"/>
  <c r="E12471" i="1"/>
  <c r="G12471" i="1"/>
  <c r="K12471" i="1"/>
  <c r="A12472" i="1"/>
  <c r="B12472" i="1"/>
  <c r="C12472" i="1"/>
  <c r="E12472" i="1"/>
  <c r="G12472" i="1"/>
  <c r="K12472" i="1"/>
  <c r="A12473" i="1"/>
  <c r="B12473" i="1"/>
  <c r="C12473" i="1"/>
  <c r="E12473" i="1"/>
  <c r="G12473" i="1"/>
  <c r="K12473" i="1"/>
  <c r="A12474" i="1"/>
  <c r="B12474" i="1"/>
  <c r="C12474" i="1"/>
  <c r="E12474" i="1"/>
  <c r="G12474" i="1"/>
  <c r="K12474" i="1"/>
  <c r="A12475" i="1"/>
  <c r="B12475" i="1"/>
  <c r="C12475" i="1"/>
  <c r="E12475" i="1"/>
  <c r="G12475" i="1"/>
  <c r="K12475" i="1"/>
  <c r="A12476" i="1"/>
  <c r="B12476" i="1"/>
  <c r="C12476" i="1"/>
  <c r="E12476" i="1"/>
  <c r="G12476" i="1"/>
  <c r="K12476" i="1"/>
  <c r="A12477" i="1"/>
  <c r="B12477" i="1"/>
  <c r="C12477" i="1"/>
  <c r="E12477" i="1"/>
  <c r="G12477" i="1"/>
  <c r="K12477" i="1"/>
  <c r="A12478" i="1"/>
  <c r="B12478" i="1"/>
  <c r="C12478" i="1"/>
  <c r="E12478" i="1"/>
  <c r="G12478" i="1"/>
  <c r="K12478" i="1"/>
  <c r="A12479" i="1"/>
  <c r="B12479" i="1"/>
  <c r="C12479" i="1"/>
  <c r="E12479" i="1"/>
  <c r="G12479" i="1"/>
  <c r="K12479" i="1"/>
  <c r="A12480" i="1"/>
  <c r="B12480" i="1"/>
  <c r="C12480" i="1"/>
  <c r="E12480" i="1"/>
  <c r="G12480" i="1"/>
  <c r="K12480" i="1"/>
  <c r="A12481" i="1"/>
  <c r="B12481" i="1"/>
  <c r="C12481" i="1"/>
  <c r="E12481" i="1"/>
  <c r="G12481" i="1"/>
  <c r="K12481" i="1"/>
  <c r="A12482" i="1"/>
  <c r="B12482" i="1"/>
  <c r="C12482" i="1"/>
  <c r="E12482" i="1"/>
  <c r="G12482" i="1"/>
  <c r="K12482" i="1"/>
  <c r="A12483" i="1"/>
  <c r="B12483" i="1"/>
  <c r="C12483" i="1"/>
  <c r="E12483" i="1"/>
  <c r="G12483" i="1"/>
  <c r="K12483" i="1"/>
  <c r="A12484" i="1"/>
  <c r="B12484" i="1"/>
  <c r="C12484" i="1"/>
  <c r="E12484" i="1"/>
  <c r="G12484" i="1"/>
  <c r="K12484" i="1"/>
  <c r="A12485" i="1"/>
  <c r="B12485" i="1"/>
  <c r="C12485" i="1"/>
  <c r="E12485" i="1"/>
  <c r="G12485" i="1"/>
  <c r="K12485" i="1"/>
  <c r="A12486" i="1"/>
  <c r="B12486" i="1"/>
  <c r="C12486" i="1"/>
  <c r="E12486" i="1"/>
  <c r="G12486" i="1"/>
  <c r="K12486" i="1"/>
  <c r="A12487" i="1"/>
  <c r="B12487" i="1"/>
  <c r="C12487" i="1"/>
  <c r="E12487" i="1"/>
  <c r="G12487" i="1"/>
  <c r="K12487" i="1"/>
  <c r="A12488" i="1"/>
  <c r="B12488" i="1"/>
  <c r="C12488" i="1"/>
  <c r="E12488" i="1"/>
  <c r="G12488" i="1"/>
  <c r="K12488" i="1"/>
  <c r="A12489" i="1"/>
  <c r="B12489" i="1"/>
  <c r="C12489" i="1"/>
  <c r="E12489" i="1"/>
  <c r="G12489" i="1"/>
  <c r="K12489" i="1"/>
  <c r="A12490" i="1"/>
  <c r="B12490" i="1"/>
  <c r="C12490" i="1"/>
  <c r="E12490" i="1"/>
  <c r="G12490" i="1"/>
  <c r="K12490" i="1"/>
  <c r="A12491" i="1"/>
  <c r="B12491" i="1"/>
  <c r="C12491" i="1"/>
  <c r="E12491" i="1"/>
  <c r="G12491" i="1"/>
  <c r="K12491" i="1"/>
  <c r="A12492" i="1"/>
  <c r="B12492" i="1"/>
  <c r="C12492" i="1"/>
  <c r="E12492" i="1"/>
  <c r="G12492" i="1"/>
  <c r="K12492" i="1"/>
  <c r="A12493" i="1"/>
  <c r="B12493" i="1"/>
  <c r="C12493" i="1"/>
  <c r="E12493" i="1"/>
  <c r="G12493" i="1"/>
  <c r="K12493" i="1"/>
  <c r="A12494" i="1"/>
  <c r="B12494" i="1"/>
  <c r="C12494" i="1"/>
  <c r="E12494" i="1"/>
  <c r="G12494" i="1"/>
  <c r="K12494" i="1"/>
  <c r="A12495" i="1"/>
  <c r="B12495" i="1"/>
  <c r="C12495" i="1"/>
  <c r="E12495" i="1"/>
  <c r="G12495" i="1"/>
  <c r="K12495" i="1"/>
  <c r="A12496" i="1"/>
  <c r="B12496" i="1"/>
  <c r="C12496" i="1"/>
  <c r="E12496" i="1"/>
  <c r="G12496" i="1"/>
  <c r="K12496" i="1"/>
  <c r="A12497" i="1"/>
  <c r="B12497" i="1"/>
  <c r="C12497" i="1"/>
  <c r="E12497" i="1"/>
  <c r="G12497" i="1"/>
  <c r="K12497" i="1"/>
  <c r="A12498" i="1"/>
  <c r="B12498" i="1"/>
  <c r="C12498" i="1"/>
  <c r="E12498" i="1"/>
  <c r="G12498" i="1"/>
  <c r="K12498" i="1"/>
  <c r="A12499" i="1"/>
  <c r="B12499" i="1"/>
  <c r="C12499" i="1"/>
  <c r="E12499" i="1"/>
  <c r="G12499" i="1"/>
  <c r="K12499" i="1"/>
  <c r="A12500" i="1"/>
  <c r="B12500" i="1"/>
  <c r="C12500" i="1"/>
  <c r="E12500" i="1"/>
  <c r="G12500" i="1"/>
  <c r="K12500" i="1"/>
  <c r="A12501" i="1"/>
  <c r="B12501" i="1"/>
  <c r="C12501" i="1"/>
  <c r="E12501" i="1"/>
  <c r="G12501" i="1"/>
  <c r="K12501" i="1"/>
  <c r="A12502" i="1"/>
  <c r="B12502" i="1"/>
  <c r="C12502" i="1"/>
  <c r="E12502" i="1"/>
  <c r="G12502" i="1"/>
  <c r="K12502" i="1"/>
  <c r="A12503" i="1"/>
  <c r="B12503" i="1"/>
  <c r="C12503" i="1"/>
  <c r="E12503" i="1"/>
  <c r="G12503" i="1"/>
  <c r="K12503" i="1"/>
  <c r="A12504" i="1"/>
  <c r="B12504" i="1"/>
  <c r="C12504" i="1"/>
  <c r="E12504" i="1"/>
  <c r="G12504" i="1"/>
  <c r="K12504" i="1"/>
  <c r="A12505" i="1"/>
  <c r="B12505" i="1"/>
  <c r="C12505" i="1"/>
  <c r="E12505" i="1"/>
  <c r="G12505" i="1"/>
  <c r="K12505" i="1"/>
  <c r="A12506" i="1"/>
  <c r="B12506" i="1"/>
  <c r="C12506" i="1"/>
  <c r="E12506" i="1"/>
  <c r="G12506" i="1"/>
  <c r="K12506" i="1"/>
  <c r="A12507" i="1"/>
  <c r="B12507" i="1"/>
  <c r="C12507" i="1"/>
  <c r="E12507" i="1"/>
  <c r="G12507" i="1"/>
  <c r="K12507" i="1"/>
  <c r="A12508" i="1"/>
  <c r="B12508" i="1"/>
  <c r="C12508" i="1"/>
  <c r="E12508" i="1"/>
  <c r="G12508" i="1"/>
  <c r="K12508" i="1"/>
  <c r="A12509" i="1"/>
  <c r="B12509" i="1"/>
  <c r="C12509" i="1"/>
  <c r="E12509" i="1"/>
  <c r="G12509" i="1"/>
  <c r="K12509" i="1"/>
  <c r="A12510" i="1"/>
  <c r="B12510" i="1"/>
  <c r="C12510" i="1"/>
  <c r="E12510" i="1"/>
  <c r="G12510" i="1"/>
  <c r="K12510" i="1"/>
  <c r="A12511" i="1"/>
  <c r="B12511" i="1"/>
  <c r="C12511" i="1"/>
  <c r="E12511" i="1"/>
  <c r="G12511" i="1"/>
  <c r="K12511" i="1"/>
  <c r="A12512" i="1"/>
  <c r="B12512" i="1"/>
  <c r="C12512" i="1"/>
  <c r="E12512" i="1"/>
  <c r="G12512" i="1"/>
  <c r="K12512" i="1"/>
  <c r="A12513" i="1"/>
  <c r="B12513" i="1"/>
  <c r="C12513" i="1"/>
  <c r="E12513" i="1"/>
  <c r="G12513" i="1"/>
  <c r="K12513" i="1"/>
  <c r="A12514" i="1"/>
  <c r="B12514" i="1"/>
  <c r="C12514" i="1"/>
  <c r="E12514" i="1"/>
  <c r="G12514" i="1"/>
  <c r="K12514" i="1"/>
  <c r="A12515" i="1"/>
  <c r="B12515" i="1"/>
  <c r="C12515" i="1"/>
  <c r="E12515" i="1"/>
  <c r="G12515" i="1"/>
  <c r="K12515" i="1"/>
  <c r="A12516" i="1"/>
  <c r="B12516" i="1"/>
  <c r="C12516" i="1"/>
  <c r="E12516" i="1"/>
  <c r="G12516" i="1"/>
  <c r="K12516" i="1"/>
  <c r="A12517" i="1"/>
  <c r="B12517" i="1"/>
  <c r="C12517" i="1"/>
  <c r="E12517" i="1"/>
  <c r="G12517" i="1"/>
  <c r="K12517" i="1"/>
  <c r="A12518" i="1"/>
  <c r="B12518" i="1"/>
  <c r="C12518" i="1"/>
  <c r="E12518" i="1"/>
  <c r="G12518" i="1"/>
  <c r="K12518" i="1"/>
  <c r="A12519" i="1"/>
  <c r="B12519" i="1"/>
  <c r="C12519" i="1"/>
  <c r="E12519" i="1"/>
  <c r="G12519" i="1"/>
  <c r="K12519" i="1"/>
  <c r="A12520" i="1"/>
  <c r="B12520" i="1"/>
  <c r="C12520" i="1"/>
  <c r="E12520" i="1"/>
  <c r="G12520" i="1"/>
  <c r="K12520" i="1"/>
  <c r="A12521" i="1"/>
  <c r="B12521" i="1"/>
  <c r="C12521" i="1"/>
  <c r="E12521" i="1"/>
  <c r="G12521" i="1"/>
  <c r="K12521" i="1"/>
  <c r="A12522" i="1"/>
  <c r="B12522" i="1"/>
  <c r="C12522" i="1"/>
  <c r="E12522" i="1"/>
  <c r="G12522" i="1"/>
  <c r="K12522" i="1"/>
  <c r="A12523" i="1"/>
  <c r="B12523" i="1"/>
  <c r="C12523" i="1"/>
  <c r="E12523" i="1"/>
  <c r="G12523" i="1"/>
  <c r="K12523" i="1"/>
  <c r="A12524" i="1"/>
  <c r="B12524" i="1"/>
  <c r="C12524" i="1"/>
  <c r="E12524" i="1"/>
  <c r="G12524" i="1"/>
  <c r="K12524" i="1"/>
  <c r="A12525" i="1"/>
  <c r="B12525" i="1"/>
  <c r="C12525" i="1"/>
  <c r="E12525" i="1"/>
  <c r="G12525" i="1"/>
  <c r="K12525" i="1"/>
  <c r="A12526" i="1"/>
  <c r="B12526" i="1"/>
  <c r="C12526" i="1"/>
  <c r="E12526" i="1"/>
  <c r="G12526" i="1"/>
  <c r="K12526" i="1"/>
  <c r="A12527" i="1"/>
  <c r="B12527" i="1"/>
  <c r="C12527" i="1"/>
  <c r="E12527" i="1"/>
  <c r="G12527" i="1"/>
  <c r="K12527" i="1"/>
  <c r="A12528" i="1"/>
  <c r="B12528" i="1"/>
  <c r="C12528" i="1"/>
  <c r="E12528" i="1"/>
  <c r="G12528" i="1"/>
  <c r="K12528" i="1"/>
  <c r="A12529" i="1"/>
  <c r="B12529" i="1"/>
  <c r="C12529" i="1"/>
  <c r="E12529" i="1"/>
  <c r="G12529" i="1"/>
  <c r="K12529" i="1"/>
  <c r="A12530" i="1"/>
  <c r="B12530" i="1"/>
  <c r="C12530" i="1"/>
  <c r="E12530" i="1"/>
  <c r="G12530" i="1"/>
  <c r="K12530" i="1"/>
  <c r="A12531" i="1"/>
  <c r="B12531" i="1"/>
  <c r="C12531" i="1"/>
  <c r="E12531" i="1"/>
  <c r="G12531" i="1"/>
  <c r="K12531" i="1"/>
  <c r="A12532" i="1"/>
  <c r="B12532" i="1"/>
  <c r="C12532" i="1"/>
  <c r="E12532" i="1"/>
  <c r="G12532" i="1"/>
  <c r="K12532" i="1"/>
  <c r="A12533" i="1"/>
  <c r="B12533" i="1"/>
  <c r="C12533" i="1"/>
  <c r="E12533" i="1"/>
  <c r="G12533" i="1"/>
  <c r="K12533" i="1"/>
  <c r="A12534" i="1"/>
  <c r="B12534" i="1"/>
  <c r="C12534" i="1"/>
  <c r="E12534" i="1"/>
  <c r="G12534" i="1"/>
  <c r="K12534" i="1"/>
  <c r="A12535" i="1"/>
  <c r="B12535" i="1"/>
  <c r="C12535" i="1"/>
  <c r="E12535" i="1"/>
  <c r="G12535" i="1"/>
  <c r="K12535" i="1"/>
  <c r="A12536" i="1"/>
  <c r="B12536" i="1"/>
  <c r="C12536" i="1"/>
  <c r="E12536" i="1"/>
  <c r="G12536" i="1"/>
  <c r="K12536" i="1"/>
  <c r="A12537" i="1"/>
  <c r="B12537" i="1"/>
  <c r="C12537" i="1"/>
  <c r="E12537" i="1"/>
  <c r="G12537" i="1"/>
  <c r="K12537" i="1"/>
  <c r="A12538" i="1"/>
  <c r="B12538" i="1"/>
  <c r="C12538" i="1"/>
  <c r="E12538" i="1"/>
  <c r="G12538" i="1"/>
  <c r="K12538" i="1"/>
  <c r="A12539" i="1"/>
  <c r="B12539" i="1"/>
  <c r="C12539" i="1"/>
  <c r="E12539" i="1"/>
  <c r="G12539" i="1"/>
  <c r="K12539" i="1"/>
  <c r="A12540" i="1"/>
  <c r="B12540" i="1"/>
  <c r="C12540" i="1"/>
  <c r="E12540" i="1"/>
  <c r="G12540" i="1"/>
  <c r="K12540" i="1"/>
  <c r="A12541" i="1"/>
  <c r="B12541" i="1"/>
  <c r="C12541" i="1"/>
  <c r="E12541" i="1"/>
  <c r="G12541" i="1"/>
  <c r="K12541" i="1"/>
  <c r="A12542" i="1"/>
  <c r="B12542" i="1"/>
  <c r="C12542" i="1"/>
  <c r="E12542" i="1"/>
  <c r="G12542" i="1"/>
  <c r="K12542" i="1"/>
  <c r="A12543" i="1"/>
  <c r="B12543" i="1"/>
  <c r="C12543" i="1"/>
  <c r="E12543" i="1"/>
  <c r="G12543" i="1"/>
  <c r="K12543" i="1"/>
  <c r="A12544" i="1"/>
  <c r="B12544" i="1"/>
  <c r="C12544" i="1"/>
  <c r="E12544" i="1"/>
  <c r="G12544" i="1"/>
  <c r="K12544" i="1"/>
  <c r="A12545" i="1"/>
  <c r="B12545" i="1"/>
  <c r="C12545" i="1"/>
  <c r="E12545" i="1"/>
  <c r="G12545" i="1"/>
  <c r="K12545" i="1"/>
  <c r="A12546" i="1"/>
  <c r="B12546" i="1"/>
  <c r="C12546" i="1"/>
  <c r="E12546" i="1"/>
  <c r="G12546" i="1"/>
  <c r="K12546" i="1"/>
  <c r="A12547" i="1"/>
  <c r="B12547" i="1"/>
  <c r="C12547" i="1"/>
  <c r="E12547" i="1"/>
  <c r="G12547" i="1"/>
  <c r="K12547" i="1"/>
  <c r="A12548" i="1"/>
  <c r="B12548" i="1"/>
  <c r="C12548" i="1"/>
  <c r="E12548" i="1"/>
  <c r="G12548" i="1"/>
  <c r="K12548" i="1"/>
  <c r="A12549" i="1"/>
  <c r="B12549" i="1"/>
  <c r="C12549" i="1"/>
  <c r="E12549" i="1"/>
  <c r="G12549" i="1"/>
  <c r="K12549" i="1"/>
  <c r="A12550" i="1"/>
  <c r="B12550" i="1"/>
  <c r="C12550" i="1"/>
  <c r="E12550" i="1"/>
  <c r="G12550" i="1"/>
  <c r="K12550" i="1"/>
  <c r="A12551" i="1"/>
  <c r="B12551" i="1"/>
  <c r="C12551" i="1"/>
  <c r="E12551" i="1"/>
  <c r="G12551" i="1"/>
  <c r="K12551" i="1"/>
  <c r="A12552" i="1"/>
  <c r="B12552" i="1"/>
  <c r="C12552" i="1"/>
  <c r="E12552" i="1"/>
  <c r="G12552" i="1"/>
  <c r="K12552" i="1"/>
  <c r="A12553" i="1"/>
  <c r="B12553" i="1"/>
  <c r="C12553" i="1"/>
  <c r="E12553" i="1"/>
  <c r="G12553" i="1"/>
  <c r="K12553" i="1"/>
  <c r="A12554" i="1"/>
  <c r="B12554" i="1"/>
  <c r="C12554" i="1"/>
  <c r="E12554" i="1"/>
  <c r="G12554" i="1"/>
  <c r="K12554" i="1"/>
  <c r="A12555" i="1"/>
  <c r="B12555" i="1"/>
  <c r="C12555" i="1"/>
  <c r="E12555" i="1"/>
  <c r="G12555" i="1"/>
  <c r="K12555" i="1"/>
  <c r="A12556" i="1"/>
  <c r="B12556" i="1"/>
  <c r="C12556" i="1"/>
  <c r="E12556" i="1"/>
  <c r="G12556" i="1"/>
  <c r="K12556" i="1"/>
  <c r="A12557" i="1"/>
  <c r="B12557" i="1"/>
  <c r="C12557" i="1"/>
  <c r="E12557" i="1"/>
  <c r="G12557" i="1"/>
  <c r="K12557" i="1"/>
  <c r="A12558" i="1"/>
  <c r="B12558" i="1"/>
  <c r="C12558" i="1"/>
  <c r="E12558" i="1"/>
  <c r="G12558" i="1"/>
  <c r="K12558" i="1"/>
  <c r="A12559" i="1"/>
  <c r="B12559" i="1"/>
  <c r="C12559" i="1"/>
  <c r="E12559" i="1"/>
  <c r="G12559" i="1"/>
  <c r="K12559" i="1"/>
  <c r="A12560" i="1"/>
  <c r="B12560" i="1"/>
  <c r="C12560" i="1"/>
  <c r="E12560" i="1"/>
  <c r="G12560" i="1"/>
  <c r="K12560" i="1"/>
  <c r="A12561" i="1"/>
  <c r="B12561" i="1"/>
  <c r="C12561" i="1"/>
  <c r="E12561" i="1"/>
  <c r="G12561" i="1"/>
  <c r="K12561" i="1"/>
  <c r="A12562" i="1"/>
  <c r="B12562" i="1"/>
  <c r="C12562" i="1"/>
  <c r="E12562" i="1"/>
  <c r="G12562" i="1"/>
  <c r="K12562" i="1"/>
  <c r="A12563" i="1"/>
  <c r="B12563" i="1"/>
  <c r="C12563" i="1"/>
  <c r="E12563" i="1"/>
  <c r="G12563" i="1"/>
  <c r="K12563" i="1"/>
  <c r="A12564" i="1"/>
  <c r="B12564" i="1"/>
  <c r="C12564" i="1"/>
  <c r="E12564" i="1"/>
  <c r="G12564" i="1"/>
  <c r="K12564" i="1"/>
  <c r="A12565" i="1"/>
  <c r="B12565" i="1"/>
  <c r="C12565" i="1"/>
  <c r="E12565" i="1"/>
  <c r="G12565" i="1"/>
  <c r="K12565" i="1"/>
  <c r="A12566" i="1"/>
  <c r="B12566" i="1"/>
  <c r="C12566" i="1"/>
  <c r="E12566" i="1"/>
  <c r="G12566" i="1"/>
  <c r="K12566" i="1"/>
  <c r="A12567" i="1"/>
  <c r="B12567" i="1"/>
  <c r="C12567" i="1"/>
  <c r="E12567" i="1"/>
  <c r="G12567" i="1"/>
  <c r="K12567" i="1"/>
  <c r="A12568" i="1"/>
  <c r="B12568" i="1"/>
  <c r="C12568" i="1"/>
  <c r="E12568" i="1"/>
  <c r="G12568" i="1"/>
  <c r="K12568" i="1"/>
  <c r="A12569" i="1"/>
  <c r="B12569" i="1"/>
  <c r="C12569" i="1"/>
  <c r="E12569" i="1"/>
  <c r="G12569" i="1"/>
  <c r="K12569" i="1"/>
  <c r="A12570" i="1"/>
  <c r="B12570" i="1"/>
  <c r="C12570" i="1"/>
  <c r="E12570" i="1"/>
  <c r="G12570" i="1"/>
  <c r="K12570" i="1"/>
  <c r="A12571" i="1"/>
  <c r="B12571" i="1"/>
  <c r="C12571" i="1"/>
  <c r="E12571" i="1"/>
  <c r="G12571" i="1"/>
  <c r="K12571" i="1"/>
  <c r="A12572" i="1"/>
  <c r="B12572" i="1"/>
  <c r="C12572" i="1"/>
  <c r="E12572" i="1"/>
  <c r="G12572" i="1"/>
  <c r="K12572" i="1"/>
  <c r="A12573" i="1"/>
  <c r="B12573" i="1"/>
  <c r="C12573" i="1"/>
  <c r="E12573" i="1"/>
  <c r="G12573" i="1"/>
  <c r="K12573" i="1"/>
  <c r="A12574" i="1"/>
  <c r="B12574" i="1"/>
  <c r="C12574" i="1"/>
  <c r="E12574" i="1"/>
  <c r="G12574" i="1"/>
  <c r="K12574" i="1"/>
  <c r="A12575" i="1"/>
  <c r="B12575" i="1"/>
  <c r="C12575" i="1"/>
  <c r="E12575" i="1"/>
  <c r="G12575" i="1"/>
  <c r="K12575" i="1"/>
  <c r="A12576" i="1"/>
  <c r="B12576" i="1"/>
  <c r="C12576" i="1"/>
  <c r="E12576" i="1"/>
  <c r="G12576" i="1"/>
  <c r="K12576" i="1"/>
  <c r="A12577" i="1"/>
  <c r="B12577" i="1"/>
  <c r="C12577" i="1"/>
  <c r="E12577" i="1"/>
  <c r="G12577" i="1"/>
  <c r="K12577" i="1"/>
  <c r="A12578" i="1"/>
  <c r="B12578" i="1"/>
  <c r="C12578" i="1"/>
  <c r="E12578" i="1"/>
  <c r="G12578" i="1"/>
  <c r="K12578" i="1"/>
  <c r="A12579" i="1"/>
  <c r="B12579" i="1"/>
  <c r="C12579" i="1"/>
  <c r="E12579" i="1"/>
  <c r="G12579" i="1"/>
  <c r="K12579" i="1"/>
  <c r="A12580" i="1"/>
  <c r="B12580" i="1"/>
  <c r="C12580" i="1"/>
  <c r="E12580" i="1"/>
  <c r="G12580" i="1"/>
  <c r="K12580" i="1"/>
  <c r="A12581" i="1"/>
  <c r="B12581" i="1"/>
  <c r="C12581" i="1"/>
  <c r="E12581" i="1"/>
  <c r="G12581" i="1"/>
  <c r="K12581" i="1"/>
  <c r="A12582" i="1"/>
  <c r="B12582" i="1"/>
  <c r="C12582" i="1"/>
  <c r="E12582" i="1"/>
  <c r="G12582" i="1"/>
  <c r="K12582" i="1"/>
  <c r="A12583" i="1"/>
  <c r="B12583" i="1"/>
  <c r="C12583" i="1"/>
  <c r="E12583" i="1"/>
  <c r="G12583" i="1"/>
  <c r="K12583" i="1"/>
  <c r="A12584" i="1"/>
  <c r="B12584" i="1"/>
  <c r="C12584" i="1"/>
  <c r="E12584" i="1"/>
  <c r="G12584" i="1"/>
  <c r="K12584" i="1"/>
  <c r="A12585" i="1"/>
  <c r="B12585" i="1"/>
  <c r="C12585" i="1"/>
  <c r="E12585" i="1"/>
  <c r="G12585" i="1"/>
  <c r="K12585" i="1"/>
  <c r="A12586" i="1"/>
  <c r="B12586" i="1"/>
  <c r="C12586" i="1"/>
  <c r="E12586" i="1"/>
  <c r="G12586" i="1"/>
  <c r="K12586" i="1"/>
  <c r="A12587" i="1"/>
  <c r="B12587" i="1"/>
  <c r="C12587" i="1"/>
  <c r="E12587" i="1"/>
  <c r="G12587" i="1"/>
  <c r="K12587" i="1"/>
  <c r="A12588" i="1"/>
  <c r="B12588" i="1"/>
  <c r="C12588" i="1"/>
  <c r="E12588" i="1"/>
  <c r="G12588" i="1"/>
  <c r="K12588" i="1"/>
  <c r="A12589" i="1"/>
  <c r="B12589" i="1"/>
  <c r="C12589" i="1"/>
  <c r="E12589" i="1"/>
  <c r="G12589" i="1"/>
  <c r="K12589" i="1"/>
  <c r="A12590" i="1"/>
  <c r="B12590" i="1"/>
  <c r="C12590" i="1"/>
  <c r="E12590" i="1"/>
  <c r="G12590" i="1"/>
  <c r="K12590" i="1"/>
  <c r="A12591" i="1"/>
  <c r="B12591" i="1"/>
  <c r="C12591" i="1"/>
  <c r="E12591" i="1"/>
  <c r="G12591" i="1"/>
  <c r="K12591" i="1"/>
  <c r="A12592" i="1"/>
  <c r="B12592" i="1"/>
  <c r="C12592" i="1"/>
  <c r="E12592" i="1"/>
  <c r="G12592" i="1"/>
  <c r="K12592" i="1"/>
  <c r="A12593" i="1"/>
  <c r="B12593" i="1"/>
  <c r="C12593" i="1"/>
  <c r="E12593" i="1"/>
  <c r="G12593" i="1"/>
  <c r="K12593" i="1"/>
  <c r="A12594" i="1"/>
  <c r="B12594" i="1"/>
  <c r="C12594" i="1"/>
  <c r="E12594" i="1"/>
  <c r="G12594" i="1"/>
  <c r="K12594" i="1"/>
  <c r="A12595" i="1"/>
  <c r="B12595" i="1"/>
  <c r="C12595" i="1"/>
  <c r="E12595" i="1"/>
  <c r="G12595" i="1"/>
  <c r="K12595" i="1"/>
  <c r="A12596" i="1"/>
  <c r="B12596" i="1"/>
  <c r="C12596" i="1"/>
  <c r="E12596" i="1"/>
  <c r="G12596" i="1"/>
  <c r="K12596" i="1"/>
  <c r="A12597" i="1"/>
  <c r="B12597" i="1"/>
  <c r="C12597" i="1"/>
  <c r="E12597" i="1"/>
  <c r="G12597" i="1"/>
  <c r="K12597" i="1"/>
  <c r="A12598" i="1"/>
  <c r="B12598" i="1"/>
  <c r="C12598" i="1"/>
  <c r="E12598" i="1"/>
  <c r="G12598" i="1"/>
  <c r="K12598" i="1"/>
  <c r="A12599" i="1"/>
  <c r="B12599" i="1"/>
  <c r="C12599" i="1"/>
  <c r="E12599" i="1"/>
  <c r="G12599" i="1"/>
  <c r="K12599" i="1"/>
  <c r="A12600" i="1"/>
  <c r="B12600" i="1"/>
  <c r="C12600" i="1"/>
  <c r="E12600" i="1"/>
  <c r="G12600" i="1"/>
  <c r="K12600" i="1"/>
  <c r="A12601" i="1"/>
  <c r="B12601" i="1"/>
  <c r="C12601" i="1"/>
  <c r="E12601" i="1"/>
  <c r="G12601" i="1"/>
  <c r="K12601" i="1"/>
  <c r="A12602" i="1"/>
  <c r="B12602" i="1"/>
  <c r="C12602" i="1"/>
  <c r="E12602" i="1"/>
  <c r="G12602" i="1"/>
  <c r="K12602" i="1"/>
  <c r="A12603" i="1"/>
  <c r="B12603" i="1"/>
  <c r="C12603" i="1"/>
  <c r="E12603" i="1"/>
  <c r="G12603" i="1"/>
  <c r="K12603" i="1"/>
  <c r="A12604" i="1"/>
  <c r="B12604" i="1"/>
  <c r="C12604" i="1"/>
  <c r="E12604" i="1"/>
  <c r="G12604" i="1"/>
  <c r="K12604" i="1"/>
  <c r="A12605" i="1"/>
  <c r="B12605" i="1"/>
  <c r="C12605" i="1"/>
  <c r="E12605" i="1"/>
  <c r="G12605" i="1"/>
  <c r="K12605" i="1"/>
  <c r="A12606" i="1"/>
  <c r="B12606" i="1"/>
  <c r="C12606" i="1"/>
  <c r="E12606" i="1"/>
  <c r="G12606" i="1"/>
  <c r="K12606" i="1"/>
  <c r="A12607" i="1"/>
  <c r="B12607" i="1"/>
  <c r="C12607" i="1"/>
  <c r="E12607" i="1"/>
  <c r="G12607" i="1"/>
  <c r="K12607" i="1"/>
  <c r="A12608" i="1"/>
  <c r="B12608" i="1"/>
  <c r="C12608" i="1"/>
  <c r="E12608" i="1"/>
  <c r="G12608" i="1"/>
  <c r="K12608" i="1"/>
  <c r="A12609" i="1"/>
  <c r="B12609" i="1"/>
  <c r="C12609" i="1"/>
  <c r="E12609" i="1"/>
  <c r="G12609" i="1"/>
  <c r="K12609" i="1"/>
  <c r="A12610" i="1"/>
  <c r="B12610" i="1"/>
  <c r="C12610" i="1"/>
  <c r="E12610" i="1"/>
  <c r="G12610" i="1"/>
  <c r="K12610" i="1"/>
  <c r="A12611" i="1"/>
  <c r="B12611" i="1"/>
  <c r="C12611" i="1"/>
  <c r="E12611" i="1"/>
  <c r="G12611" i="1"/>
  <c r="K12611" i="1"/>
  <c r="A12612" i="1"/>
  <c r="B12612" i="1"/>
  <c r="C12612" i="1"/>
  <c r="E12612" i="1"/>
  <c r="G12612" i="1"/>
  <c r="K12612" i="1"/>
  <c r="A12613" i="1"/>
  <c r="B12613" i="1"/>
  <c r="C12613" i="1"/>
  <c r="E12613" i="1"/>
  <c r="G12613" i="1"/>
  <c r="K12613" i="1"/>
  <c r="A12614" i="1"/>
  <c r="B12614" i="1"/>
  <c r="C12614" i="1"/>
  <c r="E12614" i="1"/>
  <c r="G12614" i="1"/>
  <c r="K12614" i="1"/>
  <c r="A12615" i="1"/>
  <c r="B12615" i="1"/>
  <c r="C12615" i="1"/>
  <c r="E12615" i="1"/>
  <c r="G12615" i="1"/>
  <c r="K12615" i="1"/>
  <c r="A12616" i="1"/>
  <c r="B12616" i="1"/>
  <c r="C12616" i="1"/>
  <c r="E12616" i="1"/>
  <c r="G12616" i="1"/>
  <c r="K12616" i="1"/>
  <c r="A12617" i="1"/>
  <c r="B12617" i="1"/>
  <c r="C12617" i="1"/>
  <c r="E12617" i="1"/>
  <c r="G12617" i="1"/>
  <c r="K12617" i="1"/>
  <c r="A12618" i="1"/>
  <c r="B12618" i="1"/>
  <c r="C12618" i="1"/>
  <c r="E12618" i="1"/>
  <c r="G12618" i="1"/>
  <c r="K12618" i="1"/>
  <c r="A12619" i="1"/>
  <c r="B12619" i="1"/>
  <c r="C12619" i="1"/>
  <c r="E12619" i="1"/>
  <c r="G12619" i="1"/>
  <c r="K12619" i="1"/>
  <c r="A12620" i="1"/>
  <c r="B12620" i="1"/>
  <c r="C12620" i="1"/>
  <c r="E12620" i="1"/>
  <c r="G12620" i="1"/>
  <c r="K12620" i="1"/>
  <c r="A12621" i="1"/>
  <c r="B12621" i="1"/>
  <c r="C12621" i="1"/>
  <c r="E12621" i="1"/>
  <c r="G12621" i="1"/>
  <c r="K12621" i="1"/>
  <c r="A12622" i="1"/>
  <c r="B12622" i="1"/>
  <c r="C12622" i="1"/>
  <c r="E12622" i="1"/>
  <c r="G12622" i="1"/>
  <c r="K12622" i="1"/>
  <c r="A12623" i="1"/>
  <c r="B12623" i="1"/>
  <c r="C12623" i="1"/>
  <c r="E12623" i="1"/>
  <c r="G12623" i="1"/>
  <c r="K12623" i="1"/>
  <c r="A12624" i="1"/>
  <c r="B12624" i="1"/>
  <c r="C12624" i="1"/>
  <c r="E12624" i="1"/>
  <c r="G12624" i="1"/>
  <c r="K12624" i="1"/>
  <c r="A12625" i="1"/>
  <c r="B12625" i="1"/>
  <c r="C12625" i="1"/>
  <c r="E12625" i="1"/>
  <c r="G12625" i="1"/>
  <c r="K12625" i="1"/>
  <c r="A12626" i="1"/>
  <c r="B12626" i="1"/>
  <c r="C12626" i="1"/>
  <c r="E12626" i="1"/>
  <c r="G12626" i="1"/>
  <c r="K12626" i="1"/>
  <c r="A12627" i="1"/>
  <c r="B12627" i="1"/>
  <c r="C12627" i="1"/>
  <c r="E12627" i="1"/>
  <c r="G12627" i="1"/>
  <c r="K12627" i="1"/>
  <c r="A12628" i="1"/>
  <c r="B12628" i="1"/>
  <c r="C12628" i="1"/>
  <c r="E12628" i="1"/>
  <c r="G12628" i="1"/>
  <c r="K12628" i="1"/>
  <c r="A12629" i="1"/>
  <c r="B12629" i="1"/>
  <c r="C12629" i="1"/>
  <c r="E12629" i="1"/>
  <c r="G12629" i="1"/>
  <c r="K12629" i="1"/>
  <c r="A12630" i="1"/>
  <c r="B12630" i="1"/>
  <c r="C12630" i="1"/>
  <c r="E12630" i="1"/>
  <c r="G12630" i="1"/>
  <c r="K12630" i="1"/>
  <c r="A12631" i="1"/>
  <c r="B12631" i="1"/>
  <c r="C12631" i="1"/>
  <c r="E12631" i="1"/>
  <c r="G12631" i="1"/>
  <c r="K12631" i="1"/>
  <c r="A12632" i="1"/>
  <c r="B12632" i="1"/>
  <c r="C12632" i="1"/>
  <c r="E12632" i="1"/>
  <c r="G12632" i="1"/>
  <c r="K12632" i="1"/>
  <c r="A12633" i="1"/>
  <c r="B12633" i="1"/>
  <c r="C12633" i="1"/>
  <c r="E12633" i="1"/>
  <c r="G12633" i="1"/>
  <c r="K12633" i="1"/>
  <c r="A12634" i="1"/>
  <c r="B12634" i="1"/>
  <c r="C12634" i="1"/>
  <c r="E12634" i="1"/>
  <c r="G12634" i="1"/>
  <c r="K12634" i="1"/>
  <c r="A12635" i="1"/>
  <c r="B12635" i="1"/>
  <c r="C12635" i="1"/>
  <c r="E12635" i="1"/>
  <c r="G12635" i="1"/>
  <c r="K12635" i="1"/>
  <c r="A12636" i="1"/>
  <c r="B12636" i="1"/>
  <c r="C12636" i="1"/>
  <c r="E12636" i="1"/>
  <c r="G12636" i="1"/>
  <c r="K12636" i="1"/>
  <c r="A12637" i="1"/>
  <c r="B12637" i="1"/>
  <c r="C12637" i="1"/>
  <c r="E12637" i="1"/>
  <c r="G12637" i="1"/>
  <c r="K12637" i="1"/>
  <c r="A12638" i="1"/>
  <c r="B12638" i="1"/>
  <c r="C12638" i="1"/>
  <c r="E12638" i="1"/>
  <c r="G12638" i="1"/>
  <c r="K12638" i="1"/>
  <c r="A12639" i="1"/>
  <c r="B12639" i="1"/>
  <c r="C12639" i="1"/>
  <c r="E12639" i="1"/>
  <c r="G12639" i="1"/>
  <c r="K12639" i="1"/>
  <c r="A12640" i="1"/>
  <c r="B12640" i="1"/>
  <c r="C12640" i="1"/>
  <c r="E12640" i="1"/>
  <c r="G12640" i="1"/>
  <c r="K12640" i="1"/>
  <c r="A12641" i="1"/>
  <c r="B12641" i="1"/>
  <c r="C12641" i="1"/>
  <c r="E12641" i="1"/>
  <c r="G12641" i="1"/>
  <c r="K12641" i="1"/>
  <c r="A12642" i="1"/>
  <c r="B12642" i="1"/>
  <c r="C12642" i="1"/>
  <c r="E12642" i="1"/>
  <c r="G12642" i="1"/>
  <c r="K12642" i="1"/>
  <c r="A12643" i="1"/>
  <c r="B12643" i="1"/>
  <c r="C12643" i="1"/>
  <c r="E12643" i="1"/>
  <c r="G12643" i="1"/>
  <c r="K12643" i="1"/>
  <c r="A12644" i="1"/>
  <c r="B12644" i="1"/>
  <c r="C12644" i="1"/>
  <c r="E12644" i="1"/>
  <c r="G12644" i="1"/>
  <c r="K12644" i="1"/>
  <c r="A12645" i="1"/>
  <c r="B12645" i="1"/>
  <c r="C12645" i="1"/>
  <c r="E12645" i="1"/>
  <c r="G12645" i="1"/>
  <c r="K12645" i="1"/>
  <c r="A12646" i="1"/>
  <c r="B12646" i="1"/>
  <c r="C12646" i="1"/>
  <c r="E12646" i="1"/>
  <c r="G12646" i="1"/>
  <c r="K12646" i="1"/>
  <c r="A12647" i="1"/>
  <c r="B12647" i="1"/>
  <c r="C12647" i="1"/>
  <c r="E12647" i="1"/>
  <c r="G12647" i="1"/>
  <c r="K12647" i="1"/>
  <c r="A12648" i="1"/>
  <c r="B12648" i="1"/>
  <c r="C12648" i="1"/>
  <c r="E12648" i="1"/>
  <c r="G12648" i="1"/>
  <c r="K12648" i="1"/>
  <c r="A12649" i="1"/>
  <c r="B12649" i="1"/>
  <c r="C12649" i="1"/>
  <c r="E12649" i="1"/>
  <c r="G12649" i="1"/>
  <c r="K12649" i="1"/>
  <c r="A12650" i="1"/>
  <c r="B12650" i="1"/>
  <c r="C12650" i="1"/>
  <c r="E12650" i="1"/>
  <c r="G12650" i="1"/>
  <c r="K12650" i="1"/>
  <c r="A12651" i="1"/>
  <c r="B12651" i="1"/>
  <c r="C12651" i="1"/>
  <c r="E12651" i="1"/>
  <c r="G12651" i="1"/>
  <c r="K12651" i="1"/>
  <c r="A12652" i="1"/>
  <c r="B12652" i="1"/>
  <c r="C12652" i="1"/>
  <c r="E12652" i="1"/>
  <c r="G12652" i="1"/>
  <c r="K12652" i="1"/>
  <c r="A12653" i="1"/>
  <c r="B12653" i="1"/>
  <c r="C12653" i="1"/>
  <c r="E12653" i="1"/>
  <c r="G12653" i="1"/>
  <c r="K12653" i="1"/>
  <c r="A12654" i="1"/>
  <c r="B12654" i="1"/>
  <c r="C12654" i="1"/>
  <c r="E12654" i="1"/>
  <c r="G12654" i="1"/>
  <c r="K12654" i="1"/>
  <c r="A12655" i="1"/>
  <c r="B12655" i="1"/>
  <c r="C12655" i="1"/>
  <c r="E12655" i="1"/>
  <c r="G12655" i="1"/>
  <c r="K12655" i="1"/>
  <c r="A12656" i="1"/>
  <c r="B12656" i="1"/>
  <c r="C12656" i="1"/>
  <c r="E12656" i="1"/>
  <c r="G12656" i="1"/>
  <c r="K12656" i="1"/>
  <c r="A12657" i="1"/>
  <c r="B12657" i="1"/>
  <c r="C12657" i="1"/>
  <c r="E12657" i="1"/>
  <c r="G12657" i="1"/>
  <c r="K12657" i="1"/>
  <c r="A12658" i="1"/>
  <c r="B12658" i="1"/>
  <c r="C12658" i="1"/>
  <c r="E12658" i="1"/>
  <c r="G12658" i="1"/>
  <c r="K12658" i="1"/>
  <c r="A12659" i="1"/>
  <c r="B12659" i="1"/>
  <c r="C12659" i="1"/>
  <c r="E12659" i="1"/>
  <c r="G12659" i="1"/>
  <c r="K12659" i="1"/>
  <c r="A12660" i="1"/>
  <c r="B12660" i="1"/>
  <c r="C12660" i="1"/>
  <c r="E12660" i="1"/>
  <c r="G12660" i="1"/>
  <c r="K12660" i="1"/>
  <c r="A12661" i="1"/>
  <c r="B12661" i="1"/>
  <c r="C12661" i="1"/>
  <c r="E12661" i="1"/>
  <c r="G12661" i="1"/>
  <c r="K12661" i="1"/>
  <c r="A12662" i="1"/>
  <c r="B12662" i="1"/>
  <c r="C12662" i="1"/>
  <c r="E12662" i="1"/>
  <c r="G12662" i="1"/>
  <c r="K12662" i="1"/>
  <c r="A12663" i="1"/>
  <c r="B12663" i="1"/>
  <c r="C12663" i="1"/>
  <c r="E12663" i="1"/>
  <c r="G12663" i="1"/>
  <c r="K12663" i="1"/>
  <c r="A12664" i="1"/>
  <c r="B12664" i="1"/>
  <c r="C12664" i="1"/>
  <c r="E12664" i="1"/>
  <c r="G12664" i="1"/>
  <c r="K12664" i="1"/>
  <c r="A12665" i="1"/>
  <c r="B12665" i="1"/>
  <c r="C12665" i="1"/>
  <c r="E12665" i="1"/>
  <c r="G12665" i="1"/>
  <c r="K12665" i="1"/>
  <c r="A12666" i="1"/>
  <c r="B12666" i="1"/>
  <c r="C12666" i="1"/>
  <c r="E12666" i="1"/>
  <c r="G12666" i="1"/>
  <c r="K12666" i="1"/>
  <c r="A12667" i="1"/>
  <c r="B12667" i="1"/>
  <c r="C12667" i="1"/>
  <c r="E12667" i="1"/>
  <c r="G12667" i="1"/>
  <c r="K12667" i="1"/>
  <c r="A12668" i="1"/>
  <c r="B12668" i="1"/>
  <c r="C12668" i="1"/>
  <c r="E12668" i="1"/>
  <c r="G12668" i="1"/>
  <c r="K12668" i="1"/>
  <c r="A12669" i="1"/>
  <c r="B12669" i="1"/>
  <c r="C12669" i="1"/>
  <c r="E12669" i="1"/>
  <c r="G12669" i="1"/>
  <c r="K12669" i="1"/>
  <c r="A12670" i="1"/>
  <c r="B12670" i="1"/>
  <c r="C12670" i="1"/>
  <c r="E12670" i="1"/>
  <c r="G12670" i="1"/>
  <c r="K12670" i="1"/>
  <c r="A12671" i="1"/>
  <c r="B12671" i="1"/>
  <c r="C12671" i="1"/>
  <c r="E12671" i="1"/>
  <c r="G12671" i="1"/>
  <c r="K12671" i="1"/>
  <c r="A12672" i="1"/>
  <c r="B12672" i="1"/>
  <c r="C12672" i="1"/>
  <c r="E12672" i="1"/>
  <c r="G12672" i="1"/>
  <c r="K12672" i="1"/>
  <c r="A12673" i="1"/>
  <c r="B12673" i="1"/>
  <c r="C12673" i="1"/>
  <c r="E12673" i="1"/>
  <c r="G12673" i="1"/>
  <c r="K12673" i="1"/>
  <c r="A12674" i="1"/>
  <c r="B12674" i="1"/>
  <c r="C12674" i="1"/>
  <c r="E12674" i="1"/>
  <c r="G12674" i="1"/>
  <c r="K12674" i="1"/>
  <c r="A12675" i="1"/>
  <c r="B12675" i="1"/>
  <c r="C12675" i="1"/>
  <c r="E12675" i="1"/>
  <c r="G12675" i="1"/>
  <c r="K12675" i="1"/>
  <c r="A12676" i="1"/>
  <c r="B12676" i="1"/>
  <c r="C12676" i="1"/>
  <c r="E12676" i="1"/>
  <c r="G12676" i="1"/>
  <c r="K12676" i="1"/>
  <c r="A12677" i="1"/>
  <c r="B12677" i="1"/>
  <c r="C12677" i="1"/>
  <c r="E12677" i="1"/>
  <c r="G12677" i="1"/>
  <c r="K12677" i="1"/>
  <c r="A12678" i="1"/>
  <c r="B12678" i="1"/>
  <c r="C12678" i="1"/>
  <c r="E12678" i="1"/>
  <c r="G12678" i="1"/>
  <c r="K12678" i="1"/>
  <c r="A12679" i="1"/>
  <c r="B12679" i="1"/>
  <c r="C12679" i="1"/>
  <c r="E12679" i="1"/>
  <c r="G12679" i="1"/>
  <c r="K12679" i="1"/>
  <c r="A12680" i="1"/>
  <c r="B12680" i="1"/>
  <c r="C12680" i="1"/>
  <c r="E12680" i="1"/>
  <c r="G12680" i="1"/>
  <c r="K12680" i="1"/>
  <c r="A12681" i="1"/>
  <c r="B12681" i="1"/>
  <c r="C12681" i="1"/>
  <c r="E12681" i="1"/>
  <c r="G12681" i="1"/>
  <c r="K12681" i="1"/>
  <c r="A12682" i="1"/>
  <c r="B12682" i="1"/>
  <c r="C12682" i="1"/>
  <c r="E12682" i="1"/>
  <c r="G12682" i="1"/>
  <c r="K12682" i="1"/>
  <c r="A12683" i="1"/>
  <c r="B12683" i="1"/>
  <c r="C12683" i="1"/>
  <c r="E12683" i="1"/>
  <c r="G12683" i="1"/>
  <c r="K12683" i="1"/>
  <c r="A12684" i="1"/>
  <c r="B12684" i="1"/>
  <c r="C12684" i="1"/>
  <c r="E12684" i="1"/>
  <c r="G12684" i="1"/>
  <c r="K12684" i="1"/>
  <c r="A12685" i="1"/>
  <c r="B12685" i="1"/>
  <c r="C12685" i="1"/>
  <c r="E12685" i="1"/>
  <c r="G12685" i="1"/>
  <c r="K12685" i="1"/>
  <c r="A12686" i="1"/>
  <c r="B12686" i="1"/>
  <c r="C12686" i="1"/>
  <c r="E12686" i="1"/>
  <c r="G12686" i="1"/>
  <c r="K12686" i="1"/>
  <c r="A12687" i="1"/>
  <c r="B12687" i="1"/>
  <c r="C12687" i="1"/>
  <c r="E12687" i="1"/>
  <c r="G12687" i="1"/>
  <c r="K12687" i="1"/>
  <c r="A12688" i="1"/>
  <c r="B12688" i="1"/>
  <c r="C12688" i="1"/>
  <c r="E12688" i="1"/>
  <c r="G12688" i="1"/>
  <c r="K12688" i="1"/>
  <c r="A12689" i="1"/>
  <c r="B12689" i="1"/>
  <c r="C12689" i="1"/>
  <c r="E12689" i="1"/>
  <c r="G12689" i="1"/>
  <c r="K12689" i="1"/>
  <c r="A12690" i="1"/>
  <c r="B12690" i="1"/>
  <c r="C12690" i="1"/>
  <c r="E12690" i="1"/>
  <c r="G12690" i="1"/>
  <c r="K12690" i="1"/>
  <c r="A12691" i="1"/>
  <c r="B12691" i="1"/>
  <c r="C12691" i="1"/>
  <c r="E12691" i="1"/>
  <c r="G12691" i="1"/>
  <c r="K12691" i="1"/>
  <c r="A12692" i="1"/>
  <c r="B12692" i="1"/>
  <c r="C12692" i="1"/>
  <c r="E12692" i="1"/>
  <c r="G12692" i="1"/>
  <c r="K12692" i="1"/>
  <c r="A12693" i="1"/>
  <c r="B12693" i="1"/>
  <c r="C12693" i="1"/>
  <c r="E12693" i="1"/>
  <c r="G12693" i="1"/>
  <c r="K12693" i="1"/>
  <c r="A12694" i="1"/>
  <c r="B12694" i="1"/>
  <c r="C12694" i="1"/>
  <c r="E12694" i="1"/>
  <c r="G12694" i="1"/>
  <c r="K12694" i="1"/>
  <c r="A12695" i="1"/>
  <c r="B12695" i="1"/>
  <c r="C12695" i="1"/>
  <c r="E12695" i="1"/>
  <c r="G12695" i="1"/>
  <c r="K12695" i="1"/>
  <c r="A12696" i="1"/>
  <c r="B12696" i="1"/>
  <c r="C12696" i="1"/>
  <c r="E12696" i="1"/>
  <c r="G12696" i="1"/>
  <c r="K12696" i="1"/>
  <c r="A12697" i="1"/>
  <c r="B12697" i="1"/>
  <c r="C12697" i="1"/>
  <c r="E12697" i="1"/>
  <c r="G12697" i="1"/>
  <c r="K12697" i="1"/>
  <c r="A12698" i="1"/>
  <c r="B12698" i="1"/>
  <c r="C12698" i="1"/>
  <c r="E12698" i="1"/>
  <c r="G12698" i="1"/>
  <c r="K12698" i="1"/>
  <c r="A12699" i="1"/>
  <c r="B12699" i="1"/>
  <c r="C12699" i="1"/>
  <c r="E12699" i="1"/>
  <c r="G12699" i="1"/>
  <c r="K12699" i="1"/>
  <c r="A12700" i="1"/>
  <c r="B12700" i="1"/>
  <c r="C12700" i="1"/>
  <c r="E12700" i="1"/>
  <c r="G12700" i="1"/>
  <c r="K12700" i="1"/>
  <c r="A12701" i="1"/>
  <c r="B12701" i="1"/>
  <c r="C12701" i="1"/>
  <c r="E12701" i="1"/>
  <c r="G12701" i="1"/>
  <c r="K12701" i="1"/>
  <c r="A12702" i="1"/>
  <c r="B12702" i="1"/>
  <c r="C12702" i="1"/>
  <c r="E12702" i="1"/>
  <c r="G12702" i="1"/>
  <c r="K12702" i="1"/>
  <c r="A12703" i="1"/>
  <c r="B12703" i="1"/>
  <c r="C12703" i="1"/>
  <c r="E12703" i="1"/>
  <c r="G12703" i="1"/>
  <c r="K12703" i="1"/>
  <c r="A12704" i="1"/>
  <c r="B12704" i="1"/>
  <c r="C12704" i="1"/>
  <c r="E12704" i="1"/>
  <c r="G12704" i="1"/>
  <c r="K12704" i="1"/>
  <c r="A12705" i="1"/>
  <c r="B12705" i="1"/>
  <c r="C12705" i="1"/>
  <c r="E12705" i="1"/>
  <c r="G12705" i="1"/>
  <c r="K12705" i="1"/>
  <c r="A12706" i="1"/>
  <c r="B12706" i="1"/>
  <c r="C12706" i="1"/>
  <c r="E12706" i="1"/>
  <c r="G12706" i="1"/>
  <c r="K12706" i="1"/>
  <c r="A12707" i="1"/>
  <c r="B12707" i="1"/>
  <c r="C12707" i="1"/>
  <c r="E12707" i="1"/>
  <c r="G12707" i="1"/>
  <c r="K12707" i="1"/>
  <c r="A12708" i="1"/>
  <c r="B12708" i="1"/>
  <c r="C12708" i="1"/>
  <c r="E12708" i="1"/>
  <c r="G12708" i="1"/>
  <c r="K12708" i="1"/>
  <c r="A12709" i="1"/>
  <c r="B12709" i="1"/>
  <c r="C12709" i="1"/>
  <c r="E12709" i="1"/>
  <c r="G12709" i="1"/>
  <c r="K12709" i="1"/>
  <c r="A12710" i="1"/>
  <c r="B12710" i="1"/>
  <c r="C12710" i="1"/>
  <c r="E12710" i="1"/>
  <c r="G12710" i="1"/>
  <c r="K12710" i="1"/>
  <c r="A12711" i="1"/>
  <c r="B12711" i="1"/>
  <c r="C12711" i="1"/>
  <c r="E12711" i="1"/>
  <c r="G12711" i="1"/>
  <c r="K12711" i="1"/>
  <c r="A12712" i="1"/>
  <c r="B12712" i="1"/>
  <c r="C12712" i="1"/>
  <c r="E12712" i="1"/>
  <c r="G12712" i="1"/>
  <c r="K12712" i="1"/>
  <c r="A12713" i="1"/>
  <c r="B12713" i="1"/>
  <c r="C12713" i="1"/>
  <c r="E12713" i="1"/>
  <c r="G12713" i="1"/>
  <c r="K12713" i="1"/>
  <c r="A12714" i="1"/>
  <c r="B12714" i="1"/>
  <c r="C12714" i="1"/>
  <c r="E12714" i="1"/>
  <c r="G12714" i="1"/>
  <c r="K12714" i="1"/>
  <c r="A12715" i="1"/>
  <c r="B12715" i="1"/>
  <c r="C12715" i="1"/>
  <c r="E12715" i="1"/>
  <c r="G12715" i="1"/>
  <c r="K12715" i="1"/>
  <c r="A12716" i="1"/>
  <c r="B12716" i="1"/>
  <c r="C12716" i="1"/>
  <c r="E12716" i="1"/>
  <c r="G12716" i="1"/>
  <c r="K12716" i="1"/>
  <c r="A12717" i="1"/>
  <c r="B12717" i="1"/>
  <c r="C12717" i="1"/>
  <c r="E12717" i="1"/>
  <c r="G12717" i="1"/>
  <c r="K12717" i="1"/>
  <c r="A12718" i="1"/>
  <c r="B12718" i="1"/>
  <c r="C12718" i="1"/>
  <c r="E12718" i="1"/>
  <c r="G12718" i="1"/>
  <c r="K12718" i="1"/>
  <c r="A12719" i="1"/>
  <c r="B12719" i="1"/>
  <c r="C12719" i="1"/>
  <c r="E12719" i="1"/>
  <c r="G12719" i="1"/>
  <c r="K12719" i="1"/>
  <c r="A12720" i="1"/>
  <c r="B12720" i="1"/>
  <c r="C12720" i="1"/>
  <c r="E12720" i="1"/>
  <c r="G12720" i="1"/>
  <c r="K12720" i="1"/>
  <c r="A12721" i="1"/>
  <c r="B12721" i="1"/>
  <c r="C12721" i="1"/>
  <c r="E12721" i="1"/>
  <c r="G12721" i="1"/>
  <c r="K12721" i="1"/>
  <c r="A12722" i="1"/>
  <c r="B12722" i="1"/>
  <c r="C12722" i="1"/>
  <c r="E12722" i="1"/>
  <c r="G12722" i="1"/>
  <c r="K12722" i="1"/>
  <c r="A12723" i="1"/>
  <c r="B12723" i="1"/>
  <c r="C12723" i="1"/>
  <c r="E12723" i="1"/>
  <c r="G12723" i="1"/>
  <c r="K12723" i="1"/>
  <c r="A12724" i="1"/>
  <c r="B12724" i="1"/>
  <c r="C12724" i="1"/>
  <c r="E12724" i="1"/>
  <c r="G12724" i="1"/>
  <c r="K12724" i="1"/>
  <c r="A12725" i="1"/>
  <c r="B12725" i="1"/>
  <c r="C12725" i="1"/>
  <c r="E12725" i="1"/>
  <c r="G12725" i="1"/>
  <c r="K12725" i="1"/>
  <c r="A12726" i="1"/>
  <c r="B12726" i="1"/>
  <c r="C12726" i="1"/>
  <c r="E12726" i="1"/>
  <c r="G12726" i="1"/>
  <c r="K12726" i="1"/>
  <c r="A12727" i="1"/>
  <c r="B12727" i="1"/>
  <c r="C12727" i="1"/>
  <c r="E12727" i="1"/>
  <c r="G12727" i="1"/>
  <c r="K12727" i="1"/>
  <c r="A12728" i="1"/>
  <c r="B12728" i="1"/>
  <c r="C12728" i="1"/>
  <c r="E12728" i="1"/>
  <c r="G12728" i="1"/>
  <c r="K12728" i="1"/>
  <c r="A12729" i="1"/>
  <c r="B12729" i="1"/>
  <c r="C12729" i="1"/>
  <c r="E12729" i="1"/>
  <c r="G12729" i="1"/>
  <c r="K12729" i="1"/>
  <c r="A12730" i="1"/>
  <c r="B12730" i="1"/>
  <c r="C12730" i="1"/>
  <c r="E12730" i="1"/>
  <c r="G12730" i="1"/>
  <c r="K12730" i="1"/>
  <c r="A12731" i="1"/>
  <c r="B12731" i="1"/>
  <c r="C12731" i="1"/>
  <c r="E12731" i="1"/>
  <c r="G12731" i="1"/>
  <c r="K12731" i="1"/>
  <c r="A12732" i="1"/>
  <c r="B12732" i="1"/>
  <c r="C12732" i="1"/>
  <c r="E12732" i="1"/>
  <c r="G12732" i="1"/>
  <c r="K12732" i="1"/>
  <c r="A12733" i="1"/>
  <c r="B12733" i="1"/>
  <c r="C12733" i="1"/>
  <c r="E12733" i="1"/>
  <c r="G12733" i="1"/>
  <c r="K12733" i="1"/>
  <c r="A12734" i="1"/>
  <c r="B12734" i="1"/>
  <c r="C12734" i="1"/>
  <c r="E12734" i="1"/>
  <c r="G12734" i="1"/>
  <c r="K12734" i="1"/>
  <c r="A12735" i="1"/>
  <c r="B12735" i="1"/>
  <c r="C12735" i="1"/>
  <c r="E12735" i="1"/>
  <c r="G12735" i="1"/>
  <c r="K12735" i="1"/>
  <c r="A12736" i="1"/>
  <c r="B12736" i="1"/>
  <c r="C12736" i="1"/>
  <c r="E12736" i="1"/>
  <c r="G12736" i="1"/>
  <c r="K12736" i="1"/>
  <c r="A12737" i="1"/>
  <c r="B12737" i="1"/>
  <c r="C12737" i="1"/>
  <c r="E12737" i="1"/>
  <c r="G12737" i="1"/>
  <c r="K12737" i="1"/>
  <c r="A12738" i="1"/>
  <c r="B12738" i="1"/>
  <c r="C12738" i="1"/>
  <c r="E12738" i="1"/>
  <c r="G12738" i="1"/>
  <c r="K12738" i="1"/>
  <c r="A12739" i="1"/>
  <c r="B12739" i="1"/>
  <c r="C12739" i="1"/>
  <c r="E12739" i="1"/>
  <c r="G12739" i="1"/>
  <c r="K12739" i="1"/>
  <c r="A12740" i="1"/>
  <c r="B12740" i="1"/>
  <c r="C12740" i="1"/>
  <c r="E12740" i="1"/>
  <c r="G12740" i="1"/>
  <c r="K12740" i="1"/>
  <c r="A12741" i="1"/>
  <c r="B12741" i="1"/>
  <c r="C12741" i="1"/>
  <c r="E12741" i="1"/>
  <c r="G12741" i="1"/>
  <c r="K12741" i="1"/>
  <c r="A12742" i="1"/>
  <c r="B12742" i="1"/>
  <c r="C12742" i="1"/>
  <c r="E12742" i="1"/>
  <c r="G12742" i="1"/>
  <c r="K12742" i="1"/>
  <c r="A12743" i="1"/>
  <c r="B12743" i="1"/>
  <c r="C12743" i="1"/>
  <c r="E12743" i="1"/>
  <c r="G12743" i="1"/>
  <c r="K12743" i="1"/>
  <c r="A12744" i="1"/>
  <c r="B12744" i="1"/>
  <c r="C12744" i="1"/>
  <c r="E12744" i="1"/>
  <c r="G12744" i="1"/>
  <c r="K12744" i="1"/>
  <c r="A12745" i="1"/>
  <c r="B12745" i="1"/>
  <c r="C12745" i="1"/>
  <c r="E12745" i="1"/>
  <c r="G12745" i="1"/>
  <c r="K12745" i="1"/>
  <c r="A12746" i="1"/>
  <c r="B12746" i="1"/>
  <c r="C12746" i="1"/>
  <c r="E12746" i="1"/>
  <c r="G12746" i="1"/>
  <c r="K12746" i="1"/>
  <c r="A12747" i="1"/>
  <c r="B12747" i="1"/>
  <c r="C12747" i="1"/>
  <c r="E12747" i="1"/>
  <c r="G12747" i="1"/>
  <c r="K12747" i="1"/>
  <c r="A12748" i="1"/>
  <c r="B12748" i="1"/>
  <c r="C12748" i="1"/>
  <c r="E12748" i="1"/>
  <c r="G12748" i="1"/>
  <c r="K12748" i="1"/>
  <c r="A12749" i="1"/>
  <c r="B12749" i="1"/>
  <c r="C12749" i="1"/>
  <c r="E12749" i="1"/>
  <c r="G12749" i="1"/>
  <c r="K12749" i="1"/>
  <c r="A12750" i="1"/>
  <c r="B12750" i="1"/>
  <c r="C12750" i="1"/>
  <c r="E12750" i="1"/>
  <c r="G12750" i="1"/>
  <c r="K12750" i="1"/>
  <c r="A12751" i="1"/>
  <c r="B12751" i="1"/>
  <c r="C12751" i="1"/>
  <c r="E12751" i="1"/>
  <c r="G12751" i="1"/>
  <c r="K12751" i="1"/>
  <c r="A12752" i="1"/>
  <c r="B12752" i="1"/>
  <c r="C12752" i="1"/>
  <c r="E12752" i="1"/>
  <c r="G12752" i="1"/>
  <c r="K12752" i="1"/>
  <c r="A12753" i="1"/>
  <c r="B12753" i="1"/>
  <c r="C12753" i="1"/>
  <c r="E12753" i="1"/>
  <c r="G12753" i="1"/>
  <c r="K12753" i="1"/>
  <c r="A12754" i="1"/>
  <c r="B12754" i="1"/>
  <c r="C12754" i="1"/>
  <c r="E12754" i="1"/>
  <c r="G12754" i="1"/>
  <c r="K12754" i="1"/>
  <c r="A12755" i="1"/>
  <c r="B12755" i="1"/>
  <c r="C12755" i="1"/>
  <c r="E12755" i="1"/>
  <c r="G12755" i="1"/>
  <c r="K12755" i="1"/>
  <c r="A12756" i="1"/>
  <c r="B12756" i="1"/>
  <c r="C12756" i="1"/>
  <c r="E12756" i="1"/>
  <c r="G12756" i="1"/>
  <c r="K12756" i="1"/>
  <c r="A12757" i="1"/>
  <c r="B12757" i="1"/>
  <c r="C12757" i="1"/>
  <c r="E12757" i="1"/>
  <c r="G12757" i="1"/>
  <c r="K12757" i="1"/>
  <c r="A12758" i="1"/>
  <c r="B12758" i="1"/>
  <c r="C12758" i="1"/>
  <c r="E12758" i="1"/>
  <c r="G12758" i="1"/>
  <c r="K12758" i="1"/>
  <c r="A12759" i="1"/>
  <c r="B12759" i="1"/>
  <c r="C12759" i="1"/>
  <c r="E12759" i="1"/>
  <c r="G12759" i="1"/>
  <c r="K12759" i="1"/>
  <c r="A12760" i="1"/>
  <c r="B12760" i="1"/>
  <c r="C12760" i="1"/>
  <c r="E12760" i="1"/>
  <c r="G12760" i="1"/>
  <c r="K12760" i="1"/>
  <c r="A12761" i="1"/>
  <c r="B12761" i="1"/>
  <c r="C12761" i="1"/>
  <c r="E12761" i="1"/>
  <c r="G12761" i="1"/>
  <c r="K12761" i="1"/>
  <c r="A12762" i="1"/>
  <c r="B12762" i="1"/>
  <c r="C12762" i="1"/>
  <c r="E12762" i="1"/>
  <c r="G12762" i="1"/>
  <c r="K12762" i="1"/>
  <c r="A12763" i="1"/>
  <c r="B12763" i="1"/>
  <c r="C12763" i="1"/>
  <c r="E12763" i="1"/>
  <c r="G12763" i="1"/>
  <c r="K12763" i="1"/>
  <c r="A12764" i="1"/>
  <c r="B12764" i="1"/>
  <c r="C12764" i="1"/>
  <c r="E12764" i="1"/>
  <c r="G12764" i="1"/>
  <c r="K12764" i="1"/>
  <c r="A12765" i="1"/>
  <c r="B12765" i="1"/>
  <c r="C12765" i="1"/>
  <c r="E12765" i="1"/>
  <c r="G12765" i="1"/>
  <c r="K12765" i="1"/>
  <c r="A12766" i="1"/>
  <c r="B12766" i="1"/>
  <c r="C12766" i="1"/>
  <c r="E12766" i="1"/>
  <c r="G12766" i="1"/>
  <c r="K12766" i="1"/>
  <c r="A12767" i="1"/>
  <c r="B12767" i="1"/>
  <c r="C12767" i="1"/>
  <c r="E12767" i="1"/>
  <c r="G12767" i="1"/>
  <c r="K12767" i="1"/>
  <c r="A12768" i="1"/>
  <c r="B12768" i="1"/>
  <c r="C12768" i="1"/>
  <c r="E12768" i="1"/>
  <c r="G12768" i="1"/>
  <c r="K12768" i="1"/>
  <c r="A12769" i="1"/>
  <c r="B12769" i="1"/>
  <c r="C12769" i="1"/>
  <c r="E12769" i="1"/>
  <c r="G12769" i="1"/>
  <c r="K12769" i="1"/>
  <c r="A12770" i="1"/>
  <c r="B12770" i="1"/>
  <c r="C12770" i="1"/>
  <c r="E12770" i="1"/>
  <c r="G12770" i="1"/>
  <c r="K12770" i="1"/>
  <c r="A12771" i="1"/>
  <c r="B12771" i="1"/>
  <c r="C12771" i="1"/>
  <c r="E12771" i="1"/>
  <c r="G12771" i="1"/>
  <c r="K12771" i="1"/>
  <c r="A12772" i="1"/>
  <c r="B12772" i="1"/>
  <c r="C12772" i="1"/>
  <c r="E12772" i="1"/>
  <c r="G12772" i="1"/>
  <c r="K12772" i="1"/>
  <c r="A12773" i="1"/>
  <c r="B12773" i="1"/>
  <c r="C12773" i="1"/>
  <c r="E12773" i="1"/>
  <c r="G12773" i="1"/>
  <c r="K12773" i="1"/>
  <c r="A12774" i="1"/>
  <c r="B12774" i="1"/>
  <c r="C12774" i="1"/>
  <c r="E12774" i="1"/>
  <c r="G12774" i="1"/>
  <c r="K12774" i="1"/>
  <c r="A12775" i="1"/>
  <c r="B12775" i="1"/>
  <c r="C12775" i="1"/>
  <c r="E12775" i="1"/>
  <c r="G12775" i="1"/>
  <c r="K12775" i="1"/>
  <c r="A12776" i="1"/>
  <c r="B12776" i="1"/>
  <c r="C12776" i="1"/>
  <c r="E12776" i="1"/>
  <c r="G12776" i="1"/>
  <c r="K12776" i="1"/>
  <c r="A12777" i="1"/>
  <c r="B12777" i="1"/>
  <c r="C12777" i="1"/>
  <c r="E12777" i="1"/>
  <c r="G12777" i="1"/>
  <c r="K12777" i="1"/>
  <c r="A12778" i="1"/>
  <c r="B12778" i="1"/>
  <c r="C12778" i="1"/>
  <c r="E12778" i="1"/>
  <c r="G12778" i="1"/>
  <c r="K12778" i="1"/>
  <c r="A12779" i="1"/>
  <c r="B12779" i="1"/>
  <c r="C12779" i="1"/>
  <c r="E12779" i="1"/>
  <c r="G12779" i="1"/>
  <c r="K12779" i="1"/>
  <c r="A12780" i="1"/>
  <c r="B12780" i="1"/>
  <c r="C12780" i="1"/>
  <c r="E12780" i="1"/>
  <c r="G12780" i="1"/>
  <c r="K12780" i="1"/>
  <c r="A12781" i="1"/>
  <c r="B12781" i="1"/>
  <c r="C12781" i="1"/>
  <c r="E12781" i="1"/>
  <c r="G12781" i="1"/>
  <c r="K12781" i="1"/>
  <c r="A12782" i="1"/>
  <c r="B12782" i="1"/>
  <c r="C12782" i="1"/>
  <c r="E12782" i="1"/>
  <c r="G12782" i="1"/>
  <c r="K12782" i="1"/>
  <c r="A12783" i="1"/>
  <c r="B12783" i="1"/>
  <c r="C12783" i="1"/>
  <c r="E12783" i="1"/>
  <c r="G12783" i="1"/>
  <c r="K12783" i="1"/>
  <c r="A12784" i="1"/>
  <c r="B12784" i="1"/>
  <c r="C12784" i="1"/>
  <c r="E12784" i="1"/>
  <c r="G12784" i="1"/>
  <c r="K12784" i="1"/>
  <c r="A12785" i="1"/>
  <c r="B12785" i="1"/>
  <c r="C12785" i="1"/>
  <c r="E12785" i="1"/>
  <c r="G12785" i="1"/>
  <c r="K12785" i="1"/>
  <c r="A12786" i="1"/>
  <c r="B12786" i="1"/>
  <c r="C12786" i="1"/>
  <c r="E12786" i="1"/>
  <c r="G12786" i="1"/>
  <c r="K12786" i="1"/>
  <c r="A12787" i="1"/>
  <c r="B12787" i="1"/>
  <c r="C12787" i="1"/>
  <c r="E12787" i="1"/>
  <c r="G12787" i="1"/>
  <c r="K12787" i="1"/>
  <c r="A12788" i="1"/>
  <c r="B12788" i="1"/>
  <c r="C12788" i="1"/>
  <c r="E12788" i="1"/>
  <c r="G12788" i="1"/>
  <c r="K12788" i="1"/>
  <c r="A12789" i="1"/>
  <c r="B12789" i="1"/>
  <c r="C12789" i="1"/>
  <c r="E12789" i="1"/>
  <c r="G12789" i="1"/>
  <c r="K12789" i="1"/>
  <c r="A12790" i="1"/>
  <c r="B12790" i="1"/>
  <c r="C12790" i="1"/>
  <c r="E12790" i="1"/>
  <c r="G12790" i="1"/>
  <c r="K12790" i="1"/>
  <c r="A12791" i="1"/>
  <c r="B12791" i="1"/>
  <c r="C12791" i="1"/>
  <c r="E12791" i="1"/>
  <c r="G12791" i="1"/>
  <c r="K12791" i="1"/>
  <c r="A12792" i="1"/>
  <c r="B12792" i="1"/>
  <c r="C12792" i="1"/>
  <c r="E12792" i="1"/>
  <c r="G12792" i="1"/>
  <c r="K12792" i="1"/>
  <c r="A12793" i="1"/>
  <c r="B12793" i="1"/>
  <c r="C12793" i="1"/>
  <c r="E12793" i="1"/>
  <c r="G12793" i="1"/>
  <c r="K12793" i="1"/>
  <c r="A12794" i="1"/>
  <c r="B12794" i="1"/>
  <c r="C12794" i="1"/>
  <c r="E12794" i="1"/>
  <c r="G12794" i="1"/>
  <c r="K12794" i="1"/>
  <c r="A12795" i="1"/>
  <c r="B12795" i="1"/>
  <c r="C12795" i="1"/>
  <c r="E12795" i="1"/>
  <c r="G12795" i="1"/>
  <c r="K12795" i="1"/>
  <c r="A12796" i="1"/>
  <c r="B12796" i="1"/>
  <c r="C12796" i="1"/>
  <c r="E12796" i="1"/>
  <c r="G12796" i="1"/>
  <c r="K12796" i="1"/>
  <c r="A12797" i="1"/>
  <c r="B12797" i="1"/>
  <c r="C12797" i="1"/>
  <c r="E12797" i="1"/>
  <c r="G12797" i="1"/>
  <c r="K12797" i="1"/>
  <c r="A12798" i="1"/>
  <c r="B12798" i="1"/>
  <c r="C12798" i="1"/>
  <c r="E12798" i="1"/>
  <c r="G12798" i="1"/>
  <c r="K12798" i="1"/>
  <c r="A12799" i="1"/>
  <c r="B12799" i="1"/>
  <c r="C12799" i="1"/>
  <c r="E12799" i="1"/>
  <c r="G12799" i="1"/>
  <c r="K12799" i="1"/>
  <c r="A12800" i="1"/>
  <c r="B12800" i="1"/>
  <c r="C12800" i="1"/>
  <c r="E12800" i="1"/>
  <c r="G12800" i="1"/>
  <c r="K12800" i="1"/>
  <c r="A12801" i="1"/>
  <c r="B12801" i="1"/>
  <c r="C12801" i="1"/>
  <c r="E12801" i="1"/>
  <c r="G12801" i="1"/>
  <c r="K12801" i="1"/>
  <c r="A12802" i="1"/>
  <c r="B12802" i="1"/>
  <c r="C12802" i="1"/>
  <c r="E12802" i="1"/>
  <c r="G12802" i="1"/>
  <c r="K12802" i="1"/>
  <c r="A12803" i="1"/>
  <c r="B12803" i="1"/>
  <c r="C12803" i="1"/>
  <c r="E12803" i="1"/>
  <c r="G12803" i="1"/>
  <c r="K12803" i="1"/>
  <c r="A12804" i="1"/>
  <c r="B12804" i="1"/>
  <c r="C12804" i="1"/>
  <c r="E12804" i="1"/>
  <c r="G12804" i="1"/>
  <c r="K12804" i="1"/>
  <c r="A12805" i="1"/>
  <c r="B12805" i="1"/>
  <c r="C12805" i="1"/>
  <c r="E12805" i="1"/>
  <c r="G12805" i="1"/>
  <c r="K12805" i="1"/>
  <c r="A12806" i="1"/>
  <c r="B12806" i="1"/>
  <c r="C12806" i="1"/>
  <c r="E12806" i="1"/>
  <c r="G12806" i="1"/>
  <c r="K12806" i="1"/>
  <c r="A12807" i="1"/>
  <c r="B12807" i="1"/>
  <c r="C12807" i="1"/>
  <c r="E12807" i="1"/>
  <c r="G12807" i="1"/>
  <c r="K12807" i="1"/>
  <c r="A12808" i="1"/>
  <c r="B12808" i="1"/>
  <c r="C12808" i="1"/>
  <c r="E12808" i="1"/>
  <c r="G12808" i="1"/>
  <c r="K12808" i="1"/>
  <c r="A12809" i="1"/>
  <c r="B12809" i="1"/>
  <c r="C12809" i="1"/>
  <c r="E12809" i="1"/>
  <c r="G12809" i="1"/>
  <c r="K12809" i="1"/>
  <c r="A12810" i="1"/>
  <c r="B12810" i="1"/>
  <c r="C12810" i="1"/>
  <c r="E12810" i="1"/>
  <c r="G12810" i="1"/>
  <c r="K12810" i="1"/>
  <c r="A12811" i="1"/>
  <c r="B12811" i="1"/>
  <c r="C12811" i="1"/>
  <c r="E12811" i="1"/>
  <c r="G12811" i="1"/>
  <c r="K12811" i="1"/>
  <c r="A12812" i="1"/>
  <c r="B12812" i="1"/>
  <c r="C12812" i="1"/>
  <c r="E12812" i="1"/>
  <c r="G12812" i="1"/>
  <c r="K12812" i="1"/>
  <c r="A12813" i="1"/>
  <c r="B12813" i="1"/>
  <c r="C12813" i="1"/>
  <c r="E12813" i="1"/>
  <c r="G12813" i="1"/>
  <c r="K12813" i="1"/>
  <c r="A12814" i="1"/>
  <c r="B12814" i="1"/>
  <c r="C12814" i="1"/>
  <c r="E12814" i="1"/>
  <c r="G12814" i="1"/>
  <c r="K12814" i="1"/>
  <c r="A12815" i="1"/>
  <c r="B12815" i="1"/>
  <c r="C12815" i="1"/>
  <c r="E12815" i="1"/>
  <c r="G12815" i="1"/>
  <c r="K12815" i="1"/>
  <c r="A12816" i="1"/>
  <c r="B12816" i="1"/>
  <c r="C12816" i="1"/>
  <c r="E12816" i="1"/>
  <c r="G12816" i="1"/>
  <c r="K12816" i="1"/>
  <c r="A12817" i="1"/>
  <c r="B12817" i="1"/>
  <c r="C12817" i="1"/>
  <c r="E12817" i="1"/>
  <c r="G12817" i="1"/>
  <c r="K12817" i="1"/>
  <c r="A12818" i="1"/>
  <c r="B12818" i="1"/>
  <c r="C12818" i="1"/>
  <c r="E12818" i="1"/>
  <c r="G12818" i="1"/>
  <c r="K12818" i="1"/>
  <c r="A12819" i="1"/>
  <c r="B12819" i="1"/>
  <c r="C12819" i="1"/>
  <c r="E12819" i="1"/>
  <c r="G12819" i="1"/>
  <c r="K12819" i="1"/>
  <c r="A12820" i="1"/>
  <c r="B12820" i="1"/>
  <c r="C12820" i="1"/>
  <c r="E12820" i="1"/>
  <c r="G12820" i="1"/>
  <c r="K12820" i="1"/>
  <c r="A12821" i="1"/>
  <c r="B12821" i="1"/>
  <c r="C12821" i="1"/>
  <c r="E12821" i="1"/>
  <c r="G12821" i="1"/>
  <c r="K12821" i="1"/>
  <c r="A12822" i="1"/>
  <c r="B12822" i="1"/>
  <c r="C12822" i="1"/>
  <c r="E12822" i="1"/>
  <c r="G12822" i="1"/>
  <c r="K12822" i="1"/>
  <c r="A12823" i="1"/>
  <c r="B12823" i="1"/>
  <c r="C12823" i="1"/>
  <c r="E12823" i="1"/>
  <c r="G12823" i="1"/>
  <c r="K12823" i="1"/>
  <c r="A12824" i="1"/>
  <c r="B12824" i="1"/>
  <c r="C12824" i="1"/>
  <c r="E12824" i="1"/>
  <c r="G12824" i="1"/>
  <c r="K12824" i="1"/>
  <c r="A12825" i="1"/>
  <c r="B12825" i="1"/>
  <c r="C12825" i="1"/>
  <c r="E12825" i="1"/>
  <c r="G12825" i="1"/>
  <c r="K12825" i="1"/>
  <c r="A12826" i="1"/>
  <c r="B12826" i="1"/>
  <c r="C12826" i="1"/>
  <c r="E12826" i="1"/>
  <c r="G12826" i="1"/>
  <c r="K12826" i="1"/>
  <c r="A12827" i="1"/>
  <c r="B12827" i="1"/>
  <c r="C12827" i="1"/>
  <c r="E12827" i="1"/>
  <c r="G12827" i="1"/>
  <c r="K12827" i="1"/>
  <c r="A12828" i="1"/>
  <c r="B12828" i="1"/>
  <c r="C12828" i="1"/>
  <c r="E12828" i="1"/>
  <c r="G12828" i="1"/>
  <c r="K12828" i="1"/>
  <c r="A12829" i="1"/>
  <c r="B12829" i="1"/>
  <c r="C12829" i="1"/>
  <c r="E12829" i="1"/>
  <c r="G12829" i="1"/>
  <c r="K12829" i="1"/>
  <c r="A12830" i="1"/>
  <c r="B12830" i="1"/>
  <c r="C12830" i="1"/>
  <c r="E12830" i="1"/>
  <c r="G12830" i="1"/>
  <c r="K12830" i="1"/>
  <c r="A12831" i="1"/>
  <c r="B12831" i="1"/>
  <c r="C12831" i="1"/>
  <c r="E12831" i="1"/>
  <c r="G12831" i="1"/>
  <c r="K12831" i="1"/>
  <c r="A12832" i="1"/>
  <c r="B12832" i="1"/>
  <c r="C12832" i="1"/>
  <c r="E12832" i="1"/>
  <c r="G12832" i="1"/>
  <c r="K12832" i="1"/>
  <c r="A12833" i="1"/>
  <c r="B12833" i="1"/>
  <c r="C12833" i="1"/>
  <c r="E12833" i="1"/>
  <c r="G12833" i="1"/>
  <c r="K12833" i="1"/>
  <c r="A12834" i="1"/>
  <c r="B12834" i="1"/>
  <c r="C12834" i="1"/>
  <c r="E12834" i="1"/>
  <c r="G12834" i="1"/>
  <c r="K12834" i="1"/>
  <c r="A12835" i="1"/>
  <c r="B12835" i="1"/>
  <c r="C12835" i="1"/>
  <c r="E12835" i="1"/>
  <c r="G12835" i="1"/>
  <c r="K12835" i="1"/>
  <c r="A12836" i="1"/>
  <c r="B12836" i="1"/>
  <c r="C12836" i="1"/>
  <c r="E12836" i="1"/>
  <c r="G12836" i="1"/>
  <c r="K12836" i="1"/>
  <c r="A12837" i="1"/>
  <c r="B12837" i="1"/>
  <c r="C12837" i="1"/>
  <c r="E12837" i="1"/>
  <c r="G12837" i="1"/>
  <c r="K12837" i="1"/>
  <c r="A12838" i="1"/>
  <c r="B12838" i="1"/>
  <c r="C12838" i="1"/>
  <c r="E12838" i="1"/>
  <c r="G12838" i="1"/>
  <c r="K12838" i="1"/>
  <c r="A12839" i="1"/>
  <c r="B12839" i="1"/>
  <c r="C12839" i="1"/>
  <c r="E12839" i="1"/>
  <c r="G12839" i="1"/>
  <c r="K12839" i="1"/>
  <c r="A12840" i="1"/>
  <c r="B12840" i="1"/>
  <c r="C12840" i="1"/>
  <c r="E12840" i="1"/>
  <c r="G12840" i="1"/>
  <c r="K12840" i="1"/>
  <c r="A12841" i="1"/>
  <c r="B12841" i="1"/>
  <c r="C12841" i="1"/>
  <c r="E12841" i="1"/>
  <c r="G12841" i="1"/>
  <c r="K12841" i="1"/>
  <c r="A12842" i="1"/>
  <c r="B12842" i="1"/>
  <c r="C12842" i="1"/>
  <c r="E12842" i="1"/>
  <c r="G12842" i="1"/>
  <c r="K12842" i="1"/>
  <c r="A12843" i="1"/>
  <c r="B12843" i="1"/>
  <c r="C12843" i="1"/>
  <c r="E12843" i="1"/>
  <c r="G12843" i="1"/>
  <c r="K12843" i="1"/>
  <c r="A12844" i="1"/>
  <c r="B12844" i="1"/>
  <c r="C12844" i="1"/>
  <c r="E12844" i="1"/>
  <c r="G12844" i="1"/>
  <c r="K12844" i="1"/>
  <c r="A12845" i="1"/>
  <c r="B12845" i="1"/>
  <c r="C12845" i="1"/>
  <c r="E12845" i="1"/>
  <c r="G12845" i="1"/>
  <c r="K12845" i="1"/>
  <c r="A12846" i="1"/>
  <c r="B12846" i="1"/>
  <c r="C12846" i="1"/>
  <c r="E12846" i="1"/>
  <c r="G12846" i="1"/>
  <c r="K12846" i="1"/>
  <c r="A12847" i="1"/>
  <c r="B12847" i="1"/>
  <c r="C12847" i="1"/>
  <c r="E12847" i="1"/>
  <c r="G12847" i="1"/>
  <c r="K12847" i="1"/>
  <c r="A12848" i="1"/>
  <c r="B12848" i="1"/>
  <c r="C12848" i="1"/>
  <c r="E12848" i="1"/>
  <c r="G12848" i="1"/>
  <c r="K12848" i="1"/>
  <c r="A12849" i="1"/>
  <c r="B12849" i="1"/>
  <c r="C12849" i="1"/>
  <c r="E12849" i="1"/>
  <c r="G12849" i="1"/>
  <c r="K12849" i="1"/>
  <c r="A12850" i="1"/>
  <c r="B12850" i="1"/>
  <c r="C12850" i="1"/>
  <c r="E12850" i="1"/>
  <c r="G12850" i="1"/>
  <c r="K12850" i="1"/>
  <c r="A12851" i="1"/>
  <c r="B12851" i="1"/>
  <c r="C12851" i="1"/>
  <c r="E12851" i="1"/>
  <c r="G12851" i="1"/>
  <c r="K12851" i="1"/>
  <c r="A12852" i="1"/>
  <c r="B12852" i="1"/>
  <c r="C12852" i="1"/>
  <c r="E12852" i="1"/>
  <c r="G12852" i="1"/>
  <c r="K12852" i="1"/>
  <c r="A12853" i="1"/>
  <c r="B12853" i="1"/>
  <c r="C12853" i="1"/>
  <c r="E12853" i="1"/>
  <c r="G12853" i="1"/>
  <c r="K12853" i="1"/>
  <c r="A12854" i="1"/>
  <c r="B12854" i="1"/>
  <c r="C12854" i="1"/>
  <c r="E12854" i="1"/>
  <c r="G12854" i="1"/>
  <c r="K12854" i="1"/>
  <c r="A12855" i="1"/>
  <c r="B12855" i="1"/>
  <c r="C12855" i="1"/>
  <c r="E12855" i="1"/>
  <c r="G12855" i="1"/>
  <c r="K12855" i="1"/>
  <c r="A12856" i="1"/>
  <c r="B12856" i="1"/>
  <c r="C12856" i="1"/>
  <c r="E12856" i="1"/>
  <c r="G12856" i="1"/>
  <c r="K12856" i="1"/>
  <c r="A12857" i="1"/>
  <c r="B12857" i="1"/>
  <c r="C12857" i="1"/>
  <c r="E12857" i="1"/>
  <c r="G12857" i="1"/>
  <c r="K12857" i="1"/>
  <c r="A12858" i="1"/>
  <c r="B12858" i="1"/>
  <c r="C12858" i="1"/>
  <c r="E12858" i="1"/>
  <c r="G12858" i="1"/>
  <c r="K12858" i="1"/>
  <c r="A12859" i="1"/>
  <c r="B12859" i="1"/>
  <c r="C12859" i="1"/>
  <c r="E12859" i="1"/>
  <c r="G12859" i="1"/>
  <c r="K12859" i="1"/>
  <c r="A12860" i="1"/>
  <c r="B12860" i="1"/>
  <c r="C12860" i="1"/>
  <c r="E12860" i="1"/>
  <c r="G12860" i="1"/>
  <c r="K12860" i="1"/>
  <c r="A12861" i="1"/>
  <c r="B12861" i="1"/>
  <c r="C12861" i="1"/>
  <c r="E12861" i="1"/>
  <c r="G12861" i="1"/>
  <c r="K12861" i="1"/>
  <c r="A12862" i="1"/>
  <c r="B12862" i="1"/>
  <c r="C12862" i="1"/>
  <c r="E12862" i="1"/>
  <c r="G12862" i="1"/>
  <c r="K12862" i="1"/>
  <c r="A12863" i="1"/>
  <c r="B12863" i="1"/>
  <c r="C12863" i="1"/>
  <c r="E12863" i="1"/>
  <c r="G12863" i="1"/>
  <c r="K12863" i="1"/>
  <c r="A12864" i="1"/>
  <c r="B12864" i="1"/>
  <c r="C12864" i="1"/>
  <c r="E12864" i="1"/>
  <c r="G12864" i="1"/>
  <c r="K12864" i="1"/>
  <c r="A12865" i="1"/>
  <c r="B12865" i="1"/>
  <c r="C12865" i="1"/>
  <c r="E12865" i="1"/>
  <c r="G12865" i="1"/>
  <c r="K12865" i="1"/>
  <c r="A12866" i="1"/>
  <c r="B12866" i="1"/>
  <c r="C12866" i="1"/>
  <c r="E12866" i="1"/>
  <c r="G12866" i="1"/>
  <c r="K12866" i="1"/>
  <c r="A12867" i="1"/>
  <c r="B12867" i="1"/>
  <c r="C12867" i="1"/>
  <c r="E12867" i="1"/>
  <c r="G12867" i="1"/>
  <c r="K12867" i="1"/>
  <c r="A12868" i="1"/>
  <c r="B12868" i="1"/>
  <c r="C12868" i="1"/>
  <c r="E12868" i="1"/>
  <c r="G12868" i="1"/>
  <c r="K12868" i="1"/>
  <c r="A12869" i="1"/>
  <c r="B12869" i="1"/>
  <c r="C12869" i="1"/>
  <c r="E12869" i="1"/>
  <c r="G12869" i="1"/>
  <c r="K12869" i="1"/>
  <c r="A12870" i="1"/>
  <c r="B12870" i="1"/>
  <c r="C12870" i="1"/>
  <c r="E12870" i="1"/>
  <c r="G12870" i="1"/>
  <c r="K12870" i="1"/>
  <c r="A12871" i="1"/>
  <c r="B12871" i="1"/>
  <c r="C12871" i="1"/>
  <c r="E12871" i="1"/>
  <c r="G12871" i="1"/>
  <c r="K12871" i="1"/>
  <c r="A12872" i="1"/>
  <c r="B12872" i="1"/>
  <c r="C12872" i="1"/>
  <c r="E12872" i="1"/>
  <c r="G12872" i="1"/>
  <c r="K12872" i="1"/>
  <c r="A12873" i="1"/>
  <c r="B12873" i="1"/>
  <c r="C12873" i="1"/>
  <c r="E12873" i="1"/>
  <c r="G12873" i="1"/>
  <c r="K12873" i="1"/>
  <c r="A12874" i="1"/>
  <c r="B12874" i="1"/>
  <c r="C12874" i="1"/>
  <c r="E12874" i="1"/>
  <c r="G12874" i="1"/>
  <c r="K12874" i="1"/>
  <c r="A12875" i="1"/>
  <c r="B12875" i="1"/>
  <c r="C12875" i="1"/>
  <c r="E12875" i="1"/>
  <c r="G12875" i="1"/>
  <c r="K12875" i="1"/>
  <c r="A12876" i="1"/>
  <c r="B12876" i="1"/>
  <c r="C12876" i="1"/>
  <c r="E12876" i="1"/>
  <c r="G12876" i="1"/>
  <c r="K12876" i="1"/>
  <c r="A12877" i="1"/>
  <c r="B12877" i="1"/>
  <c r="C12877" i="1"/>
  <c r="E12877" i="1"/>
  <c r="G12877" i="1"/>
  <c r="K12877" i="1"/>
  <c r="A12878" i="1"/>
  <c r="B12878" i="1"/>
  <c r="C12878" i="1"/>
  <c r="E12878" i="1"/>
  <c r="G12878" i="1"/>
  <c r="K12878" i="1"/>
  <c r="A12879" i="1"/>
  <c r="B12879" i="1"/>
  <c r="C12879" i="1"/>
  <c r="E12879" i="1"/>
  <c r="G12879" i="1"/>
  <c r="K12879" i="1"/>
  <c r="A12880" i="1"/>
  <c r="B12880" i="1"/>
  <c r="C12880" i="1"/>
  <c r="E12880" i="1"/>
  <c r="G12880" i="1"/>
  <c r="K12880" i="1"/>
  <c r="A12881" i="1"/>
  <c r="B12881" i="1"/>
  <c r="C12881" i="1"/>
  <c r="E12881" i="1"/>
  <c r="G12881" i="1"/>
  <c r="K12881" i="1"/>
  <c r="A12882" i="1"/>
  <c r="B12882" i="1"/>
  <c r="C12882" i="1"/>
  <c r="E12882" i="1"/>
  <c r="G12882" i="1"/>
  <c r="K12882" i="1"/>
  <c r="A12883" i="1"/>
  <c r="B12883" i="1"/>
  <c r="C12883" i="1"/>
  <c r="E12883" i="1"/>
  <c r="G12883" i="1"/>
  <c r="K12883" i="1"/>
  <c r="A12884" i="1"/>
  <c r="B12884" i="1"/>
  <c r="C12884" i="1"/>
  <c r="E12884" i="1"/>
  <c r="G12884" i="1"/>
  <c r="K12884" i="1"/>
  <c r="A12885" i="1"/>
  <c r="B12885" i="1"/>
  <c r="C12885" i="1"/>
  <c r="E12885" i="1"/>
  <c r="G12885" i="1"/>
  <c r="K12885" i="1"/>
  <c r="A12886" i="1"/>
  <c r="B12886" i="1"/>
  <c r="C12886" i="1"/>
  <c r="E12886" i="1"/>
  <c r="G12886" i="1"/>
  <c r="K12886" i="1"/>
  <c r="A12887" i="1"/>
  <c r="B12887" i="1"/>
  <c r="C12887" i="1"/>
  <c r="E12887" i="1"/>
  <c r="G12887" i="1"/>
  <c r="K12887" i="1"/>
  <c r="A12888" i="1"/>
  <c r="B12888" i="1"/>
  <c r="C12888" i="1"/>
  <c r="E12888" i="1"/>
  <c r="G12888" i="1"/>
  <c r="K12888" i="1"/>
  <c r="A12889" i="1"/>
  <c r="B12889" i="1"/>
  <c r="C12889" i="1"/>
  <c r="E12889" i="1"/>
  <c r="G12889" i="1"/>
  <c r="K12889" i="1"/>
  <c r="A12890" i="1"/>
  <c r="B12890" i="1"/>
  <c r="C12890" i="1"/>
  <c r="E12890" i="1"/>
  <c r="G12890" i="1"/>
  <c r="K12890" i="1"/>
  <c r="A12891" i="1"/>
  <c r="B12891" i="1"/>
  <c r="C12891" i="1"/>
  <c r="E12891" i="1"/>
  <c r="G12891" i="1"/>
  <c r="K12891" i="1"/>
  <c r="A12892" i="1"/>
  <c r="B12892" i="1"/>
  <c r="C12892" i="1"/>
  <c r="E12892" i="1"/>
  <c r="G12892" i="1"/>
  <c r="K12892" i="1"/>
  <c r="A12893" i="1"/>
  <c r="B12893" i="1"/>
  <c r="C12893" i="1"/>
  <c r="E12893" i="1"/>
  <c r="G12893" i="1"/>
  <c r="K12893" i="1"/>
  <c r="A12894" i="1"/>
  <c r="B12894" i="1"/>
  <c r="C12894" i="1"/>
  <c r="E12894" i="1"/>
  <c r="G12894" i="1"/>
  <c r="K12894" i="1"/>
  <c r="A12895" i="1"/>
  <c r="B12895" i="1"/>
  <c r="C12895" i="1"/>
  <c r="E12895" i="1"/>
  <c r="G12895" i="1"/>
  <c r="K12895" i="1"/>
  <c r="A12896" i="1"/>
  <c r="B12896" i="1"/>
  <c r="C12896" i="1"/>
  <c r="E12896" i="1"/>
  <c r="G12896" i="1"/>
  <c r="K12896" i="1"/>
  <c r="A12897" i="1"/>
  <c r="B12897" i="1"/>
  <c r="C12897" i="1"/>
  <c r="E12897" i="1"/>
  <c r="G12897" i="1"/>
  <c r="K12897" i="1"/>
  <c r="A12898" i="1"/>
  <c r="B12898" i="1"/>
  <c r="C12898" i="1"/>
  <c r="E12898" i="1"/>
  <c r="G12898" i="1"/>
  <c r="K12898" i="1"/>
  <c r="A12899" i="1"/>
  <c r="B12899" i="1"/>
  <c r="C12899" i="1"/>
  <c r="E12899" i="1"/>
  <c r="G12899" i="1"/>
  <c r="K12899" i="1"/>
  <c r="A12900" i="1"/>
  <c r="B12900" i="1"/>
  <c r="C12900" i="1"/>
  <c r="E12900" i="1"/>
  <c r="G12900" i="1"/>
  <c r="K12900" i="1"/>
  <c r="A12901" i="1"/>
  <c r="B12901" i="1"/>
  <c r="C12901" i="1"/>
  <c r="E12901" i="1"/>
  <c r="G12901" i="1"/>
  <c r="K12901" i="1"/>
  <c r="A12902" i="1"/>
  <c r="B12902" i="1"/>
  <c r="C12902" i="1"/>
  <c r="E12902" i="1"/>
  <c r="G12902" i="1"/>
  <c r="K12902" i="1"/>
  <c r="A12903" i="1"/>
  <c r="B12903" i="1"/>
  <c r="C12903" i="1"/>
  <c r="E12903" i="1"/>
  <c r="G12903" i="1"/>
  <c r="K12903" i="1"/>
  <c r="A12904" i="1"/>
  <c r="B12904" i="1"/>
  <c r="C12904" i="1"/>
  <c r="E12904" i="1"/>
  <c r="G12904" i="1"/>
  <c r="K12904" i="1"/>
  <c r="A12905" i="1"/>
  <c r="B12905" i="1"/>
  <c r="C12905" i="1"/>
  <c r="E12905" i="1"/>
  <c r="G12905" i="1"/>
  <c r="K12905" i="1"/>
  <c r="A12906" i="1"/>
  <c r="B12906" i="1"/>
  <c r="C12906" i="1"/>
  <c r="E12906" i="1"/>
  <c r="G12906" i="1"/>
  <c r="K12906" i="1"/>
  <c r="A12907" i="1"/>
  <c r="B12907" i="1"/>
  <c r="C12907" i="1"/>
  <c r="E12907" i="1"/>
  <c r="G12907" i="1"/>
  <c r="K12907" i="1"/>
  <c r="A12908" i="1"/>
  <c r="B12908" i="1"/>
  <c r="C12908" i="1"/>
  <c r="E12908" i="1"/>
  <c r="G12908" i="1"/>
  <c r="K12908" i="1"/>
  <c r="A12909" i="1"/>
  <c r="B12909" i="1"/>
  <c r="C12909" i="1"/>
  <c r="E12909" i="1"/>
  <c r="G12909" i="1"/>
  <c r="K12909" i="1"/>
  <c r="A12910" i="1"/>
  <c r="B12910" i="1"/>
  <c r="C12910" i="1"/>
  <c r="E12910" i="1"/>
  <c r="G12910" i="1"/>
  <c r="K12910" i="1"/>
  <c r="A12911" i="1"/>
  <c r="B12911" i="1"/>
  <c r="C12911" i="1"/>
  <c r="E12911" i="1"/>
  <c r="G12911" i="1"/>
  <c r="K12911" i="1"/>
  <c r="A12912" i="1"/>
  <c r="B12912" i="1"/>
  <c r="C12912" i="1"/>
  <c r="E12912" i="1"/>
  <c r="G12912" i="1"/>
  <c r="K12912" i="1"/>
  <c r="A12913" i="1"/>
  <c r="B12913" i="1"/>
  <c r="C12913" i="1"/>
  <c r="E12913" i="1"/>
  <c r="G12913" i="1"/>
  <c r="K12913" i="1"/>
  <c r="A12914" i="1"/>
  <c r="B12914" i="1"/>
  <c r="C12914" i="1"/>
  <c r="E12914" i="1"/>
  <c r="G12914" i="1"/>
  <c r="K12914" i="1"/>
  <c r="A12915" i="1"/>
  <c r="B12915" i="1"/>
  <c r="C12915" i="1"/>
  <c r="E12915" i="1"/>
  <c r="G12915" i="1"/>
  <c r="K12915" i="1"/>
  <c r="A12916" i="1"/>
  <c r="B12916" i="1"/>
  <c r="C12916" i="1"/>
  <c r="E12916" i="1"/>
  <c r="G12916" i="1"/>
  <c r="K12916" i="1"/>
  <c r="A12917" i="1"/>
  <c r="B12917" i="1"/>
  <c r="C12917" i="1"/>
  <c r="E12917" i="1"/>
  <c r="G12917" i="1"/>
  <c r="K12917" i="1"/>
  <c r="A12918" i="1"/>
  <c r="B12918" i="1"/>
  <c r="C12918" i="1"/>
  <c r="E12918" i="1"/>
  <c r="G12918" i="1"/>
  <c r="K12918" i="1"/>
  <c r="A12919" i="1"/>
  <c r="B12919" i="1"/>
  <c r="C12919" i="1"/>
  <c r="E12919" i="1"/>
  <c r="G12919" i="1"/>
  <c r="K12919" i="1"/>
  <c r="A12920" i="1"/>
  <c r="B12920" i="1"/>
  <c r="C12920" i="1"/>
  <c r="E12920" i="1"/>
  <c r="G12920" i="1"/>
  <c r="K12920" i="1"/>
  <c r="A12921" i="1"/>
  <c r="B12921" i="1"/>
  <c r="C12921" i="1"/>
  <c r="E12921" i="1"/>
  <c r="G12921" i="1"/>
  <c r="K12921" i="1"/>
  <c r="A12922" i="1"/>
  <c r="B12922" i="1"/>
  <c r="C12922" i="1"/>
  <c r="E12922" i="1"/>
  <c r="G12922" i="1"/>
  <c r="K12922" i="1"/>
  <c r="A12923" i="1"/>
  <c r="B12923" i="1"/>
  <c r="C12923" i="1"/>
  <c r="E12923" i="1"/>
  <c r="G12923" i="1"/>
  <c r="K12923" i="1"/>
  <c r="A12924" i="1"/>
  <c r="B12924" i="1"/>
  <c r="C12924" i="1"/>
  <c r="E12924" i="1"/>
  <c r="G12924" i="1"/>
  <c r="K12924" i="1"/>
  <c r="A12925" i="1"/>
  <c r="B12925" i="1"/>
  <c r="C12925" i="1"/>
  <c r="E12925" i="1"/>
  <c r="G12925" i="1"/>
  <c r="K12925" i="1"/>
  <c r="A12926" i="1"/>
  <c r="B12926" i="1"/>
  <c r="C12926" i="1"/>
  <c r="E12926" i="1"/>
  <c r="G12926" i="1"/>
  <c r="K12926" i="1"/>
  <c r="A12927" i="1"/>
  <c r="B12927" i="1"/>
  <c r="C12927" i="1"/>
  <c r="E12927" i="1"/>
  <c r="G12927" i="1"/>
  <c r="K12927" i="1"/>
  <c r="A12928" i="1"/>
  <c r="B12928" i="1"/>
  <c r="C12928" i="1"/>
  <c r="E12928" i="1"/>
  <c r="G12928" i="1"/>
  <c r="K12928" i="1"/>
  <c r="A12929" i="1"/>
  <c r="B12929" i="1"/>
  <c r="C12929" i="1"/>
  <c r="E12929" i="1"/>
  <c r="G12929" i="1"/>
  <c r="K12929" i="1"/>
  <c r="A12930" i="1"/>
  <c r="B12930" i="1"/>
  <c r="C12930" i="1"/>
  <c r="E12930" i="1"/>
  <c r="G12930" i="1"/>
  <c r="K12930" i="1"/>
  <c r="A12931" i="1"/>
  <c r="B12931" i="1"/>
  <c r="C12931" i="1"/>
  <c r="E12931" i="1"/>
  <c r="G12931" i="1"/>
  <c r="K12931" i="1"/>
  <c r="A12932" i="1"/>
  <c r="B12932" i="1"/>
  <c r="C12932" i="1"/>
  <c r="E12932" i="1"/>
  <c r="G12932" i="1"/>
  <c r="K12932" i="1"/>
  <c r="A12933" i="1"/>
  <c r="B12933" i="1"/>
  <c r="C12933" i="1"/>
  <c r="E12933" i="1"/>
  <c r="G12933" i="1"/>
  <c r="K12933" i="1"/>
  <c r="A12934" i="1"/>
  <c r="B12934" i="1"/>
  <c r="C12934" i="1"/>
  <c r="E12934" i="1"/>
  <c r="G12934" i="1"/>
  <c r="K12934" i="1"/>
  <c r="A12935" i="1"/>
  <c r="B12935" i="1"/>
  <c r="C12935" i="1"/>
  <c r="E12935" i="1"/>
  <c r="G12935" i="1"/>
  <c r="K12935" i="1"/>
  <c r="A12936" i="1"/>
  <c r="B12936" i="1"/>
  <c r="C12936" i="1"/>
  <c r="E12936" i="1"/>
  <c r="G12936" i="1"/>
  <c r="K12936" i="1"/>
  <c r="A12937" i="1"/>
  <c r="B12937" i="1"/>
  <c r="C12937" i="1"/>
  <c r="E12937" i="1"/>
  <c r="G12937" i="1"/>
  <c r="K12937" i="1"/>
  <c r="A12938" i="1"/>
  <c r="B12938" i="1"/>
  <c r="C12938" i="1"/>
  <c r="E12938" i="1"/>
  <c r="G12938" i="1"/>
  <c r="K12938" i="1"/>
  <c r="A12939" i="1"/>
  <c r="B12939" i="1"/>
  <c r="C12939" i="1"/>
  <c r="E12939" i="1"/>
  <c r="G12939" i="1"/>
  <c r="K12939" i="1"/>
  <c r="A12940" i="1"/>
  <c r="B12940" i="1"/>
  <c r="C12940" i="1"/>
  <c r="E12940" i="1"/>
  <c r="G12940" i="1"/>
  <c r="K12940" i="1"/>
  <c r="A12941" i="1"/>
  <c r="B12941" i="1"/>
  <c r="C12941" i="1"/>
  <c r="E12941" i="1"/>
  <c r="G12941" i="1"/>
  <c r="K12941" i="1"/>
  <c r="A12942" i="1"/>
  <c r="B12942" i="1"/>
  <c r="C12942" i="1"/>
  <c r="E12942" i="1"/>
  <c r="G12942" i="1"/>
  <c r="K12942" i="1"/>
  <c r="A12943" i="1"/>
  <c r="B12943" i="1"/>
  <c r="C12943" i="1"/>
  <c r="E12943" i="1"/>
  <c r="G12943" i="1"/>
  <c r="K12943" i="1"/>
  <c r="A12944" i="1"/>
  <c r="B12944" i="1"/>
  <c r="C12944" i="1"/>
  <c r="E12944" i="1"/>
  <c r="G12944" i="1"/>
  <c r="K12944" i="1"/>
  <c r="A12945" i="1"/>
  <c r="B12945" i="1"/>
  <c r="C12945" i="1"/>
  <c r="E12945" i="1"/>
  <c r="G12945" i="1"/>
  <c r="K12945" i="1"/>
  <c r="A12946" i="1"/>
  <c r="B12946" i="1"/>
  <c r="C12946" i="1"/>
  <c r="E12946" i="1"/>
  <c r="G12946" i="1"/>
  <c r="K12946" i="1"/>
  <c r="A12947" i="1"/>
  <c r="B12947" i="1"/>
  <c r="C12947" i="1"/>
  <c r="E12947" i="1"/>
  <c r="G12947" i="1"/>
  <c r="K12947" i="1"/>
  <c r="A12948" i="1"/>
  <c r="B12948" i="1"/>
  <c r="C12948" i="1"/>
  <c r="E12948" i="1"/>
  <c r="G12948" i="1"/>
  <c r="K12948" i="1"/>
  <c r="A12949" i="1"/>
  <c r="B12949" i="1"/>
  <c r="C12949" i="1"/>
  <c r="E12949" i="1"/>
  <c r="G12949" i="1"/>
  <c r="K12949" i="1"/>
  <c r="A12950" i="1"/>
  <c r="B12950" i="1"/>
  <c r="C12950" i="1"/>
  <c r="E12950" i="1"/>
  <c r="G12950" i="1"/>
  <c r="K12950" i="1"/>
  <c r="A12951" i="1"/>
  <c r="B12951" i="1"/>
  <c r="C12951" i="1"/>
  <c r="E12951" i="1"/>
  <c r="G12951" i="1"/>
  <c r="K12951" i="1"/>
  <c r="A12952" i="1"/>
  <c r="B12952" i="1"/>
  <c r="C12952" i="1"/>
  <c r="E12952" i="1"/>
  <c r="G12952" i="1"/>
  <c r="K12952" i="1"/>
  <c r="A12953" i="1"/>
  <c r="B12953" i="1"/>
  <c r="C12953" i="1"/>
  <c r="E12953" i="1"/>
  <c r="G12953" i="1"/>
  <c r="K12953" i="1"/>
  <c r="A12954" i="1"/>
  <c r="B12954" i="1"/>
  <c r="C12954" i="1"/>
  <c r="E12954" i="1"/>
  <c r="G12954" i="1"/>
  <c r="K12954" i="1"/>
  <c r="A12955" i="1"/>
  <c r="B12955" i="1"/>
  <c r="C12955" i="1"/>
  <c r="E12955" i="1"/>
  <c r="G12955" i="1"/>
  <c r="K12955" i="1"/>
  <c r="A12956" i="1"/>
  <c r="B12956" i="1"/>
  <c r="C12956" i="1"/>
  <c r="E12956" i="1"/>
  <c r="G12956" i="1"/>
  <c r="K12956" i="1"/>
  <c r="A12957" i="1"/>
  <c r="B12957" i="1"/>
  <c r="C12957" i="1"/>
  <c r="E12957" i="1"/>
  <c r="G12957" i="1"/>
  <c r="K12957" i="1"/>
  <c r="A12958" i="1"/>
  <c r="B12958" i="1"/>
  <c r="C12958" i="1"/>
  <c r="E12958" i="1"/>
  <c r="G12958" i="1"/>
  <c r="K12958" i="1"/>
  <c r="A12959" i="1"/>
  <c r="B12959" i="1"/>
  <c r="C12959" i="1"/>
  <c r="E12959" i="1"/>
  <c r="G12959" i="1"/>
  <c r="K12959" i="1"/>
  <c r="A12960" i="1"/>
  <c r="B12960" i="1"/>
  <c r="C12960" i="1"/>
  <c r="E12960" i="1"/>
  <c r="G12960" i="1"/>
  <c r="K12960" i="1"/>
  <c r="A12961" i="1"/>
  <c r="B12961" i="1"/>
  <c r="C12961" i="1"/>
  <c r="E12961" i="1"/>
  <c r="G12961" i="1"/>
  <c r="K12961" i="1"/>
  <c r="A12962" i="1"/>
  <c r="B12962" i="1"/>
  <c r="C12962" i="1"/>
  <c r="E12962" i="1"/>
  <c r="G12962" i="1"/>
  <c r="K12962" i="1"/>
  <c r="A12963" i="1"/>
  <c r="B12963" i="1"/>
  <c r="C12963" i="1"/>
  <c r="E12963" i="1"/>
  <c r="G12963" i="1"/>
  <c r="K12963" i="1"/>
  <c r="A12964" i="1"/>
  <c r="B12964" i="1"/>
  <c r="C12964" i="1"/>
  <c r="E12964" i="1"/>
  <c r="G12964" i="1"/>
  <c r="K12964" i="1"/>
  <c r="A12965" i="1"/>
  <c r="B12965" i="1"/>
  <c r="C12965" i="1"/>
  <c r="E12965" i="1"/>
  <c r="G12965" i="1"/>
  <c r="K12965" i="1"/>
  <c r="A12966" i="1"/>
  <c r="B12966" i="1"/>
  <c r="C12966" i="1"/>
  <c r="E12966" i="1"/>
  <c r="G12966" i="1"/>
  <c r="K12966" i="1"/>
  <c r="A12967" i="1"/>
  <c r="B12967" i="1"/>
  <c r="C12967" i="1"/>
  <c r="E12967" i="1"/>
  <c r="G12967" i="1"/>
  <c r="K12967" i="1"/>
  <c r="A12968" i="1"/>
  <c r="B12968" i="1"/>
  <c r="C12968" i="1"/>
  <c r="E12968" i="1"/>
  <c r="G12968" i="1"/>
  <c r="K12968" i="1"/>
  <c r="A12969" i="1"/>
  <c r="B12969" i="1"/>
  <c r="C12969" i="1"/>
  <c r="E12969" i="1"/>
  <c r="G12969" i="1"/>
  <c r="K12969" i="1"/>
  <c r="A12970" i="1"/>
  <c r="B12970" i="1"/>
  <c r="C12970" i="1"/>
  <c r="E12970" i="1"/>
  <c r="G12970" i="1"/>
  <c r="K12970" i="1"/>
  <c r="A12971" i="1"/>
  <c r="B12971" i="1"/>
  <c r="C12971" i="1"/>
  <c r="E12971" i="1"/>
  <c r="G12971" i="1"/>
  <c r="K12971" i="1"/>
  <c r="A12972" i="1"/>
  <c r="B12972" i="1"/>
  <c r="C12972" i="1"/>
  <c r="E12972" i="1"/>
  <c r="G12972" i="1"/>
  <c r="K12972" i="1"/>
  <c r="A12973" i="1"/>
  <c r="B12973" i="1"/>
  <c r="C12973" i="1"/>
  <c r="E12973" i="1"/>
  <c r="G12973" i="1"/>
  <c r="K12973" i="1"/>
  <c r="A12974" i="1"/>
  <c r="B12974" i="1"/>
  <c r="C12974" i="1"/>
  <c r="E12974" i="1"/>
  <c r="G12974" i="1"/>
  <c r="K12974" i="1"/>
  <c r="A12975" i="1"/>
  <c r="B12975" i="1"/>
  <c r="C12975" i="1"/>
  <c r="E12975" i="1"/>
  <c r="G12975" i="1"/>
  <c r="K12975" i="1"/>
  <c r="A12976" i="1"/>
  <c r="B12976" i="1"/>
  <c r="C12976" i="1"/>
  <c r="E12976" i="1"/>
  <c r="G12976" i="1"/>
  <c r="K12976" i="1"/>
  <c r="A12977" i="1"/>
  <c r="B12977" i="1"/>
  <c r="C12977" i="1"/>
  <c r="E12977" i="1"/>
  <c r="G12977" i="1"/>
  <c r="K12977" i="1"/>
  <c r="A12978" i="1"/>
  <c r="B12978" i="1"/>
  <c r="C12978" i="1"/>
  <c r="E12978" i="1"/>
  <c r="G12978" i="1"/>
  <c r="K12978" i="1"/>
  <c r="A12979" i="1"/>
  <c r="B12979" i="1"/>
  <c r="C12979" i="1"/>
  <c r="E12979" i="1"/>
  <c r="G12979" i="1"/>
  <c r="K12979" i="1"/>
  <c r="A12980" i="1"/>
  <c r="B12980" i="1"/>
  <c r="C12980" i="1"/>
  <c r="E12980" i="1"/>
  <c r="G12980" i="1"/>
  <c r="K12980" i="1"/>
  <c r="A12981" i="1"/>
  <c r="B12981" i="1"/>
  <c r="C12981" i="1"/>
  <c r="E12981" i="1"/>
  <c r="G12981" i="1"/>
  <c r="K12981" i="1"/>
  <c r="A12982" i="1"/>
  <c r="B12982" i="1"/>
  <c r="C12982" i="1"/>
  <c r="E12982" i="1"/>
  <c r="G12982" i="1"/>
  <c r="K12982" i="1"/>
  <c r="A12983" i="1"/>
  <c r="B12983" i="1"/>
  <c r="C12983" i="1"/>
  <c r="E12983" i="1"/>
  <c r="G12983" i="1"/>
  <c r="K12983" i="1"/>
  <c r="A12984" i="1"/>
  <c r="B12984" i="1"/>
  <c r="C12984" i="1"/>
  <c r="E12984" i="1"/>
  <c r="G12984" i="1"/>
  <c r="K12984" i="1"/>
  <c r="A12985" i="1"/>
  <c r="B12985" i="1"/>
  <c r="C12985" i="1"/>
  <c r="E12985" i="1"/>
  <c r="G12985" i="1"/>
  <c r="K12985" i="1"/>
  <c r="A12986" i="1"/>
  <c r="B12986" i="1"/>
  <c r="C12986" i="1"/>
  <c r="E12986" i="1"/>
  <c r="G12986" i="1"/>
  <c r="K12986" i="1"/>
  <c r="A12987" i="1"/>
  <c r="B12987" i="1"/>
  <c r="C12987" i="1"/>
  <c r="E12987" i="1"/>
  <c r="G12987" i="1"/>
  <c r="K12987" i="1"/>
  <c r="A12988" i="1"/>
  <c r="B12988" i="1"/>
  <c r="C12988" i="1"/>
  <c r="E12988" i="1"/>
  <c r="G12988" i="1"/>
  <c r="K12988" i="1"/>
  <c r="A12989" i="1"/>
  <c r="B12989" i="1"/>
  <c r="C12989" i="1"/>
  <c r="E12989" i="1"/>
  <c r="G12989" i="1"/>
  <c r="K12989" i="1"/>
  <c r="A12990" i="1"/>
  <c r="B12990" i="1"/>
  <c r="C12990" i="1"/>
  <c r="E12990" i="1"/>
  <c r="G12990" i="1"/>
  <c r="K12990" i="1"/>
  <c r="A12991" i="1"/>
  <c r="B12991" i="1"/>
  <c r="C12991" i="1"/>
  <c r="E12991" i="1"/>
  <c r="G12991" i="1"/>
  <c r="K12991" i="1"/>
  <c r="A12992" i="1"/>
  <c r="B12992" i="1"/>
  <c r="C12992" i="1"/>
  <c r="E12992" i="1"/>
  <c r="G12992" i="1"/>
  <c r="K12992" i="1"/>
  <c r="A12993" i="1"/>
  <c r="B12993" i="1"/>
  <c r="C12993" i="1"/>
  <c r="E12993" i="1"/>
  <c r="G12993" i="1"/>
  <c r="K12993" i="1"/>
  <c r="A12994" i="1"/>
  <c r="B12994" i="1"/>
  <c r="C12994" i="1"/>
  <c r="E12994" i="1"/>
  <c r="G12994" i="1"/>
  <c r="K12994" i="1"/>
  <c r="A12995" i="1"/>
  <c r="B12995" i="1"/>
  <c r="C12995" i="1"/>
  <c r="E12995" i="1"/>
  <c r="G12995" i="1"/>
  <c r="K12995" i="1"/>
  <c r="A12996" i="1"/>
  <c r="B12996" i="1"/>
  <c r="C12996" i="1"/>
  <c r="E12996" i="1"/>
  <c r="G12996" i="1"/>
  <c r="K12996" i="1"/>
  <c r="A12997" i="1"/>
  <c r="B12997" i="1"/>
  <c r="C12997" i="1"/>
  <c r="E12997" i="1"/>
  <c r="G12997" i="1"/>
  <c r="K12997" i="1"/>
  <c r="A12998" i="1"/>
  <c r="B12998" i="1"/>
  <c r="C12998" i="1"/>
  <c r="E12998" i="1"/>
  <c r="G12998" i="1"/>
  <c r="K12998" i="1"/>
  <c r="A12999" i="1"/>
  <c r="B12999" i="1"/>
  <c r="C12999" i="1"/>
  <c r="E12999" i="1"/>
  <c r="G12999" i="1"/>
  <c r="K12999" i="1"/>
  <c r="A13000" i="1"/>
  <c r="B13000" i="1"/>
  <c r="C13000" i="1"/>
  <c r="E13000" i="1"/>
  <c r="G13000" i="1"/>
  <c r="K13000" i="1"/>
  <c r="A13001" i="1"/>
  <c r="B13001" i="1"/>
  <c r="C13001" i="1"/>
  <c r="E13001" i="1"/>
  <c r="G13001" i="1"/>
  <c r="K13001" i="1"/>
  <c r="A13002" i="1"/>
  <c r="B13002" i="1"/>
  <c r="C13002" i="1"/>
  <c r="E13002" i="1"/>
  <c r="G13002" i="1"/>
  <c r="K13002" i="1"/>
  <c r="A13003" i="1"/>
  <c r="B13003" i="1"/>
  <c r="C13003" i="1"/>
  <c r="E13003" i="1"/>
  <c r="G13003" i="1"/>
  <c r="K13003" i="1"/>
  <c r="A13004" i="1"/>
  <c r="B13004" i="1"/>
  <c r="C13004" i="1"/>
  <c r="E13004" i="1"/>
  <c r="G13004" i="1"/>
  <c r="K13004" i="1"/>
  <c r="A13005" i="1"/>
  <c r="B13005" i="1"/>
  <c r="C13005" i="1"/>
  <c r="E13005" i="1"/>
  <c r="G13005" i="1"/>
  <c r="K13005" i="1"/>
  <c r="A13006" i="1"/>
  <c r="B13006" i="1"/>
  <c r="C13006" i="1"/>
  <c r="E13006" i="1"/>
  <c r="G13006" i="1"/>
  <c r="K13006" i="1"/>
  <c r="A13007" i="1"/>
  <c r="B13007" i="1"/>
  <c r="C13007" i="1"/>
  <c r="E13007" i="1"/>
  <c r="G13007" i="1"/>
  <c r="K13007" i="1"/>
  <c r="A13008" i="1"/>
  <c r="B13008" i="1"/>
  <c r="C13008" i="1"/>
  <c r="E13008" i="1"/>
  <c r="G13008" i="1"/>
  <c r="K13008" i="1"/>
  <c r="A13009" i="1"/>
  <c r="B13009" i="1"/>
  <c r="C13009" i="1"/>
  <c r="E13009" i="1"/>
  <c r="G13009" i="1"/>
  <c r="K13009" i="1"/>
  <c r="A13010" i="1"/>
  <c r="B13010" i="1"/>
  <c r="C13010" i="1"/>
  <c r="E13010" i="1"/>
  <c r="G13010" i="1"/>
  <c r="K13010" i="1"/>
  <c r="A13011" i="1"/>
  <c r="B13011" i="1"/>
  <c r="C13011" i="1"/>
  <c r="E13011" i="1"/>
  <c r="G13011" i="1"/>
  <c r="K13011" i="1"/>
  <c r="A13012" i="1"/>
  <c r="B13012" i="1"/>
  <c r="C13012" i="1"/>
  <c r="E13012" i="1"/>
  <c r="G13012" i="1"/>
  <c r="K13012" i="1"/>
  <c r="A13013" i="1"/>
  <c r="B13013" i="1"/>
  <c r="C13013" i="1"/>
  <c r="E13013" i="1"/>
  <c r="G13013" i="1"/>
  <c r="K13013" i="1"/>
  <c r="A13014" i="1"/>
  <c r="B13014" i="1"/>
  <c r="C13014" i="1"/>
  <c r="E13014" i="1"/>
  <c r="G13014" i="1"/>
  <c r="K13014" i="1"/>
  <c r="A13015" i="1"/>
  <c r="B13015" i="1"/>
  <c r="C13015" i="1"/>
  <c r="E13015" i="1"/>
  <c r="G13015" i="1"/>
  <c r="K13015" i="1"/>
  <c r="A13016" i="1"/>
  <c r="B13016" i="1"/>
  <c r="C13016" i="1"/>
  <c r="E13016" i="1"/>
  <c r="G13016" i="1"/>
  <c r="K13016" i="1"/>
  <c r="A13017" i="1"/>
  <c r="B13017" i="1"/>
  <c r="C13017" i="1"/>
  <c r="E13017" i="1"/>
  <c r="G13017" i="1"/>
  <c r="K13017" i="1"/>
  <c r="A13018" i="1"/>
  <c r="B13018" i="1"/>
  <c r="C13018" i="1"/>
  <c r="E13018" i="1"/>
  <c r="G13018" i="1"/>
  <c r="K13018" i="1"/>
  <c r="A13019" i="1"/>
  <c r="B13019" i="1"/>
  <c r="C13019" i="1"/>
  <c r="E13019" i="1"/>
  <c r="G13019" i="1"/>
  <c r="K13019" i="1"/>
  <c r="A13020" i="1"/>
  <c r="B13020" i="1"/>
  <c r="C13020" i="1"/>
  <c r="E13020" i="1"/>
  <c r="G13020" i="1"/>
  <c r="K13020" i="1"/>
  <c r="A13021" i="1"/>
  <c r="B13021" i="1"/>
  <c r="C13021" i="1"/>
  <c r="E13021" i="1"/>
  <c r="G13021" i="1"/>
  <c r="K13021" i="1"/>
  <c r="A13022" i="1"/>
  <c r="B13022" i="1"/>
  <c r="C13022" i="1"/>
  <c r="E13022" i="1"/>
  <c r="G13022" i="1"/>
  <c r="K13022" i="1"/>
  <c r="A13023" i="1"/>
  <c r="B13023" i="1"/>
  <c r="C13023" i="1"/>
  <c r="E13023" i="1"/>
  <c r="G13023" i="1"/>
  <c r="K13023" i="1"/>
  <c r="A13024" i="1"/>
  <c r="B13024" i="1"/>
  <c r="C13024" i="1"/>
  <c r="E13024" i="1"/>
  <c r="G13024" i="1"/>
  <c r="K13024" i="1"/>
  <c r="A13025" i="1"/>
  <c r="B13025" i="1"/>
  <c r="C13025" i="1"/>
  <c r="E13025" i="1"/>
  <c r="G13025" i="1"/>
  <c r="K13025" i="1"/>
  <c r="A13026" i="1"/>
  <c r="B13026" i="1"/>
  <c r="C13026" i="1"/>
  <c r="E13026" i="1"/>
  <c r="G13026" i="1"/>
  <c r="K13026" i="1"/>
  <c r="A13027" i="1"/>
  <c r="B13027" i="1"/>
  <c r="C13027" i="1"/>
  <c r="E13027" i="1"/>
  <c r="G13027" i="1"/>
  <c r="K13027" i="1"/>
  <c r="A13028" i="1"/>
  <c r="B13028" i="1"/>
  <c r="C13028" i="1"/>
  <c r="E13028" i="1"/>
  <c r="G13028" i="1"/>
  <c r="K13028" i="1"/>
  <c r="A13029" i="1"/>
  <c r="B13029" i="1"/>
  <c r="C13029" i="1"/>
  <c r="E13029" i="1"/>
  <c r="G13029" i="1"/>
  <c r="K13029" i="1"/>
  <c r="A13030" i="1"/>
  <c r="B13030" i="1"/>
  <c r="C13030" i="1"/>
  <c r="E13030" i="1"/>
  <c r="G13030" i="1"/>
  <c r="K13030" i="1"/>
  <c r="A13031" i="1"/>
  <c r="B13031" i="1"/>
  <c r="C13031" i="1"/>
  <c r="E13031" i="1"/>
  <c r="G13031" i="1"/>
  <c r="K13031" i="1"/>
  <c r="A13032" i="1"/>
  <c r="B13032" i="1"/>
  <c r="C13032" i="1"/>
  <c r="E13032" i="1"/>
  <c r="G13032" i="1"/>
  <c r="K13032" i="1"/>
  <c r="A13033" i="1"/>
  <c r="B13033" i="1"/>
  <c r="C13033" i="1"/>
  <c r="E13033" i="1"/>
  <c r="G13033" i="1"/>
  <c r="K13033" i="1"/>
  <c r="A13034" i="1"/>
  <c r="B13034" i="1"/>
  <c r="C13034" i="1"/>
  <c r="E13034" i="1"/>
  <c r="G13034" i="1"/>
  <c r="K13034" i="1"/>
  <c r="A13035" i="1"/>
  <c r="B13035" i="1"/>
  <c r="C13035" i="1"/>
  <c r="E13035" i="1"/>
  <c r="G13035" i="1"/>
  <c r="K13035" i="1"/>
  <c r="A13036" i="1"/>
  <c r="B13036" i="1"/>
  <c r="C13036" i="1"/>
  <c r="E13036" i="1"/>
  <c r="G13036" i="1"/>
  <c r="K13036" i="1"/>
  <c r="A13037" i="1"/>
  <c r="B13037" i="1"/>
  <c r="C13037" i="1"/>
  <c r="E13037" i="1"/>
  <c r="G13037" i="1"/>
  <c r="K13037" i="1"/>
  <c r="A13038" i="1"/>
  <c r="B13038" i="1"/>
  <c r="C13038" i="1"/>
  <c r="E13038" i="1"/>
  <c r="G13038" i="1"/>
  <c r="K13038" i="1"/>
  <c r="A13039" i="1"/>
  <c r="B13039" i="1"/>
  <c r="C13039" i="1"/>
  <c r="E13039" i="1"/>
  <c r="G13039" i="1"/>
  <c r="K13039" i="1"/>
  <c r="A13040" i="1"/>
  <c r="B13040" i="1"/>
  <c r="C13040" i="1"/>
  <c r="E13040" i="1"/>
  <c r="G13040" i="1"/>
  <c r="K13040" i="1"/>
  <c r="A13041" i="1"/>
  <c r="B13041" i="1"/>
  <c r="C13041" i="1"/>
  <c r="E13041" i="1"/>
  <c r="G13041" i="1"/>
  <c r="K13041" i="1"/>
  <c r="A13042" i="1"/>
  <c r="B13042" i="1"/>
  <c r="C13042" i="1"/>
  <c r="E13042" i="1"/>
  <c r="G13042" i="1"/>
  <c r="K13042" i="1"/>
  <c r="A13043" i="1"/>
  <c r="B13043" i="1"/>
  <c r="C13043" i="1"/>
  <c r="E13043" i="1"/>
  <c r="G13043" i="1"/>
  <c r="K13043" i="1"/>
  <c r="A13044" i="1"/>
  <c r="B13044" i="1"/>
  <c r="C13044" i="1"/>
  <c r="E13044" i="1"/>
  <c r="G13044" i="1"/>
  <c r="K13044" i="1"/>
  <c r="A13045" i="1"/>
  <c r="B13045" i="1"/>
  <c r="C13045" i="1"/>
  <c r="E13045" i="1"/>
  <c r="G13045" i="1"/>
  <c r="K13045" i="1"/>
  <c r="A13046" i="1"/>
  <c r="B13046" i="1"/>
  <c r="C13046" i="1"/>
  <c r="E13046" i="1"/>
  <c r="G13046" i="1"/>
  <c r="K13046" i="1"/>
  <c r="A13047" i="1"/>
  <c r="B13047" i="1"/>
  <c r="C13047" i="1"/>
  <c r="E13047" i="1"/>
  <c r="G13047" i="1"/>
  <c r="K13047" i="1"/>
  <c r="A13048" i="1"/>
  <c r="B13048" i="1"/>
  <c r="C13048" i="1"/>
  <c r="E13048" i="1"/>
  <c r="G13048" i="1"/>
  <c r="K13048" i="1"/>
  <c r="A13049" i="1"/>
  <c r="B13049" i="1"/>
  <c r="C13049" i="1"/>
  <c r="E13049" i="1"/>
  <c r="G13049" i="1"/>
  <c r="K13049" i="1"/>
  <c r="A13050" i="1"/>
  <c r="B13050" i="1"/>
  <c r="C13050" i="1"/>
  <c r="E13050" i="1"/>
  <c r="G13050" i="1"/>
  <c r="K13050" i="1"/>
  <c r="A13051" i="1"/>
  <c r="B13051" i="1"/>
  <c r="C13051" i="1"/>
  <c r="E13051" i="1"/>
  <c r="G13051" i="1"/>
  <c r="K13051" i="1"/>
  <c r="A13052" i="1"/>
  <c r="B13052" i="1"/>
  <c r="C13052" i="1"/>
  <c r="E13052" i="1"/>
  <c r="G13052" i="1"/>
  <c r="K13052" i="1"/>
  <c r="A13053" i="1"/>
  <c r="B13053" i="1"/>
  <c r="C13053" i="1"/>
  <c r="E13053" i="1"/>
  <c r="G13053" i="1"/>
  <c r="K13053" i="1"/>
  <c r="A13054" i="1"/>
  <c r="B13054" i="1"/>
  <c r="C13054" i="1"/>
  <c r="E13054" i="1"/>
  <c r="G13054" i="1"/>
  <c r="K13054" i="1"/>
  <c r="A13055" i="1"/>
  <c r="B13055" i="1"/>
  <c r="C13055" i="1"/>
  <c r="E13055" i="1"/>
  <c r="G13055" i="1"/>
  <c r="K13055" i="1"/>
  <c r="A13056" i="1"/>
  <c r="B13056" i="1"/>
  <c r="C13056" i="1"/>
  <c r="E13056" i="1"/>
  <c r="G13056" i="1"/>
  <c r="K13056" i="1"/>
  <c r="A13057" i="1"/>
  <c r="B13057" i="1"/>
  <c r="C13057" i="1"/>
  <c r="E13057" i="1"/>
  <c r="G13057" i="1"/>
  <c r="K13057" i="1"/>
  <c r="A13058" i="1"/>
  <c r="B13058" i="1"/>
  <c r="C13058" i="1"/>
  <c r="E13058" i="1"/>
  <c r="G13058" i="1"/>
  <c r="K13058" i="1"/>
  <c r="A13059" i="1"/>
  <c r="B13059" i="1"/>
  <c r="C13059" i="1"/>
  <c r="E13059" i="1"/>
  <c r="G13059" i="1"/>
  <c r="K13059" i="1"/>
  <c r="A13060" i="1"/>
  <c r="B13060" i="1"/>
  <c r="C13060" i="1"/>
  <c r="E13060" i="1"/>
  <c r="G13060" i="1"/>
  <c r="K13060" i="1"/>
  <c r="A13061" i="1"/>
  <c r="B13061" i="1"/>
  <c r="C13061" i="1"/>
  <c r="E13061" i="1"/>
  <c r="G13061" i="1"/>
  <c r="K13061" i="1"/>
  <c r="A13062" i="1"/>
  <c r="B13062" i="1"/>
  <c r="C13062" i="1"/>
  <c r="E13062" i="1"/>
  <c r="G13062" i="1"/>
  <c r="K13062" i="1"/>
  <c r="A13063" i="1"/>
  <c r="B13063" i="1"/>
  <c r="C13063" i="1"/>
  <c r="E13063" i="1"/>
  <c r="G13063" i="1"/>
  <c r="K13063" i="1"/>
  <c r="A13064" i="1"/>
  <c r="B13064" i="1"/>
  <c r="C13064" i="1"/>
  <c r="E13064" i="1"/>
  <c r="G13064" i="1"/>
  <c r="K13064" i="1"/>
  <c r="A13065" i="1"/>
  <c r="B13065" i="1"/>
  <c r="C13065" i="1"/>
  <c r="E13065" i="1"/>
  <c r="G13065" i="1"/>
  <c r="K13065" i="1"/>
  <c r="A13066" i="1"/>
  <c r="B13066" i="1"/>
  <c r="C13066" i="1"/>
  <c r="E13066" i="1"/>
  <c r="G13066" i="1"/>
  <c r="K13066" i="1"/>
  <c r="A13067" i="1"/>
  <c r="B13067" i="1"/>
  <c r="C13067" i="1"/>
  <c r="E13067" i="1"/>
  <c r="G13067" i="1"/>
  <c r="K13067" i="1"/>
  <c r="A13068" i="1"/>
  <c r="B13068" i="1"/>
  <c r="C13068" i="1"/>
  <c r="E13068" i="1"/>
  <c r="G13068" i="1"/>
  <c r="K13068" i="1"/>
  <c r="A13069" i="1"/>
  <c r="B13069" i="1"/>
  <c r="C13069" i="1"/>
  <c r="E13069" i="1"/>
  <c r="G13069" i="1"/>
  <c r="K13069" i="1"/>
  <c r="A13070" i="1"/>
  <c r="B13070" i="1"/>
  <c r="C13070" i="1"/>
  <c r="E13070" i="1"/>
  <c r="G13070" i="1"/>
  <c r="K13070" i="1"/>
  <c r="A13071" i="1"/>
  <c r="B13071" i="1"/>
  <c r="C13071" i="1"/>
  <c r="E13071" i="1"/>
  <c r="G13071" i="1"/>
  <c r="K13071" i="1"/>
  <c r="A13072" i="1"/>
  <c r="B13072" i="1"/>
  <c r="C13072" i="1"/>
  <c r="E13072" i="1"/>
  <c r="G13072" i="1"/>
  <c r="K13072" i="1"/>
  <c r="A13073" i="1"/>
  <c r="B13073" i="1"/>
  <c r="C13073" i="1"/>
  <c r="E13073" i="1"/>
  <c r="G13073" i="1"/>
  <c r="K13073" i="1"/>
  <c r="A13074" i="1"/>
  <c r="B13074" i="1"/>
  <c r="C13074" i="1"/>
  <c r="E13074" i="1"/>
  <c r="G13074" i="1"/>
  <c r="K13074" i="1"/>
  <c r="A13075" i="1"/>
  <c r="B13075" i="1"/>
  <c r="C13075" i="1"/>
  <c r="E13075" i="1"/>
  <c r="G13075" i="1"/>
  <c r="K13075" i="1"/>
  <c r="A13076" i="1"/>
  <c r="B13076" i="1"/>
  <c r="C13076" i="1"/>
  <c r="E13076" i="1"/>
  <c r="G13076" i="1"/>
  <c r="K13076" i="1"/>
  <c r="A13077" i="1"/>
  <c r="B13077" i="1"/>
  <c r="C13077" i="1"/>
  <c r="E13077" i="1"/>
  <c r="G13077" i="1"/>
  <c r="K13077" i="1"/>
  <c r="A13078" i="1"/>
  <c r="B13078" i="1"/>
  <c r="C13078" i="1"/>
  <c r="E13078" i="1"/>
  <c r="G13078" i="1"/>
  <c r="K13078" i="1"/>
  <c r="A13079" i="1"/>
  <c r="B13079" i="1"/>
  <c r="C13079" i="1"/>
  <c r="E13079" i="1"/>
  <c r="G13079" i="1"/>
  <c r="K13079" i="1"/>
  <c r="A13080" i="1"/>
  <c r="B13080" i="1"/>
  <c r="C13080" i="1"/>
  <c r="E13080" i="1"/>
  <c r="G13080" i="1"/>
  <c r="K13080" i="1"/>
  <c r="A13081" i="1"/>
  <c r="B13081" i="1"/>
  <c r="C13081" i="1"/>
  <c r="E13081" i="1"/>
  <c r="G13081" i="1"/>
  <c r="K13081" i="1"/>
  <c r="A13082" i="1"/>
  <c r="B13082" i="1"/>
  <c r="C13082" i="1"/>
  <c r="E13082" i="1"/>
  <c r="G13082" i="1"/>
  <c r="K13082" i="1"/>
  <c r="A13083" i="1"/>
  <c r="B13083" i="1"/>
  <c r="C13083" i="1"/>
  <c r="E13083" i="1"/>
  <c r="G13083" i="1"/>
  <c r="K13083" i="1"/>
  <c r="A13084" i="1"/>
  <c r="B13084" i="1"/>
  <c r="C13084" i="1"/>
  <c r="E13084" i="1"/>
  <c r="G13084" i="1"/>
  <c r="K13084" i="1"/>
  <c r="A13085" i="1"/>
  <c r="B13085" i="1"/>
  <c r="C13085" i="1"/>
  <c r="E13085" i="1"/>
  <c r="G13085" i="1"/>
  <c r="K13085" i="1"/>
  <c r="A13086" i="1"/>
  <c r="B13086" i="1"/>
  <c r="C13086" i="1"/>
  <c r="E13086" i="1"/>
  <c r="G13086" i="1"/>
  <c r="K13086" i="1"/>
  <c r="A13087" i="1"/>
  <c r="B13087" i="1"/>
  <c r="C13087" i="1"/>
  <c r="E13087" i="1"/>
  <c r="G13087" i="1"/>
  <c r="K13087" i="1"/>
  <c r="A13088" i="1"/>
  <c r="B13088" i="1"/>
  <c r="C13088" i="1"/>
  <c r="E13088" i="1"/>
  <c r="G13088" i="1"/>
  <c r="K13088" i="1"/>
  <c r="A13089" i="1"/>
  <c r="B13089" i="1"/>
  <c r="C13089" i="1"/>
  <c r="E13089" i="1"/>
  <c r="G13089" i="1"/>
  <c r="K13089" i="1"/>
  <c r="A13090" i="1"/>
  <c r="B13090" i="1"/>
  <c r="C13090" i="1"/>
  <c r="E13090" i="1"/>
  <c r="G13090" i="1"/>
  <c r="K13090" i="1"/>
  <c r="A13091" i="1"/>
  <c r="B13091" i="1"/>
  <c r="C13091" i="1"/>
  <c r="E13091" i="1"/>
  <c r="G13091" i="1"/>
  <c r="K13091" i="1"/>
  <c r="A13092" i="1"/>
  <c r="B13092" i="1"/>
  <c r="C13092" i="1"/>
  <c r="E13092" i="1"/>
  <c r="G13092" i="1"/>
  <c r="K13092" i="1"/>
  <c r="A13093" i="1"/>
  <c r="B13093" i="1"/>
  <c r="C13093" i="1"/>
  <c r="E13093" i="1"/>
  <c r="G13093" i="1"/>
  <c r="K13093" i="1"/>
  <c r="A13094" i="1"/>
  <c r="B13094" i="1"/>
  <c r="C13094" i="1"/>
  <c r="E13094" i="1"/>
  <c r="G13094" i="1"/>
  <c r="K13094" i="1"/>
  <c r="A13095" i="1"/>
  <c r="B13095" i="1"/>
  <c r="C13095" i="1"/>
  <c r="E13095" i="1"/>
  <c r="G13095" i="1"/>
  <c r="K13095" i="1"/>
  <c r="A13096" i="1"/>
  <c r="B13096" i="1"/>
  <c r="C13096" i="1"/>
  <c r="E13096" i="1"/>
  <c r="G13096" i="1"/>
  <c r="K13096" i="1"/>
  <c r="A13097" i="1"/>
  <c r="B13097" i="1"/>
  <c r="C13097" i="1"/>
  <c r="E13097" i="1"/>
  <c r="G13097" i="1"/>
  <c r="K13097" i="1"/>
  <c r="A13098" i="1"/>
  <c r="B13098" i="1"/>
  <c r="C13098" i="1"/>
  <c r="E13098" i="1"/>
  <c r="G13098" i="1"/>
  <c r="K13098" i="1"/>
  <c r="A13099" i="1"/>
  <c r="B13099" i="1"/>
  <c r="C13099" i="1"/>
  <c r="E13099" i="1"/>
  <c r="G13099" i="1"/>
  <c r="K13099" i="1"/>
  <c r="A13100" i="1"/>
  <c r="B13100" i="1"/>
  <c r="C13100" i="1"/>
  <c r="E13100" i="1"/>
  <c r="G13100" i="1"/>
  <c r="K13100" i="1"/>
  <c r="A13101" i="1"/>
  <c r="B13101" i="1"/>
  <c r="C13101" i="1"/>
  <c r="E13101" i="1"/>
  <c r="G13101" i="1"/>
  <c r="K13101" i="1"/>
  <c r="A13102" i="1"/>
  <c r="B13102" i="1"/>
  <c r="C13102" i="1"/>
  <c r="E13102" i="1"/>
  <c r="G13102" i="1"/>
  <c r="K13102" i="1"/>
  <c r="A13103" i="1"/>
  <c r="B13103" i="1"/>
  <c r="C13103" i="1"/>
  <c r="E13103" i="1"/>
  <c r="G13103" i="1"/>
  <c r="K13103" i="1"/>
  <c r="A13104" i="1"/>
  <c r="B13104" i="1"/>
  <c r="C13104" i="1"/>
  <c r="E13104" i="1"/>
  <c r="G13104" i="1"/>
  <c r="K13104" i="1"/>
  <c r="A13105" i="1"/>
  <c r="B13105" i="1"/>
  <c r="C13105" i="1"/>
  <c r="E13105" i="1"/>
  <c r="G13105" i="1"/>
  <c r="K13105" i="1"/>
  <c r="A13106" i="1"/>
  <c r="B13106" i="1"/>
  <c r="C13106" i="1"/>
  <c r="E13106" i="1"/>
  <c r="G13106" i="1"/>
  <c r="K13106" i="1"/>
  <c r="A13107" i="1"/>
  <c r="B13107" i="1"/>
  <c r="C13107" i="1"/>
  <c r="E13107" i="1"/>
  <c r="G13107" i="1"/>
  <c r="K13107" i="1"/>
  <c r="A13108" i="1"/>
  <c r="B13108" i="1"/>
  <c r="C13108" i="1"/>
  <c r="E13108" i="1"/>
  <c r="G13108" i="1"/>
  <c r="K13108" i="1"/>
  <c r="A13109" i="1"/>
  <c r="B13109" i="1"/>
  <c r="C13109" i="1"/>
  <c r="E13109" i="1"/>
  <c r="G13109" i="1"/>
  <c r="K13109" i="1"/>
  <c r="A13110" i="1"/>
  <c r="B13110" i="1"/>
  <c r="C13110" i="1"/>
  <c r="E13110" i="1"/>
  <c r="G13110" i="1"/>
  <c r="K13110" i="1"/>
  <c r="A13111" i="1"/>
  <c r="B13111" i="1"/>
  <c r="C13111" i="1"/>
  <c r="E13111" i="1"/>
  <c r="G13111" i="1"/>
  <c r="K13111" i="1"/>
  <c r="A13112" i="1"/>
  <c r="B13112" i="1"/>
  <c r="C13112" i="1"/>
  <c r="E13112" i="1"/>
  <c r="G13112" i="1"/>
  <c r="K13112" i="1"/>
  <c r="A13113" i="1"/>
  <c r="B13113" i="1"/>
  <c r="C13113" i="1"/>
  <c r="E13113" i="1"/>
  <c r="G13113" i="1"/>
  <c r="K13113" i="1"/>
  <c r="A13114" i="1"/>
  <c r="B13114" i="1"/>
  <c r="C13114" i="1"/>
  <c r="E13114" i="1"/>
  <c r="G13114" i="1"/>
  <c r="K13114" i="1"/>
  <c r="A13115" i="1"/>
  <c r="B13115" i="1"/>
  <c r="C13115" i="1"/>
  <c r="E13115" i="1"/>
  <c r="G13115" i="1"/>
  <c r="K13115" i="1"/>
  <c r="A13116" i="1"/>
  <c r="B13116" i="1"/>
  <c r="C13116" i="1"/>
  <c r="E13116" i="1"/>
  <c r="G13116" i="1"/>
  <c r="K13116" i="1"/>
  <c r="A13117" i="1"/>
  <c r="B13117" i="1"/>
  <c r="C13117" i="1"/>
  <c r="E13117" i="1"/>
  <c r="G13117" i="1"/>
  <c r="K13117" i="1"/>
  <c r="A13118" i="1"/>
  <c r="B13118" i="1"/>
  <c r="C13118" i="1"/>
  <c r="E13118" i="1"/>
  <c r="G13118" i="1"/>
  <c r="K13118" i="1"/>
  <c r="A13119" i="1"/>
  <c r="B13119" i="1"/>
  <c r="C13119" i="1"/>
  <c r="E13119" i="1"/>
  <c r="G13119" i="1"/>
  <c r="K13119" i="1"/>
  <c r="A13120" i="1"/>
  <c r="B13120" i="1"/>
  <c r="C13120" i="1"/>
  <c r="E13120" i="1"/>
  <c r="G13120" i="1"/>
  <c r="K13120" i="1"/>
  <c r="A13121" i="1"/>
  <c r="B13121" i="1"/>
  <c r="C13121" i="1"/>
  <c r="E13121" i="1"/>
  <c r="G13121" i="1"/>
  <c r="K13121" i="1"/>
  <c r="A13122" i="1"/>
  <c r="B13122" i="1"/>
  <c r="C13122" i="1"/>
  <c r="E13122" i="1"/>
  <c r="G13122" i="1"/>
  <c r="K13122" i="1"/>
  <c r="A13123" i="1"/>
  <c r="B13123" i="1"/>
  <c r="C13123" i="1"/>
  <c r="E13123" i="1"/>
  <c r="G13123" i="1"/>
  <c r="K13123" i="1"/>
  <c r="A13124" i="1"/>
  <c r="B13124" i="1"/>
  <c r="C13124" i="1"/>
  <c r="E13124" i="1"/>
  <c r="G13124" i="1"/>
  <c r="K13124" i="1"/>
  <c r="A13125" i="1"/>
  <c r="B13125" i="1"/>
  <c r="C13125" i="1"/>
  <c r="E13125" i="1"/>
  <c r="G13125" i="1"/>
  <c r="K13125" i="1"/>
  <c r="A13126" i="1"/>
  <c r="B13126" i="1"/>
  <c r="C13126" i="1"/>
  <c r="E13126" i="1"/>
  <c r="G13126" i="1"/>
  <c r="K13126" i="1"/>
  <c r="A13127" i="1"/>
  <c r="B13127" i="1"/>
  <c r="C13127" i="1"/>
  <c r="E13127" i="1"/>
  <c r="G13127" i="1"/>
  <c r="K13127" i="1"/>
  <c r="A13128" i="1"/>
  <c r="B13128" i="1"/>
  <c r="C13128" i="1"/>
  <c r="E13128" i="1"/>
  <c r="G13128" i="1"/>
  <c r="K13128" i="1"/>
  <c r="A13129" i="1"/>
  <c r="B13129" i="1"/>
  <c r="C13129" i="1"/>
  <c r="E13129" i="1"/>
  <c r="G13129" i="1"/>
  <c r="K13129" i="1"/>
  <c r="A13130" i="1"/>
  <c r="B13130" i="1"/>
  <c r="C13130" i="1"/>
  <c r="E13130" i="1"/>
  <c r="G13130" i="1"/>
  <c r="K13130" i="1"/>
  <c r="A13131" i="1"/>
  <c r="B13131" i="1"/>
  <c r="C13131" i="1"/>
  <c r="E13131" i="1"/>
  <c r="G13131" i="1"/>
  <c r="K13131" i="1"/>
  <c r="A13132" i="1"/>
  <c r="B13132" i="1"/>
  <c r="C13132" i="1"/>
  <c r="E13132" i="1"/>
  <c r="G13132" i="1"/>
  <c r="K13132" i="1"/>
  <c r="A13133" i="1"/>
  <c r="B13133" i="1"/>
  <c r="C13133" i="1"/>
  <c r="E13133" i="1"/>
  <c r="G13133" i="1"/>
  <c r="K13133" i="1"/>
  <c r="A13134" i="1"/>
  <c r="B13134" i="1"/>
  <c r="C13134" i="1"/>
  <c r="E13134" i="1"/>
  <c r="G13134" i="1"/>
  <c r="K13134" i="1"/>
  <c r="A13135" i="1"/>
  <c r="B13135" i="1"/>
  <c r="C13135" i="1"/>
  <c r="E13135" i="1"/>
  <c r="G13135" i="1"/>
  <c r="K13135" i="1"/>
  <c r="A13136" i="1"/>
  <c r="B13136" i="1"/>
  <c r="C13136" i="1"/>
  <c r="E13136" i="1"/>
  <c r="G13136" i="1"/>
  <c r="K13136" i="1"/>
  <c r="A13137" i="1"/>
  <c r="B13137" i="1"/>
  <c r="C13137" i="1"/>
  <c r="E13137" i="1"/>
  <c r="G13137" i="1"/>
  <c r="K13137" i="1"/>
  <c r="A13138" i="1"/>
  <c r="B13138" i="1"/>
  <c r="C13138" i="1"/>
  <c r="E13138" i="1"/>
  <c r="G13138" i="1"/>
  <c r="K13138" i="1"/>
  <c r="A13139" i="1"/>
  <c r="B13139" i="1"/>
  <c r="C13139" i="1"/>
  <c r="E13139" i="1"/>
  <c r="G13139" i="1"/>
  <c r="K13139" i="1"/>
  <c r="A13140" i="1"/>
  <c r="B13140" i="1"/>
  <c r="C13140" i="1"/>
  <c r="E13140" i="1"/>
  <c r="G13140" i="1"/>
  <c r="K13140" i="1"/>
  <c r="A13141" i="1"/>
  <c r="B13141" i="1"/>
  <c r="C13141" i="1"/>
  <c r="E13141" i="1"/>
  <c r="G13141" i="1"/>
  <c r="K13141" i="1"/>
  <c r="A13142" i="1"/>
  <c r="B13142" i="1"/>
  <c r="C13142" i="1"/>
  <c r="E13142" i="1"/>
  <c r="G13142" i="1"/>
  <c r="K13142" i="1"/>
  <c r="A13143" i="1"/>
  <c r="B13143" i="1"/>
  <c r="C13143" i="1"/>
  <c r="E13143" i="1"/>
  <c r="G13143" i="1"/>
  <c r="K13143" i="1"/>
  <c r="A13144" i="1"/>
  <c r="B13144" i="1"/>
  <c r="C13144" i="1"/>
  <c r="E13144" i="1"/>
  <c r="G13144" i="1"/>
  <c r="K13144" i="1"/>
  <c r="A13145" i="1"/>
  <c r="B13145" i="1"/>
  <c r="C13145" i="1"/>
  <c r="E13145" i="1"/>
  <c r="G13145" i="1"/>
  <c r="K13145" i="1"/>
  <c r="A13146" i="1"/>
  <c r="B13146" i="1"/>
  <c r="C13146" i="1"/>
  <c r="E13146" i="1"/>
  <c r="G13146" i="1"/>
  <c r="K13146" i="1"/>
  <c r="A13147" i="1"/>
  <c r="B13147" i="1"/>
  <c r="C13147" i="1"/>
  <c r="E13147" i="1"/>
  <c r="G13147" i="1"/>
  <c r="K13147" i="1"/>
  <c r="A13148" i="1"/>
  <c r="B13148" i="1"/>
  <c r="C13148" i="1"/>
  <c r="E13148" i="1"/>
  <c r="G13148" i="1"/>
  <c r="K13148" i="1"/>
  <c r="A13149" i="1"/>
  <c r="B13149" i="1"/>
  <c r="C13149" i="1"/>
  <c r="E13149" i="1"/>
  <c r="G13149" i="1"/>
  <c r="K13149" i="1"/>
  <c r="A13150" i="1"/>
  <c r="B13150" i="1"/>
  <c r="C13150" i="1"/>
  <c r="E13150" i="1"/>
  <c r="G13150" i="1"/>
  <c r="K13150" i="1"/>
  <c r="A13151" i="1"/>
  <c r="B13151" i="1"/>
  <c r="C13151" i="1"/>
  <c r="E13151" i="1"/>
  <c r="G13151" i="1"/>
  <c r="K13151" i="1"/>
  <c r="A13152" i="1"/>
  <c r="B13152" i="1"/>
  <c r="C13152" i="1"/>
  <c r="E13152" i="1"/>
  <c r="G13152" i="1"/>
  <c r="K13152" i="1"/>
  <c r="A13153" i="1"/>
  <c r="B13153" i="1"/>
  <c r="C13153" i="1"/>
  <c r="E13153" i="1"/>
  <c r="G13153" i="1"/>
  <c r="K13153" i="1"/>
  <c r="A13154" i="1"/>
  <c r="B13154" i="1"/>
  <c r="C13154" i="1"/>
  <c r="E13154" i="1"/>
  <c r="G13154" i="1"/>
  <c r="K13154" i="1"/>
  <c r="A13155" i="1"/>
  <c r="B13155" i="1"/>
  <c r="C13155" i="1"/>
  <c r="E13155" i="1"/>
  <c r="G13155" i="1"/>
  <c r="K13155" i="1"/>
  <c r="A13156" i="1"/>
  <c r="B13156" i="1"/>
  <c r="C13156" i="1"/>
  <c r="E13156" i="1"/>
  <c r="G13156" i="1"/>
  <c r="K13156" i="1"/>
  <c r="A13157" i="1"/>
  <c r="B13157" i="1"/>
  <c r="C13157" i="1"/>
  <c r="E13157" i="1"/>
  <c r="G13157" i="1"/>
  <c r="K13157" i="1"/>
  <c r="A13158" i="1"/>
  <c r="B13158" i="1"/>
  <c r="C13158" i="1"/>
  <c r="E13158" i="1"/>
  <c r="G13158" i="1"/>
  <c r="K13158" i="1"/>
  <c r="A13159" i="1"/>
  <c r="B13159" i="1"/>
  <c r="C13159" i="1"/>
  <c r="E13159" i="1"/>
  <c r="G13159" i="1"/>
  <c r="K13159" i="1"/>
  <c r="A13160" i="1"/>
  <c r="B13160" i="1"/>
  <c r="C13160" i="1"/>
  <c r="E13160" i="1"/>
  <c r="G13160" i="1"/>
  <c r="K13160" i="1"/>
  <c r="A13161" i="1"/>
  <c r="B13161" i="1"/>
  <c r="C13161" i="1"/>
  <c r="E13161" i="1"/>
  <c r="G13161" i="1"/>
  <c r="K13161" i="1"/>
  <c r="A13162" i="1"/>
  <c r="B13162" i="1"/>
  <c r="C13162" i="1"/>
  <c r="E13162" i="1"/>
  <c r="G13162" i="1"/>
  <c r="K13162" i="1"/>
  <c r="A13163" i="1"/>
  <c r="B13163" i="1"/>
  <c r="C13163" i="1"/>
  <c r="E13163" i="1"/>
  <c r="G13163" i="1"/>
  <c r="K13163" i="1"/>
  <c r="A13164" i="1"/>
  <c r="B13164" i="1"/>
  <c r="C13164" i="1"/>
  <c r="E13164" i="1"/>
  <c r="G13164" i="1"/>
  <c r="K13164" i="1"/>
  <c r="A13165" i="1"/>
  <c r="B13165" i="1"/>
  <c r="C13165" i="1"/>
  <c r="E13165" i="1"/>
  <c r="G13165" i="1"/>
  <c r="K13165" i="1"/>
  <c r="A13166" i="1"/>
  <c r="B13166" i="1"/>
  <c r="C13166" i="1"/>
  <c r="E13166" i="1"/>
  <c r="G13166" i="1"/>
  <c r="K13166" i="1"/>
  <c r="A13167" i="1"/>
  <c r="B13167" i="1"/>
  <c r="C13167" i="1"/>
  <c r="E13167" i="1"/>
  <c r="G13167" i="1"/>
  <c r="K13167" i="1"/>
  <c r="A13168" i="1"/>
  <c r="B13168" i="1"/>
  <c r="C13168" i="1"/>
  <c r="E13168" i="1"/>
  <c r="G13168" i="1"/>
  <c r="K13168" i="1"/>
  <c r="A13169" i="1"/>
  <c r="B13169" i="1"/>
  <c r="C13169" i="1"/>
  <c r="E13169" i="1"/>
  <c r="G13169" i="1"/>
  <c r="K13169" i="1"/>
  <c r="A13170" i="1"/>
  <c r="B13170" i="1"/>
  <c r="C13170" i="1"/>
  <c r="E13170" i="1"/>
  <c r="G13170" i="1"/>
  <c r="K13170" i="1"/>
  <c r="A13171" i="1"/>
  <c r="B13171" i="1"/>
  <c r="C13171" i="1"/>
  <c r="E13171" i="1"/>
  <c r="G13171" i="1"/>
  <c r="K13171" i="1"/>
  <c r="A13172" i="1"/>
  <c r="B13172" i="1"/>
  <c r="C13172" i="1"/>
  <c r="E13172" i="1"/>
  <c r="G13172" i="1"/>
  <c r="K13172" i="1"/>
  <c r="A13173" i="1"/>
  <c r="B13173" i="1"/>
  <c r="C13173" i="1"/>
  <c r="E13173" i="1"/>
  <c r="G13173" i="1"/>
  <c r="K13173" i="1"/>
  <c r="A13174" i="1"/>
  <c r="B13174" i="1"/>
  <c r="C13174" i="1"/>
  <c r="E13174" i="1"/>
  <c r="G13174" i="1"/>
  <c r="K13174" i="1"/>
  <c r="A13175" i="1"/>
  <c r="B13175" i="1"/>
  <c r="C13175" i="1"/>
  <c r="E13175" i="1"/>
  <c r="G13175" i="1"/>
  <c r="K13175" i="1"/>
  <c r="A13176" i="1"/>
  <c r="B13176" i="1"/>
  <c r="C13176" i="1"/>
  <c r="E13176" i="1"/>
  <c r="G13176" i="1"/>
  <c r="K13176" i="1"/>
  <c r="A13177" i="1"/>
  <c r="B13177" i="1"/>
  <c r="C13177" i="1"/>
  <c r="E13177" i="1"/>
  <c r="G13177" i="1"/>
  <c r="K13177" i="1"/>
  <c r="A13178" i="1"/>
  <c r="B13178" i="1"/>
  <c r="C13178" i="1"/>
  <c r="E13178" i="1"/>
  <c r="G13178" i="1"/>
  <c r="K13178" i="1"/>
  <c r="A13179" i="1"/>
  <c r="B13179" i="1"/>
  <c r="C13179" i="1"/>
  <c r="E13179" i="1"/>
  <c r="G13179" i="1"/>
  <c r="K13179" i="1"/>
  <c r="A13180" i="1"/>
  <c r="B13180" i="1"/>
  <c r="C13180" i="1"/>
  <c r="E13180" i="1"/>
  <c r="G13180" i="1"/>
  <c r="K13180" i="1"/>
  <c r="A13181" i="1"/>
  <c r="B13181" i="1"/>
  <c r="C13181" i="1"/>
  <c r="E13181" i="1"/>
  <c r="G13181" i="1"/>
  <c r="K13181" i="1"/>
  <c r="A13182" i="1"/>
  <c r="B13182" i="1"/>
  <c r="C13182" i="1"/>
  <c r="E13182" i="1"/>
  <c r="G13182" i="1"/>
  <c r="K13182" i="1"/>
  <c r="A13183" i="1"/>
  <c r="B13183" i="1"/>
  <c r="C13183" i="1"/>
  <c r="E13183" i="1"/>
  <c r="G13183" i="1"/>
  <c r="K13183" i="1"/>
  <c r="A13184" i="1"/>
  <c r="B13184" i="1"/>
  <c r="C13184" i="1"/>
  <c r="E13184" i="1"/>
  <c r="G13184" i="1"/>
  <c r="K13184" i="1"/>
  <c r="A13185" i="1"/>
  <c r="B13185" i="1"/>
  <c r="C13185" i="1"/>
  <c r="E13185" i="1"/>
  <c r="G13185" i="1"/>
  <c r="K13185" i="1"/>
  <c r="A13186" i="1"/>
  <c r="B13186" i="1"/>
  <c r="C13186" i="1"/>
  <c r="E13186" i="1"/>
  <c r="G13186" i="1"/>
  <c r="K13186" i="1"/>
  <c r="A13187" i="1"/>
  <c r="B13187" i="1"/>
  <c r="C13187" i="1"/>
  <c r="E13187" i="1"/>
  <c r="G13187" i="1"/>
  <c r="K13187" i="1"/>
  <c r="A13188" i="1"/>
  <c r="B13188" i="1"/>
  <c r="C13188" i="1"/>
  <c r="E13188" i="1"/>
  <c r="G13188" i="1"/>
  <c r="K13188" i="1"/>
  <c r="A13189" i="1"/>
  <c r="B13189" i="1"/>
  <c r="C13189" i="1"/>
  <c r="E13189" i="1"/>
  <c r="G13189" i="1"/>
  <c r="K13189" i="1"/>
  <c r="A13190" i="1"/>
  <c r="B13190" i="1"/>
  <c r="C13190" i="1"/>
  <c r="E13190" i="1"/>
  <c r="G13190" i="1"/>
  <c r="K13190" i="1"/>
  <c r="A13191" i="1"/>
  <c r="B13191" i="1"/>
  <c r="C13191" i="1"/>
  <c r="E13191" i="1"/>
  <c r="G13191" i="1"/>
  <c r="K13191" i="1"/>
  <c r="A13192" i="1"/>
  <c r="B13192" i="1"/>
  <c r="C13192" i="1"/>
  <c r="E13192" i="1"/>
  <c r="G13192" i="1"/>
  <c r="K13192" i="1"/>
  <c r="A13193" i="1"/>
  <c r="B13193" i="1"/>
  <c r="C13193" i="1"/>
  <c r="E13193" i="1"/>
  <c r="G13193" i="1"/>
  <c r="K13193" i="1"/>
  <c r="A13194" i="1"/>
  <c r="B13194" i="1"/>
  <c r="C13194" i="1"/>
  <c r="E13194" i="1"/>
  <c r="G13194" i="1"/>
  <c r="K13194" i="1"/>
  <c r="A13195" i="1"/>
  <c r="B13195" i="1"/>
  <c r="C13195" i="1"/>
  <c r="E13195" i="1"/>
  <c r="G13195" i="1"/>
  <c r="K13195" i="1"/>
  <c r="A13196" i="1"/>
  <c r="B13196" i="1"/>
  <c r="C13196" i="1"/>
  <c r="E13196" i="1"/>
  <c r="G13196" i="1"/>
  <c r="K13196" i="1"/>
  <c r="A13197" i="1"/>
  <c r="B13197" i="1"/>
  <c r="C13197" i="1"/>
  <c r="E13197" i="1"/>
  <c r="G13197" i="1"/>
  <c r="K13197" i="1"/>
  <c r="A13198" i="1"/>
  <c r="B13198" i="1"/>
  <c r="C13198" i="1"/>
  <c r="E13198" i="1"/>
  <c r="G13198" i="1"/>
  <c r="K13198" i="1"/>
  <c r="A13199" i="1"/>
  <c r="B13199" i="1"/>
  <c r="C13199" i="1"/>
  <c r="E13199" i="1"/>
  <c r="G13199" i="1"/>
  <c r="K13199" i="1"/>
  <c r="A13200" i="1"/>
  <c r="B13200" i="1"/>
  <c r="C13200" i="1"/>
  <c r="E13200" i="1"/>
  <c r="G13200" i="1"/>
  <c r="K13200" i="1"/>
  <c r="A13201" i="1"/>
  <c r="B13201" i="1"/>
  <c r="C13201" i="1"/>
  <c r="E13201" i="1"/>
  <c r="G13201" i="1"/>
  <c r="K13201" i="1"/>
  <c r="A13202" i="1"/>
  <c r="B13202" i="1"/>
  <c r="C13202" i="1"/>
  <c r="E13202" i="1"/>
  <c r="G13202" i="1"/>
  <c r="K13202" i="1"/>
  <c r="A13203" i="1"/>
  <c r="B13203" i="1"/>
  <c r="C13203" i="1"/>
  <c r="E13203" i="1"/>
  <c r="G13203" i="1"/>
  <c r="K13203" i="1"/>
  <c r="A13204" i="1"/>
  <c r="B13204" i="1"/>
  <c r="C13204" i="1"/>
  <c r="E13204" i="1"/>
  <c r="G13204" i="1"/>
  <c r="K13204" i="1"/>
  <c r="A13205" i="1"/>
  <c r="B13205" i="1"/>
  <c r="C13205" i="1"/>
  <c r="E13205" i="1"/>
  <c r="G13205" i="1"/>
  <c r="K13205" i="1"/>
  <c r="A13206" i="1"/>
  <c r="B13206" i="1"/>
  <c r="C13206" i="1"/>
  <c r="E13206" i="1"/>
  <c r="G13206" i="1"/>
  <c r="K13206" i="1"/>
  <c r="A13207" i="1"/>
  <c r="B13207" i="1"/>
  <c r="C13207" i="1"/>
  <c r="E13207" i="1"/>
  <c r="G13207" i="1"/>
  <c r="K13207" i="1"/>
  <c r="A13208" i="1"/>
  <c r="B13208" i="1"/>
  <c r="C13208" i="1"/>
  <c r="E13208" i="1"/>
  <c r="G13208" i="1"/>
  <c r="K13208" i="1"/>
  <c r="A13209" i="1"/>
  <c r="B13209" i="1"/>
  <c r="C13209" i="1"/>
  <c r="E13209" i="1"/>
  <c r="G13209" i="1"/>
  <c r="K13209" i="1"/>
  <c r="A13210" i="1"/>
  <c r="B13210" i="1"/>
  <c r="C13210" i="1"/>
  <c r="E13210" i="1"/>
  <c r="G13210" i="1"/>
  <c r="K13210" i="1"/>
  <c r="A13211" i="1"/>
  <c r="B13211" i="1"/>
  <c r="C13211" i="1"/>
  <c r="E13211" i="1"/>
  <c r="G13211" i="1"/>
  <c r="K13211" i="1"/>
  <c r="A13212" i="1"/>
  <c r="B13212" i="1"/>
  <c r="C13212" i="1"/>
  <c r="E13212" i="1"/>
  <c r="G13212" i="1"/>
  <c r="K13212" i="1"/>
  <c r="A13213" i="1"/>
  <c r="B13213" i="1"/>
  <c r="C13213" i="1"/>
  <c r="E13213" i="1"/>
  <c r="G13213" i="1"/>
  <c r="K13213" i="1"/>
  <c r="A13214" i="1"/>
  <c r="B13214" i="1"/>
  <c r="C13214" i="1"/>
  <c r="E13214" i="1"/>
  <c r="G13214" i="1"/>
  <c r="K13214" i="1"/>
  <c r="A13215" i="1"/>
  <c r="B13215" i="1"/>
  <c r="C13215" i="1"/>
  <c r="E13215" i="1"/>
  <c r="G13215" i="1"/>
  <c r="K13215" i="1"/>
  <c r="A13216" i="1"/>
  <c r="B13216" i="1"/>
  <c r="C13216" i="1"/>
  <c r="E13216" i="1"/>
  <c r="G13216" i="1"/>
  <c r="K13216" i="1"/>
  <c r="A13217" i="1"/>
  <c r="B13217" i="1"/>
  <c r="C13217" i="1"/>
  <c r="E13217" i="1"/>
  <c r="G13217" i="1"/>
  <c r="K13217" i="1"/>
  <c r="A13218" i="1"/>
  <c r="B13218" i="1"/>
  <c r="C13218" i="1"/>
  <c r="E13218" i="1"/>
  <c r="G13218" i="1"/>
  <c r="K13218" i="1"/>
  <c r="A13219" i="1"/>
  <c r="B13219" i="1"/>
  <c r="C13219" i="1"/>
  <c r="E13219" i="1"/>
  <c r="G13219" i="1"/>
  <c r="K13219" i="1"/>
  <c r="A13220" i="1"/>
  <c r="B13220" i="1"/>
  <c r="C13220" i="1"/>
  <c r="E13220" i="1"/>
  <c r="G13220" i="1"/>
  <c r="K13220" i="1"/>
  <c r="A13221" i="1"/>
  <c r="B13221" i="1"/>
  <c r="C13221" i="1"/>
  <c r="E13221" i="1"/>
  <c r="G13221" i="1"/>
  <c r="K13221" i="1"/>
  <c r="A13222" i="1"/>
  <c r="B13222" i="1"/>
  <c r="C13222" i="1"/>
  <c r="E13222" i="1"/>
  <c r="G13222" i="1"/>
  <c r="K13222" i="1"/>
  <c r="A13223" i="1"/>
  <c r="B13223" i="1"/>
  <c r="C13223" i="1"/>
  <c r="E13223" i="1"/>
  <c r="G13223" i="1"/>
  <c r="K13223" i="1"/>
  <c r="A13224" i="1"/>
  <c r="B13224" i="1"/>
  <c r="C13224" i="1"/>
  <c r="E13224" i="1"/>
  <c r="G13224" i="1"/>
  <c r="K13224" i="1"/>
  <c r="A13225" i="1"/>
  <c r="B13225" i="1"/>
  <c r="C13225" i="1"/>
  <c r="E13225" i="1"/>
  <c r="G13225" i="1"/>
  <c r="K13225" i="1"/>
  <c r="A13226" i="1"/>
  <c r="B13226" i="1"/>
  <c r="C13226" i="1"/>
  <c r="E13226" i="1"/>
  <c r="G13226" i="1"/>
  <c r="K13226" i="1"/>
  <c r="A13227" i="1"/>
  <c r="B13227" i="1"/>
  <c r="C13227" i="1"/>
  <c r="E13227" i="1"/>
  <c r="G13227" i="1"/>
  <c r="K13227" i="1"/>
  <c r="A13228" i="1"/>
  <c r="B13228" i="1"/>
  <c r="C13228" i="1"/>
  <c r="E13228" i="1"/>
  <c r="G13228" i="1"/>
  <c r="K13228" i="1"/>
  <c r="A13229" i="1"/>
  <c r="B13229" i="1"/>
  <c r="C13229" i="1"/>
  <c r="E13229" i="1"/>
  <c r="G13229" i="1"/>
  <c r="K13229" i="1"/>
  <c r="A13230" i="1"/>
  <c r="B13230" i="1"/>
  <c r="C13230" i="1"/>
  <c r="E13230" i="1"/>
  <c r="G13230" i="1"/>
  <c r="K13230" i="1"/>
  <c r="A13231" i="1"/>
  <c r="B13231" i="1"/>
  <c r="C13231" i="1"/>
  <c r="E13231" i="1"/>
  <c r="G13231" i="1"/>
  <c r="K13231" i="1"/>
  <c r="A13232" i="1"/>
  <c r="B13232" i="1"/>
  <c r="C13232" i="1"/>
  <c r="E13232" i="1"/>
  <c r="G13232" i="1"/>
  <c r="K13232" i="1"/>
  <c r="A13233" i="1"/>
  <c r="B13233" i="1"/>
  <c r="C13233" i="1"/>
  <c r="E13233" i="1"/>
  <c r="G13233" i="1"/>
  <c r="K13233" i="1"/>
  <c r="A13234" i="1"/>
  <c r="B13234" i="1"/>
  <c r="C13234" i="1"/>
  <c r="E13234" i="1"/>
  <c r="G13234" i="1"/>
  <c r="K13234" i="1"/>
  <c r="A13235" i="1"/>
  <c r="B13235" i="1"/>
  <c r="C13235" i="1"/>
  <c r="E13235" i="1"/>
  <c r="G13235" i="1"/>
  <c r="K13235" i="1"/>
  <c r="A13236" i="1"/>
  <c r="B13236" i="1"/>
  <c r="C13236" i="1"/>
  <c r="E13236" i="1"/>
  <c r="G13236" i="1"/>
  <c r="K13236" i="1"/>
  <c r="A13237" i="1"/>
  <c r="B13237" i="1"/>
  <c r="C13237" i="1"/>
  <c r="E13237" i="1"/>
  <c r="G13237" i="1"/>
  <c r="K13237" i="1"/>
  <c r="A13238" i="1"/>
  <c r="B13238" i="1"/>
  <c r="C13238" i="1"/>
  <c r="E13238" i="1"/>
  <c r="G13238" i="1"/>
  <c r="K13238" i="1"/>
  <c r="A13239" i="1"/>
  <c r="B13239" i="1"/>
  <c r="C13239" i="1"/>
  <c r="E13239" i="1"/>
  <c r="G13239" i="1"/>
  <c r="K13239" i="1"/>
  <c r="A13240" i="1"/>
  <c r="B13240" i="1"/>
  <c r="C13240" i="1"/>
  <c r="E13240" i="1"/>
  <c r="G13240" i="1"/>
  <c r="K13240" i="1"/>
  <c r="A13241" i="1"/>
  <c r="B13241" i="1"/>
  <c r="C13241" i="1"/>
  <c r="E13241" i="1"/>
  <c r="G13241" i="1"/>
  <c r="K13241" i="1"/>
  <c r="A13242" i="1"/>
  <c r="B13242" i="1"/>
  <c r="C13242" i="1"/>
  <c r="E13242" i="1"/>
  <c r="G13242" i="1"/>
  <c r="K13242" i="1"/>
  <c r="A13243" i="1"/>
  <c r="B13243" i="1"/>
  <c r="C13243" i="1"/>
  <c r="E13243" i="1"/>
  <c r="G13243" i="1"/>
  <c r="K13243" i="1"/>
  <c r="A13244" i="1"/>
  <c r="B13244" i="1"/>
  <c r="C13244" i="1"/>
  <c r="E13244" i="1"/>
  <c r="G13244" i="1"/>
  <c r="K13244" i="1"/>
  <c r="A13245" i="1"/>
  <c r="B13245" i="1"/>
  <c r="C13245" i="1"/>
  <c r="E13245" i="1"/>
  <c r="G13245" i="1"/>
  <c r="K13245" i="1"/>
  <c r="A13246" i="1"/>
  <c r="B13246" i="1"/>
  <c r="C13246" i="1"/>
  <c r="E13246" i="1"/>
  <c r="G13246" i="1"/>
  <c r="K13246" i="1"/>
  <c r="A13247" i="1"/>
  <c r="B13247" i="1"/>
  <c r="C13247" i="1"/>
  <c r="E13247" i="1"/>
  <c r="G13247" i="1"/>
  <c r="K13247" i="1"/>
  <c r="A13248" i="1"/>
  <c r="B13248" i="1"/>
  <c r="C13248" i="1"/>
  <c r="E13248" i="1"/>
  <c r="G13248" i="1"/>
  <c r="K13248" i="1"/>
  <c r="A13249" i="1"/>
  <c r="B13249" i="1"/>
  <c r="C13249" i="1"/>
  <c r="E13249" i="1"/>
  <c r="G13249" i="1"/>
  <c r="K13249" i="1"/>
  <c r="A13250" i="1"/>
  <c r="B13250" i="1"/>
  <c r="C13250" i="1"/>
  <c r="E13250" i="1"/>
  <c r="G13250" i="1"/>
  <c r="K13250" i="1"/>
  <c r="A13251" i="1"/>
  <c r="B13251" i="1"/>
  <c r="C13251" i="1"/>
  <c r="E13251" i="1"/>
  <c r="G13251" i="1"/>
  <c r="K13251" i="1"/>
  <c r="A13252" i="1"/>
  <c r="B13252" i="1"/>
  <c r="C13252" i="1"/>
  <c r="E13252" i="1"/>
  <c r="G13252" i="1"/>
  <c r="K13252" i="1"/>
  <c r="A13253" i="1"/>
  <c r="B13253" i="1"/>
  <c r="C13253" i="1"/>
  <c r="E13253" i="1"/>
  <c r="G13253" i="1"/>
  <c r="K13253" i="1"/>
  <c r="A13254" i="1"/>
  <c r="B13254" i="1"/>
  <c r="C13254" i="1"/>
  <c r="E13254" i="1"/>
  <c r="G13254" i="1"/>
  <c r="K13254" i="1"/>
  <c r="A13255" i="1"/>
  <c r="B13255" i="1"/>
  <c r="C13255" i="1"/>
  <c r="E13255" i="1"/>
  <c r="G13255" i="1"/>
  <c r="K13255" i="1"/>
  <c r="A13256" i="1"/>
  <c r="B13256" i="1"/>
  <c r="C13256" i="1"/>
  <c r="E13256" i="1"/>
  <c r="G13256" i="1"/>
  <c r="K13256" i="1"/>
  <c r="A13257" i="1"/>
  <c r="B13257" i="1"/>
  <c r="C13257" i="1"/>
  <c r="E13257" i="1"/>
  <c r="G13257" i="1"/>
  <c r="K13257" i="1"/>
  <c r="A13258" i="1"/>
  <c r="B13258" i="1"/>
  <c r="C13258" i="1"/>
  <c r="E13258" i="1"/>
  <c r="G13258" i="1"/>
  <c r="K13258" i="1"/>
  <c r="A13259" i="1"/>
  <c r="B13259" i="1"/>
  <c r="C13259" i="1"/>
  <c r="E13259" i="1"/>
  <c r="G13259" i="1"/>
  <c r="K13259" i="1"/>
  <c r="A13260" i="1"/>
  <c r="B13260" i="1"/>
  <c r="C13260" i="1"/>
  <c r="E13260" i="1"/>
  <c r="G13260" i="1"/>
  <c r="K13260" i="1"/>
  <c r="A13261" i="1"/>
  <c r="B13261" i="1"/>
  <c r="C13261" i="1"/>
  <c r="E13261" i="1"/>
  <c r="G13261" i="1"/>
  <c r="K13261" i="1"/>
  <c r="A13262" i="1"/>
  <c r="B13262" i="1"/>
  <c r="C13262" i="1"/>
  <c r="E13262" i="1"/>
  <c r="G13262" i="1"/>
  <c r="K13262" i="1"/>
  <c r="A13263" i="1"/>
  <c r="B13263" i="1"/>
  <c r="C13263" i="1"/>
  <c r="E13263" i="1"/>
  <c r="G13263" i="1"/>
  <c r="K13263" i="1"/>
  <c r="A13264" i="1"/>
  <c r="B13264" i="1"/>
  <c r="C13264" i="1"/>
  <c r="E13264" i="1"/>
  <c r="G13264" i="1"/>
  <c r="K13264" i="1"/>
  <c r="A13265" i="1"/>
  <c r="B13265" i="1"/>
  <c r="C13265" i="1"/>
  <c r="E13265" i="1"/>
  <c r="G13265" i="1"/>
  <c r="K13265" i="1"/>
  <c r="A13266" i="1"/>
  <c r="B13266" i="1"/>
  <c r="C13266" i="1"/>
  <c r="E13266" i="1"/>
  <c r="G13266" i="1"/>
  <c r="K13266" i="1"/>
  <c r="A13267" i="1"/>
  <c r="B13267" i="1"/>
  <c r="C13267" i="1"/>
  <c r="E13267" i="1"/>
  <c r="G13267" i="1"/>
  <c r="K13267" i="1"/>
  <c r="A13268" i="1"/>
  <c r="B13268" i="1"/>
  <c r="C13268" i="1"/>
  <c r="E13268" i="1"/>
  <c r="G13268" i="1"/>
  <c r="K13268" i="1"/>
  <c r="A13269" i="1"/>
  <c r="B13269" i="1"/>
  <c r="C13269" i="1"/>
  <c r="E13269" i="1"/>
  <c r="G13269" i="1"/>
  <c r="K13269" i="1"/>
  <c r="A13270" i="1"/>
  <c r="B13270" i="1"/>
  <c r="C13270" i="1"/>
  <c r="E13270" i="1"/>
  <c r="G13270" i="1"/>
  <c r="K13270" i="1"/>
  <c r="A13271" i="1"/>
  <c r="B13271" i="1"/>
  <c r="C13271" i="1"/>
  <c r="E13271" i="1"/>
  <c r="G13271" i="1"/>
  <c r="K13271" i="1"/>
  <c r="A13272" i="1"/>
  <c r="B13272" i="1"/>
  <c r="C13272" i="1"/>
  <c r="E13272" i="1"/>
  <c r="G13272" i="1"/>
  <c r="K13272" i="1"/>
  <c r="A13273" i="1"/>
  <c r="B13273" i="1"/>
  <c r="C13273" i="1"/>
  <c r="E13273" i="1"/>
  <c r="G13273" i="1"/>
  <c r="K13273" i="1"/>
  <c r="A13274" i="1"/>
  <c r="B13274" i="1"/>
  <c r="C13274" i="1"/>
  <c r="E13274" i="1"/>
  <c r="G13274" i="1"/>
  <c r="K13274" i="1"/>
  <c r="A13275" i="1"/>
  <c r="B13275" i="1"/>
  <c r="C13275" i="1"/>
  <c r="E13275" i="1"/>
  <c r="G13275" i="1"/>
  <c r="K13275" i="1"/>
  <c r="A13276" i="1"/>
  <c r="B13276" i="1"/>
  <c r="C13276" i="1"/>
  <c r="E13276" i="1"/>
  <c r="G13276" i="1"/>
  <c r="K13276" i="1"/>
  <c r="A13277" i="1"/>
  <c r="B13277" i="1"/>
  <c r="C13277" i="1"/>
  <c r="E13277" i="1"/>
  <c r="G13277" i="1"/>
  <c r="K13277" i="1"/>
  <c r="A13278" i="1"/>
  <c r="B13278" i="1"/>
  <c r="C13278" i="1"/>
  <c r="E13278" i="1"/>
  <c r="G13278" i="1"/>
  <c r="K13278" i="1"/>
  <c r="A13279" i="1"/>
  <c r="B13279" i="1"/>
  <c r="C13279" i="1"/>
  <c r="E13279" i="1"/>
  <c r="G13279" i="1"/>
  <c r="K13279" i="1"/>
  <c r="A13280" i="1"/>
  <c r="B13280" i="1"/>
  <c r="C13280" i="1"/>
  <c r="E13280" i="1"/>
  <c r="G13280" i="1"/>
  <c r="K13280" i="1"/>
  <c r="A13281" i="1"/>
  <c r="B13281" i="1"/>
  <c r="C13281" i="1"/>
  <c r="E13281" i="1"/>
  <c r="G13281" i="1"/>
  <c r="K13281" i="1"/>
  <c r="A13282" i="1"/>
  <c r="B13282" i="1"/>
  <c r="C13282" i="1"/>
  <c r="E13282" i="1"/>
  <c r="G13282" i="1"/>
  <c r="K13282" i="1"/>
  <c r="A13283" i="1"/>
  <c r="B13283" i="1"/>
  <c r="C13283" i="1"/>
  <c r="E13283" i="1"/>
  <c r="G13283" i="1"/>
  <c r="K13283" i="1"/>
  <c r="A13284" i="1"/>
  <c r="B13284" i="1"/>
  <c r="C13284" i="1"/>
  <c r="E13284" i="1"/>
  <c r="G13284" i="1"/>
  <c r="K13284" i="1"/>
  <c r="A13285" i="1"/>
  <c r="B13285" i="1"/>
  <c r="C13285" i="1"/>
  <c r="E13285" i="1"/>
  <c r="G13285" i="1"/>
  <c r="K13285" i="1"/>
  <c r="A13286" i="1"/>
  <c r="B13286" i="1"/>
  <c r="C13286" i="1"/>
  <c r="E13286" i="1"/>
  <c r="G13286" i="1"/>
  <c r="K13286" i="1"/>
  <c r="A13287" i="1"/>
  <c r="B13287" i="1"/>
  <c r="C13287" i="1"/>
  <c r="E13287" i="1"/>
  <c r="G13287" i="1"/>
  <c r="K13287" i="1"/>
  <c r="A13288" i="1"/>
  <c r="B13288" i="1"/>
  <c r="C13288" i="1"/>
  <c r="E13288" i="1"/>
  <c r="G13288" i="1"/>
  <c r="K13288" i="1"/>
  <c r="A13289" i="1"/>
  <c r="B13289" i="1"/>
  <c r="C13289" i="1"/>
  <c r="E13289" i="1"/>
  <c r="G13289" i="1"/>
  <c r="K13289" i="1"/>
  <c r="A13290" i="1"/>
  <c r="B13290" i="1"/>
  <c r="C13290" i="1"/>
  <c r="E13290" i="1"/>
  <c r="G13290" i="1"/>
  <c r="K13290" i="1"/>
  <c r="A13291" i="1"/>
  <c r="B13291" i="1"/>
  <c r="C13291" i="1"/>
  <c r="E13291" i="1"/>
  <c r="G13291" i="1"/>
  <c r="K13291" i="1"/>
  <c r="A13292" i="1"/>
  <c r="B13292" i="1"/>
  <c r="C13292" i="1"/>
  <c r="E13292" i="1"/>
  <c r="G13292" i="1"/>
  <c r="K13292" i="1"/>
  <c r="A13293" i="1"/>
  <c r="B13293" i="1"/>
  <c r="C13293" i="1"/>
  <c r="E13293" i="1"/>
  <c r="G13293" i="1"/>
  <c r="K13293" i="1"/>
  <c r="A13294" i="1"/>
  <c r="B13294" i="1"/>
  <c r="C13294" i="1"/>
  <c r="E13294" i="1"/>
  <c r="G13294" i="1"/>
  <c r="K13294" i="1"/>
  <c r="A13295" i="1"/>
  <c r="B13295" i="1"/>
  <c r="C13295" i="1"/>
  <c r="E13295" i="1"/>
  <c r="G13295" i="1"/>
  <c r="K13295" i="1"/>
  <c r="A13296" i="1"/>
  <c r="B13296" i="1"/>
  <c r="C13296" i="1"/>
  <c r="E13296" i="1"/>
  <c r="G13296" i="1"/>
  <c r="K13296" i="1"/>
  <c r="A13297" i="1"/>
  <c r="B13297" i="1"/>
  <c r="C13297" i="1"/>
  <c r="E13297" i="1"/>
  <c r="G13297" i="1"/>
  <c r="K13297" i="1"/>
  <c r="A13298" i="1"/>
  <c r="B13298" i="1"/>
  <c r="C13298" i="1"/>
  <c r="E13298" i="1"/>
  <c r="G13298" i="1"/>
  <c r="K13298" i="1"/>
  <c r="A13299" i="1"/>
  <c r="B13299" i="1"/>
  <c r="C13299" i="1"/>
  <c r="E13299" i="1"/>
  <c r="G13299" i="1"/>
  <c r="K13299" i="1"/>
  <c r="A13300" i="1"/>
  <c r="B13300" i="1"/>
  <c r="C13300" i="1"/>
  <c r="E13300" i="1"/>
  <c r="G13300" i="1"/>
  <c r="K13300" i="1"/>
  <c r="A13301" i="1"/>
  <c r="B13301" i="1"/>
  <c r="C13301" i="1"/>
  <c r="E13301" i="1"/>
  <c r="G13301" i="1"/>
  <c r="K13301" i="1"/>
  <c r="A13302" i="1"/>
  <c r="B13302" i="1"/>
  <c r="C13302" i="1"/>
  <c r="E13302" i="1"/>
  <c r="G13302" i="1"/>
  <c r="K13302" i="1"/>
  <c r="A13303" i="1"/>
  <c r="B13303" i="1"/>
  <c r="C13303" i="1"/>
  <c r="E13303" i="1"/>
  <c r="G13303" i="1"/>
  <c r="K13303" i="1"/>
  <c r="A13304" i="1"/>
  <c r="B13304" i="1"/>
  <c r="C13304" i="1"/>
  <c r="E13304" i="1"/>
  <c r="G13304" i="1"/>
  <c r="K13304" i="1"/>
  <c r="A13305" i="1"/>
  <c r="B13305" i="1"/>
  <c r="C13305" i="1"/>
  <c r="E13305" i="1"/>
  <c r="G13305" i="1"/>
  <c r="K13305" i="1"/>
  <c r="A13306" i="1"/>
  <c r="B13306" i="1"/>
  <c r="C13306" i="1"/>
  <c r="E13306" i="1"/>
  <c r="G13306" i="1"/>
  <c r="K13306" i="1"/>
  <c r="A13307" i="1"/>
  <c r="B13307" i="1"/>
  <c r="C13307" i="1"/>
  <c r="E13307" i="1"/>
  <c r="G13307" i="1"/>
  <c r="K13307" i="1"/>
  <c r="A13308" i="1"/>
  <c r="B13308" i="1"/>
  <c r="C13308" i="1"/>
  <c r="E13308" i="1"/>
  <c r="G13308" i="1"/>
  <c r="K13308" i="1"/>
  <c r="A13309" i="1"/>
  <c r="B13309" i="1"/>
  <c r="C13309" i="1"/>
  <c r="E13309" i="1"/>
  <c r="G13309" i="1"/>
  <c r="K13309" i="1"/>
  <c r="A13310" i="1"/>
  <c r="B13310" i="1"/>
  <c r="C13310" i="1"/>
  <c r="E13310" i="1"/>
  <c r="G13310" i="1"/>
  <c r="K13310" i="1"/>
  <c r="A13311" i="1"/>
  <c r="B13311" i="1"/>
  <c r="C13311" i="1"/>
  <c r="E13311" i="1"/>
  <c r="G13311" i="1"/>
  <c r="K13311" i="1"/>
  <c r="A13312" i="1"/>
  <c r="B13312" i="1"/>
  <c r="C13312" i="1"/>
  <c r="E13312" i="1"/>
  <c r="G13312" i="1"/>
  <c r="K13312" i="1"/>
  <c r="A13313" i="1"/>
  <c r="B13313" i="1"/>
  <c r="C13313" i="1"/>
  <c r="E13313" i="1"/>
  <c r="G13313" i="1"/>
  <c r="K13313" i="1"/>
  <c r="A13314" i="1"/>
  <c r="B13314" i="1"/>
  <c r="C13314" i="1"/>
  <c r="E13314" i="1"/>
  <c r="G13314" i="1"/>
  <c r="K13314" i="1"/>
  <c r="A13315" i="1"/>
  <c r="B13315" i="1"/>
  <c r="C13315" i="1"/>
  <c r="E13315" i="1"/>
  <c r="G13315" i="1"/>
  <c r="K13315" i="1"/>
  <c r="A13316" i="1"/>
  <c r="B13316" i="1"/>
  <c r="C13316" i="1"/>
  <c r="E13316" i="1"/>
  <c r="G13316" i="1"/>
  <c r="K13316" i="1"/>
  <c r="A13317" i="1"/>
  <c r="B13317" i="1"/>
  <c r="C13317" i="1"/>
  <c r="E13317" i="1"/>
  <c r="G13317" i="1"/>
  <c r="K13317" i="1"/>
  <c r="A13318" i="1"/>
  <c r="B13318" i="1"/>
  <c r="C13318" i="1"/>
  <c r="E13318" i="1"/>
  <c r="G13318" i="1"/>
  <c r="K13318" i="1"/>
  <c r="A13319" i="1"/>
  <c r="B13319" i="1"/>
  <c r="C13319" i="1"/>
  <c r="E13319" i="1"/>
  <c r="G13319" i="1"/>
  <c r="K13319" i="1"/>
  <c r="A13320" i="1"/>
  <c r="B13320" i="1"/>
  <c r="C13320" i="1"/>
  <c r="E13320" i="1"/>
  <c r="G13320" i="1"/>
  <c r="K13320" i="1"/>
  <c r="A13321" i="1"/>
  <c r="B13321" i="1"/>
  <c r="C13321" i="1"/>
  <c r="E13321" i="1"/>
  <c r="G13321" i="1"/>
  <c r="K13321" i="1"/>
  <c r="A13322" i="1"/>
  <c r="B13322" i="1"/>
  <c r="C13322" i="1"/>
  <c r="E13322" i="1"/>
  <c r="G13322" i="1"/>
  <c r="K13322" i="1"/>
  <c r="A13323" i="1"/>
  <c r="B13323" i="1"/>
  <c r="C13323" i="1"/>
  <c r="E13323" i="1"/>
  <c r="G13323" i="1"/>
  <c r="K13323" i="1"/>
  <c r="A13324" i="1"/>
  <c r="B13324" i="1"/>
  <c r="C13324" i="1"/>
  <c r="E13324" i="1"/>
  <c r="G13324" i="1"/>
  <c r="K13324" i="1"/>
  <c r="A13325" i="1"/>
  <c r="B13325" i="1"/>
  <c r="C13325" i="1"/>
  <c r="E13325" i="1"/>
  <c r="G13325" i="1"/>
  <c r="K13325" i="1"/>
  <c r="A13326" i="1"/>
  <c r="B13326" i="1"/>
  <c r="C13326" i="1"/>
  <c r="E13326" i="1"/>
  <c r="G13326" i="1"/>
  <c r="K13326" i="1"/>
  <c r="A13327" i="1"/>
  <c r="B13327" i="1"/>
  <c r="C13327" i="1"/>
  <c r="E13327" i="1"/>
  <c r="G13327" i="1"/>
  <c r="K13327" i="1"/>
  <c r="A13328" i="1"/>
  <c r="B13328" i="1"/>
  <c r="C13328" i="1"/>
  <c r="E13328" i="1"/>
  <c r="G13328" i="1"/>
  <c r="K13328" i="1"/>
  <c r="A13329" i="1"/>
  <c r="B13329" i="1"/>
  <c r="C13329" i="1"/>
  <c r="E13329" i="1"/>
  <c r="G13329" i="1"/>
  <c r="K13329" i="1"/>
  <c r="A13330" i="1"/>
  <c r="B13330" i="1"/>
  <c r="C13330" i="1"/>
  <c r="E13330" i="1"/>
  <c r="G13330" i="1"/>
  <c r="K13330" i="1"/>
  <c r="A13331" i="1"/>
  <c r="B13331" i="1"/>
  <c r="C13331" i="1"/>
  <c r="E13331" i="1"/>
  <c r="G13331" i="1"/>
  <c r="K13331" i="1"/>
  <c r="A13332" i="1"/>
  <c r="B13332" i="1"/>
  <c r="C13332" i="1"/>
  <c r="E13332" i="1"/>
  <c r="G13332" i="1"/>
  <c r="K13332" i="1"/>
  <c r="A13333" i="1"/>
  <c r="B13333" i="1"/>
  <c r="C13333" i="1"/>
  <c r="E13333" i="1"/>
  <c r="G13333" i="1"/>
  <c r="K13333" i="1"/>
  <c r="A13334" i="1"/>
  <c r="B13334" i="1"/>
  <c r="C13334" i="1"/>
  <c r="E13334" i="1"/>
  <c r="G13334" i="1"/>
  <c r="K13334" i="1"/>
  <c r="A13335" i="1"/>
  <c r="B13335" i="1"/>
  <c r="C13335" i="1"/>
  <c r="E13335" i="1"/>
  <c r="G13335" i="1"/>
  <c r="K13335" i="1"/>
  <c r="A13336" i="1"/>
  <c r="B13336" i="1"/>
  <c r="C13336" i="1"/>
  <c r="E13336" i="1"/>
  <c r="G13336" i="1"/>
  <c r="K13336" i="1"/>
  <c r="A13337" i="1"/>
  <c r="B13337" i="1"/>
  <c r="C13337" i="1"/>
  <c r="E13337" i="1"/>
  <c r="G13337" i="1"/>
  <c r="K13337" i="1"/>
  <c r="A13338" i="1"/>
  <c r="B13338" i="1"/>
  <c r="C13338" i="1"/>
  <c r="E13338" i="1"/>
  <c r="G13338" i="1"/>
  <c r="K13338" i="1"/>
  <c r="A13339" i="1"/>
  <c r="B13339" i="1"/>
  <c r="C13339" i="1"/>
  <c r="E13339" i="1"/>
  <c r="G13339" i="1"/>
  <c r="K13339" i="1"/>
  <c r="A13340" i="1"/>
  <c r="B13340" i="1"/>
  <c r="C13340" i="1"/>
  <c r="E13340" i="1"/>
  <c r="G13340" i="1"/>
  <c r="K13340" i="1"/>
  <c r="A13341" i="1"/>
  <c r="B13341" i="1"/>
  <c r="C13341" i="1"/>
  <c r="E13341" i="1"/>
  <c r="G13341" i="1"/>
  <c r="K13341" i="1"/>
  <c r="A13342" i="1"/>
  <c r="B13342" i="1"/>
  <c r="C13342" i="1"/>
  <c r="E13342" i="1"/>
  <c r="G13342" i="1"/>
  <c r="K13342" i="1"/>
  <c r="A13343" i="1"/>
  <c r="B13343" i="1"/>
  <c r="C13343" i="1"/>
  <c r="E13343" i="1"/>
  <c r="G13343" i="1"/>
  <c r="K13343" i="1"/>
  <c r="A13344" i="1"/>
  <c r="B13344" i="1"/>
  <c r="C13344" i="1"/>
  <c r="E13344" i="1"/>
  <c r="G13344" i="1"/>
  <c r="K13344" i="1"/>
  <c r="A13345" i="1"/>
  <c r="B13345" i="1"/>
  <c r="C13345" i="1"/>
  <c r="E13345" i="1"/>
  <c r="G13345" i="1"/>
  <c r="K13345" i="1"/>
  <c r="A13346" i="1"/>
  <c r="B13346" i="1"/>
  <c r="C13346" i="1"/>
  <c r="E13346" i="1"/>
  <c r="G13346" i="1"/>
  <c r="K13346" i="1"/>
  <c r="A13347" i="1"/>
  <c r="B13347" i="1"/>
  <c r="C13347" i="1"/>
  <c r="E13347" i="1"/>
  <c r="G13347" i="1"/>
  <c r="K13347" i="1"/>
  <c r="A13348" i="1"/>
  <c r="B13348" i="1"/>
  <c r="C13348" i="1"/>
  <c r="E13348" i="1"/>
  <c r="G13348" i="1"/>
  <c r="K13348" i="1"/>
  <c r="A13349" i="1"/>
  <c r="B13349" i="1"/>
  <c r="C13349" i="1"/>
  <c r="E13349" i="1"/>
  <c r="G13349" i="1"/>
  <c r="K13349" i="1"/>
  <c r="A13350" i="1"/>
  <c r="B13350" i="1"/>
  <c r="C13350" i="1"/>
  <c r="E13350" i="1"/>
  <c r="G13350" i="1"/>
  <c r="K13350" i="1"/>
  <c r="A13351" i="1"/>
  <c r="B13351" i="1"/>
  <c r="C13351" i="1"/>
  <c r="E13351" i="1"/>
  <c r="G13351" i="1"/>
  <c r="K13351" i="1"/>
  <c r="A13352" i="1"/>
  <c r="B13352" i="1"/>
  <c r="C13352" i="1"/>
  <c r="E13352" i="1"/>
  <c r="G13352" i="1"/>
  <c r="K13352" i="1"/>
  <c r="A13353" i="1"/>
  <c r="B13353" i="1"/>
  <c r="C13353" i="1"/>
  <c r="E13353" i="1"/>
  <c r="G13353" i="1"/>
  <c r="K13353" i="1"/>
  <c r="A13354" i="1"/>
  <c r="B13354" i="1"/>
  <c r="C13354" i="1"/>
  <c r="E13354" i="1"/>
  <c r="G13354" i="1"/>
  <c r="K13354" i="1"/>
  <c r="A13355" i="1"/>
  <c r="B13355" i="1"/>
  <c r="C13355" i="1"/>
  <c r="E13355" i="1"/>
  <c r="G13355" i="1"/>
  <c r="K13355" i="1"/>
  <c r="A13356" i="1"/>
  <c r="B13356" i="1"/>
  <c r="C13356" i="1"/>
  <c r="E13356" i="1"/>
  <c r="G13356" i="1"/>
  <c r="K13356" i="1"/>
  <c r="A13357" i="1"/>
  <c r="B13357" i="1"/>
  <c r="C13357" i="1"/>
  <c r="E13357" i="1"/>
  <c r="G13357" i="1"/>
  <c r="K13357" i="1"/>
  <c r="A13358" i="1"/>
  <c r="B13358" i="1"/>
  <c r="C13358" i="1"/>
  <c r="E13358" i="1"/>
  <c r="G13358" i="1"/>
  <c r="K13358" i="1"/>
  <c r="A13359" i="1"/>
  <c r="B13359" i="1"/>
  <c r="C13359" i="1"/>
  <c r="E13359" i="1"/>
  <c r="G13359" i="1"/>
  <c r="K13359" i="1"/>
  <c r="A13360" i="1"/>
  <c r="B13360" i="1"/>
  <c r="C13360" i="1"/>
  <c r="E13360" i="1"/>
  <c r="G13360" i="1"/>
  <c r="K13360" i="1"/>
  <c r="A13361" i="1"/>
  <c r="B13361" i="1"/>
  <c r="C13361" i="1"/>
  <c r="E13361" i="1"/>
  <c r="G13361" i="1"/>
  <c r="K13361" i="1"/>
  <c r="A13362" i="1"/>
  <c r="B13362" i="1"/>
  <c r="C13362" i="1"/>
  <c r="E13362" i="1"/>
  <c r="G13362" i="1"/>
  <c r="K13362" i="1"/>
  <c r="A13363" i="1"/>
  <c r="B13363" i="1"/>
  <c r="C13363" i="1"/>
  <c r="E13363" i="1"/>
  <c r="G13363" i="1"/>
  <c r="K13363" i="1"/>
  <c r="A13364" i="1"/>
  <c r="B13364" i="1"/>
  <c r="C13364" i="1"/>
  <c r="E13364" i="1"/>
  <c r="G13364" i="1"/>
  <c r="K13364" i="1"/>
  <c r="A13365" i="1"/>
  <c r="B13365" i="1"/>
  <c r="C13365" i="1"/>
  <c r="E13365" i="1"/>
  <c r="G13365" i="1"/>
  <c r="K13365" i="1"/>
  <c r="A13366" i="1"/>
  <c r="B13366" i="1"/>
  <c r="C13366" i="1"/>
  <c r="E13366" i="1"/>
  <c r="G13366" i="1"/>
  <c r="K13366" i="1"/>
  <c r="A13367" i="1"/>
  <c r="B13367" i="1"/>
  <c r="C13367" i="1"/>
  <c r="E13367" i="1"/>
  <c r="G13367" i="1"/>
  <c r="K13367" i="1"/>
  <c r="A13368" i="1"/>
  <c r="B13368" i="1"/>
  <c r="C13368" i="1"/>
  <c r="E13368" i="1"/>
  <c r="G13368" i="1"/>
  <c r="K13368" i="1"/>
  <c r="A13369" i="1"/>
  <c r="B13369" i="1"/>
  <c r="C13369" i="1"/>
  <c r="E13369" i="1"/>
  <c r="G13369" i="1"/>
  <c r="K13369" i="1"/>
  <c r="A13370" i="1"/>
  <c r="B13370" i="1"/>
  <c r="C13370" i="1"/>
  <c r="E13370" i="1"/>
  <c r="G13370" i="1"/>
  <c r="K13370" i="1"/>
  <c r="A13371" i="1"/>
  <c r="B13371" i="1"/>
  <c r="C13371" i="1"/>
  <c r="E13371" i="1"/>
  <c r="G13371" i="1"/>
  <c r="K13371" i="1"/>
  <c r="A13372" i="1"/>
  <c r="B13372" i="1"/>
  <c r="C13372" i="1"/>
  <c r="E13372" i="1"/>
  <c r="G13372" i="1"/>
  <c r="K13372" i="1"/>
  <c r="A13373" i="1"/>
  <c r="B13373" i="1"/>
  <c r="C13373" i="1"/>
  <c r="E13373" i="1"/>
  <c r="G13373" i="1"/>
  <c r="K13373" i="1"/>
  <c r="A13374" i="1"/>
  <c r="B13374" i="1"/>
  <c r="C13374" i="1"/>
  <c r="E13374" i="1"/>
  <c r="G13374" i="1"/>
  <c r="K13374" i="1"/>
  <c r="A13375" i="1"/>
  <c r="B13375" i="1"/>
  <c r="C13375" i="1"/>
  <c r="E13375" i="1"/>
  <c r="G13375" i="1"/>
  <c r="K13375" i="1"/>
  <c r="A13376" i="1"/>
  <c r="B13376" i="1"/>
  <c r="C13376" i="1"/>
  <c r="E13376" i="1"/>
  <c r="G13376" i="1"/>
  <c r="K13376" i="1"/>
  <c r="A13377" i="1"/>
  <c r="B13377" i="1"/>
  <c r="C13377" i="1"/>
  <c r="E13377" i="1"/>
  <c r="G13377" i="1"/>
  <c r="K13377" i="1"/>
  <c r="A13378" i="1"/>
  <c r="B13378" i="1"/>
  <c r="C13378" i="1"/>
  <c r="E13378" i="1"/>
  <c r="G13378" i="1"/>
  <c r="K13378" i="1"/>
  <c r="A13379" i="1"/>
  <c r="B13379" i="1"/>
  <c r="C13379" i="1"/>
  <c r="E13379" i="1"/>
  <c r="G13379" i="1"/>
  <c r="K13379" i="1"/>
  <c r="A13380" i="1"/>
  <c r="B13380" i="1"/>
  <c r="C13380" i="1"/>
  <c r="E13380" i="1"/>
  <c r="G13380" i="1"/>
  <c r="K13380" i="1"/>
  <c r="A13381" i="1"/>
  <c r="B13381" i="1"/>
  <c r="C13381" i="1"/>
  <c r="E13381" i="1"/>
  <c r="G13381" i="1"/>
  <c r="K13381" i="1"/>
  <c r="A13382" i="1"/>
  <c r="B13382" i="1"/>
  <c r="C13382" i="1"/>
  <c r="E13382" i="1"/>
  <c r="G13382" i="1"/>
  <c r="K13382" i="1"/>
  <c r="A13383" i="1"/>
  <c r="B13383" i="1"/>
  <c r="C13383" i="1"/>
  <c r="E13383" i="1"/>
  <c r="G13383" i="1"/>
  <c r="K13383" i="1"/>
  <c r="A13384" i="1"/>
  <c r="B13384" i="1"/>
  <c r="C13384" i="1"/>
  <c r="E13384" i="1"/>
  <c r="G13384" i="1"/>
  <c r="K13384" i="1"/>
  <c r="A13385" i="1"/>
  <c r="B13385" i="1"/>
  <c r="C13385" i="1"/>
  <c r="E13385" i="1"/>
  <c r="G13385" i="1"/>
  <c r="K13385" i="1"/>
  <c r="A13386" i="1"/>
  <c r="B13386" i="1"/>
  <c r="C13386" i="1"/>
  <c r="E13386" i="1"/>
  <c r="G13386" i="1"/>
  <c r="K13386" i="1"/>
  <c r="A13387" i="1"/>
  <c r="B13387" i="1"/>
  <c r="C13387" i="1"/>
  <c r="E13387" i="1"/>
  <c r="G13387" i="1"/>
  <c r="K13387" i="1"/>
  <c r="A13388" i="1"/>
  <c r="B13388" i="1"/>
  <c r="C13388" i="1"/>
  <c r="E13388" i="1"/>
  <c r="G13388" i="1"/>
  <c r="K13388" i="1"/>
  <c r="A13389" i="1"/>
  <c r="B13389" i="1"/>
  <c r="C13389" i="1"/>
  <c r="E13389" i="1"/>
  <c r="G13389" i="1"/>
  <c r="K13389" i="1"/>
  <c r="A13390" i="1"/>
  <c r="B13390" i="1"/>
  <c r="C13390" i="1"/>
  <c r="E13390" i="1"/>
  <c r="G13390" i="1"/>
  <c r="K13390" i="1"/>
  <c r="A13391" i="1"/>
  <c r="B13391" i="1"/>
  <c r="C13391" i="1"/>
  <c r="E13391" i="1"/>
  <c r="G13391" i="1"/>
  <c r="K13391" i="1"/>
  <c r="A13392" i="1"/>
  <c r="B13392" i="1"/>
  <c r="C13392" i="1"/>
  <c r="E13392" i="1"/>
  <c r="G13392" i="1"/>
  <c r="K13392" i="1"/>
  <c r="A13393" i="1"/>
  <c r="B13393" i="1"/>
  <c r="C13393" i="1"/>
  <c r="E13393" i="1"/>
  <c r="G13393" i="1"/>
  <c r="K13393" i="1"/>
  <c r="A13394" i="1"/>
  <c r="B13394" i="1"/>
  <c r="C13394" i="1"/>
  <c r="E13394" i="1"/>
  <c r="G13394" i="1"/>
  <c r="K13394" i="1"/>
  <c r="A13395" i="1"/>
  <c r="B13395" i="1"/>
  <c r="C13395" i="1"/>
  <c r="E13395" i="1"/>
  <c r="G13395" i="1"/>
  <c r="K13395" i="1"/>
  <c r="A13396" i="1"/>
  <c r="B13396" i="1"/>
  <c r="C13396" i="1"/>
  <c r="E13396" i="1"/>
  <c r="G13396" i="1"/>
  <c r="K13396" i="1"/>
  <c r="A13397" i="1"/>
  <c r="B13397" i="1"/>
  <c r="C13397" i="1"/>
  <c r="E13397" i="1"/>
  <c r="G13397" i="1"/>
  <c r="K13397" i="1"/>
  <c r="A13398" i="1"/>
  <c r="B13398" i="1"/>
  <c r="C13398" i="1"/>
  <c r="E13398" i="1"/>
  <c r="G13398" i="1"/>
  <c r="K13398" i="1"/>
  <c r="A13399" i="1"/>
  <c r="B13399" i="1"/>
  <c r="C13399" i="1"/>
  <c r="E13399" i="1"/>
  <c r="G13399" i="1"/>
  <c r="K13399" i="1"/>
  <c r="A13400" i="1"/>
  <c r="B13400" i="1"/>
  <c r="C13400" i="1"/>
  <c r="E13400" i="1"/>
  <c r="G13400" i="1"/>
  <c r="K13400" i="1"/>
  <c r="A13401" i="1"/>
  <c r="B13401" i="1"/>
  <c r="C13401" i="1"/>
  <c r="E13401" i="1"/>
  <c r="G13401" i="1"/>
  <c r="K13401" i="1"/>
  <c r="A13402" i="1"/>
  <c r="B13402" i="1"/>
  <c r="C13402" i="1"/>
  <c r="E13402" i="1"/>
  <c r="G13402" i="1"/>
  <c r="K13402" i="1"/>
  <c r="A13403" i="1"/>
  <c r="B13403" i="1"/>
  <c r="C13403" i="1"/>
  <c r="E13403" i="1"/>
  <c r="G13403" i="1"/>
  <c r="K13403" i="1"/>
  <c r="A13404" i="1"/>
  <c r="B13404" i="1"/>
  <c r="C13404" i="1"/>
  <c r="E13404" i="1"/>
  <c r="G13404" i="1"/>
  <c r="K13404" i="1"/>
  <c r="A13405" i="1"/>
  <c r="B13405" i="1"/>
  <c r="C13405" i="1"/>
  <c r="E13405" i="1"/>
  <c r="G13405" i="1"/>
  <c r="K13405" i="1"/>
  <c r="A13406" i="1"/>
  <c r="B13406" i="1"/>
  <c r="C13406" i="1"/>
  <c r="E13406" i="1"/>
  <c r="G13406" i="1"/>
  <c r="K13406" i="1"/>
  <c r="A13407" i="1"/>
  <c r="B13407" i="1"/>
  <c r="C13407" i="1"/>
  <c r="E13407" i="1"/>
  <c r="G13407" i="1"/>
  <c r="K13407" i="1"/>
  <c r="A13408" i="1"/>
  <c r="B13408" i="1"/>
  <c r="C13408" i="1"/>
  <c r="E13408" i="1"/>
  <c r="G13408" i="1"/>
  <c r="K13408" i="1"/>
  <c r="A13409" i="1"/>
  <c r="B13409" i="1"/>
  <c r="C13409" i="1"/>
  <c r="E13409" i="1"/>
  <c r="G13409" i="1"/>
  <c r="K13409" i="1"/>
  <c r="A13410" i="1"/>
  <c r="B13410" i="1"/>
  <c r="C13410" i="1"/>
  <c r="E13410" i="1"/>
  <c r="G13410" i="1"/>
  <c r="K13410" i="1"/>
  <c r="A13411" i="1"/>
  <c r="B13411" i="1"/>
  <c r="C13411" i="1"/>
  <c r="E13411" i="1"/>
  <c r="G13411" i="1"/>
  <c r="K13411" i="1"/>
  <c r="A13412" i="1"/>
  <c r="B13412" i="1"/>
  <c r="C13412" i="1"/>
  <c r="E13412" i="1"/>
  <c r="G13412" i="1"/>
  <c r="K13412" i="1"/>
  <c r="A13413" i="1"/>
  <c r="B13413" i="1"/>
  <c r="C13413" i="1"/>
  <c r="E13413" i="1"/>
  <c r="G13413" i="1"/>
  <c r="K13413" i="1"/>
  <c r="A13414" i="1"/>
  <c r="B13414" i="1"/>
  <c r="C13414" i="1"/>
  <c r="E13414" i="1"/>
  <c r="G13414" i="1"/>
  <c r="K13414" i="1"/>
  <c r="A13415" i="1"/>
  <c r="B13415" i="1"/>
  <c r="C13415" i="1"/>
  <c r="E13415" i="1"/>
  <c r="G13415" i="1"/>
  <c r="K13415" i="1"/>
  <c r="A13416" i="1"/>
  <c r="B13416" i="1"/>
  <c r="C13416" i="1"/>
  <c r="E13416" i="1"/>
  <c r="G13416" i="1"/>
  <c r="K13416" i="1"/>
  <c r="A13417" i="1"/>
  <c r="B13417" i="1"/>
  <c r="C13417" i="1"/>
  <c r="E13417" i="1"/>
  <c r="G13417" i="1"/>
  <c r="K13417" i="1"/>
  <c r="A13418" i="1"/>
  <c r="B13418" i="1"/>
  <c r="C13418" i="1"/>
  <c r="E13418" i="1"/>
  <c r="G13418" i="1"/>
  <c r="K13418" i="1"/>
  <c r="A13419" i="1"/>
  <c r="B13419" i="1"/>
  <c r="C13419" i="1"/>
  <c r="E13419" i="1"/>
  <c r="G13419" i="1"/>
  <c r="K13419" i="1"/>
  <c r="A13420" i="1"/>
  <c r="B13420" i="1"/>
  <c r="C13420" i="1"/>
  <c r="E13420" i="1"/>
  <c r="G13420" i="1"/>
  <c r="K13420" i="1"/>
  <c r="A13421" i="1"/>
  <c r="B13421" i="1"/>
  <c r="C13421" i="1"/>
  <c r="E13421" i="1"/>
  <c r="G13421" i="1"/>
  <c r="K13421" i="1"/>
  <c r="A13422" i="1"/>
  <c r="B13422" i="1"/>
  <c r="C13422" i="1"/>
  <c r="E13422" i="1"/>
  <c r="G13422" i="1"/>
  <c r="K13422" i="1"/>
  <c r="A13423" i="1"/>
  <c r="B13423" i="1"/>
  <c r="C13423" i="1"/>
  <c r="E13423" i="1"/>
  <c r="G13423" i="1"/>
  <c r="K13423" i="1"/>
  <c r="A13424" i="1"/>
  <c r="B13424" i="1"/>
  <c r="C13424" i="1"/>
  <c r="E13424" i="1"/>
  <c r="G13424" i="1"/>
  <c r="K13424" i="1"/>
  <c r="A13425" i="1"/>
  <c r="B13425" i="1"/>
  <c r="C13425" i="1"/>
  <c r="E13425" i="1"/>
  <c r="G13425" i="1"/>
  <c r="K13425" i="1"/>
  <c r="A13426" i="1"/>
  <c r="B13426" i="1"/>
  <c r="C13426" i="1"/>
  <c r="E13426" i="1"/>
  <c r="G13426" i="1"/>
  <c r="K13426" i="1"/>
  <c r="A13427" i="1"/>
  <c r="B13427" i="1"/>
  <c r="C13427" i="1"/>
  <c r="E13427" i="1"/>
  <c r="G13427" i="1"/>
  <c r="K13427" i="1"/>
  <c r="A13428" i="1"/>
  <c r="B13428" i="1"/>
  <c r="C13428" i="1"/>
  <c r="E13428" i="1"/>
  <c r="G13428" i="1"/>
  <c r="K13428" i="1"/>
  <c r="A13429" i="1"/>
  <c r="B13429" i="1"/>
  <c r="C13429" i="1"/>
  <c r="E13429" i="1"/>
  <c r="G13429" i="1"/>
  <c r="K13429" i="1"/>
  <c r="A13430" i="1"/>
  <c r="B13430" i="1"/>
  <c r="C13430" i="1"/>
  <c r="E13430" i="1"/>
  <c r="G13430" i="1"/>
  <c r="K13430" i="1"/>
  <c r="A13431" i="1"/>
  <c r="B13431" i="1"/>
  <c r="C13431" i="1"/>
  <c r="E13431" i="1"/>
  <c r="G13431" i="1"/>
  <c r="K13431" i="1"/>
  <c r="A13432" i="1"/>
  <c r="B13432" i="1"/>
  <c r="C13432" i="1"/>
  <c r="E13432" i="1"/>
  <c r="G13432" i="1"/>
  <c r="K13432" i="1"/>
  <c r="A13433" i="1"/>
  <c r="B13433" i="1"/>
  <c r="C13433" i="1"/>
  <c r="E13433" i="1"/>
  <c r="G13433" i="1"/>
  <c r="K13433" i="1"/>
  <c r="A13434" i="1"/>
  <c r="B13434" i="1"/>
  <c r="C13434" i="1"/>
  <c r="E13434" i="1"/>
  <c r="G13434" i="1"/>
  <c r="K13434" i="1"/>
  <c r="A13435" i="1"/>
  <c r="B13435" i="1"/>
  <c r="C13435" i="1"/>
  <c r="E13435" i="1"/>
  <c r="G13435" i="1"/>
  <c r="K13435" i="1"/>
  <c r="A13436" i="1"/>
  <c r="B13436" i="1"/>
  <c r="C13436" i="1"/>
  <c r="E13436" i="1"/>
  <c r="G13436" i="1"/>
  <c r="K13436" i="1"/>
  <c r="A13437" i="1"/>
  <c r="B13437" i="1"/>
  <c r="C13437" i="1"/>
  <c r="E13437" i="1"/>
  <c r="G13437" i="1"/>
  <c r="K13437" i="1"/>
  <c r="A13438" i="1"/>
  <c r="B13438" i="1"/>
  <c r="C13438" i="1"/>
  <c r="E13438" i="1"/>
  <c r="G13438" i="1"/>
  <c r="K13438" i="1"/>
  <c r="A13439" i="1"/>
  <c r="B13439" i="1"/>
  <c r="C13439" i="1"/>
  <c r="E13439" i="1"/>
  <c r="G13439" i="1"/>
  <c r="K13439" i="1"/>
  <c r="A13440" i="1"/>
  <c r="B13440" i="1"/>
  <c r="C13440" i="1"/>
  <c r="E13440" i="1"/>
  <c r="G13440" i="1"/>
  <c r="K13440" i="1"/>
  <c r="A13441" i="1"/>
  <c r="B13441" i="1"/>
  <c r="C13441" i="1"/>
  <c r="E13441" i="1"/>
  <c r="G13441" i="1"/>
  <c r="K13441" i="1"/>
  <c r="A13442" i="1"/>
  <c r="B13442" i="1"/>
  <c r="C13442" i="1"/>
  <c r="E13442" i="1"/>
  <c r="G13442" i="1"/>
  <c r="K13442" i="1"/>
  <c r="A13443" i="1"/>
  <c r="B13443" i="1"/>
  <c r="C13443" i="1"/>
  <c r="E13443" i="1"/>
  <c r="G13443" i="1"/>
  <c r="K13443" i="1"/>
  <c r="A13444" i="1"/>
  <c r="B13444" i="1"/>
  <c r="C13444" i="1"/>
  <c r="E13444" i="1"/>
  <c r="G13444" i="1"/>
  <c r="K13444" i="1"/>
  <c r="A13445" i="1"/>
  <c r="B13445" i="1"/>
  <c r="C13445" i="1"/>
  <c r="E13445" i="1"/>
  <c r="G13445" i="1"/>
  <c r="K13445" i="1"/>
  <c r="A13446" i="1"/>
  <c r="B13446" i="1"/>
  <c r="C13446" i="1"/>
  <c r="E13446" i="1"/>
  <c r="G13446" i="1"/>
  <c r="K13446" i="1"/>
  <c r="A13447" i="1"/>
  <c r="B13447" i="1"/>
  <c r="C13447" i="1"/>
  <c r="E13447" i="1"/>
  <c r="G13447" i="1"/>
  <c r="K13447" i="1"/>
  <c r="A13448" i="1"/>
  <c r="B13448" i="1"/>
  <c r="C13448" i="1"/>
  <c r="E13448" i="1"/>
  <c r="G13448" i="1"/>
  <c r="K13448" i="1"/>
  <c r="A13449" i="1"/>
  <c r="B13449" i="1"/>
  <c r="C13449" i="1"/>
  <c r="E13449" i="1"/>
  <c r="G13449" i="1"/>
  <c r="K13449" i="1"/>
  <c r="A13450" i="1"/>
  <c r="B13450" i="1"/>
  <c r="C13450" i="1"/>
  <c r="E13450" i="1"/>
  <c r="G13450" i="1"/>
  <c r="K13450" i="1"/>
  <c r="A13451" i="1"/>
  <c r="B13451" i="1"/>
  <c r="C13451" i="1"/>
  <c r="E13451" i="1"/>
  <c r="G13451" i="1"/>
  <c r="K13451" i="1"/>
  <c r="A13452" i="1"/>
  <c r="B13452" i="1"/>
  <c r="C13452" i="1"/>
  <c r="E13452" i="1"/>
  <c r="G13452" i="1"/>
  <c r="K13452" i="1"/>
  <c r="A13453" i="1"/>
  <c r="B13453" i="1"/>
  <c r="C13453" i="1"/>
  <c r="E13453" i="1"/>
  <c r="G13453" i="1"/>
  <c r="K13453" i="1"/>
  <c r="A13454" i="1"/>
  <c r="B13454" i="1"/>
  <c r="C13454" i="1"/>
  <c r="E13454" i="1"/>
  <c r="G13454" i="1"/>
  <c r="K13454" i="1"/>
  <c r="A13455" i="1"/>
  <c r="B13455" i="1"/>
  <c r="C13455" i="1"/>
  <c r="E13455" i="1"/>
  <c r="G13455" i="1"/>
  <c r="K13455" i="1"/>
  <c r="A13456" i="1"/>
  <c r="B13456" i="1"/>
  <c r="C13456" i="1"/>
  <c r="E13456" i="1"/>
  <c r="G13456" i="1"/>
  <c r="K13456" i="1"/>
  <c r="A13457" i="1"/>
  <c r="B13457" i="1"/>
  <c r="C13457" i="1"/>
  <c r="E13457" i="1"/>
  <c r="G13457" i="1"/>
  <c r="K13457" i="1"/>
  <c r="A13458" i="1"/>
  <c r="B13458" i="1"/>
  <c r="C13458" i="1"/>
  <c r="E13458" i="1"/>
  <c r="G13458" i="1"/>
  <c r="K13458" i="1"/>
  <c r="A13459" i="1"/>
  <c r="B13459" i="1"/>
  <c r="C13459" i="1"/>
  <c r="E13459" i="1"/>
  <c r="G13459" i="1"/>
  <c r="K13459" i="1"/>
  <c r="A13460" i="1"/>
  <c r="B13460" i="1"/>
  <c r="C13460" i="1"/>
  <c r="E13460" i="1"/>
  <c r="G13460" i="1"/>
  <c r="K13460" i="1"/>
  <c r="A13461" i="1"/>
  <c r="B13461" i="1"/>
  <c r="C13461" i="1"/>
  <c r="E13461" i="1"/>
  <c r="G13461" i="1"/>
  <c r="K13461" i="1"/>
  <c r="A13462" i="1"/>
  <c r="B13462" i="1"/>
  <c r="C13462" i="1"/>
  <c r="E13462" i="1"/>
  <c r="G13462" i="1"/>
  <c r="K13462" i="1"/>
  <c r="A13463" i="1"/>
  <c r="B13463" i="1"/>
  <c r="C13463" i="1"/>
  <c r="E13463" i="1"/>
  <c r="G13463" i="1"/>
  <c r="K13463" i="1"/>
  <c r="A13464" i="1"/>
  <c r="B13464" i="1"/>
  <c r="C13464" i="1"/>
  <c r="E13464" i="1"/>
  <c r="G13464" i="1"/>
  <c r="K13464" i="1"/>
  <c r="A13465" i="1"/>
  <c r="B13465" i="1"/>
  <c r="C13465" i="1"/>
  <c r="E13465" i="1"/>
  <c r="G13465" i="1"/>
  <c r="K13465" i="1"/>
  <c r="A13466" i="1"/>
  <c r="B13466" i="1"/>
  <c r="C13466" i="1"/>
  <c r="E13466" i="1"/>
  <c r="G13466" i="1"/>
  <c r="K13466" i="1"/>
  <c r="A13467" i="1"/>
  <c r="B13467" i="1"/>
  <c r="C13467" i="1"/>
  <c r="E13467" i="1"/>
  <c r="G13467" i="1"/>
  <c r="K13467" i="1"/>
  <c r="A13468" i="1"/>
  <c r="B13468" i="1"/>
  <c r="C13468" i="1"/>
  <c r="E13468" i="1"/>
  <c r="G13468" i="1"/>
  <c r="K13468" i="1"/>
  <c r="A13469" i="1"/>
  <c r="B13469" i="1"/>
  <c r="C13469" i="1"/>
  <c r="E13469" i="1"/>
  <c r="G13469" i="1"/>
  <c r="K13469" i="1"/>
  <c r="A13470" i="1"/>
  <c r="B13470" i="1"/>
  <c r="C13470" i="1"/>
  <c r="E13470" i="1"/>
  <c r="G13470" i="1"/>
  <c r="K13470" i="1"/>
  <c r="A13471" i="1"/>
  <c r="B13471" i="1"/>
  <c r="C13471" i="1"/>
  <c r="E13471" i="1"/>
  <c r="G13471" i="1"/>
  <c r="K13471" i="1"/>
  <c r="A13472" i="1"/>
  <c r="B13472" i="1"/>
  <c r="C13472" i="1"/>
  <c r="E13472" i="1"/>
  <c r="G13472" i="1"/>
  <c r="K13472" i="1"/>
  <c r="A13473" i="1"/>
  <c r="B13473" i="1"/>
  <c r="C13473" i="1"/>
  <c r="E13473" i="1"/>
  <c r="G13473" i="1"/>
  <c r="K13473" i="1"/>
  <c r="A13474" i="1"/>
  <c r="B13474" i="1"/>
  <c r="C13474" i="1"/>
  <c r="E13474" i="1"/>
  <c r="G13474" i="1"/>
  <c r="K13474" i="1"/>
  <c r="A13475" i="1"/>
  <c r="B13475" i="1"/>
  <c r="C13475" i="1"/>
  <c r="E13475" i="1"/>
  <c r="G13475" i="1"/>
  <c r="K13475" i="1"/>
  <c r="A13476" i="1"/>
  <c r="B13476" i="1"/>
  <c r="C13476" i="1"/>
  <c r="E13476" i="1"/>
  <c r="G13476" i="1"/>
  <c r="K13476" i="1"/>
  <c r="A13477" i="1"/>
  <c r="B13477" i="1"/>
  <c r="C13477" i="1"/>
  <c r="E13477" i="1"/>
  <c r="G13477" i="1"/>
  <c r="K13477" i="1"/>
  <c r="A13478" i="1"/>
  <c r="B13478" i="1"/>
  <c r="C13478" i="1"/>
  <c r="E13478" i="1"/>
  <c r="G13478" i="1"/>
  <c r="K13478" i="1"/>
  <c r="A13479" i="1"/>
  <c r="B13479" i="1"/>
  <c r="C13479" i="1"/>
  <c r="E13479" i="1"/>
  <c r="G13479" i="1"/>
  <c r="K13479" i="1"/>
  <c r="A13480" i="1"/>
  <c r="B13480" i="1"/>
  <c r="C13480" i="1"/>
  <c r="E13480" i="1"/>
  <c r="G13480" i="1"/>
  <c r="K13480" i="1"/>
  <c r="A13481" i="1"/>
  <c r="B13481" i="1"/>
  <c r="C13481" i="1"/>
  <c r="E13481" i="1"/>
  <c r="G13481" i="1"/>
  <c r="K13481" i="1"/>
  <c r="A13482" i="1"/>
  <c r="B13482" i="1"/>
  <c r="C13482" i="1"/>
  <c r="E13482" i="1"/>
  <c r="G13482" i="1"/>
  <c r="K13482" i="1"/>
  <c r="A13483" i="1"/>
  <c r="B13483" i="1"/>
  <c r="C13483" i="1"/>
  <c r="E13483" i="1"/>
  <c r="G13483" i="1"/>
  <c r="K13483" i="1"/>
  <c r="A13484" i="1"/>
  <c r="B13484" i="1"/>
  <c r="C13484" i="1"/>
  <c r="E13484" i="1"/>
  <c r="G13484" i="1"/>
  <c r="K13484" i="1"/>
  <c r="A13485" i="1"/>
  <c r="B13485" i="1"/>
  <c r="C13485" i="1"/>
  <c r="E13485" i="1"/>
  <c r="G13485" i="1"/>
  <c r="K13485" i="1"/>
  <c r="A13486" i="1"/>
  <c r="B13486" i="1"/>
  <c r="C13486" i="1"/>
  <c r="E13486" i="1"/>
  <c r="G13486" i="1"/>
  <c r="K13486" i="1"/>
  <c r="A13487" i="1"/>
  <c r="B13487" i="1"/>
  <c r="C13487" i="1"/>
  <c r="E13487" i="1"/>
  <c r="G13487" i="1"/>
  <c r="K13487" i="1"/>
  <c r="A13488" i="1"/>
  <c r="B13488" i="1"/>
  <c r="C13488" i="1"/>
  <c r="E13488" i="1"/>
  <c r="G13488" i="1"/>
  <c r="K13488" i="1"/>
  <c r="A13489" i="1"/>
  <c r="B13489" i="1"/>
  <c r="C13489" i="1"/>
  <c r="E13489" i="1"/>
  <c r="G13489" i="1"/>
  <c r="K13489" i="1"/>
  <c r="A13490" i="1"/>
  <c r="B13490" i="1"/>
  <c r="C13490" i="1"/>
  <c r="E13490" i="1"/>
  <c r="G13490" i="1"/>
  <c r="K13490" i="1"/>
  <c r="A13491" i="1"/>
  <c r="B13491" i="1"/>
  <c r="C13491" i="1"/>
  <c r="E13491" i="1"/>
  <c r="G13491" i="1"/>
  <c r="K13491" i="1"/>
  <c r="A13492" i="1"/>
  <c r="B13492" i="1"/>
  <c r="C13492" i="1"/>
  <c r="E13492" i="1"/>
  <c r="G13492" i="1"/>
  <c r="K13492" i="1"/>
  <c r="A13493" i="1"/>
  <c r="B13493" i="1"/>
  <c r="C13493" i="1"/>
  <c r="E13493" i="1"/>
  <c r="G13493" i="1"/>
  <c r="K13493" i="1"/>
  <c r="A13494" i="1"/>
  <c r="B13494" i="1"/>
  <c r="C13494" i="1"/>
  <c r="E13494" i="1"/>
  <c r="G13494" i="1"/>
  <c r="K13494" i="1"/>
  <c r="A13495" i="1"/>
  <c r="B13495" i="1"/>
  <c r="C13495" i="1"/>
  <c r="E13495" i="1"/>
  <c r="G13495" i="1"/>
  <c r="K13495" i="1"/>
  <c r="A13496" i="1"/>
  <c r="B13496" i="1"/>
  <c r="C13496" i="1"/>
  <c r="E13496" i="1"/>
  <c r="G13496" i="1"/>
  <c r="K13496" i="1"/>
  <c r="A13497" i="1"/>
  <c r="B13497" i="1"/>
  <c r="C13497" i="1"/>
  <c r="E13497" i="1"/>
  <c r="G13497" i="1"/>
  <c r="K13497" i="1"/>
  <c r="A13498" i="1"/>
  <c r="B13498" i="1"/>
  <c r="C13498" i="1"/>
  <c r="E13498" i="1"/>
  <c r="G13498" i="1"/>
  <c r="K13498" i="1"/>
  <c r="A13499" i="1"/>
  <c r="B13499" i="1"/>
  <c r="C13499" i="1"/>
  <c r="E13499" i="1"/>
  <c r="G13499" i="1"/>
  <c r="K13499" i="1"/>
  <c r="A13500" i="1"/>
  <c r="B13500" i="1"/>
  <c r="C13500" i="1"/>
  <c r="E13500" i="1"/>
  <c r="G13500" i="1"/>
  <c r="K13500" i="1"/>
  <c r="A13501" i="1"/>
  <c r="B13501" i="1"/>
  <c r="C13501" i="1"/>
  <c r="E13501" i="1"/>
  <c r="G13501" i="1"/>
  <c r="K13501" i="1"/>
  <c r="A13502" i="1"/>
  <c r="B13502" i="1"/>
  <c r="C13502" i="1"/>
  <c r="E13502" i="1"/>
  <c r="G13502" i="1"/>
  <c r="K13502" i="1"/>
  <c r="A13503" i="1"/>
  <c r="B13503" i="1"/>
  <c r="C13503" i="1"/>
  <c r="E13503" i="1"/>
  <c r="G13503" i="1"/>
  <c r="K13503" i="1"/>
  <c r="A13504" i="1"/>
  <c r="B13504" i="1"/>
  <c r="C13504" i="1"/>
  <c r="E13504" i="1"/>
  <c r="G13504" i="1"/>
  <c r="K13504" i="1"/>
  <c r="A13505" i="1"/>
  <c r="B13505" i="1"/>
  <c r="C13505" i="1"/>
  <c r="E13505" i="1"/>
  <c r="G13505" i="1"/>
  <c r="K13505" i="1"/>
  <c r="A13506" i="1"/>
  <c r="B13506" i="1"/>
  <c r="C13506" i="1"/>
  <c r="E13506" i="1"/>
  <c r="G13506" i="1"/>
  <c r="K13506" i="1"/>
  <c r="A13507" i="1"/>
  <c r="B13507" i="1"/>
  <c r="C13507" i="1"/>
  <c r="E13507" i="1"/>
  <c r="G13507" i="1"/>
  <c r="K13507" i="1"/>
  <c r="A13508" i="1"/>
  <c r="B13508" i="1"/>
  <c r="C13508" i="1"/>
  <c r="E13508" i="1"/>
  <c r="G13508" i="1"/>
  <c r="K13508" i="1"/>
  <c r="A13509" i="1"/>
  <c r="B13509" i="1"/>
  <c r="C13509" i="1"/>
  <c r="E13509" i="1"/>
  <c r="G13509" i="1"/>
  <c r="K13509" i="1"/>
  <c r="A13510" i="1"/>
  <c r="B13510" i="1"/>
  <c r="C13510" i="1"/>
  <c r="E13510" i="1"/>
  <c r="G13510" i="1"/>
  <c r="K13510" i="1"/>
  <c r="A13511" i="1"/>
  <c r="B13511" i="1"/>
  <c r="C13511" i="1"/>
  <c r="E13511" i="1"/>
  <c r="G13511" i="1"/>
  <c r="K13511" i="1"/>
  <c r="A13512" i="1"/>
  <c r="B13512" i="1"/>
  <c r="C13512" i="1"/>
  <c r="E13512" i="1"/>
  <c r="G13512" i="1"/>
  <c r="K13512" i="1"/>
  <c r="A13513" i="1"/>
  <c r="B13513" i="1"/>
  <c r="C13513" i="1"/>
  <c r="E13513" i="1"/>
  <c r="G13513" i="1"/>
  <c r="K13513" i="1"/>
  <c r="A13514" i="1"/>
  <c r="B13514" i="1"/>
  <c r="C13514" i="1"/>
  <c r="E13514" i="1"/>
  <c r="G13514" i="1"/>
  <c r="K13514" i="1"/>
  <c r="A13515" i="1"/>
  <c r="B13515" i="1"/>
  <c r="C13515" i="1"/>
  <c r="E13515" i="1"/>
  <c r="G13515" i="1"/>
  <c r="K13515" i="1"/>
  <c r="A13516" i="1"/>
  <c r="B13516" i="1"/>
  <c r="C13516" i="1"/>
  <c r="E13516" i="1"/>
  <c r="G13516" i="1"/>
  <c r="K13516" i="1"/>
  <c r="A13517" i="1"/>
  <c r="B13517" i="1"/>
  <c r="C13517" i="1"/>
  <c r="E13517" i="1"/>
  <c r="G13517" i="1"/>
  <c r="K13517" i="1"/>
  <c r="A13518" i="1"/>
  <c r="B13518" i="1"/>
  <c r="C13518" i="1"/>
  <c r="E13518" i="1"/>
  <c r="G13518" i="1"/>
  <c r="K13518" i="1"/>
  <c r="A13519" i="1"/>
  <c r="B13519" i="1"/>
  <c r="C13519" i="1"/>
  <c r="E13519" i="1"/>
  <c r="G13519" i="1"/>
  <c r="K13519" i="1"/>
  <c r="A13520" i="1"/>
  <c r="B13520" i="1"/>
  <c r="C13520" i="1"/>
  <c r="E13520" i="1"/>
  <c r="G13520" i="1"/>
  <c r="K13520" i="1"/>
  <c r="A13521" i="1"/>
  <c r="B13521" i="1"/>
  <c r="C13521" i="1"/>
  <c r="E13521" i="1"/>
  <c r="G13521" i="1"/>
  <c r="K13521" i="1"/>
  <c r="A13522" i="1"/>
  <c r="B13522" i="1"/>
  <c r="C13522" i="1"/>
  <c r="E13522" i="1"/>
  <c r="G13522" i="1"/>
  <c r="K13522" i="1"/>
  <c r="A13523" i="1"/>
  <c r="B13523" i="1"/>
  <c r="C13523" i="1"/>
  <c r="E13523" i="1"/>
  <c r="G13523" i="1"/>
  <c r="K13523" i="1"/>
  <c r="A13524" i="1"/>
  <c r="B13524" i="1"/>
  <c r="C13524" i="1"/>
  <c r="E13524" i="1"/>
  <c r="G13524" i="1"/>
  <c r="K13524" i="1"/>
  <c r="A13525" i="1"/>
  <c r="B13525" i="1"/>
  <c r="C13525" i="1"/>
  <c r="E13525" i="1"/>
  <c r="G13525" i="1"/>
  <c r="K13525" i="1"/>
  <c r="A13526" i="1"/>
  <c r="B13526" i="1"/>
  <c r="C13526" i="1"/>
  <c r="E13526" i="1"/>
  <c r="G13526" i="1"/>
  <c r="K13526" i="1"/>
  <c r="A13527" i="1"/>
  <c r="B13527" i="1"/>
  <c r="C13527" i="1"/>
  <c r="E13527" i="1"/>
  <c r="G13527" i="1"/>
  <c r="K13527" i="1"/>
  <c r="A13528" i="1"/>
  <c r="B13528" i="1"/>
  <c r="C13528" i="1"/>
  <c r="E13528" i="1"/>
  <c r="G13528" i="1"/>
  <c r="K13528" i="1"/>
  <c r="A13529" i="1"/>
  <c r="B13529" i="1"/>
  <c r="C13529" i="1"/>
  <c r="E13529" i="1"/>
  <c r="G13529" i="1"/>
  <c r="K13529" i="1"/>
  <c r="A13530" i="1"/>
  <c r="B13530" i="1"/>
  <c r="C13530" i="1"/>
  <c r="E13530" i="1"/>
  <c r="G13530" i="1"/>
  <c r="K13530" i="1"/>
  <c r="A13531" i="1"/>
  <c r="B13531" i="1"/>
  <c r="C13531" i="1"/>
  <c r="E13531" i="1"/>
  <c r="G13531" i="1"/>
  <c r="K13531" i="1"/>
  <c r="A13532" i="1"/>
  <c r="B13532" i="1"/>
  <c r="C13532" i="1"/>
  <c r="E13532" i="1"/>
  <c r="G13532" i="1"/>
  <c r="K13532" i="1"/>
  <c r="A13533" i="1"/>
  <c r="B13533" i="1"/>
  <c r="C13533" i="1"/>
  <c r="E13533" i="1"/>
  <c r="G13533" i="1"/>
  <c r="K13533" i="1"/>
  <c r="A13534" i="1"/>
  <c r="B13534" i="1"/>
  <c r="C13534" i="1"/>
  <c r="E13534" i="1"/>
  <c r="G13534" i="1"/>
  <c r="K13534" i="1"/>
  <c r="A13535" i="1"/>
  <c r="B13535" i="1"/>
  <c r="C13535" i="1"/>
  <c r="E13535" i="1"/>
  <c r="G13535" i="1"/>
  <c r="K13535" i="1"/>
  <c r="A13536" i="1"/>
  <c r="B13536" i="1"/>
  <c r="C13536" i="1"/>
  <c r="E13536" i="1"/>
  <c r="G13536" i="1"/>
  <c r="K13536" i="1"/>
  <c r="A13537" i="1"/>
  <c r="B13537" i="1"/>
  <c r="C13537" i="1"/>
  <c r="E13537" i="1"/>
  <c r="G13537" i="1"/>
  <c r="K13537" i="1"/>
  <c r="A13538" i="1"/>
  <c r="B13538" i="1"/>
  <c r="C13538" i="1"/>
  <c r="E13538" i="1"/>
  <c r="G13538" i="1"/>
  <c r="K13538" i="1"/>
  <c r="A13539" i="1"/>
  <c r="B13539" i="1"/>
  <c r="C13539" i="1"/>
  <c r="E13539" i="1"/>
  <c r="G13539" i="1"/>
  <c r="K13539" i="1"/>
  <c r="A13540" i="1"/>
  <c r="B13540" i="1"/>
  <c r="C13540" i="1"/>
  <c r="E13540" i="1"/>
  <c r="G13540" i="1"/>
  <c r="K13540" i="1"/>
  <c r="A13541" i="1"/>
  <c r="B13541" i="1"/>
  <c r="C13541" i="1"/>
  <c r="E13541" i="1"/>
  <c r="G13541" i="1"/>
  <c r="K13541" i="1"/>
  <c r="A13542" i="1"/>
  <c r="B13542" i="1"/>
  <c r="C13542" i="1"/>
  <c r="E13542" i="1"/>
  <c r="G13542" i="1"/>
  <c r="K13542" i="1"/>
  <c r="A13543" i="1"/>
  <c r="B13543" i="1"/>
  <c r="C13543" i="1"/>
  <c r="E13543" i="1"/>
  <c r="G13543" i="1"/>
  <c r="K13543" i="1"/>
  <c r="A13544" i="1"/>
  <c r="B13544" i="1"/>
  <c r="C13544" i="1"/>
  <c r="E13544" i="1"/>
  <c r="G13544" i="1"/>
  <c r="K13544" i="1"/>
  <c r="A13545" i="1"/>
  <c r="B13545" i="1"/>
  <c r="C13545" i="1"/>
  <c r="E13545" i="1"/>
  <c r="G13545" i="1"/>
  <c r="K13545" i="1"/>
  <c r="A13546" i="1"/>
  <c r="B13546" i="1"/>
  <c r="C13546" i="1"/>
  <c r="E13546" i="1"/>
  <c r="G13546" i="1"/>
  <c r="K13546" i="1"/>
  <c r="A13547" i="1"/>
  <c r="B13547" i="1"/>
  <c r="C13547" i="1"/>
  <c r="E13547" i="1"/>
  <c r="G13547" i="1"/>
  <c r="K13547" i="1"/>
  <c r="A13548" i="1"/>
  <c r="B13548" i="1"/>
  <c r="C13548" i="1"/>
  <c r="E13548" i="1"/>
  <c r="G13548" i="1"/>
  <c r="K13548" i="1"/>
  <c r="A13549" i="1"/>
  <c r="B13549" i="1"/>
  <c r="C13549" i="1"/>
  <c r="E13549" i="1"/>
  <c r="G13549" i="1"/>
  <c r="K13549" i="1"/>
  <c r="A13550" i="1"/>
  <c r="B13550" i="1"/>
  <c r="C13550" i="1"/>
  <c r="E13550" i="1"/>
  <c r="G13550" i="1"/>
  <c r="K13550" i="1"/>
  <c r="A13551" i="1"/>
  <c r="B13551" i="1"/>
  <c r="C13551" i="1"/>
  <c r="E13551" i="1"/>
  <c r="G13551" i="1"/>
  <c r="K13551" i="1"/>
  <c r="A13552" i="1"/>
  <c r="B13552" i="1"/>
  <c r="C13552" i="1"/>
  <c r="E13552" i="1"/>
  <c r="G13552" i="1"/>
  <c r="K13552" i="1"/>
  <c r="A13553" i="1"/>
  <c r="B13553" i="1"/>
  <c r="C13553" i="1"/>
  <c r="E13553" i="1"/>
  <c r="G13553" i="1"/>
  <c r="K13553" i="1"/>
  <c r="A13554" i="1"/>
  <c r="B13554" i="1"/>
  <c r="C13554" i="1"/>
  <c r="E13554" i="1"/>
  <c r="G13554" i="1"/>
  <c r="K13554" i="1"/>
  <c r="A13555" i="1"/>
  <c r="B13555" i="1"/>
  <c r="C13555" i="1"/>
  <c r="E13555" i="1"/>
  <c r="G13555" i="1"/>
  <c r="K13555" i="1"/>
  <c r="A13556" i="1"/>
  <c r="B13556" i="1"/>
  <c r="C13556" i="1"/>
  <c r="E13556" i="1"/>
  <c r="G13556" i="1"/>
  <c r="K13556" i="1"/>
  <c r="A13557" i="1"/>
  <c r="B13557" i="1"/>
  <c r="C13557" i="1"/>
  <c r="E13557" i="1"/>
  <c r="G13557" i="1"/>
  <c r="K13557" i="1"/>
  <c r="A13558" i="1"/>
  <c r="B13558" i="1"/>
  <c r="C13558" i="1"/>
  <c r="E13558" i="1"/>
  <c r="G13558" i="1"/>
  <c r="K13558" i="1"/>
  <c r="A13559" i="1"/>
  <c r="B13559" i="1"/>
  <c r="C13559" i="1"/>
  <c r="E13559" i="1"/>
  <c r="G13559" i="1"/>
  <c r="K13559" i="1"/>
  <c r="A13560" i="1"/>
  <c r="B13560" i="1"/>
  <c r="C13560" i="1"/>
  <c r="E13560" i="1"/>
  <c r="G13560" i="1"/>
  <c r="K13560" i="1"/>
  <c r="A13561" i="1"/>
  <c r="B13561" i="1"/>
  <c r="C13561" i="1"/>
  <c r="E13561" i="1"/>
  <c r="G13561" i="1"/>
  <c r="K13561" i="1"/>
  <c r="A13562" i="1"/>
  <c r="B13562" i="1"/>
  <c r="C13562" i="1"/>
  <c r="E13562" i="1"/>
  <c r="G13562" i="1"/>
  <c r="K13562" i="1"/>
  <c r="A13563" i="1"/>
  <c r="B13563" i="1"/>
  <c r="C13563" i="1"/>
  <c r="E13563" i="1"/>
  <c r="G13563" i="1"/>
  <c r="K13563" i="1"/>
  <c r="A13564" i="1"/>
  <c r="B13564" i="1"/>
  <c r="C13564" i="1"/>
  <c r="E13564" i="1"/>
  <c r="G13564" i="1"/>
  <c r="K13564" i="1"/>
  <c r="A13565" i="1"/>
  <c r="B13565" i="1"/>
  <c r="C13565" i="1"/>
  <c r="E13565" i="1"/>
  <c r="G13565" i="1"/>
  <c r="K13565" i="1"/>
  <c r="A13566" i="1"/>
  <c r="B13566" i="1"/>
  <c r="C13566" i="1"/>
  <c r="E13566" i="1"/>
  <c r="G13566" i="1"/>
  <c r="K13566" i="1"/>
  <c r="A13567" i="1"/>
  <c r="B13567" i="1"/>
  <c r="C13567" i="1"/>
  <c r="E13567" i="1"/>
  <c r="G13567" i="1"/>
  <c r="K13567" i="1"/>
  <c r="A13568" i="1"/>
  <c r="B13568" i="1"/>
  <c r="C13568" i="1"/>
  <c r="E13568" i="1"/>
  <c r="G13568" i="1"/>
  <c r="K13568" i="1"/>
  <c r="A13569" i="1"/>
  <c r="B13569" i="1"/>
  <c r="C13569" i="1"/>
  <c r="E13569" i="1"/>
  <c r="G13569" i="1"/>
  <c r="K13569" i="1"/>
  <c r="A13570" i="1"/>
  <c r="B13570" i="1"/>
  <c r="C13570" i="1"/>
  <c r="E13570" i="1"/>
  <c r="G13570" i="1"/>
  <c r="K13570" i="1"/>
  <c r="A13571" i="1"/>
  <c r="B13571" i="1"/>
  <c r="C13571" i="1"/>
  <c r="E13571" i="1"/>
  <c r="G13571" i="1"/>
  <c r="K13571" i="1"/>
  <c r="A13572" i="1"/>
  <c r="B13572" i="1"/>
  <c r="C13572" i="1"/>
  <c r="E13572" i="1"/>
  <c r="G13572" i="1"/>
  <c r="K13572" i="1"/>
  <c r="A13573" i="1"/>
  <c r="B13573" i="1"/>
  <c r="C13573" i="1"/>
  <c r="E13573" i="1"/>
  <c r="G13573" i="1"/>
  <c r="K13573" i="1"/>
  <c r="A13574" i="1"/>
  <c r="B13574" i="1"/>
  <c r="C13574" i="1"/>
  <c r="E13574" i="1"/>
  <c r="G13574" i="1"/>
  <c r="K13574" i="1"/>
  <c r="A13575" i="1"/>
  <c r="B13575" i="1"/>
  <c r="C13575" i="1"/>
  <c r="E13575" i="1"/>
  <c r="G13575" i="1"/>
  <c r="K13575" i="1"/>
  <c r="A13576" i="1"/>
  <c r="B13576" i="1"/>
  <c r="C13576" i="1"/>
  <c r="E13576" i="1"/>
  <c r="G13576" i="1"/>
  <c r="K13576" i="1"/>
  <c r="A13577" i="1"/>
  <c r="B13577" i="1"/>
  <c r="C13577" i="1"/>
  <c r="E13577" i="1"/>
  <c r="G13577" i="1"/>
  <c r="K13577" i="1"/>
  <c r="A13578" i="1"/>
  <c r="B13578" i="1"/>
  <c r="C13578" i="1"/>
  <c r="E13578" i="1"/>
  <c r="G13578" i="1"/>
  <c r="K13578" i="1"/>
  <c r="A13579" i="1"/>
  <c r="B13579" i="1"/>
  <c r="C13579" i="1"/>
  <c r="E13579" i="1"/>
  <c r="G13579" i="1"/>
  <c r="K13579" i="1"/>
  <c r="A13580" i="1"/>
  <c r="B13580" i="1"/>
  <c r="C13580" i="1"/>
  <c r="E13580" i="1"/>
  <c r="G13580" i="1"/>
  <c r="K13580" i="1"/>
  <c r="A13581" i="1"/>
  <c r="B13581" i="1"/>
  <c r="C13581" i="1"/>
  <c r="E13581" i="1"/>
  <c r="G13581" i="1"/>
  <c r="K13581" i="1"/>
  <c r="A13582" i="1"/>
  <c r="B13582" i="1"/>
  <c r="C13582" i="1"/>
  <c r="E13582" i="1"/>
  <c r="G13582" i="1"/>
  <c r="K13582" i="1"/>
  <c r="A13583" i="1"/>
  <c r="B13583" i="1"/>
  <c r="C13583" i="1"/>
  <c r="E13583" i="1"/>
  <c r="G13583" i="1"/>
  <c r="K13583" i="1"/>
  <c r="A13584" i="1"/>
  <c r="B13584" i="1"/>
  <c r="C13584" i="1"/>
  <c r="E13584" i="1"/>
  <c r="G13584" i="1"/>
  <c r="K13584" i="1"/>
  <c r="A13585" i="1"/>
  <c r="B13585" i="1"/>
  <c r="C13585" i="1"/>
  <c r="E13585" i="1"/>
  <c r="G13585" i="1"/>
  <c r="K13585" i="1"/>
  <c r="A13586" i="1"/>
  <c r="B13586" i="1"/>
  <c r="C13586" i="1"/>
  <c r="E13586" i="1"/>
  <c r="G13586" i="1"/>
  <c r="K13586" i="1"/>
  <c r="A13587" i="1"/>
  <c r="B13587" i="1"/>
  <c r="C13587" i="1"/>
  <c r="E13587" i="1"/>
  <c r="G13587" i="1"/>
  <c r="K13587" i="1"/>
  <c r="A13588" i="1"/>
  <c r="B13588" i="1"/>
  <c r="C13588" i="1"/>
  <c r="E13588" i="1"/>
  <c r="G13588" i="1"/>
  <c r="K13588" i="1"/>
  <c r="A13589" i="1"/>
  <c r="B13589" i="1"/>
  <c r="C13589" i="1"/>
  <c r="E13589" i="1"/>
  <c r="G13589" i="1"/>
  <c r="K13589" i="1"/>
  <c r="A13590" i="1"/>
  <c r="B13590" i="1"/>
  <c r="C13590" i="1"/>
  <c r="E13590" i="1"/>
  <c r="G13590" i="1"/>
  <c r="K13590" i="1"/>
  <c r="A13591" i="1"/>
  <c r="B13591" i="1"/>
  <c r="C13591" i="1"/>
  <c r="E13591" i="1"/>
  <c r="G13591" i="1"/>
  <c r="K13591" i="1"/>
  <c r="A13592" i="1"/>
  <c r="B13592" i="1"/>
  <c r="C13592" i="1"/>
  <c r="E13592" i="1"/>
  <c r="G13592" i="1"/>
  <c r="K13592" i="1"/>
  <c r="A13593" i="1"/>
  <c r="B13593" i="1"/>
  <c r="C13593" i="1"/>
  <c r="E13593" i="1"/>
  <c r="G13593" i="1"/>
  <c r="K13593" i="1"/>
  <c r="A13594" i="1"/>
  <c r="B13594" i="1"/>
  <c r="C13594" i="1"/>
  <c r="E13594" i="1"/>
  <c r="G13594" i="1"/>
  <c r="K13594" i="1"/>
  <c r="A13595" i="1"/>
  <c r="B13595" i="1"/>
  <c r="C13595" i="1"/>
  <c r="E13595" i="1"/>
  <c r="G13595" i="1"/>
  <c r="K13595" i="1"/>
  <c r="A13596" i="1"/>
  <c r="B13596" i="1"/>
  <c r="C13596" i="1"/>
  <c r="E13596" i="1"/>
  <c r="G13596" i="1"/>
  <c r="K13596" i="1"/>
  <c r="A13597" i="1"/>
  <c r="B13597" i="1"/>
  <c r="C13597" i="1"/>
  <c r="E13597" i="1"/>
  <c r="G13597" i="1"/>
  <c r="K13597" i="1"/>
  <c r="A13598" i="1"/>
  <c r="B13598" i="1"/>
  <c r="C13598" i="1"/>
  <c r="E13598" i="1"/>
  <c r="G13598" i="1"/>
  <c r="K13598" i="1"/>
  <c r="A13599" i="1"/>
  <c r="B13599" i="1"/>
  <c r="C13599" i="1"/>
  <c r="E13599" i="1"/>
  <c r="G13599" i="1"/>
  <c r="K13599" i="1"/>
  <c r="A13600" i="1"/>
  <c r="B13600" i="1"/>
  <c r="C13600" i="1"/>
  <c r="E13600" i="1"/>
  <c r="G13600" i="1"/>
  <c r="K13600" i="1"/>
  <c r="A13601" i="1"/>
  <c r="B13601" i="1"/>
  <c r="C13601" i="1"/>
  <c r="E13601" i="1"/>
  <c r="G13601" i="1"/>
  <c r="K13601" i="1"/>
  <c r="A13602" i="1"/>
  <c r="B13602" i="1"/>
  <c r="C13602" i="1"/>
  <c r="E13602" i="1"/>
  <c r="G13602" i="1"/>
  <c r="K13602" i="1"/>
  <c r="A13603" i="1"/>
  <c r="B13603" i="1"/>
  <c r="C13603" i="1"/>
  <c r="E13603" i="1"/>
  <c r="G13603" i="1"/>
  <c r="K13603" i="1"/>
  <c r="A13604" i="1"/>
  <c r="B13604" i="1"/>
  <c r="C13604" i="1"/>
  <c r="E13604" i="1"/>
  <c r="G13604" i="1"/>
  <c r="K13604" i="1"/>
  <c r="A13605" i="1"/>
  <c r="B13605" i="1"/>
  <c r="C13605" i="1"/>
  <c r="E13605" i="1"/>
  <c r="G13605" i="1"/>
  <c r="K13605" i="1"/>
  <c r="A13606" i="1"/>
  <c r="B13606" i="1"/>
  <c r="C13606" i="1"/>
  <c r="E13606" i="1"/>
  <c r="G13606" i="1"/>
  <c r="K13606" i="1"/>
  <c r="A13607" i="1"/>
  <c r="B13607" i="1"/>
  <c r="C13607" i="1"/>
  <c r="E13607" i="1"/>
  <c r="G13607" i="1"/>
  <c r="K13607" i="1"/>
  <c r="A13608" i="1"/>
  <c r="B13608" i="1"/>
  <c r="C13608" i="1"/>
  <c r="E13608" i="1"/>
  <c r="G13608" i="1"/>
  <c r="K13608" i="1"/>
  <c r="A13609" i="1"/>
  <c r="B13609" i="1"/>
  <c r="C13609" i="1"/>
  <c r="E13609" i="1"/>
  <c r="G13609" i="1"/>
  <c r="K13609" i="1"/>
  <c r="A13610" i="1"/>
  <c r="B13610" i="1"/>
  <c r="C13610" i="1"/>
  <c r="E13610" i="1"/>
  <c r="G13610" i="1"/>
  <c r="K13610" i="1"/>
  <c r="A13611" i="1"/>
  <c r="B13611" i="1"/>
  <c r="C13611" i="1"/>
  <c r="E13611" i="1"/>
  <c r="G13611" i="1"/>
  <c r="K13611" i="1"/>
  <c r="A13612" i="1"/>
  <c r="B13612" i="1"/>
  <c r="C13612" i="1"/>
  <c r="E13612" i="1"/>
  <c r="G13612" i="1"/>
  <c r="K13612" i="1"/>
  <c r="A13613" i="1"/>
  <c r="B13613" i="1"/>
  <c r="C13613" i="1"/>
  <c r="E13613" i="1"/>
  <c r="G13613" i="1"/>
  <c r="K13613" i="1"/>
  <c r="A13614" i="1"/>
  <c r="B13614" i="1"/>
  <c r="C13614" i="1"/>
  <c r="E13614" i="1"/>
  <c r="G13614" i="1"/>
  <c r="K13614" i="1"/>
  <c r="A13615" i="1"/>
  <c r="B13615" i="1"/>
  <c r="C13615" i="1"/>
  <c r="E13615" i="1"/>
  <c r="G13615" i="1"/>
  <c r="K13615" i="1"/>
  <c r="A13616" i="1"/>
  <c r="B13616" i="1"/>
  <c r="C13616" i="1"/>
  <c r="E13616" i="1"/>
  <c r="G13616" i="1"/>
  <c r="K13616" i="1"/>
  <c r="A13617" i="1"/>
  <c r="B13617" i="1"/>
  <c r="C13617" i="1"/>
  <c r="E13617" i="1"/>
  <c r="G13617" i="1"/>
  <c r="K13617" i="1"/>
  <c r="A13618" i="1"/>
  <c r="B13618" i="1"/>
  <c r="C13618" i="1"/>
  <c r="E13618" i="1"/>
  <c r="G13618" i="1"/>
  <c r="K13618" i="1"/>
  <c r="A13619" i="1"/>
  <c r="B13619" i="1"/>
  <c r="C13619" i="1"/>
  <c r="E13619" i="1"/>
  <c r="G13619" i="1"/>
  <c r="K13619" i="1"/>
  <c r="A13620" i="1"/>
  <c r="B13620" i="1"/>
  <c r="C13620" i="1"/>
  <c r="E13620" i="1"/>
  <c r="G13620" i="1"/>
  <c r="K13620" i="1"/>
  <c r="A13621" i="1"/>
  <c r="B13621" i="1"/>
  <c r="C13621" i="1"/>
  <c r="E13621" i="1"/>
  <c r="G13621" i="1"/>
  <c r="K13621" i="1"/>
  <c r="A13622" i="1"/>
  <c r="B13622" i="1"/>
  <c r="C13622" i="1"/>
  <c r="E13622" i="1"/>
  <c r="G13622" i="1"/>
  <c r="K13622" i="1"/>
  <c r="A13623" i="1"/>
  <c r="B13623" i="1"/>
  <c r="C13623" i="1"/>
  <c r="E13623" i="1"/>
  <c r="G13623" i="1"/>
  <c r="K13623" i="1"/>
  <c r="A13624" i="1"/>
  <c r="B13624" i="1"/>
  <c r="C13624" i="1"/>
  <c r="E13624" i="1"/>
  <c r="G13624" i="1"/>
  <c r="K13624" i="1"/>
  <c r="A13625" i="1"/>
  <c r="B13625" i="1"/>
  <c r="C13625" i="1"/>
  <c r="E13625" i="1"/>
  <c r="G13625" i="1"/>
  <c r="K13625" i="1"/>
  <c r="A13626" i="1"/>
  <c r="B13626" i="1"/>
  <c r="C13626" i="1"/>
  <c r="E13626" i="1"/>
  <c r="G13626" i="1"/>
  <c r="K13626" i="1"/>
  <c r="A13627" i="1"/>
  <c r="B13627" i="1"/>
  <c r="C13627" i="1"/>
  <c r="E13627" i="1"/>
  <c r="G13627" i="1"/>
  <c r="K13627" i="1"/>
  <c r="A13628" i="1"/>
  <c r="B13628" i="1"/>
  <c r="C13628" i="1"/>
  <c r="E13628" i="1"/>
  <c r="G13628" i="1"/>
  <c r="K13628" i="1"/>
  <c r="A13629" i="1"/>
  <c r="B13629" i="1"/>
  <c r="C13629" i="1"/>
  <c r="E13629" i="1"/>
  <c r="G13629" i="1"/>
  <c r="K13629" i="1"/>
  <c r="A13630" i="1"/>
  <c r="B13630" i="1"/>
  <c r="C13630" i="1"/>
  <c r="E13630" i="1"/>
  <c r="G13630" i="1"/>
  <c r="K13630" i="1"/>
  <c r="A13631" i="1"/>
  <c r="B13631" i="1"/>
  <c r="C13631" i="1"/>
  <c r="E13631" i="1"/>
  <c r="G13631" i="1"/>
  <c r="K13631" i="1"/>
  <c r="A13632" i="1"/>
  <c r="B13632" i="1"/>
  <c r="C13632" i="1"/>
  <c r="E13632" i="1"/>
  <c r="G13632" i="1"/>
  <c r="K13632" i="1"/>
  <c r="A13633" i="1"/>
  <c r="B13633" i="1"/>
  <c r="C13633" i="1"/>
  <c r="E13633" i="1"/>
  <c r="G13633" i="1"/>
  <c r="K13633" i="1"/>
  <c r="A13634" i="1"/>
  <c r="B13634" i="1"/>
  <c r="C13634" i="1"/>
  <c r="E13634" i="1"/>
  <c r="G13634" i="1"/>
  <c r="K13634" i="1"/>
  <c r="A13635" i="1"/>
  <c r="B13635" i="1"/>
  <c r="C13635" i="1"/>
  <c r="E13635" i="1"/>
  <c r="G13635" i="1"/>
  <c r="K13635" i="1"/>
  <c r="A13636" i="1"/>
  <c r="B13636" i="1"/>
  <c r="C13636" i="1"/>
  <c r="E13636" i="1"/>
  <c r="G13636" i="1"/>
  <c r="K13636" i="1"/>
  <c r="A13637" i="1"/>
  <c r="B13637" i="1"/>
  <c r="C13637" i="1"/>
  <c r="E13637" i="1"/>
  <c r="G13637" i="1"/>
  <c r="K13637" i="1"/>
  <c r="A13638" i="1"/>
  <c r="B13638" i="1"/>
  <c r="C13638" i="1"/>
  <c r="E13638" i="1"/>
  <c r="G13638" i="1"/>
  <c r="K13638" i="1"/>
  <c r="A13639" i="1"/>
  <c r="B13639" i="1"/>
  <c r="C13639" i="1"/>
  <c r="E13639" i="1"/>
  <c r="G13639" i="1"/>
  <c r="K13639" i="1"/>
  <c r="A13640" i="1"/>
  <c r="B13640" i="1"/>
  <c r="C13640" i="1"/>
  <c r="E13640" i="1"/>
  <c r="G13640" i="1"/>
  <c r="K13640" i="1"/>
  <c r="A13641" i="1"/>
  <c r="B13641" i="1"/>
  <c r="C13641" i="1"/>
  <c r="E13641" i="1"/>
  <c r="G13641" i="1"/>
  <c r="K13641" i="1"/>
  <c r="A13642" i="1"/>
  <c r="B13642" i="1"/>
  <c r="C13642" i="1"/>
  <c r="E13642" i="1"/>
  <c r="G13642" i="1"/>
  <c r="K13642" i="1"/>
  <c r="A13643" i="1"/>
  <c r="B13643" i="1"/>
  <c r="C13643" i="1"/>
  <c r="E13643" i="1"/>
  <c r="G13643" i="1"/>
  <c r="K13643" i="1"/>
  <c r="A13644" i="1"/>
  <c r="B13644" i="1"/>
  <c r="C13644" i="1"/>
  <c r="E13644" i="1"/>
  <c r="G13644" i="1"/>
  <c r="K13644" i="1"/>
  <c r="A13645" i="1"/>
  <c r="B13645" i="1"/>
  <c r="C13645" i="1"/>
  <c r="E13645" i="1"/>
  <c r="G13645" i="1"/>
  <c r="K13645" i="1"/>
  <c r="A13646" i="1"/>
  <c r="B13646" i="1"/>
  <c r="C13646" i="1"/>
  <c r="E13646" i="1"/>
  <c r="G13646" i="1"/>
  <c r="K13646" i="1"/>
  <c r="A13647" i="1"/>
  <c r="B13647" i="1"/>
  <c r="C13647" i="1"/>
  <c r="E13647" i="1"/>
  <c r="G13647" i="1"/>
  <c r="K13647" i="1"/>
  <c r="A13648" i="1"/>
  <c r="B13648" i="1"/>
  <c r="C13648" i="1"/>
  <c r="E13648" i="1"/>
  <c r="G13648" i="1"/>
  <c r="K13648" i="1"/>
  <c r="A13649" i="1"/>
  <c r="B13649" i="1"/>
  <c r="C13649" i="1"/>
  <c r="E13649" i="1"/>
  <c r="G13649" i="1"/>
  <c r="K13649" i="1"/>
  <c r="A13650" i="1"/>
  <c r="B13650" i="1"/>
  <c r="C13650" i="1"/>
  <c r="E13650" i="1"/>
  <c r="G13650" i="1"/>
  <c r="K13650" i="1"/>
  <c r="A13651" i="1"/>
  <c r="B13651" i="1"/>
  <c r="C13651" i="1"/>
  <c r="E13651" i="1"/>
  <c r="G13651" i="1"/>
  <c r="K13651" i="1"/>
  <c r="A13652" i="1"/>
  <c r="B13652" i="1"/>
  <c r="C13652" i="1"/>
  <c r="E13652" i="1"/>
  <c r="G13652" i="1"/>
  <c r="K13652" i="1"/>
  <c r="A13653" i="1"/>
  <c r="B13653" i="1"/>
  <c r="C13653" i="1"/>
  <c r="E13653" i="1"/>
  <c r="G13653" i="1"/>
  <c r="K13653" i="1"/>
  <c r="A13654" i="1"/>
  <c r="B13654" i="1"/>
  <c r="C13654" i="1"/>
  <c r="E13654" i="1"/>
  <c r="G13654" i="1"/>
  <c r="K13654" i="1"/>
  <c r="A13655" i="1"/>
  <c r="B13655" i="1"/>
  <c r="C13655" i="1"/>
  <c r="E13655" i="1"/>
  <c r="G13655" i="1"/>
  <c r="K13655" i="1"/>
  <c r="A13656" i="1"/>
  <c r="B13656" i="1"/>
  <c r="C13656" i="1"/>
  <c r="E13656" i="1"/>
  <c r="G13656" i="1"/>
  <c r="K13656" i="1"/>
  <c r="A13657" i="1"/>
  <c r="B13657" i="1"/>
  <c r="C13657" i="1"/>
  <c r="E13657" i="1"/>
  <c r="G13657" i="1"/>
  <c r="K13657" i="1"/>
  <c r="A13658" i="1"/>
  <c r="B13658" i="1"/>
  <c r="C13658" i="1"/>
  <c r="E13658" i="1"/>
  <c r="G13658" i="1"/>
  <c r="K13658" i="1"/>
  <c r="A13659" i="1"/>
  <c r="B13659" i="1"/>
  <c r="C13659" i="1"/>
  <c r="E13659" i="1"/>
  <c r="G13659" i="1"/>
  <c r="K13659" i="1"/>
  <c r="A13660" i="1"/>
  <c r="B13660" i="1"/>
  <c r="C13660" i="1"/>
  <c r="E13660" i="1"/>
  <c r="G13660" i="1"/>
  <c r="K13660" i="1"/>
  <c r="A13661" i="1"/>
  <c r="B13661" i="1"/>
  <c r="C13661" i="1"/>
  <c r="E13661" i="1"/>
  <c r="G13661" i="1"/>
  <c r="K13661" i="1"/>
  <c r="A13662" i="1"/>
  <c r="B13662" i="1"/>
  <c r="C13662" i="1"/>
  <c r="E13662" i="1"/>
  <c r="G13662" i="1"/>
  <c r="K13662" i="1"/>
  <c r="A13663" i="1"/>
  <c r="B13663" i="1"/>
  <c r="C13663" i="1"/>
  <c r="E13663" i="1"/>
  <c r="G13663" i="1"/>
  <c r="K13663" i="1"/>
  <c r="A13664" i="1"/>
  <c r="B13664" i="1"/>
  <c r="C13664" i="1"/>
  <c r="E13664" i="1"/>
  <c r="G13664" i="1"/>
  <c r="K13664" i="1"/>
  <c r="A13665" i="1"/>
  <c r="B13665" i="1"/>
  <c r="C13665" i="1"/>
  <c r="E13665" i="1"/>
  <c r="G13665" i="1"/>
  <c r="K13665" i="1"/>
  <c r="A13666" i="1"/>
  <c r="B13666" i="1"/>
  <c r="C13666" i="1"/>
  <c r="E13666" i="1"/>
  <c r="G13666" i="1"/>
  <c r="K13666" i="1"/>
  <c r="A13667" i="1"/>
  <c r="B13667" i="1"/>
  <c r="C13667" i="1"/>
  <c r="E13667" i="1"/>
  <c r="G13667" i="1"/>
  <c r="K13667" i="1"/>
  <c r="A13668" i="1"/>
  <c r="B13668" i="1"/>
  <c r="C13668" i="1"/>
  <c r="E13668" i="1"/>
  <c r="G13668" i="1"/>
  <c r="K13668" i="1"/>
  <c r="A13669" i="1"/>
  <c r="B13669" i="1"/>
  <c r="C13669" i="1"/>
  <c r="E13669" i="1"/>
  <c r="G13669" i="1"/>
  <c r="K13669" i="1"/>
  <c r="A13670" i="1"/>
  <c r="B13670" i="1"/>
  <c r="C13670" i="1"/>
  <c r="E13670" i="1"/>
  <c r="G13670" i="1"/>
  <c r="K13670" i="1"/>
  <c r="A13671" i="1"/>
  <c r="B13671" i="1"/>
  <c r="C13671" i="1"/>
  <c r="E13671" i="1"/>
  <c r="G13671" i="1"/>
  <c r="K13671" i="1"/>
  <c r="A13672" i="1"/>
  <c r="B13672" i="1"/>
  <c r="C13672" i="1"/>
  <c r="E13672" i="1"/>
  <c r="G13672" i="1"/>
  <c r="K13672" i="1"/>
  <c r="A13673" i="1"/>
  <c r="B13673" i="1"/>
  <c r="C13673" i="1"/>
  <c r="E13673" i="1"/>
  <c r="G13673" i="1"/>
  <c r="K13673" i="1"/>
  <c r="A13674" i="1"/>
  <c r="B13674" i="1"/>
  <c r="C13674" i="1"/>
  <c r="E13674" i="1"/>
  <c r="G13674" i="1"/>
  <c r="K13674" i="1"/>
  <c r="A13675" i="1"/>
  <c r="B13675" i="1"/>
  <c r="C13675" i="1"/>
  <c r="E13675" i="1"/>
  <c r="G13675" i="1"/>
  <c r="K13675" i="1"/>
  <c r="A13676" i="1"/>
  <c r="B13676" i="1"/>
  <c r="C13676" i="1"/>
  <c r="E13676" i="1"/>
  <c r="G13676" i="1"/>
  <c r="K13676" i="1"/>
  <c r="A13677" i="1"/>
  <c r="B13677" i="1"/>
  <c r="C13677" i="1"/>
  <c r="E13677" i="1"/>
  <c r="G13677" i="1"/>
  <c r="K13677" i="1"/>
  <c r="A13678" i="1"/>
  <c r="B13678" i="1"/>
  <c r="C13678" i="1"/>
  <c r="E13678" i="1"/>
  <c r="G13678" i="1"/>
  <c r="K13678" i="1"/>
  <c r="A13679" i="1"/>
  <c r="B13679" i="1"/>
  <c r="C13679" i="1"/>
  <c r="E13679" i="1"/>
  <c r="G13679" i="1"/>
  <c r="K13679" i="1"/>
  <c r="A13680" i="1"/>
  <c r="B13680" i="1"/>
  <c r="C13680" i="1"/>
  <c r="E13680" i="1"/>
  <c r="G13680" i="1"/>
  <c r="K13680" i="1"/>
  <c r="A13681" i="1"/>
  <c r="B13681" i="1"/>
  <c r="C13681" i="1"/>
  <c r="E13681" i="1"/>
  <c r="G13681" i="1"/>
  <c r="K13681" i="1"/>
  <c r="A13682" i="1"/>
  <c r="B13682" i="1"/>
  <c r="C13682" i="1"/>
  <c r="E13682" i="1"/>
  <c r="G13682" i="1"/>
  <c r="K13682" i="1"/>
  <c r="A13683" i="1"/>
  <c r="B13683" i="1"/>
  <c r="C13683" i="1"/>
  <c r="E13683" i="1"/>
  <c r="G13683" i="1"/>
  <c r="K13683" i="1"/>
  <c r="A13684" i="1"/>
  <c r="B13684" i="1"/>
  <c r="C13684" i="1"/>
  <c r="E13684" i="1"/>
  <c r="G13684" i="1"/>
  <c r="K13684" i="1"/>
  <c r="A13685" i="1"/>
  <c r="B13685" i="1"/>
  <c r="C13685" i="1"/>
  <c r="E13685" i="1"/>
  <c r="G13685" i="1"/>
  <c r="K13685" i="1"/>
  <c r="A13686" i="1"/>
  <c r="B13686" i="1"/>
  <c r="C13686" i="1"/>
  <c r="E13686" i="1"/>
  <c r="G13686" i="1"/>
  <c r="K13686" i="1"/>
  <c r="A13687" i="1"/>
  <c r="B13687" i="1"/>
  <c r="C13687" i="1"/>
  <c r="E13687" i="1"/>
  <c r="G13687" i="1"/>
  <c r="K13687" i="1"/>
  <c r="A13688" i="1"/>
  <c r="B13688" i="1"/>
  <c r="C13688" i="1"/>
  <c r="E13688" i="1"/>
  <c r="G13688" i="1"/>
  <c r="K13688" i="1"/>
  <c r="A13689" i="1"/>
  <c r="B13689" i="1"/>
  <c r="C13689" i="1"/>
  <c r="E13689" i="1"/>
  <c r="G13689" i="1"/>
  <c r="K13689" i="1"/>
  <c r="A13690" i="1"/>
  <c r="B13690" i="1"/>
  <c r="C13690" i="1"/>
  <c r="E13690" i="1"/>
  <c r="G13690" i="1"/>
  <c r="K13690" i="1"/>
  <c r="A13691" i="1"/>
  <c r="B13691" i="1"/>
  <c r="C13691" i="1"/>
  <c r="E13691" i="1"/>
  <c r="G13691" i="1"/>
  <c r="K13691" i="1"/>
  <c r="A13692" i="1"/>
  <c r="B13692" i="1"/>
  <c r="C13692" i="1"/>
  <c r="E13692" i="1"/>
  <c r="G13692" i="1"/>
  <c r="K13692" i="1"/>
  <c r="A13693" i="1"/>
  <c r="B13693" i="1"/>
  <c r="C13693" i="1"/>
  <c r="E13693" i="1"/>
  <c r="G13693" i="1"/>
  <c r="K13693" i="1"/>
  <c r="A13694" i="1"/>
  <c r="B13694" i="1"/>
  <c r="C13694" i="1"/>
  <c r="E13694" i="1"/>
  <c r="G13694" i="1"/>
  <c r="K13694" i="1"/>
  <c r="A13695" i="1"/>
  <c r="B13695" i="1"/>
  <c r="C13695" i="1"/>
  <c r="E13695" i="1"/>
  <c r="G13695" i="1"/>
  <c r="K13695" i="1"/>
  <c r="A13696" i="1"/>
  <c r="B13696" i="1"/>
  <c r="C13696" i="1"/>
  <c r="E13696" i="1"/>
  <c r="G13696" i="1"/>
  <c r="K13696" i="1"/>
  <c r="A13697" i="1"/>
  <c r="B13697" i="1"/>
  <c r="C13697" i="1"/>
  <c r="E13697" i="1"/>
  <c r="G13697" i="1"/>
  <c r="K13697" i="1"/>
  <c r="A13698" i="1"/>
  <c r="B13698" i="1"/>
  <c r="C13698" i="1"/>
  <c r="E13698" i="1"/>
  <c r="G13698" i="1"/>
  <c r="K13698" i="1"/>
  <c r="A13699" i="1"/>
  <c r="B13699" i="1"/>
  <c r="C13699" i="1"/>
  <c r="E13699" i="1"/>
  <c r="G13699" i="1"/>
  <c r="K13699" i="1"/>
  <c r="A13700" i="1"/>
  <c r="B13700" i="1"/>
  <c r="C13700" i="1"/>
  <c r="E13700" i="1"/>
  <c r="G13700" i="1"/>
  <c r="K13700" i="1"/>
  <c r="A13701" i="1"/>
  <c r="B13701" i="1"/>
  <c r="C13701" i="1"/>
  <c r="E13701" i="1"/>
  <c r="G13701" i="1"/>
  <c r="K13701" i="1"/>
  <c r="A13702" i="1"/>
  <c r="B13702" i="1"/>
  <c r="C13702" i="1"/>
  <c r="E13702" i="1"/>
  <c r="G13702" i="1"/>
  <c r="K13702" i="1"/>
  <c r="A13703" i="1"/>
  <c r="B13703" i="1"/>
  <c r="C13703" i="1"/>
  <c r="E13703" i="1"/>
  <c r="G13703" i="1"/>
  <c r="K13703" i="1"/>
  <c r="A13704" i="1"/>
  <c r="B13704" i="1"/>
  <c r="C13704" i="1"/>
  <c r="E13704" i="1"/>
  <c r="G13704" i="1"/>
  <c r="K13704" i="1"/>
  <c r="A13705" i="1"/>
  <c r="B13705" i="1"/>
  <c r="C13705" i="1"/>
  <c r="E13705" i="1"/>
  <c r="G13705" i="1"/>
  <c r="K13705" i="1"/>
  <c r="A13706" i="1"/>
  <c r="B13706" i="1"/>
  <c r="C13706" i="1"/>
  <c r="E13706" i="1"/>
  <c r="G13706" i="1"/>
  <c r="K13706" i="1"/>
  <c r="A13707" i="1"/>
  <c r="B13707" i="1"/>
  <c r="C13707" i="1"/>
  <c r="E13707" i="1"/>
  <c r="G13707" i="1"/>
  <c r="K13707" i="1"/>
  <c r="A13708" i="1"/>
  <c r="B13708" i="1"/>
  <c r="C13708" i="1"/>
  <c r="E13708" i="1"/>
  <c r="G13708" i="1"/>
  <c r="K13708" i="1"/>
  <c r="A13709" i="1"/>
  <c r="B13709" i="1"/>
  <c r="C13709" i="1"/>
  <c r="E13709" i="1"/>
  <c r="G13709" i="1"/>
  <c r="K13709" i="1"/>
  <c r="A13710" i="1"/>
  <c r="B13710" i="1"/>
  <c r="C13710" i="1"/>
  <c r="E13710" i="1"/>
  <c r="G13710" i="1"/>
  <c r="K13710" i="1"/>
  <c r="A13711" i="1"/>
  <c r="B13711" i="1"/>
  <c r="C13711" i="1"/>
  <c r="E13711" i="1"/>
  <c r="G13711" i="1"/>
  <c r="K13711" i="1"/>
  <c r="A13712" i="1"/>
  <c r="B13712" i="1"/>
  <c r="C13712" i="1"/>
  <c r="E13712" i="1"/>
  <c r="G13712" i="1"/>
  <c r="K13712" i="1"/>
  <c r="A13713" i="1"/>
  <c r="B13713" i="1"/>
  <c r="C13713" i="1"/>
  <c r="E13713" i="1"/>
  <c r="G13713" i="1"/>
  <c r="K13713" i="1"/>
  <c r="A13714" i="1"/>
  <c r="B13714" i="1"/>
  <c r="C13714" i="1"/>
  <c r="E13714" i="1"/>
  <c r="G13714" i="1"/>
  <c r="K13714" i="1"/>
  <c r="A13715" i="1"/>
  <c r="B13715" i="1"/>
  <c r="C13715" i="1"/>
  <c r="E13715" i="1"/>
  <c r="G13715" i="1"/>
  <c r="K13715" i="1"/>
  <c r="A13716" i="1"/>
  <c r="B13716" i="1"/>
  <c r="C13716" i="1"/>
  <c r="E13716" i="1"/>
  <c r="G13716" i="1"/>
  <c r="K13716" i="1"/>
  <c r="A13717" i="1"/>
  <c r="B13717" i="1"/>
  <c r="C13717" i="1"/>
  <c r="E13717" i="1"/>
  <c r="G13717" i="1"/>
  <c r="K13717" i="1"/>
  <c r="A13718" i="1"/>
  <c r="B13718" i="1"/>
  <c r="C13718" i="1"/>
  <c r="E13718" i="1"/>
  <c r="G13718" i="1"/>
  <c r="K13718" i="1"/>
  <c r="A13719" i="1"/>
  <c r="B13719" i="1"/>
  <c r="C13719" i="1"/>
  <c r="E13719" i="1"/>
  <c r="G13719" i="1"/>
  <c r="K13719" i="1"/>
  <c r="A13720" i="1"/>
  <c r="B13720" i="1"/>
  <c r="C13720" i="1"/>
  <c r="E13720" i="1"/>
  <c r="G13720" i="1"/>
  <c r="K13720" i="1"/>
  <c r="A13721" i="1"/>
  <c r="B13721" i="1"/>
  <c r="C13721" i="1"/>
  <c r="E13721" i="1"/>
  <c r="G13721" i="1"/>
  <c r="K13721" i="1"/>
  <c r="A13722" i="1"/>
  <c r="B13722" i="1"/>
  <c r="C13722" i="1"/>
  <c r="E13722" i="1"/>
  <c r="G13722" i="1"/>
  <c r="K13722" i="1"/>
  <c r="A13723" i="1"/>
  <c r="B13723" i="1"/>
  <c r="C13723" i="1"/>
  <c r="E13723" i="1"/>
  <c r="G13723" i="1"/>
  <c r="K13723" i="1"/>
  <c r="A13724" i="1"/>
  <c r="B13724" i="1"/>
  <c r="C13724" i="1"/>
  <c r="E13724" i="1"/>
  <c r="G13724" i="1"/>
  <c r="K13724" i="1"/>
  <c r="A13725" i="1"/>
  <c r="B13725" i="1"/>
  <c r="C13725" i="1"/>
  <c r="E13725" i="1"/>
  <c r="G13725" i="1"/>
  <c r="K13725" i="1"/>
  <c r="A13726" i="1"/>
  <c r="B13726" i="1"/>
  <c r="C13726" i="1"/>
  <c r="E13726" i="1"/>
  <c r="G13726" i="1"/>
  <c r="K13726" i="1"/>
  <c r="A13727" i="1"/>
  <c r="B13727" i="1"/>
  <c r="C13727" i="1"/>
  <c r="E13727" i="1"/>
  <c r="G13727" i="1"/>
  <c r="K13727" i="1"/>
  <c r="A13728" i="1"/>
  <c r="B13728" i="1"/>
  <c r="C13728" i="1"/>
  <c r="E13728" i="1"/>
  <c r="G13728" i="1"/>
  <c r="K13728" i="1"/>
  <c r="A13729" i="1"/>
  <c r="B13729" i="1"/>
  <c r="C13729" i="1"/>
  <c r="E13729" i="1"/>
  <c r="G13729" i="1"/>
  <c r="K13729" i="1"/>
  <c r="A13730" i="1"/>
  <c r="B13730" i="1"/>
  <c r="C13730" i="1"/>
  <c r="E13730" i="1"/>
  <c r="G13730" i="1"/>
  <c r="K13730" i="1"/>
  <c r="A13731" i="1"/>
  <c r="B13731" i="1"/>
  <c r="C13731" i="1"/>
  <c r="E13731" i="1"/>
  <c r="G13731" i="1"/>
  <c r="K13731" i="1"/>
  <c r="A13732" i="1"/>
  <c r="B13732" i="1"/>
  <c r="C13732" i="1"/>
  <c r="E13732" i="1"/>
  <c r="G13732" i="1"/>
  <c r="K13732" i="1"/>
  <c r="A13733" i="1"/>
  <c r="B13733" i="1"/>
  <c r="C13733" i="1"/>
  <c r="E13733" i="1"/>
  <c r="G13733" i="1"/>
  <c r="K13733" i="1"/>
  <c r="A13734" i="1"/>
  <c r="B13734" i="1"/>
  <c r="C13734" i="1"/>
  <c r="E13734" i="1"/>
  <c r="G13734" i="1"/>
  <c r="K13734" i="1"/>
  <c r="A13735" i="1"/>
  <c r="B13735" i="1"/>
  <c r="C13735" i="1"/>
  <c r="E13735" i="1"/>
  <c r="G13735" i="1"/>
  <c r="K13735" i="1"/>
  <c r="A13736" i="1"/>
  <c r="B13736" i="1"/>
  <c r="C13736" i="1"/>
  <c r="E13736" i="1"/>
  <c r="G13736" i="1"/>
  <c r="K13736" i="1"/>
  <c r="A13737" i="1"/>
  <c r="B13737" i="1"/>
  <c r="C13737" i="1"/>
  <c r="E13737" i="1"/>
  <c r="G13737" i="1"/>
  <c r="K13737" i="1"/>
  <c r="A13738" i="1"/>
  <c r="B13738" i="1"/>
  <c r="C13738" i="1"/>
  <c r="E13738" i="1"/>
  <c r="G13738" i="1"/>
  <c r="K13738" i="1"/>
  <c r="A13739" i="1"/>
  <c r="B13739" i="1"/>
  <c r="C13739" i="1"/>
  <c r="E13739" i="1"/>
  <c r="G13739" i="1"/>
  <c r="K13739" i="1"/>
  <c r="A13740" i="1"/>
  <c r="B13740" i="1"/>
  <c r="C13740" i="1"/>
  <c r="E13740" i="1"/>
  <c r="G13740" i="1"/>
  <c r="K13740" i="1"/>
  <c r="A13741" i="1"/>
  <c r="B13741" i="1"/>
  <c r="C13741" i="1"/>
  <c r="E13741" i="1"/>
  <c r="G13741" i="1"/>
  <c r="K13741" i="1"/>
  <c r="A13742" i="1"/>
  <c r="B13742" i="1"/>
  <c r="C13742" i="1"/>
  <c r="E13742" i="1"/>
  <c r="G13742" i="1"/>
  <c r="K13742" i="1"/>
  <c r="A13743" i="1"/>
  <c r="B13743" i="1"/>
  <c r="C13743" i="1"/>
  <c r="E13743" i="1"/>
  <c r="G13743" i="1"/>
  <c r="K13743" i="1"/>
  <c r="A13744" i="1"/>
  <c r="B13744" i="1"/>
  <c r="C13744" i="1"/>
  <c r="E13744" i="1"/>
  <c r="G13744" i="1"/>
  <c r="K13744" i="1"/>
  <c r="A13745" i="1"/>
  <c r="B13745" i="1"/>
  <c r="C13745" i="1"/>
  <c r="E13745" i="1"/>
  <c r="G13745" i="1"/>
  <c r="K13745" i="1"/>
  <c r="A13746" i="1"/>
  <c r="B13746" i="1"/>
  <c r="C13746" i="1"/>
  <c r="E13746" i="1"/>
  <c r="G13746" i="1"/>
  <c r="K13746" i="1"/>
  <c r="A13747" i="1"/>
  <c r="B13747" i="1"/>
  <c r="C13747" i="1"/>
  <c r="E13747" i="1"/>
  <c r="G13747" i="1"/>
  <c r="K13747" i="1"/>
  <c r="A13748" i="1"/>
  <c r="B13748" i="1"/>
  <c r="C13748" i="1"/>
  <c r="E13748" i="1"/>
  <c r="G13748" i="1"/>
  <c r="K13748" i="1"/>
  <c r="A13749" i="1"/>
  <c r="B13749" i="1"/>
  <c r="C13749" i="1"/>
  <c r="E13749" i="1"/>
  <c r="G13749" i="1"/>
  <c r="K13749" i="1"/>
  <c r="A13750" i="1"/>
  <c r="B13750" i="1"/>
  <c r="C13750" i="1"/>
  <c r="E13750" i="1"/>
  <c r="G13750" i="1"/>
  <c r="K13750" i="1"/>
  <c r="A13751" i="1"/>
  <c r="B13751" i="1"/>
  <c r="C13751" i="1"/>
  <c r="E13751" i="1"/>
  <c r="G13751" i="1"/>
  <c r="K13751" i="1"/>
  <c r="A13752" i="1"/>
  <c r="B13752" i="1"/>
  <c r="C13752" i="1"/>
  <c r="E13752" i="1"/>
  <c r="G13752" i="1"/>
  <c r="K13752" i="1"/>
  <c r="A13753" i="1"/>
  <c r="B13753" i="1"/>
  <c r="C13753" i="1"/>
  <c r="E13753" i="1"/>
  <c r="G13753" i="1"/>
  <c r="K13753" i="1"/>
  <c r="A13754" i="1"/>
  <c r="B13754" i="1"/>
  <c r="C13754" i="1"/>
  <c r="E13754" i="1"/>
  <c r="G13754" i="1"/>
  <c r="K13754" i="1"/>
  <c r="A13755" i="1"/>
  <c r="B13755" i="1"/>
  <c r="C13755" i="1"/>
  <c r="E13755" i="1"/>
  <c r="G13755" i="1"/>
  <c r="K13755" i="1"/>
  <c r="A13756" i="1"/>
  <c r="B13756" i="1"/>
  <c r="C13756" i="1"/>
  <c r="E13756" i="1"/>
  <c r="G13756" i="1"/>
  <c r="K13756" i="1"/>
  <c r="A13757" i="1"/>
  <c r="B13757" i="1"/>
  <c r="C13757" i="1"/>
  <c r="E13757" i="1"/>
  <c r="G13757" i="1"/>
  <c r="K13757" i="1"/>
  <c r="A13758" i="1"/>
  <c r="B13758" i="1"/>
  <c r="C13758" i="1"/>
  <c r="E13758" i="1"/>
  <c r="G13758" i="1"/>
  <c r="K13758" i="1"/>
  <c r="A13759" i="1"/>
  <c r="B13759" i="1"/>
  <c r="C13759" i="1"/>
  <c r="E13759" i="1"/>
  <c r="G13759" i="1"/>
  <c r="K13759" i="1"/>
  <c r="A13760" i="1"/>
  <c r="B13760" i="1"/>
  <c r="C13760" i="1"/>
  <c r="E13760" i="1"/>
  <c r="G13760" i="1"/>
  <c r="K13760" i="1"/>
  <c r="A13761" i="1"/>
  <c r="B13761" i="1"/>
  <c r="C13761" i="1"/>
  <c r="E13761" i="1"/>
  <c r="G13761" i="1"/>
  <c r="K13761" i="1"/>
  <c r="A13762" i="1"/>
  <c r="B13762" i="1"/>
  <c r="C13762" i="1"/>
  <c r="E13762" i="1"/>
  <c r="G13762" i="1"/>
  <c r="K13762" i="1"/>
  <c r="A13763" i="1"/>
  <c r="B13763" i="1"/>
  <c r="C13763" i="1"/>
  <c r="E13763" i="1"/>
  <c r="G13763" i="1"/>
  <c r="K13763" i="1"/>
  <c r="A13764" i="1"/>
  <c r="B13764" i="1"/>
  <c r="C13764" i="1"/>
  <c r="E13764" i="1"/>
  <c r="G13764" i="1"/>
  <c r="K13764" i="1"/>
  <c r="A13765" i="1"/>
  <c r="B13765" i="1"/>
  <c r="C13765" i="1"/>
  <c r="E13765" i="1"/>
  <c r="G13765" i="1"/>
  <c r="K13765" i="1"/>
  <c r="A13766" i="1"/>
  <c r="B13766" i="1"/>
  <c r="C13766" i="1"/>
  <c r="E13766" i="1"/>
  <c r="G13766" i="1"/>
  <c r="K13766" i="1"/>
  <c r="A13767" i="1"/>
  <c r="B13767" i="1"/>
  <c r="C13767" i="1"/>
  <c r="E13767" i="1"/>
  <c r="G13767" i="1"/>
  <c r="K13767" i="1"/>
  <c r="A13768" i="1"/>
  <c r="B13768" i="1"/>
  <c r="C13768" i="1"/>
  <c r="E13768" i="1"/>
  <c r="G13768" i="1"/>
  <c r="K13768" i="1"/>
  <c r="A13769" i="1"/>
  <c r="B13769" i="1"/>
  <c r="C13769" i="1"/>
  <c r="E13769" i="1"/>
  <c r="G13769" i="1"/>
  <c r="K13769" i="1"/>
  <c r="A13770" i="1"/>
  <c r="B13770" i="1"/>
  <c r="C13770" i="1"/>
  <c r="E13770" i="1"/>
  <c r="G13770" i="1"/>
  <c r="K13770" i="1"/>
  <c r="A13771" i="1"/>
  <c r="B13771" i="1"/>
  <c r="C13771" i="1"/>
  <c r="E13771" i="1"/>
  <c r="G13771" i="1"/>
  <c r="K13771" i="1"/>
  <c r="A13772" i="1"/>
  <c r="B13772" i="1"/>
  <c r="C13772" i="1"/>
  <c r="E13772" i="1"/>
  <c r="G13772" i="1"/>
  <c r="K13772" i="1"/>
  <c r="A13773" i="1"/>
  <c r="B13773" i="1"/>
  <c r="C13773" i="1"/>
  <c r="E13773" i="1"/>
  <c r="G13773" i="1"/>
  <c r="K13773" i="1"/>
  <c r="A13774" i="1"/>
  <c r="B13774" i="1"/>
  <c r="C13774" i="1"/>
  <c r="E13774" i="1"/>
  <c r="G13774" i="1"/>
  <c r="K13774" i="1"/>
  <c r="A13775" i="1"/>
  <c r="B13775" i="1"/>
  <c r="C13775" i="1"/>
  <c r="E13775" i="1"/>
  <c r="G13775" i="1"/>
  <c r="K13775" i="1"/>
  <c r="A13776" i="1"/>
  <c r="B13776" i="1"/>
  <c r="C13776" i="1"/>
  <c r="E13776" i="1"/>
  <c r="G13776" i="1"/>
  <c r="K13776" i="1"/>
  <c r="A13777" i="1"/>
  <c r="B13777" i="1"/>
  <c r="C13777" i="1"/>
  <c r="E13777" i="1"/>
  <c r="G13777" i="1"/>
  <c r="K13777" i="1"/>
  <c r="A13778" i="1"/>
  <c r="B13778" i="1"/>
  <c r="C13778" i="1"/>
  <c r="E13778" i="1"/>
  <c r="G13778" i="1"/>
  <c r="K13778" i="1"/>
  <c r="A13779" i="1"/>
  <c r="B13779" i="1"/>
  <c r="C13779" i="1"/>
  <c r="E13779" i="1"/>
  <c r="G13779" i="1"/>
  <c r="K13779" i="1"/>
  <c r="A13780" i="1"/>
  <c r="B13780" i="1"/>
  <c r="C13780" i="1"/>
  <c r="E13780" i="1"/>
  <c r="G13780" i="1"/>
  <c r="K13780" i="1"/>
  <c r="A13781" i="1"/>
  <c r="B13781" i="1"/>
  <c r="C13781" i="1"/>
  <c r="E13781" i="1"/>
  <c r="G13781" i="1"/>
  <c r="K13781" i="1"/>
  <c r="A13782" i="1"/>
  <c r="B13782" i="1"/>
  <c r="C13782" i="1"/>
  <c r="E13782" i="1"/>
  <c r="G13782" i="1"/>
  <c r="K13782" i="1"/>
  <c r="A13783" i="1"/>
  <c r="B13783" i="1"/>
  <c r="C13783" i="1"/>
  <c r="E13783" i="1"/>
  <c r="G13783" i="1"/>
  <c r="K13783" i="1"/>
  <c r="A13784" i="1"/>
  <c r="B13784" i="1"/>
  <c r="C13784" i="1"/>
  <c r="E13784" i="1"/>
  <c r="G13784" i="1"/>
  <c r="K13784" i="1"/>
  <c r="A13785" i="1"/>
  <c r="B13785" i="1"/>
  <c r="C13785" i="1"/>
  <c r="E13785" i="1"/>
  <c r="G13785" i="1"/>
  <c r="K13785" i="1"/>
  <c r="A13786" i="1"/>
  <c r="B13786" i="1"/>
  <c r="C13786" i="1"/>
  <c r="E13786" i="1"/>
  <c r="G13786" i="1"/>
  <c r="K13786" i="1"/>
  <c r="A13787" i="1"/>
  <c r="B13787" i="1"/>
  <c r="C13787" i="1"/>
  <c r="E13787" i="1"/>
  <c r="G13787" i="1"/>
  <c r="K13787" i="1"/>
  <c r="A13788" i="1"/>
  <c r="B13788" i="1"/>
  <c r="C13788" i="1"/>
  <c r="E13788" i="1"/>
  <c r="G13788" i="1"/>
  <c r="K13788" i="1"/>
  <c r="A13789" i="1"/>
  <c r="B13789" i="1"/>
  <c r="C13789" i="1"/>
  <c r="E13789" i="1"/>
  <c r="G13789" i="1"/>
  <c r="K13789" i="1"/>
  <c r="A13790" i="1"/>
  <c r="B13790" i="1"/>
  <c r="C13790" i="1"/>
  <c r="E13790" i="1"/>
  <c r="G13790" i="1"/>
  <c r="K13790" i="1"/>
  <c r="A13791" i="1"/>
  <c r="B13791" i="1"/>
  <c r="C13791" i="1"/>
  <c r="E13791" i="1"/>
  <c r="G13791" i="1"/>
  <c r="K13791" i="1"/>
  <c r="A13792" i="1"/>
  <c r="B13792" i="1"/>
  <c r="C13792" i="1"/>
  <c r="E13792" i="1"/>
  <c r="G13792" i="1"/>
  <c r="K13792" i="1"/>
  <c r="A13793" i="1"/>
  <c r="B13793" i="1"/>
  <c r="C13793" i="1"/>
  <c r="E13793" i="1"/>
  <c r="G13793" i="1"/>
  <c r="K13793" i="1"/>
  <c r="A13794" i="1"/>
  <c r="B13794" i="1"/>
  <c r="C13794" i="1"/>
  <c r="E13794" i="1"/>
  <c r="G13794" i="1"/>
  <c r="K13794" i="1"/>
  <c r="A13795" i="1"/>
  <c r="B13795" i="1"/>
  <c r="C13795" i="1"/>
  <c r="E13795" i="1"/>
  <c r="G13795" i="1"/>
  <c r="K13795" i="1"/>
  <c r="A13796" i="1"/>
  <c r="B13796" i="1"/>
  <c r="C13796" i="1"/>
  <c r="E13796" i="1"/>
  <c r="G13796" i="1"/>
  <c r="K13796" i="1"/>
  <c r="A13797" i="1"/>
  <c r="B13797" i="1"/>
  <c r="C13797" i="1"/>
  <c r="E13797" i="1"/>
  <c r="G13797" i="1"/>
  <c r="K13797" i="1"/>
  <c r="A13798" i="1"/>
  <c r="B13798" i="1"/>
  <c r="C13798" i="1"/>
  <c r="E13798" i="1"/>
  <c r="G13798" i="1"/>
  <c r="K13798" i="1"/>
  <c r="A13799" i="1"/>
  <c r="B13799" i="1"/>
  <c r="C13799" i="1"/>
  <c r="E13799" i="1"/>
  <c r="G13799" i="1"/>
  <c r="K13799" i="1"/>
  <c r="A13800" i="1"/>
  <c r="B13800" i="1"/>
  <c r="C13800" i="1"/>
  <c r="E13800" i="1"/>
  <c r="G13800" i="1"/>
  <c r="K13800" i="1"/>
  <c r="A13801" i="1"/>
  <c r="B13801" i="1"/>
  <c r="C13801" i="1"/>
  <c r="E13801" i="1"/>
  <c r="G13801" i="1"/>
  <c r="K13801" i="1"/>
  <c r="A13802" i="1"/>
  <c r="B13802" i="1"/>
  <c r="C13802" i="1"/>
  <c r="E13802" i="1"/>
  <c r="G13802" i="1"/>
  <c r="K13802" i="1"/>
  <c r="A13803" i="1"/>
  <c r="B13803" i="1"/>
  <c r="C13803" i="1"/>
  <c r="E13803" i="1"/>
  <c r="G13803" i="1"/>
  <c r="K13803" i="1"/>
  <c r="A13804" i="1"/>
  <c r="B13804" i="1"/>
  <c r="C13804" i="1"/>
  <c r="E13804" i="1"/>
  <c r="G13804" i="1"/>
  <c r="K13804" i="1"/>
  <c r="A13805" i="1"/>
  <c r="B13805" i="1"/>
  <c r="C13805" i="1"/>
  <c r="E13805" i="1"/>
  <c r="G13805" i="1"/>
  <c r="K13805" i="1"/>
  <c r="A13806" i="1"/>
  <c r="B13806" i="1"/>
  <c r="C13806" i="1"/>
  <c r="E13806" i="1"/>
  <c r="G13806" i="1"/>
  <c r="K13806" i="1"/>
  <c r="A13807" i="1"/>
  <c r="B13807" i="1"/>
  <c r="C13807" i="1"/>
  <c r="E13807" i="1"/>
  <c r="G13807" i="1"/>
  <c r="K13807" i="1"/>
  <c r="A13808" i="1"/>
  <c r="B13808" i="1"/>
  <c r="C13808" i="1"/>
  <c r="E13808" i="1"/>
  <c r="G13808" i="1"/>
  <c r="K13808" i="1"/>
  <c r="A13809" i="1"/>
  <c r="B13809" i="1"/>
  <c r="C13809" i="1"/>
  <c r="E13809" i="1"/>
  <c r="G13809" i="1"/>
  <c r="K13809" i="1"/>
  <c r="A13810" i="1"/>
  <c r="B13810" i="1"/>
  <c r="C13810" i="1"/>
  <c r="E13810" i="1"/>
  <c r="G13810" i="1"/>
  <c r="K13810" i="1"/>
  <c r="A13811" i="1"/>
  <c r="B13811" i="1"/>
  <c r="C13811" i="1"/>
  <c r="E13811" i="1"/>
  <c r="G13811" i="1"/>
  <c r="K13811" i="1"/>
  <c r="A13812" i="1"/>
  <c r="B13812" i="1"/>
  <c r="C13812" i="1"/>
  <c r="E13812" i="1"/>
  <c r="G13812" i="1"/>
  <c r="K13812" i="1"/>
  <c r="A13813" i="1"/>
  <c r="B13813" i="1"/>
  <c r="C13813" i="1"/>
  <c r="E13813" i="1"/>
  <c r="G13813" i="1"/>
  <c r="K13813" i="1"/>
  <c r="A13814" i="1"/>
  <c r="B13814" i="1"/>
  <c r="C13814" i="1"/>
  <c r="E13814" i="1"/>
  <c r="G13814" i="1"/>
  <c r="K13814" i="1"/>
  <c r="A13815" i="1"/>
  <c r="B13815" i="1"/>
  <c r="C13815" i="1"/>
  <c r="E13815" i="1"/>
  <c r="G13815" i="1"/>
  <c r="K13815" i="1"/>
  <c r="A13816" i="1"/>
  <c r="B13816" i="1"/>
  <c r="C13816" i="1"/>
  <c r="E13816" i="1"/>
  <c r="G13816" i="1"/>
  <c r="K13816" i="1"/>
  <c r="A13817" i="1"/>
  <c r="B13817" i="1"/>
  <c r="C13817" i="1"/>
  <c r="E13817" i="1"/>
  <c r="G13817" i="1"/>
  <c r="K13817" i="1"/>
  <c r="A13818" i="1"/>
  <c r="B13818" i="1"/>
  <c r="C13818" i="1"/>
  <c r="E13818" i="1"/>
  <c r="G13818" i="1"/>
  <c r="K13818" i="1"/>
  <c r="A13819" i="1"/>
  <c r="B13819" i="1"/>
  <c r="C13819" i="1"/>
  <c r="E13819" i="1"/>
  <c r="G13819" i="1"/>
  <c r="K13819" i="1"/>
  <c r="A13820" i="1"/>
  <c r="B13820" i="1"/>
  <c r="C13820" i="1"/>
  <c r="E13820" i="1"/>
  <c r="G13820" i="1"/>
  <c r="K13820" i="1"/>
  <c r="A13821" i="1"/>
  <c r="B13821" i="1"/>
  <c r="C13821" i="1"/>
  <c r="E13821" i="1"/>
  <c r="G13821" i="1"/>
  <c r="K13821" i="1"/>
  <c r="A13822" i="1"/>
  <c r="B13822" i="1"/>
  <c r="C13822" i="1"/>
  <c r="E13822" i="1"/>
  <c r="G13822" i="1"/>
  <c r="K13822" i="1"/>
  <c r="A13823" i="1"/>
  <c r="B13823" i="1"/>
  <c r="C13823" i="1"/>
  <c r="E13823" i="1"/>
  <c r="G13823" i="1"/>
  <c r="K13823" i="1"/>
  <c r="A13824" i="1"/>
  <c r="B13824" i="1"/>
  <c r="C13824" i="1"/>
  <c r="E13824" i="1"/>
  <c r="G13824" i="1"/>
  <c r="K13824" i="1"/>
  <c r="A13825" i="1"/>
  <c r="B13825" i="1"/>
  <c r="C13825" i="1"/>
  <c r="E13825" i="1"/>
  <c r="G13825" i="1"/>
  <c r="K13825" i="1"/>
  <c r="A13826" i="1"/>
  <c r="B13826" i="1"/>
  <c r="C13826" i="1"/>
  <c r="E13826" i="1"/>
  <c r="G13826" i="1"/>
  <c r="K13826" i="1"/>
  <c r="A13827" i="1"/>
  <c r="B13827" i="1"/>
  <c r="C13827" i="1"/>
  <c r="E13827" i="1"/>
  <c r="G13827" i="1"/>
  <c r="K13827" i="1"/>
  <c r="A13828" i="1"/>
  <c r="B13828" i="1"/>
  <c r="C13828" i="1"/>
  <c r="E13828" i="1"/>
  <c r="G13828" i="1"/>
  <c r="K13828" i="1"/>
  <c r="A13829" i="1"/>
  <c r="B13829" i="1"/>
  <c r="C13829" i="1"/>
  <c r="E13829" i="1"/>
  <c r="G13829" i="1"/>
  <c r="K13829" i="1"/>
  <c r="A13830" i="1"/>
  <c r="B13830" i="1"/>
  <c r="C13830" i="1"/>
  <c r="E13830" i="1"/>
  <c r="G13830" i="1"/>
  <c r="K13830" i="1"/>
  <c r="A13831" i="1"/>
  <c r="B13831" i="1"/>
  <c r="C13831" i="1"/>
  <c r="E13831" i="1"/>
  <c r="G13831" i="1"/>
  <c r="K13831" i="1"/>
  <c r="A13832" i="1"/>
  <c r="B13832" i="1"/>
  <c r="C13832" i="1"/>
  <c r="E13832" i="1"/>
  <c r="G13832" i="1"/>
  <c r="K13832" i="1"/>
  <c r="A13833" i="1"/>
  <c r="B13833" i="1"/>
  <c r="C13833" i="1"/>
  <c r="E13833" i="1"/>
  <c r="G13833" i="1"/>
  <c r="K13833" i="1"/>
  <c r="A13834" i="1"/>
  <c r="B13834" i="1"/>
  <c r="C13834" i="1"/>
  <c r="E13834" i="1"/>
  <c r="G13834" i="1"/>
  <c r="K13834" i="1"/>
  <c r="A13835" i="1"/>
  <c r="B13835" i="1"/>
  <c r="C13835" i="1"/>
  <c r="E13835" i="1"/>
  <c r="G13835" i="1"/>
  <c r="K13835" i="1"/>
  <c r="A13836" i="1"/>
  <c r="B13836" i="1"/>
  <c r="C13836" i="1"/>
  <c r="E13836" i="1"/>
  <c r="G13836" i="1"/>
  <c r="K13836" i="1"/>
  <c r="A13837" i="1"/>
  <c r="B13837" i="1"/>
  <c r="C13837" i="1"/>
  <c r="E13837" i="1"/>
  <c r="G13837" i="1"/>
  <c r="K13837" i="1"/>
  <c r="A13838" i="1"/>
  <c r="B13838" i="1"/>
  <c r="C13838" i="1"/>
  <c r="E13838" i="1"/>
  <c r="G13838" i="1"/>
  <c r="K13838" i="1"/>
  <c r="A13839" i="1"/>
  <c r="B13839" i="1"/>
  <c r="C13839" i="1"/>
  <c r="E13839" i="1"/>
  <c r="G13839" i="1"/>
  <c r="K13839" i="1"/>
  <c r="A13840" i="1"/>
  <c r="B13840" i="1"/>
  <c r="C13840" i="1"/>
  <c r="E13840" i="1"/>
  <c r="G13840" i="1"/>
  <c r="K13840" i="1"/>
  <c r="A13841" i="1"/>
  <c r="B13841" i="1"/>
  <c r="C13841" i="1"/>
  <c r="E13841" i="1"/>
  <c r="G13841" i="1"/>
  <c r="K13841" i="1"/>
  <c r="A13842" i="1"/>
  <c r="B13842" i="1"/>
  <c r="C13842" i="1"/>
  <c r="E13842" i="1"/>
  <c r="G13842" i="1"/>
  <c r="K13842" i="1"/>
  <c r="A13843" i="1"/>
  <c r="B13843" i="1"/>
  <c r="C13843" i="1"/>
  <c r="E13843" i="1"/>
  <c r="G13843" i="1"/>
  <c r="K13843" i="1"/>
  <c r="A13844" i="1"/>
  <c r="B13844" i="1"/>
  <c r="C13844" i="1"/>
  <c r="E13844" i="1"/>
  <c r="G13844" i="1"/>
  <c r="K13844" i="1"/>
  <c r="A13845" i="1"/>
  <c r="B13845" i="1"/>
  <c r="C13845" i="1"/>
  <c r="E13845" i="1"/>
  <c r="G13845" i="1"/>
  <c r="K13845" i="1"/>
  <c r="A13846" i="1"/>
  <c r="B13846" i="1"/>
  <c r="C13846" i="1"/>
  <c r="E13846" i="1"/>
  <c r="G13846" i="1"/>
  <c r="K13846" i="1"/>
  <c r="A13847" i="1"/>
  <c r="B13847" i="1"/>
  <c r="C13847" i="1"/>
  <c r="E13847" i="1"/>
  <c r="G13847" i="1"/>
  <c r="K13847" i="1"/>
  <c r="A13848" i="1"/>
  <c r="B13848" i="1"/>
  <c r="C13848" i="1"/>
  <c r="E13848" i="1"/>
  <c r="G13848" i="1"/>
  <c r="K13848" i="1"/>
  <c r="A13849" i="1"/>
  <c r="B13849" i="1"/>
  <c r="C13849" i="1"/>
  <c r="E13849" i="1"/>
  <c r="G13849" i="1"/>
  <c r="K13849" i="1"/>
  <c r="A13850" i="1"/>
  <c r="B13850" i="1"/>
  <c r="C13850" i="1"/>
  <c r="E13850" i="1"/>
  <c r="G13850" i="1"/>
  <c r="K13850" i="1"/>
  <c r="A13851" i="1"/>
  <c r="B13851" i="1"/>
  <c r="C13851" i="1"/>
  <c r="E13851" i="1"/>
  <c r="G13851" i="1"/>
  <c r="K13851" i="1"/>
  <c r="A13852" i="1"/>
  <c r="B13852" i="1"/>
  <c r="C13852" i="1"/>
  <c r="E13852" i="1"/>
  <c r="G13852" i="1"/>
  <c r="K13852" i="1"/>
  <c r="A13853" i="1"/>
  <c r="B13853" i="1"/>
  <c r="C13853" i="1"/>
  <c r="E13853" i="1"/>
  <c r="G13853" i="1"/>
  <c r="K13853" i="1"/>
  <c r="A13854" i="1"/>
  <c r="B13854" i="1"/>
  <c r="C13854" i="1"/>
  <c r="E13854" i="1"/>
  <c r="G13854" i="1"/>
  <c r="K13854" i="1"/>
  <c r="A13855" i="1"/>
  <c r="B13855" i="1"/>
  <c r="C13855" i="1"/>
  <c r="E13855" i="1"/>
  <c r="G13855" i="1"/>
  <c r="K13855" i="1"/>
  <c r="A13856" i="1"/>
  <c r="B13856" i="1"/>
  <c r="C13856" i="1"/>
  <c r="E13856" i="1"/>
  <c r="G13856" i="1"/>
  <c r="K13856" i="1"/>
  <c r="A13857" i="1"/>
  <c r="B13857" i="1"/>
  <c r="C13857" i="1"/>
  <c r="E13857" i="1"/>
  <c r="G13857" i="1"/>
  <c r="K13857" i="1"/>
  <c r="A13858" i="1"/>
  <c r="B13858" i="1"/>
  <c r="C13858" i="1"/>
  <c r="E13858" i="1"/>
  <c r="G13858" i="1"/>
  <c r="K13858" i="1"/>
  <c r="A13859" i="1"/>
  <c r="B13859" i="1"/>
  <c r="C13859" i="1"/>
  <c r="E13859" i="1"/>
  <c r="G13859" i="1"/>
  <c r="K13859" i="1"/>
  <c r="A13860" i="1"/>
  <c r="B13860" i="1"/>
  <c r="C13860" i="1"/>
  <c r="E13860" i="1"/>
  <c r="G13860" i="1"/>
  <c r="K13860" i="1"/>
  <c r="A13861" i="1"/>
  <c r="B13861" i="1"/>
  <c r="C13861" i="1"/>
  <c r="E13861" i="1"/>
  <c r="G13861" i="1"/>
  <c r="K13861" i="1"/>
  <c r="A13862" i="1"/>
  <c r="B13862" i="1"/>
  <c r="C13862" i="1"/>
  <c r="E13862" i="1"/>
  <c r="G13862" i="1"/>
  <c r="K13862" i="1"/>
  <c r="A13863" i="1"/>
  <c r="B13863" i="1"/>
  <c r="C13863" i="1"/>
  <c r="E13863" i="1"/>
  <c r="G13863" i="1"/>
  <c r="K13863" i="1"/>
  <c r="A13864" i="1"/>
  <c r="B13864" i="1"/>
  <c r="C13864" i="1"/>
  <c r="E13864" i="1"/>
  <c r="G13864" i="1"/>
  <c r="K13864" i="1"/>
  <c r="A13865" i="1"/>
  <c r="B13865" i="1"/>
  <c r="C13865" i="1"/>
  <c r="E13865" i="1"/>
  <c r="G13865" i="1"/>
  <c r="K13865" i="1"/>
  <c r="A13866" i="1"/>
  <c r="B13866" i="1"/>
  <c r="C13866" i="1"/>
  <c r="E13866" i="1"/>
  <c r="G13866" i="1"/>
  <c r="K13866" i="1"/>
  <c r="A13867" i="1"/>
  <c r="B13867" i="1"/>
  <c r="C13867" i="1"/>
  <c r="E13867" i="1"/>
  <c r="G13867" i="1"/>
  <c r="K13867" i="1"/>
  <c r="A13868" i="1"/>
  <c r="B13868" i="1"/>
  <c r="C13868" i="1"/>
  <c r="E13868" i="1"/>
  <c r="G13868" i="1"/>
  <c r="K13868" i="1"/>
  <c r="A13869" i="1"/>
  <c r="B13869" i="1"/>
  <c r="C13869" i="1"/>
  <c r="E13869" i="1"/>
  <c r="G13869" i="1"/>
  <c r="K13869" i="1"/>
  <c r="A13870" i="1"/>
  <c r="B13870" i="1"/>
  <c r="C13870" i="1"/>
  <c r="E13870" i="1"/>
  <c r="G13870" i="1"/>
  <c r="K13870" i="1"/>
  <c r="A13871" i="1"/>
  <c r="B13871" i="1"/>
  <c r="C13871" i="1"/>
  <c r="E13871" i="1"/>
  <c r="G13871" i="1"/>
  <c r="K13871" i="1"/>
  <c r="A13872" i="1"/>
  <c r="B13872" i="1"/>
  <c r="C13872" i="1"/>
  <c r="E13872" i="1"/>
  <c r="G13872" i="1"/>
  <c r="K13872" i="1"/>
  <c r="A13873" i="1"/>
  <c r="B13873" i="1"/>
  <c r="C13873" i="1"/>
  <c r="E13873" i="1"/>
  <c r="G13873" i="1"/>
  <c r="K13873" i="1"/>
  <c r="A13874" i="1"/>
  <c r="B13874" i="1"/>
  <c r="C13874" i="1"/>
  <c r="E13874" i="1"/>
  <c r="G13874" i="1"/>
  <c r="K13874" i="1"/>
  <c r="A13875" i="1"/>
  <c r="B13875" i="1"/>
  <c r="C13875" i="1"/>
  <c r="E13875" i="1"/>
  <c r="G13875" i="1"/>
  <c r="K13875" i="1"/>
  <c r="A13876" i="1"/>
  <c r="B13876" i="1"/>
  <c r="C13876" i="1"/>
  <c r="E13876" i="1"/>
  <c r="G13876" i="1"/>
  <c r="K13876" i="1"/>
  <c r="A13877" i="1"/>
  <c r="B13877" i="1"/>
  <c r="C13877" i="1"/>
  <c r="E13877" i="1"/>
  <c r="G13877" i="1"/>
  <c r="K13877" i="1"/>
  <c r="A13878" i="1"/>
  <c r="B13878" i="1"/>
  <c r="C13878" i="1"/>
  <c r="E13878" i="1"/>
  <c r="G13878" i="1"/>
  <c r="K13878" i="1"/>
  <c r="A13879" i="1"/>
  <c r="B13879" i="1"/>
  <c r="C13879" i="1"/>
  <c r="E13879" i="1"/>
  <c r="G13879" i="1"/>
  <c r="K13879" i="1"/>
  <c r="A13880" i="1"/>
  <c r="B13880" i="1"/>
  <c r="C13880" i="1"/>
  <c r="E13880" i="1"/>
  <c r="G13880" i="1"/>
  <c r="K13880" i="1"/>
  <c r="A13881" i="1"/>
  <c r="B13881" i="1"/>
  <c r="C13881" i="1"/>
  <c r="E13881" i="1"/>
  <c r="G13881" i="1"/>
  <c r="K13881" i="1"/>
  <c r="A13882" i="1"/>
  <c r="B13882" i="1"/>
  <c r="C13882" i="1"/>
  <c r="E13882" i="1"/>
  <c r="G13882" i="1"/>
  <c r="K13882" i="1"/>
  <c r="A13883" i="1"/>
  <c r="B13883" i="1"/>
  <c r="C13883" i="1"/>
  <c r="E13883" i="1"/>
  <c r="G13883" i="1"/>
  <c r="K13883" i="1"/>
  <c r="A13884" i="1"/>
  <c r="B13884" i="1"/>
  <c r="C13884" i="1"/>
  <c r="E13884" i="1"/>
  <c r="G13884" i="1"/>
  <c r="K13884" i="1"/>
  <c r="A13885" i="1"/>
  <c r="B13885" i="1"/>
  <c r="C13885" i="1"/>
  <c r="E13885" i="1"/>
  <c r="G13885" i="1"/>
  <c r="K13885" i="1"/>
  <c r="A13886" i="1"/>
  <c r="B13886" i="1"/>
  <c r="C13886" i="1"/>
  <c r="E13886" i="1"/>
  <c r="G13886" i="1"/>
  <c r="K13886" i="1"/>
  <c r="A13887" i="1"/>
  <c r="B13887" i="1"/>
  <c r="C13887" i="1"/>
  <c r="E13887" i="1"/>
  <c r="G13887" i="1"/>
  <c r="K13887" i="1"/>
  <c r="A13888" i="1"/>
  <c r="B13888" i="1"/>
  <c r="C13888" i="1"/>
  <c r="E13888" i="1"/>
  <c r="G13888" i="1"/>
  <c r="K13888" i="1"/>
  <c r="A13889" i="1"/>
  <c r="B13889" i="1"/>
  <c r="C13889" i="1"/>
  <c r="E13889" i="1"/>
  <c r="G13889" i="1"/>
  <c r="K13889" i="1"/>
  <c r="A13890" i="1"/>
  <c r="B13890" i="1"/>
  <c r="C13890" i="1"/>
  <c r="E13890" i="1"/>
  <c r="G13890" i="1"/>
  <c r="K13890" i="1"/>
  <c r="A13891" i="1"/>
  <c r="B13891" i="1"/>
  <c r="C13891" i="1"/>
  <c r="E13891" i="1"/>
  <c r="G13891" i="1"/>
  <c r="K13891" i="1"/>
  <c r="A13892" i="1"/>
  <c r="B13892" i="1"/>
  <c r="C13892" i="1"/>
  <c r="E13892" i="1"/>
  <c r="G13892" i="1"/>
  <c r="K13892" i="1"/>
  <c r="A13893" i="1"/>
  <c r="B13893" i="1"/>
  <c r="C13893" i="1"/>
  <c r="E13893" i="1"/>
  <c r="G13893" i="1"/>
  <c r="K13893" i="1"/>
  <c r="A13894" i="1"/>
  <c r="B13894" i="1"/>
  <c r="C13894" i="1"/>
  <c r="E13894" i="1"/>
  <c r="G13894" i="1"/>
  <c r="K13894" i="1"/>
  <c r="A13895" i="1"/>
  <c r="B13895" i="1"/>
  <c r="C13895" i="1"/>
  <c r="E13895" i="1"/>
  <c r="G13895" i="1"/>
  <c r="K13895" i="1"/>
  <c r="A13896" i="1"/>
  <c r="B13896" i="1"/>
  <c r="C13896" i="1"/>
  <c r="E13896" i="1"/>
  <c r="G13896" i="1"/>
  <c r="K13896" i="1"/>
  <c r="A13897" i="1"/>
  <c r="B13897" i="1"/>
  <c r="C13897" i="1"/>
  <c r="E13897" i="1"/>
  <c r="G13897" i="1"/>
  <c r="K13897" i="1"/>
  <c r="A13898" i="1"/>
  <c r="B13898" i="1"/>
  <c r="C13898" i="1"/>
  <c r="E13898" i="1"/>
  <c r="G13898" i="1"/>
  <c r="K13898" i="1"/>
  <c r="A13899" i="1"/>
  <c r="B13899" i="1"/>
  <c r="C13899" i="1"/>
  <c r="E13899" i="1"/>
  <c r="G13899" i="1"/>
  <c r="K13899" i="1"/>
  <c r="A13900" i="1"/>
  <c r="B13900" i="1"/>
  <c r="C13900" i="1"/>
  <c r="E13900" i="1"/>
  <c r="G13900" i="1"/>
  <c r="K13900" i="1"/>
  <c r="A13901" i="1"/>
  <c r="B13901" i="1"/>
  <c r="C13901" i="1"/>
  <c r="E13901" i="1"/>
  <c r="G13901" i="1"/>
  <c r="K13901" i="1"/>
  <c r="A13902" i="1"/>
  <c r="B13902" i="1"/>
  <c r="C13902" i="1"/>
  <c r="E13902" i="1"/>
  <c r="G13902" i="1"/>
  <c r="K13902" i="1"/>
  <c r="A13903" i="1"/>
  <c r="B13903" i="1"/>
  <c r="C13903" i="1"/>
  <c r="E13903" i="1"/>
  <c r="G13903" i="1"/>
  <c r="K13903" i="1"/>
  <c r="A13904" i="1"/>
  <c r="B13904" i="1"/>
  <c r="C13904" i="1"/>
  <c r="E13904" i="1"/>
  <c r="G13904" i="1"/>
  <c r="K13904" i="1"/>
  <c r="A13905" i="1"/>
  <c r="B13905" i="1"/>
  <c r="C13905" i="1"/>
  <c r="E13905" i="1"/>
  <c r="G13905" i="1"/>
  <c r="K13905" i="1"/>
  <c r="A13906" i="1"/>
  <c r="B13906" i="1"/>
  <c r="C13906" i="1"/>
  <c r="E13906" i="1"/>
  <c r="G13906" i="1"/>
  <c r="K13906" i="1"/>
  <c r="A13907" i="1"/>
  <c r="B13907" i="1"/>
  <c r="C13907" i="1"/>
  <c r="E13907" i="1"/>
  <c r="G13907" i="1"/>
  <c r="K13907" i="1"/>
  <c r="A13908" i="1"/>
  <c r="B13908" i="1"/>
  <c r="C13908" i="1"/>
  <c r="E13908" i="1"/>
  <c r="G13908" i="1"/>
  <c r="K13908" i="1"/>
  <c r="A13909" i="1"/>
  <c r="B13909" i="1"/>
  <c r="C13909" i="1"/>
  <c r="E13909" i="1"/>
  <c r="G13909" i="1"/>
  <c r="K13909" i="1"/>
  <c r="A13910" i="1"/>
  <c r="B13910" i="1"/>
  <c r="C13910" i="1"/>
  <c r="E13910" i="1"/>
  <c r="G13910" i="1"/>
  <c r="K13910" i="1"/>
  <c r="A13911" i="1"/>
  <c r="B13911" i="1"/>
  <c r="C13911" i="1"/>
  <c r="E13911" i="1"/>
  <c r="G13911" i="1"/>
  <c r="K13911" i="1"/>
  <c r="A13912" i="1"/>
  <c r="B13912" i="1"/>
  <c r="C13912" i="1"/>
  <c r="E13912" i="1"/>
  <c r="G13912" i="1"/>
  <c r="K13912" i="1"/>
  <c r="A13913" i="1"/>
  <c r="B13913" i="1"/>
  <c r="C13913" i="1"/>
  <c r="E13913" i="1"/>
  <c r="G13913" i="1"/>
  <c r="K13913" i="1"/>
  <c r="A13914" i="1"/>
  <c r="B13914" i="1"/>
  <c r="C13914" i="1"/>
  <c r="E13914" i="1"/>
  <c r="G13914" i="1"/>
  <c r="K13914" i="1"/>
  <c r="A13915" i="1"/>
  <c r="B13915" i="1"/>
  <c r="C13915" i="1"/>
  <c r="E13915" i="1"/>
  <c r="G13915" i="1"/>
  <c r="K13915" i="1"/>
  <c r="A13916" i="1"/>
  <c r="B13916" i="1"/>
  <c r="C13916" i="1"/>
  <c r="E13916" i="1"/>
  <c r="G13916" i="1"/>
  <c r="K13916" i="1"/>
  <c r="A13917" i="1"/>
  <c r="B13917" i="1"/>
  <c r="C13917" i="1"/>
  <c r="E13917" i="1"/>
  <c r="G13917" i="1"/>
  <c r="K13917" i="1"/>
  <c r="A13918" i="1"/>
  <c r="B13918" i="1"/>
  <c r="C13918" i="1"/>
  <c r="E13918" i="1"/>
  <c r="G13918" i="1"/>
  <c r="K13918" i="1"/>
  <c r="A13919" i="1"/>
  <c r="B13919" i="1"/>
  <c r="C13919" i="1"/>
  <c r="E13919" i="1"/>
  <c r="G13919" i="1"/>
  <c r="K13919" i="1"/>
  <c r="A13920" i="1"/>
  <c r="B13920" i="1"/>
  <c r="C13920" i="1"/>
  <c r="E13920" i="1"/>
  <c r="G13920" i="1"/>
  <c r="K13920" i="1"/>
  <c r="A13921" i="1"/>
  <c r="B13921" i="1"/>
  <c r="C13921" i="1"/>
  <c r="E13921" i="1"/>
  <c r="G13921" i="1"/>
  <c r="K13921" i="1"/>
  <c r="A13922" i="1"/>
  <c r="B13922" i="1"/>
  <c r="C13922" i="1"/>
  <c r="E13922" i="1"/>
  <c r="G13922" i="1"/>
  <c r="K13922" i="1"/>
  <c r="A13923" i="1"/>
  <c r="B13923" i="1"/>
  <c r="C13923" i="1"/>
  <c r="E13923" i="1"/>
  <c r="G13923" i="1"/>
  <c r="K13923" i="1"/>
  <c r="A13924" i="1"/>
  <c r="B13924" i="1"/>
  <c r="C13924" i="1"/>
  <c r="E13924" i="1"/>
  <c r="G13924" i="1"/>
  <c r="K13924" i="1"/>
  <c r="A13925" i="1"/>
  <c r="B13925" i="1"/>
  <c r="C13925" i="1"/>
  <c r="E13925" i="1"/>
  <c r="G13925" i="1"/>
  <c r="K13925" i="1"/>
  <c r="A13926" i="1"/>
  <c r="B13926" i="1"/>
  <c r="C13926" i="1"/>
  <c r="E13926" i="1"/>
  <c r="G13926" i="1"/>
  <c r="K13926" i="1"/>
  <c r="A13927" i="1"/>
  <c r="B13927" i="1"/>
  <c r="C13927" i="1"/>
  <c r="E13927" i="1"/>
  <c r="G13927" i="1"/>
  <c r="K13927" i="1"/>
  <c r="A13928" i="1"/>
  <c r="B13928" i="1"/>
  <c r="C13928" i="1"/>
  <c r="E13928" i="1"/>
  <c r="G13928" i="1"/>
  <c r="K13928" i="1"/>
  <c r="A13929" i="1"/>
  <c r="B13929" i="1"/>
  <c r="C13929" i="1"/>
  <c r="E13929" i="1"/>
  <c r="G13929" i="1"/>
  <c r="K13929" i="1"/>
  <c r="A13930" i="1"/>
  <c r="B13930" i="1"/>
  <c r="C13930" i="1"/>
  <c r="E13930" i="1"/>
  <c r="G13930" i="1"/>
  <c r="K13930" i="1"/>
  <c r="A13931" i="1"/>
  <c r="B13931" i="1"/>
  <c r="C13931" i="1"/>
  <c r="E13931" i="1"/>
  <c r="G13931" i="1"/>
  <c r="K13931" i="1"/>
  <c r="A13932" i="1"/>
  <c r="B13932" i="1"/>
  <c r="C13932" i="1"/>
  <c r="E13932" i="1"/>
  <c r="G13932" i="1"/>
  <c r="K13932" i="1"/>
  <c r="A13933" i="1"/>
  <c r="B13933" i="1"/>
  <c r="C13933" i="1"/>
  <c r="E13933" i="1"/>
  <c r="G13933" i="1"/>
  <c r="K13933" i="1"/>
  <c r="A13934" i="1"/>
  <c r="B13934" i="1"/>
  <c r="C13934" i="1"/>
  <c r="E13934" i="1"/>
  <c r="G13934" i="1"/>
  <c r="K13934" i="1"/>
  <c r="A13935" i="1"/>
  <c r="B13935" i="1"/>
  <c r="C13935" i="1"/>
  <c r="E13935" i="1"/>
  <c r="G13935" i="1"/>
  <c r="K13935" i="1"/>
  <c r="A13936" i="1"/>
  <c r="B13936" i="1"/>
  <c r="C13936" i="1"/>
  <c r="E13936" i="1"/>
  <c r="G13936" i="1"/>
  <c r="K13936" i="1"/>
  <c r="A13937" i="1"/>
  <c r="B13937" i="1"/>
  <c r="C13937" i="1"/>
  <c r="E13937" i="1"/>
  <c r="G13937" i="1"/>
  <c r="K13937" i="1"/>
  <c r="A13938" i="1"/>
  <c r="B13938" i="1"/>
  <c r="C13938" i="1"/>
  <c r="E13938" i="1"/>
  <c r="G13938" i="1"/>
  <c r="K13938" i="1"/>
  <c r="A13939" i="1"/>
  <c r="B13939" i="1"/>
  <c r="C13939" i="1"/>
  <c r="E13939" i="1"/>
  <c r="G13939" i="1"/>
  <c r="K13939" i="1"/>
  <c r="A13940" i="1"/>
  <c r="B13940" i="1"/>
  <c r="C13940" i="1"/>
  <c r="E13940" i="1"/>
  <c r="G13940" i="1"/>
  <c r="K13940" i="1"/>
  <c r="A13941" i="1"/>
  <c r="B13941" i="1"/>
  <c r="C13941" i="1"/>
  <c r="E13941" i="1"/>
  <c r="G13941" i="1"/>
  <c r="K13941" i="1"/>
  <c r="A13942" i="1"/>
  <c r="B13942" i="1"/>
  <c r="C13942" i="1"/>
  <c r="E13942" i="1"/>
  <c r="G13942" i="1"/>
  <c r="K13942" i="1"/>
  <c r="A13943" i="1"/>
  <c r="B13943" i="1"/>
  <c r="C13943" i="1"/>
  <c r="E13943" i="1"/>
  <c r="G13943" i="1"/>
  <c r="K13943" i="1"/>
  <c r="A13944" i="1"/>
  <c r="B13944" i="1"/>
  <c r="C13944" i="1"/>
  <c r="E13944" i="1"/>
  <c r="G13944" i="1"/>
  <c r="K13944" i="1"/>
  <c r="A13945" i="1"/>
  <c r="B13945" i="1"/>
  <c r="C13945" i="1"/>
  <c r="E13945" i="1"/>
  <c r="G13945" i="1"/>
  <c r="K13945" i="1"/>
  <c r="A13946" i="1"/>
  <c r="B13946" i="1"/>
  <c r="C13946" i="1"/>
  <c r="E13946" i="1"/>
  <c r="G13946" i="1"/>
  <c r="K13946" i="1"/>
  <c r="A13947" i="1"/>
  <c r="B13947" i="1"/>
  <c r="C13947" i="1"/>
  <c r="E13947" i="1"/>
  <c r="G13947" i="1"/>
  <c r="K13947" i="1"/>
  <c r="A13948" i="1"/>
  <c r="B13948" i="1"/>
  <c r="C13948" i="1"/>
  <c r="E13948" i="1"/>
  <c r="G13948" i="1"/>
  <c r="K13948" i="1"/>
  <c r="A13949" i="1"/>
  <c r="B13949" i="1"/>
  <c r="C13949" i="1"/>
  <c r="E13949" i="1"/>
  <c r="G13949" i="1"/>
  <c r="K13949" i="1"/>
  <c r="A13950" i="1"/>
  <c r="B13950" i="1"/>
  <c r="C13950" i="1"/>
  <c r="E13950" i="1"/>
  <c r="G13950" i="1"/>
  <c r="K13950" i="1"/>
  <c r="A13951" i="1"/>
  <c r="B13951" i="1"/>
  <c r="C13951" i="1"/>
  <c r="E13951" i="1"/>
  <c r="G13951" i="1"/>
  <c r="K13951" i="1"/>
  <c r="A13952" i="1"/>
  <c r="B13952" i="1"/>
  <c r="C13952" i="1"/>
  <c r="E13952" i="1"/>
  <c r="G13952" i="1"/>
  <c r="K13952" i="1"/>
  <c r="A13953" i="1"/>
  <c r="B13953" i="1"/>
  <c r="C13953" i="1"/>
  <c r="E13953" i="1"/>
  <c r="G13953" i="1"/>
  <c r="K13953" i="1"/>
  <c r="A13954" i="1"/>
  <c r="B13954" i="1"/>
  <c r="C13954" i="1"/>
  <c r="E13954" i="1"/>
  <c r="G13954" i="1"/>
  <c r="K13954" i="1"/>
  <c r="A13955" i="1"/>
  <c r="B13955" i="1"/>
  <c r="C13955" i="1"/>
  <c r="E13955" i="1"/>
  <c r="G13955" i="1"/>
  <c r="K13955" i="1"/>
  <c r="A13956" i="1"/>
  <c r="B13956" i="1"/>
  <c r="C13956" i="1"/>
  <c r="E13956" i="1"/>
  <c r="G13956" i="1"/>
  <c r="K13956" i="1"/>
  <c r="A13957" i="1"/>
  <c r="B13957" i="1"/>
  <c r="C13957" i="1"/>
  <c r="E13957" i="1"/>
  <c r="G13957" i="1"/>
  <c r="K13957" i="1"/>
  <c r="A13958" i="1"/>
  <c r="B13958" i="1"/>
  <c r="C13958" i="1"/>
  <c r="E13958" i="1"/>
  <c r="G13958" i="1"/>
  <c r="K13958" i="1"/>
  <c r="A13959" i="1"/>
  <c r="B13959" i="1"/>
  <c r="C13959" i="1"/>
  <c r="E13959" i="1"/>
  <c r="G13959" i="1"/>
  <c r="K13959" i="1"/>
  <c r="A13960" i="1"/>
  <c r="B13960" i="1"/>
  <c r="C13960" i="1"/>
  <c r="E13960" i="1"/>
  <c r="G13960" i="1"/>
  <c r="K13960" i="1"/>
  <c r="A13961" i="1"/>
  <c r="B13961" i="1"/>
  <c r="C13961" i="1"/>
  <c r="E13961" i="1"/>
  <c r="G13961" i="1"/>
  <c r="K13961" i="1"/>
  <c r="A13962" i="1"/>
  <c r="B13962" i="1"/>
  <c r="C13962" i="1"/>
  <c r="E13962" i="1"/>
  <c r="G13962" i="1"/>
  <c r="K13962" i="1"/>
  <c r="A13963" i="1"/>
  <c r="B13963" i="1"/>
  <c r="C13963" i="1"/>
  <c r="E13963" i="1"/>
  <c r="G13963" i="1"/>
  <c r="K13963" i="1"/>
  <c r="A13964" i="1"/>
  <c r="B13964" i="1"/>
  <c r="C13964" i="1"/>
  <c r="E13964" i="1"/>
  <c r="G13964" i="1"/>
  <c r="K13964" i="1"/>
  <c r="A13965" i="1"/>
  <c r="B13965" i="1"/>
  <c r="C13965" i="1"/>
  <c r="E13965" i="1"/>
  <c r="G13965" i="1"/>
  <c r="K13965" i="1"/>
  <c r="A13966" i="1"/>
  <c r="B13966" i="1"/>
  <c r="C13966" i="1"/>
  <c r="E13966" i="1"/>
  <c r="G13966" i="1"/>
  <c r="K13966" i="1"/>
  <c r="A13967" i="1"/>
  <c r="B13967" i="1"/>
  <c r="C13967" i="1"/>
  <c r="E13967" i="1"/>
  <c r="G13967" i="1"/>
  <c r="K13967" i="1"/>
  <c r="A13968" i="1"/>
  <c r="B13968" i="1"/>
  <c r="C13968" i="1"/>
  <c r="E13968" i="1"/>
  <c r="G13968" i="1"/>
  <c r="K13968" i="1"/>
  <c r="A13969" i="1"/>
  <c r="B13969" i="1"/>
  <c r="C13969" i="1"/>
  <c r="E13969" i="1"/>
  <c r="G13969" i="1"/>
  <c r="K13969" i="1"/>
  <c r="A13970" i="1"/>
  <c r="B13970" i="1"/>
  <c r="C13970" i="1"/>
  <c r="E13970" i="1"/>
  <c r="G13970" i="1"/>
  <c r="K13970" i="1"/>
  <c r="A13971" i="1"/>
  <c r="B13971" i="1"/>
  <c r="C13971" i="1"/>
  <c r="E13971" i="1"/>
  <c r="G13971" i="1"/>
  <c r="K13971" i="1"/>
  <c r="A13972" i="1"/>
  <c r="B13972" i="1"/>
  <c r="C13972" i="1"/>
  <c r="E13972" i="1"/>
  <c r="G13972" i="1"/>
  <c r="K13972" i="1"/>
  <c r="A13973" i="1"/>
  <c r="B13973" i="1"/>
  <c r="C13973" i="1"/>
  <c r="E13973" i="1"/>
  <c r="G13973" i="1"/>
  <c r="K13973" i="1"/>
  <c r="A13974" i="1"/>
  <c r="B13974" i="1"/>
  <c r="C13974" i="1"/>
  <c r="E13974" i="1"/>
  <c r="G13974" i="1"/>
  <c r="K13974" i="1"/>
  <c r="A13975" i="1"/>
  <c r="B13975" i="1"/>
  <c r="C13975" i="1"/>
  <c r="E13975" i="1"/>
  <c r="G13975" i="1"/>
  <c r="K13975" i="1"/>
  <c r="A13976" i="1"/>
  <c r="B13976" i="1"/>
  <c r="C13976" i="1"/>
  <c r="E13976" i="1"/>
  <c r="G13976" i="1"/>
  <c r="K13976" i="1"/>
  <c r="A13977" i="1"/>
  <c r="B13977" i="1"/>
  <c r="C13977" i="1"/>
  <c r="E13977" i="1"/>
  <c r="G13977" i="1"/>
  <c r="K13977" i="1"/>
  <c r="A13978" i="1"/>
  <c r="B13978" i="1"/>
  <c r="C13978" i="1"/>
  <c r="E13978" i="1"/>
  <c r="G13978" i="1"/>
  <c r="K13978" i="1"/>
  <c r="A13979" i="1"/>
  <c r="B13979" i="1"/>
  <c r="C13979" i="1"/>
  <c r="E13979" i="1"/>
  <c r="G13979" i="1"/>
  <c r="K13979" i="1"/>
  <c r="A13980" i="1"/>
  <c r="B13980" i="1"/>
  <c r="C13980" i="1"/>
  <c r="E13980" i="1"/>
  <c r="G13980" i="1"/>
  <c r="K13980" i="1"/>
  <c r="A13981" i="1"/>
  <c r="B13981" i="1"/>
  <c r="C13981" i="1"/>
  <c r="E13981" i="1"/>
  <c r="G13981" i="1"/>
  <c r="K13981" i="1"/>
  <c r="A13982" i="1"/>
  <c r="B13982" i="1"/>
  <c r="C13982" i="1"/>
  <c r="E13982" i="1"/>
  <c r="G13982" i="1"/>
  <c r="K13982" i="1"/>
  <c r="A13983" i="1"/>
  <c r="B13983" i="1"/>
  <c r="C13983" i="1"/>
  <c r="E13983" i="1"/>
  <c r="G13983" i="1"/>
  <c r="K13983" i="1"/>
  <c r="A13984" i="1"/>
  <c r="B13984" i="1"/>
  <c r="C13984" i="1"/>
  <c r="E13984" i="1"/>
  <c r="G13984" i="1"/>
  <c r="K13984" i="1"/>
  <c r="A13985" i="1"/>
  <c r="B13985" i="1"/>
  <c r="C13985" i="1"/>
  <c r="E13985" i="1"/>
  <c r="G13985" i="1"/>
  <c r="K13985" i="1"/>
  <c r="A13986" i="1"/>
  <c r="B13986" i="1"/>
  <c r="C13986" i="1"/>
  <c r="E13986" i="1"/>
  <c r="G13986" i="1"/>
  <c r="K13986" i="1"/>
  <c r="A13987" i="1"/>
  <c r="B13987" i="1"/>
  <c r="C13987" i="1"/>
  <c r="E13987" i="1"/>
  <c r="G13987" i="1"/>
  <c r="K13987" i="1"/>
  <c r="A13988" i="1"/>
  <c r="B13988" i="1"/>
  <c r="C13988" i="1"/>
  <c r="E13988" i="1"/>
  <c r="G13988" i="1"/>
  <c r="K13988" i="1"/>
  <c r="A13989" i="1"/>
  <c r="B13989" i="1"/>
  <c r="C13989" i="1"/>
  <c r="E13989" i="1"/>
  <c r="G13989" i="1"/>
  <c r="K13989" i="1"/>
  <c r="A13990" i="1"/>
  <c r="B13990" i="1"/>
  <c r="C13990" i="1"/>
  <c r="E13990" i="1"/>
  <c r="G13990" i="1"/>
  <c r="K13990" i="1"/>
  <c r="A13991" i="1"/>
  <c r="B13991" i="1"/>
  <c r="C13991" i="1"/>
  <c r="E13991" i="1"/>
  <c r="G13991" i="1"/>
  <c r="K13991" i="1"/>
  <c r="A13992" i="1"/>
  <c r="B13992" i="1"/>
  <c r="C13992" i="1"/>
  <c r="E13992" i="1"/>
  <c r="G13992" i="1"/>
  <c r="K13992" i="1"/>
  <c r="A13993" i="1"/>
  <c r="B13993" i="1"/>
  <c r="C13993" i="1"/>
  <c r="E13993" i="1"/>
  <c r="G13993" i="1"/>
  <c r="K13993" i="1"/>
  <c r="A13994" i="1"/>
  <c r="B13994" i="1"/>
  <c r="C13994" i="1"/>
  <c r="E13994" i="1"/>
  <c r="G13994" i="1"/>
  <c r="K13994" i="1"/>
  <c r="A13995" i="1"/>
  <c r="B13995" i="1"/>
  <c r="C13995" i="1"/>
  <c r="E13995" i="1"/>
  <c r="G13995" i="1"/>
  <c r="K13995" i="1"/>
  <c r="A13996" i="1"/>
  <c r="B13996" i="1"/>
  <c r="C13996" i="1"/>
  <c r="E13996" i="1"/>
  <c r="G13996" i="1"/>
  <c r="K13996" i="1"/>
  <c r="A13997" i="1"/>
  <c r="B13997" i="1"/>
  <c r="C13997" i="1"/>
  <c r="E13997" i="1"/>
  <c r="G13997" i="1"/>
  <c r="K13997" i="1"/>
  <c r="A13998" i="1"/>
  <c r="B13998" i="1"/>
  <c r="C13998" i="1"/>
  <c r="E13998" i="1"/>
  <c r="G13998" i="1"/>
  <c r="K13998" i="1"/>
  <c r="A13999" i="1"/>
  <c r="B13999" i="1"/>
  <c r="C13999" i="1"/>
  <c r="E13999" i="1"/>
  <c r="G13999" i="1"/>
  <c r="K13999" i="1"/>
  <c r="A14000" i="1"/>
  <c r="B14000" i="1"/>
  <c r="C14000" i="1"/>
  <c r="E14000" i="1"/>
  <c r="G14000" i="1"/>
  <c r="K14000" i="1"/>
  <c r="A14001" i="1"/>
  <c r="B14001" i="1"/>
  <c r="C14001" i="1"/>
  <c r="E14001" i="1"/>
  <c r="G14001" i="1"/>
  <c r="K14001" i="1"/>
  <c r="A14002" i="1"/>
  <c r="B14002" i="1"/>
  <c r="C14002" i="1"/>
  <c r="E14002" i="1"/>
  <c r="G14002" i="1"/>
  <c r="K14002" i="1"/>
  <c r="A14003" i="1"/>
  <c r="B14003" i="1"/>
  <c r="C14003" i="1"/>
  <c r="E14003" i="1"/>
  <c r="G14003" i="1"/>
  <c r="K14003" i="1"/>
  <c r="A14004" i="1"/>
  <c r="B14004" i="1"/>
  <c r="C14004" i="1"/>
  <c r="E14004" i="1"/>
  <c r="G14004" i="1"/>
  <c r="K14004" i="1"/>
  <c r="A14005" i="1"/>
  <c r="B14005" i="1"/>
  <c r="C14005" i="1"/>
  <c r="E14005" i="1"/>
  <c r="G14005" i="1"/>
  <c r="K14005" i="1"/>
  <c r="A14006" i="1"/>
  <c r="B14006" i="1"/>
  <c r="C14006" i="1"/>
  <c r="E14006" i="1"/>
  <c r="G14006" i="1"/>
  <c r="K14006" i="1"/>
  <c r="A14007" i="1"/>
  <c r="B14007" i="1"/>
  <c r="C14007" i="1"/>
  <c r="E14007" i="1"/>
  <c r="G14007" i="1"/>
  <c r="K14007" i="1"/>
  <c r="A14008" i="1"/>
  <c r="B14008" i="1"/>
  <c r="C14008" i="1"/>
  <c r="E14008" i="1"/>
  <c r="G14008" i="1"/>
  <c r="K14008" i="1"/>
  <c r="A14009" i="1"/>
  <c r="B14009" i="1"/>
  <c r="C14009" i="1"/>
  <c r="E14009" i="1"/>
  <c r="G14009" i="1"/>
  <c r="K14009" i="1"/>
  <c r="A14010" i="1"/>
  <c r="B14010" i="1"/>
  <c r="C14010" i="1"/>
  <c r="E14010" i="1"/>
  <c r="G14010" i="1"/>
  <c r="K14010" i="1"/>
  <c r="A14011" i="1"/>
  <c r="B14011" i="1"/>
  <c r="C14011" i="1"/>
  <c r="E14011" i="1"/>
  <c r="G14011" i="1"/>
  <c r="K14011" i="1"/>
  <c r="A14012" i="1"/>
  <c r="B14012" i="1"/>
  <c r="C14012" i="1"/>
  <c r="E14012" i="1"/>
  <c r="G14012" i="1"/>
  <c r="K14012" i="1"/>
  <c r="A14013" i="1"/>
  <c r="B14013" i="1"/>
  <c r="C14013" i="1"/>
  <c r="E14013" i="1"/>
  <c r="G14013" i="1"/>
  <c r="K14013" i="1"/>
  <c r="A14014" i="1"/>
  <c r="B14014" i="1"/>
  <c r="C14014" i="1"/>
  <c r="E14014" i="1"/>
  <c r="G14014" i="1"/>
  <c r="K14014" i="1"/>
  <c r="A14015" i="1"/>
  <c r="B14015" i="1"/>
  <c r="C14015" i="1"/>
  <c r="E14015" i="1"/>
  <c r="G14015" i="1"/>
  <c r="K14015" i="1"/>
  <c r="A14016" i="1"/>
  <c r="B14016" i="1"/>
  <c r="C14016" i="1"/>
  <c r="E14016" i="1"/>
  <c r="G14016" i="1"/>
  <c r="K14016" i="1"/>
  <c r="A14017" i="1"/>
  <c r="B14017" i="1"/>
  <c r="C14017" i="1"/>
  <c r="E14017" i="1"/>
  <c r="G14017" i="1"/>
  <c r="K14017" i="1"/>
  <c r="A14018" i="1"/>
  <c r="B14018" i="1"/>
  <c r="C14018" i="1"/>
  <c r="E14018" i="1"/>
  <c r="G14018" i="1"/>
  <c r="K14018" i="1"/>
  <c r="A14019" i="1"/>
  <c r="B14019" i="1"/>
  <c r="C14019" i="1"/>
  <c r="E14019" i="1"/>
  <c r="G14019" i="1"/>
  <c r="K14019" i="1"/>
  <c r="A14020" i="1"/>
  <c r="B14020" i="1"/>
  <c r="C14020" i="1"/>
  <c r="E14020" i="1"/>
  <c r="G14020" i="1"/>
  <c r="K14020" i="1"/>
  <c r="A14021" i="1"/>
  <c r="B14021" i="1"/>
  <c r="C14021" i="1"/>
  <c r="E14021" i="1"/>
  <c r="G14021" i="1"/>
  <c r="K14021" i="1"/>
  <c r="A14022" i="1"/>
  <c r="B14022" i="1"/>
  <c r="C14022" i="1"/>
  <c r="E14022" i="1"/>
  <c r="G14022" i="1"/>
  <c r="K14022" i="1"/>
  <c r="A14023" i="1"/>
  <c r="B14023" i="1"/>
  <c r="C14023" i="1"/>
  <c r="E14023" i="1"/>
  <c r="G14023" i="1"/>
  <c r="K14023" i="1"/>
  <c r="A14024" i="1"/>
  <c r="B14024" i="1"/>
  <c r="C14024" i="1"/>
  <c r="E14024" i="1"/>
  <c r="G14024" i="1"/>
  <c r="K14024" i="1"/>
  <c r="A14025" i="1"/>
  <c r="B14025" i="1"/>
  <c r="C14025" i="1"/>
  <c r="E14025" i="1"/>
  <c r="G14025" i="1"/>
  <c r="K14025" i="1"/>
  <c r="A14026" i="1"/>
  <c r="B14026" i="1"/>
  <c r="C14026" i="1"/>
  <c r="E14026" i="1"/>
  <c r="G14026" i="1"/>
  <c r="K14026" i="1"/>
  <c r="A14027" i="1"/>
  <c r="B14027" i="1"/>
  <c r="C14027" i="1"/>
  <c r="E14027" i="1"/>
  <c r="G14027" i="1"/>
  <c r="K14027" i="1"/>
  <c r="A14028" i="1"/>
  <c r="B14028" i="1"/>
  <c r="C14028" i="1"/>
  <c r="E14028" i="1"/>
  <c r="G14028" i="1"/>
  <c r="K14028" i="1"/>
  <c r="A14029" i="1"/>
  <c r="B14029" i="1"/>
  <c r="C14029" i="1"/>
  <c r="E14029" i="1"/>
  <c r="G14029" i="1"/>
  <c r="K14029" i="1"/>
  <c r="A14030" i="1"/>
  <c r="B14030" i="1"/>
  <c r="C14030" i="1"/>
  <c r="E14030" i="1"/>
  <c r="G14030" i="1"/>
  <c r="K14030" i="1"/>
  <c r="A14031" i="1"/>
  <c r="B14031" i="1"/>
  <c r="C14031" i="1"/>
  <c r="E14031" i="1"/>
  <c r="G14031" i="1"/>
  <c r="K14031" i="1"/>
  <c r="A14032" i="1"/>
  <c r="B14032" i="1"/>
  <c r="C14032" i="1"/>
  <c r="E14032" i="1"/>
  <c r="G14032" i="1"/>
  <c r="K14032" i="1"/>
  <c r="A14033" i="1"/>
  <c r="B14033" i="1"/>
  <c r="C14033" i="1"/>
  <c r="E14033" i="1"/>
  <c r="G14033" i="1"/>
  <c r="K14033" i="1"/>
  <c r="A14034" i="1"/>
  <c r="B14034" i="1"/>
  <c r="C14034" i="1"/>
  <c r="E14034" i="1"/>
  <c r="G14034" i="1"/>
  <c r="K14034" i="1"/>
  <c r="A14035" i="1"/>
  <c r="B14035" i="1"/>
  <c r="C14035" i="1"/>
  <c r="E14035" i="1"/>
  <c r="G14035" i="1"/>
  <c r="K14035" i="1"/>
  <c r="A14036" i="1"/>
  <c r="B14036" i="1"/>
  <c r="C14036" i="1"/>
  <c r="E14036" i="1"/>
  <c r="G14036" i="1"/>
  <c r="K14036" i="1"/>
  <c r="A14037" i="1"/>
  <c r="B14037" i="1"/>
  <c r="C14037" i="1"/>
  <c r="E14037" i="1"/>
  <c r="G14037" i="1"/>
  <c r="K14037" i="1"/>
  <c r="A14038" i="1"/>
  <c r="B14038" i="1"/>
  <c r="C14038" i="1"/>
  <c r="E14038" i="1"/>
  <c r="G14038" i="1"/>
  <c r="K14038" i="1"/>
  <c r="A14039" i="1"/>
  <c r="B14039" i="1"/>
  <c r="C14039" i="1"/>
  <c r="E14039" i="1"/>
  <c r="G14039" i="1"/>
  <c r="K14039" i="1"/>
  <c r="A14040" i="1"/>
  <c r="B14040" i="1"/>
  <c r="C14040" i="1"/>
  <c r="E14040" i="1"/>
  <c r="G14040" i="1"/>
  <c r="K14040" i="1"/>
  <c r="A14041" i="1"/>
  <c r="B14041" i="1"/>
  <c r="C14041" i="1"/>
  <c r="E14041" i="1"/>
  <c r="G14041" i="1"/>
  <c r="K14041" i="1"/>
  <c r="A14042" i="1"/>
  <c r="B14042" i="1"/>
  <c r="C14042" i="1"/>
  <c r="E14042" i="1"/>
  <c r="G14042" i="1"/>
  <c r="K14042" i="1"/>
  <c r="A14043" i="1"/>
  <c r="B14043" i="1"/>
  <c r="C14043" i="1"/>
  <c r="E14043" i="1"/>
  <c r="G14043" i="1"/>
  <c r="K14043" i="1"/>
  <c r="A14044" i="1"/>
  <c r="B14044" i="1"/>
  <c r="C14044" i="1"/>
  <c r="E14044" i="1"/>
  <c r="G14044" i="1"/>
  <c r="K14044" i="1"/>
  <c r="A14045" i="1"/>
  <c r="B14045" i="1"/>
  <c r="C14045" i="1"/>
  <c r="E14045" i="1"/>
  <c r="G14045" i="1"/>
  <c r="K14045" i="1"/>
  <c r="A14046" i="1"/>
  <c r="B14046" i="1"/>
  <c r="C14046" i="1"/>
  <c r="E14046" i="1"/>
  <c r="G14046" i="1"/>
  <c r="K14046" i="1"/>
  <c r="A14047" i="1"/>
  <c r="B14047" i="1"/>
  <c r="C14047" i="1"/>
  <c r="E14047" i="1"/>
  <c r="G14047" i="1"/>
  <c r="K14047" i="1"/>
  <c r="A14048" i="1"/>
  <c r="B14048" i="1"/>
  <c r="C14048" i="1"/>
  <c r="E14048" i="1"/>
  <c r="G14048" i="1"/>
  <c r="K14048" i="1"/>
  <c r="A14049" i="1"/>
  <c r="B14049" i="1"/>
  <c r="C14049" i="1"/>
  <c r="E14049" i="1"/>
  <c r="G14049" i="1"/>
  <c r="K14049" i="1"/>
  <c r="A14050" i="1"/>
  <c r="B14050" i="1"/>
  <c r="C14050" i="1"/>
  <c r="E14050" i="1"/>
  <c r="G14050" i="1"/>
  <c r="K14050" i="1"/>
  <c r="A14051" i="1"/>
  <c r="B14051" i="1"/>
  <c r="C14051" i="1"/>
  <c r="E14051" i="1"/>
  <c r="G14051" i="1"/>
  <c r="K14051" i="1"/>
  <c r="A14052" i="1"/>
  <c r="B14052" i="1"/>
  <c r="C14052" i="1"/>
  <c r="E14052" i="1"/>
  <c r="G14052" i="1"/>
  <c r="K14052" i="1"/>
  <c r="A14053" i="1"/>
  <c r="B14053" i="1"/>
  <c r="C14053" i="1"/>
  <c r="E14053" i="1"/>
  <c r="G14053" i="1"/>
  <c r="K14053" i="1"/>
  <c r="A14054" i="1"/>
  <c r="B14054" i="1"/>
  <c r="C14054" i="1"/>
  <c r="E14054" i="1"/>
  <c r="G14054" i="1"/>
  <c r="K14054" i="1"/>
  <c r="A14055" i="1"/>
  <c r="B14055" i="1"/>
  <c r="C14055" i="1"/>
  <c r="E14055" i="1"/>
  <c r="G14055" i="1"/>
  <c r="K14055" i="1"/>
  <c r="A14056" i="1"/>
  <c r="B14056" i="1"/>
  <c r="C14056" i="1"/>
  <c r="E14056" i="1"/>
  <c r="G14056" i="1"/>
  <c r="K14056" i="1"/>
  <c r="A14057" i="1"/>
  <c r="B14057" i="1"/>
  <c r="C14057" i="1"/>
  <c r="E14057" i="1"/>
  <c r="G14057" i="1"/>
  <c r="K14057" i="1"/>
  <c r="A14058" i="1"/>
  <c r="B14058" i="1"/>
  <c r="C14058" i="1"/>
  <c r="E14058" i="1"/>
  <c r="G14058" i="1"/>
  <c r="K14058" i="1"/>
  <c r="A14059" i="1"/>
  <c r="B14059" i="1"/>
  <c r="C14059" i="1"/>
  <c r="E14059" i="1"/>
  <c r="G14059" i="1"/>
  <c r="K14059" i="1"/>
  <c r="A14060" i="1"/>
  <c r="B14060" i="1"/>
  <c r="C14060" i="1"/>
  <c r="E14060" i="1"/>
  <c r="G14060" i="1"/>
  <c r="K14060" i="1"/>
  <c r="A14061" i="1"/>
  <c r="B14061" i="1"/>
  <c r="C14061" i="1"/>
  <c r="E14061" i="1"/>
  <c r="G14061" i="1"/>
  <c r="K14061" i="1"/>
  <c r="A14062" i="1"/>
  <c r="B14062" i="1"/>
  <c r="C14062" i="1"/>
  <c r="E14062" i="1"/>
  <c r="G14062" i="1"/>
  <c r="K14062" i="1"/>
  <c r="A14063" i="1"/>
  <c r="B14063" i="1"/>
  <c r="C14063" i="1"/>
  <c r="E14063" i="1"/>
  <c r="G14063" i="1"/>
  <c r="K14063" i="1"/>
  <c r="A14064" i="1"/>
  <c r="B14064" i="1"/>
  <c r="C14064" i="1"/>
  <c r="E14064" i="1"/>
  <c r="G14064" i="1"/>
  <c r="K14064" i="1"/>
  <c r="A14065" i="1"/>
  <c r="B14065" i="1"/>
  <c r="C14065" i="1"/>
  <c r="E14065" i="1"/>
  <c r="G14065" i="1"/>
  <c r="K14065" i="1"/>
  <c r="A14066" i="1"/>
  <c r="B14066" i="1"/>
  <c r="C14066" i="1"/>
  <c r="E14066" i="1"/>
  <c r="G14066" i="1"/>
  <c r="K14066" i="1"/>
  <c r="A14067" i="1"/>
  <c r="B14067" i="1"/>
  <c r="C14067" i="1"/>
  <c r="E14067" i="1"/>
  <c r="G14067" i="1"/>
  <c r="K14067" i="1"/>
  <c r="A14068" i="1"/>
  <c r="B14068" i="1"/>
  <c r="C14068" i="1"/>
  <c r="E14068" i="1"/>
  <c r="G14068" i="1"/>
  <c r="K14068" i="1"/>
  <c r="A14069" i="1"/>
  <c r="B14069" i="1"/>
  <c r="C14069" i="1"/>
  <c r="E14069" i="1"/>
  <c r="G14069" i="1"/>
  <c r="K14069" i="1"/>
  <c r="A14070" i="1"/>
  <c r="B14070" i="1"/>
  <c r="C14070" i="1"/>
  <c r="E14070" i="1"/>
  <c r="G14070" i="1"/>
  <c r="K14070" i="1"/>
  <c r="A14071" i="1"/>
  <c r="B14071" i="1"/>
  <c r="C14071" i="1"/>
  <c r="E14071" i="1"/>
  <c r="G14071" i="1"/>
  <c r="K14071" i="1"/>
  <c r="A14072" i="1"/>
  <c r="B14072" i="1"/>
  <c r="C14072" i="1"/>
  <c r="E14072" i="1"/>
  <c r="G14072" i="1"/>
  <c r="K14072" i="1"/>
  <c r="A14073" i="1"/>
  <c r="B14073" i="1"/>
  <c r="C14073" i="1"/>
  <c r="E14073" i="1"/>
  <c r="G14073" i="1"/>
  <c r="K14073" i="1"/>
  <c r="A14074" i="1"/>
  <c r="B14074" i="1"/>
  <c r="C14074" i="1"/>
  <c r="E14074" i="1"/>
  <c r="G14074" i="1"/>
  <c r="K14074" i="1"/>
  <c r="A14075" i="1"/>
  <c r="B14075" i="1"/>
  <c r="C14075" i="1"/>
  <c r="E14075" i="1"/>
  <c r="G14075" i="1"/>
  <c r="K14075" i="1"/>
  <c r="A14076" i="1"/>
  <c r="B14076" i="1"/>
  <c r="C14076" i="1"/>
  <c r="E14076" i="1"/>
  <c r="G14076" i="1"/>
  <c r="K14076" i="1"/>
  <c r="A14077" i="1"/>
  <c r="B14077" i="1"/>
  <c r="C14077" i="1"/>
  <c r="E14077" i="1"/>
  <c r="G14077" i="1"/>
  <c r="K14077" i="1"/>
  <c r="A14078" i="1"/>
  <c r="B14078" i="1"/>
  <c r="C14078" i="1"/>
  <c r="E14078" i="1"/>
  <c r="G14078" i="1"/>
  <c r="K14078" i="1"/>
  <c r="A14079" i="1"/>
  <c r="B14079" i="1"/>
  <c r="C14079" i="1"/>
  <c r="E14079" i="1"/>
  <c r="G14079" i="1"/>
  <c r="K14079" i="1"/>
  <c r="A14080" i="1"/>
  <c r="B14080" i="1"/>
  <c r="C14080" i="1"/>
  <c r="E14080" i="1"/>
  <c r="G14080" i="1"/>
  <c r="K14080" i="1"/>
  <c r="A14081" i="1"/>
  <c r="B14081" i="1"/>
  <c r="C14081" i="1"/>
  <c r="E14081" i="1"/>
  <c r="G14081" i="1"/>
  <c r="K14081" i="1"/>
  <c r="A14082" i="1"/>
  <c r="B14082" i="1"/>
  <c r="C14082" i="1"/>
  <c r="E14082" i="1"/>
  <c r="G14082" i="1"/>
  <c r="K14082" i="1"/>
  <c r="A14083" i="1"/>
  <c r="B14083" i="1"/>
  <c r="C14083" i="1"/>
  <c r="E14083" i="1"/>
  <c r="G14083" i="1"/>
  <c r="K14083" i="1"/>
  <c r="A14084" i="1"/>
  <c r="B14084" i="1"/>
  <c r="C14084" i="1"/>
  <c r="E14084" i="1"/>
  <c r="G14084" i="1"/>
  <c r="K14084" i="1"/>
  <c r="A14085" i="1"/>
  <c r="B14085" i="1"/>
  <c r="C14085" i="1"/>
  <c r="E14085" i="1"/>
  <c r="G14085" i="1"/>
  <c r="K14085" i="1"/>
  <c r="A14086" i="1"/>
  <c r="B14086" i="1"/>
  <c r="C14086" i="1"/>
  <c r="E14086" i="1"/>
  <c r="G14086" i="1"/>
  <c r="K14086" i="1"/>
  <c r="A14087" i="1"/>
  <c r="B14087" i="1"/>
  <c r="C14087" i="1"/>
  <c r="E14087" i="1"/>
  <c r="G14087" i="1"/>
  <c r="K14087" i="1"/>
  <c r="A14088" i="1"/>
  <c r="B14088" i="1"/>
  <c r="C14088" i="1"/>
  <c r="E14088" i="1"/>
  <c r="G14088" i="1"/>
  <c r="K14088" i="1"/>
  <c r="A14089" i="1"/>
  <c r="B14089" i="1"/>
  <c r="C14089" i="1"/>
  <c r="E14089" i="1"/>
  <c r="G14089" i="1"/>
  <c r="K14089" i="1"/>
  <c r="A14090" i="1"/>
  <c r="B14090" i="1"/>
  <c r="C14090" i="1"/>
  <c r="E14090" i="1"/>
  <c r="G14090" i="1"/>
  <c r="K14090" i="1"/>
  <c r="A14091" i="1"/>
  <c r="B14091" i="1"/>
  <c r="C14091" i="1"/>
  <c r="E14091" i="1"/>
  <c r="G14091" i="1"/>
  <c r="K14091" i="1"/>
  <c r="A14092" i="1"/>
  <c r="B14092" i="1"/>
  <c r="C14092" i="1"/>
  <c r="E14092" i="1"/>
  <c r="G14092" i="1"/>
  <c r="K14092" i="1"/>
  <c r="A14093" i="1"/>
  <c r="B14093" i="1"/>
  <c r="C14093" i="1"/>
  <c r="E14093" i="1"/>
  <c r="G14093" i="1"/>
  <c r="K14093" i="1"/>
  <c r="A14094" i="1"/>
  <c r="B14094" i="1"/>
  <c r="C14094" i="1"/>
  <c r="E14094" i="1"/>
  <c r="G14094" i="1"/>
  <c r="K14094" i="1"/>
  <c r="A14095" i="1"/>
  <c r="B14095" i="1"/>
  <c r="C14095" i="1"/>
  <c r="E14095" i="1"/>
  <c r="G14095" i="1"/>
  <c r="K14095" i="1"/>
  <c r="A14096" i="1"/>
  <c r="B14096" i="1"/>
  <c r="C14096" i="1"/>
  <c r="E14096" i="1"/>
  <c r="G14096" i="1"/>
  <c r="K14096" i="1"/>
  <c r="A14097" i="1"/>
  <c r="B14097" i="1"/>
  <c r="C14097" i="1"/>
  <c r="E14097" i="1"/>
  <c r="G14097" i="1"/>
  <c r="K14097" i="1"/>
  <c r="A14098" i="1"/>
  <c r="B14098" i="1"/>
  <c r="C14098" i="1"/>
  <c r="E14098" i="1"/>
  <c r="G14098" i="1"/>
  <c r="K14098" i="1"/>
  <c r="A14099" i="1"/>
  <c r="B14099" i="1"/>
  <c r="C14099" i="1"/>
  <c r="E14099" i="1"/>
  <c r="G14099" i="1"/>
  <c r="K14099" i="1"/>
  <c r="A14100" i="1"/>
  <c r="B14100" i="1"/>
  <c r="C14100" i="1"/>
  <c r="E14100" i="1"/>
  <c r="G14100" i="1"/>
  <c r="K14100" i="1"/>
  <c r="A14101" i="1"/>
  <c r="B14101" i="1"/>
  <c r="C14101" i="1"/>
  <c r="E14101" i="1"/>
  <c r="G14101" i="1"/>
  <c r="K14101" i="1"/>
  <c r="A14102" i="1"/>
  <c r="B14102" i="1"/>
  <c r="C14102" i="1"/>
  <c r="E14102" i="1"/>
  <c r="G14102" i="1"/>
  <c r="K14102" i="1"/>
  <c r="A14103" i="1"/>
  <c r="B14103" i="1"/>
  <c r="C14103" i="1"/>
  <c r="E14103" i="1"/>
  <c r="G14103" i="1"/>
  <c r="K14103" i="1"/>
  <c r="A14104" i="1"/>
  <c r="B14104" i="1"/>
  <c r="C14104" i="1"/>
  <c r="E14104" i="1"/>
  <c r="G14104" i="1"/>
  <c r="K14104" i="1"/>
  <c r="A14105" i="1"/>
  <c r="B14105" i="1"/>
  <c r="C14105" i="1"/>
  <c r="E14105" i="1"/>
  <c r="G14105" i="1"/>
  <c r="K14105" i="1"/>
  <c r="A14106" i="1"/>
  <c r="B14106" i="1"/>
  <c r="C14106" i="1"/>
  <c r="E14106" i="1"/>
  <c r="G14106" i="1"/>
  <c r="K14106" i="1"/>
  <c r="A14107" i="1"/>
  <c r="B14107" i="1"/>
  <c r="C14107" i="1"/>
  <c r="E14107" i="1"/>
  <c r="G14107" i="1"/>
  <c r="K14107" i="1"/>
  <c r="A14108" i="1"/>
  <c r="B14108" i="1"/>
  <c r="C14108" i="1"/>
  <c r="E14108" i="1"/>
  <c r="G14108" i="1"/>
  <c r="K14108" i="1"/>
  <c r="A14109" i="1"/>
  <c r="B14109" i="1"/>
  <c r="C14109" i="1"/>
  <c r="E14109" i="1"/>
  <c r="G14109" i="1"/>
  <c r="K14109" i="1"/>
  <c r="A14110" i="1"/>
  <c r="B14110" i="1"/>
  <c r="C14110" i="1"/>
  <c r="E14110" i="1"/>
  <c r="G14110" i="1"/>
  <c r="K14110" i="1"/>
  <c r="A14111" i="1"/>
  <c r="B14111" i="1"/>
  <c r="C14111" i="1"/>
  <c r="E14111" i="1"/>
  <c r="G14111" i="1"/>
  <c r="K14111" i="1"/>
  <c r="A14112" i="1"/>
  <c r="B14112" i="1"/>
  <c r="C14112" i="1"/>
  <c r="E14112" i="1"/>
  <c r="G14112" i="1"/>
  <c r="K14112" i="1"/>
  <c r="A14113" i="1"/>
  <c r="B14113" i="1"/>
  <c r="C14113" i="1"/>
  <c r="E14113" i="1"/>
  <c r="G14113" i="1"/>
  <c r="K14113" i="1"/>
  <c r="A14114" i="1"/>
  <c r="B14114" i="1"/>
  <c r="C14114" i="1"/>
  <c r="E14114" i="1"/>
  <c r="G14114" i="1"/>
  <c r="K14114" i="1"/>
  <c r="A14115" i="1"/>
  <c r="B14115" i="1"/>
  <c r="C14115" i="1"/>
  <c r="E14115" i="1"/>
  <c r="G14115" i="1"/>
  <c r="K14115" i="1"/>
  <c r="A14116" i="1"/>
  <c r="B14116" i="1"/>
  <c r="C14116" i="1"/>
  <c r="E14116" i="1"/>
  <c r="G14116" i="1"/>
  <c r="K14116" i="1"/>
  <c r="A14117" i="1"/>
  <c r="B14117" i="1"/>
  <c r="C14117" i="1"/>
  <c r="E14117" i="1"/>
  <c r="G14117" i="1"/>
  <c r="K14117" i="1"/>
  <c r="A14118" i="1"/>
  <c r="B14118" i="1"/>
  <c r="C14118" i="1"/>
  <c r="E14118" i="1"/>
  <c r="G14118" i="1"/>
  <c r="K14118" i="1"/>
  <c r="A14119" i="1"/>
  <c r="B14119" i="1"/>
  <c r="C14119" i="1"/>
  <c r="E14119" i="1"/>
  <c r="G14119" i="1"/>
  <c r="K14119" i="1"/>
  <c r="A14120" i="1"/>
  <c r="B14120" i="1"/>
  <c r="C14120" i="1"/>
  <c r="E14120" i="1"/>
  <c r="G14120" i="1"/>
  <c r="K14120" i="1"/>
  <c r="A14121" i="1"/>
  <c r="B14121" i="1"/>
  <c r="C14121" i="1"/>
  <c r="E14121" i="1"/>
  <c r="G14121" i="1"/>
  <c r="K14121" i="1"/>
  <c r="A14122" i="1"/>
  <c r="B14122" i="1"/>
  <c r="C14122" i="1"/>
  <c r="E14122" i="1"/>
  <c r="G14122" i="1"/>
  <c r="K14122" i="1"/>
  <c r="A14123" i="1"/>
  <c r="B14123" i="1"/>
  <c r="C14123" i="1"/>
  <c r="E14123" i="1"/>
  <c r="G14123" i="1"/>
  <c r="K14123" i="1"/>
  <c r="A14124" i="1"/>
  <c r="B14124" i="1"/>
  <c r="C14124" i="1"/>
  <c r="E14124" i="1"/>
  <c r="G14124" i="1"/>
  <c r="K14124" i="1"/>
  <c r="A14125" i="1"/>
  <c r="B14125" i="1"/>
  <c r="C14125" i="1"/>
  <c r="E14125" i="1"/>
  <c r="G14125" i="1"/>
  <c r="K14125" i="1"/>
  <c r="A14126" i="1"/>
  <c r="B14126" i="1"/>
  <c r="C14126" i="1"/>
  <c r="E14126" i="1"/>
  <c r="G14126" i="1"/>
  <c r="K14126" i="1"/>
  <c r="A14127" i="1"/>
  <c r="B14127" i="1"/>
  <c r="C14127" i="1"/>
  <c r="E14127" i="1"/>
  <c r="G14127" i="1"/>
  <c r="K14127" i="1"/>
  <c r="A14128" i="1"/>
  <c r="B14128" i="1"/>
  <c r="C14128" i="1"/>
  <c r="E14128" i="1"/>
  <c r="G14128" i="1"/>
  <c r="K14128" i="1"/>
  <c r="A14129" i="1"/>
  <c r="B14129" i="1"/>
  <c r="C14129" i="1"/>
  <c r="E14129" i="1"/>
  <c r="G14129" i="1"/>
  <c r="K14129" i="1"/>
  <c r="A14130" i="1"/>
  <c r="B14130" i="1"/>
  <c r="C14130" i="1"/>
  <c r="E14130" i="1"/>
  <c r="G14130" i="1"/>
  <c r="K14130" i="1"/>
  <c r="A14131" i="1"/>
  <c r="B14131" i="1"/>
  <c r="C14131" i="1"/>
  <c r="E14131" i="1"/>
  <c r="G14131" i="1"/>
  <c r="K14131" i="1"/>
  <c r="A14132" i="1"/>
  <c r="B14132" i="1"/>
  <c r="C14132" i="1"/>
  <c r="E14132" i="1"/>
  <c r="G14132" i="1"/>
  <c r="K14132" i="1"/>
  <c r="A14133" i="1"/>
  <c r="B14133" i="1"/>
  <c r="C14133" i="1"/>
  <c r="E14133" i="1"/>
  <c r="G14133" i="1"/>
  <c r="K14133" i="1"/>
  <c r="A14134" i="1"/>
  <c r="B14134" i="1"/>
  <c r="C14134" i="1"/>
  <c r="E14134" i="1"/>
  <c r="G14134" i="1"/>
  <c r="K14134" i="1"/>
  <c r="A14135" i="1"/>
  <c r="B14135" i="1"/>
  <c r="C14135" i="1"/>
  <c r="E14135" i="1"/>
  <c r="G14135" i="1"/>
  <c r="K14135" i="1"/>
  <c r="A14136" i="1"/>
  <c r="B14136" i="1"/>
  <c r="C14136" i="1"/>
  <c r="E14136" i="1"/>
  <c r="G14136" i="1"/>
  <c r="K14136" i="1"/>
  <c r="A14137" i="1"/>
  <c r="B14137" i="1"/>
  <c r="C14137" i="1"/>
  <c r="E14137" i="1"/>
  <c r="G14137" i="1"/>
  <c r="K14137" i="1"/>
  <c r="A14138" i="1"/>
  <c r="B14138" i="1"/>
  <c r="C14138" i="1"/>
  <c r="E14138" i="1"/>
  <c r="G14138" i="1"/>
  <c r="K14138" i="1"/>
  <c r="A14139" i="1"/>
  <c r="B14139" i="1"/>
  <c r="C14139" i="1"/>
  <c r="E14139" i="1"/>
  <c r="G14139" i="1"/>
  <c r="K14139" i="1"/>
  <c r="A14140" i="1"/>
  <c r="B14140" i="1"/>
  <c r="C14140" i="1"/>
  <c r="E14140" i="1"/>
  <c r="G14140" i="1"/>
  <c r="K14140" i="1"/>
  <c r="A14141" i="1"/>
  <c r="B14141" i="1"/>
  <c r="C14141" i="1"/>
  <c r="E14141" i="1"/>
  <c r="G14141" i="1"/>
  <c r="K14141" i="1"/>
  <c r="A14142" i="1"/>
  <c r="B14142" i="1"/>
  <c r="C14142" i="1"/>
  <c r="E14142" i="1"/>
  <c r="G14142" i="1"/>
  <c r="K14142" i="1"/>
  <c r="A14143" i="1"/>
  <c r="B14143" i="1"/>
  <c r="C14143" i="1"/>
  <c r="E14143" i="1"/>
  <c r="G14143" i="1"/>
  <c r="K14143" i="1"/>
  <c r="A14144" i="1"/>
  <c r="B14144" i="1"/>
  <c r="C14144" i="1"/>
  <c r="E14144" i="1"/>
  <c r="G14144" i="1"/>
  <c r="K14144" i="1"/>
  <c r="A14145" i="1"/>
  <c r="B14145" i="1"/>
  <c r="C14145" i="1"/>
  <c r="E14145" i="1"/>
  <c r="G14145" i="1"/>
  <c r="K14145" i="1"/>
  <c r="A14146" i="1"/>
  <c r="B14146" i="1"/>
  <c r="C14146" i="1"/>
  <c r="E14146" i="1"/>
  <c r="G14146" i="1"/>
  <c r="K14146" i="1"/>
  <c r="A14147" i="1"/>
  <c r="B14147" i="1"/>
  <c r="C14147" i="1"/>
  <c r="E14147" i="1"/>
  <c r="G14147" i="1"/>
  <c r="K14147" i="1"/>
  <c r="A14148" i="1"/>
  <c r="B14148" i="1"/>
  <c r="C14148" i="1"/>
  <c r="E14148" i="1"/>
  <c r="G14148" i="1"/>
  <c r="K14148" i="1"/>
  <c r="A14149" i="1"/>
  <c r="B14149" i="1"/>
  <c r="C14149" i="1"/>
  <c r="E14149" i="1"/>
  <c r="G14149" i="1"/>
  <c r="K14149" i="1"/>
  <c r="A14150" i="1"/>
  <c r="B14150" i="1"/>
  <c r="C14150" i="1"/>
  <c r="E14150" i="1"/>
  <c r="G14150" i="1"/>
  <c r="K14150" i="1"/>
  <c r="A14151" i="1"/>
  <c r="B14151" i="1"/>
  <c r="C14151" i="1"/>
  <c r="E14151" i="1"/>
  <c r="G14151" i="1"/>
  <c r="K14151" i="1"/>
  <c r="A14152" i="1"/>
  <c r="B14152" i="1"/>
  <c r="C14152" i="1"/>
  <c r="E14152" i="1"/>
  <c r="G14152" i="1"/>
  <c r="K14152" i="1"/>
  <c r="A14153" i="1"/>
  <c r="B14153" i="1"/>
  <c r="C14153" i="1"/>
  <c r="E14153" i="1"/>
  <c r="G14153" i="1"/>
  <c r="K14153" i="1"/>
  <c r="A14154" i="1"/>
  <c r="B14154" i="1"/>
  <c r="C14154" i="1"/>
  <c r="E14154" i="1"/>
  <c r="G14154" i="1"/>
  <c r="K14154" i="1"/>
  <c r="A14155" i="1"/>
  <c r="B14155" i="1"/>
  <c r="C14155" i="1"/>
  <c r="E14155" i="1"/>
  <c r="G14155" i="1"/>
  <c r="K14155" i="1"/>
  <c r="A14156" i="1"/>
  <c r="B14156" i="1"/>
  <c r="C14156" i="1"/>
  <c r="E14156" i="1"/>
  <c r="G14156" i="1"/>
  <c r="K14156" i="1"/>
  <c r="A14157" i="1"/>
  <c r="B14157" i="1"/>
  <c r="C14157" i="1"/>
  <c r="E14157" i="1"/>
  <c r="G14157" i="1"/>
  <c r="K14157" i="1"/>
  <c r="A14158" i="1"/>
  <c r="B14158" i="1"/>
  <c r="C14158" i="1"/>
  <c r="E14158" i="1"/>
  <c r="G14158" i="1"/>
  <c r="K14158" i="1"/>
  <c r="A14159" i="1"/>
  <c r="B14159" i="1"/>
  <c r="C14159" i="1"/>
  <c r="E14159" i="1"/>
  <c r="G14159" i="1"/>
  <c r="K14159" i="1"/>
  <c r="A14160" i="1"/>
  <c r="B14160" i="1"/>
  <c r="C14160" i="1"/>
  <c r="E14160" i="1"/>
  <c r="G14160" i="1"/>
  <c r="K14160" i="1"/>
  <c r="A14161" i="1"/>
  <c r="B14161" i="1"/>
  <c r="C14161" i="1"/>
  <c r="E14161" i="1"/>
  <c r="G14161" i="1"/>
  <c r="K14161" i="1"/>
  <c r="A14162" i="1"/>
  <c r="B14162" i="1"/>
  <c r="C14162" i="1"/>
  <c r="E14162" i="1"/>
  <c r="G14162" i="1"/>
  <c r="K14162" i="1"/>
  <c r="A14163" i="1"/>
  <c r="B14163" i="1"/>
  <c r="C14163" i="1"/>
  <c r="E14163" i="1"/>
  <c r="G14163" i="1"/>
  <c r="K14163" i="1"/>
  <c r="A14164" i="1"/>
  <c r="B14164" i="1"/>
  <c r="C14164" i="1"/>
  <c r="E14164" i="1"/>
  <c r="G14164" i="1"/>
  <c r="K14164" i="1"/>
  <c r="A14165" i="1"/>
  <c r="B14165" i="1"/>
  <c r="C14165" i="1"/>
  <c r="E14165" i="1"/>
  <c r="G14165" i="1"/>
  <c r="K14165" i="1"/>
  <c r="A14166" i="1"/>
  <c r="B14166" i="1"/>
  <c r="C14166" i="1"/>
  <c r="E14166" i="1"/>
  <c r="G14166" i="1"/>
  <c r="K14166" i="1"/>
  <c r="A14167" i="1"/>
  <c r="B14167" i="1"/>
  <c r="C14167" i="1"/>
  <c r="E14167" i="1"/>
  <c r="G14167" i="1"/>
  <c r="K14167" i="1"/>
  <c r="A14168" i="1"/>
  <c r="B14168" i="1"/>
  <c r="C14168" i="1"/>
  <c r="E14168" i="1"/>
  <c r="G14168" i="1"/>
  <c r="K14168" i="1"/>
  <c r="A14169" i="1"/>
  <c r="B14169" i="1"/>
  <c r="C14169" i="1"/>
  <c r="E14169" i="1"/>
  <c r="G14169" i="1"/>
  <c r="K14169" i="1"/>
  <c r="A14170" i="1"/>
  <c r="B14170" i="1"/>
  <c r="C14170" i="1"/>
  <c r="E14170" i="1"/>
  <c r="G14170" i="1"/>
  <c r="K14170" i="1"/>
  <c r="A14171" i="1"/>
  <c r="B14171" i="1"/>
  <c r="C14171" i="1"/>
  <c r="E14171" i="1"/>
  <c r="G14171" i="1"/>
  <c r="K14171" i="1"/>
  <c r="A14172" i="1"/>
  <c r="B14172" i="1"/>
  <c r="C14172" i="1"/>
  <c r="E14172" i="1"/>
  <c r="G14172" i="1"/>
  <c r="K14172" i="1"/>
  <c r="A14173" i="1"/>
  <c r="B14173" i="1"/>
  <c r="C14173" i="1"/>
  <c r="E14173" i="1"/>
  <c r="G14173" i="1"/>
  <c r="K14173" i="1"/>
  <c r="A14174" i="1"/>
  <c r="B14174" i="1"/>
  <c r="C14174" i="1"/>
  <c r="E14174" i="1"/>
  <c r="G14174" i="1"/>
  <c r="K14174" i="1"/>
  <c r="A14175" i="1"/>
  <c r="B14175" i="1"/>
  <c r="C14175" i="1"/>
  <c r="E14175" i="1"/>
  <c r="G14175" i="1"/>
  <c r="K14175" i="1"/>
  <c r="A14176" i="1"/>
  <c r="B14176" i="1"/>
  <c r="C14176" i="1"/>
  <c r="E14176" i="1"/>
  <c r="G14176" i="1"/>
  <c r="K14176" i="1"/>
  <c r="A14177" i="1"/>
  <c r="B14177" i="1"/>
  <c r="C14177" i="1"/>
  <c r="E14177" i="1"/>
  <c r="G14177" i="1"/>
  <c r="K14177" i="1"/>
  <c r="A14178" i="1"/>
  <c r="B14178" i="1"/>
  <c r="C14178" i="1"/>
  <c r="E14178" i="1"/>
  <c r="G14178" i="1"/>
  <c r="K14178" i="1"/>
  <c r="A14179" i="1"/>
  <c r="B14179" i="1"/>
  <c r="C14179" i="1"/>
  <c r="E14179" i="1"/>
  <c r="G14179" i="1"/>
  <c r="K14179" i="1"/>
  <c r="A14180" i="1"/>
  <c r="B14180" i="1"/>
  <c r="C14180" i="1"/>
  <c r="E14180" i="1"/>
  <c r="G14180" i="1"/>
  <c r="K14180" i="1"/>
  <c r="A14181" i="1"/>
  <c r="B14181" i="1"/>
  <c r="C14181" i="1"/>
  <c r="E14181" i="1"/>
  <c r="G14181" i="1"/>
  <c r="K14181" i="1"/>
  <c r="A14182" i="1"/>
  <c r="B14182" i="1"/>
  <c r="C14182" i="1"/>
  <c r="E14182" i="1"/>
  <c r="G14182" i="1"/>
  <c r="K14182" i="1"/>
  <c r="A14183" i="1"/>
  <c r="B14183" i="1"/>
  <c r="C14183" i="1"/>
  <c r="E14183" i="1"/>
  <c r="G14183" i="1"/>
  <c r="K14183" i="1"/>
  <c r="A14184" i="1"/>
  <c r="B14184" i="1"/>
  <c r="C14184" i="1"/>
  <c r="E14184" i="1"/>
  <c r="G14184" i="1"/>
  <c r="K14184" i="1"/>
  <c r="A14185" i="1"/>
  <c r="B14185" i="1"/>
  <c r="C14185" i="1"/>
  <c r="E14185" i="1"/>
  <c r="G14185" i="1"/>
  <c r="K14185" i="1"/>
  <c r="A14186" i="1"/>
  <c r="B14186" i="1"/>
  <c r="C14186" i="1"/>
  <c r="E14186" i="1"/>
  <c r="G14186" i="1"/>
  <c r="K14186" i="1"/>
  <c r="A14187" i="1"/>
  <c r="B14187" i="1"/>
  <c r="C14187" i="1"/>
  <c r="E14187" i="1"/>
  <c r="G14187" i="1"/>
  <c r="K14187" i="1"/>
  <c r="A14188" i="1"/>
  <c r="B14188" i="1"/>
  <c r="C14188" i="1"/>
  <c r="E14188" i="1"/>
  <c r="G14188" i="1"/>
  <c r="K14188" i="1"/>
  <c r="A14189" i="1"/>
  <c r="B14189" i="1"/>
  <c r="C14189" i="1"/>
  <c r="E14189" i="1"/>
  <c r="G14189" i="1"/>
  <c r="K14189" i="1"/>
  <c r="A14190" i="1"/>
  <c r="B14190" i="1"/>
  <c r="C14190" i="1"/>
  <c r="E14190" i="1"/>
  <c r="G14190" i="1"/>
  <c r="K14190" i="1"/>
  <c r="A14191" i="1"/>
  <c r="B14191" i="1"/>
  <c r="C14191" i="1"/>
  <c r="E14191" i="1"/>
  <c r="G14191" i="1"/>
  <c r="K14191" i="1"/>
  <c r="A14192" i="1"/>
  <c r="B14192" i="1"/>
  <c r="C14192" i="1"/>
  <c r="E14192" i="1"/>
  <c r="G14192" i="1"/>
  <c r="K14192" i="1"/>
  <c r="A14193" i="1"/>
  <c r="B14193" i="1"/>
  <c r="C14193" i="1"/>
  <c r="E14193" i="1"/>
  <c r="G14193" i="1"/>
  <c r="K14193" i="1"/>
  <c r="A14194" i="1"/>
  <c r="B14194" i="1"/>
  <c r="C14194" i="1"/>
  <c r="E14194" i="1"/>
  <c r="G14194" i="1"/>
  <c r="K14194" i="1"/>
  <c r="A14195" i="1"/>
  <c r="B14195" i="1"/>
  <c r="C14195" i="1"/>
  <c r="E14195" i="1"/>
  <c r="G14195" i="1"/>
  <c r="K14195" i="1"/>
  <c r="A14196" i="1"/>
  <c r="B14196" i="1"/>
  <c r="C14196" i="1"/>
  <c r="E14196" i="1"/>
  <c r="G14196" i="1"/>
  <c r="K14196" i="1"/>
  <c r="A14197" i="1"/>
  <c r="B14197" i="1"/>
  <c r="C14197" i="1"/>
  <c r="E14197" i="1"/>
  <c r="G14197" i="1"/>
  <c r="K14197" i="1"/>
  <c r="A14198" i="1"/>
  <c r="B14198" i="1"/>
  <c r="C14198" i="1"/>
  <c r="E14198" i="1"/>
  <c r="G14198" i="1"/>
  <c r="K14198" i="1"/>
  <c r="A14199" i="1"/>
  <c r="B14199" i="1"/>
  <c r="C14199" i="1"/>
  <c r="E14199" i="1"/>
  <c r="G14199" i="1"/>
  <c r="K14199" i="1"/>
  <c r="A14200" i="1"/>
  <c r="B14200" i="1"/>
  <c r="C14200" i="1"/>
  <c r="E14200" i="1"/>
  <c r="G14200" i="1"/>
  <c r="K14200" i="1"/>
  <c r="A14201" i="1"/>
  <c r="B14201" i="1"/>
  <c r="C14201" i="1"/>
  <c r="E14201" i="1"/>
  <c r="G14201" i="1"/>
  <c r="K14201" i="1"/>
  <c r="A14202" i="1"/>
  <c r="B14202" i="1"/>
  <c r="C14202" i="1"/>
  <c r="E14202" i="1"/>
  <c r="G14202" i="1"/>
  <c r="K14202" i="1"/>
  <c r="A14203" i="1"/>
  <c r="B14203" i="1"/>
  <c r="C14203" i="1"/>
  <c r="E14203" i="1"/>
  <c r="G14203" i="1"/>
  <c r="K14203" i="1"/>
  <c r="A14204" i="1"/>
  <c r="B14204" i="1"/>
  <c r="C14204" i="1"/>
  <c r="E14204" i="1"/>
  <c r="G14204" i="1"/>
  <c r="K14204" i="1"/>
  <c r="A14205" i="1"/>
  <c r="B14205" i="1"/>
  <c r="C14205" i="1"/>
  <c r="E14205" i="1"/>
  <c r="G14205" i="1"/>
  <c r="K14205" i="1"/>
  <c r="A14206" i="1"/>
  <c r="B14206" i="1"/>
  <c r="C14206" i="1"/>
  <c r="E14206" i="1"/>
  <c r="G14206" i="1"/>
  <c r="K14206" i="1"/>
  <c r="A14207" i="1"/>
  <c r="B14207" i="1"/>
  <c r="C14207" i="1"/>
  <c r="E14207" i="1"/>
  <c r="G14207" i="1"/>
  <c r="K14207" i="1"/>
  <c r="A14208" i="1"/>
  <c r="B14208" i="1"/>
  <c r="C14208" i="1"/>
  <c r="E14208" i="1"/>
  <c r="G14208" i="1"/>
  <c r="K14208" i="1"/>
  <c r="A14209" i="1"/>
  <c r="B14209" i="1"/>
  <c r="C14209" i="1"/>
  <c r="E14209" i="1"/>
  <c r="G14209" i="1"/>
  <c r="K14209" i="1"/>
  <c r="A14210" i="1"/>
  <c r="B14210" i="1"/>
  <c r="C14210" i="1"/>
  <c r="E14210" i="1"/>
  <c r="G14210" i="1"/>
  <c r="K14210" i="1"/>
  <c r="A14211" i="1"/>
  <c r="B14211" i="1"/>
  <c r="C14211" i="1"/>
  <c r="E14211" i="1"/>
  <c r="G14211" i="1"/>
  <c r="K14211" i="1"/>
  <c r="A14212" i="1"/>
  <c r="B14212" i="1"/>
  <c r="C14212" i="1"/>
  <c r="E14212" i="1"/>
  <c r="G14212" i="1"/>
  <c r="K14212" i="1"/>
  <c r="A14213" i="1"/>
  <c r="B14213" i="1"/>
  <c r="C14213" i="1"/>
  <c r="E14213" i="1"/>
  <c r="G14213" i="1"/>
  <c r="K14213" i="1"/>
  <c r="A14214" i="1"/>
  <c r="B14214" i="1"/>
  <c r="C14214" i="1"/>
  <c r="E14214" i="1"/>
  <c r="G14214" i="1"/>
  <c r="K14214" i="1"/>
  <c r="A14215" i="1"/>
  <c r="B14215" i="1"/>
  <c r="C14215" i="1"/>
  <c r="E14215" i="1"/>
  <c r="G14215" i="1"/>
  <c r="K14215" i="1"/>
  <c r="A14216" i="1"/>
  <c r="B14216" i="1"/>
  <c r="C14216" i="1"/>
  <c r="E14216" i="1"/>
  <c r="G14216" i="1"/>
  <c r="K14216" i="1"/>
  <c r="A14217" i="1"/>
  <c r="B14217" i="1"/>
  <c r="C14217" i="1"/>
  <c r="E14217" i="1"/>
  <c r="G14217" i="1"/>
  <c r="K14217" i="1"/>
  <c r="A14218" i="1"/>
  <c r="B14218" i="1"/>
  <c r="C14218" i="1"/>
  <c r="E14218" i="1"/>
  <c r="G14218" i="1"/>
  <c r="K14218" i="1"/>
  <c r="A14219" i="1"/>
  <c r="B14219" i="1"/>
  <c r="C14219" i="1"/>
  <c r="E14219" i="1"/>
  <c r="G14219" i="1"/>
  <c r="K14219" i="1"/>
  <c r="A14220" i="1"/>
  <c r="B14220" i="1"/>
  <c r="C14220" i="1"/>
  <c r="E14220" i="1"/>
  <c r="G14220" i="1"/>
  <c r="K14220" i="1"/>
  <c r="A14221" i="1"/>
  <c r="B14221" i="1"/>
  <c r="C14221" i="1"/>
  <c r="E14221" i="1"/>
  <c r="G14221" i="1"/>
  <c r="K14221" i="1"/>
  <c r="A14222" i="1"/>
  <c r="B14222" i="1"/>
  <c r="C14222" i="1"/>
  <c r="E14222" i="1"/>
  <c r="G14222" i="1"/>
  <c r="K14222" i="1"/>
  <c r="A14223" i="1"/>
  <c r="B14223" i="1"/>
  <c r="C14223" i="1"/>
  <c r="E14223" i="1"/>
  <c r="G14223" i="1"/>
  <c r="K14223" i="1"/>
  <c r="A14224" i="1"/>
  <c r="B14224" i="1"/>
  <c r="C14224" i="1"/>
  <c r="E14224" i="1"/>
  <c r="G14224" i="1"/>
  <c r="K14224" i="1"/>
  <c r="A14225" i="1"/>
  <c r="B14225" i="1"/>
  <c r="C14225" i="1"/>
  <c r="E14225" i="1"/>
  <c r="G14225" i="1"/>
  <c r="K14225" i="1"/>
  <c r="A14226" i="1"/>
  <c r="B14226" i="1"/>
  <c r="C14226" i="1"/>
  <c r="E14226" i="1"/>
  <c r="G14226" i="1"/>
  <c r="K14226" i="1"/>
  <c r="A14227" i="1"/>
  <c r="B14227" i="1"/>
  <c r="C14227" i="1"/>
  <c r="E14227" i="1"/>
  <c r="G14227" i="1"/>
  <c r="K14227" i="1"/>
  <c r="A14228" i="1"/>
  <c r="B14228" i="1"/>
  <c r="C14228" i="1"/>
  <c r="E14228" i="1"/>
  <c r="G14228" i="1"/>
  <c r="K14228" i="1"/>
  <c r="A14229" i="1"/>
  <c r="B14229" i="1"/>
  <c r="C14229" i="1"/>
  <c r="E14229" i="1"/>
  <c r="G14229" i="1"/>
  <c r="K14229" i="1"/>
  <c r="A14230" i="1"/>
  <c r="B14230" i="1"/>
  <c r="C14230" i="1"/>
  <c r="E14230" i="1"/>
  <c r="G14230" i="1"/>
  <c r="K14230" i="1"/>
  <c r="A14231" i="1"/>
  <c r="B14231" i="1"/>
  <c r="C14231" i="1"/>
  <c r="E14231" i="1"/>
  <c r="G14231" i="1"/>
  <c r="K14231" i="1"/>
  <c r="A14232" i="1"/>
  <c r="B14232" i="1"/>
  <c r="C14232" i="1"/>
  <c r="E14232" i="1"/>
  <c r="G14232" i="1"/>
  <c r="K14232" i="1"/>
  <c r="A14233" i="1"/>
  <c r="B14233" i="1"/>
  <c r="C14233" i="1"/>
  <c r="E14233" i="1"/>
  <c r="G14233" i="1"/>
  <c r="K14233" i="1"/>
  <c r="A14234" i="1"/>
  <c r="B14234" i="1"/>
  <c r="C14234" i="1"/>
  <c r="E14234" i="1"/>
  <c r="G14234" i="1"/>
  <c r="K14234" i="1"/>
  <c r="A14235" i="1"/>
  <c r="B14235" i="1"/>
  <c r="C14235" i="1"/>
  <c r="E14235" i="1"/>
  <c r="G14235" i="1"/>
  <c r="K14235" i="1"/>
  <c r="A14236" i="1"/>
  <c r="B14236" i="1"/>
  <c r="C14236" i="1"/>
  <c r="E14236" i="1"/>
  <c r="G14236" i="1"/>
  <c r="K14236" i="1"/>
  <c r="A14237" i="1"/>
  <c r="B14237" i="1"/>
  <c r="C14237" i="1"/>
  <c r="E14237" i="1"/>
  <c r="G14237" i="1"/>
  <c r="K14237" i="1"/>
  <c r="A14238" i="1"/>
  <c r="B14238" i="1"/>
  <c r="C14238" i="1"/>
  <c r="E14238" i="1"/>
  <c r="G14238" i="1"/>
  <c r="K14238" i="1"/>
  <c r="A14239" i="1"/>
  <c r="B14239" i="1"/>
  <c r="C14239" i="1"/>
  <c r="E14239" i="1"/>
  <c r="G14239" i="1"/>
  <c r="K14239" i="1"/>
  <c r="A14240" i="1"/>
  <c r="B14240" i="1"/>
  <c r="C14240" i="1"/>
  <c r="E14240" i="1"/>
  <c r="G14240" i="1"/>
  <c r="K14240" i="1"/>
  <c r="A14241" i="1"/>
  <c r="B14241" i="1"/>
  <c r="C14241" i="1"/>
  <c r="E14241" i="1"/>
  <c r="G14241" i="1"/>
  <c r="K14241" i="1"/>
  <c r="A14242" i="1"/>
  <c r="B14242" i="1"/>
  <c r="C14242" i="1"/>
  <c r="E14242" i="1"/>
  <c r="G14242" i="1"/>
  <c r="K14242" i="1"/>
  <c r="A14243" i="1"/>
  <c r="B14243" i="1"/>
  <c r="C14243" i="1"/>
  <c r="E14243" i="1"/>
  <c r="G14243" i="1"/>
  <c r="K14243" i="1"/>
  <c r="A14244" i="1"/>
  <c r="B14244" i="1"/>
  <c r="C14244" i="1"/>
  <c r="E14244" i="1"/>
  <c r="G14244" i="1"/>
  <c r="K14244" i="1"/>
  <c r="A14245" i="1"/>
  <c r="B14245" i="1"/>
  <c r="C14245" i="1"/>
  <c r="E14245" i="1"/>
  <c r="G14245" i="1"/>
  <c r="K14245" i="1"/>
  <c r="A14246" i="1"/>
  <c r="B14246" i="1"/>
  <c r="C14246" i="1"/>
  <c r="E14246" i="1"/>
  <c r="G14246" i="1"/>
  <c r="K14246" i="1"/>
  <c r="A14247" i="1"/>
  <c r="B14247" i="1"/>
  <c r="C14247" i="1"/>
  <c r="E14247" i="1"/>
  <c r="G14247" i="1"/>
  <c r="K14247" i="1"/>
  <c r="A14248" i="1"/>
  <c r="B14248" i="1"/>
  <c r="C14248" i="1"/>
  <c r="E14248" i="1"/>
  <c r="G14248" i="1"/>
  <c r="K14248" i="1"/>
  <c r="A14249" i="1"/>
  <c r="B14249" i="1"/>
  <c r="C14249" i="1"/>
  <c r="E14249" i="1"/>
  <c r="G14249" i="1"/>
  <c r="K14249" i="1"/>
  <c r="A14250" i="1"/>
  <c r="B14250" i="1"/>
  <c r="C14250" i="1"/>
  <c r="E14250" i="1"/>
  <c r="G14250" i="1"/>
  <c r="K14250" i="1"/>
  <c r="A14251" i="1"/>
  <c r="B14251" i="1"/>
  <c r="C14251" i="1"/>
  <c r="E14251" i="1"/>
  <c r="G14251" i="1"/>
  <c r="K14251" i="1"/>
  <c r="A14252" i="1"/>
  <c r="B14252" i="1"/>
  <c r="C14252" i="1"/>
  <c r="E14252" i="1"/>
  <c r="G14252" i="1"/>
  <c r="K14252" i="1"/>
  <c r="A14253" i="1"/>
  <c r="B14253" i="1"/>
  <c r="C14253" i="1"/>
  <c r="E14253" i="1"/>
  <c r="G14253" i="1"/>
  <c r="K14253" i="1"/>
  <c r="A14254" i="1"/>
  <c r="B14254" i="1"/>
  <c r="C14254" i="1"/>
  <c r="E14254" i="1"/>
  <c r="G14254" i="1"/>
  <c r="K14254" i="1"/>
  <c r="A14255" i="1"/>
  <c r="B14255" i="1"/>
  <c r="C14255" i="1"/>
  <c r="E14255" i="1"/>
  <c r="G14255" i="1"/>
  <c r="K14255" i="1"/>
  <c r="A14256" i="1"/>
  <c r="B14256" i="1"/>
  <c r="C14256" i="1"/>
  <c r="E14256" i="1"/>
  <c r="G14256" i="1"/>
  <c r="K14256" i="1"/>
  <c r="A14257" i="1"/>
  <c r="B14257" i="1"/>
  <c r="C14257" i="1"/>
  <c r="E14257" i="1"/>
  <c r="G14257" i="1"/>
  <c r="K14257" i="1"/>
  <c r="A14258" i="1"/>
  <c r="B14258" i="1"/>
  <c r="C14258" i="1"/>
  <c r="E14258" i="1"/>
  <c r="G14258" i="1"/>
  <c r="K14258" i="1"/>
  <c r="A14259" i="1"/>
  <c r="B14259" i="1"/>
  <c r="C14259" i="1"/>
  <c r="E14259" i="1"/>
  <c r="G14259" i="1"/>
  <c r="K14259" i="1"/>
  <c r="A14260" i="1"/>
  <c r="B14260" i="1"/>
  <c r="C14260" i="1"/>
  <c r="E14260" i="1"/>
  <c r="G14260" i="1"/>
  <c r="K14260" i="1"/>
  <c r="A14261" i="1"/>
  <c r="B14261" i="1"/>
  <c r="C14261" i="1"/>
  <c r="E14261" i="1"/>
  <c r="G14261" i="1"/>
  <c r="K14261" i="1"/>
  <c r="A14262" i="1"/>
  <c r="B14262" i="1"/>
  <c r="C14262" i="1"/>
  <c r="E14262" i="1"/>
  <c r="G14262" i="1"/>
  <c r="K14262" i="1"/>
  <c r="A14263" i="1"/>
  <c r="B14263" i="1"/>
  <c r="C14263" i="1"/>
  <c r="E14263" i="1"/>
  <c r="G14263" i="1"/>
  <c r="K14263" i="1"/>
  <c r="A14264" i="1"/>
  <c r="B14264" i="1"/>
  <c r="C14264" i="1"/>
  <c r="E14264" i="1"/>
  <c r="G14264" i="1"/>
  <c r="K14264" i="1"/>
  <c r="A14265" i="1"/>
  <c r="B14265" i="1"/>
  <c r="C14265" i="1"/>
  <c r="E14265" i="1"/>
  <c r="G14265" i="1"/>
  <c r="K14265" i="1"/>
  <c r="A14266" i="1"/>
  <c r="B14266" i="1"/>
  <c r="C14266" i="1"/>
  <c r="E14266" i="1"/>
  <c r="G14266" i="1"/>
  <c r="K14266" i="1"/>
  <c r="A14267" i="1"/>
  <c r="B14267" i="1"/>
  <c r="C14267" i="1"/>
  <c r="E14267" i="1"/>
  <c r="G14267" i="1"/>
  <c r="K14267" i="1"/>
  <c r="A14268" i="1"/>
  <c r="B14268" i="1"/>
  <c r="C14268" i="1"/>
  <c r="E14268" i="1"/>
  <c r="G14268" i="1"/>
  <c r="K14268" i="1"/>
  <c r="A14269" i="1"/>
  <c r="B14269" i="1"/>
  <c r="C14269" i="1"/>
  <c r="E14269" i="1"/>
  <c r="G14269" i="1"/>
  <c r="K14269" i="1"/>
  <c r="A14270" i="1"/>
  <c r="B14270" i="1"/>
  <c r="C14270" i="1"/>
  <c r="E14270" i="1"/>
  <c r="G14270" i="1"/>
  <c r="K14270" i="1"/>
  <c r="A14271" i="1"/>
  <c r="B14271" i="1"/>
  <c r="C14271" i="1"/>
  <c r="E14271" i="1"/>
  <c r="G14271" i="1"/>
  <c r="K14271" i="1"/>
  <c r="A14272" i="1"/>
  <c r="B14272" i="1"/>
  <c r="C14272" i="1"/>
  <c r="E14272" i="1"/>
  <c r="G14272" i="1"/>
  <c r="K14272" i="1"/>
  <c r="A14273" i="1"/>
  <c r="B14273" i="1"/>
  <c r="C14273" i="1"/>
  <c r="E14273" i="1"/>
  <c r="G14273" i="1"/>
  <c r="K14273" i="1"/>
  <c r="A14274" i="1"/>
  <c r="B14274" i="1"/>
  <c r="C14274" i="1"/>
  <c r="E14274" i="1"/>
  <c r="G14274" i="1"/>
  <c r="K14274" i="1"/>
  <c r="A14275" i="1"/>
  <c r="B14275" i="1"/>
  <c r="C14275" i="1"/>
  <c r="E14275" i="1"/>
  <c r="G14275" i="1"/>
  <c r="K14275" i="1"/>
  <c r="A14276" i="1"/>
  <c r="B14276" i="1"/>
  <c r="C14276" i="1"/>
  <c r="E14276" i="1"/>
  <c r="G14276" i="1"/>
  <c r="K14276" i="1"/>
  <c r="A14277" i="1"/>
  <c r="B14277" i="1"/>
  <c r="C14277" i="1"/>
  <c r="E14277" i="1"/>
  <c r="G14277" i="1"/>
  <c r="K14277" i="1"/>
  <c r="A14278" i="1"/>
  <c r="B14278" i="1"/>
  <c r="C14278" i="1"/>
  <c r="E14278" i="1"/>
  <c r="G14278" i="1"/>
  <c r="K14278" i="1"/>
  <c r="A14279" i="1"/>
  <c r="B14279" i="1"/>
  <c r="C14279" i="1"/>
  <c r="E14279" i="1"/>
  <c r="G14279" i="1"/>
  <c r="K14279" i="1"/>
  <c r="A14280" i="1"/>
  <c r="B14280" i="1"/>
  <c r="C14280" i="1"/>
  <c r="E14280" i="1"/>
  <c r="G14280" i="1"/>
  <c r="K14280" i="1"/>
  <c r="A14281" i="1"/>
  <c r="B14281" i="1"/>
  <c r="C14281" i="1"/>
  <c r="E14281" i="1"/>
  <c r="G14281" i="1"/>
  <c r="K14281" i="1"/>
  <c r="A14282" i="1"/>
  <c r="B14282" i="1"/>
  <c r="C14282" i="1"/>
  <c r="E14282" i="1"/>
  <c r="G14282" i="1"/>
  <c r="K14282" i="1"/>
  <c r="A14283" i="1"/>
  <c r="B14283" i="1"/>
  <c r="C14283" i="1"/>
  <c r="E14283" i="1"/>
  <c r="G14283" i="1"/>
  <c r="K14283" i="1"/>
  <c r="A14284" i="1"/>
  <c r="B14284" i="1"/>
  <c r="C14284" i="1"/>
  <c r="E14284" i="1"/>
  <c r="G14284" i="1"/>
  <c r="K14284" i="1"/>
  <c r="A14285" i="1"/>
  <c r="B14285" i="1"/>
  <c r="C14285" i="1"/>
  <c r="E14285" i="1"/>
  <c r="G14285" i="1"/>
  <c r="K14285" i="1"/>
  <c r="A14286" i="1"/>
  <c r="B14286" i="1"/>
  <c r="C14286" i="1"/>
  <c r="E14286" i="1"/>
  <c r="G14286" i="1"/>
  <c r="K14286" i="1"/>
  <c r="A14287" i="1"/>
  <c r="B14287" i="1"/>
  <c r="C14287" i="1"/>
  <c r="E14287" i="1"/>
  <c r="G14287" i="1"/>
  <c r="K14287" i="1"/>
  <c r="A14288" i="1"/>
  <c r="B14288" i="1"/>
  <c r="C14288" i="1"/>
  <c r="E14288" i="1"/>
  <c r="G14288" i="1"/>
  <c r="K14288" i="1"/>
  <c r="A14289" i="1"/>
  <c r="B14289" i="1"/>
  <c r="C14289" i="1"/>
  <c r="E14289" i="1"/>
  <c r="G14289" i="1"/>
  <c r="K14289" i="1"/>
  <c r="A14290" i="1"/>
  <c r="B14290" i="1"/>
  <c r="C14290" i="1"/>
  <c r="E14290" i="1"/>
  <c r="G14290" i="1"/>
  <c r="K14290" i="1"/>
  <c r="A14291" i="1"/>
  <c r="B14291" i="1"/>
  <c r="C14291" i="1"/>
  <c r="E14291" i="1"/>
  <c r="G14291" i="1"/>
  <c r="K14291" i="1"/>
  <c r="A14292" i="1"/>
  <c r="B14292" i="1"/>
  <c r="C14292" i="1"/>
  <c r="E14292" i="1"/>
  <c r="G14292" i="1"/>
  <c r="K14292" i="1"/>
  <c r="A14293" i="1"/>
  <c r="B14293" i="1"/>
  <c r="C14293" i="1"/>
  <c r="E14293" i="1"/>
  <c r="G14293" i="1"/>
  <c r="K14293" i="1"/>
  <c r="A14294" i="1"/>
  <c r="B14294" i="1"/>
  <c r="C14294" i="1"/>
  <c r="E14294" i="1"/>
  <c r="G14294" i="1"/>
  <c r="K14294" i="1"/>
  <c r="A14295" i="1"/>
  <c r="B14295" i="1"/>
  <c r="C14295" i="1"/>
  <c r="E14295" i="1"/>
  <c r="G14295" i="1"/>
  <c r="K14295" i="1"/>
  <c r="A14296" i="1"/>
  <c r="B14296" i="1"/>
  <c r="C14296" i="1"/>
  <c r="E14296" i="1"/>
  <c r="G14296" i="1"/>
  <c r="K14296" i="1"/>
  <c r="A14297" i="1"/>
  <c r="B14297" i="1"/>
  <c r="C14297" i="1"/>
  <c r="E14297" i="1"/>
  <c r="G14297" i="1"/>
  <c r="K14297" i="1"/>
  <c r="A14298" i="1"/>
  <c r="B14298" i="1"/>
  <c r="C14298" i="1"/>
  <c r="E14298" i="1"/>
  <c r="G14298" i="1"/>
  <c r="K14298" i="1"/>
  <c r="A14299" i="1"/>
  <c r="B14299" i="1"/>
  <c r="C14299" i="1"/>
  <c r="E14299" i="1"/>
  <c r="G14299" i="1"/>
  <c r="K14299" i="1"/>
  <c r="A14300" i="1"/>
  <c r="B14300" i="1"/>
  <c r="C14300" i="1"/>
  <c r="E14300" i="1"/>
  <c r="G14300" i="1"/>
  <c r="K14300" i="1"/>
  <c r="A14301" i="1"/>
  <c r="B14301" i="1"/>
  <c r="C14301" i="1"/>
  <c r="E14301" i="1"/>
  <c r="G14301" i="1"/>
  <c r="K14301" i="1"/>
  <c r="A14302" i="1"/>
  <c r="B14302" i="1"/>
  <c r="C14302" i="1"/>
  <c r="E14302" i="1"/>
  <c r="G14302" i="1"/>
  <c r="K14302" i="1"/>
  <c r="A14303" i="1"/>
  <c r="B14303" i="1"/>
  <c r="C14303" i="1"/>
  <c r="E14303" i="1"/>
  <c r="G14303" i="1"/>
  <c r="K14303" i="1"/>
  <c r="A14304" i="1"/>
  <c r="B14304" i="1"/>
  <c r="C14304" i="1"/>
  <c r="E14304" i="1"/>
  <c r="G14304" i="1"/>
  <c r="K14304" i="1"/>
  <c r="A14305" i="1"/>
  <c r="B14305" i="1"/>
  <c r="C14305" i="1"/>
  <c r="E14305" i="1"/>
  <c r="G14305" i="1"/>
  <c r="K14305" i="1"/>
  <c r="A14306" i="1"/>
  <c r="B14306" i="1"/>
  <c r="C14306" i="1"/>
  <c r="E14306" i="1"/>
  <c r="G14306" i="1"/>
  <c r="K14306" i="1"/>
  <c r="A14307" i="1"/>
  <c r="B14307" i="1"/>
  <c r="C14307" i="1"/>
  <c r="E14307" i="1"/>
  <c r="G14307" i="1"/>
  <c r="K14307" i="1"/>
  <c r="A14308" i="1"/>
  <c r="B14308" i="1"/>
  <c r="C14308" i="1"/>
  <c r="E14308" i="1"/>
  <c r="G14308" i="1"/>
  <c r="K14308" i="1"/>
  <c r="A14309" i="1"/>
  <c r="B14309" i="1"/>
  <c r="C14309" i="1"/>
  <c r="E14309" i="1"/>
  <c r="G14309" i="1"/>
  <c r="K14309" i="1"/>
  <c r="A14310" i="1"/>
  <c r="B14310" i="1"/>
  <c r="C14310" i="1"/>
  <c r="E14310" i="1"/>
  <c r="G14310" i="1"/>
  <c r="K14310" i="1"/>
  <c r="A14311" i="1"/>
  <c r="B14311" i="1"/>
  <c r="C14311" i="1"/>
  <c r="E14311" i="1"/>
  <c r="G14311" i="1"/>
  <c r="K14311" i="1"/>
  <c r="A14312" i="1"/>
  <c r="B14312" i="1"/>
  <c r="C14312" i="1"/>
  <c r="E14312" i="1"/>
  <c r="G14312" i="1"/>
  <c r="K14312" i="1"/>
  <c r="A14313" i="1"/>
  <c r="B14313" i="1"/>
  <c r="C14313" i="1"/>
  <c r="E14313" i="1"/>
  <c r="G14313" i="1"/>
  <c r="K14313" i="1"/>
  <c r="A14314" i="1"/>
  <c r="B14314" i="1"/>
  <c r="C14314" i="1"/>
  <c r="E14314" i="1"/>
  <c r="G14314" i="1"/>
  <c r="K14314" i="1"/>
  <c r="A14315" i="1"/>
  <c r="B14315" i="1"/>
  <c r="C14315" i="1"/>
  <c r="E14315" i="1"/>
  <c r="G14315" i="1"/>
  <c r="K14315" i="1"/>
  <c r="A14316" i="1"/>
  <c r="B14316" i="1"/>
  <c r="C14316" i="1"/>
  <c r="E14316" i="1"/>
  <c r="G14316" i="1"/>
  <c r="K14316" i="1"/>
  <c r="A14317" i="1"/>
  <c r="B14317" i="1"/>
  <c r="C14317" i="1"/>
  <c r="E14317" i="1"/>
  <c r="G14317" i="1"/>
  <c r="K14317" i="1"/>
  <c r="A14318" i="1"/>
  <c r="B14318" i="1"/>
  <c r="C14318" i="1"/>
  <c r="E14318" i="1"/>
  <c r="G14318" i="1"/>
  <c r="K14318" i="1"/>
  <c r="A14319" i="1"/>
  <c r="B14319" i="1"/>
  <c r="C14319" i="1"/>
  <c r="E14319" i="1"/>
  <c r="G14319" i="1"/>
  <c r="K14319" i="1"/>
  <c r="A14320" i="1"/>
  <c r="B14320" i="1"/>
  <c r="C14320" i="1"/>
  <c r="E14320" i="1"/>
  <c r="G14320" i="1"/>
  <c r="K14320" i="1"/>
  <c r="A14321" i="1"/>
  <c r="B14321" i="1"/>
  <c r="C14321" i="1"/>
  <c r="E14321" i="1"/>
  <c r="G14321" i="1"/>
  <c r="K14321" i="1"/>
  <c r="A14322" i="1"/>
  <c r="B14322" i="1"/>
  <c r="C14322" i="1"/>
  <c r="E14322" i="1"/>
  <c r="G14322" i="1"/>
  <c r="K14322" i="1"/>
  <c r="A14323" i="1"/>
  <c r="B14323" i="1"/>
  <c r="C14323" i="1"/>
  <c r="E14323" i="1"/>
  <c r="G14323" i="1"/>
  <c r="K14323" i="1"/>
  <c r="A14324" i="1"/>
  <c r="B14324" i="1"/>
  <c r="C14324" i="1"/>
  <c r="E14324" i="1"/>
  <c r="G14324" i="1"/>
  <c r="K14324" i="1"/>
  <c r="A14325" i="1"/>
  <c r="B14325" i="1"/>
  <c r="C14325" i="1"/>
  <c r="E14325" i="1"/>
  <c r="G14325" i="1"/>
  <c r="K14325" i="1"/>
  <c r="A14326" i="1"/>
  <c r="B14326" i="1"/>
  <c r="C14326" i="1"/>
  <c r="E14326" i="1"/>
  <c r="G14326" i="1"/>
  <c r="K14326" i="1"/>
  <c r="A14327" i="1"/>
  <c r="B14327" i="1"/>
  <c r="C14327" i="1"/>
  <c r="E14327" i="1"/>
  <c r="G14327" i="1"/>
  <c r="K14327" i="1"/>
  <c r="A14328" i="1"/>
  <c r="B14328" i="1"/>
  <c r="C14328" i="1"/>
  <c r="E14328" i="1"/>
  <c r="G14328" i="1"/>
  <c r="K14328" i="1"/>
  <c r="A14329" i="1"/>
  <c r="B14329" i="1"/>
  <c r="C14329" i="1"/>
  <c r="E14329" i="1"/>
  <c r="G14329" i="1"/>
  <c r="K14329" i="1"/>
  <c r="A14330" i="1"/>
  <c r="B14330" i="1"/>
  <c r="C14330" i="1"/>
  <c r="E14330" i="1"/>
  <c r="G14330" i="1"/>
  <c r="K14330" i="1"/>
  <c r="A14331" i="1"/>
  <c r="B14331" i="1"/>
  <c r="C14331" i="1"/>
  <c r="E14331" i="1"/>
  <c r="G14331" i="1"/>
  <c r="K14331" i="1"/>
  <c r="A14332" i="1"/>
  <c r="B14332" i="1"/>
  <c r="C14332" i="1"/>
  <c r="E14332" i="1"/>
  <c r="G14332" i="1"/>
  <c r="K14332" i="1"/>
  <c r="A14333" i="1"/>
  <c r="B14333" i="1"/>
  <c r="C14333" i="1"/>
  <c r="E14333" i="1"/>
  <c r="G14333" i="1"/>
  <c r="K14333" i="1"/>
  <c r="A14334" i="1"/>
  <c r="B14334" i="1"/>
  <c r="C14334" i="1"/>
  <c r="E14334" i="1"/>
  <c r="G14334" i="1"/>
  <c r="K14334" i="1"/>
  <c r="A14335" i="1"/>
  <c r="B14335" i="1"/>
  <c r="C14335" i="1"/>
  <c r="E14335" i="1"/>
  <c r="G14335" i="1"/>
  <c r="K14335" i="1"/>
  <c r="A14336" i="1"/>
  <c r="B14336" i="1"/>
  <c r="C14336" i="1"/>
  <c r="E14336" i="1"/>
  <c r="G14336" i="1"/>
  <c r="K14336" i="1"/>
  <c r="A14337" i="1"/>
  <c r="B14337" i="1"/>
  <c r="C14337" i="1"/>
  <c r="E14337" i="1"/>
  <c r="G14337" i="1"/>
  <c r="K14337" i="1"/>
  <c r="A14338" i="1"/>
  <c r="B14338" i="1"/>
  <c r="C14338" i="1"/>
  <c r="E14338" i="1"/>
  <c r="G14338" i="1"/>
  <c r="K14338" i="1"/>
  <c r="A14339" i="1"/>
  <c r="B14339" i="1"/>
  <c r="C14339" i="1"/>
  <c r="E14339" i="1"/>
  <c r="G14339" i="1"/>
  <c r="K14339" i="1"/>
  <c r="A14340" i="1"/>
  <c r="B14340" i="1"/>
  <c r="C14340" i="1"/>
  <c r="E14340" i="1"/>
  <c r="G14340" i="1"/>
  <c r="K14340" i="1"/>
  <c r="A14341" i="1"/>
  <c r="B14341" i="1"/>
  <c r="C14341" i="1"/>
  <c r="E14341" i="1"/>
  <c r="G14341" i="1"/>
  <c r="K14341" i="1"/>
  <c r="A14342" i="1"/>
  <c r="B14342" i="1"/>
  <c r="C14342" i="1"/>
  <c r="E14342" i="1"/>
  <c r="G14342" i="1"/>
  <c r="K14342" i="1"/>
  <c r="A14343" i="1"/>
  <c r="B14343" i="1"/>
  <c r="C14343" i="1"/>
  <c r="E14343" i="1"/>
  <c r="G14343" i="1"/>
  <c r="K14343" i="1"/>
  <c r="A14344" i="1"/>
  <c r="B14344" i="1"/>
  <c r="C14344" i="1"/>
  <c r="E14344" i="1"/>
  <c r="G14344" i="1"/>
  <c r="K14344" i="1"/>
  <c r="A14345" i="1"/>
  <c r="B14345" i="1"/>
  <c r="C14345" i="1"/>
  <c r="E14345" i="1"/>
  <c r="G14345" i="1"/>
  <c r="K14345" i="1"/>
  <c r="A14346" i="1"/>
  <c r="B14346" i="1"/>
  <c r="C14346" i="1"/>
  <c r="E14346" i="1"/>
  <c r="G14346" i="1"/>
  <c r="K14346" i="1"/>
  <c r="A14347" i="1"/>
  <c r="B14347" i="1"/>
  <c r="C14347" i="1"/>
  <c r="E14347" i="1"/>
  <c r="G14347" i="1"/>
  <c r="K14347" i="1"/>
  <c r="A14348" i="1"/>
  <c r="B14348" i="1"/>
  <c r="C14348" i="1"/>
  <c r="E14348" i="1"/>
  <c r="G14348" i="1"/>
  <c r="K14348" i="1"/>
  <c r="A14349" i="1"/>
  <c r="B14349" i="1"/>
  <c r="C14349" i="1"/>
  <c r="E14349" i="1"/>
  <c r="G14349" i="1"/>
  <c r="K14349" i="1"/>
  <c r="A14350" i="1"/>
  <c r="B14350" i="1"/>
  <c r="C14350" i="1"/>
  <c r="E14350" i="1"/>
  <c r="G14350" i="1"/>
  <c r="K14350" i="1"/>
  <c r="A14351" i="1"/>
  <c r="B14351" i="1"/>
  <c r="C14351" i="1"/>
  <c r="E14351" i="1"/>
  <c r="G14351" i="1"/>
  <c r="K14351" i="1"/>
  <c r="A14352" i="1"/>
  <c r="B14352" i="1"/>
  <c r="C14352" i="1"/>
  <c r="E14352" i="1"/>
  <c r="G14352" i="1"/>
  <c r="K14352" i="1"/>
  <c r="A14353" i="1"/>
  <c r="B14353" i="1"/>
  <c r="C14353" i="1"/>
  <c r="E14353" i="1"/>
  <c r="G14353" i="1"/>
  <c r="K14353" i="1"/>
  <c r="A14354" i="1"/>
  <c r="B14354" i="1"/>
  <c r="C14354" i="1"/>
  <c r="E14354" i="1"/>
  <c r="G14354" i="1"/>
  <c r="K14354" i="1"/>
  <c r="A14355" i="1"/>
  <c r="B14355" i="1"/>
  <c r="C14355" i="1"/>
  <c r="E14355" i="1"/>
  <c r="G14355" i="1"/>
  <c r="K14355" i="1"/>
  <c r="A14356" i="1"/>
  <c r="B14356" i="1"/>
  <c r="C14356" i="1"/>
  <c r="E14356" i="1"/>
  <c r="G14356" i="1"/>
  <c r="K14356" i="1"/>
  <c r="A14357" i="1"/>
  <c r="B14357" i="1"/>
  <c r="C14357" i="1"/>
  <c r="E14357" i="1"/>
  <c r="G14357" i="1"/>
  <c r="K14357" i="1"/>
  <c r="A14358" i="1"/>
  <c r="B14358" i="1"/>
  <c r="C14358" i="1"/>
  <c r="E14358" i="1"/>
  <c r="G14358" i="1"/>
  <c r="K14358" i="1"/>
  <c r="A14359" i="1"/>
  <c r="B14359" i="1"/>
  <c r="C14359" i="1"/>
  <c r="E14359" i="1"/>
  <c r="G14359" i="1"/>
  <c r="K14359" i="1"/>
  <c r="A14360" i="1"/>
  <c r="B14360" i="1"/>
  <c r="C14360" i="1"/>
  <c r="E14360" i="1"/>
  <c r="G14360" i="1"/>
  <c r="K14360" i="1"/>
  <c r="A14361" i="1"/>
  <c r="B14361" i="1"/>
  <c r="C14361" i="1"/>
  <c r="E14361" i="1"/>
  <c r="G14361" i="1"/>
  <c r="K14361" i="1"/>
  <c r="A14362" i="1"/>
  <c r="B14362" i="1"/>
  <c r="C14362" i="1"/>
  <c r="E14362" i="1"/>
  <c r="G14362" i="1"/>
  <c r="K14362" i="1"/>
  <c r="A14363" i="1"/>
  <c r="B14363" i="1"/>
  <c r="C14363" i="1"/>
  <c r="E14363" i="1"/>
  <c r="G14363" i="1"/>
  <c r="K14363" i="1"/>
  <c r="A14364" i="1"/>
  <c r="B14364" i="1"/>
  <c r="C14364" i="1"/>
  <c r="E14364" i="1"/>
  <c r="G14364" i="1"/>
  <c r="K14364" i="1"/>
  <c r="A14365" i="1"/>
  <c r="B14365" i="1"/>
  <c r="C14365" i="1"/>
  <c r="E14365" i="1"/>
  <c r="G14365" i="1"/>
  <c r="K14365" i="1"/>
  <c r="A14366" i="1"/>
  <c r="B14366" i="1"/>
  <c r="C14366" i="1"/>
  <c r="E14366" i="1"/>
  <c r="G14366" i="1"/>
  <c r="K14366" i="1"/>
  <c r="A14367" i="1"/>
  <c r="B14367" i="1"/>
  <c r="C14367" i="1"/>
  <c r="E14367" i="1"/>
  <c r="G14367" i="1"/>
  <c r="K14367" i="1"/>
  <c r="A14368" i="1"/>
  <c r="B14368" i="1"/>
  <c r="C14368" i="1"/>
  <c r="E14368" i="1"/>
  <c r="G14368" i="1"/>
  <c r="K14368" i="1"/>
  <c r="A14369" i="1"/>
  <c r="B14369" i="1"/>
  <c r="C14369" i="1"/>
  <c r="E14369" i="1"/>
  <c r="G14369" i="1"/>
  <c r="K14369" i="1"/>
  <c r="A14370" i="1"/>
  <c r="B14370" i="1"/>
  <c r="C14370" i="1"/>
  <c r="E14370" i="1"/>
  <c r="G14370" i="1"/>
  <c r="K14370" i="1"/>
  <c r="A14371" i="1"/>
  <c r="B14371" i="1"/>
  <c r="C14371" i="1"/>
  <c r="E14371" i="1"/>
  <c r="G14371" i="1"/>
  <c r="K14371" i="1"/>
  <c r="A14372" i="1"/>
  <c r="B14372" i="1"/>
  <c r="C14372" i="1"/>
  <c r="E14372" i="1"/>
  <c r="G14372" i="1"/>
  <c r="K14372" i="1"/>
  <c r="A14373" i="1"/>
  <c r="B14373" i="1"/>
  <c r="C14373" i="1"/>
  <c r="E14373" i="1"/>
  <c r="G14373" i="1"/>
  <c r="K14373" i="1"/>
  <c r="A14374" i="1"/>
  <c r="B14374" i="1"/>
  <c r="C14374" i="1"/>
  <c r="E14374" i="1"/>
  <c r="G14374" i="1"/>
  <c r="K14374" i="1"/>
  <c r="A14375" i="1"/>
  <c r="B14375" i="1"/>
  <c r="C14375" i="1"/>
  <c r="E14375" i="1"/>
  <c r="G14375" i="1"/>
  <c r="K14375" i="1"/>
  <c r="A14376" i="1"/>
  <c r="B14376" i="1"/>
  <c r="C14376" i="1"/>
  <c r="E14376" i="1"/>
  <c r="G14376" i="1"/>
  <c r="K14376" i="1"/>
  <c r="A14377" i="1"/>
  <c r="B14377" i="1"/>
  <c r="C14377" i="1"/>
  <c r="E14377" i="1"/>
  <c r="G14377" i="1"/>
  <c r="K14377" i="1"/>
  <c r="A14378" i="1"/>
  <c r="B14378" i="1"/>
  <c r="C14378" i="1"/>
  <c r="E14378" i="1"/>
  <c r="G14378" i="1"/>
  <c r="K14378" i="1"/>
  <c r="A14379" i="1"/>
  <c r="B14379" i="1"/>
  <c r="C14379" i="1"/>
  <c r="E14379" i="1"/>
  <c r="G14379" i="1"/>
  <c r="K14379" i="1"/>
  <c r="A14380" i="1"/>
  <c r="B14380" i="1"/>
  <c r="C14380" i="1"/>
  <c r="E14380" i="1"/>
  <c r="G14380" i="1"/>
  <c r="K14380" i="1"/>
  <c r="A14381" i="1"/>
  <c r="B14381" i="1"/>
  <c r="C14381" i="1"/>
  <c r="E14381" i="1"/>
  <c r="G14381" i="1"/>
  <c r="K14381" i="1"/>
  <c r="A14382" i="1"/>
  <c r="B14382" i="1"/>
  <c r="C14382" i="1"/>
  <c r="E14382" i="1"/>
  <c r="G14382" i="1"/>
  <c r="K14382" i="1"/>
  <c r="A14383" i="1"/>
  <c r="B14383" i="1"/>
  <c r="C14383" i="1"/>
  <c r="E14383" i="1"/>
  <c r="G14383" i="1"/>
  <c r="K14383" i="1"/>
  <c r="A14384" i="1"/>
  <c r="B14384" i="1"/>
  <c r="C14384" i="1"/>
  <c r="E14384" i="1"/>
  <c r="G14384" i="1"/>
  <c r="K14384" i="1"/>
  <c r="A14385" i="1"/>
  <c r="B14385" i="1"/>
  <c r="C14385" i="1"/>
  <c r="E14385" i="1"/>
  <c r="G14385" i="1"/>
  <c r="K14385" i="1"/>
  <c r="A14386" i="1"/>
  <c r="B14386" i="1"/>
  <c r="C14386" i="1"/>
  <c r="E14386" i="1"/>
  <c r="G14386" i="1"/>
  <c r="K14386" i="1"/>
  <c r="A14387" i="1"/>
  <c r="B14387" i="1"/>
  <c r="C14387" i="1"/>
  <c r="E14387" i="1"/>
  <c r="G14387" i="1"/>
  <c r="K14387" i="1"/>
  <c r="A14388" i="1"/>
  <c r="B14388" i="1"/>
  <c r="C14388" i="1"/>
  <c r="E14388" i="1"/>
  <c r="G14388" i="1"/>
  <c r="K14388" i="1"/>
  <c r="A14389" i="1"/>
  <c r="B14389" i="1"/>
  <c r="C14389" i="1"/>
  <c r="E14389" i="1"/>
  <c r="G14389" i="1"/>
  <c r="K14389" i="1"/>
  <c r="A14390" i="1"/>
  <c r="B14390" i="1"/>
  <c r="C14390" i="1"/>
  <c r="E14390" i="1"/>
  <c r="G14390" i="1"/>
  <c r="K14390" i="1"/>
  <c r="A14391" i="1"/>
  <c r="B14391" i="1"/>
  <c r="C14391" i="1"/>
  <c r="E14391" i="1"/>
  <c r="G14391" i="1"/>
  <c r="K14391" i="1"/>
  <c r="A14392" i="1"/>
  <c r="B14392" i="1"/>
  <c r="C14392" i="1"/>
  <c r="E14392" i="1"/>
  <c r="G14392" i="1"/>
  <c r="K14392" i="1"/>
  <c r="A14393" i="1"/>
  <c r="B14393" i="1"/>
  <c r="C14393" i="1"/>
  <c r="E14393" i="1"/>
  <c r="G14393" i="1"/>
  <c r="K14393" i="1"/>
  <c r="A14394" i="1"/>
  <c r="B14394" i="1"/>
  <c r="C14394" i="1"/>
  <c r="E14394" i="1"/>
  <c r="G14394" i="1"/>
  <c r="K14394" i="1"/>
  <c r="A14395" i="1"/>
  <c r="B14395" i="1"/>
  <c r="C14395" i="1"/>
  <c r="E14395" i="1"/>
  <c r="G14395" i="1"/>
  <c r="K14395" i="1"/>
  <c r="A14396" i="1"/>
  <c r="B14396" i="1"/>
  <c r="C14396" i="1"/>
  <c r="E14396" i="1"/>
  <c r="G14396" i="1"/>
  <c r="K14396" i="1"/>
  <c r="A14397" i="1"/>
  <c r="B14397" i="1"/>
  <c r="C14397" i="1"/>
  <c r="E14397" i="1"/>
  <c r="G14397" i="1"/>
  <c r="K14397" i="1"/>
  <c r="A14398" i="1"/>
  <c r="B14398" i="1"/>
  <c r="C14398" i="1"/>
  <c r="E14398" i="1"/>
  <c r="G14398" i="1"/>
  <c r="K14398" i="1"/>
  <c r="A14399" i="1"/>
  <c r="B14399" i="1"/>
  <c r="C14399" i="1"/>
  <c r="E14399" i="1"/>
  <c r="G14399" i="1"/>
  <c r="K14399" i="1"/>
  <c r="A14400" i="1"/>
  <c r="B14400" i="1"/>
  <c r="C14400" i="1"/>
  <c r="E14400" i="1"/>
  <c r="G14400" i="1"/>
  <c r="K14400" i="1"/>
  <c r="A14401" i="1"/>
  <c r="B14401" i="1"/>
  <c r="C14401" i="1"/>
  <c r="E14401" i="1"/>
  <c r="G14401" i="1"/>
  <c r="K14401" i="1"/>
  <c r="A14402" i="1"/>
  <c r="B14402" i="1"/>
  <c r="C14402" i="1"/>
  <c r="E14402" i="1"/>
  <c r="G14402" i="1"/>
  <c r="K14402" i="1"/>
  <c r="A14403" i="1"/>
  <c r="B14403" i="1"/>
  <c r="C14403" i="1"/>
  <c r="E14403" i="1"/>
  <c r="G14403" i="1"/>
  <c r="K14403" i="1"/>
  <c r="A14404" i="1"/>
  <c r="B14404" i="1"/>
  <c r="C14404" i="1"/>
  <c r="E14404" i="1"/>
  <c r="G14404" i="1"/>
  <c r="K14404" i="1"/>
  <c r="A14405" i="1"/>
  <c r="B14405" i="1"/>
  <c r="C14405" i="1"/>
  <c r="E14405" i="1"/>
  <c r="G14405" i="1"/>
  <c r="K14405" i="1"/>
  <c r="A14406" i="1"/>
  <c r="B14406" i="1"/>
  <c r="C14406" i="1"/>
  <c r="E14406" i="1"/>
  <c r="G14406" i="1"/>
  <c r="K14406" i="1"/>
  <c r="A14407" i="1"/>
  <c r="B14407" i="1"/>
  <c r="C14407" i="1"/>
  <c r="E14407" i="1"/>
  <c r="G14407" i="1"/>
  <c r="K14407" i="1"/>
  <c r="A14408" i="1"/>
  <c r="B14408" i="1"/>
  <c r="C14408" i="1"/>
  <c r="E14408" i="1"/>
  <c r="G14408" i="1"/>
  <c r="K14408" i="1"/>
  <c r="A14409" i="1"/>
  <c r="B14409" i="1"/>
  <c r="C14409" i="1"/>
  <c r="E14409" i="1"/>
  <c r="G14409" i="1"/>
  <c r="K14409" i="1"/>
  <c r="A14410" i="1"/>
  <c r="B14410" i="1"/>
  <c r="C14410" i="1"/>
  <c r="E14410" i="1"/>
  <c r="G14410" i="1"/>
  <c r="K14410" i="1"/>
  <c r="A14411" i="1"/>
  <c r="B14411" i="1"/>
  <c r="C14411" i="1"/>
  <c r="E14411" i="1"/>
  <c r="G14411" i="1"/>
  <c r="K14411" i="1"/>
  <c r="A14412" i="1"/>
  <c r="B14412" i="1"/>
  <c r="C14412" i="1"/>
  <c r="E14412" i="1"/>
  <c r="G14412" i="1"/>
  <c r="K14412" i="1"/>
  <c r="A14413" i="1"/>
  <c r="B14413" i="1"/>
  <c r="C14413" i="1"/>
  <c r="E14413" i="1"/>
  <c r="G14413" i="1"/>
  <c r="K14413" i="1"/>
  <c r="A14414" i="1"/>
  <c r="B14414" i="1"/>
  <c r="C14414" i="1"/>
  <c r="E14414" i="1"/>
  <c r="G14414" i="1"/>
  <c r="K14414" i="1"/>
  <c r="A14415" i="1"/>
  <c r="B14415" i="1"/>
  <c r="C14415" i="1"/>
  <c r="E14415" i="1"/>
  <c r="G14415" i="1"/>
  <c r="K14415" i="1"/>
  <c r="A14416" i="1"/>
  <c r="B14416" i="1"/>
  <c r="C14416" i="1"/>
  <c r="E14416" i="1"/>
  <c r="G14416" i="1"/>
  <c r="K14416" i="1"/>
  <c r="A14417" i="1"/>
  <c r="B14417" i="1"/>
  <c r="C14417" i="1"/>
  <c r="E14417" i="1"/>
  <c r="G14417" i="1"/>
  <c r="K14417" i="1"/>
  <c r="A14418" i="1"/>
  <c r="B14418" i="1"/>
  <c r="C14418" i="1"/>
  <c r="E14418" i="1"/>
  <c r="G14418" i="1"/>
  <c r="K14418" i="1"/>
  <c r="A14419" i="1"/>
  <c r="B14419" i="1"/>
  <c r="C14419" i="1"/>
  <c r="E14419" i="1"/>
  <c r="G14419" i="1"/>
  <c r="K14419" i="1"/>
  <c r="A14420" i="1"/>
  <c r="B14420" i="1"/>
  <c r="C14420" i="1"/>
  <c r="E14420" i="1"/>
  <c r="G14420" i="1"/>
  <c r="K14420" i="1"/>
  <c r="A14421" i="1"/>
  <c r="B14421" i="1"/>
  <c r="C14421" i="1"/>
  <c r="E14421" i="1"/>
  <c r="G14421" i="1"/>
  <c r="K14421" i="1"/>
  <c r="A14422" i="1"/>
  <c r="B14422" i="1"/>
  <c r="C14422" i="1"/>
  <c r="E14422" i="1"/>
  <c r="G14422" i="1"/>
  <c r="K14422" i="1"/>
  <c r="A14423" i="1"/>
  <c r="B14423" i="1"/>
  <c r="C14423" i="1"/>
  <c r="E14423" i="1"/>
  <c r="G14423" i="1"/>
  <c r="K14423" i="1"/>
  <c r="A14424" i="1"/>
  <c r="B14424" i="1"/>
  <c r="C14424" i="1"/>
  <c r="E14424" i="1"/>
  <c r="G14424" i="1"/>
  <c r="K14424" i="1"/>
  <c r="A14425" i="1"/>
  <c r="B14425" i="1"/>
  <c r="C14425" i="1"/>
  <c r="E14425" i="1"/>
  <c r="G14425" i="1"/>
  <c r="K14425" i="1"/>
  <c r="A14426" i="1"/>
  <c r="B14426" i="1"/>
  <c r="C14426" i="1"/>
  <c r="E14426" i="1"/>
  <c r="G14426" i="1"/>
  <c r="K14426" i="1"/>
  <c r="A14427" i="1"/>
  <c r="B14427" i="1"/>
  <c r="C14427" i="1"/>
  <c r="E14427" i="1"/>
  <c r="G14427" i="1"/>
  <c r="K14427" i="1"/>
  <c r="A14428" i="1"/>
  <c r="B14428" i="1"/>
  <c r="C14428" i="1"/>
  <c r="E14428" i="1"/>
  <c r="G14428" i="1"/>
  <c r="K14428" i="1"/>
  <c r="A14429" i="1"/>
  <c r="B14429" i="1"/>
  <c r="C14429" i="1"/>
  <c r="E14429" i="1"/>
  <c r="G14429" i="1"/>
  <c r="K14429" i="1"/>
  <c r="A14430" i="1"/>
  <c r="B14430" i="1"/>
  <c r="C14430" i="1"/>
  <c r="E14430" i="1"/>
  <c r="G14430" i="1"/>
  <c r="K14430" i="1"/>
  <c r="A14431" i="1"/>
  <c r="B14431" i="1"/>
  <c r="C14431" i="1"/>
  <c r="E14431" i="1"/>
  <c r="G14431" i="1"/>
  <c r="K14431" i="1"/>
  <c r="A14432" i="1"/>
  <c r="B14432" i="1"/>
  <c r="C14432" i="1"/>
  <c r="E14432" i="1"/>
  <c r="G14432" i="1"/>
  <c r="K14432" i="1"/>
  <c r="A14433" i="1"/>
  <c r="B14433" i="1"/>
  <c r="C14433" i="1"/>
  <c r="E14433" i="1"/>
  <c r="G14433" i="1"/>
  <c r="K14433" i="1"/>
  <c r="A14434" i="1"/>
  <c r="B14434" i="1"/>
  <c r="C14434" i="1"/>
  <c r="E14434" i="1"/>
  <c r="G14434" i="1"/>
  <c r="K14434" i="1"/>
  <c r="A14435" i="1"/>
  <c r="B14435" i="1"/>
  <c r="C14435" i="1"/>
  <c r="E14435" i="1"/>
  <c r="G14435" i="1"/>
  <c r="K14435" i="1"/>
  <c r="A14436" i="1"/>
  <c r="B14436" i="1"/>
  <c r="C14436" i="1"/>
  <c r="E14436" i="1"/>
  <c r="G14436" i="1"/>
  <c r="K14436" i="1"/>
  <c r="A14437" i="1"/>
  <c r="B14437" i="1"/>
  <c r="C14437" i="1"/>
  <c r="E14437" i="1"/>
  <c r="G14437" i="1"/>
  <c r="K14437" i="1"/>
  <c r="A14438" i="1"/>
  <c r="B14438" i="1"/>
  <c r="C14438" i="1"/>
  <c r="E14438" i="1"/>
  <c r="G14438" i="1"/>
  <c r="K14438" i="1"/>
  <c r="A14439" i="1"/>
  <c r="B14439" i="1"/>
  <c r="C14439" i="1"/>
  <c r="E14439" i="1"/>
  <c r="G14439" i="1"/>
  <c r="K14439" i="1"/>
  <c r="A14440" i="1"/>
  <c r="B14440" i="1"/>
  <c r="C14440" i="1"/>
  <c r="E14440" i="1"/>
  <c r="G14440" i="1"/>
  <c r="K14440" i="1"/>
  <c r="A14441" i="1"/>
  <c r="B14441" i="1"/>
  <c r="C14441" i="1"/>
  <c r="E14441" i="1"/>
  <c r="G14441" i="1"/>
  <c r="K14441" i="1"/>
  <c r="A14442" i="1"/>
  <c r="B14442" i="1"/>
  <c r="C14442" i="1"/>
  <c r="E14442" i="1"/>
  <c r="G14442" i="1"/>
  <c r="K14442" i="1"/>
  <c r="A14443" i="1"/>
  <c r="B14443" i="1"/>
  <c r="C14443" i="1"/>
  <c r="E14443" i="1"/>
  <c r="G14443" i="1"/>
  <c r="K14443" i="1"/>
  <c r="A14444" i="1"/>
  <c r="B14444" i="1"/>
  <c r="C14444" i="1"/>
  <c r="E14444" i="1"/>
  <c r="G14444" i="1"/>
  <c r="K14444" i="1"/>
  <c r="A14445" i="1"/>
  <c r="B14445" i="1"/>
  <c r="C14445" i="1"/>
  <c r="E14445" i="1"/>
  <c r="G14445" i="1"/>
  <c r="K14445" i="1"/>
  <c r="A14446" i="1"/>
  <c r="B14446" i="1"/>
  <c r="C14446" i="1"/>
  <c r="E14446" i="1"/>
  <c r="G14446" i="1"/>
  <c r="K14446" i="1"/>
  <c r="A14447" i="1"/>
  <c r="B14447" i="1"/>
  <c r="C14447" i="1"/>
  <c r="E14447" i="1"/>
  <c r="G14447" i="1"/>
  <c r="K14447" i="1"/>
  <c r="A14448" i="1"/>
  <c r="B14448" i="1"/>
  <c r="C14448" i="1"/>
  <c r="E14448" i="1"/>
  <c r="G14448" i="1"/>
  <c r="K14448" i="1"/>
  <c r="A14449" i="1"/>
  <c r="B14449" i="1"/>
  <c r="C14449" i="1"/>
  <c r="E14449" i="1"/>
  <c r="G14449" i="1"/>
  <c r="K14449" i="1"/>
  <c r="A14450" i="1"/>
  <c r="B14450" i="1"/>
  <c r="C14450" i="1"/>
  <c r="E14450" i="1"/>
  <c r="G14450" i="1"/>
  <c r="K14450" i="1"/>
  <c r="A14451" i="1"/>
  <c r="B14451" i="1"/>
  <c r="C14451" i="1"/>
  <c r="E14451" i="1"/>
  <c r="G14451" i="1"/>
  <c r="K14451" i="1"/>
  <c r="A14452" i="1"/>
  <c r="B14452" i="1"/>
  <c r="C14452" i="1"/>
  <c r="E14452" i="1"/>
  <c r="G14452" i="1"/>
  <c r="K14452" i="1"/>
  <c r="A14453" i="1"/>
  <c r="B14453" i="1"/>
  <c r="C14453" i="1"/>
  <c r="E14453" i="1"/>
  <c r="G14453" i="1"/>
  <c r="K14453" i="1"/>
  <c r="A14454" i="1"/>
  <c r="B14454" i="1"/>
  <c r="C14454" i="1"/>
  <c r="E14454" i="1"/>
  <c r="G14454" i="1"/>
  <c r="K14454" i="1"/>
  <c r="A14455" i="1"/>
  <c r="B14455" i="1"/>
  <c r="C14455" i="1"/>
  <c r="E14455" i="1"/>
  <c r="G14455" i="1"/>
  <c r="K14455" i="1"/>
  <c r="A14456" i="1"/>
  <c r="B14456" i="1"/>
  <c r="C14456" i="1"/>
  <c r="E14456" i="1"/>
  <c r="G14456" i="1"/>
  <c r="K14456" i="1"/>
  <c r="A14457" i="1"/>
  <c r="B14457" i="1"/>
  <c r="C14457" i="1"/>
  <c r="E14457" i="1"/>
  <c r="G14457" i="1"/>
  <c r="K14457" i="1"/>
  <c r="A14458" i="1"/>
  <c r="B14458" i="1"/>
  <c r="C14458" i="1"/>
  <c r="E14458" i="1"/>
  <c r="G14458" i="1"/>
  <c r="K14458" i="1"/>
  <c r="A14459" i="1"/>
  <c r="B14459" i="1"/>
  <c r="C14459" i="1"/>
  <c r="E14459" i="1"/>
  <c r="G14459" i="1"/>
  <c r="K14459" i="1"/>
  <c r="A14460" i="1"/>
  <c r="B14460" i="1"/>
  <c r="C14460" i="1"/>
  <c r="E14460" i="1"/>
  <c r="G14460" i="1"/>
  <c r="K14460" i="1"/>
  <c r="A14461" i="1"/>
  <c r="B14461" i="1"/>
  <c r="C14461" i="1"/>
  <c r="E14461" i="1"/>
  <c r="G14461" i="1"/>
  <c r="K14461" i="1"/>
  <c r="A14462" i="1"/>
  <c r="B14462" i="1"/>
  <c r="C14462" i="1"/>
  <c r="E14462" i="1"/>
  <c r="G14462" i="1"/>
  <c r="K14462" i="1"/>
  <c r="A14463" i="1"/>
  <c r="B14463" i="1"/>
  <c r="C14463" i="1"/>
  <c r="E14463" i="1"/>
  <c r="G14463" i="1"/>
  <c r="K14463" i="1"/>
  <c r="A14464" i="1"/>
  <c r="B14464" i="1"/>
  <c r="C14464" i="1"/>
  <c r="E14464" i="1"/>
  <c r="G14464" i="1"/>
  <c r="K14464" i="1"/>
  <c r="A14465" i="1"/>
  <c r="B14465" i="1"/>
  <c r="C14465" i="1"/>
  <c r="E14465" i="1"/>
  <c r="G14465" i="1"/>
  <c r="K14465" i="1"/>
  <c r="A14466" i="1"/>
  <c r="B14466" i="1"/>
  <c r="C14466" i="1"/>
  <c r="E14466" i="1"/>
  <c r="G14466" i="1"/>
  <c r="K14466" i="1"/>
  <c r="A14467" i="1"/>
  <c r="B14467" i="1"/>
  <c r="C14467" i="1"/>
  <c r="E14467" i="1"/>
  <c r="G14467" i="1"/>
  <c r="K14467" i="1"/>
  <c r="A14468" i="1"/>
  <c r="B14468" i="1"/>
  <c r="C14468" i="1"/>
  <c r="E14468" i="1"/>
  <c r="G14468" i="1"/>
  <c r="K14468" i="1"/>
  <c r="A14469" i="1"/>
  <c r="B14469" i="1"/>
  <c r="C14469" i="1"/>
  <c r="E14469" i="1"/>
  <c r="G14469" i="1"/>
  <c r="K14469" i="1"/>
  <c r="A14470" i="1"/>
  <c r="B14470" i="1"/>
  <c r="C14470" i="1"/>
  <c r="E14470" i="1"/>
  <c r="G14470" i="1"/>
  <c r="K14470" i="1"/>
  <c r="A14471" i="1"/>
  <c r="B14471" i="1"/>
  <c r="C14471" i="1"/>
  <c r="E14471" i="1"/>
  <c r="G14471" i="1"/>
  <c r="K14471" i="1"/>
  <c r="A14472" i="1"/>
  <c r="B14472" i="1"/>
  <c r="C14472" i="1"/>
  <c r="E14472" i="1"/>
  <c r="G14472" i="1"/>
  <c r="K14472" i="1"/>
  <c r="A14473" i="1"/>
  <c r="B14473" i="1"/>
  <c r="C14473" i="1"/>
  <c r="E14473" i="1"/>
  <c r="G14473" i="1"/>
  <c r="K14473" i="1"/>
  <c r="A14474" i="1"/>
  <c r="B14474" i="1"/>
  <c r="C14474" i="1"/>
  <c r="E14474" i="1"/>
  <c r="G14474" i="1"/>
  <c r="K14474" i="1"/>
  <c r="A14475" i="1"/>
  <c r="B14475" i="1"/>
  <c r="C14475" i="1"/>
  <c r="E14475" i="1"/>
  <c r="G14475" i="1"/>
  <c r="K14475" i="1"/>
  <c r="A14476" i="1"/>
  <c r="B14476" i="1"/>
  <c r="C14476" i="1"/>
  <c r="E14476" i="1"/>
  <c r="G14476" i="1"/>
  <c r="K14476" i="1"/>
  <c r="A14477" i="1"/>
  <c r="B14477" i="1"/>
  <c r="C14477" i="1"/>
  <c r="E14477" i="1"/>
  <c r="G14477" i="1"/>
  <c r="K14477" i="1"/>
  <c r="A14478" i="1"/>
  <c r="B14478" i="1"/>
  <c r="C14478" i="1"/>
  <c r="E14478" i="1"/>
  <c r="G14478" i="1"/>
  <c r="K14478" i="1"/>
  <c r="A14479" i="1"/>
  <c r="B14479" i="1"/>
  <c r="C14479" i="1"/>
  <c r="E14479" i="1"/>
  <c r="G14479" i="1"/>
  <c r="K14479" i="1"/>
  <c r="A14480" i="1"/>
  <c r="B14480" i="1"/>
  <c r="C14480" i="1"/>
  <c r="E14480" i="1"/>
  <c r="G14480" i="1"/>
  <c r="K14480" i="1"/>
  <c r="A14481" i="1"/>
  <c r="B14481" i="1"/>
  <c r="C14481" i="1"/>
  <c r="E14481" i="1"/>
  <c r="G14481" i="1"/>
  <c r="K14481" i="1"/>
  <c r="A14482" i="1"/>
  <c r="B14482" i="1"/>
  <c r="C14482" i="1"/>
  <c r="E14482" i="1"/>
  <c r="G14482" i="1"/>
  <c r="K14482" i="1"/>
  <c r="A14483" i="1"/>
  <c r="B14483" i="1"/>
  <c r="C14483" i="1"/>
  <c r="E14483" i="1"/>
  <c r="G14483" i="1"/>
  <c r="K14483" i="1"/>
  <c r="A14484" i="1"/>
  <c r="B14484" i="1"/>
  <c r="C14484" i="1"/>
  <c r="E14484" i="1"/>
  <c r="G14484" i="1"/>
  <c r="K14484" i="1"/>
  <c r="A14485" i="1"/>
  <c r="B14485" i="1"/>
  <c r="C14485" i="1"/>
  <c r="E14485" i="1"/>
  <c r="G14485" i="1"/>
  <c r="K14485" i="1"/>
  <c r="A14486" i="1"/>
  <c r="B14486" i="1"/>
  <c r="C14486" i="1"/>
  <c r="E14486" i="1"/>
  <c r="G14486" i="1"/>
  <c r="K14486" i="1"/>
  <c r="A14487" i="1"/>
  <c r="B14487" i="1"/>
  <c r="C14487" i="1"/>
  <c r="E14487" i="1"/>
  <c r="G14487" i="1"/>
  <c r="K14487" i="1"/>
  <c r="A14488" i="1"/>
  <c r="B14488" i="1"/>
  <c r="C14488" i="1"/>
  <c r="E14488" i="1"/>
  <c r="G14488" i="1"/>
  <c r="K14488" i="1"/>
  <c r="A14489" i="1"/>
  <c r="B14489" i="1"/>
  <c r="C14489" i="1"/>
  <c r="E14489" i="1"/>
  <c r="G14489" i="1"/>
  <c r="K14489" i="1"/>
  <c r="A14490" i="1"/>
  <c r="B14490" i="1"/>
  <c r="C14490" i="1"/>
  <c r="E14490" i="1"/>
  <c r="G14490" i="1"/>
  <c r="K14490" i="1"/>
  <c r="A14491" i="1"/>
  <c r="B14491" i="1"/>
  <c r="C14491" i="1"/>
  <c r="E14491" i="1"/>
  <c r="G14491" i="1"/>
  <c r="K14491" i="1"/>
  <c r="A14492" i="1"/>
  <c r="B14492" i="1"/>
  <c r="C14492" i="1"/>
  <c r="E14492" i="1"/>
  <c r="G14492" i="1"/>
  <c r="K14492" i="1"/>
  <c r="A14493" i="1"/>
  <c r="B14493" i="1"/>
  <c r="C14493" i="1"/>
  <c r="E14493" i="1"/>
  <c r="G14493" i="1"/>
  <c r="K14493" i="1"/>
  <c r="A14494" i="1"/>
  <c r="B14494" i="1"/>
  <c r="C14494" i="1"/>
  <c r="E14494" i="1"/>
  <c r="G14494" i="1"/>
  <c r="K14494" i="1"/>
  <c r="A14495" i="1"/>
  <c r="B14495" i="1"/>
  <c r="C14495" i="1"/>
  <c r="E14495" i="1"/>
  <c r="G14495" i="1"/>
  <c r="K14495" i="1"/>
  <c r="A14496" i="1"/>
  <c r="B14496" i="1"/>
  <c r="C14496" i="1"/>
  <c r="E14496" i="1"/>
  <c r="G14496" i="1"/>
  <c r="K14496" i="1"/>
  <c r="A14497" i="1"/>
  <c r="B14497" i="1"/>
  <c r="C14497" i="1"/>
  <c r="E14497" i="1"/>
  <c r="G14497" i="1"/>
  <c r="K14497" i="1"/>
  <c r="A14498" i="1"/>
  <c r="B14498" i="1"/>
  <c r="C14498" i="1"/>
  <c r="E14498" i="1"/>
  <c r="G14498" i="1"/>
  <c r="K14498" i="1"/>
  <c r="A14499" i="1"/>
  <c r="B14499" i="1"/>
  <c r="C14499" i="1"/>
  <c r="E14499" i="1"/>
  <c r="G14499" i="1"/>
  <c r="K14499" i="1"/>
  <c r="A14500" i="1"/>
  <c r="B14500" i="1"/>
  <c r="C14500" i="1"/>
  <c r="E14500" i="1"/>
  <c r="G14500" i="1"/>
  <c r="K14500" i="1"/>
  <c r="A14501" i="1"/>
  <c r="B14501" i="1"/>
  <c r="C14501" i="1"/>
  <c r="E14501" i="1"/>
  <c r="G14501" i="1"/>
  <c r="K14501" i="1"/>
  <c r="A14502" i="1"/>
  <c r="B14502" i="1"/>
  <c r="C14502" i="1"/>
  <c r="E14502" i="1"/>
  <c r="G14502" i="1"/>
  <c r="K14502" i="1"/>
  <c r="A14503" i="1"/>
  <c r="B14503" i="1"/>
  <c r="C14503" i="1"/>
  <c r="E14503" i="1"/>
  <c r="G14503" i="1"/>
  <c r="K14503" i="1"/>
  <c r="A14504" i="1"/>
  <c r="B14504" i="1"/>
  <c r="C14504" i="1"/>
  <c r="E14504" i="1"/>
  <c r="G14504" i="1"/>
  <c r="K14504" i="1"/>
  <c r="A14505" i="1"/>
  <c r="B14505" i="1"/>
  <c r="C14505" i="1"/>
  <c r="E14505" i="1"/>
  <c r="G14505" i="1"/>
  <c r="K14505" i="1"/>
  <c r="A14506" i="1"/>
  <c r="B14506" i="1"/>
  <c r="C14506" i="1"/>
  <c r="E14506" i="1"/>
  <c r="G14506" i="1"/>
  <c r="K14506" i="1"/>
  <c r="A14507" i="1"/>
  <c r="B14507" i="1"/>
  <c r="C14507" i="1"/>
  <c r="E14507" i="1"/>
  <c r="G14507" i="1"/>
  <c r="K14507" i="1"/>
  <c r="A14508" i="1"/>
  <c r="B14508" i="1"/>
  <c r="C14508" i="1"/>
  <c r="E14508" i="1"/>
  <c r="G14508" i="1"/>
  <c r="K14508" i="1"/>
  <c r="A14509" i="1"/>
  <c r="B14509" i="1"/>
  <c r="C14509" i="1"/>
  <c r="E14509" i="1"/>
  <c r="G14509" i="1"/>
  <c r="K14509" i="1"/>
  <c r="A14510" i="1"/>
  <c r="B14510" i="1"/>
  <c r="C14510" i="1"/>
  <c r="E14510" i="1"/>
  <c r="G14510" i="1"/>
  <c r="K14510" i="1"/>
  <c r="A14511" i="1"/>
  <c r="B14511" i="1"/>
  <c r="C14511" i="1"/>
  <c r="E14511" i="1"/>
  <c r="G14511" i="1"/>
  <c r="K14511" i="1"/>
  <c r="A14512" i="1"/>
  <c r="B14512" i="1"/>
  <c r="C14512" i="1"/>
  <c r="E14512" i="1"/>
  <c r="G14512" i="1"/>
  <c r="K14512" i="1"/>
  <c r="A14513" i="1"/>
  <c r="B14513" i="1"/>
  <c r="C14513" i="1"/>
  <c r="E14513" i="1"/>
  <c r="G14513" i="1"/>
  <c r="K14513" i="1"/>
  <c r="A14514" i="1"/>
  <c r="B14514" i="1"/>
  <c r="C14514" i="1"/>
  <c r="E14514" i="1"/>
  <c r="G14514" i="1"/>
  <c r="K14514" i="1"/>
  <c r="A14515" i="1"/>
  <c r="B14515" i="1"/>
  <c r="C14515" i="1"/>
  <c r="E14515" i="1"/>
  <c r="G14515" i="1"/>
  <c r="K14515" i="1"/>
  <c r="A14516" i="1"/>
  <c r="B14516" i="1"/>
  <c r="C14516" i="1"/>
  <c r="E14516" i="1"/>
  <c r="G14516" i="1"/>
  <c r="K14516" i="1"/>
  <c r="A14517" i="1"/>
  <c r="B14517" i="1"/>
  <c r="C14517" i="1"/>
  <c r="E14517" i="1"/>
  <c r="G14517" i="1"/>
  <c r="K14517" i="1"/>
  <c r="A14518" i="1"/>
  <c r="B14518" i="1"/>
  <c r="C14518" i="1"/>
  <c r="E14518" i="1"/>
  <c r="G14518" i="1"/>
  <c r="K14518" i="1"/>
  <c r="A14519" i="1"/>
  <c r="B14519" i="1"/>
  <c r="C14519" i="1"/>
  <c r="E14519" i="1"/>
  <c r="G14519" i="1"/>
  <c r="K14519" i="1"/>
  <c r="A14520" i="1"/>
  <c r="B14520" i="1"/>
  <c r="C14520" i="1"/>
  <c r="E14520" i="1"/>
  <c r="G14520" i="1"/>
  <c r="K14520" i="1"/>
  <c r="A14521" i="1"/>
  <c r="B14521" i="1"/>
  <c r="C14521" i="1"/>
  <c r="E14521" i="1"/>
  <c r="G14521" i="1"/>
  <c r="K14521" i="1"/>
  <c r="A14522" i="1"/>
  <c r="B14522" i="1"/>
  <c r="C14522" i="1"/>
  <c r="E14522" i="1"/>
  <c r="G14522" i="1"/>
  <c r="K14522" i="1"/>
  <c r="A14523" i="1"/>
  <c r="B14523" i="1"/>
  <c r="C14523" i="1"/>
  <c r="E14523" i="1"/>
  <c r="G14523" i="1"/>
  <c r="K14523" i="1"/>
  <c r="A14524" i="1"/>
  <c r="B14524" i="1"/>
  <c r="C14524" i="1"/>
  <c r="E14524" i="1"/>
  <c r="G14524" i="1"/>
  <c r="K14524" i="1"/>
  <c r="A14525" i="1"/>
  <c r="B14525" i="1"/>
  <c r="C14525" i="1"/>
  <c r="E14525" i="1"/>
  <c r="G14525" i="1"/>
  <c r="K14525" i="1"/>
  <c r="A14526" i="1"/>
  <c r="B14526" i="1"/>
  <c r="C14526" i="1"/>
  <c r="E14526" i="1"/>
  <c r="G14526" i="1"/>
  <c r="K14526" i="1"/>
  <c r="A14527" i="1"/>
  <c r="B14527" i="1"/>
  <c r="C14527" i="1"/>
  <c r="E14527" i="1"/>
  <c r="G14527" i="1"/>
  <c r="K14527" i="1"/>
  <c r="A14528" i="1"/>
  <c r="B14528" i="1"/>
  <c r="C14528" i="1"/>
  <c r="E14528" i="1"/>
  <c r="G14528" i="1"/>
  <c r="K14528" i="1"/>
  <c r="A14529" i="1"/>
  <c r="B14529" i="1"/>
  <c r="C14529" i="1"/>
  <c r="E14529" i="1"/>
  <c r="G14529" i="1"/>
  <c r="K14529" i="1"/>
  <c r="A14530" i="1"/>
  <c r="B14530" i="1"/>
  <c r="C14530" i="1"/>
  <c r="E14530" i="1"/>
  <c r="G14530" i="1"/>
  <c r="K14530" i="1"/>
  <c r="A14531" i="1"/>
  <c r="B14531" i="1"/>
  <c r="C14531" i="1"/>
  <c r="E14531" i="1"/>
  <c r="G14531" i="1"/>
  <c r="K14531" i="1"/>
  <c r="A14532" i="1"/>
  <c r="B14532" i="1"/>
  <c r="C14532" i="1"/>
  <c r="E14532" i="1"/>
  <c r="G14532" i="1"/>
  <c r="K14532" i="1"/>
  <c r="A14533" i="1"/>
  <c r="B14533" i="1"/>
  <c r="C14533" i="1"/>
  <c r="E14533" i="1"/>
  <c r="G14533" i="1"/>
  <c r="K14533" i="1"/>
  <c r="A14534" i="1"/>
  <c r="B14534" i="1"/>
  <c r="C14534" i="1"/>
  <c r="E14534" i="1"/>
  <c r="G14534" i="1"/>
  <c r="K14534" i="1"/>
  <c r="A14535" i="1"/>
  <c r="B14535" i="1"/>
  <c r="C14535" i="1"/>
  <c r="E14535" i="1"/>
  <c r="G14535" i="1"/>
  <c r="K14535" i="1"/>
  <c r="A14536" i="1"/>
  <c r="B14536" i="1"/>
  <c r="C14536" i="1"/>
  <c r="E14536" i="1"/>
  <c r="G14536" i="1"/>
  <c r="K14536" i="1"/>
  <c r="A14537" i="1"/>
  <c r="B14537" i="1"/>
  <c r="C14537" i="1"/>
  <c r="E14537" i="1"/>
  <c r="G14537" i="1"/>
  <c r="K14537" i="1"/>
  <c r="A14538" i="1"/>
  <c r="B14538" i="1"/>
  <c r="C14538" i="1"/>
  <c r="E14538" i="1"/>
  <c r="G14538" i="1"/>
  <c r="K14538" i="1"/>
  <c r="A14539" i="1"/>
  <c r="B14539" i="1"/>
  <c r="C14539" i="1"/>
  <c r="E14539" i="1"/>
  <c r="G14539" i="1"/>
  <c r="K14539" i="1"/>
  <c r="A14540" i="1"/>
  <c r="B14540" i="1"/>
  <c r="C14540" i="1"/>
  <c r="E14540" i="1"/>
  <c r="G14540" i="1"/>
  <c r="K14540" i="1"/>
  <c r="A14541" i="1"/>
  <c r="B14541" i="1"/>
  <c r="C14541" i="1"/>
  <c r="E14541" i="1"/>
  <c r="G14541" i="1"/>
  <c r="K14541" i="1"/>
  <c r="A14542" i="1"/>
  <c r="B14542" i="1"/>
  <c r="C14542" i="1"/>
  <c r="E14542" i="1"/>
  <c r="G14542" i="1"/>
  <c r="K14542" i="1"/>
  <c r="A14543" i="1"/>
  <c r="B14543" i="1"/>
  <c r="C14543" i="1"/>
  <c r="E14543" i="1"/>
  <c r="G14543" i="1"/>
  <c r="K14543" i="1"/>
  <c r="A14544" i="1"/>
  <c r="B14544" i="1"/>
  <c r="C14544" i="1"/>
  <c r="E14544" i="1"/>
  <c r="G14544" i="1"/>
  <c r="K14544" i="1"/>
  <c r="A14545" i="1"/>
  <c r="B14545" i="1"/>
  <c r="C14545" i="1"/>
  <c r="E14545" i="1"/>
  <c r="G14545" i="1"/>
  <c r="K14545" i="1"/>
  <c r="A14546" i="1"/>
  <c r="B14546" i="1"/>
  <c r="C14546" i="1"/>
  <c r="E14546" i="1"/>
  <c r="G14546" i="1"/>
  <c r="K14546" i="1"/>
  <c r="A14547" i="1"/>
  <c r="B14547" i="1"/>
  <c r="C14547" i="1"/>
  <c r="E14547" i="1"/>
  <c r="G14547" i="1"/>
  <c r="K14547" i="1"/>
  <c r="A14548" i="1"/>
  <c r="B14548" i="1"/>
  <c r="C14548" i="1"/>
  <c r="E14548" i="1"/>
  <c r="G14548" i="1"/>
  <c r="K14548" i="1"/>
  <c r="A14549" i="1"/>
  <c r="B14549" i="1"/>
  <c r="C14549" i="1"/>
  <c r="E14549" i="1"/>
  <c r="G14549" i="1"/>
  <c r="K14549" i="1"/>
  <c r="A14550" i="1"/>
  <c r="B14550" i="1"/>
  <c r="C14550" i="1"/>
  <c r="E14550" i="1"/>
  <c r="G14550" i="1"/>
  <c r="K14550" i="1"/>
  <c r="A14551" i="1"/>
  <c r="B14551" i="1"/>
  <c r="C14551" i="1"/>
  <c r="E14551" i="1"/>
  <c r="G14551" i="1"/>
  <c r="K14551" i="1"/>
  <c r="A14552" i="1"/>
  <c r="B14552" i="1"/>
  <c r="C14552" i="1"/>
  <c r="E14552" i="1"/>
  <c r="G14552" i="1"/>
  <c r="K14552" i="1"/>
  <c r="A14553" i="1"/>
  <c r="B14553" i="1"/>
  <c r="C14553" i="1"/>
  <c r="E14553" i="1"/>
  <c r="G14553" i="1"/>
  <c r="K14553" i="1"/>
  <c r="A14554" i="1"/>
  <c r="B14554" i="1"/>
  <c r="C14554" i="1"/>
  <c r="E14554" i="1"/>
  <c r="G14554" i="1"/>
  <c r="K14554" i="1"/>
  <c r="A14555" i="1"/>
  <c r="B14555" i="1"/>
  <c r="C14555" i="1"/>
  <c r="E14555" i="1"/>
  <c r="G14555" i="1"/>
  <c r="K14555" i="1"/>
  <c r="A14556" i="1"/>
  <c r="B14556" i="1"/>
  <c r="C14556" i="1"/>
  <c r="E14556" i="1"/>
  <c r="G14556" i="1"/>
  <c r="K14556" i="1"/>
  <c r="A14557" i="1"/>
  <c r="B14557" i="1"/>
  <c r="C14557" i="1"/>
  <c r="E14557" i="1"/>
  <c r="G14557" i="1"/>
  <c r="K14557" i="1"/>
  <c r="A14558" i="1"/>
  <c r="B14558" i="1"/>
  <c r="C14558" i="1"/>
  <c r="E14558" i="1"/>
  <c r="G14558" i="1"/>
  <c r="K14558" i="1"/>
  <c r="A14559" i="1"/>
  <c r="B14559" i="1"/>
  <c r="C14559" i="1"/>
  <c r="E14559" i="1"/>
  <c r="G14559" i="1"/>
  <c r="K14559" i="1"/>
  <c r="A14560" i="1"/>
  <c r="B14560" i="1"/>
  <c r="C14560" i="1"/>
  <c r="E14560" i="1"/>
  <c r="G14560" i="1"/>
  <c r="K14560" i="1"/>
  <c r="A14561" i="1"/>
  <c r="B14561" i="1"/>
  <c r="C14561" i="1"/>
  <c r="E14561" i="1"/>
  <c r="G14561" i="1"/>
  <c r="K14561" i="1"/>
  <c r="A14562" i="1"/>
  <c r="B14562" i="1"/>
  <c r="C14562" i="1"/>
  <c r="E14562" i="1"/>
  <c r="G14562" i="1"/>
  <c r="K14562" i="1"/>
  <c r="A14563" i="1"/>
  <c r="B14563" i="1"/>
  <c r="C14563" i="1"/>
  <c r="E14563" i="1"/>
  <c r="G14563" i="1"/>
  <c r="K14563" i="1"/>
  <c r="A14564" i="1"/>
  <c r="B14564" i="1"/>
  <c r="C14564" i="1"/>
  <c r="E14564" i="1"/>
  <c r="G14564" i="1"/>
  <c r="K14564" i="1"/>
  <c r="A14565" i="1"/>
  <c r="B14565" i="1"/>
  <c r="C14565" i="1"/>
  <c r="E14565" i="1"/>
  <c r="G14565" i="1"/>
  <c r="K14565" i="1"/>
  <c r="A14566" i="1"/>
  <c r="B14566" i="1"/>
  <c r="C14566" i="1"/>
  <c r="E14566" i="1"/>
  <c r="G14566" i="1"/>
  <c r="K14566" i="1"/>
  <c r="A14567" i="1"/>
  <c r="B14567" i="1"/>
  <c r="C14567" i="1"/>
  <c r="E14567" i="1"/>
  <c r="G14567" i="1"/>
  <c r="K14567" i="1"/>
  <c r="A14568" i="1"/>
  <c r="B14568" i="1"/>
  <c r="C14568" i="1"/>
  <c r="E14568" i="1"/>
  <c r="G14568" i="1"/>
  <c r="K14568" i="1"/>
  <c r="A14569" i="1"/>
  <c r="B14569" i="1"/>
  <c r="C14569" i="1"/>
  <c r="E14569" i="1"/>
  <c r="G14569" i="1"/>
  <c r="K14569" i="1"/>
  <c r="A14570" i="1"/>
  <c r="B14570" i="1"/>
  <c r="C14570" i="1"/>
  <c r="E14570" i="1"/>
  <c r="G14570" i="1"/>
  <c r="K14570" i="1"/>
  <c r="A14571" i="1"/>
  <c r="B14571" i="1"/>
  <c r="C14571" i="1"/>
  <c r="E14571" i="1"/>
  <c r="G14571" i="1"/>
  <c r="K14571" i="1"/>
  <c r="A14572" i="1"/>
  <c r="B14572" i="1"/>
  <c r="C14572" i="1"/>
  <c r="E14572" i="1"/>
  <c r="G14572" i="1"/>
  <c r="K14572" i="1"/>
  <c r="A14573" i="1"/>
  <c r="B14573" i="1"/>
  <c r="C14573" i="1"/>
  <c r="E14573" i="1"/>
  <c r="G14573" i="1"/>
  <c r="K14573" i="1"/>
  <c r="A14574" i="1"/>
  <c r="B14574" i="1"/>
  <c r="C14574" i="1"/>
  <c r="E14574" i="1"/>
  <c r="G14574" i="1"/>
  <c r="K14574" i="1"/>
  <c r="A14575" i="1"/>
  <c r="B14575" i="1"/>
  <c r="C14575" i="1"/>
  <c r="E14575" i="1"/>
  <c r="G14575" i="1"/>
  <c r="K14575" i="1"/>
  <c r="A14576" i="1"/>
  <c r="B14576" i="1"/>
  <c r="C14576" i="1"/>
  <c r="E14576" i="1"/>
  <c r="G14576" i="1"/>
  <c r="K14576" i="1"/>
  <c r="A14577" i="1"/>
  <c r="B14577" i="1"/>
  <c r="C14577" i="1"/>
  <c r="E14577" i="1"/>
  <c r="G14577" i="1"/>
  <c r="K14577" i="1"/>
  <c r="A14578" i="1"/>
  <c r="B14578" i="1"/>
  <c r="C14578" i="1"/>
  <c r="E14578" i="1"/>
  <c r="G14578" i="1"/>
  <c r="K14578" i="1"/>
  <c r="A14579" i="1"/>
  <c r="B14579" i="1"/>
  <c r="C14579" i="1"/>
  <c r="E14579" i="1"/>
  <c r="G14579" i="1"/>
  <c r="K14579" i="1"/>
  <c r="A14580" i="1"/>
  <c r="B14580" i="1"/>
  <c r="C14580" i="1"/>
  <c r="E14580" i="1"/>
  <c r="G14580" i="1"/>
  <c r="K14580" i="1"/>
  <c r="A14581" i="1"/>
  <c r="B14581" i="1"/>
  <c r="C14581" i="1"/>
  <c r="E14581" i="1"/>
  <c r="G14581" i="1"/>
  <c r="K14581" i="1"/>
  <c r="A14582" i="1"/>
  <c r="B14582" i="1"/>
  <c r="C14582" i="1"/>
  <c r="E14582" i="1"/>
  <c r="G14582" i="1"/>
  <c r="K14582" i="1"/>
  <c r="A14583" i="1"/>
  <c r="B14583" i="1"/>
  <c r="C14583" i="1"/>
  <c r="E14583" i="1"/>
  <c r="G14583" i="1"/>
  <c r="K14583" i="1"/>
  <c r="A14584" i="1"/>
  <c r="B14584" i="1"/>
  <c r="C14584" i="1"/>
  <c r="E14584" i="1"/>
  <c r="G14584" i="1"/>
  <c r="K14584" i="1"/>
  <c r="A14585" i="1"/>
  <c r="B14585" i="1"/>
  <c r="C14585" i="1"/>
  <c r="E14585" i="1"/>
  <c r="G14585" i="1"/>
  <c r="K14585" i="1"/>
  <c r="A14586" i="1"/>
  <c r="B14586" i="1"/>
  <c r="C14586" i="1"/>
  <c r="E14586" i="1"/>
  <c r="G14586" i="1"/>
  <c r="K14586" i="1"/>
  <c r="A14587" i="1"/>
  <c r="B14587" i="1"/>
  <c r="C14587" i="1"/>
  <c r="E14587" i="1"/>
  <c r="G14587" i="1"/>
  <c r="K14587" i="1"/>
  <c r="A14588" i="1"/>
  <c r="B14588" i="1"/>
  <c r="C14588" i="1"/>
  <c r="E14588" i="1"/>
  <c r="G14588" i="1"/>
  <c r="K14588" i="1"/>
  <c r="A14589" i="1"/>
  <c r="B14589" i="1"/>
  <c r="C14589" i="1"/>
  <c r="E14589" i="1"/>
  <c r="G14589" i="1"/>
  <c r="K14589" i="1"/>
  <c r="A14590" i="1"/>
  <c r="B14590" i="1"/>
  <c r="C14590" i="1"/>
  <c r="E14590" i="1"/>
  <c r="G14590" i="1"/>
  <c r="K14590" i="1"/>
  <c r="A14591" i="1"/>
  <c r="B14591" i="1"/>
  <c r="C14591" i="1"/>
  <c r="E14591" i="1"/>
  <c r="G14591" i="1"/>
  <c r="K14591" i="1"/>
  <c r="A14592" i="1"/>
  <c r="B14592" i="1"/>
  <c r="C14592" i="1"/>
  <c r="E14592" i="1"/>
  <c r="G14592" i="1"/>
  <c r="K14592" i="1"/>
  <c r="A14593" i="1"/>
  <c r="B14593" i="1"/>
  <c r="C14593" i="1"/>
  <c r="E14593" i="1"/>
  <c r="G14593" i="1"/>
  <c r="K14593" i="1"/>
  <c r="A14594" i="1"/>
  <c r="B14594" i="1"/>
  <c r="C14594" i="1"/>
  <c r="E14594" i="1"/>
  <c r="G14594" i="1"/>
  <c r="K14594" i="1"/>
  <c r="A14595" i="1"/>
  <c r="B14595" i="1"/>
  <c r="C14595" i="1"/>
  <c r="E14595" i="1"/>
  <c r="G14595" i="1"/>
  <c r="K14595" i="1"/>
  <c r="A14596" i="1"/>
  <c r="B14596" i="1"/>
  <c r="C14596" i="1"/>
  <c r="E14596" i="1"/>
  <c r="G14596" i="1"/>
  <c r="K14596" i="1"/>
  <c r="A14597" i="1"/>
  <c r="B14597" i="1"/>
  <c r="C14597" i="1"/>
  <c r="E14597" i="1"/>
  <c r="G14597" i="1"/>
  <c r="K14597" i="1"/>
  <c r="A14598" i="1"/>
  <c r="B14598" i="1"/>
  <c r="C14598" i="1"/>
  <c r="E14598" i="1"/>
  <c r="G14598" i="1"/>
  <c r="K14598" i="1"/>
  <c r="A14599" i="1"/>
  <c r="B14599" i="1"/>
  <c r="C14599" i="1"/>
  <c r="E14599" i="1"/>
  <c r="G14599" i="1"/>
  <c r="K14599" i="1"/>
  <c r="A14600" i="1"/>
  <c r="B14600" i="1"/>
  <c r="C14600" i="1"/>
  <c r="E14600" i="1"/>
  <c r="G14600" i="1"/>
  <c r="K14600" i="1"/>
  <c r="A14601" i="1"/>
  <c r="B14601" i="1"/>
  <c r="C14601" i="1"/>
  <c r="E14601" i="1"/>
  <c r="G14601" i="1"/>
  <c r="K14601" i="1"/>
  <c r="A14602" i="1"/>
  <c r="B14602" i="1"/>
  <c r="C14602" i="1"/>
  <c r="E14602" i="1"/>
  <c r="G14602" i="1"/>
  <c r="K14602" i="1"/>
  <c r="A14603" i="1"/>
  <c r="B14603" i="1"/>
  <c r="C14603" i="1"/>
  <c r="E14603" i="1"/>
  <c r="G14603" i="1"/>
  <c r="K14603" i="1"/>
  <c r="A14604" i="1"/>
  <c r="B14604" i="1"/>
  <c r="C14604" i="1"/>
  <c r="E14604" i="1"/>
  <c r="G14604" i="1"/>
  <c r="K14604" i="1"/>
  <c r="A14605" i="1"/>
  <c r="B14605" i="1"/>
  <c r="C14605" i="1"/>
  <c r="E14605" i="1"/>
  <c r="G14605" i="1"/>
  <c r="K14605" i="1"/>
  <c r="A14606" i="1"/>
  <c r="B14606" i="1"/>
  <c r="C14606" i="1"/>
  <c r="E14606" i="1"/>
  <c r="G14606" i="1"/>
  <c r="K14606" i="1"/>
  <c r="A14607" i="1"/>
  <c r="B14607" i="1"/>
  <c r="C14607" i="1"/>
  <c r="E14607" i="1"/>
  <c r="G14607" i="1"/>
  <c r="K14607" i="1"/>
  <c r="A14608" i="1"/>
  <c r="B14608" i="1"/>
  <c r="C14608" i="1"/>
  <c r="E14608" i="1"/>
  <c r="G14608" i="1"/>
  <c r="K14608" i="1"/>
  <c r="A14609" i="1"/>
  <c r="B14609" i="1"/>
  <c r="C14609" i="1"/>
  <c r="E14609" i="1"/>
  <c r="G14609" i="1"/>
  <c r="K14609" i="1"/>
  <c r="A14610" i="1"/>
  <c r="B14610" i="1"/>
  <c r="C14610" i="1"/>
  <c r="E14610" i="1"/>
  <c r="G14610" i="1"/>
  <c r="K14610" i="1"/>
  <c r="A14611" i="1"/>
  <c r="B14611" i="1"/>
  <c r="C14611" i="1"/>
  <c r="E14611" i="1"/>
  <c r="G14611" i="1"/>
  <c r="K14611" i="1"/>
  <c r="A14612" i="1"/>
  <c r="B14612" i="1"/>
  <c r="C14612" i="1"/>
  <c r="E14612" i="1"/>
  <c r="G14612" i="1"/>
  <c r="K14612" i="1"/>
  <c r="A14613" i="1"/>
  <c r="B14613" i="1"/>
  <c r="C14613" i="1"/>
  <c r="E14613" i="1"/>
  <c r="G14613" i="1"/>
  <c r="K14613" i="1"/>
  <c r="A14614" i="1"/>
  <c r="B14614" i="1"/>
  <c r="C14614" i="1"/>
  <c r="E14614" i="1"/>
  <c r="G14614" i="1"/>
  <c r="K14614" i="1"/>
  <c r="A14615" i="1"/>
  <c r="B14615" i="1"/>
  <c r="C14615" i="1"/>
  <c r="E14615" i="1"/>
  <c r="G14615" i="1"/>
  <c r="K14615" i="1"/>
  <c r="A14616" i="1"/>
  <c r="B14616" i="1"/>
  <c r="C14616" i="1"/>
  <c r="E14616" i="1"/>
  <c r="G14616" i="1"/>
  <c r="K14616" i="1"/>
  <c r="A14617" i="1"/>
  <c r="B14617" i="1"/>
  <c r="C14617" i="1"/>
  <c r="E14617" i="1"/>
  <c r="G14617" i="1"/>
  <c r="K14617" i="1"/>
  <c r="A14618" i="1"/>
  <c r="B14618" i="1"/>
  <c r="C14618" i="1"/>
  <c r="E14618" i="1"/>
  <c r="G14618" i="1"/>
  <c r="K14618" i="1"/>
  <c r="A14619" i="1"/>
  <c r="B14619" i="1"/>
  <c r="C14619" i="1"/>
  <c r="E14619" i="1"/>
  <c r="G14619" i="1"/>
  <c r="K14619" i="1"/>
  <c r="A14620" i="1"/>
  <c r="B14620" i="1"/>
  <c r="C14620" i="1"/>
  <c r="E14620" i="1"/>
  <c r="G14620" i="1"/>
  <c r="K14620" i="1"/>
  <c r="A14621" i="1"/>
  <c r="B14621" i="1"/>
  <c r="C14621" i="1"/>
  <c r="E14621" i="1"/>
  <c r="G14621" i="1"/>
  <c r="K14621" i="1"/>
  <c r="A14622" i="1"/>
  <c r="B14622" i="1"/>
  <c r="C14622" i="1"/>
  <c r="E14622" i="1"/>
  <c r="G14622" i="1"/>
  <c r="K14622" i="1"/>
  <c r="A14623" i="1"/>
  <c r="B14623" i="1"/>
  <c r="C14623" i="1"/>
  <c r="E14623" i="1"/>
  <c r="G14623" i="1"/>
  <c r="K14623" i="1"/>
  <c r="A14624" i="1"/>
  <c r="B14624" i="1"/>
  <c r="C14624" i="1"/>
  <c r="E14624" i="1"/>
  <c r="G14624" i="1"/>
  <c r="K14624" i="1"/>
  <c r="A14625" i="1"/>
  <c r="B14625" i="1"/>
  <c r="C14625" i="1"/>
  <c r="E14625" i="1"/>
  <c r="G14625" i="1"/>
  <c r="K14625" i="1"/>
  <c r="A14626" i="1"/>
  <c r="B14626" i="1"/>
  <c r="C14626" i="1"/>
  <c r="E14626" i="1"/>
  <c r="G14626" i="1"/>
  <c r="K14626" i="1"/>
  <c r="A14627" i="1"/>
  <c r="B14627" i="1"/>
  <c r="C14627" i="1"/>
  <c r="E14627" i="1"/>
  <c r="G14627" i="1"/>
  <c r="K14627" i="1"/>
  <c r="A14628" i="1"/>
  <c r="B14628" i="1"/>
  <c r="C14628" i="1"/>
  <c r="E14628" i="1"/>
  <c r="G14628" i="1"/>
  <c r="K14628" i="1"/>
  <c r="A14629" i="1"/>
  <c r="B14629" i="1"/>
  <c r="C14629" i="1"/>
  <c r="E14629" i="1"/>
  <c r="G14629" i="1"/>
  <c r="K14629" i="1"/>
  <c r="A14630" i="1"/>
  <c r="B14630" i="1"/>
  <c r="C14630" i="1"/>
  <c r="E14630" i="1"/>
  <c r="G14630" i="1"/>
  <c r="K14630" i="1"/>
  <c r="A14631" i="1"/>
  <c r="B14631" i="1"/>
  <c r="C14631" i="1"/>
  <c r="E14631" i="1"/>
  <c r="G14631" i="1"/>
  <c r="K14631" i="1"/>
  <c r="A14632" i="1"/>
  <c r="B14632" i="1"/>
  <c r="C14632" i="1"/>
  <c r="E14632" i="1"/>
  <c r="G14632" i="1"/>
  <c r="K14632" i="1"/>
  <c r="A14633" i="1"/>
  <c r="B14633" i="1"/>
  <c r="C14633" i="1"/>
  <c r="E14633" i="1"/>
  <c r="G14633" i="1"/>
  <c r="K14633" i="1"/>
  <c r="A14634" i="1"/>
  <c r="B14634" i="1"/>
  <c r="C14634" i="1"/>
  <c r="E14634" i="1"/>
  <c r="G14634" i="1"/>
  <c r="K14634" i="1"/>
  <c r="A14635" i="1"/>
  <c r="B14635" i="1"/>
  <c r="C14635" i="1"/>
  <c r="E14635" i="1"/>
  <c r="G14635" i="1"/>
  <c r="K14635" i="1"/>
  <c r="A14636" i="1"/>
  <c r="B14636" i="1"/>
  <c r="C14636" i="1"/>
  <c r="E14636" i="1"/>
  <c r="G14636" i="1"/>
  <c r="K14636" i="1"/>
  <c r="A14637" i="1"/>
  <c r="B14637" i="1"/>
  <c r="C14637" i="1"/>
  <c r="E14637" i="1"/>
  <c r="G14637" i="1"/>
  <c r="K14637" i="1"/>
  <c r="A14638" i="1"/>
  <c r="B14638" i="1"/>
  <c r="C14638" i="1"/>
  <c r="E14638" i="1"/>
  <c r="G14638" i="1"/>
  <c r="K14638" i="1"/>
  <c r="A14639" i="1"/>
  <c r="B14639" i="1"/>
  <c r="C14639" i="1"/>
  <c r="E14639" i="1"/>
  <c r="G14639" i="1"/>
  <c r="K14639" i="1"/>
  <c r="A14640" i="1"/>
  <c r="B14640" i="1"/>
  <c r="C14640" i="1"/>
  <c r="E14640" i="1"/>
  <c r="G14640" i="1"/>
  <c r="K14640" i="1"/>
  <c r="A14641" i="1"/>
  <c r="B14641" i="1"/>
  <c r="C14641" i="1"/>
  <c r="E14641" i="1"/>
  <c r="G14641" i="1"/>
  <c r="K14641" i="1"/>
  <c r="A14642" i="1"/>
  <c r="B14642" i="1"/>
  <c r="C14642" i="1"/>
  <c r="E14642" i="1"/>
  <c r="G14642" i="1"/>
  <c r="K14642" i="1"/>
  <c r="A14643" i="1"/>
  <c r="B14643" i="1"/>
  <c r="C14643" i="1"/>
  <c r="E14643" i="1"/>
  <c r="G14643" i="1"/>
  <c r="K14643" i="1"/>
  <c r="A14644" i="1"/>
  <c r="B14644" i="1"/>
  <c r="C14644" i="1"/>
  <c r="E14644" i="1"/>
  <c r="G14644" i="1"/>
  <c r="K14644" i="1"/>
  <c r="A14645" i="1"/>
  <c r="B14645" i="1"/>
  <c r="C14645" i="1"/>
  <c r="E14645" i="1"/>
  <c r="G14645" i="1"/>
  <c r="K14645" i="1"/>
  <c r="A14646" i="1"/>
  <c r="B14646" i="1"/>
  <c r="C14646" i="1"/>
  <c r="E14646" i="1"/>
  <c r="G14646" i="1"/>
  <c r="K14646" i="1"/>
  <c r="A14647" i="1"/>
  <c r="B14647" i="1"/>
  <c r="C14647" i="1"/>
  <c r="E14647" i="1"/>
  <c r="G14647" i="1"/>
  <c r="K14647" i="1"/>
  <c r="A14648" i="1"/>
  <c r="B14648" i="1"/>
  <c r="C14648" i="1"/>
  <c r="E14648" i="1"/>
  <c r="G14648" i="1"/>
  <c r="K14648" i="1"/>
  <c r="A14649" i="1"/>
  <c r="B14649" i="1"/>
  <c r="C14649" i="1"/>
  <c r="E14649" i="1"/>
  <c r="G14649" i="1"/>
  <c r="K14649" i="1"/>
  <c r="A14650" i="1"/>
  <c r="B14650" i="1"/>
  <c r="C14650" i="1"/>
  <c r="E14650" i="1"/>
  <c r="G14650" i="1"/>
  <c r="K14650" i="1"/>
  <c r="A14651" i="1"/>
  <c r="B14651" i="1"/>
  <c r="C14651" i="1"/>
  <c r="E14651" i="1"/>
  <c r="G14651" i="1"/>
  <c r="K14651" i="1"/>
  <c r="A14652" i="1"/>
  <c r="B14652" i="1"/>
  <c r="C14652" i="1"/>
  <c r="E14652" i="1"/>
  <c r="G14652" i="1"/>
  <c r="K14652" i="1"/>
  <c r="A14653" i="1"/>
  <c r="B14653" i="1"/>
  <c r="C14653" i="1"/>
  <c r="E14653" i="1"/>
  <c r="G14653" i="1"/>
  <c r="K14653" i="1"/>
  <c r="A14654" i="1"/>
  <c r="B14654" i="1"/>
  <c r="C14654" i="1"/>
  <c r="E14654" i="1"/>
  <c r="G14654" i="1"/>
  <c r="K14654" i="1"/>
  <c r="A14655" i="1"/>
  <c r="B14655" i="1"/>
  <c r="C14655" i="1"/>
  <c r="E14655" i="1"/>
  <c r="G14655" i="1"/>
  <c r="K14655" i="1"/>
  <c r="A14656" i="1"/>
  <c r="B14656" i="1"/>
  <c r="C14656" i="1"/>
  <c r="E14656" i="1"/>
  <c r="G14656" i="1"/>
  <c r="K14656" i="1"/>
  <c r="A14657" i="1"/>
  <c r="B14657" i="1"/>
  <c r="C14657" i="1"/>
  <c r="E14657" i="1"/>
  <c r="G14657" i="1"/>
  <c r="K14657" i="1"/>
  <c r="A14658" i="1"/>
  <c r="B14658" i="1"/>
  <c r="C14658" i="1"/>
  <c r="E14658" i="1"/>
  <c r="G14658" i="1"/>
  <c r="K14658" i="1"/>
  <c r="A14659" i="1"/>
  <c r="B14659" i="1"/>
  <c r="C14659" i="1"/>
  <c r="E14659" i="1"/>
  <c r="G14659" i="1"/>
  <c r="K14659" i="1"/>
  <c r="A14660" i="1"/>
  <c r="B14660" i="1"/>
  <c r="C14660" i="1"/>
  <c r="E14660" i="1"/>
  <c r="G14660" i="1"/>
  <c r="K14660" i="1"/>
  <c r="A14661" i="1"/>
  <c r="B14661" i="1"/>
  <c r="C14661" i="1"/>
  <c r="E14661" i="1"/>
  <c r="G14661" i="1"/>
  <c r="K14661" i="1"/>
  <c r="A14662" i="1"/>
  <c r="B14662" i="1"/>
  <c r="C14662" i="1"/>
  <c r="E14662" i="1"/>
  <c r="G14662" i="1"/>
  <c r="K14662" i="1"/>
  <c r="A14663" i="1"/>
  <c r="B14663" i="1"/>
  <c r="C14663" i="1"/>
  <c r="E14663" i="1"/>
  <c r="G14663" i="1"/>
  <c r="K14663" i="1"/>
  <c r="A14664" i="1"/>
  <c r="B14664" i="1"/>
  <c r="C14664" i="1"/>
  <c r="E14664" i="1"/>
  <c r="G14664" i="1"/>
  <c r="K14664" i="1"/>
  <c r="A14665" i="1"/>
  <c r="B14665" i="1"/>
  <c r="C14665" i="1"/>
  <c r="E14665" i="1"/>
  <c r="G14665" i="1"/>
  <c r="K14665" i="1"/>
  <c r="A14666" i="1"/>
  <c r="B14666" i="1"/>
  <c r="C14666" i="1"/>
  <c r="E14666" i="1"/>
  <c r="G14666" i="1"/>
  <c r="K14666" i="1"/>
  <c r="A14667" i="1"/>
  <c r="B14667" i="1"/>
  <c r="C14667" i="1"/>
  <c r="E14667" i="1"/>
  <c r="G14667" i="1"/>
  <c r="K14667" i="1"/>
  <c r="A14668" i="1"/>
  <c r="B14668" i="1"/>
  <c r="C14668" i="1"/>
  <c r="E14668" i="1"/>
  <c r="G14668" i="1"/>
  <c r="K14668" i="1"/>
  <c r="A14669" i="1"/>
  <c r="B14669" i="1"/>
  <c r="C14669" i="1"/>
  <c r="E14669" i="1"/>
  <c r="G14669" i="1"/>
  <c r="K14669" i="1"/>
  <c r="A14670" i="1"/>
  <c r="B14670" i="1"/>
  <c r="C14670" i="1"/>
  <c r="E14670" i="1"/>
  <c r="G14670" i="1"/>
  <c r="K14670" i="1"/>
  <c r="A14671" i="1"/>
  <c r="B14671" i="1"/>
  <c r="C14671" i="1"/>
  <c r="E14671" i="1"/>
  <c r="G14671" i="1"/>
  <c r="K14671" i="1"/>
  <c r="A14672" i="1"/>
  <c r="B14672" i="1"/>
  <c r="C14672" i="1"/>
  <c r="E14672" i="1"/>
  <c r="G14672" i="1"/>
  <c r="K14672" i="1"/>
  <c r="A14673" i="1"/>
  <c r="B14673" i="1"/>
  <c r="C14673" i="1"/>
  <c r="E14673" i="1"/>
  <c r="G14673" i="1"/>
  <c r="K14673" i="1"/>
  <c r="A14674" i="1"/>
  <c r="B14674" i="1"/>
  <c r="C14674" i="1"/>
  <c r="E14674" i="1"/>
  <c r="G14674" i="1"/>
  <c r="K14674" i="1"/>
  <c r="A14675" i="1"/>
  <c r="B14675" i="1"/>
  <c r="C14675" i="1"/>
  <c r="E14675" i="1"/>
  <c r="G14675" i="1"/>
  <c r="K14675" i="1"/>
  <c r="A14676" i="1"/>
  <c r="B14676" i="1"/>
  <c r="C14676" i="1"/>
  <c r="E14676" i="1"/>
  <c r="G14676" i="1"/>
  <c r="K14676" i="1"/>
  <c r="A14677" i="1"/>
  <c r="B14677" i="1"/>
  <c r="C14677" i="1"/>
  <c r="E14677" i="1"/>
  <c r="G14677" i="1"/>
  <c r="K14677" i="1"/>
  <c r="A14678" i="1"/>
  <c r="B14678" i="1"/>
  <c r="C14678" i="1"/>
  <c r="E14678" i="1"/>
  <c r="G14678" i="1"/>
  <c r="K14678" i="1"/>
  <c r="A14679" i="1"/>
  <c r="B14679" i="1"/>
  <c r="C14679" i="1"/>
  <c r="E14679" i="1"/>
  <c r="G14679" i="1"/>
  <c r="K14679" i="1"/>
  <c r="A14680" i="1"/>
  <c r="B14680" i="1"/>
  <c r="C14680" i="1"/>
  <c r="E14680" i="1"/>
  <c r="G14680" i="1"/>
  <c r="K14680" i="1"/>
  <c r="A14681" i="1"/>
  <c r="B14681" i="1"/>
  <c r="C14681" i="1"/>
  <c r="E14681" i="1"/>
  <c r="G14681" i="1"/>
  <c r="K14681" i="1"/>
  <c r="A14682" i="1"/>
  <c r="B14682" i="1"/>
  <c r="C14682" i="1"/>
  <c r="E14682" i="1"/>
  <c r="G14682" i="1"/>
  <c r="K14682" i="1"/>
  <c r="A14683" i="1"/>
  <c r="B14683" i="1"/>
  <c r="C14683" i="1"/>
  <c r="E14683" i="1"/>
  <c r="G14683" i="1"/>
  <c r="K14683" i="1"/>
  <c r="A14684" i="1"/>
  <c r="B14684" i="1"/>
  <c r="C14684" i="1"/>
  <c r="E14684" i="1"/>
  <c r="G14684" i="1"/>
  <c r="K14684" i="1"/>
  <c r="A14685" i="1"/>
  <c r="B14685" i="1"/>
  <c r="C14685" i="1"/>
  <c r="E14685" i="1"/>
  <c r="G14685" i="1"/>
  <c r="K14685" i="1"/>
  <c r="A14686" i="1"/>
  <c r="B14686" i="1"/>
  <c r="C14686" i="1"/>
  <c r="E14686" i="1"/>
  <c r="G14686" i="1"/>
  <c r="K14686" i="1"/>
  <c r="A14687" i="1"/>
  <c r="B14687" i="1"/>
  <c r="C14687" i="1"/>
  <c r="E14687" i="1"/>
  <c r="G14687" i="1"/>
  <c r="K14687" i="1"/>
  <c r="A14688" i="1"/>
  <c r="B14688" i="1"/>
  <c r="C14688" i="1"/>
  <c r="E14688" i="1"/>
  <c r="G14688" i="1"/>
  <c r="K14688" i="1"/>
  <c r="A14689" i="1"/>
  <c r="B14689" i="1"/>
  <c r="C14689" i="1"/>
  <c r="E14689" i="1"/>
  <c r="G14689" i="1"/>
  <c r="K14689" i="1"/>
  <c r="A14690" i="1"/>
  <c r="B14690" i="1"/>
  <c r="C14690" i="1"/>
  <c r="E14690" i="1"/>
  <c r="G14690" i="1"/>
  <c r="K14690" i="1"/>
  <c r="A14691" i="1"/>
  <c r="B14691" i="1"/>
  <c r="C14691" i="1"/>
  <c r="E14691" i="1"/>
  <c r="G14691" i="1"/>
  <c r="K14691" i="1"/>
  <c r="A14692" i="1"/>
  <c r="B14692" i="1"/>
  <c r="C14692" i="1"/>
  <c r="E14692" i="1"/>
  <c r="G14692" i="1"/>
  <c r="K14692" i="1"/>
  <c r="A14693" i="1"/>
  <c r="B14693" i="1"/>
  <c r="C14693" i="1"/>
  <c r="E14693" i="1"/>
  <c r="G14693" i="1"/>
  <c r="K14693" i="1"/>
  <c r="A14694" i="1"/>
  <c r="B14694" i="1"/>
  <c r="C14694" i="1"/>
  <c r="E14694" i="1"/>
  <c r="G14694" i="1"/>
  <c r="K14694" i="1"/>
  <c r="A14695" i="1"/>
  <c r="B14695" i="1"/>
  <c r="C14695" i="1"/>
  <c r="E14695" i="1"/>
  <c r="G14695" i="1"/>
  <c r="K14695" i="1"/>
  <c r="A14696" i="1"/>
  <c r="B14696" i="1"/>
  <c r="C14696" i="1"/>
  <c r="E14696" i="1"/>
  <c r="G14696" i="1"/>
  <c r="K14696" i="1"/>
  <c r="A14697" i="1"/>
  <c r="B14697" i="1"/>
  <c r="C14697" i="1"/>
  <c r="E14697" i="1"/>
  <c r="G14697" i="1"/>
  <c r="K14697" i="1"/>
  <c r="A14698" i="1"/>
  <c r="B14698" i="1"/>
  <c r="C14698" i="1"/>
  <c r="E14698" i="1"/>
  <c r="G14698" i="1"/>
  <c r="K14698" i="1"/>
  <c r="A14699" i="1"/>
  <c r="B14699" i="1"/>
  <c r="C14699" i="1"/>
  <c r="E14699" i="1"/>
  <c r="G14699" i="1"/>
  <c r="K14699" i="1"/>
  <c r="A14700" i="1"/>
  <c r="B14700" i="1"/>
  <c r="C14700" i="1"/>
  <c r="E14700" i="1"/>
  <c r="G14700" i="1"/>
  <c r="K14700" i="1"/>
  <c r="A14701" i="1"/>
  <c r="B14701" i="1"/>
  <c r="C14701" i="1"/>
  <c r="E14701" i="1"/>
  <c r="G14701" i="1"/>
  <c r="K14701" i="1"/>
  <c r="A14702" i="1"/>
  <c r="B14702" i="1"/>
  <c r="C14702" i="1"/>
  <c r="E14702" i="1"/>
  <c r="G14702" i="1"/>
  <c r="K14702" i="1"/>
  <c r="A14703" i="1"/>
  <c r="B14703" i="1"/>
  <c r="C14703" i="1"/>
  <c r="E14703" i="1"/>
  <c r="G14703" i="1"/>
  <c r="K14703" i="1"/>
  <c r="A14704" i="1"/>
  <c r="B14704" i="1"/>
  <c r="C14704" i="1"/>
  <c r="E14704" i="1"/>
  <c r="G14704" i="1"/>
  <c r="K14704" i="1"/>
  <c r="A14705" i="1"/>
  <c r="B14705" i="1"/>
  <c r="C14705" i="1"/>
  <c r="E14705" i="1"/>
  <c r="G14705" i="1"/>
  <c r="K14705" i="1"/>
  <c r="A14706" i="1"/>
  <c r="B14706" i="1"/>
  <c r="C14706" i="1"/>
  <c r="E14706" i="1"/>
  <c r="G14706" i="1"/>
  <c r="K14706" i="1"/>
  <c r="A14707" i="1"/>
  <c r="B14707" i="1"/>
  <c r="C14707" i="1"/>
  <c r="E14707" i="1"/>
  <c r="G14707" i="1"/>
  <c r="K14707" i="1"/>
  <c r="A14708" i="1"/>
  <c r="B14708" i="1"/>
  <c r="C14708" i="1"/>
  <c r="E14708" i="1"/>
  <c r="G14708" i="1"/>
  <c r="K14708" i="1"/>
  <c r="A14709" i="1"/>
  <c r="B14709" i="1"/>
  <c r="C14709" i="1"/>
  <c r="E14709" i="1"/>
  <c r="G14709" i="1"/>
  <c r="K14709" i="1"/>
  <c r="A14710" i="1"/>
  <c r="B14710" i="1"/>
  <c r="C14710" i="1"/>
  <c r="E14710" i="1"/>
  <c r="G14710" i="1"/>
  <c r="K14710" i="1"/>
  <c r="A14711" i="1"/>
  <c r="B14711" i="1"/>
  <c r="C14711" i="1"/>
  <c r="E14711" i="1"/>
  <c r="G14711" i="1"/>
  <c r="K14711" i="1"/>
  <c r="A14712" i="1"/>
  <c r="B14712" i="1"/>
  <c r="C14712" i="1"/>
  <c r="E14712" i="1"/>
  <c r="G14712" i="1"/>
  <c r="K14712" i="1"/>
  <c r="A14713" i="1"/>
  <c r="B14713" i="1"/>
  <c r="C14713" i="1"/>
  <c r="E14713" i="1"/>
  <c r="G14713" i="1"/>
  <c r="K14713" i="1"/>
  <c r="A14714" i="1"/>
  <c r="B14714" i="1"/>
  <c r="C14714" i="1"/>
  <c r="E14714" i="1"/>
  <c r="G14714" i="1"/>
  <c r="K14714" i="1"/>
  <c r="A14715" i="1"/>
  <c r="B14715" i="1"/>
  <c r="C14715" i="1"/>
  <c r="E14715" i="1"/>
  <c r="G14715" i="1"/>
  <c r="K14715" i="1"/>
  <c r="A14716" i="1"/>
  <c r="B14716" i="1"/>
  <c r="C14716" i="1"/>
  <c r="E14716" i="1"/>
  <c r="G14716" i="1"/>
  <c r="K14716" i="1"/>
  <c r="A14717" i="1"/>
  <c r="B14717" i="1"/>
  <c r="C14717" i="1"/>
  <c r="E14717" i="1"/>
  <c r="G14717" i="1"/>
  <c r="K14717" i="1"/>
  <c r="A14718" i="1"/>
  <c r="B14718" i="1"/>
  <c r="C14718" i="1"/>
  <c r="E14718" i="1"/>
  <c r="G14718" i="1"/>
  <c r="K14718" i="1"/>
  <c r="A14719" i="1"/>
  <c r="B14719" i="1"/>
  <c r="C14719" i="1"/>
  <c r="E14719" i="1"/>
  <c r="G14719" i="1"/>
  <c r="K14719" i="1"/>
  <c r="A14720" i="1"/>
  <c r="B14720" i="1"/>
  <c r="C14720" i="1"/>
  <c r="E14720" i="1"/>
  <c r="G14720" i="1"/>
  <c r="K14720" i="1"/>
  <c r="A14721" i="1"/>
  <c r="B14721" i="1"/>
  <c r="C14721" i="1"/>
  <c r="E14721" i="1"/>
  <c r="G14721" i="1"/>
  <c r="K14721" i="1"/>
  <c r="A14722" i="1"/>
  <c r="B14722" i="1"/>
  <c r="C14722" i="1"/>
  <c r="E14722" i="1"/>
  <c r="G14722" i="1"/>
  <c r="K14722" i="1"/>
  <c r="A14723" i="1"/>
  <c r="B14723" i="1"/>
  <c r="C14723" i="1"/>
  <c r="E14723" i="1"/>
  <c r="G14723" i="1"/>
  <c r="K14723" i="1"/>
  <c r="A14724" i="1"/>
  <c r="B14724" i="1"/>
  <c r="C14724" i="1"/>
  <c r="E14724" i="1"/>
  <c r="G14724" i="1"/>
  <c r="K14724" i="1"/>
  <c r="A14725" i="1"/>
  <c r="B14725" i="1"/>
  <c r="C14725" i="1"/>
  <c r="E14725" i="1"/>
  <c r="G14725" i="1"/>
  <c r="K14725" i="1"/>
  <c r="A14726" i="1"/>
  <c r="B14726" i="1"/>
  <c r="C14726" i="1"/>
  <c r="E14726" i="1"/>
  <c r="G14726" i="1"/>
  <c r="K14726" i="1"/>
  <c r="A14727" i="1"/>
  <c r="B14727" i="1"/>
  <c r="C14727" i="1"/>
  <c r="E14727" i="1"/>
  <c r="G14727" i="1"/>
  <c r="K14727" i="1"/>
  <c r="A14728" i="1"/>
  <c r="B14728" i="1"/>
  <c r="C14728" i="1"/>
  <c r="E14728" i="1"/>
  <c r="G14728" i="1"/>
  <c r="K14728" i="1"/>
  <c r="A14729" i="1"/>
  <c r="B14729" i="1"/>
  <c r="C14729" i="1"/>
  <c r="E14729" i="1"/>
  <c r="G14729" i="1"/>
  <c r="K14729" i="1"/>
  <c r="A14730" i="1"/>
  <c r="B14730" i="1"/>
  <c r="C14730" i="1"/>
  <c r="E14730" i="1"/>
  <c r="G14730" i="1"/>
  <c r="K14730" i="1"/>
  <c r="A14731" i="1"/>
  <c r="B14731" i="1"/>
  <c r="C14731" i="1"/>
  <c r="E14731" i="1"/>
  <c r="G14731" i="1"/>
  <c r="K14731" i="1"/>
  <c r="A14732" i="1"/>
  <c r="B14732" i="1"/>
  <c r="C14732" i="1"/>
  <c r="E14732" i="1"/>
  <c r="G14732" i="1"/>
  <c r="K14732" i="1"/>
  <c r="A14733" i="1"/>
  <c r="B14733" i="1"/>
  <c r="C14733" i="1"/>
  <c r="E14733" i="1"/>
  <c r="G14733" i="1"/>
  <c r="K14733" i="1"/>
  <c r="A14734" i="1"/>
  <c r="B14734" i="1"/>
  <c r="C14734" i="1"/>
  <c r="E14734" i="1"/>
  <c r="G14734" i="1"/>
  <c r="K14734" i="1"/>
  <c r="A14735" i="1"/>
  <c r="B14735" i="1"/>
  <c r="C14735" i="1"/>
  <c r="E14735" i="1"/>
  <c r="G14735" i="1"/>
  <c r="K14735" i="1"/>
  <c r="A14736" i="1"/>
  <c r="B14736" i="1"/>
  <c r="C14736" i="1"/>
  <c r="E14736" i="1"/>
  <c r="G14736" i="1"/>
  <c r="K14736" i="1"/>
  <c r="A14737" i="1"/>
  <c r="B14737" i="1"/>
  <c r="C14737" i="1"/>
  <c r="E14737" i="1"/>
  <c r="G14737" i="1"/>
  <c r="K14737" i="1"/>
  <c r="A14738" i="1"/>
  <c r="B14738" i="1"/>
  <c r="C14738" i="1"/>
  <c r="E14738" i="1"/>
  <c r="G14738" i="1"/>
  <c r="K14738" i="1"/>
  <c r="A14739" i="1"/>
  <c r="B14739" i="1"/>
  <c r="C14739" i="1"/>
  <c r="E14739" i="1"/>
  <c r="G14739" i="1"/>
  <c r="K14739" i="1"/>
  <c r="A14740" i="1"/>
  <c r="B14740" i="1"/>
  <c r="C14740" i="1"/>
  <c r="E14740" i="1"/>
  <c r="G14740" i="1"/>
  <c r="K14740" i="1"/>
  <c r="A14741" i="1"/>
  <c r="B14741" i="1"/>
  <c r="C14741" i="1"/>
  <c r="E14741" i="1"/>
  <c r="G14741" i="1"/>
  <c r="K14741" i="1"/>
  <c r="A14742" i="1"/>
  <c r="B14742" i="1"/>
  <c r="C14742" i="1"/>
  <c r="E14742" i="1"/>
  <c r="G14742" i="1"/>
  <c r="K14742" i="1"/>
  <c r="A14743" i="1"/>
  <c r="B14743" i="1"/>
  <c r="C14743" i="1"/>
  <c r="E14743" i="1"/>
  <c r="G14743" i="1"/>
  <c r="K14743" i="1"/>
  <c r="A14744" i="1"/>
  <c r="B14744" i="1"/>
  <c r="C14744" i="1"/>
  <c r="E14744" i="1"/>
  <c r="G14744" i="1"/>
  <c r="K14744" i="1"/>
  <c r="A14745" i="1"/>
  <c r="B14745" i="1"/>
  <c r="C14745" i="1"/>
  <c r="E14745" i="1"/>
  <c r="G14745" i="1"/>
  <c r="K14745" i="1"/>
  <c r="A14746" i="1"/>
  <c r="B14746" i="1"/>
  <c r="C14746" i="1"/>
  <c r="E14746" i="1"/>
  <c r="G14746" i="1"/>
  <c r="K14746" i="1"/>
  <c r="A14747" i="1"/>
  <c r="B14747" i="1"/>
  <c r="C14747" i="1"/>
  <c r="E14747" i="1"/>
  <c r="G14747" i="1"/>
  <c r="K14747" i="1"/>
  <c r="A14748" i="1"/>
  <c r="B14748" i="1"/>
  <c r="C14748" i="1"/>
  <c r="E14748" i="1"/>
  <c r="G14748" i="1"/>
  <c r="K14748" i="1"/>
  <c r="A14749" i="1"/>
  <c r="B14749" i="1"/>
  <c r="C14749" i="1"/>
  <c r="E14749" i="1"/>
  <c r="G14749" i="1"/>
  <c r="K14749" i="1"/>
  <c r="A14750" i="1"/>
  <c r="B14750" i="1"/>
  <c r="C14750" i="1"/>
  <c r="E14750" i="1"/>
  <c r="G14750" i="1"/>
  <c r="K14750" i="1"/>
  <c r="A14751" i="1"/>
  <c r="B14751" i="1"/>
  <c r="C14751" i="1"/>
  <c r="E14751" i="1"/>
  <c r="G14751" i="1"/>
  <c r="K14751" i="1"/>
  <c r="A14752" i="1"/>
  <c r="B14752" i="1"/>
  <c r="C14752" i="1"/>
  <c r="E14752" i="1"/>
  <c r="G14752" i="1"/>
  <c r="K14752" i="1"/>
  <c r="A14753" i="1"/>
  <c r="B14753" i="1"/>
  <c r="C14753" i="1"/>
  <c r="E14753" i="1"/>
  <c r="G14753" i="1"/>
  <c r="K14753" i="1"/>
  <c r="A14754" i="1"/>
  <c r="B14754" i="1"/>
  <c r="C14754" i="1"/>
  <c r="E14754" i="1"/>
  <c r="G14754" i="1"/>
  <c r="K14754" i="1"/>
  <c r="A14755" i="1"/>
  <c r="B14755" i="1"/>
  <c r="C14755" i="1"/>
  <c r="E14755" i="1"/>
  <c r="G14755" i="1"/>
  <c r="K14755" i="1"/>
  <c r="A14756" i="1"/>
  <c r="B14756" i="1"/>
  <c r="C14756" i="1"/>
  <c r="E14756" i="1"/>
  <c r="G14756" i="1"/>
  <c r="K14756" i="1"/>
  <c r="A14757" i="1"/>
  <c r="B14757" i="1"/>
  <c r="C14757" i="1"/>
  <c r="E14757" i="1"/>
  <c r="G14757" i="1"/>
  <c r="K14757" i="1"/>
  <c r="A14758" i="1"/>
  <c r="B14758" i="1"/>
  <c r="C14758" i="1"/>
  <c r="E14758" i="1"/>
  <c r="G14758" i="1"/>
  <c r="K14758" i="1"/>
  <c r="A14759" i="1"/>
  <c r="B14759" i="1"/>
  <c r="C14759" i="1"/>
  <c r="E14759" i="1"/>
  <c r="G14759" i="1"/>
  <c r="K14759" i="1"/>
  <c r="A14760" i="1"/>
  <c r="B14760" i="1"/>
  <c r="C14760" i="1"/>
  <c r="E14760" i="1"/>
  <c r="G14760" i="1"/>
  <c r="K14760" i="1"/>
  <c r="A14761" i="1"/>
  <c r="B14761" i="1"/>
  <c r="C14761" i="1"/>
  <c r="E14761" i="1"/>
  <c r="G14761" i="1"/>
  <c r="K14761" i="1"/>
  <c r="A14762" i="1"/>
  <c r="B14762" i="1"/>
  <c r="C14762" i="1"/>
  <c r="E14762" i="1"/>
  <c r="G14762" i="1"/>
  <c r="K14762" i="1"/>
  <c r="A14763" i="1"/>
  <c r="B14763" i="1"/>
  <c r="C14763" i="1"/>
  <c r="E14763" i="1"/>
  <c r="G14763" i="1"/>
  <c r="K14763" i="1"/>
  <c r="A14764" i="1"/>
  <c r="B14764" i="1"/>
  <c r="C14764" i="1"/>
  <c r="E14764" i="1"/>
  <c r="G14764" i="1"/>
  <c r="K14764" i="1"/>
  <c r="A14765" i="1"/>
  <c r="B14765" i="1"/>
  <c r="C14765" i="1"/>
  <c r="E14765" i="1"/>
  <c r="G14765" i="1"/>
  <c r="K14765" i="1"/>
  <c r="A14766" i="1"/>
  <c r="B14766" i="1"/>
  <c r="C14766" i="1"/>
  <c r="E14766" i="1"/>
  <c r="G14766" i="1"/>
  <c r="K14766" i="1"/>
  <c r="A14767" i="1"/>
  <c r="B14767" i="1"/>
  <c r="C14767" i="1"/>
  <c r="E14767" i="1"/>
  <c r="G14767" i="1"/>
  <c r="K14767" i="1"/>
  <c r="A14768" i="1"/>
  <c r="B14768" i="1"/>
  <c r="C14768" i="1"/>
  <c r="E14768" i="1"/>
  <c r="G14768" i="1"/>
  <c r="K14768" i="1"/>
  <c r="A14769" i="1"/>
  <c r="B14769" i="1"/>
  <c r="C14769" i="1"/>
  <c r="E14769" i="1"/>
  <c r="G14769" i="1"/>
  <c r="K14769" i="1"/>
  <c r="A14770" i="1"/>
  <c r="B14770" i="1"/>
  <c r="C14770" i="1"/>
  <c r="E14770" i="1"/>
  <c r="G14770" i="1"/>
  <c r="K14770" i="1"/>
  <c r="A14771" i="1"/>
  <c r="B14771" i="1"/>
  <c r="C14771" i="1"/>
  <c r="E14771" i="1"/>
  <c r="G14771" i="1"/>
  <c r="K14771" i="1"/>
  <c r="A14772" i="1"/>
  <c r="B14772" i="1"/>
  <c r="C14772" i="1"/>
  <c r="E14772" i="1"/>
  <c r="G14772" i="1"/>
  <c r="K14772" i="1"/>
  <c r="A14773" i="1"/>
  <c r="B14773" i="1"/>
  <c r="C14773" i="1"/>
  <c r="E14773" i="1"/>
  <c r="G14773" i="1"/>
  <c r="K14773" i="1"/>
  <c r="A14774" i="1"/>
  <c r="B14774" i="1"/>
  <c r="C14774" i="1"/>
  <c r="E14774" i="1"/>
  <c r="G14774" i="1"/>
  <c r="K14774" i="1"/>
  <c r="A14775" i="1"/>
  <c r="B14775" i="1"/>
  <c r="C14775" i="1"/>
  <c r="E14775" i="1"/>
  <c r="G14775" i="1"/>
  <c r="K14775" i="1"/>
  <c r="A14776" i="1"/>
  <c r="B14776" i="1"/>
  <c r="C14776" i="1"/>
  <c r="E14776" i="1"/>
  <c r="G14776" i="1"/>
  <c r="K14776" i="1"/>
  <c r="A14777" i="1"/>
  <c r="B14777" i="1"/>
  <c r="C14777" i="1"/>
  <c r="E14777" i="1"/>
  <c r="G14777" i="1"/>
  <c r="K14777" i="1"/>
  <c r="A14778" i="1"/>
  <c r="B14778" i="1"/>
  <c r="C14778" i="1"/>
  <c r="E14778" i="1"/>
  <c r="G14778" i="1"/>
  <c r="K14778" i="1"/>
  <c r="A14779" i="1"/>
  <c r="B14779" i="1"/>
  <c r="C14779" i="1"/>
  <c r="E14779" i="1"/>
  <c r="G14779" i="1"/>
  <c r="K14779" i="1"/>
  <c r="A14780" i="1"/>
  <c r="B14780" i="1"/>
  <c r="C14780" i="1"/>
  <c r="E14780" i="1"/>
  <c r="G14780" i="1"/>
  <c r="K14780" i="1"/>
  <c r="A14781" i="1"/>
  <c r="B14781" i="1"/>
  <c r="C14781" i="1"/>
  <c r="E14781" i="1"/>
  <c r="G14781" i="1"/>
  <c r="K14781" i="1"/>
  <c r="A14782" i="1"/>
  <c r="B14782" i="1"/>
  <c r="C14782" i="1"/>
  <c r="E14782" i="1"/>
  <c r="G14782" i="1"/>
  <c r="K14782" i="1"/>
  <c r="A14783" i="1"/>
  <c r="B14783" i="1"/>
  <c r="C14783" i="1"/>
  <c r="E14783" i="1"/>
  <c r="G14783" i="1"/>
  <c r="K14783" i="1"/>
  <c r="A14784" i="1"/>
  <c r="B14784" i="1"/>
  <c r="C14784" i="1"/>
  <c r="E14784" i="1"/>
  <c r="G14784" i="1"/>
  <c r="K14784" i="1"/>
  <c r="A14785" i="1"/>
  <c r="B14785" i="1"/>
  <c r="C14785" i="1"/>
  <c r="E14785" i="1"/>
  <c r="G14785" i="1"/>
  <c r="K14785" i="1"/>
  <c r="A14786" i="1"/>
  <c r="B14786" i="1"/>
  <c r="C14786" i="1"/>
  <c r="E14786" i="1"/>
  <c r="G14786" i="1"/>
  <c r="K14786" i="1"/>
  <c r="A14787" i="1"/>
  <c r="B14787" i="1"/>
  <c r="C14787" i="1"/>
  <c r="E14787" i="1"/>
  <c r="G14787" i="1"/>
  <c r="K14787" i="1"/>
  <c r="A14788" i="1"/>
  <c r="B14788" i="1"/>
  <c r="C14788" i="1"/>
  <c r="E14788" i="1"/>
  <c r="G14788" i="1"/>
  <c r="K14788" i="1"/>
  <c r="A14789" i="1"/>
  <c r="B14789" i="1"/>
  <c r="C14789" i="1"/>
  <c r="E14789" i="1"/>
  <c r="G14789" i="1"/>
  <c r="K14789" i="1"/>
  <c r="A14790" i="1"/>
  <c r="B14790" i="1"/>
  <c r="C14790" i="1"/>
  <c r="E14790" i="1"/>
  <c r="G14790" i="1"/>
  <c r="K14790" i="1"/>
  <c r="A14791" i="1"/>
  <c r="B14791" i="1"/>
  <c r="C14791" i="1"/>
  <c r="E14791" i="1"/>
  <c r="G14791" i="1"/>
  <c r="K14791" i="1"/>
  <c r="A14792" i="1"/>
  <c r="B14792" i="1"/>
  <c r="C14792" i="1"/>
  <c r="E14792" i="1"/>
  <c r="G14792" i="1"/>
  <c r="K14792" i="1"/>
  <c r="A14793" i="1"/>
  <c r="B14793" i="1"/>
  <c r="C14793" i="1"/>
  <c r="E14793" i="1"/>
  <c r="G14793" i="1"/>
  <c r="K14793" i="1"/>
  <c r="A14794" i="1"/>
  <c r="B14794" i="1"/>
  <c r="C14794" i="1"/>
  <c r="E14794" i="1"/>
  <c r="G14794" i="1"/>
  <c r="K14794" i="1"/>
  <c r="A14795" i="1"/>
  <c r="B14795" i="1"/>
  <c r="C14795" i="1"/>
  <c r="E14795" i="1"/>
  <c r="G14795" i="1"/>
  <c r="K14795" i="1"/>
  <c r="A14796" i="1"/>
  <c r="B14796" i="1"/>
  <c r="C14796" i="1"/>
  <c r="E14796" i="1"/>
  <c r="G14796" i="1"/>
  <c r="K14796" i="1"/>
  <c r="A14797" i="1"/>
  <c r="B14797" i="1"/>
  <c r="C14797" i="1"/>
  <c r="E14797" i="1"/>
  <c r="G14797" i="1"/>
  <c r="K14797" i="1"/>
  <c r="A14798" i="1"/>
  <c r="B14798" i="1"/>
  <c r="C14798" i="1"/>
  <c r="E14798" i="1"/>
  <c r="G14798" i="1"/>
  <c r="K14798" i="1"/>
  <c r="A14799" i="1"/>
  <c r="B14799" i="1"/>
  <c r="C14799" i="1"/>
  <c r="E14799" i="1"/>
  <c r="G14799" i="1"/>
  <c r="K14799" i="1"/>
  <c r="A14800" i="1"/>
  <c r="B14800" i="1"/>
  <c r="C14800" i="1"/>
  <c r="E14800" i="1"/>
  <c r="G14800" i="1"/>
  <c r="K14800" i="1"/>
  <c r="A14801" i="1"/>
  <c r="B14801" i="1"/>
  <c r="C14801" i="1"/>
  <c r="E14801" i="1"/>
  <c r="G14801" i="1"/>
  <c r="K14801" i="1"/>
  <c r="A14802" i="1"/>
  <c r="B14802" i="1"/>
  <c r="C14802" i="1"/>
  <c r="E14802" i="1"/>
  <c r="G14802" i="1"/>
  <c r="K14802" i="1"/>
  <c r="A14803" i="1"/>
  <c r="B14803" i="1"/>
  <c r="C14803" i="1"/>
  <c r="E14803" i="1"/>
  <c r="G14803" i="1"/>
  <c r="K14803" i="1"/>
  <c r="A14804" i="1"/>
  <c r="B14804" i="1"/>
  <c r="C14804" i="1"/>
  <c r="E14804" i="1"/>
  <c r="G14804" i="1"/>
  <c r="K14804" i="1"/>
  <c r="A14805" i="1"/>
  <c r="B14805" i="1"/>
  <c r="C14805" i="1"/>
  <c r="E14805" i="1"/>
  <c r="G14805" i="1"/>
  <c r="K14805" i="1"/>
  <c r="A14806" i="1"/>
  <c r="B14806" i="1"/>
  <c r="C14806" i="1"/>
  <c r="E14806" i="1"/>
  <c r="G14806" i="1"/>
  <c r="K14806" i="1"/>
  <c r="A14807" i="1"/>
  <c r="B14807" i="1"/>
  <c r="C14807" i="1"/>
  <c r="E14807" i="1"/>
  <c r="G14807" i="1"/>
  <c r="K14807" i="1"/>
  <c r="A14808" i="1"/>
  <c r="B14808" i="1"/>
  <c r="C14808" i="1"/>
  <c r="E14808" i="1"/>
  <c r="G14808" i="1"/>
  <c r="K14808" i="1"/>
  <c r="A14809" i="1"/>
  <c r="B14809" i="1"/>
  <c r="C14809" i="1"/>
  <c r="E14809" i="1"/>
  <c r="G14809" i="1"/>
  <c r="K14809" i="1"/>
  <c r="A14810" i="1"/>
  <c r="B14810" i="1"/>
  <c r="C14810" i="1"/>
  <c r="E14810" i="1"/>
  <c r="G14810" i="1"/>
  <c r="K14810" i="1"/>
  <c r="A14811" i="1"/>
  <c r="B14811" i="1"/>
  <c r="C14811" i="1"/>
  <c r="E14811" i="1"/>
  <c r="G14811" i="1"/>
  <c r="K14811" i="1"/>
  <c r="A14812" i="1"/>
  <c r="B14812" i="1"/>
  <c r="C14812" i="1"/>
  <c r="E14812" i="1"/>
  <c r="G14812" i="1"/>
  <c r="K14812" i="1"/>
  <c r="A14813" i="1"/>
  <c r="B14813" i="1"/>
  <c r="C14813" i="1"/>
  <c r="E14813" i="1"/>
  <c r="G14813" i="1"/>
  <c r="K14813" i="1"/>
  <c r="A14814" i="1"/>
  <c r="B14814" i="1"/>
  <c r="C14814" i="1"/>
  <c r="E14814" i="1"/>
  <c r="G14814" i="1"/>
  <c r="K14814" i="1"/>
  <c r="A14815" i="1"/>
  <c r="B14815" i="1"/>
  <c r="C14815" i="1"/>
  <c r="E14815" i="1"/>
  <c r="G14815" i="1"/>
  <c r="K14815" i="1"/>
  <c r="A14816" i="1"/>
  <c r="B14816" i="1"/>
  <c r="C14816" i="1"/>
  <c r="E14816" i="1"/>
  <c r="G14816" i="1"/>
  <c r="K14816" i="1"/>
  <c r="A14817" i="1"/>
  <c r="B14817" i="1"/>
  <c r="C14817" i="1"/>
  <c r="E14817" i="1"/>
  <c r="G14817" i="1"/>
  <c r="K14817" i="1"/>
  <c r="A14818" i="1"/>
  <c r="B14818" i="1"/>
  <c r="C14818" i="1"/>
  <c r="E14818" i="1"/>
  <c r="G14818" i="1"/>
  <c r="K14818" i="1"/>
  <c r="A14819" i="1"/>
  <c r="B14819" i="1"/>
  <c r="C14819" i="1"/>
  <c r="E14819" i="1"/>
  <c r="G14819" i="1"/>
  <c r="K14819" i="1"/>
  <c r="A14820" i="1"/>
  <c r="B14820" i="1"/>
  <c r="C14820" i="1"/>
  <c r="E14820" i="1"/>
  <c r="G14820" i="1"/>
  <c r="K14820" i="1"/>
  <c r="A14821" i="1"/>
  <c r="B14821" i="1"/>
  <c r="C14821" i="1"/>
  <c r="E14821" i="1"/>
  <c r="G14821" i="1"/>
  <c r="K14821" i="1"/>
  <c r="A14822" i="1"/>
  <c r="B14822" i="1"/>
  <c r="C14822" i="1"/>
  <c r="E14822" i="1"/>
  <c r="G14822" i="1"/>
  <c r="K14822" i="1"/>
  <c r="A14823" i="1"/>
  <c r="B14823" i="1"/>
  <c r="C14823" i="1"/>
  <c r="E14823" i="1"/>
  <c r="G14823" i="1"/>
  <c r="K14823" i="1"/>
  <c r="A14824" i="1"/>
  <c r="B14824" i="1"/>
  <c r="C14824" i="1"/>
  <c r="E14824" i="1"/>
  <c r="G14824" i="1"/>
  <c r="K14824" i="1"/>
  <c r="A14825" i="1"/>
  <c r="B14825" i="1"/>
  <c r="C14825" i="1"/>
  <c r="E14825" i="1"/>
  <c r="G14825" i="1"/>
  <c r="K14825" i="1"/>
  <c r="A14826" i="1"/>
  <c r="B14826" i="1"/>
  <c r="C14826" i="1"/>
  <c r="E14826" i="1"/>
  <c r="G14826" i="1"/>
  <c r="K14826" i="1"/>
  <c r="A14827" i="1"/>
  <c r="B14827" i="1"/>
  <c r="C14827" i="1"/>
  <c r="E14827" i="1"/>
  <c r="G14827" i="1"/>
  <c r="K14827" i="1"/>
  <c r="A14828" i="1"/>
  <c r="B14828" i="1"/>
  <c r="C14828" i="1"/>
  <c r="E14828" i="1"/>
  <c r="G14828" i="1"/>
  <c r="K14828" i="1"/>
  <c r="A14829" i="1"/>
  <c r="B14829" i="1"/>
  <c r="C14829" i="1"/>
  <c r="E14829" i="1"/>
  <c r="G14829" i="1"/>
  <c r="K14829" i="1"/>
  <c r="A14830" i="1"/>
  <c r="B14830" i="1"/>
  <c r="C14830" i="1"/>
  <c r="E14830" i="1"/>
  <c r="G14830" i="1"/>
  <c r="K14830" i="1"/>
  <c r="A14831" i="1"/>
  <c r="B14831" i="1"/>
  <c r="C14831" i="1"/>
  <c r="E14831" i="1"/>
  <c r="G14831" i="1"/>
  <c r="K14831" i="1"/>
  <c r="A14832" i="1"/>
  <c r="B14832" i="1"/>
  <c r="C14832" i="1"/>
  <c r="E14832" i="1"/>
  <c r="G14832" i="1"/>
  <c r="K14832" i="1"/>
  <c r="A14833" i="1"/>
  <c r="B14833" i="1"/>
  <c r="C14833" i="1"/>
  <c r="E14833" i="1"/>
  <c r="G14833" i="1"/>
  <c r="K14833" i="1"/>
  <c r="A14834" i="1"/>
  <c r="B14834" i="1"/>
  <c r="C14834" i="1"/>
  <c r="E14834" i="1"/>
  <c r="G14834" i="1"/>
  <c r="K14834" i="1"/>
  <c r="A14835" i="1"/>
  <c r="B14835" i="1"/>
  <c r="C14835" i="1"/>
  <c r="E14835" i="1"/>
  <c r="G14835" i="1"/>
  <c r="K14835" i="1"/>
  <c r="A14836" i="1"/>
  <c r="B14836" i="1"/>
  <c r="C14836" i="1"/>
  <c r="E14836" i="1"/>
  <c r="G14836" i="1"/>
  <c r="K14836" i="1"/>
  <c r="A14837" i="1"/>
  <c r="B14837" i="1"/>
  <c r="C14837" i="1"/>
  <c r="E14837" i="1"/>
  <c r="G14837" i="1"/>
  <c r="K14837" i="1"/>
  <c r="A14838" i="1"/>
  <c r="B14838" i="1"/>
  <c r="C14838" i="1"/>
  <c r="E14838" i="1"/>
  <c r="G14838" i="1"/>
  <c r="K14838" i="1"/>
  <c r="A14839" i="1"/>
  <c r="B14839" i="1"/>
  <c r="C14839" i="1"/>
  <c r="E14839" i="1"/>
  <c r="G14839" i="1"/>
  <c r="K14839" i="1"/>
  <c r="A14840" i="1"/>
  <c r="B14840" i="1"/>
  <c r="C14840" i="1"/>
  <c r="E14840" i="1"/>
  <c r="G14840" i="1"/>
  <c r="K14840" i="1"/>
  <c r="A14841" i="1"/>
  <c r="B14841" i="1"/>
  <c r="C14841" i="1"/>
  <c r="E14841" i="1"/>
  <c r="G14841" i="1"/>
  <c r="K14841" i="1"/>
  <c r="A14842" i="1"/>
  <c r="B14842" i="1"/>
  <c r="C14842" i="1"/>
  <c r="E14842" i="1"/>
  <c r="G14842" i="1"/>
  <c r="K14842" i="1"/>
  <c r="A14843" i="1"/>
  <c r="B14843" i="1"/>
  <c r="C14843" i="1"/>
  <c r="E14843" i="1"/>
  <c r="G14843" i="1"/>
  <c r="K14843" i="1"/>
  <c r="A14844" i="1"/>
  <c r="B14844" i="1"/>
  <c r="C14844" i="1"/>
  <c r="E14844" i="1"/>
  <c r="G14844" i="1"/>
  <c r="K14844" i="1"/>
  <c r="A14845" i="1"/>
  <c r="B14845" i="1"/>
  <c r="C14845" i="1"/>
  <c r="E14845" i="1"/>
  <c r="G14845" i="1"/>
  <c r="K14845" i="1"/>
  <c r="A14846" i="1"/>
  <c r="B14846" i="1"/>
  <c r="C14846" i="1"/>
  <c r="E14846" i="1"/>
  <c r="G14846" i="1"/>
  <c r="K14846" i="1"/>
  <c r="A14847" i="1"/>
  <c r="B14847" i="1"/>
  <c r="C14847" i="1"/>
  <c r="E14847" i="1"/>
  <c r="G14847" i="1"/>
  <c r="K14847" i="1"/>
  <c r="A14848" i="1"/>
  <c r="B14848" i="1"/>
  <c r="C14848" i="1"/>
  <c r="E14848" i="1"/>
  <c r="G14848" i="1"/>
  <c r="K14848" i="1"/>
  <c r="A14849" i="1"/>
  <c r="B14849" i="1"/>
  <c r="C14849" i="1"/>
  <c r="E14849" i="1"/>
  <c r="G14849" i="1"/>
  <c r="K14849" i="1"/>
  <c r="A14850" i="1"/>
  <c r="B14850" i="1"/>
  <c r="C14850" i="1"/>
  <c r="E14850" i="1"/>
  <c r="G14850" i="1"/>
  <c r="K14850" i="1"/>
  <c r="A14851" i="1"/>
  <c r="B14851" i="1"/>
  <c r="C14851" i="1"/>
  <c r="E14851" i="1"/>
  <c r="G14851" i="1"/>
  <c r="K14851" i="1"/>
  <c r="A14852" i="1"/>
  <c r="B14852" i="1"/>
  <c r="C14852" i="1"/>
  <c r="E14852" i="1"/>
  <c r="G14852" i="1"/>
  <c r="K14852" i="1"/>
  <c r="A14853" i="1"/>
  <c r="B14853" i="1"/>
  <c r="C14853" i="1"/>
  <c r="E14853" i="1"/>
  <c r="G14853" i="1"/>
  <c r="K14853" i="1"/>
  <c r="A14854" i="1"/>
  <c r="B14854" i="1"/>
  <c r="C14854" i="1"/>
  <c r="E14854" i="1"/>
  <c r="G14854" i="1"/>
  <c r="K14854" i="1"/>
  <c r="A14855" i="1"/>
  <c r="B14855" i="1"/>
  <c r="C14855" i="1"/>
  <c r="E14855" i="1"/>
  <c r="G14855" i="1"/>
  <c r="K14855" i="1"/>
  <c r="A14856" i="1"/>
  <c r="B14856" i="1"/>
  <c r="C14856" i="1"/>
  <c r="E14856" i="1"/>
  <c r="G14856" i="1"/>
  <c r="K14856" i="1"/>
  <c r="A14857" i="1"/>
  <c r="B14857" i="1"/>
  <c r="C14857" i="1"/>
  <c r="E14857" i="1"/>
  <c r="G14857" i="1"/>
  <c r="K14857" i="1"/>
  <c r="A14858" i="1"/>
  <c r="B14858" i="1"/>
  <c r="C14858" i="1"/>
  <c r="E14858" i="1"/>
  <c r="G14858" i="1"/>
  <c r="K14858" i="1"/>
  <c r="A14859" i="1"/>
  <c r="B14859" i="1"/>
  <c r="C14859" i="1"/>
  <c r="E14859" i="1"/>
  <c r="G14859" i="1"/>
  <c r="K14859" i="1"/>
  <c r="A14860" i="1"/>
  <c r="B14860" i="1"/>
  <c r="C14860" i="1"/>
  <c r="E14860" i="1"/>
  <c r="G14860" i="1"/>
  <c r="K14860" i="1"/>
  <c r="A14861" i="1"/>
  <c r="B14861" i="1"/>
  <c r="C14861" i="1"/>
  <c r="E14861" i="1"/>
  <c r="G14861" i="1"/>
  <c r="K14861" i="1"/>
  <c r="A14862" i="1"/>
  <c r="B14862" i="1"/>
  <c r="C14862" i="1"/>
  <c r="E14862" i="1"/>
  <c r="G14862" i="1"/>
  <c r="K14862" i="1"/>
  <c r="A14863" i="1"/>
  <c r="B14863" i="1"/>
  <c r="C14863" i="1"/>
  <c r="E14863" i="1"/>
  <c r="G14863" i="1"/>
  <c r="K14863" i="1"/>
  <c r="A14864" i="1"/>
  <c r="B14864" i="1"/>
  <c r="C14864" i="1"/>
  <c r="E14864" i="1"/>
  <c r="G14864" i="1"/>
  <c r="K14864" i="1"/>
  <c r="A14865" i="1"/>
  <c r="B14865" i="1"/>
  <c r="C14865" i="1"/>
  <c r="E14865" i="1"/>
  <c r="G14865" i="1"/>
  <c r="K14865" i="1"/>
  <c r="A14866" i="1"/>
  <c r="B14866" i="1"/>
  <c r="C14866" i="1"/>
  <c r="E14866" i="1"/>
  <c r="G14866" i="1"/>
  <c r="K14866" i="1"/>
  <c r="A14867" i="1"/>
  <c r="B14867" i="1"/>
  <c r="C14867" i="1"/>
  <c r="E14867" i="1"/>
  <c r="G14867" i="1"/>
  <c r="K14867" i="1"/>
  <c r="A14868" i="1"/>
  <c r="B14868" i="1"/>
  <c r="C14868" i="1"/>
  <c r="E14868" i="1"/>
  <c r="G14868" i="1"/>
  <c r="K14868" i="1"/>
  <c r="A14869" i="1"/>
  <c r="B14869" i="1"/>
  <c r="C14869" i="1"/>
  <c r="E14869" i="1"/>
  <c r="G14869" i="1"/>
  <c r="K14869" i="1"/>
  <c r="A14870" i="1"/>
  <c r="B14870" i="1"/>
  <c r="C14870" i="1"/>
  <c r="E14870" i="1"/>
  <c r="G14870" i="1"/>
  <c r="K14870" i="1"/>
  <c r="A14871" i="1"/>
  <c r="B14871" i="1"/>
  <c r="C14871" i="1"/>
  <c r="E14871" i="1"/>
  <c r="G14871" i="1"/>
  <c r="K14871" i="1"/>
  <c r="A14872" i="1"/>
  <c r="B14872" i="1"/>
  <c r="C14872" i="1"/>
  <c r="E14872" i="1"/>
  <c r="G14872" i="1"/>
  <c r="K14872" i="1"/>
  <c r="A14873" i="1"/>
  <c r="B14873" i="1"/>
  <c r="C14873" i="1"/>
  <c r="E14873" i="1"/>
  <c r="G14873" i="1"/>
  <c r="K14873" i="1"/>
  <c r="A14874" i="1"/>
  <c r="B14874" i="1"/>
  <c r="C14874" i="1"/>
  <c r="E14874" i="1"/>
  <c r="G14874" i="1"/>
  <c r="K14874" i="1"/>
  <c r="A14875" i="1"/>
  <c r="B14875" i="1"/>
  <c r="C14875" i="1"/>
  <c r="E14875" i="1"/>
  <c r="G14875" i="1"/>
  <c r="K14875" i="1"/>
  <c r="A14876" i="1"/>
  <c r="B14876" i="1"/>
  <c r="C14876" i="1"/>
  <c r="E14876" i="1"/>
  <c r="G14876" i="1"/>
  <c r="K14876" i="1"/>
  <c r="A14877" i="1"/>
  <c r="B14877" i="1"/>
  <c r="C14877" i="1"/>
  <c r="E14877" i="1"/>
  <c r="G14877" i="1"/>
  <c r="K14877" i="1"/>
  <c r="A14878" i="1"/>
  <c r="B14878" i="1"/>
  <c r="C14878" i="1"/>
  <c r="E14878" i="1"/>
  <c r="G14878" i="1"/>
  <c r="K14878" i="1"/>
  <c r="A14879" i="1"/>
  <c r="B14879" i="1"/>
  <c r="C14879" i="1"/>
  <c r="E14879" i="1"/>
  <c r="G14879" i="1"/>
  <c r="K14879" i="1"/>
  <c r="A14880" i="1"/>
  <c r="B14880" i="1"/>
  <c r="C14880" i="1"/>
  <c r="E14880" i="1"/>
  <c r="G14880" i="1"/>
  <c r="K14880" i="1"/>
  <c r="A14881" i="1"/>
  <c r="B14881" i="1"/>
  <c r="C14881" i="1"/>
  <c r="E14881" i="1"/>
  <c r="G14881" i="1"/>
  <c r="K14881" i="1"/>
  <c r="A14882" i="1"/>
  <c r="B14882" i="1"/>
  <c r="C14882" i="1"/>
  <c r="E14882" i="1"/>
  <c r="G14882" i="1"/>
  <c r="K14882" i="1"/>
  <c r="A14883" i="1"/>
  <c r="B14883" i="1"/>
  <c r="C14883" i="1"/>
  <c r="E14883" i="1"/>
  <c r="G14883" i="1"/>
  <c r="K14883" i="1"/>
  <c r="A14884" i="1"/>
  <c r="B14884" i="1"/>
  <c r="C14884" i="1"/>
  <c r="E14884" i="1"/>
  <c r="G14884" i="1"/>
  <c r="K14884" i="1"/>
  <c r="A14885" i="1"/>
  <c r="B14885" i="1"/>
  <c r="C14885" i="1"/>
  <c r="E14885" i="1"/>
  <c r="G14885" i="1"/>
  <c r="K14885" i="1"/>
  <c r="A14886" i="1"/>
  <c r="B14886" i="1"/>
  <c r="C14886" i="1"/>
  <c r="E14886" i="1"/>
  <c r="G14886" i="1"/>
  <c r="K14886" i="1"/>
  <c r="A14887" i="1"/>
  <c r="B14887" i="1"/>
  <c r="C14887" i="1"/>
  <c r="E14887" i="1"/>
  <c r="G14887" i="1"/>
  <c r="K14887" i="1"/>
  <c r="A14888" i="1"/>
  <c r="B14888" i="1"/>
  <c r="C14888" i="1"/>
  <c r="E14888" i="1"/>
  <c r="G14888" i="1"/>
  <c r="K14888" i="1"/>
  <c r="A14889" i="1"/>
  <c r="B14889" i="1"/>
  <c r="C14889" i="1"/>
  <c r="E14889" i="1"/>
  <c r="G14889" i="1"/>
  <c r="K14889" i="1"/>
  <c r="A14890" i="1"/>
  <c r="B14890" i="1"/>
  <c r="C14890" i="1"/>
  <c r="E14890" i="1"/>
  <c r="G14890" i="1"/>
  <c r="K14890" i="1"/>
  <c r="A14891" i="1"/>
  <c r="B14891" i="1"/>
  <c r="C14891" i="1"/>
  <c r="E14891" i="1"/>
  <c r="G14891" i="1"/>
  <c r="K14891" i="1"/>
  <c r="A14892" i="1"/>
  <c r="B14892" i="1"/>
  <c r="C14892" i="1"/>
  <c r="E14892" i="1"/>
  <c r="G14892" i="1"/>
  <c r="K14892" i="1"/>
  <c r="A14893" i="1"/>
  <c r="B14893" i="1"/>
  <c r="C14893" i="1"/>
  <c r="E14893" i="1"/>
  <c r="G14893" i="1"/>
  <c r="K14893" i="1"/>
  <c r="A14894" i="1"/>
  <c r="B14894" i="1"/>
  <c r="C14894" i="1"/>
  <c r="E14894" i="1"/>
  <c r="G14894" i="1"/>
  <c r="K14894" i="1"/>
  <c r="A14895" i="1"/>
  <c r="B14895" i="1"/>
  <c r="C14895" i="1"/>
  <c r="E14895" i="1"/>
  <c r="G14895" i="1"/>
  <c r="K14895" i="1"/>
  <c r="A14896" i="1"/>
  <c r="B14896" i="1"/>
  <c r="C14896" i="1"/>
  <c r="E14896" i="1"/>
  <c r="G14896" i="1"/>
  <c r="K14896" i="1"/>
  <c r="A14897" i="1"/>
  <c r="B14897" i="1"/>
  <c r="C14897" i="1"/>
  <c r="E14897" i="1"/>
  <c r="G14897" i="1"/>
  <c r="K14897" i="1"/>
  <c r="A14898" i="1"/>
  <c r="B14898" i="1"/>
  <c r="C14898" i="1"/>
  <c r="E14898" i="1"/>
  <c r="G14898" i="1"/>
  <c r="K14898" i="1"/>
  <c r="A14899" i="1"/>
  <c r="B14899" i="1"/>
  <c r="C14899" i="1"/>
  <c r="E14899" i="1"/>
  <c r="G14899" i="1"/>
  <c r="K14899" i="1"/>
  <c r="A14900" i="1"/>
  <c r="B14900" i="1"/>
  <c r="C14900" i="1"/>
  <c r="E14900" i="1"/>
  <c r="G14900" i="1"/>
  <c r="K14900" i="1"/>
  <c r="A14901" i="1"/>
  <c r="B14901" i="1"/>
  <c r="C14901" i="1"/>
  <c r="E14901" i="1"/>
  <c r="G14901" i="1"/>
  <c r="K14901" i="1"/>
  <c r="A14902" i="1"/>
  <c r="B14902" i="1"/>
  <c r="C14902" i="1"/>
  <c r="E14902" i="1"/>
  <c r="G14902" i="1"/>
  <c r="K14902" i="1"/>
  <c r="A14903" i="1"/>
  <c r="B14903" i="1"/>
  <c r="C14903" i="1"/>
  <c r="E14903" i="1"/>
  <c r="G14903" i="1"/>
  <c r="K14903" i="1"/>
  <c r="A14904" i="1"/>
  <c r="B14904" i="1"/>
  <c r="C14904" i="1"/>
  <c r="E14904" i="1"/>
  <c r="G14904" i="1"/>
  <c r="K14904" i="1"/>
  <c r="A14905" i="1"/>
  <c r="B14905" i="1"/>
  <c r="C14905" i="1"/>
  <c r="E14905" i="1"/>
  <c r="G14905" i="1"/>
  <c r="K14905" i="1"/>
  <c r="A14906" i="1"/>
  <c r="B14906" i="1"/>
  <c r="C14906" i="1"/>
  <c r="E14906" i="1"/>
  <c r="G14906" i="1"/>
  <c r="K14906" i="1"/>
  <c r="A14907" i="1"/>
  <c r="B14907" i="1"/>
  <c r="C14907" i="1"/>
  <c r="E14907" i="1"/>
  <c r="G14907" i="1"/>
  <c r="K14907" i="1"/>
  <c r="A14908" i="1"/>
  <c r="B14908" i="1"/>
  <c r="C14908" i="1"/>
  <c r="E14908" i="1"/>
  <c r="G14908" i="1"/>
  <c r="K14908" i="1"/>
  <c r="A14909" i="1"/>
  <c r="B14909" i="1"/>
  <c r="C14909" i="1"/>
  <c r="E14909" i="1"/>
  <c r="G14909" i="1"/>
  <c r="K14909" i="1"/>
  <c r="A14910" i="1"/>
  <c r="B14910" i="1"/>
  <c r="C14910" i="1"/>
  <c r="E14910" i="1"/>
  <c r="G14910" i="1"/>
  <c r="K14910" i="1"/>
  <c r="A14911" i="1"/>
  <c r="B14911" i="1"/>
  <c r="C14911" i="1"/>
  <c r="E14911" i="1"/>
  <c r="G14911" i="1"/>
  <c r="K14911" i="1"/>
  <c r="A14912" i="1"/>
  <c r="B14912" i="1"/>
  <c r="C14912" i="1"/>
  <c r="E14912" i="1"/>
  <c r="G14912" i="1"/>
  <c r="K14912" i="1"/>
  <c r="A14913" i="1"/>
  <c r="B14913" i="1"/>
  <c r="C14913" i="1"/>
  <c r="E14913" i="1"/>
  <c r="G14913" i="1"/>
  <c r="K14913" i="1"/>
  <c r="A14914" i="1"/>
  <c r="B14914" i="1"/>
  <c r="C14914" i="1"/>
  <c r="E14914" i="1"/>
  <c r="G14914" i="1"/>
  <c r="K14914" i="1"/>
  <c r="A14915" i="1"/>
  <c r="B14915" i="1"/>
  <c r="C14915" i="1"/>
  <c r="E14915" i="1"/>
  <c r="G14915" i="1"/>
  <c r="K14915" i="1"/>
  <c r="A14916" i="1"/>
  <c r="B14916" i="1"/>
  <c r="C14916" i="1"/>
  <c r="E14916" i="1"/>
  <c r="G14916" i="1"/>
  <c r="K14916" i="1"/>
  <c r="A14917" i="1"/>
  <c r="B14917" i="1"/>
  <c r="C14917" i="1"/>
  <c r="E14917" i="1"/>
  <c r="G14917" i="1"/>
  <c r="K14917" i="1"/>
  <c r="A14918" i="1"/>
  <c r="B14918" i="1"/>
  <c r="C14918" i="1"/>
  <c r="E14918" i="1"/>
  <c r="G14918" i="1"/>
  <c r="K14918" i="1"/>
  <c r="A14919" i="1"/>
  <c r="B14919" i="1"/>
  <c r="C14919" i="1"/>
  <c r="E14919" i="1"/>
  <c r="G14919" i="1"/>
  <c r="K14919" i="1"/>
  <c r="A14920" i="1"/>
  <c r="B14920" i="1"/>
  <c r="C14920" i="1"/>
  <c r="E14920" i="1"/>
  <c r="G14920" i="1"/>
  <c r="K14920" i="1"/>
  <c r="A14921" i="1"/>
  <c r="B14921" i="1"/>
  <c r="C14921" i="1"/>
  <c r="E14921" i="1"/>
  <c r="G14921" i="1"/>
  <c r="K14921" i="1"/>
  <c r="A14922" i="1"/>
  <c r="B14922" i="1"/>
  <c r="C14922" i="1"/>
  <c r="E14922" i="1"/>
  <c r="G14922" i="1"/>
  <c r="K14922" i="1"/>
  <c r="A14923" i="1"/>
  <c r="B14923" i="1"/>
  <c r="C14923" i="1"/>
  <c r="E14923" i="1"/>
  <c r="G14923" i="1"/>
  <c r="K14923" i="1"/>
  <c r="A14924" i="1"/>
  <c r="B14924" i="1"/>
  <c r="C14924" i="1"/>
  <c r="E14924" i="1"/>
  <c r="G14924" i="1"/>
  <c r="K14924" i="1"/>
  <c r="A14925" i="1"/>
  <c r="B14925" i="1"/>
  <c r="C14925" i="1"/>
  <c r="E14925" i="1"/>
  <c r="G14925" i="1"/>
  <c r="K14925" i="1"/>
  <c r="A14926" i="1"/>
  <c r="B14926" i="1"/>
  <c r="C14926" i="1"/>
  <c r="E14926" i="1"/>
  <c r="G14926" i="1"/>
  <c r="K14926" i="1"/>
  <c r="A14927" i="1"/>
  <c r="B14927" i="1"/>
  <c r="C14927" i="1"/>
  <c r="E14927" i="1"/>
  <c r="G14927" i="1"/>
  <c r="K14927" i="1"/>
  <c r="A14928" i="1"/>
  <c r="B14928" i="1"/>
  <c r="C14928" i="1"/>
  <c r="E14928" i="1"/>
  <c r="G14928" i="1"/>
  <c r="K14928" i="1"/>
  <c r="A14929" i="1"/>
  <c r="B14929" i="1"/>
  <c r="C14929" i="1"/>
  <c r="E14929" i="1"/>
  <c r="G14929" i="1"/>
  <c r="K14929" i="1"/>
  <c r="A14930" i="1"/>
  <c r="B14930" i="1"/>
  <c r="C14930" i="1"/>
  <c r="E14930" i="1"/>
  <c r="G14930" i="1"/>
  <c r="K14930" i="1"/>
  <c r="A14931" i="1"/>
  <c r="B14931" i="1"/>
  <c r="C14931" i="1"/>
  <c r="E14931" i="1"/>
  <c r="G14931" i="1"/>
  <c r="K14931" i="1"/>
  <c r="A14932" i="1"/>
  <c r="B14932" i="1"/>
  <c r="C14932" i="1"/>
  <c r="E14932" i="1"/>
  <c r="G14932" i="1"/>
  <c r="K14932" i="1"/>
  <c r="A14933" i="1"/>
  <c r="B14933" i="1"/>
  <c r="C14933" i="1"/>
  <c r="E14933" i="1"/>
  <c r="G14933" i="1"/>
  <c r="K14933" i="1"/>
  <c r="A14934" i="1"/>
  <c r="B14934" i="1"/>
  <c r="C14934" i="1"/>
  <c r="E14934" i="1"/>
  <c r="G14934" i="1"/>
  <c r="K14934" i="1"/>
  <c r="A14935" i="1"/>
  <c r="B14935" i="1"/>
  <c r="C14935" i="1"/>
  <c r="E14935" i="1"/>
  <c r="G14935" i="1"/>
  <c r="K14935" i="1"/>
  <c r="A14936" i="1"/>
  <c r="B14936" i="1"/>
  <c r="C14936" i="1"/>
  <c r="E14936" i="1"/>
  <c r="G14936" i="1"/>
  <c r="K14936" i="1"/>
  <c r="A14937" i="1"/>
  <c r="B14937" i="1"/>
  <c r="C14937" i="1"/>
  <c r="E14937" i="1"/>
  <c r="G14937" i="1"/>
  <c r="K14937" i="1"/>
  <c r="A14938" i="1"/>
  <c r="B14938" i="1"/>
  <c r="C14938" i="1"/>
  <c r="E14938" i="1"/>
  <c r="G14938" i="1"/>
  <c r="K14938" i="1"/>
  <c r="A14939" i="1"/>
  <c r="B14939" i="1"/>
  <c r="C14939" i="1"/>
  <c r="E14939" i="1"/>
  <c r="G14939" i="1"/>
  <c r="K14939" i="1"/>
  <c r="A14940" i="1"/>
  <c r="B14940" i="1"/>
  <c r="C14940" i="1"/>
  <c r="E14940" i="1"/>
  <c r="G14940" i="1"/>
  <c r="K14940" i="1"/>
  <c r="A14941" i="1"/>
  <c r="B14941" i="1"/>
  <c r="C14941" i="1"/>
  <c r="E14941" i="1"/>
  <c r="G14941" i="1"/>
  <c r="K14941" i="1"/>
  <c r="A14942" i="1"/>
  <c r="B14942" i="1"/>
  <c r="C14942" i="1"/>
  <c r="E14942" i="1"/>
  <c r="G14942" i="1"/>
  <c r="K14942" i="1"/>
  <c r="A14943" i="1"/>
  <c r="B14943" i="1"/>
  <c r="C14943" i="1"/>
  <c r="E14943" i="1"/>
  <c r="G14943" i="1"/>
  <c r="K14943" i="1"/>
  <c r="A14944" i="1"/>
  <c r="B14944" i="1"/>
  <c r="C14944" i="1"/>
  <c r="E14944" i="1"/>
  <c r="G14944" i="1"/>
  <c r="K14944" i="1"/>
  <c r="A14945" i="1"/>
  <c r="B14945" i="1"/>
  <c r="C14945" i="1"/>
  <c r="E14945" i="1"/>
  <c r="G14945" i="1"/>
  <c r="K14945" i="1"/>
  <c r="A14946" i="1"/>
  <c r="B14946" i="1"/>
  <c r="C14946" i="1"/>
  <c r="E14946" i="1"/>
  <c r="G14946" i="1"/>
  <c r="K14946" i="1"/>
  <c r="A14947" i="1"/>
  <c r="B14947" i="1"/>
  <c r="C14947" i="1"/>
  <c r="E14947" i="1"/>
  <c r="G14947" i="1"/>
  <c r="K14947" i="1"/>
  <c r="A14948" i="1"/>
  <c r="B14948" i="1"/>
  <c r="C14948" i="1"/>
  <c r="E14948" i="1"/>
  <c r="G14948" i="1"/>
  <c r="K14948" i="1"/>
  <c r="A14949" i="1"/>
  <c r="B14949" i="1"/>
  <c r="C14949" i="1"/>
  <c r="E14949" i="1"/>
  <c r="G14949" i="1"/>
  <c r="K14949" i="1"/>
  <c r="A14950" i="1"/>
  <c r="B14950" i="1"/>
  <c r="C14950" i="1"/>
  <c r="E14950" i="1"/>
  <c r="G14950" i="1"/>
  <c r="K14950" i="1"/>
  <c r="A14951" i="1"/>
  <c r="B14951" i="1"/>
  <c r="C14951" i="1"/>
  <c r="E14951" i="1"/>
  <c r="G14951" i="1"/>
  <c r="K14951" i="1"/>
  <c r="A14952" i="1"/>
  <c r="B14952" i="1"/>
  <c r="C14952" i="1"/>
  <c r="E14952" i="1"/>
  <c r="G14952" i="1"/>
  <c r="K14952" i="1"/>
  <c r="A14953" i="1"/>
  <c r="B14953" i="1"/>
  <c r="C14953" i="1"/>
  <c r="E14953" i="1"/>
  <c r="G14953" i="1"/>
  <c r="K14953" i="1"/>
  <c r="A14954" i="1"/>
  <c r="B14954" i="1"/>
  <c r="C14954" i="1"/>
  <c r="E14954" i="1"/>
  <c r="G14954" i="1"/>
  <c r="K14954" i="1"/>
  <c r="A14955" i="1"/>
  <c r="B14955" i="1"/>
  <c r="C14955" i="1"/>
  <c r="E14955" i="1"/>
  <c r="G14955" i="1"/>
  <c r="K14955" i="1"/>
  <c r="A14956" i="1"/>
  <c r="B14956" i="1"/>
  <c r="C14956" i="1"/>
  <c r="E14956" i="1"/>
  <c r="G14956" i="1"/>
  <c r="K14956" i="1"/>
  <c r="A14957" i="1"/>
  <c r="B14957" i="1"/>
  <c r="C14957" i="1"/>
  <c r="E14957" i="1"/>
  <c r="G14957" i="1"/>
  <c r="K14957" i="1"/>
  <c r="A14958" i="1"/>
  <c r="B14958" i="1"/>
  <c r="C14958" i="1"/>
  <c r="E14958" i="1"/>
  <c r="G14958" i="1"/>
  <c r="K14958" i="1"/>
  <c r="A14959" i="1"/>
  <c r="B14959" i="1"/>
  <c r="C14959" i="1"/>
  <c r="E14959" i="1"/>
  <c r="G14959" i="1"/>
  <c r="K14959" i="1"/>
  <c r="A14960" i="1"/>
  <c r="B14960" i="1"/>
  <c r="C14960" i="1"/>
  <c r="E14960" i="1"/>
  <c r="G14960" i="1"/>
  <c r="K14960" i="1"/>
  <c r="A14961" i="1"/>
  <c r="B14961" i="1"/>
  <c r="C14961" i="1"/>
  <c r="E14961" i="1"/>
  <c r="G14961" i="1"/>
  <c r="K14961" i="1"/>
  <c r="A14962" i="1"/>
  <c r="B14962" i="1"/>
  <c r="C14962" i="1"/>
  <c r="E14962" i="1"/>
  <c r="G14962" i="1"/>
  <c r="K14962" i="1"/>
  <c r="A14963" i="1"/>
  <c r="B14963" i="1"/>
  <c r="C14963" i="1"/>
  <c r="E14963" i="1"/>
  <c r="G14963" i="1"/>
  <c r="K14963" i="1"/>
  <c r="A14964" i="1"/>
  <c r="B14964" i="1"/>
  <c r="C14964" i="1"/>
  <c r="E14964" i="1"/>
  <c r="G14964" i="1"/>
  <c r="K14964" i="1"/>
  <c r="A14965" i="1"/>
  <c r="B14965" i="1"/>
  <c r="C14965" i="1"/>
  <c r="E14965" i="1"/>
  <c r="G14965" i="1"/>
  <c r="K14965" i="1"/>
  <c r="A14966" i="1"/>
  <c r="B14966" i="1"/>
  <c r="C14966" i="1"/>
  <c r="E14966" i="1"/>
  <c r="G14966" i="1"/>
  <c r="K14966" i="1"/>
  <c r="A14967" i="1"/>
  <c r="B14967" i="1"/>
  <c r="C14967" i="1"/>
  <c r="E14967" i="1"/>
  <c r="G14967" i="1"/>
  <c r="K14967" i="1"/>
  <c r="A14968" i="1"/>
  <c r="B14968" i="1"/>
  <c r="C14968" i="1"/>
  <c r="E14968" i="1"/>
  <c r="G14968" i="1"/>
  <c r="K14968" i="1"/>
  <c r="A14969" i="1"/>
  <c r="B14969" i="1"/>
  <c r="C14969" i="1"/>
  <c r="E14969" i="1"/>
  <c r="G14969" i="1"/>
  <c r="K14969" i="1"/>
  <c r="A14970" i="1"/>
  <c r="B14970" i="1"/>
  <c r="C14970" i="1"/>
  <c r="E14970" i="1"/>
  <c r="G14970" i="1"/>
  <c r="K14970" i="1"/>
  <c r="A14971" i="1"/>
  <c r="B14971" i="1"/>
  <c r="C14971" i="1"/>
  <c r="E14971" i="1"/>
  <c r="G14971" i="1"/>
  <c r="K14971" i="1"/>
  <c r="A14972" i="1"/>
  <c r="B14972" i="1"/>
  <c r="C14972" i="1"/>
  <c r="E14972" i="1"/>
  <c r="G14972" i="1"/>
  <c r="K14972" i="1"/>
  <c r="A14973" i="1"/>
  <c r="B14973" i="1"/>
  <c r="C14973" i="1"/>
  <c r="E14973" i="1"/>
  <c r="G14973" i="1"/>
  <c r="K14973" i="1"/>
  <c r="A14974" i="1"/>
  <c r="B14974" i="1"/>
  <c r="C14974" i="1"/>
  <c r="E14974" i="1"/>
  <c r="G14974" i="1"/>
  <c r="K14974" i="1"/>
  <c r="A14975" i="1"/>
  <c r="B14975" i="1"/>
  <c r="C14975" i="1"/>
  <c r="E14975" i="1"/>
  <c r="G14975" i="1"/>
  <c r="K14975" i="1"/>
  <c r="A14976" i="1"/>
  <c r="B14976" i="1"/>
  <c r="C14976" i="1"/>
  <c r="E14976" i="1"/>
  <c r="G14976" i="1"/>
  <c r="K14976" i="1"/>
  <c r="A14977" i="1"/>
  <c r="B14977" i="1"/>
  <c r="C14977" i="1"/>
  <c r="E14977" i="1"/>
  <c r="G14977" i="1"/>
  <c r="K14977" i="1"/>
  <c r="A14978" i="1"/>
  <c r="B14978" i="1"/>
  <c r="C14978" i="1"/>
  <c r="E14978" i="1"/>
  <c r="G14978" i="1"/>
  <c r="K14978" i="1"/>
  <c r="A14979" i="1"/>
  <c r="B14979" i="1"/>
  <c r="C14979" i="1"/>
  <c r="E14979" i="1"/>
  <c r="G14979" i="1"/>
  <c r="K14979" i="1"/>
  <c r="A14980" i="1"/>
  <c r="B14980" i="1"/>
  <c r="C14980" i="1"/>
  <c r="E14980" i="1"/>
  <c r="G14980" i="1"/>
  <c r="K14980" i="1"/>
  <c r="A14981" i="1"/>
  <c r="B14981" i="1"/>
  <c r="C14981" i="1"/>
  <c r="E14981" i="1"/>
  <c r="G14981" i="1"/>
  <c r="K14981" i="1"/>
  <c r="A14982" i="1"/>
  <c r="B14982" i="1"/>
  <c r="C14982" i="1"/>
  <c r="E14982" i="1"/>
  <c r="G14982" i="1"/>
  <c r="K14982" i="1"/>
  <c r="A14983" i="1"/>
  <c r="B14983" i="1"/>
  <c r="C14983" i="1"/>
  <c r="E14983" i="1"/>
  <c r="G14983" i="1"/>
  <c r="K14983" i="1"/>
  <c r="A14984" i="1"/>
  <c r="B14984" i="1"/>
  <c r="C14984" i="1"/>
  <c r="E14984" i="1"/>
  <c r="G14984" i="1"/>
  <c r="K14984" i="1"/>
  <c r="A14985" i="1"/>
  <c r="B14985" i="1"/>
  <c r="C14985" i="1"/>
  <c r="E14985" i="1"/>
  <c r="G14985" i="1"/>
  <c r="K14985" i="1"/>
  <c r="A14986" i="1"/>
  <c r="B14986" i="1"/>
  <c r="C14986" i="1"/>
  <c r="E14986" i="1"/>
  <c r="G14986" i="1"/>
  <c r="K14986" i="1"/>
  <c r="A14987" i="1"/>
  <c r="B14987" i="1"/>
  <c r="C14987" i="1"/>
  <c r="E14987" i="1"/>
  <c r="G14987" i="1"/>
  <c r="K14987" i="1"/>
  <c r="A14988" i="1"/>
  <c r="B14988" i="1"/>
  <c r="C14988" i="1"/>
  <c r="E14988" i="1"/>
  <c r="G14988" i="1"/>
  <c r="K14988" i="1"/>
  <c r="A14989" i="1"/>
  <c r="B14989" i="1"/>
  <c r="C14989" i="1"/>
  <c r="E14989" i="1"/>
  <c r="G14989" i="1"/>
  <c r="K14989" i="1"/>
  <c r="A14990" i="1"/>
  <c r="B14990" i="1"/>
  <c r="C14990" i="1"/>
  <c r="E14990" i="1"/>
  <c r="G14990" i="1"/>
  <c r="K14990" i="1"/>
  <c r="A14991" i="1"/>
  <c r="B14991" i="1"/>
  <c r="C14991" i="1"/>
  <c r="E14991" i="1"/>
  <c r="G14991" i="1"/>
  <c r="K14991" i="1"/>
  <c r="A14992" i="1"/>
  <c r="B14992" i="1"/>
  <c r="C14992" i="1"/>
  <c r="E14992" i="1"/>
  <c r="G14992" i="1"/>
  <c r="K14992" i="1"/>
  <c r="A14993" i="1"/>
  <c r="B14993" i="1"/>
  <c r="C14993" i="1"/>
  <c r="E14993" i="1"/>
  <c r="G14993" i="1"/>
  <c r="K14993" i="1"/>
  <c r="A14994" i="1"/>
  <c r="B14994" i="1"/>
  <c r="C14994" i="1"/>
  <c r="E14994" i="1"/>
  <c r="G14994" i="1"/>
  <c r="K14994" i="1"/>
  <c r="A14995" i="1"/>
  <c r="B14995" i="1"/>
  <c r="C14995" i="1"/>
  <c r="E14995" i="1"/>
  <c r="G14995" i="1"/>
  <c r="K14995" i="1"/>
  <c r="A14996" i="1"/>
  <c r="B14996" i="1"/>
  <c r="C14996" i="1"/>
  <c r="E14996" i="1"/>
  <c r="G14996" i="1"/>
  <c r="K14996" i="1"/>
  <c r="A14997" i="1"/>
  <c r="B14997" i="1"/>
  <c r="C14997" i="1"/>
  <c r="E14997" i="1"/>
  <c r="G14997" i="1"/>
  <c r="K14997" i="1"/>
  <c r="A14998" i="1"/>
  <c r="B14998" i="1"/>
  <c r="C14998" i="1"/>
  <c r="E14998" i="1"/>
  <c r="G14998" i="1"/>
  <c r="K14998" i="1"/>
  <c r="A14999" i="1"/>
  <c r="B14999" i="1"/>
  <c r="C14999" i="1"/>
  <c r="E14999" i="1"/>
  <c r="G14999" i="1"/>
  <c r="K14999" i="1"/>
  <c r="A15000" i="1"/>
  <c r="B15000" i="1"/>
  <c r="C15000" i="1"/>
  <c r="E15000" i="1"/>
  <c r="G15000" i="1"/>
  <c r="K15000" i="1"/>
  <c r="A15001" i="1"/>
  <c r="B15001" i="1"/>
  <c r="C15001" i="1"/>
  <c r="E15001" i="1"/>
  <c r="G15001" i="1"/>
  <c r="K15001" i="1"/>
  <c r="A15002" i="1"/>
  <c r="B15002" i="1"/>
  <c r="C15002" i="1"/>
  <c r="E15002" i="1"/>
  <c r="G15002" i="1"/>
  <c r="K15002" i="1"/>
  <c r="A15003" i="1"/>
  <c r="B15003" i="1"/>
  <c r="C15003" i="1"/>
  <c r="E15003" i="1"/>
  <c r="G15003" i="1"/>
  <c r="K15003" i="1"/>
  <c r="A15004" i="1"/>
  <c r="B15004" i="1"/>
  <c r="C15004" i="1"/>
  <c r="E15004" i="1"/>
  <c r="G15004" i="1"/>
  <c r="K15004" i="1"/>
  <c r="A15005" i="1"/>
  <c r="B15005" i="1"/>
  <c r="C15005" i="1"/>
  <c r="E15005" i="1"/>
  <c r="G15005" i="1"/>
  <c r="K15005" i="1"/>
  <c r="A15006" i="1"/>
  <c r="B15006" i="1"/>
  <c r="C15006" i="1"/>
  <c r="E15006" i="1"/>
  <c r="G15006" i="1"/>
  <c r="K15006" i="1"/>
  <c r="A15007" i="1"/>
  <c r="B15007" i="1"/>
  <c r="C15007" i="1"/>
  <c r="E15007" i="1"/>
  <c r="G15007" i="1"/>
  <c r="K15007" i="1"/>
  <c r="A15008" i="1"/>
  <c r="B15008" i="1"/>
  <c r="C15008" i="1"/>
  <c r="E15008" i="1"/>
  <c r="G15008" i="1"/>
  <c r="K15008" i="1"/>
  <c r="A15009" i="1"/>
  <c r="B15009" i="1"/>
  <c r="C15009" i="1"/>
  <c r="E15009" i="1"/>
  <c r="G15009" i="1"/>
  <c r="K15009" i="1"/>
  <c r="A15010" i="1"/>
  <c r="B15010" i="1"/>
  <c r="C15010" i="1"/>
  <c r="E15010" i="1"/>
  <c r="G15010" i="1"/>
  <c r="K15010" i="1"/>
  <c r="A15011" i="1"/>
  <c r="B15011" i="1"/>
  <c r="C15011" i="1"/>
  <c r="E15011" i="1"/>
  <c r="G15011" i="1"/>
  <c r="K15011" i="1"/>
  <c r="A15012" i="1"/>
  <c r="B15012" i="1"/>
  <c r="C15012" i="1"/>
  <c r="E15012" i="1"/>
  <c r="G15012" i="1"/>
  <c r="K15012" i="1"/>
  <c r="A15013" i="1"/>
  <c r="B15013" i="1"/>
  <c r="C15013" i="1"/>
  <c r="E15013" i="1"/>
  <c r="G15013" i="1"/>
  <c r="K15013" i="1"/>
  <c r="A15014" i="1"/>
  <c r="B15014" i="1"/>
  <c r="C15014" i="1"/>
  <c r="E15014" i="1"/>
  <c r="G15014" i="1"/>
  <c r="K15014" i="1"/>
  <c r="A15015" i="1"/>
  <c r="B15015" i="1"/>
  <c r="C15015" i="1"/>
  <c r="E15015" i="1"/>
  <c r="G15015" i="1"/>
  <c r="K15015" i="1"/>
  <c r="A15016" i="1"/>
  <c r="B15016" i="1"/>
  <c r="C15016" i="1"/>
  <c r="E15016" i="1"/>
  <c r="G15016" i="1"/>
  <c r="K15016" i="1"/>
  <c r="A15017" i="1"/>
  <c r="B15017" i="1"/>
  <c r="C15017" i="1"/>
  <c r="E15017" i="1"/>
  <c r="G15017" i="1"/>
  <c r="K15017" i="1"/>
  <c r="A15018" i="1"/>
  <c r="B15018" i="1"/>
  <c r="C15018" i="1"/>
  <c r="E15018" i="1"/>
  <c r="G15018" i="1"/>
  <c r="K15018" i="1"/>
  <c r="A15019" i="1"/>
  <c r="B15019" i="1"/>
  <c r="C15019" i="1"/>
  <c r="E15019" i="1"/>
  <c r="G15019" i="1"/>
  <c r="K15019" i="1"/>
  <c r="A15020" i="1"/>
  <c r="B15020" i="1"/>
  <c r="C15020" i="1"/>
  <c r="E15020" i="1"/>
  <c r="G15020" i="1"/>
  <c r="K15020" i="1"/>
  <c r="A15021" i="1"/>
  <c r="B15021" i="1"/>
  <c r="C15021" i="1"/>
  <c r="E15021" i="1"/>
  <c r="G15021" i="1"/>
  <c r="K15021" i="1"/>
  <c r="A15022" i="1"/>
  <c r="B15022" i="1"/>
  <c r="C15022" i="1"/>
  <c r="E15022" i="1"/>
  <c r="G15022" i="1"/>
  <c r="K15022" i="1"/>
  <c r="A15023" i="1"/>
  <c r="B15023" i="1"/>
  <c r="C15023" i="1"/>
  <c r="E15023" i="1"/>
  <c r="G15023" i="1"/>
  <c r="K15023" i="1"/>
  <c r="A15024" i="1"/>
  <c r="B15024" i="1"/>
  <c r="C15024" i="1"/>
  <c r="E15024" i="1"/>
  <c r="G15024" i="1"/>
  <c r="K15024" i="1"/>
  <c r="A15025" i="1"/>
  <c r="B15025" i="1"/>
  <c r="C15025" i="1"/>
  <c r="E15025" i="1"/>
  <c r="G15025" i="1"/>
  <c r="K15025" i="1"/>
  <c r="A15026" i="1"/>
  <c r="B15026" i="1"/>
  <c r="C15026" i="1"/>
  <c r="E15026" i="1"/>
  <c r="G15026" i="1"/>
  <c r="K15026" i="1"/>
  <c r="A15027" i="1"/>
  <c r="B15027" i="1"/>
  <c r="C15027" i="1"/>
  <c r="E15027" i="1"/>
  <c r="G15027" i="1"/>
  <c r="K15027" i="1"/>
  <c r="A15028" i="1"/>
  <c r="B15028" i="1"/>
  <c r="C15028" i="1"/>
  <c r="E15028" i="1"/>
  <c r="G15028" i="1"/>
  <c r="K15028" i="1"/>
  <c r="A15029" i="1"/>
  <c r="B15029" i="1"/>
  <c r="C15029" i="1"/>
  <c r="E15029" i="1"/>
  <c r="G15029" i="1"/>
  <c r="K15029" i="1"/>
  <c r="A15030" i="1"/>
  <c r="B15030" i="1"/>
  <c r="C15030" i="1"/>
  <c r="E15030" i="1"/>
  <c r="G15030" i="1"/>
  <c r="K15030" i="1"/>
  <c r="A15031" i="1"/>
  <c r="B15031" i="1"/>
  <c r="C15031" i="1"/>
  <c r="E15031" i="1"/>
  <c r="G15031" i="1"/>
  <c r="K15031" i="1"/>
  <c r="A15032" i="1"/>
  <c r="B15032" i="1"/>
  <c r="C15032" i="1"/>
  <c r="E15032" i="1"/>
  <c r="G15032" i="1"/>
  <c r="K15032" i="1"/>
  <c r="A15033" i="1"/>
  <c r="B15033" i="1"/>
  <c r="C15033" i="1"/>
  <c r="E15033" i="1"/>
  <c r="G15033" i="1"/>
  <c r="K15033" i="1"/>
  <c r="A15034" i="1"/>
  <c r="B15034" i="1"/>
  <c r="C15034" i="1"/>
  <c r="E15034" i="1"/>
  <c r="G15034" i="1"/>
  <c r="K15034" i="1"/>
  <c r="A15035" i="1"/>
  <c r="B15035" i="1"/>
  <c r="C15035" i="1"/>
  <c r="E15035" i="1"/>
  <c r="G15035" i="1"/>
  <c r="K15035" i="1"/>
  <c r="A15036" i="1"/>
  <c r="B15036" i="1"/>
  <c r="C15036" i="1"/>
  <c r="E15036" i="1"/>
  <c r="G15036" i="1"/>
  <c r="K15036" i="1"/>
  <c r="A15037" i="1"/>
  <c r="B15037" i="1"/>
  <c r="C15037" i="1"/>
  <c r="E15037" i="1"/>
  <c r="G15037" i="1"/>
  <c r="K15037" i="1"/>
  <c r="A15038" i="1"/>
  <c r="B15038" i="1"/>
  <c r="C15038" i="1"/>
  <c r="E15038" i="1"/>
  <c r="G15038" i="1"/>
  <c r="K15038" i="1"/>
  <c r="A15039" i="1"/>
  <c r="B15039" i="1"/>
  <c r="C15039" i="1"/>
  <c r="E15039" i="1"/>
  <c r="G15039" i="1"/>
  <c r="K15039" i="1"/>
  <c r="A15040" i="1"/>
  <c r="B15040" i="1"/>
  <c r="C15040" i="1"/>
  <c r="E15040" i="1"/>
  <c r="G15040" i="1"/>
  <c r="K15040" i="1"/>
  <c r="A15041" i="1"/>
  <c r="B15041" i="1"/>
  <c r="C15041" i="1"/>
  <c r="E15041" i="1"/>
  <c r="G15041" i="1"/>
  <c r="K15041" i="1"/>
  <c r="A15042" i="1"/>
  <c r="B15042" i="1"/>
  <c r="C15042" i="1"/>
  <c r="E15042" i="1"/>
  <c r="G15042" i="1"/>
  <c r="K15042" i="1"/>
  <c r="A15043" i="1"/>
  <c r="B15043" i="1"/>
  <c r="C15043" i="1"/>
  <c r="E15043" i="1"/>
  <c r="G15043" i="1"/>
  <c r="K15043" i="1"/>
  <c r="A15044" i="1"/>
  <c r="B15044" i="1"/>
  <c r="C15044" i="1"/>
  <c r="E15044" i="1"/>
  <c r="G15044" i="1"/>
  <c r="K15044" i="1"/>
  <c r="A15045" i="1"/>
  <c r="B15045" i="1"/>
  <c r="C15045" i="1"/>
  <c r="E15045" i="1"/>
  <c r="G15045" i="1"/>
  <c r="K15045" i="1"/>
  <c r="A15046" i="1"/>
  <c r="B15046" i="1"/>
  <c r="C15046" i="1"/>
  <c r="E15046" i="1"/>
  <c r="G15046" i="1"/>
  <c r="K15046" i="1"/>
  <c r="A15047" i="1"/>
  <c r="B15047" i="1"/>
  <c r="C15047" i="1"/>
  <c r="E15047" i="1"/>
  <c r="G15047" i="1"/>
  <c r="K15047" i="1"/>
  <c r="A15048" i="1"/>
  <c r="B15048" i="1"/>
  <c r="C15048" i="1"/>
  <c r="E15048" i="1"/>
  <c r="G15048" i="1"/>
  <c r="K15048" i="1"/>
  <c r="A15049" i="1"/>
  <c r="B15049" i="1"/>
  <c r="C15049" i="1"/>
  <c r="E15049" i="1"/>
  <c r="G15049" i="1"/>
  <c r="K15049" i="1"/>
  <c r="A15050" i="1"/>
  <c r="B15050" i="1"/>
  <c r="C15050" i="1"/>
  <c r="E15050" i="1"/>
  <c r="G15050" i="1"/>
  <c r="K15050" i="1"/>
  <c r="A15051" i="1"/>
  <c r="B15051" i="1"/>
  <c r="C15051" i="1"/>
  <c r="E15051" i="1"/>
  <c r="G15051" i="1"/>
  <c r="K15051" i="1"/>
  <c r="A15052" i="1"/>
  <c r="B15052" i="1"/>
  <c r="C15052" i="1"/>
  <c r="E15052" i="1"/>
  <c r="G15052" i="1"/>
  <c r="K15052" i="1"/>
  <c r="A15053" i="1"/>
  <c r="B15053" i="1"/>
  <c r="C15053" i="1"/>
  <c r="E15053" i="1"/>
  <c r="G15053" i="1"/>
  <c r="K15053" i="1"/>
  <c r="A15054" i="1"/>
  <c r="B15054" i="1"/>
  <c r="C15054" i="1"/>
  <c r="E15054" i="1"/>
  <c r="G15054" i="1"/>
  <c r="K15054" i="1"/>
  <c r="A15055" i="1"/>
  <c r="B15055" i="1"/>
  <c r="C15055" i="1"/>
  <c r="E15055" i="1"/>
  <c r="G15055" i="1"/>
  <c r="K15055" i="1"/>
  <c r="A15056" i="1"/>
  <c r="B15056" i="1"/>
  <c r="C15056" i="1"/>
  <c r="E15056" i="1"/>
  <c r="G15056" i="1"/>
  <c r="K15056" i="1"/>
  <c r="A15057" i="1"/>
  <c r="B15057" i="1"/>
  <c r="C15057" i="1"/>
  <c r="E15057" i="1"/>
  <c r="G15057" i="1"/>
  <c r="K15057" i="1"/>
  <c r="A15058" i="1"/>
  <c r="B15058" i="1"/>
  <c r="C15058" i="1"/>
  <c r="E15058" i="1"/>
  <c r="G15058" i="1"/>
  <c r="K15058" i="1"/>
  <c r="A15059" i="1"/>
  <c r="B15059" i="1"/>
  <c r="C15059" i="1"/>
  <c r="E15059" i="1"/>
  <c r="G15059" i="1"/>
  <c r="K15059" i="1"/>
  <c r="A15060" i="1"/>
  <c r="B15060" i="1"/>
  <c r="C15060" i="1"/>
  <c r="E15060" i="1"/>
  <c r="G15060" i="1"/>
  <c r="K15060" i="1"/>
  <c r="A15061" i="1"/>
  <c r="B15061" i="1"/>
  <c r="C15061" i="1"/>
  <c r="E15061" i="1"/>
  <c r="G15061" i="1"/>
  <c r="K15061" i="1"/>
  <c r="A15062" i="1"/>
  <c r="B15062" i="1"/>
  <c r="C15062" i="1"/>
  <c r="E15062" i="1"/>
  <c r="G15062" i="1"/>
  <c r="K15062" i="1"/>
  <c r="A15063" i="1"/>
  <c r="B15063" i="1"/>
  <c r="C15063" i="1"/>
  <c r="E15063" i="1"/>
  <c r="G15063" i="1"/>
  <c r="K15063" i="1"/>
  <c r="A15064" i="1"/>
  <c r="B15064" i="1"/>
  <c r="C15064" i="1"/>
  <c r="E15064" i="1"/>
  <c r="G15064" i="1"/>
  <c r="K15064" i="1"/>
  <c r="A15065" i="1"/>
  <c r="B15065" i="1"/>
  <c r="C15065" i="1"/>
  <c r="E15065" i="1"/>
  <c r="G15065" i="1"/>
  <c r="K15065" i="1"/>
  <c r="A15066" i="1"/>
  <c r="B15066" i="1"/>
  <c r="C15066" i="1"/>
  <c r="E15066" i="1"/>
  <c r="G15066" i="1"/>
  <c r="K15066" i="1"/>
  <c r="A15067" i="1"/>
  <c r="B15067" i="1"/>
  <c r="C15067" i="1"/>
  <c r="E15067" i="1"/>
  <c r="G15067" i="1"/>
  <c r="K15067" i="1"/>
  <c r="A15068" i="1"/>
  <c r="B15068" i="1"/>
  <c r="C15068" i="1"/>
  <c r="E15068" i="1"/>
  <c r="G15068" i="1"/>
  <c r="K15068" i="1"/>
  <c r="A15069" i="1"/>
  <c r="B15069" i="1"/>
  <c r="C15069" i="1"/>
  <c r="E15069" i="1"/>
  <c r="G15069" i="1"/>
  <c r="K15069" i="1"/>
  <c r="A15070" i="1"/>
  <c r="B15070" i="1"/>
  <c r="C15070" i="1"/>
  <c r="E15070" i="1"/>
  <c r="G15070" i="1"/>
  <c r="K15070" i="1"/>
  <c r="A15071" i="1"/>
  <c r="B15071" i="1"/>
  <c r="C15071" i="1"/>
  <c r="E15071" i="1"/>
  <c r="G15071" i="1"/>
  <c r="K15071" i="1"/>
  <c r="A15072" i="1"/>
  <c r="B15072" i="1"/>
  <c r="C15072" i="1"/>
  <c r="E15072" i="1"/>
  <c r="G15072" i="1"/>
  <c r="K15072" i="1"/>
  <c r="A15073" i="1"/>
  <c r="B15073" i="1"/>
  <c r="C15073" i="1"/>
  <c r="E15073" i="1"/>
  <c r="G15073" i="1"/>
  <c r="K15073" i="1"/>
  <c r="A15074" i="1"/>
  <c r="B15074" i="1"/>
  <c r="C15074" i="1"/>
  <c r="E15074" i="1"/>
  <c r="G15074" i="1"/>
  <c r="K15074" i="1"/>
  <c r="A15075" i="1"/>
  <c r="B15075" i="1"/>
  <c r="C15075" i="1"/>
  <c r="E15075" i="1"/>
  <c r="G15075" i="1"/>
  <c r="K15075" i="1"/>
  <c r="A15076" i="1"/>
  <c r="B15076" i="1"/>
  <c r="C15076" i="1"/>
  <c r="E15076" i="1"/>
  <c r="G15076" i="1"/>
  <c r="K15076" i="1"/>
  <c r="A15077" i="1"/>
  <c r="B15077" i="1"/>
  <c r="C15077" i="1"/>
  <c r="E15077" i="1"/>
  <c r="G15077" i="1"/>
  <c r="K15077" i="1"/>
  <c r="A15078" i="1"/>
  <c r="B15078" i="1"/>
  <c r="C15078" i="1"/>
  <c r="E15078" i="1"/>
  <c r="G15078" i="1"/>
  <c r="K15078" i="1"/>
  <c r="A15079" i="1"/>
  <c r="B15079" i="1"/>
  <c r="C15079" i="1"/>
  <c r="E15079" i="1"/>
  <c r="G15079" i="1"/>
  <c r="K15079" i="1"/>
  <c r="A15080" i="1"/>
  <c r="B15080" i="1"/>
  <c r="C15080" i="1"/>
  <c r="E15080" i="1"/>
  <c r="G15080" i="1"/>
  <c r="K15080" i="1"/>
  <c r="A15081" i="1"/>
  <c r="B15081" i="1"/>
  <c r="C15081" i="1"/>
  <c r="E15081" i="1"/>
  <c r="G15081" i="1"/>
  <c r="K15081" i="1"/>
  <c r="A15082" i="1"/>
  <c r="B15082" i="1"/>
  <c r="C15082" i="1"/>
  <c r="E15082" i="1"/>
  <c r="G15082" i="1"/>
  <c r="K15082" i="1"/>
  <c r="A15083" i="1"/>
  <c r="B15083" i="1"/>
  <c r="C15083" i="1"/>
  <c r="E15083" i="1"/>
  <c r="G15083" i="1"/>
  <c r="K15083" i="1"/>
  <c r="A15084" i="1"/>
  <c r="B15084" i="1"/>
  <c r="C15084" i="1"/>
  <c r="E15084" i="1"/>
  <c r="G15084" i="1"/>
  <c r="K15084" i="1"/>
  <c r="A15085" i="1"/>
  <c r="B15085" i="1"/>
  <c r="C15085" i="1"/>
  <c r="E15085" i="1"/>
  <c r="G15085" i="1"/>
  <c r="K15085" i="1"/>
  <c r="A15086" i="1"/>
  <c r="B15086" i="1"/>
  <c r="C15086" i="1"/>
  <c r="E15086" i="1"/>
  <c r="G15086" i="1"/>
  <c r="K15086" i="1"/>
  <c r="A15087" i="1"/>
  <c r="B15087" i="1"/>
  <c r="C15087" i="1"/>
  <c r="E15087" i="1"/>
  <c r="G15087" i="1"/>
  <c r="K15087" i="1"/>
  <c r="A15088" i="1"/>
  <c r="B15088" i="1"/>
  <c r="C15088" i="1"/>
  <c r="E15088" i="1"/>
  <c r="G15088" i="1"/>
  <c r="K15088" i="1"/>
  <c r="A15089" i="1"/>
  <c r="B15089" i="1"/>
  <c r="C15089" i="1"/>
  <c r="E15089" i="1"/>
  <c r="G15089" i="1"/>
  <c r="K15089" i="1"/>
  <c r="A15090" i="1"/>
  <c r="B15090" i="1"/>
  <c r="C15090" i="1"/>
  <c r="E15090" i="1"/>
  <c r="G15090" i="1"/>
  <c r="K15090" i="1"/>
  <c r="A15091" i="1"/>
  <c r="B15091" i="1"/>
  <c r="C15091" i="1"/>
  <c r="E15091" i="1"/>
  <c r="G15091" i="1"/>
  <c r="K15091" i="1"/>
  <c r="A15092" i="1"/>
  <c r="B15092" i="1"/>
  <c r="C15092" i="1"/>
  <c r="E15092" i="1"/>
  <c r="G15092" i="1"/>
  <c r="K15092" i="1"/>
  <c r="A15093" i="1"/>
  <c r="B15093" i="1"/>
  <c r="C15093" i="1"/>
  <c r="E15093" i="1"/>
  <c r="G15093" i="1"/>
  <c r="K15093" i="1"/>
  <c r="A15094" i="1"/>
  <c r="B15094" i="1"/>
  <c r="C15094" i="1"/>
  <c r="E15094" i="1"/>
  <c r="G15094" i="1"/>
  <c r="K15094" i="1"/>
  <c r="A15095" i="1"/>
  <c r="B15095" i="1"/>
  <c r="C15095" i="1"/>
  <c r="E15095" i="1"/>
  <c r="G15095" i="1"/>
  <c r="K15095" i="1"/>
  <c r="A15096" i="1"/>
  <c r="B15096" i="1"/>
  <c r="C15096" i="1"/>
  <c r="E15096" i="1"/>
  <c r="G15096" i="1"/>
  <c r="K15096" i="1"/>
  <c r="A15097" i="1"/>
  <c r="B15097" i="1"/>
  <c r="C15097" i="1"/>
  <c r="E15097" i="1"/>
  <c r="G15097" i="1"/>
  <c r="K15097" i="1"/>
  <c r="A15098" i="1"/>
  <c r="B15098" i="1"/>
  <c r="C15098" i="1"/>
  <c r="E15098" i="1"/>
  <c r="G15098" i="1"/>
  <c r="K15098" i="1"/>
  <c r="A15099" i="1"/>
  <c r="B15099" i="1"/>
  <c r="C15099" i="1"/>
  <c r="E15099" i="1"/>
  <c r="G15099" i="1"/>
  <c r="K15099" i="1"/>
  <c r="A15100" i="1"/>
  <c r="B15100" i="1"/>
  <c r="C15100" i="1"/>
  <c r="E15100" i="1"/>
  <c r="G15100" i="1"/>
  <c r="K15100" i="1"/>
  <c r="A15101" i="1"/>
  <c r="B15101" i="1"/>
  <c r="C15101" i="1"/>
  <c r="E15101" i="1"/>
  <c r="G15101" i="1"/>
  <c r="K15101" i="1"/>
  <c r="A15102" i="1"/>
  <c r="B15102" i="1"/>
  <c r="C15102" i="1"/>
  <c r="E15102" i="1"/>
  <c r="G15102" i="1"/>
  <c r="K15102" i="1"/>
  <c r="A15103" i="1"/>
  <c r="B15103" i="1"/>
  <c r="C15103" i="1"/>
  <c r="E15103" i="1"/>
  <c r="G15103" i="1"/>
  <c r="K15103" i="1"/>
  <c r="A15104" i="1"/>
  <c r="B15104" i="1"/>
  <c r="C15104" i="1"/>
  <c r="E15104" i="1"/>
  <c r="G15104" i="1"/>
  <c r="K15104" i="1"/>
  <c r="A15105" i="1"/>
  <c r="B15105" i="1"/>
  <c r="C15105" i="1"/>
  <c r="E15105" i="1"/>
  <c r="G15105" i="1"/>
  <c r="K15105" i="1"/>
  <c r="A15106" i="1"/>
  <c r="B15106" i="1"/>
  <c r="C15106" i="1"/>
  <c r="E15106" i="1"/>
  <c r="G15106" i="1"/>
  <c r="K15106" i="1"/>
  <c r="A15107" i="1"/>
  <c r="B15107" i="1"/>
  <c r="C15107" i="1"/>
  <c r="E15107" i="1"/>
  <c r="G15107" i="1"/>
  <c r="K15107" i="1"/>
  <c r="A15108" i="1"/>
  <c r="B15108" i="1"/>
  <c r="C15108" i="1"/>
  <c r="E15108" i="1"/>
  <c r="G15108" i="1"/>
  <c r="K15108" i="1"/>
  <c r="A15109" i="1"/>
  <c r="B15109" i="1"/>
  <c r="C15109" i="1"/>
  <c r="E15109" i="1"/>
  <c r="G15109" i="1"/>
  <c r="K15109" i="1"/>
  <c r="A15110" i="1"/>
  <c r="B15110" i="1"/>
  <c r="C15110" i="1"/>
  <c r="E15110" i="1"/>
  <c r="G15110" i="1"/>
  <c r="K15110" i="1"/>
  <c r="A15111" i="1"/>
  <c r="B15111" i="1"/>
  <c r="C15111" i="1"/>
  <c r="E15111" i="1"/>
  <c r="G15111" i="1"/>
  <c r="K15111" i="1"/>
  <c r="A15112" i="1"/>
  <c r="B15112" i="1"/>
  <c r="C15112" i="1"/>
  <c r="E15112" i="1"/>
  <c r="G15112" i="1"/>
  <c r="K15112" i="1"/>
  <c r="A15113" i="1"/>
  <c r="B15113" i="1"/>
  <c r="C15113" i="1"/>
  <c r="E15113" i="1"/>
  <c r="G15113" i="1"/>
  <c r="K15113" i="1"/>
  <c r="A15114" i="1"/>
  <c r="B15114" i="1"/>
  <c r="C15114" i="1"/>
  <c r="E15114" i="1"/>
  <c r="G15114" i="1"/>
  <c r="K15114" i="1"/>
  <c r="A15115" i="1"/>
  <c r="B15115" i="1"/>
  <c r="C15115" i="1"/>
  <c r="E15115" i="1"/>
  <c r="G15115" i="1"/>
  <c r="K15115" i="1"/>
  <c r="A15116" i="1"/>
  <c r="B15116" i="1"/>
  <c r="C15116" i="1"/>
  <c r="E15116" i="1"/>
  <c r="G15116" i="1"/>
  <c r="K15116" i="1"/>
  <c r="A15117" i="1"/>
  <c r="B15117" i="1"/>
  <c r="C15117" i="1"/>
  <c r="E15117" i="1"/>
  <c r="G15117" i="1"/>
  <c r="K15117" i="1"/>
  <c r="A15118" i="1"/>
  <c r="B15118" i="1"/>
  <c r="C15118" i="1"/>
  <c r="E15118" i="1"/>
  <c r="G15118" i="1"/>
  <c r="K15118" i="1"/>
  <c r="A15119" i="1"/>
  <c r="B15119" i="1"/>
  <c r="C15119" i="1"/>
  <c r="E15119" i="1"/>
  <c r="G15119" i="1"/>
  <c r="K15119" i="1"/>
  <c r="A15120" i="1"/>
  <c r="B15120" i="1"/>
  <c r="C15120" i="1"/>
  <c r="E15120" i="1"/>
  <c r="G15120" i="1"/>
  <c r="K15120" i="1"/>
  <c r="A15121" i="1"/>
  <c r="B15121" i="1"/>
  <c r="C15121" i="1"/>
  <c r="E15121" i="1"/>
  <c r="G15121" i="1"/>
  <c r="K15121" i="1"/>
  <c r="A15122" i="1"/>
  <c r="B15122" i="1"/>
  <c r="C15122" i="1"/>
  <c r="E15122" i="1"/>
  <c r="G15122" i="1"/>
  <c r="K15122" i="1"/>
  <c r="A15123" i="1"/>
  <c r="B15123" i="1"/>
  <c r="C15123" i="1"/>
  <c r="E15123" i="1"/>
  <c r="G15123" i="1"/>
  <c r="K15123" i="1"/>
  <c r="A15124" i="1"/>
  <c r="B15124" i="1"/>
  <c r="C15124" i="1"/>
  <c r="E15124" i="1"/>
  <c r="G15124" i="1"/>
  <c r="K15124" i="1"/>
  <c r="A15125" i="1"/>
  <c r="B15125" i="1"/>
  <c r="C15125" i="1"/>
  <c r="E15125" i="1"/>
  <c r="G15125" i="1"/>
  <c r="K15125" i="1"/>
  <c r="A15126" i="1"/>
  <c r="B15126" i="1"/>
  <c r="C15126" i="1"/>
  <c r="E15126" i="1"/>
  <c r="G15126" i="1"/>
  <c r="K15126" i="1"/>
  <c r="A15127" i="1"/>
  <c r="B15127" i="1"/>
  <c r="C15127" i="1"/>
  <c r="E15127" i="1"/>
  <c r="G15127" i="1"/>
  <c r="K15127" i="1"/>
  <c r="A15128" i="1"/>
  <c r="B15128" i="1"/>
  <c r="C15128" i="1"/>
  <c r="E15128" i="1"/>
  <c r="G15128" i="1"/>
  <c r="K15128" i="1"/>
  <c r="A15129" i="1"/>
  <c r="B15129" i="1"/>
  <c r="C15129" i="1"/>
  <c r="E15129" i="1"/>
  <c r="G15129" i="1"/>
  <c r="K15129" i="1"/>
  <c r="A15130" i="1"/>
  <c r="B15130" i="1"/>
  <c r="C15130" i="1"/>
  <c r="E15130" i="1"/>
  <c r="G15130" i="1"/>
  <c r="K15130" i="1"/>
  <c r="A15131" i="1"/>
  <c r="B15131" i="1"/>
  <c r="C15131" i="1"/>
  <c r="E15131" i="1"/>
  <c r="G15131" i="1"/>
  <c r="K15131" i="1"/>
  <c r="A15132" i="1"/>
  <c r="B15132" i="1"/>
  <c r="C15132" i="1"/>
  <c r="E15132" i="1"/>
  <c r="G15132" i="1"/>
  <c r="K15132" i="1"/>
  <c r="A15133" i="1"/>
  <c r="B15133" i="1"/>
  <c r="C15133" i="1"/>
  <c r="E15133" i="1"/>
  <c r="G15133" i="1"/>
  <c r="K15133" i="1"/>
  <c r="A15134" i="1"/>
  <c r="B15134" i="1"/>
  <c r="C15134" i="1"/>
  <c r="E15134" i="1"/>
  <c r="G15134" i="1"/>
  <c r="K15134" i="1"/>
  <c r="A15135" i="1"/>
  <c r="B15135" i="1"/>
  <c r="C15135" i="1"/>
  <c r="E15135" i="1"/>
  <c r="G15135" i="1"/>
  <c r="K15135" i="1"/>
  <c r="A15136" i="1"/>
  <c r="B15136" i="1"/>
  <c r="C15136" i="1"/>
  <c r="E15136" i="1"/>
  <c r="G15136" i="1"/>
  <c r="K15136" i="1"/>
  <c r="A15137" i="1"/>
  <c r="B15137" i="1"/>
  <c r="C15137" i="1"/>
  <c r="E15137" i="1"/>
  <c r="G15137" i="1"/>
  <c r="K15137" i="1"/>
  <c r="A15138" i="1"/>
  <c r="B15138" i="1"/>
  <c r="C15138" i="1"/>
  <c r="E15138" i="1"/>
  <c r="G15138" i="1"/>
  <c r="K15138" i="1"/>
  <c r="A15139" i="1"/>
  <c r="B15139" i="1"/>
  <c r="C15139" i="1"/>
  <c r="E15139" i="1"/>
  <c r="G15139" i="1"/>
  <c r="K15139" i="1"/>
  <c r="A15140" i="1"/>
  <c r="B15140" i="1"/>
  <c r="C15140" i="1"/>
  <c r="E15140" i="1"/>
  <c r="G15140" i="1"/>
  <c r="K15140" i="1"/>
  <c r="A15141" i="1"/>
  <c r="B15141" i="1"/>
  <c r="C15141" i="1"/>
  <c r="E15141" i="1"/>
  <c r="G15141" i="1"/>
  <c r="K15141" i="1"/>
  <c r="A15142" i="1"/>
  <c r="B15142" i="1"/>
  <c r="C15142" i="1"/>
  <c r="E15142" i="1"/>
  <c r="G15142" i="1"/>
  <c r="K15142" i="1"/>
  <c r="A15143" i="1"/>
  <c r="B15143" i="1"/>
  <c r="C15143" i="1"/>
  <c r="E15143" i="1"/>
  <c r="G15143" i="1"/>
  <c r="K15143" i="1"/>
  <c r="A15144" i="1"/>
  <c r="B15144" i="1"/>
  <c r="C15144" i="1"/>
  <c r="E15144" i="1"/>
  <c r="G15144" i="1"/>
  <c r="K15144" i="1"/>
  <c r="A15145" i="1"/>
  <c r="B15145" i="1"/>
  <c r="C15145" i="1"/>
  <c r="E15145" i="1"/>
  <c r="G15145" i="1"/>
  <c r="K15145" i="1"/>
  <c r="A15146" i="1"/>
  <c r="B15146" i="1"/>
  <c r="C15146" i="1"/>
  <c r="E15146" i="1"/>
  <c r="G15146" i="1"/>
  <c r="K15146" i="1"/>
  <c r="A15147" i="1"/>
  <c r="B15147" i="1"/>
  <c r="C15147" i="1"/>
  <c r="E15147" i="1"/>
  <c r="G15147" i="1"/>
  <c r="K15147" i="1"/>
  <c r="A15148" i="1"/>
  <c r="B15148" i="1"/>
  <c r="C15148" i="1"/>
  <c r="E15148" i="1"/>
  <c r="G15148" i="1"/>
  <c r="K15148" i="1"/>
  <c r="A15149" i="1"/>
  <c r="B15149" i="1"/>
  <c r="C15149" i="1"/>
  <c r="E15149" i="1"/>
  <c r="G15149" i="1"/>
  <c r="K15149" i="1"/>
  <c r="A15150" i="1"/>
  <c r="B15150" i="1"/>
  <c r="C15150" i="1"/>
  <c r="E15150" i="1"/>
  <c r="G15150" i="1"/>
  <c r="K15150" i="1"/>
  <c r="A15151" i="1"/>
  <c r="B15151" i="1"/>
  <c r="C15151" i="1"/>
  <c r="E15151" i="1"/>
  <c r="G15151" i="1"/>
  <c r="K15151" i="1"/>
  <c r="A15152" i="1"/>
  <c r="B15152" i="1"/>
  <c r="C15152" i="1"/>
  <c r="E15152" i="1"/>
  <c r="G15152" i="1"/>
  <c r="K15152" i="1"/>
  <c r="A15153" i="1"/>
  <c r="B15153" i="1"/>
  <c r="C15153" i="1"/>
  <c r="E15153" i="1"/>
  <c r="G15153" i="1"/>
  <c r="K15153" i="1"/>
  <c r="A15154" i="1"/>
  <c r="B15154" i="1"/>
  <c r="C15154" i="1"/>
  <c r="E15154" i="1"/>
  <c r="G15154" i="1"/>
  <c r="K15154" i="1"/>
  <c r="A15155" i="1"/>
  <c r="B15155" i="1"/>
  <c r="C15155" i="1"/>
  <c r="E15155" i="1"/>
  <c r="G15155" i="1"/>
  <c r="K15155" i="1"/>
  <c r="A15156" i="1"/>
  <c r="B15156" i="1"/>
  <c r="C15156" i="1"/>
  <c r="E15156" i="1"/>
  <c r="G15156" i="1"/>
  <c r="K15156" i="1"/>
  <c r="A15157" i="1"/>
  <c r="B15157" i="1"/>
  <c r="C15157" i="1"/>
  <c r="E15157" i="1"/>
  <c r="G15157" i="1"/>
  <c r="K15157" i="1"/>
  <c r="A15158" i="1"/>
  <c r="B15158" i="1"/>
  <c r="C15158" i="1"/>
  <c r="E15158" i="1"/>
  <c r="G15158" i="1"/>
  <c r="K15158" i="1"/>
  <c r="A15159" i="1"/>
  <c r="B15159" i="1"/>
  <c r="C15159" i="1"/>
  <c r="E15159" i="1"/>
  <c r="G15159" i="1"/>
  <c r="K15159" i="1"/>
  <c r="A15160" i="1"/>
  <c r="B15160" i="1"/>
  <c r="C15160" i="1"/>
  <c r="E15160" i="1"/>
  <c r="G15160" i="1"/>
  <c r="K15160" i="1"/>
  <c r="A15161" i="1"/>
  <c r="B15161" i="1"/>
  <c r="C15161" i="1"/>
  <c r="E15161" i="1"/>
  <c r="G15161" i="1"/>
  <c r="K15161" i="1"/>
  <c r="A15162" i="1"/>
  <c r="B15162" i="1"/>
  <c r="C15162" i="1"/>
  <c r="E15162" i="1"/>
  <c r="G15162" i="1"/>
  <c r="K15162" i="1"/>
  <c r="A15163" i="1"/>
  <c r="B15163" i="1"/>
  <c r="C15163" i="1"/>
  <c r="E15163" i="1"/>
  <c r="G15163" i="1"/>
  <c r="K15163" i="1"/>
  <c r="A15164" i="1"/>
  <c r="B15164" i="1"/>
  <c r="C15164" i="1"/>
  <c r="E15164" i="1"/>
  <c r="G15164" i="1"/>
  <c r="K15164" i="1"/>
  <c r="A15165" i="1"/>
  <c r="B15165" i="1"/>
  <c r="C15165" i="1"/>
  <c r="E15165" i="1"/>
  <c r="G15165" i="1"/>
  <c r="K15165" i="1"/>
  <c r="A15166" i="1"/>
  <c r="B15166" i="1"/>
  <c r="C15166" i="1"/>
  <c r="E15166" i="1"/>
  <c r="G15166" i="1"/>
  <c r="K15166" i="1"/>
  <c r="A15167" i="1"/>
  <c r="B15167" i="1"/>
  <c r="C15167" i="1"/>
  <c r="E15167" i="1"/>
  <c r="G15167" i="1"/>
  <c r="K15167" i="1"/>
  <c r="A15168" i="1"/>
  <c r="B15168" i="1"/>
  <c r="C15168" i="1"/>
  <c r="E15168" i="1"/>
  <c r="G15168" i="1"/>
  <c r="K15168" i="1"/>
  <c r="A15169" i="1"/>
  <c r="B15169" i="1"/>
  <c r="C15169" i="1"/>
  <c r="E15169" i="1"/>
  <c r="G15169" i="1"/>
  <c r="K15169" i="1"/>
  <c r="A15170" i="1"/>
  <c r="B15170" i="1"/>
  <c r="C15170" i="1"/>
  <c r="E15170" i="1"/>
  <c r="G15170" i="1"/>
  <c r="K15170" i="1"/>
  <c r="A15171" i="1"/>
  <c r="B15171" i="1"/>
  <c r="C15171" i="1"/>
  <c r="E15171" i="1"/>
  <c r="G15171" i="1"/>
  <c r="K15171" i="1"/>
  <c r="A15172" i="1"/>
  <c r="B15172" i="1"/>
  <c r="C15172" i="1"/>
  <c r="E15172" i="1"/>
  <c r="G15172" i="1"/>
  <c r="K15172" i="1"/>
  <c r="A15173" i="1"/>
  <c r="B15173" i="1"/>
  <c r="C15173" i="1"/>
  <c r="E15173" i="1"/>
  <c r="G15173" i="1"/>
  <c r="K15173" i="1"/>
  <c r="A15174" i="1"/>
  <c r="B15174" i="1"/>
  <c r="C15174" i="1"/>
  <c r="E15174" i="1"/>
  <c r="G15174" i="1"/>
  <c r="K15174" i="1"/>
  <c r="A15175" i="1"/>
  <c r="B15175" i="1"/>
  <c r="C15175" i="1"/>
  <c r="E15175" i="1"/>
  <c r="G15175" i="1"/>
  <c r="K15175" i="1"/>
  <c r="A15176" i="1"/>
  <c r="B15176" i="1"/>
  <c r="C15176" i="1"/>
  <c r="E15176" i="1"/>
  <c r="G15176" i="1"/>
  <c r="K15176" i="1"/>
  <c r="A15177" i="1"/>
  <c r="B15177" i="1"/>
  <c r="C15177" i="1"/>
  <c r="E15177" i="1"/>
  <c r="G15177" i="1"/>
  <c r="K15177" i="1"/>
  <c r="A15178" i="1"/>
  <c r="B15178" i="1"/>
  <c r="C15178" i="1"/>
  <c r="E15178" i="1"/>
  <c r="G15178" i="1"/>
  <c r="K15178" i="1"/>
  <c r="A15179" i="1"/>
  <c r="B15179" i="1"/>
  <c r="C15179" i="1"/>
  <c r="E15179" i="1"/>
  <c r="G15179" i="1"/>
  <c r="K15179" i="1"/>
  <c r="A15180" i="1"/>
  <c r="B15180" i="1"/>
  <c r="C15180" i="1"/>
  <c r="E15180" i="1"/>
  <c r="G15180" i="1"/>
  <c r="K15180" i="1"/>
  <c r="A15181" i="1"/>
  <c r="B15181" i="1"/>
  <c r="C15181" i="1"/>
  <c r="E15181" i="1"/>
  <c r="G15181" i="1"/>
  <c r="K15181" i="1"/>
  <c r="A15182" i="1"/>
  <c r="B15182" i="1"/>
  <c r="C15182" i="1"/>
  <c r="E15182" i="1"/>
  <c r="G15182" i="1"/>
  <c r="K15182" i="1"/>
  <c r="A15183" i="1"/>
  <c r="B15183" i="1"/>
  <c r="C15183" i="1"/>
  <c r="E15183" i="1"/>
  <c r="G15183" i="1"/>
  <c r="K15183" i="1"/>
  <c r="A15184" i="1"/>
  <c r="B15184" i="1"/>
  <c r="C15184" i="1"/>
  <c r="E15184" i="1"/>
  <c r="G15184" i="1"/>
  <c r="K15184" i="1"/>
  <c r="A15185" i="1"/>
  <c r="B15185" i="1"/>
  <c r="C15185" i="1"/>
  <c r="E15185" i="1"/>
  <c r="G15185" i="1"/>
  <c r="K15185" i="1"/>
  <c r="A15186" i="1"/>
  <c r="B15186" i="1"/>
  <c r="C15186" i="1"/>
  <c r="E15186" i="1"/>
  <c r="G15186" i="1"/>
  <c r="K15186" i="1"/>
  <c r="A15187" i="1"/>
  <c r="B15187" i="1"/>
  <c r="C15187" i="1"/>
  <c r="E15187" i="1"/>
  <c r="G15187" i="1"/>
  <c r="K15187" i="1"/>
  <c r="A15188" i="1"/>
  <c r="B15188" i="1"/>
  <c r="C15188" i="1"/>
  <c r="E15188" i="1"/>
  <c r="G15188" i="1"/>
  <c r="K15188" i="1"/>
  <c r="A15189" i="1"/>
  <c r="B15189" i="1"/>
  <c r="C15189" i="1"/>
  <c r="E15189" i="1"/>
  <c r="G15189" i="1"/>
  <c r="K15189" i="1"/>
  <c r="A15190" i="1"/>
  <c r="B15190" i="1"/>
  <c r="C15190" i="1"/>
  <c r="E15190" i="1"/>
  <c r="G15190" i="1"/>
  <c r="K15190" i="1"/>
  <c r="A15191" i="1"/>
  <c r="B15191" i="1"/>
  <c r="C15191" i="1"/>
  <c r="E15191" i="1"/>
  <c r="G15191" i="1"/>
  <c r="K15191" i="1"/>
  <c r="A15192" i="1"/>
  <c r="B15192" i="1"/>
  <c r="C15192" i="1"/>
  <c r="E15192" i="1"/>
  <c r="G15192" i="1"/>
  <c r="K15192" i="1"/>
  <c r="A15193" i="1"/>
  <c r="B15193" i="1"/>
  <c r="C15193" i="1"/>
  <c r="E15193" i="1"/>
  <c r="G15193" i="1"/>
  <c r="K15193" i="1"/>
  <c r="A15194" i="1"/>
  <c r="B15194" i="1"/>
  <c r="C15194" i="1"/>
  <c r="E15194" i="1"/>
  <c r="G15194" i="1"/>
  <c r="K15194" i="1"/>
  <c r="A15195" i="1"/>
  <c r="B15195" i="1"/>
  <c r="C15195" i="1"/>
  <c r="E15195" i="1"/>
  <c r="G15195" i="1"/>
  <c r="K15195" i="1"/>
  <c r="A15196" i="1"/>
  <c r="B15196" i="1"/>
  <c r="C15196" i="1"/>
  <c r="E15196" i="1"/>
  <c r="G15196" i="1"/>
  <c r="K15196" i="1"/>
  <c r="A15197" i="1"/>
  <c r="B15197" i="1"/>
  <c r="C15197" i="1"/>
  <c r="E15197" i="1"/>
  <c r="G15197" i="1"/>
  <c r="K15197" i="1"/>
  <c r="A15198" i="1"/>
  <c r="B15198" i="1"/>
  <c r="C15198" i="1"/>
  <c r="E15198" i="1"/>
  <c r="G15198" i="1"/>
  <c r="K15198" i="1"/>
  <c r="A15199" i="1"/>
  <c r="B15199" i="1"/>
  <c r="C15199" i="1"/>
  <c r="E15199" i="1"/>
  <c r="G15199" i="1"/>
  <c r="K15199" i="1"/>
  <c r="A15200" i="1"/>
  <c r="B15200" i="1"/>
  <c r="C15200" i="1"/>
  <c r="E15200" i="1"/>
  <c r="G15200" i="1"/>
  <c r="K15200" i="1"/>
  <c r="A15201" i="1"/>
  <c r="B15201" i="1"/>
  <c r="C15201" i="1"/>
  <c r="E15201" i="1"/>
  <c r="G15201" i="1"/>
  <c r="K15201" i="1"/>
  <c r="A15202" i="1"/>
  <c r="B15202" i="1"/>
  <c r="C15202" i="1"/>
  <c r="E15202" i="1"/>
  <c r="G15202" i="1"/>
  <c r="K15202" i="1"/>
  <c r="A15203" i="1"/>
  <c r="B15203" i="1"/>
  <c r="C15203" i="1"/>
  <c r="E15203" i="1"/>
  <c r="G15203" i="1"/>
  <c r="K15203" i="1"/>
  <c r="A15204" i="1"/>
  <c r="B15204" i="1"/>
  <c r="C15204" i="1"/>
  <c r="E15204" i="1"/>
  <c r="G15204" i="1"/>
  <c r="K15204" i="1"/>
  <c r="A15205" i="1"/>
  <c r="B15205" i="1"/>
  <c r="C15205" i="1"/>
  <c r="E15205" i="1"/>
  <c r="G15205" i="1"/>
  <c r="K15205" i="1"/>
  <c r="A15206" i="1"/>
  <c r="B15206" i="1"/>
  <c r="C15206" i="1"/>
  <c r="E15206" i="1"/>
  <c r="G15206" i="1"/>
  <c r="K15206" i="1"/>
  <c r="A15207" i="1"/>
  <c r="B15207" i="1"/>
  <c r="C15207" i="1"/>
  <c r="E15207" i="1"/>
  <c r="G15207" i="1"/>
  <c r="K15207" i="1"/>
  <c r="A15208" i="1"/>
  <c r="B15208" i="1"/>
  <c r="C15208" i="1"/>
  <c r="E15208" i="1"/>
  <c r="G15208" i="1"/>
  <c r="K15208" i="1"/>
  <c r="A15209" i="1"/>
  <c r="B15209" i="1"/>
  <c r="C15209" i="1"/>
  <c r="E15209" i="1"/>
  <c r="G15209" i="1"/>
  <c r="K15209" i="1"/>
  <c r="A15210" i="1"/>
  <c r="B15210" i="1"/>
  <c r="C15210" i="1"/>
  <c r="E15210" i="1"/>
  <c r="G15210" i="1"/>
  <c r="K15210" i="1"/>
  <c r="A15211" i="1"/>
  <c r="B15211" i="1"/>
  <c r="C15211" i="1"/>
  <c r="E15211" i="1"/>
  <c r="G15211" i="1"/>
  <c r="K15211" i="1"/>
  <c r="A15212" i="1"/>
  <c r="B15212" i="1"/>
  <c r="C15212" i="1"/>
  <c r="E15212" i="1"/>
  <c r="G15212" i="1"/>
  <c r="K15212" i="1"/>
  <c r="A15213" i="1"/>
  <c r="B15213" i="1"/>
  <c r="C15213" i="1"/>
  <c r="E15213" i="1"/>
  <c r="G15213" i="1"/>
  <c r="K15213" i="1"/>
  <c r="A15214" i="1"/>
  <c r="B15214" i="1"/>
  <c r="C15214" i="1"/>
  <c r="E15214" i="1"/>
  <c r="G15214" i="1"/>
  <c r="K15214" i="1"/>
  <c r="A15215" i="1"/>
  <c r="B15215" i="1"/>
  <c r="C15215" i="1"/>
  <c r="E15215" i="1"/>
  <c r="G15215" i="1"/>
  <c r="K15215" i="1"/>
  <c r="A15216" i="1"/>
  <c r="B15216" i="1"/>
  <c r="C15216" i="1"/>
  <c r="E15216" i="1"/>
  <c r="G15216" i="1"/>
  <c r="K15216" i="1"/>
  <c r="A15217" i="1"/>
  <c r="B15217" i="1"/>
  <c r="C15217" i="1"/>
  <c r="E15217" i="1"/>
  <c r="G15217" i="1"/>
  <c r="K15217" i="1"/>
  <c r="A15218" i="1"/>
  <c r="B15218" i="1"/>
  <c r="C15218" i="1"/>
  <c r="E15218" i="1"/>
  <c r="G15218" i="1"/>
  <c r="K15218" i="1"/>
  <c r="A15219" i="1"/>
  <c r="B15219" i="1"/>
  <c r="C15219" i="1"/>
  <c r="E15219" i="1"/>
  <c r="G15219" i="1"/>
  <c r="K15219" i="1"/>
  <c r="A15220" i="1"/>
  <c r="B15220" i="1"/>
  <c r="C15220" i="1"/>
  <c r="E15220" i="1"/>
  <c r="G15220" i="1"/>
  <c r="K15220" i="1"/>
  <c r="A15221" i="1"/>
  <c r="B15221" i="1"/>
  <c r="C15221" i="1"/>
  <c r="E15221" i="1"/>
  <c r="G15221" i="1"/>
  <c r="K15221" i="1"/>
  <c r="A15222" i="1"/>
  <c r="B15222" i="1"/>
  <c r="C15222" i="1"/>
  <c r="E15222" i="1"/>
  <c r="G15222" i="1"/>
  <c r="K15222" i="1"/>
  <c r="A15223" i="1"/>
  <c r="B15223" i="1"/>
  <c r="C15223" i="1"/>
  <c r="E15223" i="1"/>
  <c r="G15223" i="1"/>
  <c r="K15223" i="1"/>
  <c r="A15224" i="1"/>
  <c r="B15224" i="1"/>
  <c r="C15224" i="1"/>
  <c r="E15224" i="1"/>
  <c r="G15224" i="1"/>
  <c r="K15224" i="1"/>
  <c r="A15225" i="1"/>
  <c r="B15225" i="1"/>
  <c r="C15225" i="1"/>
  <c r="E15225" i="1"/>
  <c r="G15225" i="1"/>
  <c r="K15225" i="1"/>
  <c r="A15226" i="1"/>
  <c r="B15226" i="1"/>
  <c r="C15226" i="1"/>
  <c r="E15226" i="1"/>
  <c r="G15226" i="1"/>
  <c r="K15226" i="1"/>
  <c r="A15227" i="1"/>
  <c r="B15227" i="1"/>
  <c r="C15227" i="1"/>
  <c r="E15227" i="1"/>
  <c r="G15227" i="1"/>
  <c r="K15227" i="1"/>
  <c r="A15228" i="1"/>
  <c r="B15228" i="1"/>
  <c r="C15228" i="1"/>
  <c r="E15228" i="1"/>
  <c r="G15228" i="1"/>
  <c r="K15228" i="1"/>
  <c r="A15229" i="1"/>
  <c r="B15229" i="1"/>
  <c r="C15229" i="1"/>
  <c r="E15229" i="1"/>
  <c r="G15229" i="1"/>
  <c r="K15229" i="1"/>
  <c r="A15230" i="1"/>
  <c r="B15230" i="1"/>
  <c r="C15230" i="1"/>
  <c r="E15230" i="1"/>
  <c r="G15230" i="1"/>
  <c r="K15230" i="1"/>
  <c r="A15231" i="1"/>
  <c r="B15231" i="1"/>
  <c r="C15231" i="1"/>
  <c r="E15231" i="1"/>
  <c r="G15231" i="1"/>
  <c r="K15231" i="1"/>
  <c r="A15232" i="1"/>
  <c r="B15232" i="1"/>
  <c r="C15232" i="1"/>
  <c r="E15232" i="1"/>
  <c r="G15232" i="1"/>
  <c r="K15232" i="1"/>
  <c r="A15233" i="1"/>
  <c r="B15233" i="1"/>
  <c r="C15233" i="1"/>
  <c r="E15233" i="1"/>
  <c r="G15233" i="1"/>
  <c r="K15233" i="1"/>
  <c r="A15234" i="1"/>
  <c r="B15234" i="1"/>
  <c r="C15234" i="1"/>
  <c r="E15234" i="1"/>
  <c r="G15234" i="1"/>
  <c r="K15234" i="1"/>
  <c r="A15235" i="1"/>
  <c r="B15235" i="1"/>
  <c r="C15235" i="1"/>
  <c r="E15235" i="1"/>
  <c r="G15235" i="1"/>
  <c r="K15235" i="1"/>
  <c r="A15236" i="1"/>
  <c r="B15236" i="1"/>
  <c r="C15236" i="1"/>
  <c r="E15236" i="1"/>
  <c r="G15236" i="1"/>
  <c r="K15236" i="1"/>
  <c r="A15237" i="1"/>
  <c r="B15237" i="1"/>
  <c r="C15237" i="1"/>
  <c r="E15237" i="1"/>
  <c r="G15237" i="1"/>
  <c r="K15237" i="1"/>
  <c r="A15238" i="1"/>
  <c r="B15238" i="1"/>
  <c r="C15238" i="1"/>
  <c r="E15238" i="1"/>
  <c r="G15238" i="1"/>
  <c r="K15238" i="1"/>
  <c r="A15239" i="1"/>
  <c r="B15239" i="1"/>
  <c r="C15239" i="1"/>
  <c r="E15239" i="1"/>
  <c r="G15239" i="1"/>
  <c r="K15239" i="1"/>
  <c r="A15240" i="1"/>
  <c r="B15240" i="1"/>
  <c r="C15240" i="1"/>
  <c r="E15240" i="1"/>
  <c r="G15240" i="1"/>
  <c r="K15240" i="1"/>
  <c r="A15241" i="1"/>
  <c r="B15241" i="1"/>
  <c r="C15241" i="1"/>
  <c r="E15241" i="1"/>
  <c r="G15241" i="1"/>
  <c r="K15241" i="1"/>
  <c r="A15242" i="1"/>
  <c r="B15242" i="1"/>
  <c r="C15242" i="1"/>
  <c r="E15242" i="1"/>
  <c r="G15242" i="1"/>
  <c r="K15242" i="1"/>
  <c r="A15243" i="1"/>
  <c r="B15243" i="1"/>
  <c r="C15243" i="1"/>
  <c r="E15243" i="1"/>
  <c r="G15243" i="1"/>
  <c r="K15243" i="1"/>
  <c r="A15244" i="1"/>
  <c r="B15244" i="1"/>
  <c r="C15244" i="1"/>
  <c r="E15244" i="1"/>
  <c r="G15244" i="1"/>
  <c r="K15244" i="1"/>
  <c r="A15245" i="1"/>
  <c r="B15245" i="1"/>
  <c r="C15245" i="1"/>
  <c r="E15245" i="1"/>
  <c r="G15245" i="1"/>
  <c r="K15245" i="1"/>
  <c r="A15246" i="1"/>
  <c r="B15246" i="1"/>
  <c r="C15246" i="1"/>
  <c r="E15246" i="1"/>
  <c r="G15246" i="1"/>
  <c r="K15246" i="1"/>
  <c r="A15247" i="1"/>
  <c r="B15247" i="1"/>
  <c r="C15247" i="1"/>
  <c r="E15247" i="1"/>
  <c r="G15247" i="1"/>
  <c r="K15247" i="1"/>
  <c r="A15248" i="1"/>
  <c r="B15248" i="1"/>
  <c r="C15248" i="1"/>
  <c r="E15248" i="1"/>
  <c r="G15248" i="1"/>
  <c r="K15248" i="1"/>
  <c r="A15249" i="1"/>
  <c r="B15249" i="1"/>
  <c r="C15249" i="1"/>
  <c r="E15249" i="1"/>
  <c r="G15249" i="1"/>
  <c r="K15249" i="1"/>
  <c r="A15250" i="1"/>
  <c r="B15250" i="1"/>
  <c r="C15250" i="1"/>
  <c r="E15250" i="1"/>
  <c r="G15250" i="1"/>
  <c r="K15250" i="1"/>
  <c r="A15251" i="1"/>
  <c r="B15251" i="1"/>
  <c r="C15251" i="1"/>
  <c r="E15251" i="1"/>
  <c r="G15251" i="1"/>
  <c r="K15251" i="1"/>
  <c r="A15252" i="1"/>
  <c r="B15252" i="1"/>
  <c r="C15252" i="1"/>
  <c r="E15252" i="1"/>
  <c r="G15252" i="1"/>
  <c r="K15252" i="1"/>
  <c r="A15253" i="1"/>
  <c r="B15253" i="1"/>
  <c r="C15253" i="1"/>
  <c r="E15253" i="1"/>
  <c r="G15253" i="1"/>
  <c r="K15253" i="1"/>
  <c r="A15254" i="1"/>
  <c r="B15254" i="1"/>
  <c r="C15254" i="1"/>
  <c r="E15254" i="1"/>
  <c r="G15254" i="1"/>
  <c r="K15254" i="1"/>
  <c r="A15255" i="1"/>
  <c r="B15255" i="1"/>
  <c r="C15255" i="1"/>
  <c r="E15255" i="1"/>
  <c r="G15255" i="1"/>
  <c r="K15255" i="1"/>
  <c r="A15256" i="1"/>
  <c r="B15256" i="1"/>
  <c r="C15256" i="1"/>
  <c r="E15256" i="1"/>
  <c r="G15256" i="1"/>
  <c r="K15256" i="1"/>
  <c r="A15257" i="1"/>
  <c r="B15257" i="1"/>
  <c r="C15257" i="1"/>
  <c r="E15257" i="1"/>
  <c r="G15257" i="1"/>
  <c r="K15257" i="1"/>
  <c r="A15258" i="1"/>
  <c r="B15258" i="1"/>
  <c r="C15258" i="1"/>
  <c r="E15258" i="1"/>
  <c r="G15258" i="1"/>
  <c r="K15258" i="1"/>
  <c r="A15259" i="1"/>
  <c r="B15259" i="1"/>
  <c r="C15259" i="1"/>
  <c r="E15259" i="1"/>
  <c r="G15259" i="1"/>
  <c r="K15259" i="1"/>
  <c r="A15260" i="1"/>
  <c r="B15260" i="1"/>
  <c r="C15260" i="1"/>
  <c r="E15260" i="1"/>
  <c r="G15260" i="1"/>
  <c r="K15260" i="1"/>
  <c r="A15261" i="1"/>
  <c r="B15261" i="1"/>
  <c r="C15261" i="1"/>
  <c r="E15261" i="1"/>
  <c r="G15261" i="1"/>
  <c r="K15261" i="1"/>
  <c r="A15262" i="1"/>
  <c r="B15262" i="1"/>
  <c r="C15262" i="1"/>
  <c r="E15262" i="1"/>
  <c r="G15262" i="1"/>
  <c r="K15262" i="1"/>
  <c r="A15263" i="1"/>
  <c r="B15263" i="1"/>
  <c r="C15263" i="1"/>
  <c r="E15263" i="1"/>
  <c r="G15263" i="1"/>
  <c r="K15263" i="1"/>
  <c r="A15264" i="1"/>
  <c r="B15264" i="1"/>
  <c r="C15264" i="1"/>
  <c r="E15264" i="1"/>
  <c r="G15264" i="1"/>
  <c r="K15264" i="1"/>
  <c r="A15265" i="1"/>
  <c r="B15265" i="1"/>
  <c r="C15265" i="1"/>
  <c r="E15265" i="1"/>
  <c r="G15265" i="1"/>
  <c r="K15265" i="1"/>
  <c r="A15266" i="1"/>
  <c r="B15266" i="1"/>
  <c r="C15266" i="1"/>
  <c r="E15266" i="1"/>
  <c r="G15266" i="1"/>
  <c r="K15266" i="1"/>
  <c r="A15267" i="1"/>
  <c r="B15267" i="1"/>
  <c r="C15267" i="1"/>
  <c r="E15267" i="1"/>
  <c r="G15267" i="1"/>
  <c r="K15267" i="1"/>
  <c r="A15268" i="1"/>
  <c r="B15268" i="1"/>
  <c r="C15268" i="1"/>
  <c r="E15268" i="1"/>
  <c r="G15268" i="1"/>
  <c r="K15268" i="1"/>
  <c r="A15269" i="1"/>
  <c r="B15269" i="1"/>
  <c r="C15269" i="1"/>
  <c r="E15269" i="1"/>
  <c r="G15269" i="1"/>
  <c r="K15269" i="1"/>
  <c r="A15270" i="1"/>
  <c r="B15270" i="1"/>
  <c r="C15270" i="1"/>
  <c r="E15270" i="1"/>
  <c r="G15270" i="1"/>
  <c r="K15270" i="1"/>
  <c r="A15271" i="1"/>
  <c r="B15271" i="1"/>
  <c r="C15271" i="1"/>
  <c r="E15271" i="1"/>
  <c r="G15271" i="1"/>
  <c r="K15271" i="1"/>
  <c r="A15272" i="1"/>
  <c r="B15272" i="1"/>
  <c r="C15272" i="1"/>
  <c r="E15272" i="1"/>
  <c r="G15272" i="1"/>
  <c r="K15272" i="1"/>
  <c r="A15273" i="1"/>
  <c r="B15273" i="1"/>
  <c r="C15273" i="1"/>
  <c r="E15273" i="1"/>
  <c r="G15273" i="1"/>
  <c r="K15273" i="1"/>
  <c r="A15274" i="1"/>
  <c r="B15274" i="1"/>
  <c r="C15274" i="1"/>
  <c r="E15274" i="1"/>
  <c r="G15274" i="1"/>
  <c r="K15274" i="1"/>
  <c r="A15275" i="1"/>
  <c r="B15275" i="1"/>
  <c r="C15275" i="1"/>
  <c r="E15275" i="1"/>
  <c r="G15275" i="1"/>
  <c r="K15275" i="1"/>
  <c r="A15276" i="1"/>
  <c r="B15276" i="1"/>
  <c r="C15276" i="1"/>
  <c r="E15276" i="1"/>
  <c r="G15276" i="1"/>
  <c r="K15276" i="1"/>
  <c r="A15277" i="1"/>
  <c r="B15277" i="1"/>
  <c r="C15277" i="1"/>
  <c r="E15277" i="1"/>
  <c r="G15277" i="1"/>
  <c r="K15277" i="1"/>
  <c r="A15278" i="1"/>
  <c r="B15278" i="1"/>
  <c r="C15278" i="1"/>
  <c r="E15278" i="1"/>
  <c r="G15278" i="1"/>
  <c r="K15278" i="1"/>
  <c r="A15279" i="1"/>
  <c r="B15279" i="1"/>
  <c r="C15279" i="1"/>
  <c r="E15279" i="1"/>
  <c r="G15279" i="1"/>
  <c r="K15279" i="1"/>
  <c r="A15280" i="1"/>
  <c r="B15280" i="1"/>
  <c r="C15280" i="1"/>
  <c r="E15280" i="1"/>
  <c r="G15280" i="1"/>
  <c r="K15280" i="1"/>
  <c r="A15281" i="1"/>
  <c r="B15281" i="1"/>
  <c r="C15281" i="1"/>
  <c r="E15281" i="1"/>
  <c r="G15281" i="1"/>
  <c r="K15281" i="1"/>
  <c r="A15282" i="1"/>
  <c r="B15282" i="1"/>
  <c r="C15282" i="1"/>
  <c r="E15282" i="1"/>
  <c r="G15282" i="1"/>
  <c r="K15282" i="1"/>
  <c r="A15283" i="1"/>
  <c r="B15283" i="1"/>
  <c r="C15283" i="1"/>
  <c r="E15283" i="1"/>
  <c r="G15283" i="1"/>
  <c r="K15283" i="1"/>
  <c r="A15284" i="1"/>
  <c r="B15284" i="1"/>
  <c r="C15284" i="1"/>
  <c r="E15284" i="1"/>
  <c r="G15284" i="1"/>
  <c r="K15284" i="1"/>
  <c r="A15285" i="1"/>
  <c r="B15285" i="1"/>
  <c r="C15285" i="1"/>
  <c r="E15285" i="1"/>
  <c r="G15285" i="1"/>
  <c r="K15285" i="1"/>
  <c r="A15286" i="1"/>
  <c r="B15286" i="1"/>
  <c r="C15286" i="1"/>
  <c r="E15286" i="1"/>
  <c r="G15286" i="1"/>
  <c r="K15286" i="1"/>
  <c r="A15287" i="1"/>
  <c r="B15287" i="1"/>
  <c r="C15287" i="1"/>
  <c r="E15287" i="1"/>
  <c r="G15287" i="1"/>
  <c r="K15287" i="1"/>
  <c r="A15288" i="1"/>
  <c r="B15288" i="1"/>
  <c r="C15288" i="1"/>
  <c r="E15288" i="1"/>
  <c r="G15288" i="1"/>
  <c r="K15288" i="1"/>
  <c r="A15289" i="1"/>
  <c r="B15289" i="1"/>
  <c r="C15289" i="1"/>
  <c r="E15289" i="1"/>
  <c r="G15289" i="1"/>
  <c r="K15289" i="1"/>
  <c r="A15290" i="1"/>
  <c r="B15290" i="1"/>
  <c r="C15290" i="1"/>
  <c r="E15290" i="1"/>
  <c r="G15290" i="1"/>
  <c r="K15290" i="1"/>
  <c r="A15291" i="1"/>
  <c r="B15291" i="1"/>
  <c r="C15291" i="1"/>
  <c r="E15291" i="1"/>
  <c r="G15291" i="1"/>
  <c r="K15291" i="1"/>
  <c r="A15292" i="1"/>
  <c r="B15292" i="1"/>
  <c r="C15292" i="1"/>
  <c r="E15292" i="1"/>
  <c r="G15292" i="1"/>
  <c r="K15292" i="1"/>
  <c r="A15293" i="1"/>
  <c r="B15293" i="1"/>
  <c r="C15293" i="1"/>
  <c r="E15293" i="1"/>
  <c r="G15293" i="1"/>
  <c r="K15293" i="1"/>
  <c r="A15294" i="1"/>
  <c r="B15294" i="1"/>
  <c r="C15294" i="1"/>
  <c r="E15294" i="1"/>
  <c r="G15294" i="1"/>
  <c r="K15294" i="1"/>
  <c r="A15295" i="1"/>
  <c r="B15295" i="1"/>
  <c r="C15295" i="1"/>
  <c r="E15295" i="1"/>
  <c r="G15295" i="1"/>
  <c r="K15295" i="1"/>
  <c r="A15296" i="1"/>
  <c r="B15296" i="1"/>
  <c r="C15296" i="1"/>
  <c r="E15296" i="1"/>
  <c r="G15296" i="1"/>
  <c r="K15296" i="1"/>
  <c r="A15297" i="1"/>
  <c r="B15297" i="1"/>
  <c r="C15297" i="1"/>
  <c r="E15297" i="1"/>
  <c r="G15297" i="1"/>
  <c r="K15297" i="1"/>
  <c r="A15298" i="1"/>
  <c r="B15298" i="1"/>
  <c r="C15298" i="1"/>
  <c r="E15298" i="1"/>
  <c r="G15298" i="1"/>
  <c r="K15298" i="1"/>
  <c r="A15299" i="1"/>
  <c r="B15299" i="1"/>
  <c r="C15299" i="1"/>
  <c r="E15299" i="1"/>
  <c r="G15299" i="1"/>
  <c r="K15299" i="1"/>
  <c r="A15300" i="1"/>
  <c r="B15300" i="1"/>
  <c r="C15300" i="1"/>
  <c r="E15300" i="1"/>
  <c r="G15300" i="1"/>
  <c r="K15300" i="1"/>
  <c r="A15301" i="1"/>
  <c r="B15301" i="1"/>
  <c r="C15301" i="1"/>
  <c r="E15301" i="1"/>
  <c r="G15301" i="1"/>
  <c r="K15301" i="1"/>
  <c r="A15302" i="1"/>
  <c r="B15302" i="1"/>
  <c r="C15302" i="1"/>
  <c r="E15302" i="1"/>
  <c r="G15302" i="1"/>
  <c r="K15302" i="1"/>
  <c r="A15303" i="1"/>
  <c r="B15303" i="1"/>
  <c r="C15303" i="1"/>
  <c r="E15303" i="1"/>
  <c r="G15303" i="1"/>
  <c r="K15303" i="1"/>
  <c r="A15304" i="1"/>
  <c r="B15304" i="1"/>
  <c r="C15304" i="1"/>
  <c r="E15304" i="1"/>
  <c r="G15304" i="1"/>
  <c r="K15304" i="1"/>
  <c r="A15305" i="1"/>
  <c r="B15305" i="1"/>
  <c r="C15305" i="1"/>
  <c r="E15305" i="1"/>
  <c r="G15305" i="1"/>
  <c r="K15305" i="1"/>
  <c r="A15306" i="1"/>
  <c r="B15306" i="1"/>
  <c r="C15306" i="1"/>
  <c r="E15306" i="1"/>
  <c r="G15306" i="1"/>
  <c r="K15306" i="1"/>
  <c r="A15307" i="1"/>
  <c r="B15307" i="1"/>
  <c r="C15307" i="1"/>
  <c r="E15307" i="1"/>
  <c r="G15307" i="1"/>
  <c r="K15307" i="1"/>
  <c r="A15308" i="1"/>
  <c r="B15308" i="1"/>
  <c r="C15308" i="1"/>
  <c r="E15308" i="1"/>
  <c r="G15308" i="1"/>
  <c r="K15308" i="1"/>
  <c r="A15309" i="1"/>
  <c r="B15309" i="1"/>
  <c r="C15309" i="1"/>
  <c r="E15309" i="1"/>
  <c r="G15309" i="1"/>
  <c r="K15309" i="1"/>
  <c r="A15310" i="1"/>
  <c r="B15310" i="1"/>
  <c r="C15310" i="1"/>
  <c r="E15310" i="1"/>
  <c r="G15310" i="1"/>
  <c r="K15310" i="1"/>
  <c r="A15311" i="1"/>
  <c r="B15311" i="1"/>
  <c r="C15311" i="1"/>
  <c r="E15311" i="1"/>
  <c r="G15311" i="1"/>
  <c r="K15311" i="1"/>
  <c r="A15312" i="1"/>
  <c r="B15312" i="1"/>
  <c r="C15312" i="1"/>
  <c r="E15312" i="1"/>
  <c r="G15312" i="1"/>
  <c r="K15312" i="1"/>
  <c r="A15313" i="1"/>
  <c r="B15313" i="1"/>
  <c r="C15313" i="1"/>
  <c r="E15313" i="1"/>
  <c r="G15313" i="1"/>
  <c r="K15313" i="1"/>
  <c r="A15314" i="1"/>
  <c r="B15314" i="1"/>
  <c r="C15314" i="1"/>
  <c r="E15314" i="1"/>
  <c r="G15314" i="1"/>
  <c r="K15314" i="1"/>
  <c r="A15315" i="1"/>
  <c r="B15315" i="1"/>
  <c r="C15315" i="1"/>
  <c r="E15315" i="1"/>
  <c r="G15315" i="1"/>
  <c r="K15315" i="1"/>
  <c r="A15316" i="1"/>
  <c r="B15316" i="1"/>
  <c r="C15316" i="1"/>
  <c r="E15316" i="1"/>
  <c r="G15316" i="1"/>
  <c r="K15316" i="1"/>
  <c r="A15317" i="1"/>
  <c r="B15317" i="1"/>
  <c r="C15317" i="1"/>
  <c r="E15317" i="1"/>
  <c r="G15317" i="1"/>
  <c r="K15317" i="1"/>
  <c r="A15318" i="1"/>
  <c r="B15318" i="1"/>
  <c r="C15318" i="1"/>
  <c r="E15318" i="1"/>
  <c r="G15318" i="1"/>
  <c r="K15318" i="1"/>
  <c r="A15319" i="1"/>
  <c r="B15319" i="1"/>
  <c r="C15319" i="1"/>
  <c r="E15319" i="1"/>
  <c r="G15319" i="1"/>
  <c r="K15319" i="1"/>
  <c r="A15320" i="1"/>
  <c r="B15320" i="1"/>
  <c r="C15320" i="1"/>
  <c r="E15320" i="1"/>
  <c r="G15320" i="1"/>
  <c r="K15320" i="1"/>
  <c r="A15321" i="1"/>
  <c r="B15321" i="1"/>
  <c r="C15321" i="1"/>
  <c r="E15321" i="1"/>
  <c r="G15321" i="1"/>
  <c r="K15321" i="1"/>
  <c r="A15322" i="1"/>
  <c r="B15322" i="1"/>
  <c r="C15322" i="1"/>
  <c r="E15322" i="1"/>
  <c r="G15322" i="1"/>
  <c r="K15322" i="1"/>
  <c r="A15323" i="1"/>
  <c r="B15323" i="1"/>
  <c r="C15323" i="1"/>
  <c r="E15323" i="1"/>
  <c r="G15323" i="1"/>
  <c r="K15323" i="1"/>
  <c r="A15324" i="1"/>
  <c r="B15324" i="1"/>
  <c r="C15324" i="1"/>
  <c r="E15324" i="1"/>
  <c r="G15324" i="1"/>
  <c r="K15324" i="1"/>
  <c r="A15325" i="1"/>
  <c r="B15325" i="1"/>
  <c r="C15325" i="1"/>
  <c r="E15325" i="1"/>
  <c r="G15325" i="1"/>
  <c r="K15325" i="1"/>
  <c r="A15326" i="1"/>
  <c r="B15326" i="1"/>
  <c r="C15326" i="1"/>
  <c r="E15326" i="1"/>
  <c r="G15326" i="1"/>
  <c r="K15326" i="1"/>
  <c r="A15327" i="1"/>
  <c r="B15327" i="1"/>
  <c r="C15327" i="1"/>
  <c r="E15327" i="1"/>
  <c r="G15327" i="1"/>
  <c r="K15327" i="1"/>
  <c r="A15328" i="1"/>
  <c r="B15328" i="1"/>
  <c r="C15328" i="1"/>
  <c r="E15328" i="1"/>
  <c r="G15328" i="1"/>
  <c r="K15328" i="1"/>
  <c r="A15329" i="1"/>
  <c r="B15329" i="1"/>
  <c r="C15329" i="1"/>
  <c r="E15329" i="1"/>
  <c r="G15329" i="1"/>
  <c r="K15329" i="1"/>
  <c r="A15330" i="1"/>
  <c r="B15330" i="1"/>
  <c r="C15330" i="1"/>
  <c r="E15330" i="1"/>
  <c r="G15330" i="1"/>
  <c r="K15330" i="1"/>
  <c r="A15331" i="1"/>
  <c r="B15331" i="1"/>
  <c r="C15331" i="1"/>
  <c r="E15331" i="1"/>
  <c r="G15331" i="1"/>
  <c r="K15331" i="1"/>
  <c r="A15332" i="1"/>
  <c r="B15332" i="1"/>
  <c r="C15332" i="1"/>
  <c r="E15332" i="1"/>
  <c r="G15332" i="1"/>
  <c r="K15332" i="1"/>
  <c r="A15333" i="1"/>
  <c r="B15333" i="1"/>
  <c r="C15333" i="1"/>
  <c r="E15333" i="1"/>
  <c r="G15333" i="1"/>
  <c r="K15333" i="1"/>
  <c r="A15334" i="1"/>
  <c r="B15334" i="1"/>
  <c r="C15334" i="1"/>
  <c r="E15334" i="1"/>
  <c r="G15334" i="1"/>
  <c r="K15334" i="1"/>
  <c r="A15335" i="1"/>
  <c r="B15335" i="1"/>
  <c r="C15335" i="1"/>
  <c r="E15335" i="1"/>
  <c r="G15335" i="1"/>
  <c r="K15335" i="1"/>
  <c r="A15336" i="1"/>
  <c r="B15336" i="1"/>
  <c r="C15336" i="1"/>
  <c r="E15336" i="1"/>
  <c r="G15336" i="1"/>
  <c r="K15336" i="1"/>
  <c r="A15337" i="1"/>
  <c r="B15337" i="1"/>
  <c r="C15337" i="1"/>
  <c r="E15337" i="1"/>
  <c r="G15337" i="1"/>
  <c r="K15337" i="1"/>
  <c r="A15338" i="1"/>
  <c r="B15338" i="1"/>
  <c r="C15338" i="1"/>
  <c r="E15338" i="1"/>
  <c r="G15338" i="1"/>
  <c r="K15338" i="1"/>
  <c r="A15339" i="1"/>
  <c r="B15339" i="1"/>
  <c r="C15339" i="1"/>
  <c r="E15339" i="1"/>
  <c r="G15339" i="1"/>
  <c r="K15339" i="1"/>
  <c r="A15340" i="1"/>
  <c r="B15340" i="1"/>
  <c r="C15340" i="1"/>
  <c r="E15340" i="1"/>
  <c r="G15340" i="1"/>
  <c r="K15340" i="1"/>
  <c r="A15341" i="1"/>
  <c r="B15341" i="1"/>
  <c r="C15341" i="1"/>
  <c r="E15341" i="1"/>
  <c r="G15341" i="1"/>
  <c r="K15341" i="1"/>
  <c r="A15342" i="1"/>
  <c r="B15342" i="1"/>
  <c r="C15342" i="1"/>
  <c r="E15342" i="1"/>
  <c r="G15342" i="1"/>
  <c r="K15342" i="1"/>
  <c r="A15343" i="1"/>
  <c r="B15343" i="1"/>
  <c r="C15343" i="1"/>
  <c r="E15343" i="1"/>
  <c r="G15343" i="1"/>
  <c r="K15343" i="1"/>
  <c r="A15344" i="1"/>
  <c r="B15344" i="1"/>
  <c r="C15344" i="1"/>
  <c r="E15344" i="1"/>
  <c r="G15344" i="1"/>
  <c r="K15344" i="1"/>
  <c r="A15345" i="1"/>
  <c r="B15345" i="1"/>
  <c r="C15345" i="1"/>
  <c r="E15345" i="1"/>
  <c r="G15345" i="1"/>
  <c r="K15345" i="1"/>
  <c r="A15346" i="1"/>
  <c r="B15346" i="1"/>
  <c r="C15346" i="1"/>
  <c r="E15346" i="1"/>
  <c r="G15346" i="1"/>
  <c r="K15346" i="1"/>
  <c r="A15347" i="1"/>
  <c r="B15347" i="1"/>
  <c r="C15347" i="1"/>
  <c r="E15347" i="1"/>
  <c r="G15347" i="1"/>
  <c r="K15347" i="1"/>
  <c r="A15348" i="1"/>
  <c r="B15348" i="1"/>
  <c r="C15348" i="1"/>
  <c r="E15348" i="1"/>
  <c r="G15348" i="1"/>
  <c r="K15348" i="1"/>
  <c r="A15349" i="1"/>
  <c r="B15349" i="1"/>
  <c r="C15349" i="1"/>
  <c r="E15349" i="1"/>
  <c r="G15349" i="1"/>
  <c r="K15349" i="1"/>
  <c r="A15350" i="1"/>
  <c r="B15350" i="1"/>
  <c r="C15350" i="1"/>
  <c r="E15350" i="1"/>
  <c r="G15350" i="1"/>
  <c r="K15350" i="1"/>
  <c r="A15351" i="1"/>
  <c r="B15351" i="1"/>
  <c r="C15351" i="1"/>
  <c r="E15351" i="1"/>
  <c r="G15351" i="1"/>
  <c r="K15351" i="1"/>
  <c r="A15352" i="1"/>
  <c r="B15352" i="1"/>
  <c r="C15352" i="1"/>
  <c r="E15352" i="1"/>
  <c r="G15352" i="1"/>
  <c r="K15352" i="1"/>
  <c r="A15353" i="1"/>
  <c r="B15353" i="1"/>
  <c r="C15353" i="1"/>
  <c r="E15353" i="1"/>
  <c r="G15353" i="1"/>
  <c r="K15353" i="1"/>
  <c r="A15354" i="1"/>
  <c r="B15354" i="1"/>
  <c r="C15354" i="1"/>
  <c r="E15354" i="1"/>
  <c r="G15354" i="1"/>
  <c r="K15354" i="1"/>
  <c r="A15355" i="1"/>
  <c r="B15355" i="1"/>
  <c r="C15355" i="1"/>
  <c r="E15355" i="1"/>
  <c r="G15355" i="1"/>
  <c r="K15355" i="1"/>
  <c r="A15356" i="1"/>
  <c r="B15356" i="1"/>
  <c r="C15356" i="1"/>
  <c r="E15356" i="1"/>
  <c r="G15356" i="1"/>
  <c r="K15356" i="1"/>
  <c r="A15357" i="1"/>
  <c r="B15357" i="1"/>
  <c r="C15357" i="1"/>
  <c r="E15357" i="1"/>
  <c r="G15357" i="1"/>
  <c r="K15357" i="1"/>
  <c r="A15358" i="1"/>
  <c r="B15358" i="1"/>
  <c r="C15358" i="1"/>
  <c r="E15358" i="1"/>
  <c r="G15358" i="1"/>
  <c r="K15358" i="1"/>
  <c r="A15359" i="1"/>
  <c r="B15359" i="1"/>
  <c r="C15359" i="1"/>
  <c r="E15359" i="1"/>
  <c r="G15359" i="1"/>
  <c r="K15359" i="1"/>
  <c r="A15360" i="1"/>
  <c r="B15360" i="1"/>
  <c r="C15360" i="1"/>
  <c r="E15360" i="1"/>
  <c r="G15360" i="1"/>
  <c r="K15360" i="1"/>
  <c r="A15361" i="1"/>
  <c r="B15361" i="1"/>
  <c r="C15361" i="1"/>
  <c r="E15361" i="1"/>
  <c r="G15361" i="1"/>
  <c r="K15361" i="1"/>
  <c r="A15362" i="1"/>
  <c r="B15362" i="1"/>
  <c r="C15362" i="1"/>
  <c r="E15362" i="1"/>
  <c r="G15362" i="1"/>
  <c r="K15362" i="1"/>
  <c r="A15363" i="1"/>
  <c r="B15363" i="1"/>
  <c r="C15363" i="1"/>
  <c r="E15363" i="1"/>
  <c r="G15363" i="1"/>
  <c r="K15363" i="1"/>
  <c r="A15364" i="1"/>
  <c r="B15364" i="1"/>
  <c r="C15364" i="1"/>
  <c r="E15364" i="1"/>
  <c r="G15364" i="1"/>
  <c r="K15364" i="1"/>
  <c r="A15365" i="1"/>
  <c r="B15365" i="1"/>
  <c r="C15365" i="1"/>
  <c r="E15365" i="1"/>
  <c r="G15365" i="1"/>
  <c r="K15365" i="1"/>
  <c r="A15366" i="1"/>
  <c r="B15366" i="1"/>
  <c r="C15366" i="1"/>
  <c r="E15366" i="1"/>
  <c r="G15366" i="1"/>
  <c r="K15366" i="1"/>
  <c r="A15367" i="1"/>
  <c r="B15367" i="1"/>
  <c r="C15367" i="1"/>
  <c r="E15367" i="1"/>
  <c r="G15367" i="1"/>
  <c r="K15367" i="1"/>
  <c r="A15368" i="1"/>
  <c r="B15368" i="1"/>
  <c r="C15368" i="1"/>
  <c r="E15368" i="1"/>
  <c r="G15368" i="1"/>
  <c r="K15368" i="1"/>
  <c r="A15369" i="1"/>
  <c r="B15369" i="1"/>
  <c r="C15369" i="1"/>
  <c r="E15369" i="1"/>
  <c r="G15369" i="1"/>
  <c r="K15369" i="1"/>
  <c r="A15370" i="1"/>
  <c r="B15370" i="1"/>
  <c r="C15370" i="1"/>
  <c r="E15370" i="1"/>
  <c r="G15370" i="1"/>
  <c r="K15370" i="1"/>
  <c r="A15371" i="1"/>
  <c r="B15371" i="1"/>
  <c r="C15371" i="1"/>
  <c r="E15371" i="1"/>
  <c r="G15371" i="1"/>
  <c r="K15371" i="1"/>
  <c r="A15372" i="1"/>
  <c r="B15372" i="1"/>
  <c r="C15372" i="1"/>
  <c r="E15372" i="1"/>
  <c r="G15372" i="1"/>
  <c r="K15372" i="1"/>
  <c r="A15373" i="1"/>
  <c r="B15373" i="1"/>
  <c r="C15373" i="1"/>
  <c r="E15373" i="1"/>
  <c r="G15373" i="1"/>
  <c r="K15373" i="1"/>
  <c r="A15374" i="1"/>
  <c r="B15374" i="1"/>
  <c r="C15374" i="1"/>
  <c r="E15374" i="1"/>
  <c r="G15374" i="1"/>
  <c r="K15374" i="1"/>
  <c r="A15375" i="1"/>
  <c r="B15375" i="1"/>
  <c r="C15375" i="1"/>
  <c r="E15375" i="1"/>
  <c r="G15375" i="1"/>
  <c r="K15375" i="1"/>
  <c r="A15376" i="1"/>
  <c r="B15376" i="1"/>
  <c r="C15376" i="1"/>
  <c r="E15376" i="1"/>
  <c r="G15376" i="1"/>
  <c r="K15376" i="1"/>
  <c r="A15377" i="1"/>
  <c r="B15377" i="1"/>
  <c r="C15377" i="1"/>
  <c r="E15377" i="1"/>
  <c r="G15377" i="1"/>
  <c r="K15377" i="1"/>
  <c r="A15378" i="1"/>
  <c r="B15378" i="1"/>
  <c r="C15378" i="1"/>
  <c r="E15378" i="1"/>
  <c r="G15378" i="1"/>
  <c r="K15378" i="1"/>
  <c r="A15379" i="1"/>
  <c r="B15379" i="1"/>
  <c r="C15379" i="1"/>
  <c r="E15379" i="1"/>
  <c r="G15379" i="1"/>
  <c r="K15379" i="1"/>
  <c r="A15380" i="1"/>
  <c r="B15380" i="1"/>
  <c r="C15380" i="1"/>
  <c r="E15380" i="1"/>
  <c r="G15380" i="1"/>
  <c r="K15380" i="1"/>
  <c r="A15381" i="1"/>
  <c r="B15381" i="1"/>
  <c r="C15381" i="1"/>
  <c r="E15381" i="1"/>
  <c r="G15381" i="1"/>
  <c r="K15381" i="1"/>
  <c r="A15382" i="1"/>
  <c r="B15382" i="1"/>
  <c r="C15382" i="1"/>
  <c r="E15382" i="1"/>
  <c r="G15382" i="1"/>
  <c r="K15382" i="1"/>
  <c r="A15383" i="1"/>
  <c r="B15383" i="1"/>
  <c r="C15383" i="1"/>
  <c r="E15383" i="1"/>
  <c r="G15383" i="1"/>
  <c r="K15383" i="1"/>
  <c r="A15384" i="1"/>
  <c r="B15384" i="1"/>
  <c r="C15384" i="1"/>
  <c r="E15384" i="1"/>
  <c r="G15384" i="1"/>
  <c r="K15384" i="1"/>
  <c r="A15385" i="1"/>
  <c r="B15385" i="1"/>
  <c r="C15385" i="1"/>
  <c r="E15385" i="1"/>
  <c r="G15385" i="1"/>
  <c r="K15385" i="1"/>
  <c r="A15386" i="1"/>
  <c r="B15386" i="1"/>
  <c r="C15386" i="1"/>
  <c r="E15386" i="1"/>
  <c r="G15386" i="1"/>
  <c r="K15386" i="1"/>
  <c r="A15387" i="1"/>
  <c r="B15387" i="1"/>
  <c r="C15387" i="1"/>
  <c r="E15387" i="1"/>
  <c r="G15387" i="1"/>
  <c r="K15387" i="1"/>
  <c r="A15388" i="1"/>
  <c r="B15388" i="1"/>
  <c r="C15388" i="1"/>
  <c r="E15388" i="1"/>
  <c r="G15388" i="1"/>
  <c r="K15388" i="1"/>
  <c r="A15389" i="1"/>
  <c r="B15389" i="1"/>
  <c r="C15389" i="1"/>
  <c r="E15389" i="1"/>
  <c r="G15389" i="1"/>
  <c r="K15389" i="1"/>
  <c r="A15390" i="1"/>
  <c r="B15390" i="1"/>
  <c r="C15390" i="1"/>
  <c r="E15390" i="1"/>
  <c r="G15390" i="1"/>
  <c r="K15390" i="1"/>
  <c r="A15391" i="1"/>
  <c r="B15391" i="1"/>
  <c r="C15391" i="1"/>
  <c r="E15391" i="1"/>
  <c r="G15391" i="1"/>
  <c r="K15391" i="1"/>
  <c r="A15392" i="1"/>
  <c r="B15392" i="1"/>
  <c r="C15392" i="1"/>
  <c r="E15392" i="1"/>
  <c r="G15392" i="1"/>
  <c r="K15392" i="1"/>
  <c r="A15393" i="1"/>
  <c r="B15393" i="1"/>
  <c r="C15393" i="1"/>
  <c r="E15393" i="1"/>
  <c r="G15393" i="1"/>
  <c r="K15393" i="1"/>
  <c r="A15394" i="1"/>
  <c r="B15394" i="1"/>
  <c r="C15394" i="1"/>
  <c r="E15394" i="1"/>
  <c r="G15394" i="1"/>
  <c r="K15394" i="1"/>
  <c r="A15395" i="1"/>
  <c r="B15395" i="1"/>
  <c r="C15395" i="1"/>
  <c r="E15395" i="1"/>
  <c r="G15395" i="1"/>
  <c r="K15395" i="1"/>
  <c r="A15396" i="1"/>
  <c r="B15396" i="1"/>
  <c r="C15396" i="1"/>
  <c r="E15396" i="1"/>
  <c r="G15396" i="1"/>
  <c r="K15396" i="1"/>
  <c r="A15397" i="1"/>
  <c r="B15397" i="1"/>
  <c r="C15397" i="1"/>
  <c r="E15397" i="1"/>
  <c r="G15397" i="1"/>
  <c r="K15397" i="1"/>
  <c r="A15398" i="1"/>
  <c r="B15398" i="1"/>
  <c r="C15398" i="1"/>
  <c r="E15398" i="1"/>
  <c r="G15398" i="1"/>
  <c r="K15398" i="1"/>
  <c r="A15399" i="1"/>
  <c r="B15399" i="1"/>
  <c r="C15399" i="1"/>
  <c r="E15399" i="1"/>
  <c r="G15399" i="1"/>
  <c r="K15399" i="1"/>
  <c r="A15400" i="1"/>
  <c r="B15400" i="1"/>
  <c r="C15400" i="1"/>
  <c r="E15400" i="1"/>
  <c r="G15400" i="1"/>
  <c r="K15400" i="1"/>
  <c r="A15401" i="1"/>
  <c r="B15401" i="1"/>
  <c r="C15401" i="1"/>
  <c r="E15401" i="1"/>
  <c r="G15401" i="1"/>
  <c r="K15401" i="1"/>
  <c r="A15402" i="1"/>
  <c r="B15402" i="1"/>
  <c r="C15402" i="1"/>
  <c r="E15402" i="1"/>
  <c r="G15402" i="1"/>
  <c r="K15402" i="1"/>
  <c r="A15403" i="1"/>
  <c r="B15403" i="1"/>
  <c r="C15403" i="1"/>
  <c r="E15403" i="1"/>
  <c r="G15403" i="1"/>
  <c r="K15403" i="1"/>
  <c r="A15404" i="1"/>
  <c r="B15404" i="1"/>
  <c r="C15404" i="1"/>
  <c r="E15404" i="1"/>
  <c r="G15404" i="1"/>
  <c r="K15404" i="1"/>
  <c r="A15405" i="1"/>
  <c r="B15405" i="1"/>
  <c r="C15405" i="1"/>
  <c r="E15405" i="1"/>
  <c r="G15405" i="1"/>
  <c r="K15405" i="1"/>
  <c r="A15406" i="1"/>
  <c r="B15406" i="1"/>
  <c r="C15406" i="1"/>
  <c r="E15406" i="1"/>
  <c r="G15406" i="1"/>
  <c r="K15406" i="1"/>
  <c r="A15407" i="1"/>
  <c r="B15407" i="1"/>
  <c r="C15407" i="1"/>
  <c r="E15407" i="1"/>
  <c r="G15407" i="1"/>
  <c r="K15407" i="1"/>
  <c r="A15408" i="1"/>
  <c r="B15408" i="1"/>
  <c r="C15408" i="1"/>
  <c r="E15408" i="1"/>
  <c r="G15408" i="1"/>
  <c r="K15408" i="1"/>
  <c r="A15409" i="1"/>
  <c r="B15409" i="1"/>
  <c r="C15409" i="1"/>
  <c r="E15409" i="1"/>
  <c r="G15409" i="1"/>
  <c r="K15409" i="1"/>
  <c r="A15410" i="1"/>
  <c r="B15410" i="1"/>
  <c r="C15410" i="1"/>
  <c r="E15410" i="1"/>
  <c r="G15410" i="1"/>
  <c r="K15410" i="1"/>
  <c r="A15411" i="1"/>
  <c r="B15411" i="1"/>
  <c r="C15411" i="1"/>
  <c r="E15411" i="1"/>
  <c r="G15411" i="1"/>
  <c r="K15411" i="1"/>
  <c r="A15412" i="1"/>
  <c r="B15412" i="1"/>
  <c r="C15412" i="1"/>
  <c r="E15412" i="1"/>
  <c r="G15412" i="1"/>
  <c r="K15412" i="1"/>
  <c r="A15413" i="1"/>
  <c r="B15413" i="1"/>
  <c r="C15413" i="1"/>
  <c r="E15413" i="1"/>
  <c r="G15413" i="1"/>
  <c r="K15413" i="1"/>
  <c r="A15414" i="1"/>
  <c r="B15414" i="1"/>
  <c r="C15414" i="1"/>
  <c r="E15414" i="1"/>
  <c r="G15414" i="1"/>
  <c r="K15414" i="1"/>
  <c r="A15415" i="1"/>
  <c r="B15415" i="1"/>
  <c r="C15415" i="1"/>
  <c r="E15415" i="1"/>
  <c r="G15415" i="1"/>
  <c r="K15415" i="1"/>
  <c r="A15416" i="1"/>
  <c r="B15416" i="1"/>
  <c r="C15416" i="1"/>
  <c r="E15416" i="1"/>
  <c r="G15416" i="1"/>
  <c r="K15416" i="1"/>
  <c r="A15417" i="1"/>
  <c r="B15417" i="1"/>
  <c r="C15417" i="1"/>
  <c r="E15417" i="1"/>
  <c r="G15417" i="1"/>
  <c r="K15417" i="1"/>
  <c r="A15418" i="1"/>
  <c r="B15418" i="1"/>
  <c r="C15418" i="1"/>
  <c r="E15418" i="1"/>
  <c r="G15418" i="1"/>
  <c r="K15418" i="1"/>
  <c r="A15419" i="1"/>
  <c r="B15419" i="1"/>
  <c r="C15419" i="1"/>
  <c r="E15419" i="1"/>
  <c r="G15419" i="1"/>
  <c r="K15419" i="1"/>
  <c r="A15420" i="1"/>
  <c r="B15420" i="1"/>
  <c r="C15420" i="1"/>
  <c r="E15420" i="1"/>
  <c r="G15420" i="1"/>
  <c r="K15420" i="1"/>
  <c r="A15421" i="1"/>
  <c r="B15421" i="1"/>
  <c r="C15421" i="1"/>
  <c r="E15421" i="1"/>
  <c r="G15421" i="1"/>
  <c r="K15421" i="1"/>
  <c r="A15422" i="1"/>
  <c r="B15422" i="1"/>
  <c r="C15422" i="1"/>
  <c r="E15422" i="1"/>
  <c r="G15422" i="1"/>
  <c r="K15422" i="1"/>
  <c r="A15423" i="1"/>
  <c r="B15423" i="1"/>
  <c r="C15423" i="1"/>
  <c r="E15423" i="1"/>
  <c r="G15423" i="1"/>
  <c r="K15423" i="1"/>
  <c r="A15424" i="1"/>
  <c r="B15424" i="1"/>
  <c r="C15424" i="1"/>
  <c r="E15424" i="1"/>
  <c r="G15424" i="1"/>
  <c r="K15424" i="1"/>
  <c r="A15425" i="1"/>
  <c r="B15425" i="1"/>
  <c r="C15425" i="1"/>
  <c r="E15425" i="1"/>
  <c r="G15425" i="1"/>
  <c r="K15425" i="1"/>
  <c r="A15426" i="1"/>
  <c r="B15426" i="1"/>
  <c r="C15426" i="1"/>
  <c r="E15426" i="1"/>
  <c r="G15426" i="1"/>
  <c r="K15426" i="1"/>
  <c r="A15427" i="1"/>
  <c r="B15427" i="1"/>
  <c r="C15427" i="1"/>
  <c r="E15427" i="1"/>
  <c r="G15427" i="1"/>
  <c r="K15427" i="1"/>
  <c r="A15428" i="1"/>
  <c r="B15428" i="1"/>
  <c r="C15428" i="1"/>
  <c r="E15428" i="1"/>
  <c r="G15428" i="1"/>
  <c r="K15428" i="1"/>
  <c r="A15429" i="1"/>
  <c r="B15429" i="1"/>
  <c r="C15429" i="1"/>
  <c r="E15429" i="1"/>
  <c r="G15429" i="1"/>
  <c r="K15429" i="1"/>
  <c r="A15430" i="1"/>
  <c r="B15430" i="1"/>
  <c r="C15430" i="1"/>
  <c r="E15430" i="1"/>
  <c r="G15430" i="1"/>
  <c r="K15430" i="1"/>
  <c r="A15431" i="1"/>
  <c r="B15431" i="1"/>
  <c r="C15431" i="1"/>
  <c r="E15431" i="1"/>
  <c r="G15431" i="1"/>
  <c r="K15431" i="1"/>
  <c r="A15432" i="1"/>
  <c r="B15432" i="1"/>
  <c r="C15432" i="1"/>
  <c r="E15432" i="1"/>
  <c r="G15432" i="1"/>
  <c r="K15432" i="1"/>
  <c r="A15433" i="1"/>
  <c r="B15433" i="1"/>
  <c r="C15433" i="1"/>
  <c r="E15433" i="1"/>
  <c r="G15433" i="1"/>
  <c r="K15433" i="1"/>
  <c r="A15434" i="1"/>
  <c r="B15434" i="1"/>
  <c r="C15434" i="1"/>
  <c r="E15434" i="1"/>
  <c r="G15434" i="1"/>
  <c r="K15434" i="1"/>
  <c r="A15435" i="1"/>
  <c r="B15435" i="1"/>
  <c r="C15435" i="1"/>
  <c r="E15435" i="1"/>
  <c r="G15435" i="1"/>
  <c r="K15435" i="1"/>
  <c r="A15436" i="1"/>
  <c r="B15436" i="1"/>
  <c r="C15436" i="1"/>
  <c r="E15436" i="1"/>
  <c r="G15436" i="1"/>
  <c r="K15436" i="1"/>
  <c r="A15437" i="1"/>
  <c r="B15437" i="1"/>
  <c r="C15437" i="1"/>
  <c r="E15437" i="1"/>
  <c r="G15437" i="1"/>
  <c r="K15437" i="1"/>
  <c r="A15438" i="1"/>
  <c r="B15438" i="1"/>
  <c r="C15438" i="1"/>
  <c r="E15438" i="1"/>
  <c r="G15438" i="1"/>
  <c r="K15438" i="1"/>
  <c r="A15439" i="1"/>
  <c r="B15439" i="1"/>
  <c r="C15439" i="1"/>
  <c r="E15439" i="1"/>
  <c r="G15439" i="1"/>
  <c r="K15439" i="1"/>
  <c r="A15440" i="1"/>
  <c r="B15440" i="1"/>
  <c r="C15440" i="1"/>
  <c r="E15440" i="1"/>
  <c r="G15440" i="1"/>
  <c r="K15440" i="1"/>
  <c r="A15441" i="1"/>
  <c r="B15441" i="1"/>
  <c r="C15441" i="1"/>
  <c r="E15441" i="1"/>
  <c r="G15441" i="1"/>
  <c r="K15441" i="1"/>
  <c r="A15442" i="1"/>
  <c r="B15442" i="1"/>
  <c r="C15442" i="1"/>
  <c r="E15442" i="1"/>
  <c r="G15442" i="1"/>
  <c r="K15442" i="1"/>
  <c r="A15443" i="1"/>
  <c r="B15443" i="1"/>
  <c r="C15443" i="1"/>
  <c r="E15443" i="1"/>
  <c r="G15443" i="1"/>
  <c r="K15443" i="1"/>
  <c r="A15444" i="1"/>
  <c r="B15444" i="1"/>
  <c r="C15444" i="1"/>
  <c r="E15444" i="1"/>
  <c r="G15444" i="1"/>
  <c r="K15444" i="1"/>
  <c r="A15445" i="1"/>
  <c r="B15445" i="1"/>
  <c r="C15445" i="1"/>
  <c r="E15445" i="1"/>
  <c r="G15445" i="1"/>
  <c r="K15445" i="1"/>
  <c r="A15446" i="1"/>
  <c r="B15446" i="1"/>
  <c r="C15446" i="1"/>
  <c r="E15446" i="1"/>
  <c r="G15446" i="1"/>
  <c r="K15446" i="1"/>
  <c r="A15447" i="1"/>
  <c r="B15447" i="1"/>
  <c r="C15447" i="1"/>
  <c r="E15447" i="1"/>
  <c r="G15447" i="1"/>
  <c r="K15447" i="1"/>
  <c r="A15448" i="1"/>
  <c r="B15448" i="1"/>
  <c r="C15448" i="1"/>
  <c r="E15448" i="1"/>
  <c r="G15448" i="1"/>
  <c r="K15448" i="1"/>
  <c r="A15449" i="1"/>
  <c r="B15449" i="1"/>
  <c r="C15449" i="1"/>
  <c r="E15449" i="1"/>
  <c r="G15449" i="1"/>
  <c r="K15449" i="1"/>
  <c r="A15450" i="1"/>
  <c r="B15450" i="1"/>
  <c r="C15450" i="1"/>
  <c r="E15450" i="1"/>
  <c r="G15450" i="1"/>
  <c r="K15450" i="1"/>
  <c r="A15451" i="1"/>
  <c r="B15451" i="1"/>
  <c r="C15451" i="1"/>
  <c r="E15451" i="1"/>
  <c r="G15451" i="1"/>
  <c r="K15451" i="1"/>
  <c r="A15452" i="1"/>
  <c r="B15452" i="1"/>
  <c r="C15452" i="1"/>
  <c r="E15452" i="1"/>
  <c r="G15452" i="1"/>
  <c r="K15452" i="1"/>
  <c r="A15453" i="1"/>
  <c r="B15453" i="1"/>
  <c r="C15453" i="1"/>
  <c r="E15453" i="1"/>
  <c r="G15453" i="1"/>
  <c r="K15453" i="1"/>
  <c r="A15454" i="1"/>
  <c r="B15454" i="1"/>
  <c r="C15454" i="1"/>
  <c r="E15454" i="1"/>
  <c r="G15454" i="1"/>
  <c r="K15454" i="1"/>
  <c r="A15455" i="1"/>
  <c r="B15455" i="1"/>
  <c r="C15455" i="1"/>
  <c r="E15455" i="1"/>
  <c r="G15455" i="1"/>
  <c r="K15455" i="1"/>
  <c r="A15456" i="1"/>
  <c r="B15456" i="1"/>
  <c r="C15456" i="1"/>
  <c r="E15456" i="1"/>
  <c r="G15456" i="1"/>
  <c r="K15456" i="1"/>
  <c r="A15457" i="1"/>
  <c r="B15457" i="1"/>
  <c r="C15457" i="1"/>
  <c r="E15457" i="1"/>
  <c r="G15457" i="1"/>
  <c r="K15457" i="1"/>
  <c r="A15458" i="1"/>
  <c r="B15458" i="1"/>
  <c r="C15458" i="1"/>
  <c r="E15458" i="1"/>
  <c r="G15458" i="1"/>
  <c r="K15458" i="1"/>
  <c r="A15459" i="1"/>
  <c r="B15459" i="1"/>
  <c r="C15459" i="1"/>
  <c r="E15459" i="1"/>
  <c r="G15459" i="1"/>
  <c r="K15459" i="1"/>
  <c r="A15460" i="1"/>
  <c r="B15460" i="1"/>
  <c r="C15460" i="1"/>
  <c r="E15460" i="1"/>
  <c r="G15460" i="1"/>
  <c r="K15460" i="1"/>
  <c r="A15461" i="1"/>
  <c r="B15461" i="1"/>
  <c r="C15461" i="1"/>
  <c r="E15461" i="1"/>
  <c r="G15461" i="1"/>
  <c r="K15461" i="1"/>
  <c r="A15462" i="1"/>
  <c r="B15462" i="1"/>
  <c r="C15462" i="1"/>
  <c r="E15462" i="1"/>
  <c r="G15462" i="1"/>
  <c r="K15462" i="1"/>
  <c r="A15463" i="1"/>
  <c r="B15463" i="1"/>
  <c r="C15463" i="1"/>
  <c r="E15463" i="1"/>
  <c r="G15463" i="1"/>
  <c r="K15463" i="1"/>
  <c r="A15464" i="1"/>
  <c r="B15464" i="1"/>
  <c r="C15464" i="1"/>
  <c r="E15464" i="1"/>
  <c r="G15464" i="1"/>
  <c r="K15464" i="1"/>
  <c r="A15465" i="1"/>
  <c r="B15465" i="1"/>
  <c r="C15465" i="1"/>
  <c r="E15465" i="1"/>
  <c r="G15465" i="1"/>
  <c r="K15465" i="1"/>
  <c r="A15466" i="1"/>
  <c r="B15466" i="1"/>
  <c r="C15466" i="1"/>
  <c r="E15466" i="1"/>
  <c r="G15466" i="1"/>
  <c r="K15466" i="1"/>
  <c r="A15467" i="1"/>
  <c r="B15467" i="1"/>
  <c r="C15467" i="1"/>
  <c r="E15467" i="1"/>
  <c r="G15467" i="1"/>
  <c r="K15467" i="1"/>
  <c r="A15468" i="1"/>
  <c r="B15468" i="1"/>
  <c r="C15468" i="1"/>
  <c r="E15468" i="1"/>
  <c r="G15468" i="1"/>
  <c r="K15468" i="1"/>
  <c r="A15469" i="1"/>
  <c r="B15469" i="1"/>
  <c r="C15469" i="1"/>
  <c r="E15469" i="1"/>
  <c r="G15469" i="1"/>
  <c r="K15469" i="1"/>
  <c r="A15470" i="1"/>
  <c r="B15470" i="1"/>
  <c r="C15470" i="1"/>
  <c r="E15470" i="1"/>
  <c r="G15470" i="1"/>
  <c r="K15470" i="1"/>
  <c r="A15471" i="1"/>
  <c r="B15471" i="1"/>
  <c r="C15471" i="1"/>
  <c r="E15471" i="1"/>
  <c r="G15471" i="1"/>
  <c r="K15471" i="1"/>
  <c r="A15472" i="1"/>
  <c r="B15472" i="1"/>
  <c r="C15472" i="1"/>
  <c r="E15472" i="1"/>
  <c r="G15472" i="1"/>
  <c r="K15472" i="1"/>
  <c r="A15473" i="1"/>
  <c r="B15473" i="1"/>
  <c r="C15473" i="1"/>
  <c r="E15473" i="1"/>
  <c r="G15473" i="1"/>
  <c r="K15473" i="1"/>
  <c r="A15474" i="1"/>
  <c r="B15474" i="1"/>
  <c r="C15474" i="1"/>
  <c r="E15474" i="1"/>
  <c r="G15474" i="1"/>
  <c r="K15474" i="1"/>
  <c r="A15475" i="1"/>
  <c r="B15475" i="1"/>
  <c r="C15475" i="1"/>
  <c r="E15475" i="1"/>
  <c r="G15475" i="1"/>
  <c r="K15475" i="1"/>
  <c r="A15476" i="1"/>
  <c r="B15476" i="1"/>
  <c r="C15476" i="1"/>
  <c r="E15476" i="1"/>
  <c r="G15476" i="1"/>
  <c r="K15476" i="1"/>
  <c r="A15477" i="1"/>
  <c r="B15477" i="1"/>
  <c r="C15477" i="1"/>
  <c r="E15477" i="1"/>
  <c r="G15477" i="1"/>
  <c r="K15477" i="1"/>
  <c r="A15478" i="1"/>
  <c r="B15478" i="1"/>
  <c r="C15478" i="1"/>
  <c r="E15478" i="1"/>
  <c r="G15478" i="1"/>
  <c r="K15478" i="1"/>
  <c r="A15479" i="1"/>
  <c r="B15479" i="1"/>
  <c r="C15479" i="1"/>
  <c r="E15479" i="1"/>
  <c r="G15479" i="1"/>
  <c r="K15479" i="1"/>
  <c r="A15480" i="1"/>
  <c r="B15480" i="1"/>
  <c r="C15480" i="1"/>
  <c r="E15480" i="1"/>
  <c r="G15480" i="1"/>
  <c r="K15480" i="1"/>
  <c r="A15481" i="1"/>
  <c r="B15481" i="1"/>
  <c r="C15481" i="1"/>
  <c r="E15481" i="1"/>
  <c r="G15481" i="1"/>
  <c r="K15481" i="1"/>
  <c r="A15482" i="1"/>
  <c r="B15482" i="1"/>
  <c r="C15482" i="1"/>
  <c r="E15482" i="1"/>
  <c r="G15482" i="1"/>
  <c r="K15482" i="1"/>
  <c r="A15483" i="1"/>
  <c r="B15483" i="1"/>
  <c r="C15483" i="1"/>
  <c r="E15483" i="1"/>
  <c r="G15483" i="1"/>
  <c r="K15483" i="1"/>
  <c r="A15484" i="1"/>
  <c r="B15484" i="1"/>
  <c r="C15484" i="1"/>
  <c r="E15484" i="1"/>
  <c r="G15484" i="1"/>
  <c r="K15484" i="1"/>
  <c r="A15485" i="1"/>
  <c r="B15485" i="1"/>
  <c r="C15485" i="1"/>
  <c r="E15485" i="1"/>
  <c r="G15485" i="1"/>
  <c r="K15485" i="1"/>
  <c r="A15486" i="1"/>
  <c r="B15486" i="1"/>
  <c r="C15486" i="1"/>
  <c r="E15486" i="1"/>
  <c r="G15486" i="1"/>
  <c r="K15486" i="1"/>
  <c r="A15487" i="1"/>
  <c r="B15487" i="1"/>
  <c r="C15487" i="1"/>
  <c r="E15487" i="1"/>
  <c r="G15487" i="1"/>
  <c r="K15487" i="1"/>
  <c r="A15488" i="1"/>
  <c r="B15488" i="1"/>
  <c r="C15488" i="1"/>
  <c r="E15488" i="1"/>
  <c r="G15488" i="1"/>
  <c r="K15488" i="1"/>
  <c r="A15489" i="1"/>
  <c r="B15489" i="1"/>
  <c r="C15489" i="1"/>
  <c r="E15489" i="1"/>
  <c r="G15489" i="1"/>
  <c r="K15489" i="1"/>
  <c r="A15490" i="1"/>
  <c r="B15490" i="1"/>
  <c r="C15490" i="1"/>
  <c r="E15490" i="1"/>
  <c r="G15490" i="1"/>
  <c r="K15490" i="1"/>
  <c r="A15491" i="1"/>
  <c r="B15491" i="1"/>
  <c r="C15491" i="1"/>
  <c r="E15491" i="1"/>
  <c r="G15491" i="1"/>
  <c r="K15491" i="1"/>
  <c r="A15492" i="1"/>
  <c r="B15492" i="1"/>
  <c r="C15492" i="1"/>
  <c r="E15492" i="1"/>
  <c r="G15492" i="1"/>
  <c r="K15492" i="1"/>
  <c r="A15493" i="1"/>
  <c r="B15493" i="1"/>
  <c r="C15493" i="1"/>
  <c r="E15493" i="1"/>
  <c r="G15493" i="1"/>
  <c r="K15493" i="1"/>
  <c r="A15494" i="1"/>
  <c r="B15494" i="1"/>
  <c r="C15494" i="1"/>
  <c r="E15494" i="1"/>
  <c r="G15494" i="1"/>
  <c r="K15494" i="1"/>
  <c r="A15495" i="1"/>
  <c r="B15495" i="1"/>
  <c r="C15495" i="1"/>
  <c r="E15495" i="1"/>
  <c r="G15495" i="1"/>
  <c r="K15495" i="1"/>
  <c r="A15496" i="1"/>
  <c r="B15496" i="1"/>
  <c r="C15496" i="1"/>
  <c r="E15496" i="1"/>
  <c r="G15496" i="1"/>
  <c r="K15496" i="1"/>
  <c r="A15497" i="1"/>
  <c r="B15497" i="1"/>
  <c r="C15497" i="1"/>
  <c r="E15497" i="1"/>
  <c r="G15497" i="1"/>
  <c r="K15497" i="1"/>
  <c r="A15498" i="1"/>
  <c r="B15498" i="1"/>
  <c r="C15498" i="1"/>
  <c r="E15498" i="1"/>
  <c r="G15498" i="1"/>
  <c r="K15498" i="1"/>
  <c r="A15499" i="1"/>
  <c r="B15499" i="1"/>
  <c r="C15499" i="1"/>
  <c r="E15499" i="1"/>
  <c r="G15499" i="1"/>
  <c r="K15499" i="1"/>
  <c r="A15500" i="1"/>
  <c r="B15500" i="1"/>
  <c r="C15500" i="1"/>
  <c r="E15500" i="1"/>
  <c r="G15500" i="1"/>
  <c r="K15500" i="1"/>
  <c r="A15501" i="1"/>
  <c r="B15501" i="1"/>
  <c r="C15501" i="1"/>
  <c r="E15501" i="1"/>
  <c r="G15501" i="1"/>
  <c r="K15501" i="1"/>
  <c r="A15502" i="1"/>
  <c r="B15502" i="1"/>
  <c r="C15502" i="1"/>
  <c r="E15502" i="1"/>
  <c r="G15502" i="1"/>
  <c r="K15502" i="1"/>
  <c r="A15503" i="1"/>
  <c r="B15503" i="1"/>
  <c r="C15503" i="1"/>
  <c r="E15503" i="1"/>
  <c r="G15503" i="1"/>
  <c r="K15503" i="1"/>
  <c r="A15504" i="1"/>
  <c r="B15504" i="1"/>
  <c r="C15504" i="1"/>
  <c r="E15504" i="1"/>
  <c r="G15504" i="1"/>
  <c r="K15504" i="1"/>
  <c r="A15505" i="1"/>
  <c r="B15505" i="1"/>
  <c r="C15505" i="1"/>
  <c r="E15505" i="1"/>
  <c r="G15505" i="1"/>
  <c r="K15505" i="1"/>
  <c r="A15506" i="1"/>
  <c r="B15506" i="1"/>
  <c r="C15506" i="1"/>
  <c r="E15506" i="1"/>
  <c r="G15506" i="1"/>
  <c r="K15506" i="1"/>
  <c r="A15507" i="1"/>
  <c r="B15507" i="1"/>
  <c r="C15507" i="1"/>
  <c r="E15507" i="1"/>
  <c r="G15507" i="1"/>
  <c r="K15507" i="1"/>
  <c r="A15508" i="1"/>
  <c r="B15508" i="1"/>
  <c r="C15508" i="1"/>
  <c r="E15508" i="1"/>
  <c r="G15508" i="1"/>
  <c r="K15508" i="1"/>
  <c r="A15509" i="1"/>
  <c r="B15509" i="1"/>
  <c r="C15509" i="1"/>
  <c r="E15509" i="1"/>
  <c r="G15509" i="1"/>
  <c r="K15509" i="1"/>
  <c r="A15510" i="1"/>
  <c r="B15510" i="1"/>
  <c r="C15510" i="1"/>
  <c r="E15510" i="1"/>
  <c r="G15510" i="1"/>
  <c r="K15510" i="1"/>
  <c r="A15511" i="1"/>
  <c r="B15511" i="1"/>
  <c r="C15511" i="1"/>
  <c r="E15511" i="1"/>
  <c r="G15511" i="1"/>
  <c r="K15511" i="1"/>
  <c r="A15512" i="1"/>
  <c r="B15512" i="1"/>
  <c r="C15512" i="1"/>
  <c r="E15512" i="1"/>
  <c r="G15512" i="1"/>
  <c r="K15512" i="1"/>
  <c r="A15513" i="1"/>
  <c r="B15513" i="1"/>
  <c r="C15513" i="1"/>
  <c r="E15513" i="1"/>
  <c r="G15513" i="1"/>
  <c r="K15513" i="1"/>
  <c r="A15514" i="1"/>
  <c r="B15514" i="1"/>
  <c r="C15514" i="1"/>
  <c r="E15514" i="1"/>
  <c r="G15514" i="1"/>
  <c r="K15514" i="1"/>
  <c r="A15515" i="1"/>
  <c r="B15515" i="1"/>
  <c r="C15515" i="1"/>
  <c r="E15515" i="1"/>
  <c r="G15515" i="1"/>
  <c r="K15515" i="1"/>
  <c r="A15516" i="1"/>
  <c r="B15516" i="1"/>
  <c r="C15516" i="1"/>
  <c r="E15516" i="1"/>
  <c r="G15516" i="1"/>
  <c r="K15516" i="1"/>
  <c r="A15517" i="1"/>
  <c r="B15517" i="1"/>
  <c r="C15517" i="1"/>
  <c r="E15517" i="1"/>
  <c r="G15517" i="1"/>
  <c r="K15517" i="1"/>
  <c r="A15518" i="1"/>
  <c r="B15518" i="1"/>
  <c r="C15518" i="1"/>
  <c r="E15518" i="1"/>
  <c r="G15518" i="1"/>
  <c r="K15518" i="1"/>
  <c r="A15519" i="1"/>
  <c r="B15519" i="1"/>
  <c r="C15519" i="1"/>
  <c r="E15519" i="1"/>
  <c r="G15519" i="1"/>
  <c r="K15519" i="1"/>
  <c r="A15520" i="1"/>
  <c r="B15520" i="1"/>
  <c r="C15520" i="1"/>
  <c r="E15520" i="1"/>
  <c r="G15520" i="1"/>
  <c r="K15520" i="1"/>
  <c r="A15521" i="1"/>
  <c r="B15521" i="1"/>
  <c r="C15521" i="1"/>
  <c r="E15521" i="1"/>
  <c r="G15521" i="1"/>
  <c r="K15521" i="1"/>
  <c r="A15522" i="1"/>
  <c r="B15522" i="1"/>
  <c r="C15522" i="1"/>
  <c r="E15522" i="1"/>
  <c r="G15522" i="1"/>
  <c r="K15522" i="1"/>
  <c r="A15523" i="1"/>
  <c r="B15523" i="1"/>
  <c r="C15523" i="1"/>
  <c r="E15523" i="1"/>
  <c r="G15523" i="1"/>
  <c r="K15523" i="1"/>
  <c r="A15524" i="1"/>
  <c r="B15524" i="1"/>
  <c r="C15524" i="1"/>
  <c r="E15524" i="1"/>
  <c r="G15524" i="1"/>
  <c r="K15524" i="1"/>
  <c r="A15525" i="1"/>
  <c r="B15525" i="1"/>
  <c r="C15525" i="1"/>
  <c r="E15525" i="1"/>
  <c r="G15525" i="1"/>
  <c r="K15525" i="1"/>
  <c r="A15526" i="1"/>
  <c r="B15526" i="1"/>
  <c r="C15526" i="1"/>
  <c r="E15526" i="1"/>
  <c r="G15526" i="1"/>
  <c r="K15526" i="1"/>
  <c r="A15527" i="1"/>
  <c r="B15527" i="1"/>
  <c r="C15527" i="1"/>
  <c r="E15527" i="1"/>
  <c r="G15527" i="1"/>
  <c r="K15527" i="1"/>
  <c r="A15528" i="1"/>
  <c r="B15528" i="1"/>
  <c r="C15528" i="1"/>
  <c r="E15528" i="1"/>
  <c r="G15528" i="1"/>
  <c r="K15528" i="1"/>
  <c r="A15529" i="1"/>
  <c r="B15529" i="1"/>
  <c r="C15529" i="1"/>
  <c r="E15529" i="1"/>
  <c r="G15529" i="1"/>
  <c r="K15529" i="1"/>
  <c r="A15530" i="1"/>
  <c r="B15530" i="1"/>
  <c r="C15530" i="1"/>
  <c r="E15530" i="1"/>
  <c r="G15530" i="1"/>
  <c r="K15530" i="1"/>
  <c r="A15531" i="1"/>
  <c r="B15531" i="1"/>
  <c r="C15531" i="1"/>
  <c r="E15531" i="1"/>
  <c r="G15531" i="1"/>
  <c r="K15531" i="1"/>
  <c r="A15532" i="1"/>
  <c r="B15532" i="1"/>
  <c r="C15532" i="1"/>
  <c r="E15532" i="1"/>
  <c r="G15532" i="1"/>
  <c r="K15532" i="1"/>
  <c r="A15533" i="1"/>
  <c r="B15533" i="1"/>
  <c r="C15533" i="1"/>
  <c r="E15533" i="1"/>
  <c r="G15533" i="1"/>
  <c r="K15533" i="1"/>
  <c r="A15534" i="1"/>
  <c r="B15534" i="1"/>
  <c r="C15534" i="1"/>
  <c r="E15534" i="1"/>
  <c r="G15534" i="1"/>
  <c r="K15534" i="1"/>
  <c r="A15535" i="1"/>
  <c r="B15535" i="1"/>
  <c r="C15535" i="1"/>
  <c r="E15535" i="1"/>
  <c r="G15535" i="1"/>
  <c r="K15535" i="1"/>
  <c r="A15536" i="1"/>
  <c r="B15536" i="1"/>
  <c r="C15536" i="1"/>
  <c r="E15536" i="1"/>
  <c r="G15536" i="1"/>
  <c r="K15536" i="1"/>
  <c r="A15537" i="1"/>
  <c r="B15537" i="1"/>
  <c r="C15537" i="1"/>
  <c r="E15537" i="1"/>
  <c r="G15537" i="1"/>
  <c r="K15537" i="1"/>
  <c r="A15538" i="1"/>
  <c r="B15538" i="1"/>
  <c r="C15538" i="1"/>
  <c r="E15538" i="1"/>
  <c r="G15538" i="1"/>
  <c r="K15538" i="1"/>
  <c r="A15539" i="1"/>
  <c r="B15539" i="1"/>
  <c r="C15539" i="1"/>
  <c r="E15539" i="1"/>
  <c r="G15539" i="1"/>
  <c r="K15539" i="1"/>
  <c r="A15540" i="1"/>
  <c r="B15540" i="1"/>
  <c r="C15540" i="1"/>
  <c r="E15540" i="1"/>
  <c r="G15540" i="1"/>
  <c r="K15540" i="1"/>
  <c r="A15541" i="1"/>
  <c r="B15541" i="1"/>
  <c r="C15541" i="1"/>
  <c r="E15541" i="1"/>
  <c r="G15541" i="1"/>
  <c r="K15541" i="1"/>
  <c r="A15542" i="1"/>
  <c r="B15542" i="1"/>
  <c r="C15542" i="1"/>
  <c r="E15542" i="1"/>
  <c r="G15542" i="1"/>
  <c r="K15542" i="1"/>
  <c r="A15543" i="1"/>
  <c r="B15543" i="1"/>
  <c r="C15543" i="1"/>
  <c r="E15543" i="1"/>
  <c r="G15543" i="1"/>
  <c r="K15543" i="1"/>
  <c r="A15544" i="1"/>
  <c r="B15544" i="1"/>
  <c r="C15544" i="1"/>
  <c r="E15544" i="1"/>
  <c r="G15544" i="1"/>
  <c r="K15544" i="1"/>
  <c r="A15545" i="1"/>
  <c r="B15545" i="1"/>
  <c r="C15545" i="1"/>
  <c r="E15545" i="1"/>
  <c r="G15545" i="1"/>
  <c r="K15545" i="1"/>
  <c r="A15546" i="1"/>
  <c r="B15546" i="1"/>
  <c r="C15546" i="1"/>
  <c r="E15546" i="1"/>
  <c r="G15546" i="1"/>
  <c r="K15546" i="1"/>
  <c r="A15547" i="1"/>
  <c r="B15547" i="1"/>
  <c r="C15547" i="1"/>
  <c r="E15547" i="1"/>
  <c r="G15547" i="1"/>
  <c r="K15547" i="1"/>
  <c r="A15548" i="1"/>
  <c r="B15548" i="1"/>
  <c r="C15548" i="1"/>
  <c r="E15548" i="1"/>
  <c r="G15548" i="1"/>
  <c r="K15548" i="1"/>
  <c r="A15549" i="1"/>
  <c r="B15549" i="1"/>
  <c r="C15549" i="1"/>
  <c r="E15549" i="1"/>
  <c r="G15549" i="1"/>
  <c r="K15549" i="1"/>
  <c r="A15550" i="1"/>
  <c r="B15550" i="1"/>
  <c r="C15550" i="1"/>
  <c r="E15550" i="1"/>
  <c r="G15550" i="1"/>
  <c r="K15550" i="1"/>
  <c r="A15551" i="1"/>
  <c r="B15551" i="1"/>
  <c r="C15551" i="1"/>
  <c r="E15551" i="1"/>
  <c r="G15551" i="1"/>
  <c r="K15551" i="1"/>
  <c r="A15552" i="1"/>
  <c r="B15552" i="1"/>
  <c r="C15552" i="1"/>
  <c r="E15552" i="1"/>
  <c r="G15552" i="1"/>
  <c r="K15552" i="1"/>
  <c r="A15553" i="1"/>
  <c r="B15553" i="1"/>
  <c r="C15553" i="1"/>
  <c r="E15553" i="1"/>
  <c r="G15553" i="1"/>
  <c r="K15553" i="1"/>
  <c r="A15554" i="1"/>
  <c r="B15554" i="1"/>
  <c r="C15554" i="1"/>
  <c r="E15554" i="1"/>
  <c r="G15554" i="1"/>
  <c r="K15554" i="1"/>
  <c r="A15555" i="1"/>
  <c r="B15555" i="1"/>
  <c r="C15555" i="1"/>
  <c r="E15555" i="1"/>
  <c r="G15555" i="1"/>
  <c r="K15555" i="1"/>
  <c r="A15556" i="1"/>
  <c r="B15556" i="1"/>
  <c r="C15556" i="1"/>
  <c r="E15556" i="1"/>
  <c r="G15556" i="1"/>
  <c r="K15556" i="1"/>
  <c r="A15557" i="1"/>
  <c r="B15557" i="1"/>
  <c r="C15557" i="1"/>
  <c r="E15557" i="1"/>
  <c r="G15557" i="1"/>
  <c r="K15557" i="1"/>
  <c r="A15558" i="1"/>
  <c r="B15558" i="1"/>
  <c r="C15558" i="1"/>
  <c r="E15558" i="1"/>
  <c r="G15558" i="1"/>
  <c r="K15558" i="1"/>
  <c r="A15559" i="1"/>
  <c r="B15559" i="1"/>
  <c r="C15559" i="1"/>
  <c r="E15559" i="1"/>
  <c r="G15559" i="1"/>
  <c r="K15559" i="1"/>
  <c r="A15560" i="1"/>
  <c r="B15560" i="1"/>
  <c r="C15560" i="1"/>
  <c r="E15560" i="1"/>
  <c r="G15560" i="1"/>
  <c r="K15560" i="1"/>
  <c r="A15561" i="1"/>
  <c r="B15561" i="1"/>
  <c r="C15561" i="1"/>
  <c r="E15561" i="1"/>
  <c r="G15561" i="1"/>
  <c r="K15561" i="1"/>
  <c r="A15562" i="1"/>
  <c r="B15562" i="1"/>
  <c r="C15562" i="1"/>
  <c r="E15562" i="1"/>
  <c r="G15562" i="1"/>
  <c r="K15562" i="1"/>
  <c r="A15563" i="1"/>
  <c r="B15563" i="1"/>
  <c r="C15563" i="1"/>
  <c r="E15563" i="1"/>
  <c r="G15563" i="1"/>
  <c r="K15563" i="1"/>
  <c r="A15564" i="1"/>
  <c r="B15564" i="1"/>
  <c r="C15564" i="1"/>
  <c r="E15564" i="1"/>
  <c r="G15564" i="1"/>
  <c r="K15564" i="1"/>
  <c r="A15565" i="1"/>
  <c r="B15565" i="1"/>
  <c r="C15565" i="1"/>
  <c r="E15565" i="1"/>
  <c r="G15565" i="1"/>
  <c r="K15565" i="1"/>
  <c r="A15566" i="1"/>
  <c r="B15566" i="1"/>
  <c r="C15566" i="1"/>
  <c r="E15566" i="1"/>
  <c r="G15566" i="1"/>
  <c r="K15566" i="1"/>
  <c r="A15567" i="1"/>
  <c r="B15567" i="1"/>
  <c r="C15567" i="1"/>
  <c r="E15567" i="1"/>
  <c r="G15567" i="1"/>
  <c r="K15567" i="1"/>
  <c r="A15568" i="1"/>
  <c r="B15568" i="1"/>
  <c r="C15568" i="1"/>
  <c r="E15568" i="1"/>
  <c r="G15568" i="1"/>
  <c r="K15568" i="1"/>
  <c r="A15569" i="1"/>
  <c r="B15569" i="1"/>
  <c r="C15569" i="1"/>
  <c r="E15569" i="1"/>
  <c r="G15569" i="1"/>
  <c r="K15569" i="1"/>
  <c r="A15570" i="1"/>
  <c r="B15570" i="1"/>
  <c r="C15570" i="1"/>
  <c r="E15570" i="1"/>
  <c r="G15570" i="1"/>
  <c r="K15570" i="1"/>
  <c r="A15571" i="1"/>
  <c r="B15571" i="1"/>
  <c r="C15571" i="1"/>
  <c r="E15571" i="1"/>
  <c r="G15571" i="1"/>
  <c r="K15571" i="1"/>
  <c r="A15572" i="1"/>
  <c r="B15572" i="1"/>
  <c r="C15572" i="1"/>
  <c r="E15572" i="1"/>
  <c r="G15572" i="1"/>
  <c r="K15572" i="1"/>
  <c r="A15573" i="1"/>
  <c r="B15573" i="1"/>
  <c r="C15573" i="1"/>
  <c r="E15573" i="1"/>
  <c r="G15573" i="1"/>
  <c r="K15573" i="1"/>
  <c r="A15574" i="1"/>
  <c r="B15574" i="1"/>
  <c r="C15574" i="1"/>
  <c r="E15574" i="1"/>
  <c r="G15574" i="1"/>
  <c r="K15574" i="1"/>
  <c r="A15575" i="1"/>
  <c r="B15575" i="1"/>
  <c r="C15575" i="1"/>
  <c r="E15575" i="1"/>
  <c r="G15575" i="1"/>
  <c r="K15575" i="1"/>
  <c r="A15576" i="1"/>
  <c r="B15576" i="1"/>
  <c r="C15576" i="1"/>
  <c r="E15576" i="1"/>
  <c r="G15576" i="1"/>
  <c r="K15576" i="1"/>
  <c r="A15577" i="1"/>
  <c r="B15577" i="1"/>
  <c r="C15577" i="1"/>
  <c r="E15577" i="1"/>
  <c r="G15577" i="1"/>
  <c r="K15577" i="1"/>
  <c r="A15578" i="1"/>
  <c r="B15578" i="1"/>
  <c r="C15578" i="1"/>
  <c r="E15578" i="1"/>
  <c r="G15578" i="1"/>
  <c r="K15578" i="1"/>
  <c r="A15579" i="1"/>
  <c r="B15579" i="1"/>
  <c r="C15579" i="1"/>
  <c r="E15579" i="1"/>
  <c r="G15579" i="1"/>
  <c r="K15579" i="1"/>
  <c r="A15580" i="1"/>
  <c r="B15580" i="1"/>
  <c r="C15580" i="1"/>
  <c r="E15580" i="1"/>
  <c r="G15580" i="1"/>
  <c r="K15580" i="1"/>
  <c r="A15581" i="1"/>
  <c r="B15581" i="1"/>
  <c r="C15581" i="1"/>
  <c r="E15581" i="1"/>
  <c r="G15581" i="1"/>
  <c r="K15581" i="1"/>
  <c r="A15582" i="1"/>
  <c r="B15582" i="1"/>
  <c r="C15582" i="1"/>
  <c r="E15582" i="1"/>
  <c r="G15582" i="1"/>
  <c r="K15582" i="1"/>
  <c r="A15583" i="1"/>
  <c r="B15583" i="1"/>
  <c r="C15583" i="1"/>
  <c r="E15583" i="1"/>
  <c r="G15583" i="1"/>
  <c r="K15583" i="1"/>
  <c r="A15584" i="1"/>
  <c r="B15584" i="1"/>
  <c r="C15584" i="1"/>
  <c r="E15584" i="1"/>
  <c r="G15584" i="1"/>
  <c r="K15584" i="1"/>
  <c r="A15585" i="1"/>
  <c r="B15585" i="1"/>
  <c r="C15585" i="1"/>
  <c r="E15585" i="1"/>
  <c r="G15585" i="1"/>
  <c r="K15585" i="1"/>
  <c r="A15586" i="1"/>
  <c r="B15586" i="1"/>
  <c r="C15586" i="1"/>
  <c r="E15586" i="1"/>
  <c r="G15586" i="1"/>
  <c r="K15586" i="1"/>
  <c r="A15587" i="1"/>
  <c r="B15587" i="1"/>
  <c r="C15587" i="1"/>
  <c r="E15587" i="1"/>
  <c r="G15587" i="1"/>
  <c r="K15587" i="1"/>
  <c r="A15588" i="1"/>
  <c r="B15588" i="1"/>
  <c r="C15588" i="1"/>
  <c r="E15588" i="1"/>
  <c r="G15588" i="1"/>
  <c r="K15588" i="1"/>
  <c r="A15589" i="1"/>
  <c r="B15589" i="1"/>
  <c r="C15589" i="1"/>
  <c r="E15589" i="1"/>
  <c r="G15589" i="1"/>
  <c r="K15589" i="1"/>
  <c r="A15590" i="1"/>
  <c r="B15590" i="1"/>
  <c r="C15590" i="1"/>
  <c r="E15590" i="1"/>
  <c r="G15590" i="1"/>
  <c r="K15590" i="1"/>
  <c r="A15591" i="1"/>
  <c r="B15591" i="1"/>
  <c r="C15591" i="1"/>
  <c r="E15591" i="1"/>
  <c r="G15591" i="1"/>
  <c r="K15591" i="1"/>
  <c r="A15592" i="1"/>
  <c r="B15592" i="1"/>
  <c r="C15592" i="1"/>
  <c r="E15592" i="1"/>
  <c r="G15592" i="1"/>
  <c r="K15592" i="1"/>
  <c r="A15593" i="1"/>
  <c r="B15593" i="1"/>
  <c r="C15593" i="1"/>
  <c r="E15593" i="1"/>
  <c r="G15593" i="1"/>
  <c r="K15593" i="1"/>
  <c r="A15594" i="1"/>
  <c r="B15594" i="1"/>
  <c r="C15594" i="1"/>
  <c r="E15594" i="1"/>
  <c r="G15594" i="1"/>
  <c r="K15594" i="1"/>
  <c r="A15595" i="1"/>
  <c r="B15595" i="1"/>
  <c r="C15595" i="1"/>
  <c r="E15595" i="1"/>
  <c r="G15595" i="1"/>
  <c r="K15595" i="1"/>
  <c r="A15596" i="1"/>
  <c r="B15596" i="1"/>
  <c r="C15596" i="1"/>
  <c r="E15596" i="1"/>
  <c r="G15596" i="1"/>
  <c r="K15596" i="1"/>
  <c r="A15597" i="1"/>
  <c r="B15597" i="1"/>
  <c r="C15597" i="1"/>
  <c r="E15597" i="1"/>
  <c r="G15597" i="1"/>
  <c r="K15597" i="1"/>
  <c r="A15598" i="1"/>
  <c r="B15598" i="1"/>
  <c r="C15598" i="1"/>
  <c r="E15598" i="1"/>
  <c r="G15598" i="1"/>
  <c r="K15598" i="1"/>
  <c r="A15599" i="1"/>
  <c r="B15599" i="1"/>
  <c r="C15599" i="1"/>
  <c r="E15599" i="1"/>
  <c r="G15599" i="1"/>
  <c r="K15599" i="1"/>
  <c r="A15600" i="1"/>
  <c r="B15600" i="1"/>
  <c r="C15600" i="1"/>
  <c r="E15600" i="1"/>
  <c r="G15600" i="1"/>
  <c r="K15600" i="1"/>
  <c r="A15601" i="1"/>
  <c r="B15601" i="1"/>
  <c r="C15601" i="1"/>
  <c r="E15601" i="1"/>
  <c r="G15601" i="1"/>
  <c r="K15601" i="1"/>
  <c r="A15602" i="1"/>
  <c r="B15602" i="1"/>
  <c r="C15602" i="1"/>
  <c r="E15602" i="1"/>
  <c r="G15602" i="1"/>
  <c r="K15602" i="1"/>
  <c r="A15603" i="1"/>
  <c r="B15603" i="1"/>
  <c r="C15603" i="1"/>
  <c r="E15603" i="1"/>
  <c r="G15603" i="1"/>
  <c r="K15603" i="1"/>
  <c r="A15604" i="1"/>
  <c r="B15604" i="1"/>
  <c r="C15604" i="1"/>
  <c r="E15604" i="1"/>
  <c r="G15604" i="1"/>
  <c r="K15604" i="1"/>
  <c r="A15605" i="1"/>
  <c r="B15605" i="1"/>
  <c r="C15605" i="1"/>
  <c r="E15605" i="1"/>
  <c r="G15605" i="1"/>
  <c r="K15605" i="1"/>
  <c r="A15606" i="1"/>
  <c r="B15606" i="1"/>
  <c r="C15606" i="1"/>
  <c r="E15606" i="1"/>
  <c r="G15606" i="1"/>
  <c r="K15606" i="1"/>
  <c r="A15607" i="1"/>
  <c r="B15607" i="1"/>
  <c r="C15607" i="1"/>
  <c r="E15607" i="1"/>
  <c r="G15607" i="1"/>
  <c r="K15607" i="1"/>
  <c r="A15608" i="1"/>
  <c r="B15608" i="1"/>
  <c r="C15608" i="1"/>
  <c r="E15608" i="1"/>
  <c r="G15608" i="1"/>
  <c r="K15608" i="1"/>
  <c r="A15609" i="1"/>
  <c r="B15609" i="1"/>
  <c r="C15609" i="1"/>
  <c r="E15609" i="1"/>
  <c r="G15609" i="1"/>
  <c r="K15609" i="1"/>
  <c r="A15610" i="1"/>
  <c r="B15610" i="1"/>
  <c r="C15610" i="1"/>
  <c r="E15610" i="1"/>
  <c r="G15610" i="1"/>
  <c r="K15610" i="1"/>
  <c r="A15611" i="1"/>
  <c r="B15611" i="1"/>
  <c r="C15611" i="1"/>
  <c r="E15611" i="1"/>
  <c r="G15611" i="1"/>
  <c r="K15611" i="1"/>
  <c r="A15612" i="1"/>
  <c r="B15612" i="1"/>
  <c r="C15612" i="1"/>
  <c r="E15612" i="1"/>
  <c r="G15612" i="1"/>
  <c r="K15612" i="1"/>
  <c r="A15613" i="1"/>
  <c r="B15613" i="1"/>
  <c r="C15613" i="1"/>
  <c r="E15613" i="1"/>
  <c r="G15613" i="1"/>
  <c r="K15613" i="1"/>
  <c r="A15614" i="1"/>
  <c r="B15614" i="1"/>
  <c r="C15614" i="1"/>
  <c r="E15614" i="1"/>
  <c r="G15614" i="1"/>
  <c r="K15614" i="1"/>
  <c r="A15615" i="1"/>
  <c r="B15615" i="1"/>
  <c r="C15615" i="1"/>
  <c r="E15615" i="1"/>
  <c r="G15615" i="1"/>
  <c r="K15615" i="1"/>
  <c r="A15616" i="1"/>
  <c r="B15616" i="1"/>
  <c r="C15616" i="1"/>
  <c r="E15616" i="1"/>
  <c r="G15616" i="1"/>
  <c r="K15616" i="1"/>
  <c r="A15617" i="1"/>
  <c r="B15617" i="1"/>
  <c r="C15617" i="1"/>
  <c r="E15617" i="1"/>
  <c r="G15617" i="1"/>
  <c r="K15617" i="1"/>
  <c r="A15618" i="1"/>
  <c r="B15618" i="1"/>
  <c r="C15618" i="1"/>
  <c r="E15618" i="1"/>
  <c r="G15618" i="1"/>
  <c r="K15618" i="1"/>
  <c r="A15619" i="1"/>
  <c r="B15619" i="1"/>
  <c r="C15619" i="1"/>
  <c r="E15619" i="1"/>
  <c r="G15619" i="1"/>
  <c r="K15619" i="1"/>
  <c r="A15620" i="1"/>
  <c r="B15620" i="1"/>
  <c r="C15620" i="1"/>
  <c r="E15620" i="1"/>
  <c r="G15620" i="1"/>
  <c r="K15620" i="1"/>
  <c r="A15621" i="1"/>
  <c r="B15621" i="1"/>
  <c r="C15621" i="1"/>
  <c r="E15621" i="1"/>
  <c r="G15621" i="1"/>
  <c r="K15621" i="1"/>
  <c r="A15622" i="1"/>
  <c r="B15622" i="1"/>
  <c r="C15622" i="1"/>
  <c r="E15622" i="1"/>
  <c r="G15622" i="1"/>
  <c r="K15622" i="1"/>
  <c r="A15623" i="1"/>
  <c r="B15623" i="1"/>
  <c r="C15623" i="1"/>
  <c r="E15623" i="1"/>
  <c r="G15623" i="1"/>
  <c r="K15623" i="1"/>
  <c r="A15624" i="1"/>
  <c r="B15624" i="1"/>
  <c r="C15624" i="1"/>
  <c r="E15624" i="1"/>
  <c r="G15624" i="1"/>
  <c r="K15624" i="1"/>
  <c r="A15625" i="1"/>
  <c r="B15625" i="1"/>
  <c r="C15625" i="1"/>
  <c r="E15625" i="1"/>
  <c r="G15625" i="1"/>
  <c r="K15625" i="1"/>
  <c r="A15626" i="1"/>
  <c r="B15626" i="1"/>
  <c r="C15626" i="1"/>
  <c r="E15626" i="1"/>
  <c r="G15626" i="1"/>
  <c r="K15626" i="1"/>
  <c r="A15627" i="1"/>
  <c r="B15627" i="1"/>
  <c r="C15627" i="1"/>
  <c r="E15627" i="1"/>
  <c r="G15627" i="1"/>
  <c r="K15627" i="1"/>
  <c r="A15628" i="1"/>
  <c r="B15628" i="1"/>
  <c r="C15628" i="1"/>
  <c r="E15628" i="1"/>
  <c r="G15628" i="1"/>
  <c r="K15628" i="1"/>
  <c r="A15629" i="1"/>
  <c r="B15629" i="1"/>
  <c r="C15629" i="1"/>
  <c r="E15629" i="1"/>
  <c r="G15629" i="1"/>
  <c r="K15629" i="1"/>
  <c r="A15630" i="1"/>
  <c r="B15630" i="1"/>
  <c r="C15630" i="1"/>
  <c r="E15630" i="1"/>
  <c r="G15630" i="1"/>
  <c r="K15630" i="1"/>
  <c r="A15631" i="1"/>
  <c r="B15631" i="1"/>
  <c r="C15631" i="1"/>
  <c r="E15631" i="1"/>
  <c r="G15631" i="1"/>
  <c r="K15631" i="1"/>
  <c r="A15632" i="1"/>
  <c r="B15632" i="1"/>
  <c r="C15632" i="1"/>
  <c r="E15632" i="1"/>
  <c r="G15632" i="1"/>
  <c r="K15632" i="1"/>
  <c r="A15633" i="1"/>
  <c r="B15633" i="1"/>
  <c r="C15633" i="1"/>
  <c r="E15633" i="1"/>
  <c r="G15633" i="1"/>
  <c r="K15633" i="1"/>
  <c r="A15634" i="1"/>
  <c r="B15634" i="1"/>
  <c r="C15634" i="1"/>
  <c r="E15634" i="1"/>
  <c r="G15634" i="1"/>
  <c r="K15634" i="1"/>
  <c r="A15635" i="1"/>
  <c r="B15635" i="1"/>
  <c r="C15635" i="1"/>
  <c r="E15635" i="1"/>
  <c r="G15635" i="1"/>
  <c r="K15635" i="1"/>
  <c r="A15636" i="1"/>
  <c r="B15636" i="1"/>
  <c r="C15636" i="1"/>
  <c r="E15636" i="1"/>
  <c r="G15636" i="1"/>
  <c r="K15636" i="1"/>
  <c r="A15637" i="1"/>
  <c r="B15637" i="1"/>
  <c r="C15637" i="1"/>
  <c r="E15637" i="1"/>
  <c r="G15637" i="1"/>
  <c r="K15637" i="1"/>
  <c r="A15638" i="1"/>
  <c r="B15638" i="1"/>
  <c r="C15638" i="1"/>
  <c r="E15638" i="1"/>
  <c r="G15638" i="1"/>
  <c r="K15638" i="1"/>
  <c r="A15639" i="1"/>
  <c r="B15639" i="1"/>
  <c r="C15639" i="1"/>
  <c r="E15639" i="1"/>
  <c r="G15639" i="1"/>
  <c r="K15639" i="1"/>
  <c r="A15640" i="1"/>
  <c r="B15640" i="1"/>
  <c r="C15640" i="1"/>
  <c r="E15640" i="1"/>
  <c r="G15640" i="1"/>
  <c r="K15640" i="1"/>
  <c r="A15641" i="1"/>
  <c r="B15641" i="1"/>
  <c r="C15641" i="1"/>
  <c r="E15641" i="1"/>
  <c r="G15641" i="1"/>
  <c r="K15641" i="1"/>
  <c r="A15642" i="1"/>
  <c r="B15642" i="1"/>
  <c r="C15642" i="1"/>
  <c r="E15642" i="1"/>
  <c r="G15642" i="1"/>
  <c r="K15642" i="1"/>
  <c r="A15643" i="1"/>
  <c r="B15643" i="1"/>
  <c r="C15643" i="1"/>
  <c r="E15643" i="1"/>
  <c r="G15643" i="1"/>
  <c r="K15643" i="1"/>
  <c r="A15644" i="1"/>
  <c r="B15644" i="1"/>
  <c r="C15644" i="1"/>
  <c r="E15644" i="1"/>
  <c r="G15644" i="1"/>
  <c r="K15644" i="1"/>
  <c r="A15645" i="1"/>
  <c r="B15645" i="1"/>
  <c r="C15645" i="1"/>
  <c r="E15645" i="1"/>
  <c r="G15645" i="1"/>
  <c r="K15645" i="1"/>
  <c r="A15646" i="1"/>
  <c r="B15646" i="1"/>
  <c r="C15646" i="1"/>
  <c r="E15646" i="1"/>
  <c r="G15646" i="1"/>
  <c r="K15646" i="1"/>
  <c r="A15647" i="1"/>
  <c r="B15647" i="1"/>
  <c r="C15647" i="1"/>
  <c r="E15647" i="1"/>
  <c r="G15647" i="1"/>
  <c r="K15647" i="1"/>
  <c r="A15648" i="1"/>
  <c r="B15648" i="1"/>
  <c r="C15648" i="1"/>
  <c r="E15648" i="1"/>
  <c r="G15648" i="1"/>
  <c r="K15648" i="1"/>
  <c r="A15649" i="1"/>
  <c r="B15649" i="1"/>
  <c r="C15649" i="1"/>
  <c r="E15649" i="1"/>
  <c r="G15649" i="1"/>
  <c r="K15649" i="1"/>
  <c r="A15650" i="1"/>
  <c r="B15650" i="1"/>
  <c r="C15650" i="1"/>
  <c r="E15650" i="1"/>
  <c r="G15650" i="1"/>
  <c r="K15650" i="1"/>
  <c r="A15651" i="1"/>
  <c r="B15651" i="1"/>
  <c r="C15651" i="1"/>
  <c r="E15651" i="1"/>
  <c r="G15651" i="1"/>
  <c r="K15651" i="1"/>
  <c r="A15652" i="1"/>
  <c r="B15652" i="1"/>
  <c r="C15652" i="1"/>
  <c r="E15652" i="1"/>
  <c r="G15652" i="1"/>
  <c r="K15652" i="1"/>
  <c r="A15653" i="1"/>
  <c r="B15653" i="1"/>
  <c r="C15653" i="1"/>
  <c r="E15653" i="1"/>
  <c r="G15653" i="1"/>
  <c r="K15653" i="1"/>
  <c r="A15654" i="1"/>
  <c r="B15654" i="1"/>
  <c r="C15654" i="1"/>
  <c r="E15654" i="1"/>
  <c r="G15654" i="1"/>
  <c r="K15654" i="1"/>
  <c r="A15655" i="1"/>
  <c r="B15655" i="1"/>
  <c r="C15655" i="1"/>
  <c r="E15655" i="1"/>
  <c r="G15655" i="1"/>
  <c r="K15655" i="1"/>
  <c r="A15656" i="1"/>
  <c r="B15656" i="1"/>
  <c r="C15656" i="1"/>
  <c r="E15656" i="1"/>
  <c r="G15656" i="1"/>
  <c r="K15656" i="1"/>
  <c r="A15657" i="1"/>
  <c r="B15657" i="1"/>
  <c r="C15657" i="1"/>
  <c r="E15657" i="1"/>
  <c r="G15657" i="1"/>
  <c r="K15657" i="1"/>
  <c r="A15658" i="1"/>
  <c r="B15658" i="1"/>
  <c r="C15658" i="1"/>
  <c r="E15658" i="1"/>
  <c r="G15658" i="1"/>
  <c r="K15658" i="1"/>
  <c r="A15659" i="1"/>
  <c r="B15659" i="1"/>
  <c r="C15659" i="1"/>
  <c r="E15659" i="1"/>
  <c r="G15659" i="1"/>
  <c r="K15659" i="1"/>
  <c r="A15660" i="1"/>
  <c r="B15660" i="1"/>
  <c r="C15660" i="1"/>
  <c r="E15660" i="1"/>
  <c r="G15660" i="1"/>
  <c r="K15660" i="1"/>
  <c r="A15661" i="1"/>
  <c r="B15661" i="1"/>
  <c r="C15661" i="1"/>
  <c r="E15661" i="1"/>
  <c r="G15661" i="1"/>
  <c r="K15661" i="1"/>
  <c r="A15662" i="1"/>
  <c r="B15662" i="1"/>
  <c r="C15662" i="1"/>
  <c r="E15662" i="1"/>
  <c r="G15662" i="1"/>
  <c r="K15662" i="1"/>
  <c r="A15663" i="1"/>
  <c r="B15663" i="1"/>
  <c r="C15663" i="1"/>
  <c r="E15663" i="1"/>
  <c r="G15663" i="1"/>
  <c r="K15663" i="1"/>
  <c r="A15664" i="1"/>
  <c r="B15664" i="1"/>
  <c r="C15664" i="1"/>
  <c r="E15664" i="1"/>
  <c r="G15664" i="1"/>
  <c r="K15664" i="1"/>
  <c r="A15665" i="1"/>
  <c r="B15665" i="1"/>
  <c r="C15665" i="1"/>
  <c r="E15665" i="1"/>
  <c r="G15665" i="1"/>
  <c r="K15665" i="1"/>
  <c r="A15666" i="1"/>
  <c r="B15666" i="1"/>
  <c r="C15666" i="1"/>
  <c r="E15666" i="1"/>
  <c r="G15666" i="1"/>
  <c r="K15666" i="1"/>
  <c r="A15667" i="1"/>
  <c r="B15667" i="1"/>
  <c r="C15667" i="1"/>
  <c r="E15667" i="1"/>
  <c r="G15667" i="1"/>
  <c r="K15667" i="1"/>
  <c r="A15668" i="1"/>
  <c r="B15668" i="1"/>
  <c r="C15668" i="1"/>
  <c r="E15668" i="1"/>
  <c r="G15668" i="1"/>
  <c r="K15668" i="1"/>
  <c r="A15669" i="1"/>
  <c r="B15669" i="1"/>
  <c r="C15669" i="1"/>
  <c r="E15669" i="1"/>
  <c r="G15669" i="1"/>
  <c r="K15669" i="1"/>
  <c r="A15670" i="1"/>
  <c r="B15670" i="1"/>
  <c r="C15670" i="1"/>
  <c r="E15670" i="1"/>
  <c r="G15670" i="1"/>
  <c r="K15670" i="1"/>
  <c r="A15671" i="1"/>
  <c r="B15671" i="1"/>
  <c r="C15671" i="1"/>
  <c r="E15671" i="1"/>
  <c r="G15671" i="1"/>
  <c r="K15671" i="1"/>
  <c r="A15672" i="1"/>
  <c r="B15672" i="1"/>
  <c r="C15672" i="1"/>
  <c r="E15672" i="1"/>
  <c r="G15672" i="1"/>
  <c r="K15672" i="1"/>
  <c r="A15673" i="1"/>
  <c r="B15673" i="1"/>
  <c r="C15673" i="1"/>
  <c r="E15673" i="1"/>
  <c r="G15673" i="1"/>
  <c r="K15673" i="1"/>
  <c r="A15674" i="1"/>
  <c r="B15674" i="1"/>
  <c r="C15674" i="1"/>
  <c r="E15674" i="1"/>
  <c r="G15674" i="1"/>
  <c r="K15674" i="1"/>
  <c r="A15675" i="1"/>
  <c r="B15675" i="1"/>
  <c r="C15675" i="1"/>
  <c r="E15675" i="1"/>
  <c r="G15675" i="1"/>
  <c r="K15675" i="1"/>
  <c r="A15676" i="1"/>
  <c r="B15676" i="1"/>
  <c r="C15676" i="1"/>
  <c r="E15676" i="1"/>
  <c r="G15676" i="1"/>
  <c r="K15676" i="1"/>
  <c r="A15677" i="1"/>
  <c r="B15677" i="1"/>
  <c r="C15677" i="1"/>
  <c r="E15677" i="1"/>
  <c r="G15677" i="1"/>
  <c r="K15677" i="1"/>
  <c r="A15678" i="1"/>
  <c r="B15678" i="1"/>
  <c r="C15678" i="1"/>
  <c r="E15678" i="1"/>
  <c r="G15678" i="1"/>
  <c r="K15678" i="1"/>
  <c r="A15679" i="1"/>
  <c r="B15679" i="1"/>
  <c r="C15679" i="1"/>
  <c r="E15679" i="1"/>
  <c r="G15679" i="1"/>
  <c r="K15679" i="1"/>
  <c r="A15680" i="1"/>
  <c r="B15680" i="1"/>
  <c r="C15680" i="1"/>
  <c r="E15680" i="1"/>
  <c r="G15680" i="1"/>
  <c r="K15680" i="1"/>
  <c r="A15681" i="1"/>
  <c r="B15681" i="1"/>
  <c r="C15681" i="1"/>
  <c r="E15681" i="1"/>
  <c r="G15681" i="1"/>
  <c r="K15681" i="1"/>
  <c r="A15682" i="1"/>
  <c r="B15682" i="1"/>
  <c r="C15682" i="1"/>
  <c r="E15682" i="1"/>
  <c r="G15682" i="1"/>
  <c r="K15682" i="1"/>
  <c r="A15683" i="1"/>
  <c r="B15683" i="1"/>
  <c r="C15683" i="1"/>
  <c r="E15683" i="1"/>
  <c r="G15683" i="1"/>
  <c r="K15683" i="1"/>
  <c r="A15684" i="1"/>
  <c r="B15684" i="1"/>
  <c r="C15684" i="1"/>
  <c r="E15684" i="1"/>
  <c r="G15684" i="1"/>
  <c r="K15684" i="1"/>
  <c r="A15685" i="1"/>
  <c r="B15685" i="1"/>
  <c r="C15685" i="1"/>
  <c r="E15685" i="1"/>
  <c r="G15685" i="1"/>
  <c r="K15685" i="1"/>
  <c r="A15686" i="1"/>
  <c r="B15686" i="1"/>
  <c r="C15686" i="1"/>
  <c r="E15686" i="1"/>
  <c r="G15686" i="1"/>
  <c r="K15686" i="1"/>
  <c r="A15687" i="1"/>
  <c r="B15687" i="1"/>
  <c r="C15687" i="1"/>
  <c r="E15687" i="1"/>
  <c r="G15687" i="1"/>
  <c r="K15687" i="1"/>
  <c r="A15688" i="1"/>
  <c r="B15688" i="1"/>
  <c r="C15688" i="1"/>
  <c r="E15688" i="1"/>
  <c r="G15688" i="1"/>
  <c r="K15688" i="1"/>
  <c r="A15689" i="1"/>
  <c r="B15689" i="1"/>
  <c r="C15689" i="1"/>
  <c r="E15689" i="1"/>
  <c r="G15689" i="1"/>
  <c r="K15689" i="1"/>
  <c r="A15690" i="1"/>
  <c r="B15690" i="1"/>
  <c r="C15690" i="1"/>
  <c r="E15690" i="1"/>
  <c r="G15690" i="1"/>
  <c r="K15690" i="1"/>
  <c r="A15691" i="1"/>
  <c r="B15691" i="1"/>
  <c r="C15691" i="1"/>
  <c r="E15691" i="1"/>
  <c r="G15691" i="1"/>
  <c r="K15691" i="1"/>
  <c r="A15692" i="1"/>
  <c r="B15692" i="1"/>
  <c r="C15692" i="1"/>
  <c r="E15692" i="1"/>
  <c r="G15692" i="1"/>
  <c r="K15692" i="1"/>
  <c r="A15693" i="1"/>
  <c r="B15693" i="1"/>
  <c r="C15693" i="1"/>
  <c r="E15693" i="1"/>
  <c r="G15693" i="1"/>
  <c r="K15693" i="1"/>
  <c r="A15694" i="1"/>
  <c r="B15694" i="1"/>
  <c r="C15694" i="1"/>
  <c r="E15694" i="1"/>
  <c r="G15694" i="1"/>
  <c r="K15694" i="1"/>
  <c r="A15695" i="1"/>
  <c r="B15695" i="1"/>
  <c r="C15695" i="1"/>
  <c r="E15695" i="1"/>
  <c r="G15695" i="1"/>
  <c r="K15695" i="1"/>
  <c r="A15696" i="1"/>
  <c r="B15696" i="1"/>
  <c r="C15696" i="1"/>
  <c r="E15696" i="1"/>
  <c r="G15696" i="1"/>
  <c r="K15696" i="1"/>
  <c r="A15697" i="1"/>
  <c r="B15697" i="1"/>
  <c r="C15697" i="1"/>
  <c r="E15697" i="1"/>
  <c r="G15697" i="1"/>
  <c r="K15697" i="1"/>
  <c r="A15698" i="1"/>
  <c r="B15698" i="1"/>
  <c r="C15698" i="1"/>
  <c r="E15698" i="1"/>
  <c r="G15698" i="1"/>
  <c r="K15698" i="1"/>
  <c r="A15699" i="1"/>
  <c r="B15699" i="1"/>
  <c r="C15699" i="1"/>
  <c r="E15699" i="1"/>
  <c r="G15699" i="1"/>
  <c r="K15699" i="1"/>
  <c r="A15700" i="1"/>
  <c r="B15700" i="1"/>
  <c r="C15700" i="1"/>
  <c r="E15700" i="1"/>
  <c r="G15700" i="1"/>
  <c r="K15700" i="1"/>
  <c r="A15701" i="1"/>
  <c r="B15701" i="1"/>
  <c r="C15701" i="1"/>
  <c r="E15701" i="1"/>
  <c r="G15701" i="1"/>
  <c r="K15701" i="1"/>
  <c r="A15702" i="1"/>
  <c r="B15702" i="1"/>
  <c r="C15702" i="1"/>
  <c r="E15702" i="1"/>
  <c r="G15702" i="1"/>
  <c r="K15702" i="1"/>
  <c r="A15703" i="1"/>
  <c r="B15703" i="1"/>
  <c r="C15703" i="1"/>
  <c r="E15703" i="1"/>
  <c r="G15703" i="1"/>
  <c r="K15703" i="1"/>
  <c r="A15704" i="1"/>
  <c r="B15704" i="1"/>
  <c r="C15704" i="1"/>
  <c r="E15704" i="1"/>
  <c r="G15704" i="1"/>
  <c r="K15704" i="1"/>
  <c r="A15705" i="1"/>
  <c r="B15705" i="1"/>
  <c r="C15705" i="1"/>
  <c r="E15705" i="1"/>
  <c r="G15705" i="1"/>
  <c r="K15705" i="1"/>
  <c r="A15706" i="1"/>
  <c r="B15706" i="1"/>
  <c r="C15706" i="1"/>
  <c r="E15706" i="1"/>
  <c r="G15706" i="1"/>
  <c r="K15706" i="1"/>
  <c r="A15707" i="1"/>
  <c r="B15707" i="1"/>
  <c r="C15707" i="1"/>
  <c r="E15707" i="1"/>
  <c r="G15707" i="1"/>
  <c r="K15707" i="1"/>
  <c r="A15708" i="1"/>
  <c r="B15708" i="1"/>
  <c r="C15708" i="1"/>
  <c r="E15708" i="1"/>
  <c r="G15708" i="1"/>
  <c r="K15708" i="1"/>
  <c r="A15709" i="1"/>
  <c r="B15709" i="1"/>
  <c r="C15709" i="1"/>
  <c r="E15709" i="1"/>
  <c r="G15709" i="1"/>
  <c r="K15709" i="1"/>
  <c r="A15710" i="1"/>
  <c r="B15710" i="1"/>
  <c r="C15710" i="1"/>
  <c r="E15710" i="1"/>
  <c r="G15710" i="1"/>
  <c r="K15710" i="1"/>
  <c r="A15711" i="1"/>
  <c r="B15711" i="1"/>
  <c r="C15711" i="1"/>
  <c r="E15711" i="1"/>
  <c r="G15711" i="1"/>
  <c r="K15711" i="1"/>
  <c r="A15712" i="1"/>
  <c r="B15712" i="1"/>
  <c r="C15712" i="1"/>
  <c r="E15712" i="1"/>
  <c r="G15712" i="1"/>
  <c r="K15712" i="1"/>
  <c r="A15713" i="1"/>
  <c r="B15713" i="1"/>
  <c r="C15713" i="1"/>
  <c r="E15713" i="1"/>
  <c r="G15713" i="1"/>
  <c r="K15713" i="1"/>
  <c r="A15714" i="1"/>
  <c r="B15714" i="1"/>
  <c r="C15714" i="1"/>
  <c r="E15714" i="1"/>
  <c r="G15714" i="1"/>
  <c r="K15714" i="1"/>
  <c r="A15715" i="1"/>
  <c r="B15715" i="1"/>
  <c r="C15715" i="1"/>
  <c r="E15715" i="1"/>
  <c r="G15715" i="1"/>
  <c r="K15715" i="1"/>
  <c r="A15716" i="1"/>
  <c r="B15716" i="1"/>
  <c r="C15716" i="1"/>
  <c r="E15716" i="1"/>
  <c r="G15716" i="1"/>
  <c r="K15716" i="1"/>
  <c r="A15717" i="1"/>
  <c r="B15717" i="1"/>
  <c r="C15717" i="1"/>
  <c r="E15717" i="1"/>
  <c r="G15717" i="1"/>
  <c r="K15717" i="1"/>
  <c r="A15718" i="1"/>
  <c r="B15718" i="1"/>
  <c r="C15718" i="1"/>
  <c r="E15718" i="1"/>
  <c r="G15718" i="1"/>
  <c r="K15718" i="1"/>
  <c r="A15719" i="1"/>
  <c r="B15719" i="1"/>
  <c r="C15719" i="1"/>
  <c r="E15719" i="1"/>
  <c r="G15719" i="1"/>
  <c r="K15719" i="1"/>
  <c r="A15720" i="1"/>
  <c r="B15720" i="1"/>
  <c r="C15720" i="1"/>
  <c r="E15720" i="1"/>
  <c r="G15720" i="1"/>
  <c r="K15720" i="1"/>
  <c r="A15721" i="1"/>
  <c r="B15721" i="1"/>
  <c r="C15721" i="1"/>
  <c r="E15721" i="1"/>
  <c r="G15721" i="1"/>
  <c r="K15721" i="1"/>
  <c r="A15722" i="1"/>
  <c r="B15722" i="1"/>
  <c r="C15722" i="1"/>
  <c r="E15722" i="1"/>
  <c r="G15722" i="1"/>
  <c r="K15722" i="1"/>
  <c r="A15723" i="1"/>
  <c r="B15723" i="1"/>
  <c r="C15723" i="1"/>
  <c r="E15723" i="1"/>
  <c r="G15723" i="1"/>
  <c r="K15723" i="1"/>
  <c r="A15724" i="1"/>
  <c r="B15724" i="1"/>
  <c r="C15724" i="1"/>
  <c r="E15724" i="1"/>
  <c r="G15724" i="1"/>
  <c r="K15724" i="1"/>
  <c r="A15725" i="1"/>
  <c r="B15725" i="1"/>
  <c r="C15725" i="1"/>
  <c r="E15725" i="1"/>
  <c r="G15725" i="1"/>
  <c r="K15725" i="1"/>
  <c r="A15726" i="1"/>
  <c r="B15726" i="1"/>
  <c r="C15726" i="1"/>
  <c r="E15726" i="1"/>
  <c r="G15726" i="1"/>
  <c r="K15726" i="1"/>
  <c r="A15727" i="1"/>
  <c r="B15727" i="1"/>
  <c r="C15727" i="1"/>
  <c r="E15727" i="1"/>
  <c r="G15727" i="1"/>
  <c r="K15727" i="1"/>
  <c r="A15728" i="1"/>
  <c r="B15728" i="1"/>
  <c r="C15728" i="1"/>
  <c r="E15728" i="1"/>
  <c r="G15728" i="1"/>
  <c r="K15728" i="1"/>
  <c r="A15729" i="1"/>
  <c r="B15729" i="1"/>
  <c r="C15729" i="1"/>
  <c r="E15729" i="1"/>
  <c r="G15729" i="1"/>
  <c r="K15729" i="1"/>
  <c r="A15730" i="1"/>
  <c r="B15730" i="1"/>
  <c r="C15730" i="1"/>
  <c r="E15730" i="1"/>
  <c r="G15730" i="1"/>
  <c r="K15730" i="1"/>
  <c r="A15731" i="1"/>
  <c r="B15731" i="1"/>
  <c r="C15731" i="1"/>
  <c r="E15731" i="1"/>
  <c r="G15731" i="1"/>
  <c r="K15731" i="1"/>
  <c r="A15732" i="1"/>
  <c r="B15732" i="1"/>
  <c r="C15732" i="1"/>
  <c r="E15732" i="1"/>
  <c r="G15732" i="1"/>
  <c r="K15732" i="1"/>
  <c r="A15733" i="1"/>
  <c r="B15733" i="1"/>
  <c r="C15733" i="1"/>
  <c r="E15733" i="1"/>
  <c r="G15733" i="1"/>
  <c r="K15733" i="1"/>
  <c r="A15734" i="1"/>
  <c r="B15734" i="1"/>
  <c r="C15734" i="1"/>
  <c r="E15734" i="1"/>
  <c r="G15734" i="1"/>
  <c r="K15734" i="1"/>
  <c r="A15735" i="1"/>
  <c r="B15735" i="1"/>
  <c r="C15735" i="1"/>
  <c r="E15735" i="1"/>
  <c r="G15735" i="1"/>
  <c r="K15735" i="1"/>
  <c r="A15736" i="1"/>
  <c r="B15736" i="1"/>
  <c r="C15736" i="1"/>
  <c r="E15736" i="1"/>
  <c r="G15736" i="1"/>
  <c r="K15736" i="1"/>
  <c r="A15737" i="1"/>
  <c r="B15737" i="1"/>
  <c r="C15737" i="1"/>
  <c r="E15737" i="1"/>
  <c r="G15737" i="1"/>
  <c r="K15737" i="1"/>
  <c r="A15738" i="1"/>
  <c r="B15738" i="1"/>
  <c r="C15738" i="1"/>
  <c r="E15738" i="1"/>
  <c r="G15738" i="1"/>
  <c r="K15738" i="1"/>
  <c r="A15739" i="1"/>
  <c r="B15739" i="1"/>
  <c r="C15739" i="1"/>
  <c r="E15739" i="1"/>
  <c r="G15739" i="1"/>
  <c r="K15739" i="1"/>
  <c r="A15740" i="1"/>
  <c r="B15740" i="1"/>
  <c r="C15740" i="1"/>
  <c r="E15740" i="1"/>
  <c r="G15740" i="1"/>
  <c r="K15740" i="1"/>
  <c r="A15741" i="1"/>
  <c r="B15741" i="1"/>
  <c r="C15741" i="1"/>
  <c r="E15741" i="1"/>
  <c r="G15741" i="1"/>
  <c r="K15741" i="1"/>
  <c r="A15742" i="1"/>
  <c r="B15742" i="1"/>
  <c r="C15742" i="1"/>
  <c r="E15742" i="1"/>
  <c r="G15742" i="1"/>
  <c r="K15742" i="1"/>
  <c r="A15743" i="1"/>
  <c r="B15743" i="1"/>
  <c r="C15743" i="1"/>
  <c r="E15743" i="1"/>
  <c r="G15743" i="1"/>
  <c r="K15743" i="1"/>
  <c r="A15744" i="1"/>
  <c r="B15744" i="1"/>
  <c r="C15744" i="1"/>
  <c r="E15744" i="1"/>
  <c r="G15744" i="1"/>
  <c r="K15744" i="1"/>
  <c r="A15745" i="1"/>
  <c r="B15745" i="1"/>
  <c r="C15745" i="1"/>
  <c r="E15745" i="1"/>
  <c r="G15745" i="1"/>
  <c r="K15745" i="1"/>
  <c r="A15746" i="1"/>
  <c r="B15746" i="1"/>
  <c r="C15746" i="1"/>
  <c r="E15746" i="1"/>
  <c r="G15746" i="1"/>
  <c r="K15746" i="1"/>
  <c r="A15747" i="1"/>
  <c r="B15747" i="1"/>
  <c r="C15747" i="1"/>
  <c r="E15747" i="1"/>
  <c r="G15747" i="1"/>
  <c r="K15747" i="1"/>
  <c r="A15748" i="1"/>
  <c r="B15748" i="1"/>
  <c r="C15748" i="1"/>
  <c r="E15748" i="1"/>
  <c r="G15748" i="1"/>
  <c r="K15748" i="1"/>
  <c r="A15749" i="1"/>
  <c r="B15749" i="1"/>
  <c r="C15749" i="1"/>
  <c r="E15749" i="1"/>
  <c r="G15749" i="1"/>
  <c r="K15749" i="1"/>
  <c r="A15750" i="1"/>
  <c r="B15750" i="1"/>
  <c r="C15750" i="1"/>
  <c r="E15750" i="1"/>
  <c r="G15750" i="1"/>
  <c r="K15750" i="1"/>
  <c r="A15751" i="1"/>
  <c r="B15751" i="1"/>
  <c r="C15751" i="1"/>
  <c r="E15751" i="1"/>
  <c r="G15751" i="1"/>
  <c r="K15751" i="1"/>
  <c r="A15752" i="1"/>
  <c r="B15752" i="1"/>
  <c r="C15752" i="1"/>
  <c r="E15752" i="1"/>
  <c r="G15752" i="1"/>
  <c r="K15752" i="1"/>
  <c r="A15753" i="1"/>
  <c r="B15753" i="1"/>
  <c r="C15753" i="1"/>
  <c r="E15753" i="1"/>
  <c r="G15753" i="1"/>
  <c r="K15753" i="1"/>
  <c r="A15754" i="1"/>
  <c r="B15754" i="1"/>
  <c r="C15754" i="1"/>
  <c r="E15754" i="1"/>
  <c r="G15754" i="1"/>
  <c r="K15754" i="1"/>
  <c r="A15755" i="1"/>
  <c r="B15755" i="1"/>
  <c r="C15755" i="1"/>
  <c r="E15755" i="1"/>
  <c r="G15755" i="1"/>
  <c r="K15755" i="1"/>
  <c r="A15756" i="1"/>
  <c r="B15756" i="1"/>
  <c r="C15756" i="1"/>
  <c r="E15756" i="1"/>
  <c r="G15756" i="1"/>
  <c r="K15756" i="1"/>
  <c r="A15757" i="1"/>
  <c r="B15757" i="1"/>
  <c r="C15757" i="1"/>
  <c r="E15757" i="1"/>
  <c r="G15757" i="1"/>
  <c r="K15757" i="1"/>
  <c r="A15758" i="1"/>
  <c r="B15758" i="1"/>
  <c r="C15758" i="1"/>
  <c r="E15758" i="1"/>
  <c r="G15758" i="1"/>
  <c r="K15758" i="1"/>
  <c r="A15759" i="1"/>
  <c r="B15759" i="1"/>
  <c r="C15759" i="1"/>
  <c r="E15759" i="1"/>
  <c r="G15759" i="1"/>
  <c r="K15759" i="1"/>
  <c r="A15760" i="1"/>
  <c r="B15760" i="1"/>
  <c r="C15760" i="1"/>
  <c r="E15760" i="1"/>
  <c r="G15760" i="1"/>
  <c r="K15760" i="1"/>
  <c r="A15761" i="1"/>
  <c r="B15761" i="1"/>
  <c r="C15761" i="1"/>
  <c r="E15761" i="1"/>
  <c r="G15761" i="1"/>
  <c r="K15761" i="1"/>
  <c r="A15762" i="1"/>
  <c r="B15762" i="1"/>
  <c r="C15762" i="1"/>
  <c r="E15762" i="1"/>
  <c r="G15762" i="1"/>
  <c r="K15762" i="1"/>
  <c r="A15763" i="1"/>
  <c r="B15763" i="1"/>
  <c r="C15763" i="1"/>
  <c r="E15763" i="1"/>
  <c r="G15763" i="1"/>
  <c r="K15763" i="1"/>
  <c r="A15764" i="1"/>
  <c r="B15764" i="1"/>
  <c r="C15764" i="1"/>
  <c r="E15764" i="1"/>
  <c r="G15764" i="1"/>
  <c r="K15764" i="1"/>
  <c r="A15765" i="1"/>
  <c r="B15765" i="1"/>
  <c r="C15765" i="1"/>
  <c r="E15765" i="1"/>
  <c r="G15765" i="1"/>
  <c r="K15765" i="1"/>
  <c r="A15766" i="1"/>
  <c r="B15766" i="1"/>
  <c r="C15766" i="1"/>
  <c r="E15766" i="1"/>
  <c r="G15766" i="1"/>
  <c r="K15766" i="1"/>
  <c r="A15767" i="1"/>
  <c r="B15767" i="1"/>
  <c r="C15767" i="1"/>
  <c r="E15767" i="1"/>
  <c r="G15767" i="1"/>
  <c r="K15767" i="1"/>
  <c r="A15768" i="1"/>
  <c r="B15768" i="1"/>
  <c r="C15768" i="1"/>
  <c r="E15768" i="1"/>
  <c r="G15768" i="1"/>
  <c r="K15768" i="1"/>
  <c r="A15769" i="1"/>
  <c r="B15769" i="1"/>
  <c r="C15769" i="1"/>
  <c r="E15769" i="1"/>
  <c r="G15769" i="1"/>
  <c r="K15769" i="1"/>
  <c r="A15770" i="1"/>
  <c r="B15770" i="1"/>
  <c r="C15770" i="1"/>
  <c r="E15770" i="1"/>
  <c r="G15770" i="1"/>
  <c r="K15770" i="1"/>
  <c r="A15771" i="1"/>
  <c r="B15771" i="1"/>
  <c r="C15771" i="1"/>
  <c r="E15771" i="1"/>
  <c r="G15771" i="1"/>
  <c r="K15771" i="1"/>
  <c r="A15772" i="1"/>
  <c r="B15772" i="1"/>
  <c r="C15772" i="1"/>
  <c r="E15772" i="1"/>
  <c r="G15772" i="1"/>
  <c r="K15772" i="1"/>
  <c r="A15773" i="1"/>
  <c r="B15773" i="1"/>
  <c r="C15773" i="1"/>
  <c r="E15773" i="1"/>
  <c r="G15773" i="1"/>
  <c r="K15773" i="1"/>
  <c r="A15774" i="1"/>
  <c r="B15774" i="1"/>
  <c r="C15774" i="1"/>
  <c r="E15774" i="1"/>
  <c r="G15774" i="1"/>
  <c r="K15774" i="1"/>
  <c r="A15775" i="1"/>
  <c r="B15775" i="1"/>
  <c r="C15775" i="1"/>
  <c r="E15775" i="1"/>
  <c r="G15775" i="1"/>
  <c r="K15775" i="1"/>
  <c r="A15776" i="1"/>
  <c r="B15776" i="1"/>
  <c r="C15776" i="1"/>
  <c r="E15776" i="1"/>
  <c r="G15776" i="1"/>
  <c r="K15776" i="1"/>
  <c r="A15777" i="1"/>
  <c r="B15777" i="1"/>
  <c r="C15777" i="1"/>
  <c r="E15777" i="1"/>
  <c r="G15777" i="1"/>
  <c r="K15777" i="1"/>
  <c r="A15778" i="1"/>
  <c r="B15778" i="1"/>
  <c r="C15778" i="1"/>
  <c r="E15778" i="1"/>
  <c r="G15778" i="1"/>
  <c r="K15778" i="1"/>
  <c r="A15779" i="1"/>
  <c r="B15779" i="1"/>
  <c r="C15779" i="1"/>
  <c r="E15779" i="1"/>
  <c r="G15779" i="1"/>
  <c r="K15779" i="1"/>
  <c r="A15780" i="1"/>
  <c r="B15780" i="1"/>
  <c r="C15780" i="1"/>
  <c r="E15780" i="1"/>
  <c r="G15780" i="1"/>
  <c r="K15780" i="1"/>
  <c r="A15781" i="1"/>
  <c r="B15781" i="1"/>
  <c r="C15781" i="1"/>
  <c r="E15781" i="1"/>
  <c r="G15781" i="1"/>
  <c r="K15781" i="1"/>
  <c r="A15782" i="1"/>
  <c r="B15782" i="1"/>
  <c r="C15782" i="1"/>
  <c r="E15782" i="1"/>
  <c r="G15782" i="1"/>
  <c r="K15782" i="1"/>
  <c r="A15783" i="1"/>
  <c r="B15783" i="1"/>
  <c r="C15783" i="1"/>
  <c r="E15783" i="1"/>
  <c r="G15783" i="1"/>
  <c r="K15783" i="1"/>
  <c r="A15784" i="1"/>
  <c r="B15784" i="1"/>
  <c r="C15784" i="1"/>
  <c r="E15784" i="1"/>
  <c r="G15784" i="1"/>
  <c r="K15784" i="1"/>
  <c r="A15785" i="1"/>
  <c r="B15785" i="1"/>
  <c r="C15785" i="1"/>
  <c r="E15785" i="1"/>
  <c r="G15785" i="1"/>
  <c r="K15785" i="1"/>
  <c r="A15786" i="1"/>
  <c r="B15786" i="1"/>
  <c r="C15786" i="1"/>
  <c r="E15786" i="1"/>
  <c r="G15786" i="1"/>
  <c r="K15786" i="1"/>
  <c r="A15787" i="1"/>
  <c r="B15787" i="1"/>
  <c r="C15787" i="1"/>
  <c r="E15787" i="1"/>
  <c r="G15787" i="1"/>
  <c r="K15787" i="1"/>
  <c r="A15788" i="1"/>
  <c r="B15788" i="1"/>
  <c r="C15788" i="1"/>
  <c r="E15788" i="1"/>
  <c r="G15788" i="1"/>
  <c r="K15788" i="1"/>
  <c r="A15789" i="1"/>
  <c r="B15789" i="1"/>
  <c r="C15789" i="1"/>
  <c r="E15789" i="1"/>
  <c r="G15789" i="1"/>
  <c r="K15789" i="1"/>
  <c r="A15790" i="1"/>
  <c r="B15790" i="1"/>
  <c r="C15790" i="1"/>
  <c r="E15790" i="1"/>
  <c r="G15790" i="1"/>
  <c r="K15790" i="1"/>
  <c r="A15791" i="1"/>
  <c r="B15791" i="1"/>
  <c r="C15791" i="1"/>
  <c r="E15791" i="1"/>
  <c r="G15791" i="1"/>
  <c r="K15791" i="1"/>
  <c r="A15792" i="1"/>
  <c r="B15792" i="1"/>
  <c r="C15792" i="1"/>
  <c r="E15792" i="1"/>
  <c r="G15792" i="1"/>
  <c r="K15792" i="1"/>
  <c r="A15793" i="1"/>
  <c r="B15793" i="1"/>
  <c r="C15793" i="1"/>
  <c r="E15793" i="1"/>
  <c r="G15793" i="1"/>
  <c r="K15793" i="1"/>
  <c r="A15794" i="1"/>
  <c r="B15794" i="1"/>
  <c r="C15794" i="1"/>
  <c r="E15794" i="1"/>
  <c r="G15794" i="1"/>
  <c r="K15794" i="1"/>
  <c r="A15795" i="1"/>
  <c r="B15795" i="1"/>
  <c r="C15795" i="1"/>
  <c r="E15795" i="1"/>
  <c r="G15795" i="1"/>
  <c r="K15795" i="1"/>
  <c r="A15796" i="1"/>
  <c r="B15796" i="1"/>
  <c r="C15796" i="1"/>
  <c r="E15796" i="1"/>
  <c r="G15796" i="1"/>
  <c r="K15796" i="1"/>
  <c r="A15797" i="1"/>
  <c r="B15797" i="1"/>
  <c r="C15797" i="1"/>
  <c r="E15797" i="1"/>
  <c r="G15797" i="1"/>
  <c r="K15797" i="1"/>
  <c r="A15798" i="1"/>
  <c r="B15798" i="1"/>
  <c r="C15798" i="1"/>
  <c r="E15798" i="1"/>
  <c r="G15798" i="1"/>
  <c r="K15798" i="1"/>
  <c r="A15799" i="1"/>
  <c r="B15799" i="1"/>
  <c r="C15799" i="1"/>
  <c r="E15799" i="1"/>
  <c r="G15799" i="1"/>
  <c r="K15799" i="1"/>
  <c r="A15800" i="1"/>
  <c r="B15800" i="1"/>
  <c r="C15800" i="1"/>
  <c r="E15800" i="1"/>
  <c r="G15800" i="1"/>
  <c r="K15800" i="1"/>
  <c r="A15801" i="1"/>
  <c r="B15801" i="1"/>
  <c r="C15801" i="1"/>
  <c r="E15801" i="1"/>
  <c r="G15801" i="1"/>
  <c r="K15801" i="1"/>
  <c r="A15802" i="1"/>
  <c r="B15802" i="1"/>
  <c r="C15802" i="1"/>
  <c r="E15802" i="1"/>
  <c r="G15802" i="1"/>
  <c r="K15802" i="1"/>
  <c r="A15803" i="1"/>
  <c r="B15803" i="1"/>
  <c r="C15803" i="1"/>
  <c r="E15803" i="1"/>
  <c r="G15803" i="1"/>
  <c r="K15803" i="1"/>
  <c r="A15804" i="1"/>
  <c r="B15804" i="1"/>
  <c r="C15804" i="1"/>
  <c r="E15804" i="1"/>
  <c r="G15804" i="1"/>
  <c r="K15804" i="1"/>
  <c r="A15805" i="1"/>
  <c r="B15805" i="1"/>
  <c r="C15805" i="1"/>
  <c r="E15805" i="1"/>
  <c r="G15805" i="1"/>
  <c r="K15805" i="1"/>
  <c r="A15806" i="1"/>
  <c r="B15806" i="1"/>
  <c r="C15806" i="1"/>
  <c r="E15806" i="1"/>
  <c r="G15806" i="1"/>
  <c r="K15806" i="1"/>
  <c r="A15807" i="1"/>
  <c r="B15807" i="1"/>
  <c r="C15807" i="1"/>
  <c r="E15807" i="1"/>
  <c r="G15807" i="1"/>
  <c r="K15807" i="1"/>
  <c r="A15808" i="1"/>
  <c r="B15808" i="1"/>
  <c r="C15808" i="1"/>
  <c r="E15808" i="1"/>
  <c r="G15808" i="1"/>
  <c r="K15808" i="1"/>
  <c r="A15809" i="1"/>
  <c r="B15809" i="1"/>
  <c r="C15809" i="1"/>
  <c r="E15809" i="1"/>
  <c r="G15809" i="1"/>
  <c r="K15809" i="1"/>
  <c r="A15810" i="1"/>
  <c r="B15810" i="1"/>
  <c r="C15810" i="1"/>
  <c r="E15810" i="1"/>
  <c r="G15810" i="1"/>
  <c r="K15810" i="1"/>
  <c r="A15811" i="1"/>
  <c r="B15811" i="1"/>
  <c r="C15811" i="1"/>
  <c r="E15811" i="1"/>
  <c r="G15811" i="1"/>
  <c r="K15811" i="1"/>
  <c r="A15812" i="1"/>
  <c r="B15812" i="1"/>
  <c r="C15812" i="1"/>
  <c r="E15812" i="1"/>
  <c r="G15812" i="1"/>
  <c r="K15812" i="1"/>
  <c r="A15813" i="1"/>
  <c r="B15813" i="1"/>
  <c r="C15813" i="1"/>
  <c r="E15813" i="1"/>
  <c r="G15813" i="1"/>
  <c r="K15813" i="1"/>
  <c r="A15814" i="1"/>
  <c r="B15814" i="1"/>
  <c r="C15814" i="1"/>
  <c r="E15814" i="1"/>
  <c r="G15814" i="1"/>
  <c r="K15814" i="1"/>
  <c r="A15815" i="1"/>
  <c r="B15815" i="1"/>
  <c r="C15815" i="1"/>
  <c r="E15815" i="1"/>
  <c r="G15815" i="1"/>
  <c r="K15815" i="1"/>
  <c r="A15816" i="1"/>
  <c r="B15816" i="1"/>
  <c r="C15816" i="1"/>
  <c r="E15816" i="1"/>
  <c r="G15816" i="1"/>
  <c r="K15816" i="1"/>
  <c r="A15817" i="1"/>
  <c r="B15817" i="1"/>
  <c r="C15817" i="1"/>
  <c r="E15817" i="1"/>
  <c r="G15817" i="1"/>
  <c r="K15817" i="1"/>
  <c r="A15818" i="1"/>
  <c r="B15818" i="1"/>
  <c r="C15818" i="1"/>
  <c r="E15818" i="1"/>
  <c r="G15818" i="1"/>
  <c r="K15818" i="1"/>
  <c r="A15819" i="1"/>
  <c r="B15819" i="1"/>
  <c r="C15819" i="1"/>
  <c r="E15819" i="1"/>
  <c r="G15819" i="1"/>
  <c r="K15819" i="1"/>
  <c r="A15820" i="1"/>
  <c r="B15820" i="1"/>
  <c r="C15820" i="1"/>
  <c r="E15820" i="1"/>
  <c r="G15820" i="1"/>
  <c r="K15820" i="1"/>
  <c r="A15821" i="1"/>
  <c r="B15821" i="1"/>
  <c r="C15821" i="1"/>
  <c r="E15821" i="1"/>
  <c r="G15821" i="1"/>
  <c r="K15821" i="1"/>
  <c r="A15822" i="1"/>
  <c r="B15822" i="1"/>
  <c r="C15822" i="1"/>
  <c r="E15822" i="1"/>
  <c r="G15822" i="1"/>
  <c r="K15822" i="1"/>
  <c r="A15823" i="1"/>
  <c r="B15823" i="1"/>
  <c r="C15823" i="1"/>
  <c r="E15823" i="1"/>
  <c r="G15823" i="1"/>
  <c r="K15823" i="1"/>
  <c r="A15824" i="1"/>
  <c r="B15824" i="1"/>
  <c r="C15824" i="1"/>
  <c r="E15824" i="1"/>
  <c r="G15824" i="1"/>
  <c r="K15824" i="1"/>
  <c r="A15825" i="1"/>
  <c r="B15825" i="1"/>
  <c r="C15825" i="1"/>
  <c r="E15825" i="1"/>
  <c r="G15825" i="1"/>
  <c r="K15825" i="1"/>
  <c r="A15826" i="1"/>
  <c r="B15826" i="1"/>
  <c r="C15826" i="1"/>
  <c r="E15826" i="1"/>
  <c r="G15826" i="1"/>
  <c r="K15826" i="1"/>
  <c r="A15827" i="1"/>
  <c r="B15827" i="1"/>
  <c r="C15827" i="1"/>
  <c r="E15827" i="1"/>
  <c r="G15827" i="1"/>
  <c r="K15827" i="1"/>
  <c r="A15828" i="1"/>
  <c r="B15828" i="1"/>
  <c r="C15828" i="1"/>
  <c r="E15828" i="1"/>
  <c r="G15828" i="1"/>
  <c r="K15828" i="1"/>
  <c r="A15829" i="1"/>
  <c r="B15829" i="1"/>
  <c r="C15829" i="1"/>
  <c r="E15829" i="1"/>
  <c r="G15829" i="1"/>
  <c r="K15829" i="1"/>
  <c r="A15830" i="1"/>
  <c r="B15830" i="1"/>
  <c r="C15830" i="1"/>
  <c r="E15830" i="1"/>
  <c r="G15830" i="1"/>
  <c r="K15830" i="1"/>
  <c r="A15831" i="1"/>
  <c r="B15831" i="1"/>
  <c r="C15831" i="1"/>
  <c r="E15831" i="1"/>
  <c r="G15831" i="1"/>
  <c r="K15831" i="1"/>
  <c r="A15832" i="1"/>
  <c r="B15832" i="1"/>
  <c r="C15832" i="1"/>
  <c r="E15832" i="1"/>
  <c r="G15832" i="1"/>
  <c r="K15832" i="1"/>
  <c r="A15833" i="1"/>
  <c r="B15833" i="1"/>
  <c r="C15833" i="1"/>
  <c r="E15833" i="1"/>
  <c r="G15833" i="1"/>
  <c r="K15833" i="1"/>
  <c r="A15834" i="1"/>
  <c r="B15834" i="1"/>
  <c r="C15834" i="1"/>
  <c r="E15834" i="1"/>
  <c r="G15834" i="1"/>
  <c r="K15834" i="1"/>
  <c r="A15835" i="1"/>
  <c r="B15835" i="1"/>
  <c r="C15835" i="1"/>
  <c r="E15835" i="1"/>
  <c r="G15835" i="1"/>
  <c r="K15835" i="1"/>
  <c r="A15836" i="1"/>
  <c r="B15836" i="1"/>
  <c r="C15836" i="1"/>
  <c r="E15836" i="1"/>
  <c r="G15836" i="1"/>
  <c r="K15836" i="1"/>
  <c r="A15837" i="1"/>
  <c r="B15837" i="1"/>
  <c r="C15837" i="1"/>
  <c r="E15837" i="1"/>
  <c r="G15837" i="1"/>
  <c r="K15837" i="1"/>
  <c r="A15838" i="1"/>
  <c r="B15838" i="1"/>
  <c r="C15838" i="1"/>
  <c r="E15838" i="1"/>
  <c r="G15838" i="1"/>
  <c r="K15838" i="1"/>
  <c r="A15839" i="1"/>
  <c r="B15839" i="1"/>
  <c r="C15839" i="1"/>
  <c r="E15839" i="1"/>
  <c r="G15839" i="1"/>
  <c r="K15839" i="1"/>
  <c r="A15840" i="1"/>
  <c r="B15840" i="1"/>
  <c r="C15840" i="1"/>
  <c r="E15840" i="1"/>
  <c r="G15840" i="1"/>
  <c r="K15840" i="1"/>
  <c r="A15841" i="1"/>
  <c r="B15841" i="1"/>
  <c r="C15841" i="1"/>
  <c r="E15841" i="1"/>
  <c r="G15841" i="1"/>
  <c r="K15841" i="1"/>
  <c r="A15842" i="1"/>
  <c r="B15842" i="1"/>
  <c r="C15842" i="1"/>
  <c r="E15842" i="1"/>
  <c r="G15842" i="1"/>
  <c r="K15842" i="1"/>
  <c r="A15843" i="1"/>
  <c r="B15843" i="1"/>
  <c r="C15843" i="1"/>
  <c r="E15843" i="1"/>
  <c r="G15843" i="1"/>
  <c r="K15843" i="1"/>
  <c r="A15844" i="1"/>
  <c r="B15844" i="1"/>
  <c r="C15844" i="1"/>
  <c r="E15844" i="1"/>
  <c r="G15844" i="1"/>
  <c r="K15844" i="1"/>
  <c r="A15845" i="1"/>
  <c r="B15845" i="1"/>
  <c r="C15845" i="1"/>
  <c r="E15845" i="1"/>
  <c r="G15845" i="1"/>
  <c r="K15845" i="1"/>
  <c r="A15846" i="1"/>
  <c r="B15846" i="1"/>
  <c r="C15846" i="1"/>
  <c r="E15846" i="1"/>
  <c r="G15846" i="1"/>
  <c r="K15846" i="1"/>
  <c r="A15847" i="1"/>
  <c r="B15847" i="1"/>
  <c r="C15847" i="1"/>
  <c r="E15847" i="1"/>
  <c r="G15847" i="1"/>
  <c r="K15847" i="1"/>
  <c r="A15848" i="1"/>
  <c r="B15848" i="1"/>
  <c r="C15848" i="1"/>
  <c r="E15848" i="1"/>
  <c r="G15848" i="1"/>
  <c r="K15848" i="1"/>
  <c r="A15849" i="1"/>
  <c r="B15849" i="1"/>
  <c r="C15849" i="1"/>
  <c r="E15849" i="1"/>
  <c r="G15849" i="1"/>
  <c r="K15849" i="1"/>
  <c r="A15850" i="1"/>
  <c r="B15850" i="1"/>
  <c r="C15850" i="1"/>
  <c r="E15850" i="1"/>
  <c r="G15850" i="1"/>
  <c r="K15850" i="1"/>
  <c r="A15851" i="1"/>
  <c r="B15851" i="1"/>
  <c r="C15851" i="1"/>
  <c r="E15851" i="1"/>
  <c r="G15851" i="1"/>
  <c r="K15851" i="1"/>
  <c r="A15852" i="1"/>
  <c r="B15852" i="1"/>
  <c r="C15852" i="1"/>
  <c r="E15852" i="1"/>
  <c r="G15852" i="1"/>
  <c r="K15852" i="1"/>
  <c r="A15853" i="1"/>
  <c r="B15853" i="1"/>
  <c r="C15853" i="1"/>
  <c r="E15853" i="1"/>
  <c r="G15853" i="1"/>
  <c r="K15853" i="1"/>
  <c r="A15854" i="1"/>
  <c r="B15854" i="1"/>
  <c r="C15854" i="1"/>
  <c r="E15854" i="1"/>
  <c r="G15854" i="1"/>
  <c r="K15854" i="1"/>
  <c r="A15855" i="1"/>
  <c r="B15855" i="1"/>
  <c r="C15855" i="1"/>
  <c r="E15855" i="1"/>
  <c r="G15855" i="1"/>
  <c r="K15855" i="1"/>
  <c r="A15856" i="1"/>
  <c r="B15856" i="1"/>
  <c r="C15856" i="1"/>
  <c r="E15856" i="1"/>
  <c r="G15856" i="1"/>
  <c r="K15856" i="1"/>
  <c r="A15857" i="1"/>
  <c r="B15857" i="1"/>
  <c r="C15857" i="1"/>
  <c r="E15857" i="1"/>
  <c r="G15857" i="1"/>
  <c r="K15857" i="1"/>
  <c r="A15858" i="1"/>
  <c r="B15858" i="1"/>
  <c r="C15858" i="1"/>
  <c r="E15858" i="1"/>
  <c r="G15858" i="1"/>
  <c r="K15858" i="1"/>
  <c r="A15859" i="1"/>
  <c r="B15859" i="1"/>
  <c r="C15859" i="1"/>
  <c r="E15859" i="1"/>
  <c r="G15859" i="1"/>
  <c r="K15859" i="1"/>
  <c r="A15860" i="1"/>
  <c r="B15860" i="1"/>
  <c r="C15860" i="1"/>
  <c r="E15860" i="1"/>
  <c r="G15860" i="1"/>
  <c r="K15860" i="1"/>
  <c r="A15861" i="1"/>
  <c r="B15861" i="1"/>
  <c r="C15861" i="1"/>
  <c r="E15861" i="1"/>
  <c r="G15861" i="1"/>
  <c r="K15861" i="1"/>
  <c r="A15862" i="1"/>
  <c r="B15862" i="1"/>
  <c r="C15862" i="1"/>
  <c r="E15862" i="1"/>
  <c r="G15862" i="1"/>
  <c r="K15862" i="1"/>
  <c r="A15863" i="1"/>
  <c r="B15863" i="1"/>
  <c r="C15863" i="1"/>
  <c r="E15863" i="1"/>
  <c r="G15863" i="1"/>
  <c r="K15863" i="1"/>
  <c r="A15864" i="1"/>
  <c r="B15864" i="1"/>
  <c r="C15864" i="1"/>
  <c r="E15864" i="1"/>
  <c r="G15864" i="1"/>
  <c r="K15864" i="1"/>
  <c r="A15865" i="1"/>
  <c r="B15865" i="1"/>
  <c r="C15865" i="1"/>
  <c r="E15865" i="1"/>
  <c r="G15865" i="1"/>
  <c r="K15865" i="1"/>
  <c r="A15866" i="1"/>
  <c r="B15866" i="1"/>
  <c r="C15866" i="1"/>
  <c r="E15866" i="1"/>
  <c r="G15866" i="1"/>
  <c r="K15866" i="1"/>
  <c r="A15867" i="1"/>
  <c r="B15867" i="1"/>
  <c r="C15867" i="1"/>
  <c r="E15867" i="1"/>
  <c r="G15867" i="1"/>
  <c r="K15867" i="1"/>
  <c r="A15868" i="1"/>
  <c r="B15868" i="1"/>
  <c r="C15868" i="1"/>
  <c r="E15868" i="1"/>
  <c r="G15868" i="1"/>
  <c r="K15868" i="1"/>
  <c r="A15869" i="1"/>
  <c r="B15869" i="1"/>
  <c r="C15869" i="1"/>
  <c r="E15869" i="1"/>
  <c r="G15869" i="1"/>
  <c r="K15869" i="1"/>
  <c r="A15870" i="1"/>
  <c r="B15870" i="1"/>
  <c r="C15870" i="1"/>
  <c r="E15870" i="1"/>
  <c r="G15870" i="1"/>
  <c r="K15870" i="1"/>
  <c r="A15871" i="1"/>
  <c r="B15871" i="1"/>
  <c r="C15871" i="1"/>
  <c r="E15871" i="1"/>
  <c r="G15871" i="1"/>
  <c r="K15871" i="1"/>
  <c r="A15872" i="1"/>
  <c r="B15872" i="1"/>
  <c r="C15872" i="1"/>
  <c r="E15872" i="1"/>
  <c r="G15872" i="1"/>
  <c r="K15872" i="1"/>
  <c r="A15873" i="1"/>
  <c r="B15873" i="1"/>
  <c r="C15873" i="1"/>
  <c r="E15873" i="1"/>
  <c r="G15873" i="1"/>
  <c r="K15873" i="1"/>
  <c r="A15874" i="1"/>
  <c r="B15874" i="1"/>
  <c r="C15874" i="1"/>
  <c r="E15874" i="1"/>
  <c r="G15874" i="1"/>
  <c r="K15874" i="1"/>
  <c r="A15875" i="1"/>
  <c r="B15875" i="1"/>
  <c r="C15875" i="1"/>
  <c r="E15875" i="1"/>
  <c r="G15875" i="1"/>
  <c r="K15875" i="1"/>
  <c r="A15876" i="1"/>
  <c r="B15876" i="1"/>
  <c r="C15876" i="1"/>
  <c r="E15876" i="1"/>
  <c r="G15876" i="1"/>
  <c r="K15876" i="1"/>
  <c r="A15877" i="1"/>
  <c r="B15877" i="1"/>
  <c r="C15877" i="1"/>
  <c r="E15877" i="1"/>
  <c r="G15877" i="1"/>
  <c r="K15877" i="1"/>
  <c r="A15878" i="1"/>
  <c r="B15878" i="1"/>
  <c r="C15878" i="1"/>
  <c r="E15878" i="1"/>
  <c r="G15878" i="1"/>
  <c r="K15878" i="1"/>
  <c r="A15879" i="1"/>
  <c r="B15879" i="1"/>
  <c r="C15879" i="1"/>
  <c r="E15879" i="1"/>
  <c r="G15879" i="1"/>
  <c r="K15879" i="1"/>
  <c r="A15880" i="1"/>
  <c r="B15880" i="1"/>
  <c r="C15880" i="1"/>
  <c r="E15880" i="1"/>
  <c r="G15880" i="1"/>
  <c r="K15880" i="1"/>
  <c r="A15881" i="1"/>
  <c r="B15881" i="1"/>
  <c r="C15881" i="1"/>
  <c r="E15881" i="1"/>
  <c r="G15881" i="1"/>
  <c r="K15881" i="1"/>
  <c r="A15882" i="1"/>
  <c r="B15882" i="1"/>
  <c r="C15882" i="1"/>
  <c r="E15882" i="1"/>
  <c r="G15882" i="1"/>
  <c r="K15882" i="1"/>
  <c r="A15883" i="1"/>
  <c r="B15883" i="1"/>
  <c r="C15883" i="1"/>
  <c r="E15883" i="1"/>
  <c r="G15883" i="1"/>
  <c r="K15883" i="1"/>
  <c r="A15884" i="1"/>
  <c r="B15884" i="1"/>
  <c r="C15884" i="1"/>
  <c r="E15884" i="1"/>
  <c r="G15884" i="1"/>
  <c r="K15884" i="1"/>
  <c r="A15885" i="1"/>
  <c r="B15885" i="1"/>
  <c r="C15885" i="1"/>
  <c r="E15885" i="1"/>
  <c r="G15885" i="1"/>
  <c r="K15885" i="1"/>
  <c r="A15886" i="1"/>
  <c r="B15886" i="1"/>
  <c r="C15886" i="1"/>
  <c r="E15886" i="1"/>
  <c r="G15886" i="1"/>
  <c r="K15886" i="1"/>
  <c r="A15887" i="1"/>
  <c r="B15887" i="1"/>
  <c r="C15887" i="1"/>
  <c r="E15887" i="1"/>
  <c r="G15887" i="1"/>
  <c r="K15887" i="1"/>
  <c r="A15888" i="1"/>
  <c r="B15888" i="1"/>
  <c r="C15888" i="1"/>
  <c r="E15888" i="1"/>
  <c r="G15888" i="1"/>
  <c r="K15888" i="1"/>
  <c r="A15889" i="1"/>
  <c r="B15889" i="1"/>
  <c r="C15889" i="1"/>
  <c r="E15889" i="1"/>
  <c r="G15889" i="1"/>
  <c r="K15889" i="1"/>
  <c r="A15890" i="1"/>
  <c r="B15890" i="1"/>
  <c r="C15890" i="1"/>
  <c r="E15890" i="1"/>
  <c r="G15890" i="1"/>
  <c r="K15890" i="1"/>
  <c r="A15891" i="1"/>
  <c r="B15891" i="1"/>
  <c r="C15891" i="1"/>
  <c r="E15891" i="1"/>
  <c r="G15891" i="1"/>
  <c r="K15891" i="1"/>
  <c r="A15892" i="1"/>
  <c r="B15892" i="1"/>
  <c r="C15892" i="1"/>
  <c r="E15892" i="1"/>
  <c r="G15892" i="1"/>
  <c r="K15892" i="1"/>
  <c r="A15893" i="1"/>
  <c r="B15893" i="1"/>
  <c r="C15893" i="1"/>
  <c r="E15893" i="1"/>
  <c r="G15893" i="1"/>
  <c r="K15893" i="1"/>
  <c r="A15894" i="1"/>
  <c r="B15894" i="1"/>
  <c r="C15894" i="1"/>
  <c r="E15894" i="1"/>
  <c r="G15894" i="1"/>
  <c r="K15894" i="1"/>
  <c r="A15895" i="1"/>
  <c r="B15895" i="1"/>
  <c r="C15895" i="1"/>
  <c r="E15895" i="1"/>
  <c r="G15895" i="1"/>
  <c r="K15895" i="1"/>
  <c r="A15896" i="1"/>
  <c r="B15896" i="1"/>
  <c r="C15896" i="1"/>
  <c r="E15896" i="1"/>
  <c r="G15896" i="1"/>
  <c r="K15896" i="1"/>
  <c r="A15897" i="1"/>
  <c r="B15897" i="1"/>
  <c r="C15897" i="1"/>
  <c r="E15897" i="1"/>
  <c r="G15897" i="1"/>
  <c r="K15897" i="1"/>
  <c r="A15898" i="1"/>
  <c r="B15898" i="1"/>
  <c r="C15898" i="1"/>
  <c r="E15898" i="1"/>
  <c r="G15898" i="1"/>
  <c r="K15898" i="1"/>
  <c r="A15899" i="1"/>
  <c r="B15899" i="1"/>
  <c r="C15899" i="1"/>
  <c r="E15899" i="1"/>
  <c r="G15899" i="1"/>
  <c r="K15899" i="1"/>
  <c r="A15900" i="1"/>
  <c r="B15900" i="1"/>
  <c r="C15900" i="1"/>
  <c r="E15900" i="1"/>
  <c r="G15900" i="1"/>
  <c r="K15900" i="1"/>
  <c r="A15901" i="1"/>
  <c r="B15901" i="1"/>
  <c r="C15901" i="1"/>
  <c r="E15901" i="1"/>
  <c r="G15901" i="1"/>
  <c r="K15901" i="1"/>
  <c r="A15902" i="1"/>
  <c r="B15902" i="1"/>
  <c r="C15902" i="1"/>
  <c r="E15902" i="1"/>
  <c r="G15902" i="1"/>
  <c r="K15902" i="1"/>
  <c r="A15903" i="1"/>
  <c r="B15903" i="1"/>
  <c r="C15903" i="1"/>
  <c r="E15903" i="1"/>
  <c r="G15903" i="1"/>
  <c r="K15903" i="1"/>
  <c r="A15904" i="1"/>
  <c r="B15904" i="1"/>
  <c r="C15904" i="1"/>
  <c r="E15904" i="1"/>
  <c r="G15904" i="1"/>
  <c r="K15904" i="1"/>
  <c r="A15905" i="1"/>
  <c r="B15905" i="1"/>
  <c r="C15905" i="1"/>
  <c r="E15905" i="1"/>
  <c r="G15905" i="1"/>
  <c r="K15905" i="1"/>
  <c r="A15906" i="1"/>
  <c r="B15906" i="1"/>
  <c r="C15906" i="1"/>
  <c r="E15906" i="1"/>
  <c r="G15906" i="1"/>
  <c r="K15906" i="1"/>
  <c r="A15907" i="1"/>
  <c r="B15907" i="1"/>
  <c r="C15907" i="1"/>
  <c r="E15907" i="1"/>
  <c r="G15907" i="1"/>
  <c r="K15907" i="1"/>
  <c r="A15908" i="1"/>
  <c r="B15908" i="1"/>
  <c r="C15908" i="1"/>
  <c r="E15908" i="1"/>
  <c r="G15908" i="1"/>
  <c r="K15908" i="1"/>
  <c r="A15909" i="1"/>
  <c r="B15909" i="1"/>
  <c r="C15909" i="1"/>
  <c r="E15909" i="1"/>
  <c r="G15909" i="1"/>
  <c r="K15909" i="1"/>
  <c r="A15910" i="1"/>
  <c r="B15910" i="1"/>
  <c r="C15910" i="1"/>
  <c r="E15910" i="1"/>
  <c r="G15910" i="1"/>
  <c r="K15910" i="1"/>
  <c r="A15911" i="1"/>
  <c r="B15911" i="1"/>
  <c r="C15911" i="1"/>
  <c r="E15911" i="1"/>
  <c r="G15911" i="1"/>
  <c r="K15911" i="1"/>
  <c r="A15912" i="1"/>
  <c r="B15912" i="1"/>
  <c r="C15912" i="1"/>
  <c r="E15912" i="1"/>
  <c r="G15912" i="1"/>
  <c r="K15912" i="1"/>
  <c r="A15913" i="1"/>
  <c r="B15913" i="1"/>
  <c r="C15913" i="1"/>
  <c r="E15913" i="1"/>
  <c r="G15913" i="1"/>
  <c r="K15913" i="1"/>
  <c r="A15914" i="1"/>
  <c r="B15914" i="1"/>
  <c r="C15914" i="1"/>
  <c r="E15914" i="1"/>
  <c r="G15914" i="1"/>
  <c r="K15914" i="1"/>
  <c r="A15915" i="1"/>
  <c r="B15915" i="1"/>
  <c r="C15915" i="1"/>
  <c r="E15915" i="1"/>
  <c r="G15915" i="1"/>
  <c r="K15915" i="1"/>
  <c r="A15916" i="1"/>
  <c r="B15916" i="1"/>
  <c r="C15916" i="1"/>
  <c r="E15916" i="1"/>
  <c r="G15916" i="1"/>
  <c r="K15916" i="1"/>
  <c r="A15917" i="1"/>
  <c r="B15917" i="1"/>
  <c r="C15917" i="1"/>
  <c r="E15917" i="1"/>
  <c r="G15917" i="1"/>
  <c r="K15917" i="1"/>
  <c r="A15918" i="1"/>
  <c r="B15918" i="1"/>
  <c r="C15918" i="1"/>
  <c r="E15918" i="1"/>
  <c r="G15918" i="1"/>
  <c r="K15918" i="1"/>
  <c r="A15919" i="1"/>
  <c r="B15919" i="1"/>
  <c r="C15919" i="1"/>
  <c r="E15919" i="1"/>
  <c r="G15919" i="1"/>
  <c r="K15919" i="1"/>
  <c r="A15920" i="1"/>
  <c r="B15920" i="1"/>
  <c r="C15920" i="1"/>
  <c r="E15920" i="1"/>
  <c r="G15920" i="1"/>
  <c r="K15920" i="1"/>
  <c r="A15921" i="1"/>
  <c r="B15921" i="1"/>
  <c r="C15921" i="1"/>
  <c r="E15921" i="1"/>
  <c r="G15921" i="1"/>
  <c r="K15921" i="1"/>
  <c r="A15922" i="1"/>
  <c r="B15922" i="1"/>
  <c r="C15922" i="1"/>
  <c r="E15922" i="1"/>
  <c r="G15922" i="1"/>
  <c r="K15922" i="1"/>
  <c r="A15923" i="1"/>
  <c r="B15923" i="1"/>
  <c r="C15923" i="1"/>
  <c r="E15923" i="1"/>
  <c r="G15923" i="1"/>
  <c r="K15923" i="1"/>
  <c r="A15924" i="1"/>
  <c r="B15924" i="1"/>
  <c r="C15924" i="1"/>
  <c r="E15924" i="1"/>
  <c r="G15924" i="1"/>
  <c r="K15924" i="1"/>
  <c r="A15925" i="1"/>
  <c r="B15925" i="1"/>
  <c r="C15925" i="1"/>
  <c r="E15925" i="1"/>
  <c r="G15925" i="1"/>
  <c r="K15925" i="1"/>
  <c r="A15926" i="1"/>
  <c r="B15926" i="1"/>
  <c r="C15926" i="1"/>
  <c r="E15926" i="1"/>
  <c r="G15926" i="1"/>
  <c r="K15926" i="1"/>
  <c r="A15927" i="1"/>
  <c r="B15927" i="1"/>
  <c r="C15927" i="1"/>
  <c r="E15927" i="1"/>
  <c r="G15927" i="1"/>
  <c r="K15927" i="1"/>
  <c r="A15928" i="1"/>
  <c r="B15928" i="1"/>
  <c r="C15928" i="1"/>
  <c r="E15928" i="1"/>
  <c r="G15928" i="1"/>
  <c r="K15928" i="1"/>
  <c r="A15929" i="1"/>
  <c r="B15929" i="1"/>
  <c r="C15929" i="1"/>
  <c r="E15929" i="1"/>
  <c r="G15929" i="1"/>
  <c r="K15929" i="1"/>
  <c r="A15930" i="1"/>
  <c r="B15930" i="1"/>
  <c r="C15930" i="1"/>
  <c r="E15930" i="1"/>
  <c r="G15930" i="1"/>
  <c r="K15930" i="1"/>
  <c r="A15931" i="1"/>
  <c r="B15931" i="1"/>
  <c r="C15931" i="1"/>
  <c r="E15931" i="1"/>
  <c r="G15931" i="1"/>
  <c r="K15931" i="1"/>
  <c r="A15932" i="1"/>
  <c r="B15932" i="1"/>
  <c r="C15932" i="1"/>
  <c r="E15932" i="1"/>
  <c r="G15932" i="1"/>
  <c r="K15932" i="1"/>
  <c r="A15933" i="1"/>
  <c r="B15933" i="1"/>
  <c r="C15933" i="1"/>
  <c r="E15933" i="1"/>
  <c r="G15933" i="1"/>
  <c r="K15933" i="1"/>
  <c r="A15934" i="1"/>
  <c r="B15934" i="1"/>
  <c r="C15934" i="1"/>
  <c r="E15934" i="1"/>
  <c r="G15934" i="1"/>
  <c r="K15934" i="1"/>
  <c r="A15935" i="1"/>
  <c r="B15935" i="1"/>
  <c r="C15935" i="1"/>
  <c r="E15935" i="1"/>
  <c r="G15935" i="1"/>
  <c r="K15935" i="1"/>
  <c r="A15936" i="1"/>
  <c r="B15936" i="1"/>
  <c r="C15936" i="1"/>
  <c r="E15936" i="1"/>
  <c r="G15936" i="1"/>
  <c r="K15936" i="1"/>
  <c r="A15937" i="1"/>
  <c r="B15937" i="1"/>
  <c r="C15937" i="1"/>
  <c r="E15937" i="1"/>
  <c r="G15937" i="1"/>
  <c r="K15937" i="1"/>
  <c r="A15938" i="1"/>
  <c r="B15938" i="1"/>
  <c r="C15938" i="1"/>
  <c r="E15938" i="1"/>
  <c r="G15938" i="1"/>
  <c r="K15938" i="1"/>
  <c r="A15939" i="1"/>
  <c r="B15939" i="1"/>
  <c r="C15939" i="1"/>
  <c r="E15939" i="1"/>
  <c r="G15939" i="1"/>
  <c r="K15939" i="1"/>
  <c r="A15940" i="1"/>
  <c r="B15940" i="1"/>
  <c r="C15940" i="1"/>
  <c r="E15940" i="1"/>
  <c r="G15940" i="1"/>
  <c r="K15940" i="1"/>
  <c r="A15941" i="1"/>
  <c r="B15941" i="1"/>
  <c r="C15941" i="1"/>
  <c r="E15941" i="1"/>
  <c r="G15941" i="1"/>
  <c r="K15941" i="1"/>
  <c r="A15942" i="1"/>
  <c r="B15942" i="1"/>
  <c r="C15942" i="1"/>
  <c r="E15942" i="1"/>
  <c r="G15942" i="1"/>
  <c r="K15942" i="1"/>
  <c r="A15943" i="1"/>
  <c r="B15943" i="1"/>
  <c r="C15943" i="1"/>
  <c r="E15943" i="1"/>
  <c r="G15943" i="1"/>
  <c r="K15943" i="1"/>
  <c r="A15944" i="1"/>
  <c r="B15944" i="1"/>
  <c r="C15944" i="1"/>
  <c r="E15944" i="1"/>
  <c r="G15944" i="1"/>
  <c r="K15944" i="1"/>
  <c r="A15945" i="1"/>
  <c r="B15945" i="1"/>
  <c r="C15945" i="1"/>
  <c r="E15945" i="1"/>
  <c r="G15945" i="1"/>
  <c r="K15945" i="1"/>
  <c r="A15946" i="1"/>
  <c r="B15946" i="1"/>
  <c r="C15946" i="1"/>
  <c r="E15946" i="1"/>
  <c r="G15946" i="1"/>
  <c r="K15946" i="1"/>
  <c r="A15947" i="1"/>
  <c r="B15947" i="1"/>
  <c r="C15947" i="1"/>
  <c r="E15947" i="1"/>
  <c r="G15947" i="1"/>
  <c r="K15947" i="1"/>
  <c r="A15948" i="1"/>
  <c r="B15948" i="1"/>
  <c r="C15948" i="1"/>
  <c r="E15948" i="1"/>
  <c r="G15948" i="1"/>
  <c r="K15948" i="1"/>
  <c r="A15949" i="1"/>
  <c r="B15949" i="1"/>
  <c r="C15949" i="1"/>
  <c r="E15949" i="1"/>
  <c r="G15949" i="1"/>
  <c r="K15949" i="1"/>
  <c r="A15950" i="1"/>
  <c r="B15950" i="1"/>
  <c r="C15950" i="1"/>
  <c r="E15950" i="1"/>
  <c r="G15950" i="1"/>
  <c r="K15950" i="1"/>
  <c r="A15951" i="1"/>
  <c r="B15951" i="1"/>
  <c r="C15951" i="1"/>
  <c r="E15951" i="1"/>
  <c r="G15951" i="1"/>
  <c r="K15951" i="1"/>
  <c r="A15952" i="1"/>
  <c r="B15952" i="1"/>
  <c r="C15952" i="1"/>
  <c r="E15952" i="1"/>
  <c r="G15952" i="1"/>
  <c r="K15952" i="1"/>
  <c r="A15953" i="1"/>
  <c r="B15953" i="1"/>
  <c r="C15953" i="1"/>
  <c r="E15953" i="1"/>
  <c r="G15953" i="1"/>
  <c r="K15953" i="1"/>
  <c r="A15954" i="1"/>
  <c r="B15954" i="1"/>
  <c r="C15954" i="1"/>
  <c r="E15954" i="1"/>
  <c r="G15954" i="1"/>
  <c r="K15954" i="1"/>
  <c r="A15955" i="1"/>
  <c r="B15955" i="1"/>
  <c r="C15955" i="1"/>
  <c r="E15955" i="1"/>
  <c r="G15955" i="1"/>
  <c r="K15955" i="1"/>
  <c r="A15956" i="1"/>
  <c r="B15956" i="1"/>
  <c r="C15956" i="1"/>
  <c r="E15956" i="1"/>
  <c r="G15956" i="1"/>
  <c r="K15956" i="1"/>
  <c r="A15957" i="1"/>
  <c r="B15957" i="1"/>
  <c r="C15957" i="1"/>
  <c r="E15957" i="1"/>
  <c r="G15957" i="1"/>
  <c r="K15957" i="1"/>
  <c r="A15958" i="1"/>
  <c r="B15958" i="1"/>
  <c r="C15958" i="1"/>
  <c r="E15958" i="1"/>
  <c r="G15958" i="1"/>
  <c r="K15958" i="1"/>
  <c r="A15959" i="1"/>
  <c r="B15959" i="1"/>
  <c r="C15959" i="1"/>
  <c r="E15959" i="1"/>
  <c r="G15959" i="1"/>
  <c r="K15959" i="1"/>
  <c r="A15960" i="1"/>
  <c r="B15960" i="1"/>
  <c r="C15960" i="1"/>
  <c r="E15960" i="1"/>
  <c r="G15960" i="1"/>
  <c r="K15960" i="1"/>
  <c r="A15961" i="1"/>
  <c r="B15961" i="1"/>
  <c r="C15961" i="1"/>
  <c r="E15961" i="1"/>
  <c r="G15961" i="1"/>
  <c r="K15961" i="1"/>
  <c r="A15962" i="1"/>
  <c r="B15962" i="1"/>
  <c r="C15962" i="1"/>
  <c r="E15962" i="1"/>
  <c r="G15962" i="1"/>
  <c r="K15962" i="1"/>
  <c r="A15963" i="1"/>
  <c r="B15963" i="1"/>
  <c r="C15963" i="1"/>
  <c r="E15963" i="1"/>
  <c r="G15963" i="1"/>
  <c r="K15963" i="1"/>
  <c r="A15964" i="1"/>
  <c r="B15964" i="1"/>
  <c r="C15964" i="1"/>
  <c r="E15964" i="1"/>
  <c r="G15964" i="1"/>
  <c r="K15964" i="1"/>
  <c r="A15965" i="1"/>
  <c r="B15965" i="1"/>
  <c r="C15965" i="1"/>
  <c r="E15965" i="1"/>
  <c r="G15965" i="1"/>
  <c r="K15965" i="1"/>
  <c r="A15966" i="1"/>
  <c r="B15966" i="1"/>
  <c r="C15966" i="1"/>
  <c r="E15966" i="1"/>
  <c r="G15966" i="1"/>
  <c r="K15966" i="1"/>
  <c r="A15967" i="1"/>
  <c r="B15967" i="1"/>
  <c r="C15967" i="1"/>
  <c r="E15967" i="1"/>
  <c r="G15967" i="1"/>
  <c r="K15967" i="1"/>
  <c r="A15968" i="1"/>
  <c r="B15968" i="1"/>
  <c r="C15968" i="1"/>
  <c r="E15968" i="1"/>
  <c r="G15968" i="1"/>
  <c r="K15968" i="1"/>
  <c r="A15969" i="1"/>
  <c r="B15969" i="1"/>
  <c r="C15969" i="1"/>
  <c r="E15969" i="1"/>
  <c r="G15969" i="1"/>
  <c r="K15969" i="1"/>
  <c r="A15970" i="1"/>
  <c r="B15970" i="1"/>
  <c r="C15970" i="1"/>
  <c r="E15970" i="1"/>
  <c r="G15970" i="1"/>
  <c r="K15970" i="1"/>
  <c r="A15971" i="1"/>
  <c r="B15971" i="1"/>
  <c r="C15971" i="1"/>
  <c r="E15971" i="1"/>
  <c r="G15971" i="1"/>
  <c r="K15971" i="1"/>
  <c r="A15972" i="1"/>
  <c r="B15972" i="1"/>
  <c r="C15972" i="1"/>
  <c r="E15972" i="1"/>
  <c r="G15972" i="1"/>
  <c r="K15972" i="1"/>
  <c r="A15973" i="1"/>
  <c r="B15973" i="1"/>
  <c r="C15973" i="1"/>
  <c r="E15973" i="1"/>
  <c r="G15973" i="1"/>
  <c r="K15973" i="1"/>
  <c r="A15974" i="1"/>
  <c r="B15974" i="1"/>
  <c r="C15974" i="1"/>
  <c r="E15974" i="1"/>
  <c r="G15974" i="1"/>
  <c r="K15974" i="1"/>
  <c r="A15975" i="1"/>
  <c r="B15975" i="1"/>
  <c r="C15975" i="1"/>
  <c r="E15975" i="1"/>
  <c r="G15975" i="1"/>
  <c r="K15975" i="1"/>
  <c r="A15976" i="1"/>
  <c r="B15976" i="1"/>
  <c r="C15976" i="1"/>
  <c r="E15976" i="1"/>
  <c r="G15976" i="1"/>
  <c r="K15976" i="1"/>
  <c r="A15977" i="1"/>
  <c r="B15977" i="1"/>
  <c r="C15977" i="1"/>
  <c r="E15977" i="1"/>
  <c r="G15977" i="1"/>
  <c r="K15977" i="1"/>
  <c r="A15978" i="1"/>
  <c r="B15978" i="1"/>
  <c r="C15978" i="1"/>
  <c r="E15978" i="1"/>
  <c r="G15978" i="1"/>
  <c r="K15978" i="1"/>
  <c r="A15979" i="1"/>
  <c r="B15979" i="1"/>
  <c r="C15979" i="1"/>
  <c r="E15979" i="1"/>
  <c r="G15979" i="1"/>
  <c r="K15979" i="1"/>
  <c r="A15980" i="1"/>
  <c r="B15980" i="1"/>
  <c r="C15980" i="1"/>
  <c r="E15980" i="1"/>
  <c r="G15980" i="1"/>
  <c r="K15980" i="1"/>
  <c r="A15981" i="1"/>
  <c r="B15981" i="1"/>
  <c r="C15981" i="1"/>
  <c r="E15981" i="1"/>
  <c r="G15981" i="1"/>
  <c r="K15981" i="1"/>
  <c r="A15982" i="1"/>
  <c r="B15982" i="1"/>
  <c r="C15982" i="1"/>
  <c r="E15982" i="1"/>
  <c r="G15982" i="1"/>
  <c r="K15982" i="1"/>
  <c r="A15983" i="1"/>
  <c r="B15983" i="1"/>
  <c r="C15983" i="1"/>
  <c r="E15983" i="1"/>
  <c r="G15983" i="1"/>
  <c r="K15983" i="1"/>
  <c r="A15984" i="1"/>
  <c r="B15984" i="1"/>
  <c r="C15984" i="1"/>
  <c r="E15984" i="1"/>
  <c r="G15984" i="1"/>
  <c r="K15984" i="1"/>
  <c r="A15985" i="1"/>
  <c r="B15985" i="1"/>
  <c r="C15985" i="1"/>
  <c r="E15985" i="1"/>
  <c r="G15985" i="1"/>
  <c r="K15985" i="1"/>
  <c r="A15986" i="1"/>
  <c r="B15986" i="1"/>
  <c r="C15986" i="1"/>
  <c r="E15986" i="1"/>
  <c r="G15986" i="1"/>
  <c r="K15986" i="1"/>
  <c r="A15987" i="1"/>
  <c r="B15987" i="1"/>
  <c r="C15987" i="1"/>
  <c r="E15987" i="1"/>
  <c r="G15987" i="1"/>
  <c r="K15987" i="1"/>
  <c r="A15988" i="1"/>
  <c r="B15988" i="1"/>
  <c r="C15988" i="1"/>
  <c r="E15988" i="1"/>
  <c r="G15988" i="1"/>
  <c r="K15988" i="1"/>
  <c r="A15989" i="1"/>
  <c r="B15989" i="1"/>
  <c r="C15989" i="1"/>
  <c r="E15989" i="1"/>
  <c r="G15989" i="1"/>
  <c r="K15989" i="1"/>
  <c r="A15990" i="1"/>
  <c r="B15990" i="1"/>
  <c r="C15990" i="1"/>
  <c r="E15990" i="1"/>
  <c r="G15990" i="1"/>
  <c r="K15990" i="1"/>
  <c r="A15991" i="1"/>
  <c r="B15991" i="1"/>
  <c r="C15991" i="1"/>
  <c r="E15991" i="1"/>
  <c r="G15991" i="1"/>
  <c r="K15991" i="1"/>
  <c r="A15992" i="1"/>
  <c r="B15992" i="1"/>
  <c r="C15992" i="1"/>
  <c r="E15992" i="1"/>
  <c r="G15992" i="1"/>
  <c r="K15992" i="1"/>
  <c r="A15993" i="1"/>
  <c r="B15993" i="1"/>
  <c r="C15993" i="1"/>
  <c r="E15993" i="1"/>
  <c r="G15993" i="1"/>
  <c r="K15993" i="1"/>
  <c r="A15994" i="1"/>
  <c r="B15994" i="1"/>
  <c r="C15994" i="1"/>
  <c r="E15994" i="1"/>
  <c r="G15994" i="1"/>
  <c r="K15994" i="1"/>
  <c r="A15995" i="1"/>
  <c r="B15995" i="1"/>
  <c r="C15995" i="1"/>
  <c r="E15995" i="1"/>
  <c r="G15995" i="1"/>
  <c r="K15995" i="1"/>
  <c r="A15996" i="1"/>
  <c r="B15996" i="1"/>
  <c r="C15996" i="1"/>
  <c r="E15996" i="1"/>
  <c r="G15996" i="1"/>
  <c r="K15996" i="1"/>
  <c r="A15997" i="1"/>
  <c r="B15997" i="1"/>
  <c r="C15997" i="1"/>
  <c r="E15997" i="1"/>
  <c r="G15997" i="1"/>
  <c r="K15997" i="1"/>
  <c r="A15998" i="1"/>
  <c r="B15998" i="1"/>
  <c r="C15998" i="1"/>
  <c r="E15998" i="1"/>
  <c r="G15998" i="1"/>
  <c r="K15998" i="1"/>
  <c r="A15999" i="1"/>
  <c r="B15999" i="1"/>
  <c r="C15999" i="1"/>
  <c r="E15999" i="1"/>
  <c r="G15999" i="1"/>
  <c r="K15999" i="1"/>
  <c r="A16000" i="1"/>
  <c r="B16000" i="1"/>
  <c r="C16000" i="1"/>
  <c r="E16000" i="1"/>
  <c r="G16000" i="1"/>
  <c r="K16000" i="1"/>
  <c r="A16001" i="1"/>
  <c r="B16001" i="1"/>
  <c r="C16001" i="1"/>
  <c r="E16001" i="1"/>
  <c r="G16001" i="1"/>
  <c r="K16001" i="1"/>
  <c r="A16002" i="1"/>
  <c r="B16002" i="1"/>
  <c r="C16002" i="1"/>
  <c r="E16002" i="1"/>
  <c r="G16002" i="1"/>
  <c r="K16002" i="1"/>
  <c r="A16003" i="1"/>
  <c r="B16003" i="1"/>
  <c r="C16003" i="1"/>
  <c r="E16003" i="1"/>
  <c r="G16003" i="1"/>
  <c r="K16003" i="1"/>
  <c r="A16004" i="1"/>
  <c r="B16004" i="1"/>
  <c r="C16004" i="1"/>
  <c r="E16004" i="1"/>
  <c r="G16004" i="1"/>
  <c r="K16004" i="1"/>
  <c r="A16005" i="1"/>
  <c r="B16005" i="1"/>
  <c r="C16005" i="1"/>
  <c r="E16005" i="1"/>
  <c r="G16005" i="1"/>
  <c r="K16005" i="1"/>
  <c r="A16006" i="1"/>
  <c r="B16006" i="1"/>
  <c r="C16006" i="1"/>
  <c r="E16006" i="1"/>
  <c r="G16006" i="1"/>
  <c r="K16006" i="1"/>
  <c r="A16007" i="1"/>
  <c r="B16007" i="1"/>
  <c r="C16007" i="1"/>
  <c r="E16007" i="1"/>
  <c r="G16007" i="1"/>
  <c r="K16007" i="1"/>
  <c r="A16008" i="1"/>
  <c r="B16008" i="1"/>
  <c r="C16008" i="1"/>
  <c r="E16008" i="1"/>
  <c r="G16008" i="1"/>
  <c r="K16008" i="1"/>
  <c r="A16009" i="1"/>
  <c r="B16009" i="1"/>
  <c r="C16009" i="1"/>
  <c r="E16009" i="1"/>
  <c r="G16009" i="1"/>
  <c r="K16009" i="1"/>
  <c r="A16010" i="1"/>
  <c r="B16010" i="1"/>
  <c r="C16010" i="1"/>
  <c r="E16010" i="1"/>
  <c r="G16010" i="1"/>
  <c r="K16010" i="1"/>
  <c r="A16011" i="1"/>
  <c r="B16011" i="1"/>
  <c r="C16011" i="1"/>
  <c r="E16011" i="1"/>
  <c r="G16011" i="1"/>
  <c r="K16011" i="1"/>
  <c r="A16012" i="1"/>
  <c r="B16012" i="1"/>
  <c r="C16012" i="1"/>
  <c r="E16012" i="1"/>
  <c r="G16012" i="1"/>
  <c r="K16012" i="1"/>
  <c r="A16013" i="1"/>
  <c r="B16013" i="1"/>
  <c r="C16013" i="1"/>
  <c r="E16013" i="1"/>
  <c r="G16013" i="1"/>
  <c r="K16013" i="1"/>
  <c r="A16014" i="1"/>
  <c r="B16014" i="1"/>
  <c r="C16014" i="1"/>
  <c r="E16014" i="1"/>
  <c r="G16014" i="1"/>
  <c r="K16014" i="1"/>
  <c r="A16015" i="1"/>
  <c r="B16015" i="1"/>
  <c r="C16015" i="1"/>
  <c r="E16015" i="1"/>
  <c r="G16015" i="1"/>
  <c r="K16015" i="1"/>
  <c r="A16016" i="1"/>
  <c r="B16016" i="1"/>
  <c r="C16016" i="1"/>
  <c r="E16016" i="1"/>
  <c r="G16016" i="1"/>
  <c r="K16016" i="1"/>
  <c r="A16017" i="1"/>
  <c r="B16017" i="1"/>
  <c r="C16017" i="1"/>
  <c r="E16017" i="1"/>
  <c r="G16017" i="1"/>
  <c r="K16017" i="1"/>
  <c r="A16018" i="1"/>
  <c r="B16018" i="1"/>
  <c r="C16018" i="1"/>
  <c r="E16018" i="1"/>
  <c r="G16018" i="1"/>
  <c r="K16018" i="1"/>
  <c r="A16019" i="1"/>
  <c r="B16019" i="1"/>
  <c r="C16019" i="1"/>
  <c r="E16019" i="1"/>
  <c r="G16019" i="1"/>
  <c r="K16019" i="1"/>
  <c r="A16020" i="1"/>
  <c r="B16020" i="1"/>
  <c r="C16020" i="1"/>
  <c r="E16020" i="1"/>
  <c r="G16020" i="1"/>
  <c r="K16020" i="1"/>
  <c r="A16021" i="1"/>
  <c r="B16021" i="1"/>
  <c r="C16021" i="1"/>
  <c r="E16021" i="1"/>
  <c r="G16021" i="1"/>
  <c r="K16021" i="1"/>
  <c r="A16022" i="1"/>
  <c r="B16022" i="1"/>
  <c r="C16022" i="1"/>
  <c r="E16022" i="1"/>
  <c r="G16022" i="1"/>
  <c r="K16022" i="1"/>
  <c r="A16023" i="1"/>
  <c r="B16023" i="1"/>
  <c r="C16023" i="1"/>
  <c r="E16023" i="1"/>
  <c r="G16023" i="1"/>
  <c r="K16023" i="1"/>
  <c r="A16024" i="1"/>
  <c r="B16024" i="1"/>
  <c r="C16024" i="1"/>
  <c r="E16024" i="1"/>
  <c r="G16024" i="1"/>
  <c r="K16024" i="1"/>
  <c r="A16025" i="1"/>
  <c r="B16025" i="1"/>
  <c r="C16025" i="1"/>
  <c r="E16025" i="1"/>
  <c r="G16025" i="1"/>
  <c r="K16025" i="1"/>
  <c r="A16026" i="1"/>
  <c r="B16026" i="1"/>
  <c r="C16026" i="1"/>
  <c r="E16026" i="1"/>
  <c r="G16026" i="1"/>
  <c r="K16026" i="1"/>
  <c r="A16027" i="1"/>
  <c r="B16027" i="1"/>
  <c r="C16027" i="1"/>
  <c r="E16027" i="1"/>
  <c r="G16027" i="1"/>
  <c r="K16027" i="1"/>
  <c r="A16028" i="1"/>
  <c r="B16028" i="1"/>
  <c r="C16028" i="1"/>
  <c r="E16028" i="1"/>
  <c r="G16028" i="1"/>
  <c r="K16028" i="1"/>
  <c r="A16029" i="1"/>
  <c r="B16029" i="1"/>
  <c r="C16029" i="1"/>
  <c r="E16029" i="1"/>
  <c r="G16029" i="1"/>
  <c r="K16029" i="1"/>
  <c r="A16030" i="1"/>
  <c r="B16030" i="1"/>
  <c r="C16030" i="1"/>
  <c r="E16030" i="1"/>
  <c r="G16030" i="1"/>
  <c r="K16030" i="1"/>
  <c r="A16031" i="1"/>
  <c r="B16031" i="1"/>
  <c r="C16031" i="1"/>
  <c r="E16031" i="1"/>
  <c r="G16031" i="1"/>
  <c r="K16031" i="1"/>
  <c r="A16032" i="1"/>
  <c r="B16032" i="1"/>
  <c r="C16032" i="1"/>
  <c r="E16032" i="1"/>
  <c r="G16032" i="1"/>
  <c r="K16032" i="1"/>
  <c r="A16033" i="1"/>
  <c r="B16033" i="1"/>
  <c r="C16033" i="1"/>
  <c r="E16033" i="1"/>
  <c r="G16033" i="1"/>
  <c r="K16033" i="1"/>
  <c r="A16034" i="1"/>
  <c r="B16034" i="1"/>
  <c r="C16034" i="1"/>
  <c r="E16034" i="1"/>
  <c r="G16034" i="1"/>
  <c r="K16034" i="1"/>
  <c r="A16035" i="1"/>
  <c r="B16035" i="1"/>
  <c r="C16035" i="1"/>
  <c r="E16035" i="1"/>
  <c r="G16035" i="1"/>
  <c r="K16035" i="1"/>
  <c r="A16036" i="1"/>
  <c r="B16036" i="1"/>
  <c r="C16036" i="1"/>
  <c r="E16036" i="1"/>
  <c r="G16036" i="1"/>
  <c r="K16036" i="1"/>
  <c r="A16037" i="1"/>
  <c r="B16037" i="1"/>
  <c r="C16037" i="1"/>
  <c r="E16037" i="1"/>
  <c r="G16037" i="1"/>
  <c r="K16037" i="1"/>
  <c r="A16038" i="1"/>
  <c r="B16038" i="1"/>
  <c r="C16038" i="1"/>
  <c r="E16038" i="1"/>
  <c r="G16038" i="1"/>
  <c r="K16038" i="1"/>
  <c r="A16039" i="1"/>
  <c r="B16039" i="1"/>
  <c r="C16039" i="1"/>
  <c r="E16039" i="1"/>
  <c r="G16039" i="1"/>
  <c r="K16039" i="1"/>
  <c r="A16040" i="1"/>
  <c r="B16040" i="1"/>
  <c r="C16040" i="1"/>
  <c r="E16040" i="1"/>
  <c r="G16040" i="1"/>
  <c r="K16040" i="1"/>
  <c r="A16041" i="1"/>
  <c r="B16041" i="1"/>
  <c r="C16041" i="1"/>
  <c r="E16041" i="1"/>
  <c r="G16041" i="1"/>
  <c r="K16041" i="1"/>
  <c r="A16042" i="1"/>
  <c r="B16042" i="1"/>
  <c r="C16042" i="1"/>
  <c r="E16042" i="1"/>
  <c r="G16042" i="1"/>
  <c r="K16042" i="1"/>
  <c r="A16043" i="1"/>
  <c r="B16043" i="1"/>
  <c r="C16043" i="1"/>
  <c r="E16043" i="1"/>
  <c r="G16043" i="1"/>
  <c r="K16043" i="1"/>
  <c r="A16044" i="1"/>
  <c r="B16044" i="1"/>
  <c r="C16044" i="1"/>
  <c r="E16044" i="1"/>
  <c r="G16044" i="1"/>
  <c r="K16044" i="1"/>
  <c r="A16045" i="1"/>
  <c r="B16045" i="1"/>
  <c r="C16045" i="1"/>
  <c r="E16045" i="1"/>
  <c r="G16045" i="1"/>
  <c r="K16045" i="1"/>
  <c r="A16046" i="1"/>
  <c r="B16046" i="1"/>
  <c r="C16046" i="1"/>
  <c r="E16046" i="1"/>
  <c r="G16046" i="1"/>
  <c r="K16046" i="1"/>
  <c r="A16047" i="1"/>
  <c r="B16047" i="1"/>
  <c r="C16047" i="1"/>
  <c r="E16047" i="1"/>
  <c r="G16047" i="1"/>
  <c r="K16047" i="1"/>
  <c r="A16048" i="1"/>
  <c r="B16048" i="1"/>
  <c r="C16048" i="1"/>
  <c r="E16048" i="1"/>
  <c r="G16048" i="1"/>
  <c r="K16048" i="1"/>
  <c r="A16049" i="1"/>
  <c r="B16049" i="1"/>
  <c r="C16049" i="1"/>
  <c r="E16049" i="1"/>
  <c r="G16049" i="1"/>
  <c r="K16049" i="1"/>
  <c r="A16050" i="1"/>
  <c r="B16050" i="1"/>
  <c r="C16050" i="1"/>
  <c r="E16050" i="1"/>
  <c r="G16050" i="1"/>
  <c r="K16050" i="1"/>
  <c r="A16051" i="1"/>
  <c r="B16051" i="1"/>
  <c r="C16051" i="1"/>
  <c r="E16051" i="1"/>
  <c r="G16051" i="1"/>
  <c r="K16051" i="1"/>
  <c r="A16052" i="1"/>
  <c r="B16052" i="1"/>
  <c r="C16052" i="1"/>
  <c r="E16052" i="1"/>
  <c r="G16052" i="1"/>
  <c r="K16052" i="1"/>
  <c r="A16053" i="1"/>
  <c r="B16053" i="1"/>
  <c r="C16053" i="1"/>
  <c r="E16053" i="1"/>
  <c r="G16053" i="1"/>
  <c r="K16053" i="1"/>
  <c r="A16054" i="1"/>
  <c r="B16054" i="1"/>
  <c r="C16054" i="1"/>
  <c r="E16054" i="1"/>
  <c r="G16054" i="1"/>
  <c r="K16054" i="1"/>
  <c r="A16055" i="1"/>
  <c r="B16055" i="1"/>
  <c r="C16055" i="1"/>
  <c r="E16055" i="1"/>
  <c r="G16055" i="1"/>
  <c r="K16055" i="1"/>
  <c r="A16056" i="1"/>
  <c r="B16056" i="1"/>
  <c r="C16056" i="1"/>
  <c r="E16056" i="1"/>
  <c r="G16056" i="1"/>
  <c r="K16056" i="1"/>
  <c r="A16057" i="1"/>
  <c r="B16057" i="1"/>
  <c r="C16057" i="1"/>
  <c r="E16057" i="1"/>
  <c r="G16057" i="1"/>
  <c r="K16057" i="1"/>
  <c r="A16058" i="1"/>
  <c r="B16058" i="1"/>
  <c r="C16058" i="1"/>
  <c r="E16058" i="1"/>
  <c r="G16058" i="1"/>
  <c r="K16058" i="1"/>
  <c r="A16059" i="1"/>
  <c r="B16059" i="1"/>
  <c r="C16059" i="1"/>
  <c r="E16059" i="1"/>
  <c r="G16059" i="1"/>
  <c r="K16059" i="1"/>
  <c r="A16060" i="1"/>
  <c r="B16060" i="1"/>
  <c r="C16060" i="1"/>
  <c r="E16060" i="1"/>
  <c r="G16060" i="1"/>
  <c r="K16060" i="1"/>
  <c r="A16061" i="1"/>
  <c r="B16061" i="1"/>
  <c r="C16061" i="1"/>
  <c r="E16061" i="1"/>
  <c r="G16061" i="1"/>
  <c r="K16061" i="1"/>
  <c r="A16062" i="1"/>
  <c r="B16062" i="1"/>
  <c r="C16062" i="1"/>
  <c r="E16062" i="1"/>
  <c r="G16062" i="1"/>
  <c r="K16062" i="1"/>
  <c r="A16063" i="1"/>
  <c r="B16063" i="1"/>
  <c r="C16063" i="1"/>
  <c r="E16063" i="1"/>
  <c r="G16063" i="1"/>
  <c r="K16063" i="1"/>
  <c r="A16064" i="1"/>
  <c r="B16064" i="1"/>
  <c r="C16064" i="1"/>
  <c r="E16064" i="1"/>
  <c r="G16064" i="1"/>
  <c r="K16064" i="1"/>
  <c r="A16065" i="1"/>
  <c r="B16065" i="1"/>
  <c r="C16065" i="1"/>
  <c r="E16065" i="1"/>
  <c r="G16065" i="1"/>
  <c r="K16065" i="1"/>
  <c r="A16066" i="1"/>
  <c r="B16066" i="1"/>
  <c r="C16066" i="1"/>
  <c r="E16066" i="1"/>
  <c r="G16066" i="1"/>
  <c r="K16066" i="1"/>
  <c r="A16067" i="1"/>
  <c r="B16067" i="1"/>
  <c r="C16067" i="1"/>
  <c r="E16067" i="1"/>
  <c r="G16067" i="1"/>
  <c r="K16067" i="1"/>
  <c r="A16068" i="1"/>
  <c r="B16068" i="1"/>
  <c r="C16068" i="1"/>
  <c r="E16068" i="1"/>
  <c r="G16068" i="1"/>
  <c r="K16068" i="1"/>
  <c r="A16069" i="1"/>
  <c r="B16069" i="1"/>
  <c r="C16069" i="1"/>
  <c r="E16069" i="1"/>
  <c r="G16069" i="1"/>
  <c r="K16069" i="1"/>
  <c r="A16070" i="1"/>
  <c r="B16070" i="1"/>
  <c r="C16070" i="1"/>
  <c r="E16070" i="1"/>
  <c r="G16070" i="1"/>
  <c r="K16070" i="1"/>
  <c r="A16071" i="1"/>
  <c r="B16071" i="1"/>
  <c r="C16071" i="1"/>
  <c r="E16071" i="1"/>
  <c r="G16071" i="1"/>
  <c r="K16071" i="1"/>
  <c r="A16072" i="1"/>
  <c r="B16072" i="1"/>
  <c r="C16072" i="1"/>
  <c r="E16072" i="1"/>
  <c r="G16072" i="1"/>
  <c r="K16072" i="1"/>
  <c r="A16073" i="1"/>
  <c r="B16073" i="1"/>
  <c r="C16073" i="1"/>
  <c r="E16073" i="1"/>
  <c r="G16073" i="1"/>
  <c r="K16073" i="1"/>
  <c r="A16074" i="1"/>
  <c r="B16074" i="1"/>
  <c r="C16074" i="1"/>
  <c r="E16074" i="1"/>
  <c r="G16074" i="1"/>
  <c r="K16074" i="1"/>
  <c r="A16075" i="1"/>
  <c r="B16075" i="1"/>
  <c r="C16075" i="1"/>
  <c r="E16075" i="1"/>
  <c r="G16075" i="1"/>
  <c r="K16075" i="1"/>
  <c r="A16076" i="1"/>
  <c r="B16076" i="1"/>
  <c r="C16076" i="1"/>
  <c r="E16076" i="1"/>
  <c r="G16076" i="1"/>
  <c r="K16076" i="1"/>
  <c r="A16077" i="1"/>
  <c r="B16077" i="1"/>
  <c r="C16077" i="1"/>
  <c r="E16077" i="1"/>
  <c r="G16077" i="1"/>
  <c r="K16077" i="1"/>
  <c r="A16078" i="1"/>
  <c r="B16078" i="1"/>
  <c r="C16078" i="1"/>
  <c r="E16078" i="1"/>
  <c r="G16078" i="1"/>
  <c r="K16078" i="1"/>
  <c r="A16079" i="1"/>
  <c r="B16079" i="1"/>
  <c r="C16079" i="1"/>
  <c r="E16079" i="1"/>
  <c r="G16079" i="1"/>
  <c r="K16079" i="1"/>
  <c r="A16080" i="1"/>
  <c r="B16080" i="1"/>
  <c r="C16080" i="1"/>
  <c r="E16080" i="1"/>
  <c r="G16080" i="1"/>
  <c r="K16080" i="1"/>
  <c r="A16081" i="1"/>
  <c r="B16081" i="1"/>
  <c r="C16081" i="1"/>
  <c r="E16081" i="1"/>
  <c r="G16081" i="1"/>
  <c r="K16081" i="1"/>
  <c r="A16082" i="1"/>
  <c r="B16082" i="1"/>
  <c r="C16082" i="1"/>
  <c r="E16082" i="1"/>
  <c r="G16082" i="1"/>
  <c r="K16082" i="1"/>
  <c r="A16083" i="1"/>
  <c r="B16083" i="1"/>
  <c r="C16083" i="1"/>
  <c r="E16083" i="1"/>
  <c r="G16083" i="1"/>
  <c r="K16083" i="1"/>
  <c r="A16084" i="1"/>
  <c r="B16084" i="1"/>
  <c r="C16084" i="1"/>
  <c r="E16084" i="1"/>
  <c r="G16084" i="1"/>
  <c r="K16084" i="1"/>
  <c r="A16085" i="1"/>
  <c r="B16085" i="1"/>
  <c r="C16085" i="1"/>
  <c r="E16085" i="1"/>
  <c r="G16085" i="1"/>
  <c r="K16085" i="1"/>
  <c r="A16086" i="1"/>
  <c r="B16086" i="1"/>
  <c r="C16086" i="1"/>
  <c r="E16086" i="1"/>
  <c r="G16086" i="1"/>
  <c r="K16086" i="1"/>
  <c r="A16087" i="1"/>
  <c r="B16087" i="1"/>
  <c r="C16087" i="1"/>
  <c r="E16087" i="1"/>
  <c r="G16087" i="1"/>
  <c r="K16087" i="1"/>
  <c r="A16088" i="1"/>
  <c r="B16088" i="1"/>
  <c r="C16088" i="1"/>
  <c r="E16088" i="1"/>
  <c r="G16088" i="1"/>
  <c r="K16088" i="1"/>
  <c r="A16089" i="1"/>
  <c r="B16089" i="1"/>
  <c r="C16089" i="1"/>
  <c r="E16089" i="1"/>
  <c r="G16089" i="1"/>
  <c r="K16089" i="1"/>
  <c r="A16090" i="1"/>
  <c r="B16090" i="1"/>
  <c r="C16090" i="1"/>
  <c r="E16090" i="1"/>
  <c r="G16090" i="1"/>
  <c r="K16090" i="1"/>
  <c r="A16091" i="1"/>
  <c r="B16091" i="1"/>
  <c r="C16091" i="1"/>
  <c r="E16091" i="1"/>
  <c r="G16091" i="1"/>
  <c r="K16091" i="1"/>
  <c r="A16092" i="1"/>
  <c r="B16092" i="1"/>
  <c r="C16092" i="1"/>
  <c r="E16092" i="1"/>
  <c r="G16092" i="1"/>
  <c r="K16092" i="1"/>
  <c r="A16093" i="1"/>
  <c r="B16093" i="1"/>
  <c r="C16093" i="1"/>
  <c r="E16093" i="1"/>
  <c r="G16093" i="1"/>
  <c r="K16093" i="1"/>
  <c r="A16094" i="1"/>
  <c r="B16094" i="1"/>
  <c r="C16094" i="1"/>
  <c r="E16094" i="1"/>
  <c r="G16094" i="1"/>
  <c r="K16094" i="1"/>
  <c r="A16095" i="1"/>
  <c r="B16095" i="1"/>
  <c r="C16095" i="1"/>
  <c r="E16095" i="1"/>
  <c r="G16095" i="1"/>
  <c r="K16095" i="1"/>
  <c r="A16096" i="1"/>
  <c r="B16096" i="1"/>
  <c r="C16096" i="1"/>
  <c r="E16096" i="1"/>
  <c r="G16096" i="1"/>
  <c r="K16096" i="1"/>
  <c r="A16097" i="1"/>
  <c r="B16097" i="1"/>
  <c r="C16097" i="1"/>
  <c r="E16097" i="1"/>
  <c r="G16097" i="1"/>
  <c r="K16097" i="1"/>
  <c r="A16098" i="1"/>
  <c r="B16098" i="1"/>
  <c r="C16098" i="1"/>
  <c r="E16098" i="1"/>
  <c r="G16098" i="1"/>
  <c r="K16098" i="1"/>
  <c r="A16099" i="1"/>
  <c r="B16099" i="1"/>
  <c r="C16099" i="1"/>
  <c r="E16099" i="1"/>
  <c r="G16099" i="1"/>
  <c r="K16099" i="1"/>
  <c r="A16100" i="1"/>
  <c r="B16100" i="1"/>
  <c r="C16100" i="1"/>
  <c r="E16100" i="1"/>
  <c r="G16100" i="1"/>
  <c r="K16100" i="1"/>
  <c r="A16101" i="1"/>
  <c r="B16101" i="1"/>
  <c r="C16101" i="1"/>
  <c r="E16101" i="1"/>
  <c r="G16101" i="1"/>
  <c r="K16101" i="1"/>
  <c r="A16102" i="1"/>
  <c r="B16102" i="1"/>
  <c r="C16102" i="1"/>
  <c r="E16102" i="1"/>
  <c r="G16102" i="1"/>
  <c r="K16102" i="1"/>
  <c r="A16103" i="1"/>
  <c r="B16103" i="1"/>
  <c r="C16103" i="1"/>
  <c r="E16103" i="1"/>
  <c r="G16103" i="1"/>
  <c r="K16103" i="1"/>
  <c r="A16104" i="1"/>
  <c r="B16104" i="1"/>
  <c r="C16104" i="1"/>
  <c r="E16104" i="1"/>
  <c r="G16104" i="1"/>
  <c r="K16104" i="1"/>
  <c r="A16105" i="1"/>
  <c r="B16105" i="1"/>
  <c r="C16105" i="1"/>
  <c r="E16105" i="1"/>
  <c r="G16105" i="1"/>
  <c r="K16105" i="1"/>
  <c r="A16106" i="1"/>
  <c r="B16106" i="1"/>
  <c r="C16106" i="1"/>
  <c r="E16106" i="1"/>
  <c r="G16106" i="1"/>
  <c r="K16106" i="1"/>
  <c r="A16107" i="1"/>
  <c r="B16107" i="1"/>
  <c r="C16107" i="1"/>
  <c r="E16107" i="1"/>
  <c r="G16107" i="1"/>
  <c r="K16107" i="1"/>
  <c r="A16108" i="1"/>
  <c r="B16108" i="1"/>
  <c r="C16108" i="1"/>
  <c r="E16108" i="1"/>
  <c r="G16108" i="1"/>
  <c r="K16108" i="1"/>
  <c r="A16109" i="1"/>
  <c r="B16109" i="1"/>
  <c r="C16109" i="1"/>
  <c r="E16109" i="1"/>
  <c r="G16109" i="1"/>
  <c r="K16109" i="1"/>
  <c r="A16110" i="1"/>
  <c r="B16110" i="1"/>
  <c r="C16110" i="1"/>
  <c r="E16110" i="1"/>
  <c r="G16110" i="1"/>
  <c r="K16110" i="1"/>
  <c r="A16111" i="1"/>
  <c r="B16111" i="1"/>
  <c r="C16111" i="1"/>
  <c r="E16111" i="1"/>
  <c r="G16111" i="1"/>
  <c r="K16111" i="1"/>
  <c r="A16112" i="1"/>
  <c r="B16112" i="1"/>
  <c r="C16112" i="1"/>
  <c r="E16112" i="1"/>
  <c r="G16112" i="1"/>
  <c r="K16112" i="1"/>
  <c r="A16113" i="1"/>
  <c r="B16113" i="1"/>
  <c r="C16113" i="1"/>
  <c r="E16113" i="1"/>
  <c r="G16113" i="1"/>
  <c r="K16113" i="1"/>
  <c r="A16114" i="1"/>
  <c r="B16114" i="1"/>
  <c r="C16114" i="1"/>
  <c r="E16114" i="1"/>
  <c r="G16114" i="1"/>
  <c r="K16114" i="1"/>
  <c r="A16115" i="1"/>
  <c r="B16115" i="1"/>
  <c r="C16115" i="1"/>
  <c r="E16115" i="1"/>
  <c r="G16115" i="1"/>
  <c r="K16115" i="1"/>
  <c r="A16116" i="1"/>
  <c r="B16116" i="1"/>
  <c r="C16116" i="1"/>
  <c r="E16116" i="1"/>
  <c r="G16116" i="1"/>
  <c r="K16116" i="1"/>
  <c r="A16117" i="1"/>
  <c r="B16117" i="1"/>
  <c r="C16117" i="1"/>
  <c r="E16117" i="1"/>
  <c r="G16117" i="1"/>
  <c r="K16117" i="1"/>
  <c r="A16118" i="1"/>
  <c r="B16118" i="1"/>
  <c r="C16118" i="1"/>
  <c r="E16118" i="1"/>
  <c r="G16118" i="1"/>
  <c r="K16118" i="1"/>
  <c r="A16119" i="1"/>
  <c r="B16119" i="1"/>
  <c r="C16119" i="1"/>
  <c r="E16119" i="1"/>
  <c r="G16119" i="1"/>
  <c r="K16119" i="1"/>
  <c r="A16120" i="1"/>
  <c r="B16120" i="1"/>
  <c r="C16120" i="1"/>
  <c r="E16120" i="1"/>
  <c r="G16120" i="1"/>
  <c r="K16120" i="1"/>
  <c r="A16121" i="1"/>
  <c r="B16121" i="1"/>
  <c r="C16121" i="1"/>
  <c r="E16121" i="1"/>
  <c r="G16121" i="1"/>
  <c r="K16121" i="1"/>
  <c r="A16122" i="1"/>
  <c r="B16122" i="1"/>
  <c r="C16122" i="1"/>
  <c r="E16122" i="1"/>
  <c r="G16122" i="1"/>
  <c r="K16122" i="1"/>
  <c r="A16123" i="1"/>
  <c r="B16123" i="1"/>
  <c r="C16123" i="1"/>
  <c r="E16123" i="1"/>
  <c r="G16123" i="1"/>
  <c r="K16123" i="1"/>
  <c r="A16124" i="1"/>
  <c r="B16124" i="1"/>
  <c r="C16124" i="1"/>
  <c r="E16124" i="1"/>
  <c r="G16124" i="1"/>
  <c r="K16124" i="1"/>
  <c r="A16125" i="1"/>
  <c r="B16125" i="1"/>
  <c r="C16125" i="1"/>
  <c r="E16125" i="1"/>
  <c r="G16125" i="1"/>
  <c r="K16125" i="1"/>
  <c r="A16126" i="1"/>
  <c r="B16126" i="1"/>
  <c r="C16126" i="1"/>
  <c r="E16126" i="1"/>
  <c r="G16126" i="1"/>
  <c r="K16126" i="1"/>
  <c r="A16127" i="1"/>
  <c r="B16127" i="1"/>
  <c r="C16127" i="1"/>
  <c r="E16127" i="1"/>
  <c r="G16127" i="1"/>
  <c r="K16127" i="1"/>
  <c r="A16128" i="1"/>
  <c r="B16128" i="1"/>
  <c r="C16128" i="1"/>
  <c r="E16128" i="1"/>
  <c r="G16128" i="1"/>
  <c r="K16128" i="1"/>
  <c r="A16129" i="1"/>
  <c r="B16129" i="1"/>
  <c r="C16129" i="1"/>
  <c r="E16129" i="1"/>
  <c r="G16129" i="1"/>
  <c r="K16129" i="1"/>
  <c r="A16130" i="1"/>
  <c r="B16130" i="1"/>
  <c r="C16130" i="1"/>
  <c r="E16130" i="1"/>
  <c r="G16130" i="1"/>
  <c r="K16130" i="1"/>
  <c r="A16131" i="1"/>
  <c r="B16131" i="1"/>
  <c r="C16131" i="1"/>
  <c r="E16131" i="1"/>
  <c r="G16131" i="1"/>
  <c r="K16131" i="1"/>
  <c r="A16132" i="1"/>
  <c r="B16132" i="1"/>
  <c r="C16132" i="1"/>
  <c r="E16132" i="1"/>
  <c r="G16132" i="1"/>
  <c r="K16132" i="1"/>
  <c r="A16133" i="1"/>
  <c r="B16133" i="1"/>
  <c r="C16133" i="1"/>
  <c r="E16133" i="1"/>
  <c r="G16133" i="1"/>
  <c r="K16133" i="1"/>
  <c r="A16134" i="1"/>
  <c r="B16134" i="1"/>
  <c r="C16134" i="1"/>
  <c r="E16134" i="1"/>
  <c r="G16134" i="1"/>
  <c r="K16134" i="1"/>
  <c r="A16135" i="1"/>
  <c r="B16135" i="1"/>
  <c r="C16135" i="1"/>
  <c r="E16135" i="1"/>
  <c r="G16135" i="1"/>
  <c r="K16135" i="1"/>
  <c r="A16136" i="1"/>
  <c r="B16136" i="1"/>
  <c r="C16136" i="1"/>
  <c r="E16136" i="1"/>
  <c r="G16136" i="1"/>
  <c r="K16136" i="1"/>
  <c r="A16137" i="1"/>
  <c r="B16137" i="1"/>
  <c r="C16137" i="1"/>
  <c r="E16137" i="1"/>
  <c r="G16137" i="1"/>
  <c r="K16137" i="1"/>
  <c r="A16138" i="1"/>
  <c r="B16138" i="1"/>
  <c r="C16138" i="1"/>
  <c r="E16138" i="1"/>
  <c r="G16138" i="1"/>
  <c r="K16138" i="1"/>
  <c r="A16139" i="1"/>
  <c r="B16139" i="1"/>
  <c r="C16139" i="1"/>
  <c r="E16139" i="1"/>
  <c r="G16139" i="1"/>
  <c r="K16139" i="1"/>
  <c r="A16140" i="1"/>
  <c r="B16140" i="1"/>
  <c r="C16140" i="1"/>
  <c r="E16140" i="1"/>
  <c r="G16140" i="1"/>
  <c r="K16140" i="1"/>
  <c r="A16141" i="1"/>
  <c r="B16141" i="1"/>
  <c r="C16141" i="1"/>
  <c r="E16141" i="1"/>
  <c r="G16141" i="1"/>
  <c r="K16141" i="1"/>
  <c r="A16142" i="1"/>
  <c r="B16142" i="1"/>
  <c r="C16142" i="1"/>
  <c r="E16142" i="1"/>
  <c r="G16142" i="1"/>
  <c r="K16142" i="1"/>
  <c r="A16143" i="1"/>
  <c r="B16143" i="1"/>
  <c r="C16143" i="1"/>
  <c r="E16143" i="1"/>
  <c r="G16143" i="1"/>
  <c r="K16143" i="1"/>
  <c r="A16144" i="1"/>
  <c r="B16144" i="1"/>
  <c r="C16144" i="1"/>
  <c r="E16144" i="1"/>
  <c r="G16144" i="1"/>
  <c r="K16144" i="1"/>
  <c r="A16145" i="1"/>
  <c r="B16145" i="1"/>
  <c r="C16145" i="1"/>
  <c r="E16145" i="1"/>
  <c r="G16145" i="1"/>
  <c r="K16145" i="1"/>
  <c r="A16146" i="1"/>
  <c r="B16146" i="1"/>
  <c r="C16146" i="1"/>
  <c r="E16146" i="1"/>
  <c r="G16146" i="1"/>
  <c r="K16146" i="1"/>
  <c r="A16147" i="1"/>
  <c r="B16147" i="1"/>
  <c r="C16147" i="1"/>
  <c r="E16147" i="1"/>
  <c r="G16147" i="1"/>
  <c r="K16147" i="1"/>
  <c r="A16148" i="1"/>
  <c r="B16148" i="1"/>
  <c r="C16148" i="1"/>
  <c r="E16148" i="1"/>
  <c r="G16148" i="1"/>
  <c r="K16148" i="1"/>
  <c r="A16149" i="1"/>
  <c r="B16149" i="1"/>
  <c r="C16149" i="1"/>
  <c r="E16149" i="1"/>
  <c r="G16149" i="1"/>
  <c r="K16149" i="1"/>
  <c r="A16150" i="1"/>
  <c r="B16150" i="1"/>
  <c r="C16150" i="1"/>
  <c r="E16150" i="1"/>
  <c r="G16150" i="1"/>
  <c r="K16150" i="1"/>
  <c r="A16151" i="1"/>
  <c r="B16151" i="1"/>
  <c r="C16151" i="1"/>
  <c r="E16151" i="1"/>
  <c r="G16151" i="1"/>
  <c r="K16151" i="1"/>
  <c r="A16152" i="1"/>
  <c r="B16152" i="1"/>
  <c r="C16152" i="1"/>
  <c r="E16152" i="1"/>
  <c r="G16152" i="1"/>
  <c r="K16152" i="1"/>
  <c r="A16153" i="1"/>
  <c r="B16153" i="1"/>
  <c r="C16153" i="1"/>
  <c r="E16153" i="1"/>
  <c r="G16153" i="1"/>
  <c r="K16153" i="1"/>
  <c r="A16154" i="1"/>
  <c r="B16154" i="1"/>
  <c r="C16154" i="1"/>
  <c r="E16154" i="1"/>
  <c r="G16154" i="1"/>
  <c r="K16154" i="1"/>
  <c r="A16155" i="1"/>
  <c r="B16155" i="1"/>
  <c r="C16155" i="1"/>
  <c r="E16155" i="1"/>
  <c r="G16155" i="1"/>
  <c r="K16155" i="1"/>
  <c r="A16156" i="1"/>
  <c r="B16156" i="1"/>
  <c r="C16156" i="1"/>
  <c r="E16156" i="1"/>
  <c r="G16156" i="1"/>
  <c r="K16156" i="1"/>
  <c r="A16157" i="1"/>
  <c r="B16157" i="1"/>
  <c r="C16157" i="1"/>
  <c r="E16157" i="1"/>
  <c r="G16157" i="1"/>
  <c r="K16157" i="1"/>
  <c r="A16158" i="1"/>
  <c r="B16158" i="1"/>
  <c r="C16158" i="1"/>
  <c r="E16158" i="1"/>
  <c r="G16158" i="1"/>
  <c r="K16158" i="1"/>
  <c r="A16159" i="1"/>
  <c r="B16159" i="1"/>
  <c r="C16159" i="1"/>
  <c r="E16159" i="1"/>
  <c r="G16159" i="1"/>
  <c r="K16159" i="1"/>
  <c r="A16160" i="1"/>
  <c r="B16160" i="1"/>
  <c r="C16160" i="1"/>
  <c r="E16160" i="1"/>
  <c r="G16160" i="1"/>
  <c r="K16160" i="1"/>
  <c r="A16161" i="1"/>
  <c r="B16161" i="1"/>
  <c r="C16161" i="1"/>
  <c r="E16161" i="1"/>
  <c r="G16161" i="1"/>
  <c r="K16161" i="1"/>
  <c r="A16162" i="1"/>
  <c r="B16162" i="1"/>
  <c r="C16162" i="1"/>
  <c r="E16162" i="1"/>
  <c r="G16162" i="1"/>
  <c r="K16162" i="1"/>
  <c r="A16163" i="1"/>
  <c r="B16163" i="1"/>
  <c r="C16163" i="1"/>
  <c r="E16163" i="1"/>
  <c r="G16163" i="1"/>
  <c r="K16163" i="1"/>
  <c r="A16164" i="1"/>
  <c r="B16164" i="1"/>
  <c r="C16164" i="1"/>
  <c r="E16164" i="1"/>
  <c r="G16164" i="1"/>
  <c r="K16164" i="1"/>
  <c r="A16165" i="1"/>
  <c r="B16165" i="1"/>
  <c r="C16165" i="1"/>
  <c r="E16165" i="1"/>
  <c r="G16165" i="1"/>
  <c r="K16165" i="1"/>
  <c r="A16166" i="1"/>
  <c r="B16166" i="1"/>
  <c r="C16166" i="1"/>
  <c r="E16166" i="1"/>
  <c r="G16166" i="1"/>
  <c r="K16166" i="1"/>
  <c r="A16167" i="1"/>
  <c r="B16167" i="1"/>
  <c r="C16167" i="1"/>
  <c r="E16167" i="1"/>
  <c r="G16167" i="1"/>
  <c r="K16167" i="1"/>
  <c r="A16168" i="1"/>
  <c r="B16168" i="1"/>
  <c r="C16168" i="1"/>
  <c r="E16168" i="1"/>
  <c r="G16168" i="1"/>
  <c r="K16168" i="1"/>
  <c r="A16169" i="1"/>
  <c r="B16169" i="1"/>
  <c r="C16169" i="1"/>
  <c r="E16169" i="1"/>
  <c r="G16169" i="1"/>
  <c r="K16169" i="1"/>
  <c r="A16170" i="1"/>
  <c r="B16170" i="1"/>
  <c r="C16170" i="1"/>
  <c r="E16170" i="1"/>
  <c r="G16170" i="1"/>
  <c r="K16170" i="1"/>
  <c r="A16171" i="1"/>
  <c r="B16171" i="1"/>
  <c r="C16171" i="1"/>
  <c r="E16171" i="1"/>
  <c r="G16171" i="1"/>
  <c r="K16171" i="1"/>
  <c r="A16172" i="1"/>
  <c r="B16172" i="1"/>
  <c r="C16172" i="1"/>
  <c r="E16172" i="1"/>
  <c r="G16172" i="1"/>
  <c r="K16172" i="1"/>
  <c r="A16173" i="1"/>
  <c r="B16173" i="1"/>
  <c r="C16173" i="1"/>
  <c r="E16173" i="1"/>
  <c r="G16173" i="1"/>
  <c r="K16173" i="1"/>
  <c r="A16174" i="1"/>
  <c r="B16174" i="1"/>
  <c r="C16174" i="1"/>
  <c r="E16174" i="1"/>
  <c r="G16174" i="1"/>
  <c r="K16174" i="1"/>
  <c r="A16175" i="1"/>
  <c r="B16175" i="1"/>
  <c r="C16175" i="1"/>
  <c r="E16175" i="1"/>
  <c r="G16175" i="1"/>
  <c r="K16175" i="1"/>
  <c r="A16176" i="1"/>
  <c r="B16176" i="1"/>
  <c r="C16176" i="1"/>
  <c r="E16176" i="1"/>
  <c r="G16176" i="1"/>
  <c r="K16176" i="1"/>
  <c r="A16177" i="1"/>
  <c r="B16177" i="1"/>
  <c r="C16177" i="1"/>
  <c r="E16177" i="1"/>
  <c r="G16177" i="1"/>
  <c r="K16177" i="1"/>
  <c r="A16178" i="1"/>
  <c r="B16178" i="1"/>
  <c r="C16178" i="1"/>
  <c r="E16178" i="1"/>
  <c r="G16178" i="1"/>
  <c r="K16178" i="1"/>
  <c r="A16179" i="1"/>
  <c r="B16179" i="1"/>
  <c r="C16179" i="1"/>
  <c r="E16179" i="1"/>
  <c r="G16179" i="1"/>
  <c r="K16179" i="1"/>
  <c r="A16180" i="1"/>
  <c r="B16180" i="1"/>
  <c r="C16180" i="1"/>
  <c r="E16180" i="1"/>
  <c r="G16180" i="1"/>
  <c r="K16180" i="1"/>
  <c r="A16181" i="1"/>
  <c r="B16181" i="1"/>
  <c r="C16181" i="1"/>
  <c r="E16181" i="1"/>
  <c r="G16181" i="1"/>
  <c r="K16181" i="1"/>
  <c r="A16182" i="1"/>
  <c r="B16182" i="1"/>
  <c r="C16182" i="1"/>
  <c r="E16182" i="1"/>
  <c r="G16182" i="1"/>
  <c r="K16182" i="1"/>
  <c r="A16183" i="1"/>
  <c r="B16183" i="1"/>
  <c r="C16183" i="1"/>
  <c r="E16183" i="1"/>
  <c r="G16183" i="1"/>
  <c r="K16183" i="1"/>
  <c r="A16184" i="1"/>
  <c r="B16184" i="1"/>
  <c r="C16184" i="1"/>
  <c r="E16184" i="1"/>
  <c r="G16184" i="1"/>
  <c r="K16184" i="1"/>
  <c r="A16185" i="1"/>
  <c r="B16185" i="1"/>
  <c r="C16185" i="1"/>
  <c r="E16185" i="1"/>
  <c r="G16185" i="1"/>
  <c r="K16185" i="1"/>
  <c r="A16186" i="1"/>
  <c r="B16186" i="1"/>
  <c r="C16186" i="1"/>
  <c r="E16186" i="1"/>
  <c r="G16186" i="1"/>
  <c r="K16186" i="1"/>
  <c r="A16187" i="1"/>
  <c r="B16187" i="1"/>
  <c r="C16187" i="1"/>
  <c r="E16187" i="1"/>
  <c r="G16187" i="1"/>
  <c r="K16187" i="1"/>
  <c r="A16188" i="1"/>
  <c r="B16188" i="1"/>
  <c r="C16188" i="1"/>
  <c r="E16188" i="1"/>
  <c r="G16188" i="1"/>
  <c r="K16188" i="1"/>
  <c r="A16189" i="1"/>
  <c r="B16189" i="1"/>
  <c r="C16189" i="1"/>
  <c r="E16189" i="1"/>
  <c r="G16189" i="1"/>
  <c r="K16189" i="1"/>
  <c r="A16190" i="1"/>
  <c r="B16190" i="1"/>
  <c r="C16190" i="1"/>
  <c r="E16190" i="1"/>
  <c r="G16190" i="1"/>
  <c r="K16190" i="1"/>
  <c r="A16191" i="1"/>
  <c r="B16191" i="1"/>
  <c r="C16191" i="1"/>
  <c r="E16191" i="1"/>
  <c r="G16191" i="1"/>
  <c r="K16191" i="1"/>
  <c r="A16192" i="1"/>
  <c r="B16192" i="1"/>
  <c r="C16192" i="1"/>
  <c r="E16192" i="1"/>
  <c r="G16192" i="1"/>
  <c r="K16192" i="1"/>
  <c r="A16193" i="1"/>
  <c r="B16193" i="1"/>
  <c r="C16193" i="1"/>
  <c r="E16193" i="1"/>
  <c r="G16193" i="1"/>
  <c r="K16193" i="1"/>
  <c r="A16194" i="1"/>
  <c r="B16194" i="1"/>
  <c r="C16194" i="1"/>
  <c r="E16194" i="1"/>
  <c r="G16194" i="1"/>
  <c r="K16194" i="1"/>
  <c r="A16195" i="1"/>
  <c r="B16195" i="1"/>
  <c r="C16195" i="1"/>
  <c r="E16195" i="1"/>
  <c r="G16195" i="1"/>
  <c r="K16195" i="1"/>
  <c r="A16196" i="1"/>
  <c r="B16196" i="1"/>
  <c r="C16196" i="1"/>
  <c r="E16196" i="1"/>
  <c r="G16196" i="1"/>
  <c r="K16196" i="1"/>
  <c r="A16197" i="1"/>
  <c r="B16197" i="1"/>
  <c r="C16197" i="1"/>
  <c r="E16197" i="1"/>
  <c r="G16197" i="1"/>
  <c r="K16197" i="1"/>
  <c r="A16198" i="1"/>
  <c r="B16198" i="1"/>
  <c r="C16198" i="1"/>
  <c r="E16198" i="1"/>
  <c r="G16198" i="1"/>
  <c r="K16198" i="1"/>
  <c r="A16199" i="1"/>
  <c r="B16199" i="1"/>
  <c r="C16199" i="1"/>
  <c r="E16199" i="1"/>
  <c r="G16199" i="1"/>
  <c r="K16199" i="1"/>
  <c r="A16200" i="1"/>
  <c r="B16200" i="1"/>
  <c r="C16200" i="1"/>
  <c r="E16200" i="1"/>
  <c r="G16200" i="1"/>
  <c r="K16200" i="1"/>
  <c r="A16201" i="1"/>
  <c r="B16201" i="1"/>
  <c r="C16201" i="1"/>
  <c r="E16201" i="1"/>
  <c r="G16201" i="1"/>
  <c r="K16201" i="1"/>
  <c r="A16202" i="1"/>
  <c r="B16202" i="1"/>
  <c r="C16202" i="1"/>
  <c r="E16202" i="1"/>
  <c r="G16202" i="1"/>
  <c r="K16202" i="1"/>
  <c r="A16203" i="1"/>
  <c r="B16203" i="1"/>
  <c r="C16203" i="1"/>
  <c r="E16203" i="1"/>
  <c r="G16203" i="1"/>
  <c r="K16203" i="1"/>
  <c r="A16204" i="1"/>
  <c r="B16204" i="1"/>
  <c r="C16204" i="1"/>
  <c r="E16204" i="1"/>
  <c r="G16204" i="1"/>
  <c r="K16204" i="1"/>
  <c r="A16205" i="1"/>
  <c r="B16205" i="1"/>
  <c r="C16205" i="1"/>
  <c r="E16205" i="1"/>
  <c r="G16205" i="1"/>
  <c r="K16205" i="1"/>
  <c r="A16206" i="1"/>
  <c r="B16206" i="1"/>
  <c r="C16206" i="1"/>
  <c r="E16206" i="1"/>
  <c r="G16206" i="1"/>
  <c r="K16206" i="1"/>
  <c r="A16207" i="1"/>
  <c r="B16207" i="1"/>
  <c r="C16207" i="1"/>
  <c r="E16207" i="1"/>
  <c r="G16207" i="1"/>
  <c r="K16207" i="1"/>
  <c r="A16208" i="1"/>
  <c r="B16208" i="1"/>
  <c r="C16208" i="1"/>
  <c r="E16208" i="1"/>
  <c r="G16208" i="1"/>
  <c r="K16208" i="1"/>
  <c r="A16209" i="1"/>
  <c r="B16209" i="1"/>
  <c r="C16209" i="1"/>
  <c r="E16209" i="1"/>
  <c r="G16209" i="1"/>
  <c r="K16209" i="1"/>
  <c r="A16210" i="1"/>
  <c r="B16210" i="1"/>
  <c r="C16210" i="1"/>
  <c r="E16210" i="1"/>
  <c r="G16210" i="1"/>
  <c r="K16210" i="1"/>
  <c r="A16211" i="1"/>
  <c r="B16211" i="1"/>
  <c r="C16211" i="1"/>
  <c r="E16211" i="1"/>
  <c r="G16211" i="1"/>
  <c r="K16211" i="1"/>
  <c r="A16212" i="1"/>
  <c r="B16212" i="1"/>
  <c r="C16212" i="1"/>
  <c r="E16212" i="1"/>
  <c r="G16212" i="1"/>
  <c r="K16212" i="1"/>
  <c r="A16213" i="1"/>
  <c r="B16213" i="1"/>
  <c r="C16213" i="1"/>
  <c r="E16213" i="1"/>
  <c r="G16213" i="1"/>
  <c r="K16213" i="1"/>
  <c r="A16214" i="1"/>
  <c r="B16214" i="1"/>
  <c r="C16214" i="1"/>
  <c r="E16214" i="1"/>
  <c r="G16214" i="1"/>
  <c r="K16214" i="1"/>
  <c r="A16215" i="1"/>
  <c r="B16215" i="1"/>
  <c r="C16215" i="1"/>
  <c r="E16215" i="1"/>
  <c r="G16215" i="1"/>
  <c r="K16215" i="1"/>
  <c r="A16216" i="1"/>
  <c r="B16216" i="1"/>
  <c r="C16216" i="1"/>
  <c r="E16216" i="1"/>
  <c r="G16216" i="1"/>
  <c r="K16216" i="1"/>
  <c r="A16217" i="1"/>
  <c r="B16217" i="1"/>
  <c r="C16217" i="1"/>
  <c r="E16217" i="1"/>
  <c r="G16217" i="1"/>
  <c r="K16217" i="1"/>
  <c r="A16218" i="1"/>
  <c r="B16218" i="1"/>
  <c r="C16218" i="1"/>
  <c r="E16218" i="1"/>
  <c r="G16218" i="1"/>
  <c r="K16218" i="1"/>
  <c r="A16219" i="1"/>
  <c r="B16219" i="1"/>
  <c r="C16219" i="1"/>
  <c r="E16219" i="1"/>
  <c r="G16219" i="1"/>
  <c r="K16219" i="1"/>
  <c r="A16220" i="1"/>
  <c r="B16220" i="1"/>
  <c r="C16220" i="1"/>
  <c r="E16220" i="1"/>
  <c r="G16220" i="1"/>
  <c r="K16220" i="1"/>
  <c r="A16221" i="1"/>
  <c r="B16221" i="1"/>
  <c r="C16221" i="1"/>
  <c r="E16221" i="1"/>
  <c r="G16221" i="1"/>
  <c r="K16221" i="1"/>
  <c r="A16222" i="1"/>
  <c r="B16222" i="1"/>
  <c r="C16222" i="1"/>
  <c r="E16222" i="1"/>
  <c r="G16222" i="1"/>
  <c r="K16222" i="1"/>
  <c r="A16223" i="1"/>
  <c r="B16223" i="1"/>
  <c r="C16223" i="1"/>
  <c r="E16223" i="1"/>
  <c r="G16223" i="1"/>
  <c r="K16223" i="1"/>
  <c r="A16224" i="1"/>
  <c r="B16224" i="1"/>
  <c r="C16224" i="1"/>
  <c r="E16224" i="1"/>
  <c r="G16224" i="1"/>
  <c r="K16224" i="1"/>
  <c r="A16225" i="1"/>
  <c r="B16225" i="1"/>
  <c r="C16225" i="1"/>
  <c r="E16225" i="1"/>
  <c r="G16225" i="1"/>
  <c r="K16225" i="1"/>
  <c r="A16226" i="1"/>
  <c r="B16226" i="1"/>
  <c r="C16226" i="1"/>
  <c r="E16226" i="1"/>
  <c r="G16226" i="1"/>
  <c r="K16226" i="1"/>
  <c r="A16227" i="1"/>
  <c r="B16227" i="1"/>
  <c r="C16227" i="1"/>
  <c r="E16227" i="1"/>
  <c r="G16227" i="1"/>
  <c r="K16227" i="1"/>
  <c r="A16228" i="1"/>
  <c r="B16228" i="1"/>
  <c r="C16228" i="1"/>
  <c r="E16228" i="1"/>
  <c r="G16228" i="1"/>
  <c r="K16228" i="1"/>
  <c r="A16229" i="1"/>
  <c r="B16229" i="1"/>
  <c r="C16229" i="1"/>
  <c r="E16229" i="1"/>
  <c r="G16229" i="1"/>
  <c r="K16229" i="1"/>
  <c r="A16230" i="1"/>
  <c r="B16230" i="1"/>
  <c r="C16230" i="1"/>
  <c r="E16230" i="1"/>
  <c r="G16230" i="1"/>
  <c r="K16230" i="1"/>
  <c r="A16231" i="1"/>
  <c r="B16231" i="1"/>
  <c r="C16231" i="1"/>
  <c r="E16231" i="1"/>
  <c r="G16231" i="1"/>
  <c r="K16231" i="1"/>
  <c r="A16232" i="1"/>
  <c r="B16232" i="1"/>
  <c r="C16232" i="1"/>
  <c r="E16232" i="1"/>
  <c r="G16232" i="1"/>
  <c r="K16232" i="1"/>
  <c r="A16233" i="1"/>
  <c r="B16233" i="1"/>
  <c r="C16233" i="1"/>
  <c r="E16233" i="1"/>
  <c r="G16233" i="1"/>
  <c r="K16233" i="1"/>
  <c r="A16234" i="1"/>
  <c r="B16234" i="1"/>
  <c r="C16234" i="1"/>
  <c r="E16234" i="1"/>
  <c r="G16234" i="1"/>
  <c r="K16234" i="1"/>
  <c r="A16235" i="1"/>
  <c r="B16235" i="1"/>
  <c r="C16235" i="1"/>
  <c r="E16235" i="1"/>
  <c r="G16235" i="1"/>
  <c r="K16235" i="1"/>
  <c r="A16236" i="1"/>
  <c r="B16236" i="1"/>
  <c r="C16236" i="1"/>
  <c r="E16236" i="1"/>
  <c r="G16236" i="1"/>
  <c r="K16236" i="1"/>
  <c r="A16237" i="1"/>
  <c r="B16237" i="1"/>
  <c r="C16237" i="1"/>
  <c r="E16237" i="1"/>
  <c r="G16237" i="1"/>
  <c r="K16237" i="1"/>
  <c r="A16238" i="1"/>
  <c r="B16238" i="1"/>
  <c r="C16238" i="1"/>
  <c r="E16238" i="1"/>
  <c r="G16238" i="1"/>
  <c r="K16238" i="1"/>
  <c r="A16239" i="1"/>
  <c r="B16239" i="1"/>
  <c r="C16239" i="1"/>
  <c r="E16239" i="1"/>
  <c r="G16239" i="1"/>
  <c r="K16239" i="1"/>
  <c r="A16240" i="1"/>
  <c r="B16240" i="1"/>
  <c r="C16240" i="1"/>
  <c r="E16240" i="1"/>
  <c r="G16240" i="1"/>
  <c r="K16240" i="1"/>
  <c r="A16241" i="1"/>
  <c r="B16241" i="1"/>
  <c r="C16241" i="1"/>
  <c r="E16241" i="1"/>
  <c r="G16241" i="1"/>
  <c r="K16241" i="1"/>
  <c r="A16242" i="1"/>
  <c r="B16242" i="1"/>
  <c r="C16242" i="1"/>
  <c r="E16242" i="1"/>
  <c r="G16242" i="1"/>
  <c r="K16242" i="1"/>
  <c r="A16243" i="1"/>
  <c r="B16243" i="1"/>
  <c r="C16243" i="1"/>
  <c r="E16243" i="1"/>
  <c r="G16243" i="1"/>
  <c r="K16243" i="1"/>
  <c r="A16244" i="1"/>
  <c r="B16244" i="1"/>
  <c r="C16244" i="1"/>
  <c r="E16244" i="1"/>
  <c r="G16244" i="1"/>
  <c r="K16244" i="1"/>
  <c r="A16245" i="1"/>
  <c r="B16245" i="1"/>
  <c r="C16245" i="1"/>
  <c r="E16245" i="1"/>
  <c r="G16245" i="1"/>
  <c r="K16245" i="1"/>
  <c r="A16246" i="1"/>
  <c r="B16246" i="1"/>
  <c r="C16246" i="1"/>
  <c r="E16246" i="1"/>
  <c r="G16246" i="1"/>
  <c r="K16246" i="1"/>
  <c r="A16247" i="1"/>
  <c r="B16247" i="1"/>
  <c r="C16247" i="1"/>
  <c r="E16247" i="1"/>
  <c r="G16247" i="1"/>
  <c r="K16247" i="1"/>
  <c r="A16248" i="1"/>
  <c r="B16248" i="1"/>
  <c r="C16248" i="1"/>
  <c r="E16248" i="1"/>
  <c r="G16248" i="1"/>
  <c r="K16248" i="1"/>
  <c r="A16249" i="1"/>
  <c r="B16249" i="1"/>
  <c r="C16249" i="1"/>
  <c r="E16249" i="1"/>
  <c r="G16249" i="1"/>
  <c r="K16249" i="1"/>
  <c r="A16250" i="1"/>
  <c r="B16250" i="1"/>
  <c r="C16250" i="1"/>
  <c r="E16250" i="1"/>
  <c r="G16250" i="1"/>
  <c r="K16250" i="1"/>
  <c r="A16251" i="1"/>
  <c r="B16251" i="1"/>
  <c r="C16251" i="1"/>
  <c r="E16251" i="1"/>
  <c r="G16251" i="1"/>
  <c r="K16251" i="1"/>
  <c r="A16252" i="1"/>
  <c r="B16252" i="1"/>
  <c r="C16252" i="1"/>
  <c r="E16252" i="1"/>
  <c r="G16252" i="1"/>
  <c r="K16252" i="1"/>
  <c r="A16253" i="1"/>
  <c r="B16253" i="1"/>
  <c r="C16253" i="1"/>
  <c r="E16253" i="1"/>
  <c r="G16253" i="1"/>
  <c r="K16253" i="1"/>
  <c r="A16254" i="1"/>
  <c r="B16254" i="1"/>
  <c r="C16254" i="1"/>
  <c r="E16254" i="1"/>
  <c r="G16254" i="1"/>
  <c r="K16254" i="1"/>
  <c r="A16255" i="1"/>
  <c r="B16255" i="1"/>
  <c r="C16255" i="1"/>
  <c r="E16255" i="1"/>
  <c r="G16255" i="1"/>
  <c r="K16255" i="1"/>
  <c r="A16256" i="1"/>
  <c r="B16256" i="1"/>
  <c r="C16256" i="1"/>
  <c r="E16256" i="1"/>
  <c r="G16256" i="1"/>
  <c r="K16256" i="1"/>
  <c r="A16257" i="1"/>
  <c r="B16257" i="1"/>
  <c r="C16257" i="1"/>
  <c r="E16257" i="1"/>
  <c r="G16257" i="1"/>
  <c r="K16257" i="1"/>
  <c r="A16258" i="1"/>
  <c r="B16258" i="1"/>
  <c r="C16258" i="1"/>
  <c r="E16258" i="1"/>
  <c r="G16258" i="1"/>
  <c r="K16258" i="1"/>
  <c r="A16259" i="1"/>
  <c r="B16259" i="1"/>
  <c r="C16259" i="1"/>
  <c r="E16259" i="1"/>
  <c r="G16259" i="1"/>
  <c r="K16259" i="1"/>
  <c r="A16260" i="1"/>
  <c r="B16260" i="1"/>
  <c r="C16260" i="1"/>
  <c r="E16260" i="1"/>
  <c r="G16260" i="1"/>
  <c r="K16260" i="1"/>
  <c r="A16261" i="1"/>
  <c r="B16261" i="1"/>
  <c r="C16261" i="1"/>
  <c r="E16261" i="1"/>
  <c r="G16261" i="1"/>
  <c r="K16261" i="1"/>
  <c r="A16262" i="1"/>
  <c r="B16262" i="1"/>
  <c r="C16262" i="1"/>
  <c r="E16262" i="1"/>
  <c r="G16262" i="1"/>
  <c r="K16262" i="1"/>
  <c r="A16263" i="1"/>
  <c r="B16263" i="1"/>
  <c r="C16263" i="1"/>
  <c r="E16263" i="1"/>
  <c r="G16263" i="1"/>
  <c r="K16263" i="1"/>
  <c r="A16264" i="1"/>
  <c r="B16264" i="1"/>
  <c r="C16264" i="1"/>
  <c r="E16264" i="1"/>
  <c r="G16264" i="1"/>
  <c r="K16264" i="1"/>
  <c r="A16265" i="1"/>
  <c r="B16265" i="1"/>
  <c r="C16265" i="1"/>
  <c r="E16265" i="1"/>
  <c r="G16265" i="1"/>
  <c r="K16265" i="1"/>
  <c r="A16266" i="1"/>
  <c r="B16266" i="1"/>
  <c r="C16266" i="1"/>
  <c r="E16266" i="1"/>
  <c r="G16266" i="1"/>
  <c r="K16266" i="1"/>
  <c r="A16267" i="1"/>
  <c r="B16267" i="1"/>
  <c r="C16267" i="1"/>
  <c r="E16267" i="1"/>
  <c r="G16267" i="1"/>
  <c r="K16267" i="1"/>
  <c r="A16268" i="1"/>
  <c r="B16268" i="1"/>
  <c r="C16268" i="1"/>
  <c r="E16268" i="1"/>
  <c r="G16268" i="1"/>
  <c r="K16268" i="1"/>
  <c r="A16269" i="1"/>
  <c r="B16269" i="1"/>
  <c r="C16269" i="1"/>
  <c r="E16269" i="1"/>
  <c r="G16269" i="1"/>
  <c r="K16269" i="1"/>
  <c r="A16270" i="1"/>
  <c r="B16270" i="1"/>
  <c r="C16270" i="1"/>
  <c r="E16270" i="1"/>
  <c r="G16270" i="1"/>
  <c r="K16270" i="1"/>
  <c r="A16271" i="1"/>
  <c r="B16271" i="1"/>
  <c r="C16271" i="1"/>
  <c r="E16271" i="1"/>
  <c r="G16271" i="1"/>
  <c r="K16271" i="1"/>
  <c r="A16272" i="1"/>
  <c r="B16272" i="1"/>
  <c r="C16272" i="1"/>
  <c r="E16272" i="1"/>
  <c r="G16272" i="1"/>
  <c r="K16272" i="1"/>
  <c r="A16273" i="1"/>
  <c r="B16273" i="1"/>
  <c r="C16273" i="1"/>
  <c r="E16273" i="1"/>
  <c r="G16273" i="1"/>
  <c r="K16273" i="1"/>
  <c r="A16274" i="1"/>
  <c r="B16274" i="1"/>
  <c r="C16274" i="1"/>
  <c r="E16274" i="1"/>
  <c r="G16274" i="1"/>
  <c r="K16274" i="1"/>
  <c r="A16275" i="1"/>
  <c r="B16275" i="1"/>
  <c r="C16275" i="1"/>
  <c r="E16275" i="1"/>
  <c r="G16275" i="1"/>
  <c r="K16275" i="1"/>
  <c r="A16276" i="1"/>
  <c r="B16276" i="1"/>
  <c r="C16276" i="1"/>
  <c r="E16276" i="1"/>
  <c r="G16276" i="1"/>
  <c r="K16276" i="1"/>
  <c r="A16277" i="1"/>
  <c r="B16277" i="1"/>
  <c r="C16277" i="1"/>
  <c r="E16277" i="1"/>
  <c r="G16277" i="1"/>
  <c r="K16277" i="1"/>
  <c r="A16278" i="1"/>
  <c r="B16278" i="1"/>
  <c r="C16278" i="1"/>
  <c r="E16278" i="1"/>
  <c r="G16278" i="1"/>
  <c r="K16278" i="1"/>
  <c r="A16279" i="1"/>
  <c r="B16279" i="1"/>
  <c r="C16279" i="1"/>
  <c r="E16279" i="1"/>
  <c r="G16279" i="1"/>
  <c r="K16279" i="1"/>
  <c r="A16280" i="1"/>
  <c r="B16280" i="1"/>
  <c r="C16280" i="1"/>
  <c r="E16280" i="1"/>
  <c r="G16280" i="1"/>
  <c r="K16280" i="1"/>
  <c r="A16281" i="1"/>
  <c r="B16281" i="1"/>
  <c r="C16281" i="1"/>
  <c r="E16281" i="1"/>
  <c r="G16281" i="1"/>
  <c r="K16281" i="1"/>
  <c r="A16282" i="1"/>
  <c r="B16282" i="1"/>
  <c r="C16282" i="1"/>
  <c r="E16282" i="1"/>
  <c r="G16282" i="1"/>
  <c r="K16282" i="1"/>
  <c r="A16283" i="1"/>
  <c r="B16283" i="1"/>
  <c r="C16283" i="1"/>
  <c r="E16283" i="1"/>
  <c r="G16283" i="1"/>
  <c r="K16283" i="1"/>
  <c r="A16284" i="1"/>
  <c r="B16284" i="1"/>
  <c r="C16284" i="1"/>
  <c r="E16284" i="1"/>
  <c r="G16284" i="1"/>
  <c r="K16284" i="1"/>
  <c r="A16285" i="1"/>
  <c r="B16285" i="1"/>
  <c r="C16285" i="1"/>
  <c r="E16285" i="1"/>
  <c r="G16285" i="1"/>
  <c r="K16285" i="1"/>
  <c r="A16286" i="1"/>
  <c r="B16286" i="1"/>
  <c r="C16286" i="1"/>
  <c r="E16286" i="1"/>
  <c r="G16286" i="1"/>
  <c r="K16286" i="1"/>
  <c r="A16287" i="1"/>
  <c r="B16287" i="1"/>
  <c r="C16287" i="1"/>
  <c r="E16287" i="1"/>
  <c r="G16287" i="1"/>
  <c r="K16287" i="1"/>
  <c r="A16288" i="1"/>
  <c r="B16288" i="1"/>
  <c r="C16288" i="1"/>
  <c r="E16288" i="1"/>
  <c r="G16288" i="1"/>
  <c r="K16288" i="1"/>
  <c r="A16289" i="1"/>
  <c r="B16289" i="1"/>
  <c r="C16289" i="1"/>
  <c r="E16289" i="1"/>
  <c r="G16289" i="1"/>
  <c r="K16289" i="1"/>
  <c r="A16290" i="1"/>
  <c r="B16290" i="1"/>
  <c r="C16290" i="1"/>
  <c r="E16290" i="1"/>
  <c r="G16290" i="1"/>
  <c r="K16290" i="1"/>
  <c r="A16291" i="1"/>
  <c r="B16291" i="1"/>
  <c r="C16291" i="1"/>
  <c r="E16291" i="1"/>
  <c r="G16291" i="1"/>
  <c r="K16291" i="1"/>
  <c r="A16292" i="1"/>
  <c r="B16292" i="1"/>
  <c r="C16292" i="1"/>
  <c r="E16292" i="1"/>
  <c r="G16292" i="1"/>
  <c r="K16292" i="1"/>
  <c r="A16293" i="1"/>
  <c r="B16293" i="1"/>
  <c r="C16293" i="1"/>
  <c r="E16293" i="1"/>
  <c r="G16293" i="1"/>
  <c r="K16293" i="1"/>
  <c r="A16294" i="1"/>
  <c r="B16294" i="1"/>
  <c r="C16294" i="1"/>
  <c r="E16294" i="1"/>
  <c r="G16294" i="1"/>
  <c r="K16294" i="1"/>
  <c r="A16295" i="1"/>
  <c r="B16295" i="1"/>
  <c r="C16295" i="1"/>
  <c r="E16295" i="1"/>
  <c r="G16295" i="1"/>
  <c r="K16295" i="1"/>
  <c r="A16296" i="1"/>
  <c r="B16296" i="1"/>
  <c r="C16296" i="1"/>
  <c r="E16296" i="1"/>
  <c r="G16296" i="1"/>
  <c r="K16296" i="1"/>
  <c r="A16297" i="1"/>
  <c r="B16297" i="1"/>
  <c r="C16297" i="1"/>
  <c r="E16297" i="1"/>
  <c r="G16297" i="1"/>
  <c r="K16297" i="1"/>
  <c r="A16298" i="1"/>
  <c r="B16298" i="1"/>
  <c r="C16298" i="1"/>
  <c r="E16298" i="1"/>
  <c r="G16298" i="1"/>
  <c r="K16298" i="1"/>
  <c r="A16299" i="1"/>
  <c r="B16299" i="1"/>
  <c r="C16299" i="1"/>
  <c r="E16299" i="1"/>
  <c r="G16299" i="1"/>
  <c r="K16299" i="1"/>
  <c r="A16300" i="1"/>
  <c r="B16300" i="1"/>
  <c r="C16300" i="1"/>
  <c r="E16300" i="1"/>
  <c r="G16300" i="1"/>
  <c r="K16300" i="1"/>
  <c r="A16301" i="1"/>
  <c r="B16301" i="1"/>
  <c r="C16301" i="1"/>
  <c r="E16301" i="1"/>
  <c r="G16301" i="1"/>
  <c r="K16301" i="1"/>
  <c r="A16302" i="1"/>
  <c r="B16302" i="1"/>
  <c r="C16302" i="1"/>
  <c r="E16302" i="1"/>
  <c r="G16302" i="1"/>
  <c r="K16302" i="1"/>
  <c r="A16303" i="1"/>
  <c r="B16303" i="1"/>
  <c r="C16303" i="1"/>
  <c r="E16303" i="1"/>
  <c r="G16303" i="1"/>
  <c r="K16303" i="1"/>
  <c r="A16304" i="1"/>
  <c r="B16304" i="1"/>
  <c r="C16304" i="1"/>
  <c r="E16304" i="1"/>
  <c r="G16304" i="1"/>
  <c r="K16304" i="1"/>
  <c r="A16305" i="1"/>
  <c r="B16305" i="1"/>
  <c r="C16305" i="1"/>
  <c r="E16305" i="1"/>
  <c r="G16305" i="1"/>
  <c r="K16305" i="1"/>
  <c r="A16306" i="1"/>
  <c r="B16306" i="1"/>
  <c r="C16306" i="1"/>
  <c r="E16306" i="1"/>
  <c r="G16306" i="1"/>
  <c r="K16306" i="1"/>
  <c r="A16307" i="1"/>
  <c r="B16307" i="1"/>
  <c r="C16307" i="1"/>
  <c r="E16307" i="1"/>
  <c r="G16307" i="1"/>
  <c r="K16307" i="1"/>
  <c r="A16308" i="1"/>
  <c r="B16308" i="1"/>
  <c r="C16308" i="1"/>
  <c r="E16308" i="1"/>
  <c r="G16308" i="1"/>
  <c r="K16308" i="1"/>
  <c r="A16309" i="1"/>
  <c r="B16309" i="1"/>
  <c r="C16309" i="1"/>
  <c r="E16309" i="1"/>
  <c r="G16309" i="1"/>
  <c r="K16309" i="1"/>
  <c r="A16310" i="1"/>
  <c r="B16310" i="1"/>
  <c r="C16310" i="1"/>
  <c r="E16310" i="1"/>
  <c r="G16310" i="1"/>
  <c r="K16310" i="1"/>
  <c r="A16311" i="1"/>
  <c r="B16311" i="1"/>
  <c r="C16311" i="1"/>
  <c r="E16311" i="1"/>
  <c r="G16311" i="1"/>
  <c r="K16311" i="1"/>
  <c r="A16312" i="1"/>
  <c r="B16312" i="1"/>
  <c r="C16312" i="1"/>
  <c r="E16312" i="1"/>
  <c r="G16312" i="1"/>
  <c r="K16312" i="1"/>
  <c r="A16313" i="1"/>
  <c r="B16313" i="1"/>
  <c r="C16313" i="1"/>
  <c r="E16313" i="1"/>
  <c r="G16313" i="1"/>
  <c r="K16313" i="1"/>
  <c r="A16314" i="1"/>
  <c r="B16314" i="1"/>
  <c r="C16314" i="1"/>
  <c r="E16314" i="1"/>
  <c r="G16314" i="1"/>
  <c r="K16314" i="1"/>
  <c r="A16315" i="1"/>
  <c r="B16315" i="1"/>
  <c r="C16315" i="1"/>
  <c r="E16315" i="1"/>
  <c r="G16315" i="1"/>
  <c r="K16315" i="1"/>
  <c r="A16316" i="1"/>
  <c r="B16316" i="1"/>
  <c r="C16316" i="1"/>
  <c r="E16316" i="1"/>
  <c r="G16316" i="1"/>
  <c r="K16316" i="1"/>
  <c r="A16317" i="1"/>
  <c r="B16317" i="1"/>
  <c r="C16317" i="1"/>
  <c r="E16317" i="1"/>
  <c r="G16317" i="1"/>
  <c r="K16317" i="1"/>
  <c r="A16318" i="1"/>
  <c r="B16318" i="1"/>
  <c r="C16318" i="1"/>
  <c r="E16318" i="1"/>
  <c r="G16318" i="1"/>
  <c r="K16318" i="1"/>
  <c r="A16319" i="1"/>
  <c r="B16319" i="1"/>
  <c r="C16319" i="1"/>
  <c r="E16319" i="1"/>
  <c r="G16319" i="1"/>
  <c r="K16319" i="1"/>
  <c r="A16320" i="1"/>
  <c r="B16320" i="1"/>
  <c r="C16320" i="1"/>
  <c r="E16320" i="1"/>
  <c r="G16320" i="1"/>
  <c r="K16320" i="1"/>
  <c r="A16321" i="1"/>
  <c r="B16321" i="1"/>
  <c r="C16321" i="1"/>
  <c r="E16321" i="1"/>
  <c r="G16321" i="1"/>
  <c r="K16321" i="1"/>
  <c r="A16322" i="1"/>
  <c r="B16322" i="1"/>
  <c r="C16322" i="1"/>
  <c r="E16322" i="1"/>
  <c r="G16322" i="1"/>
  <c r="K16322" i="1"/>
  <c r="A16323" i="1"/>
  <c r="B16323" i="1"/>
  <c r="C16323" i="1"/>
  <c r="E16323" i="1"/>
  <c r="G16323" i="1"/>
  <c r="K16323" i="1"/>
  <c r="A16324" i="1"/>
  <c r="B16324" i="1"/>
  <c r="C16324" i="1"/>
  <c r="E16324" i="1"/>
  <c r="G16324" i="1"/>
  <c r="K16324" i="1"/>
  <c r="A16325" i="1"/>
  <c r="B16325" i="1"/>
  <c r="C16325" i="1"/>
  <c r="E16325" i="1"/>
  <c r="G16325" i="1"/>
  <c r="K16325" i="1"/>
  <c r="A16326" i="1"/>
  <c r="B16326" i="1"/>
  <c r="C16326" i="1"/>
  <c r="E16326" i="1"/>
  <c r="G16326" i="1"/>
  <c r="K16326" i="1"/>
  <c r="A16327" i="1"/>
  <c r="B16327" i="1"/>
  <c r="C16327" i="1"/>
  <c r="E16327" i="1"/>
  <c r="G16327" i="1"/>
  <c r="K16327" i="1"/>
  <c r="A16328" i="1"/>
  <c r="B16328" i="1"/>
  <c r="C16328" i="1"/>
  <c r="E16328" i="1"/>
  <c r="G16328" i="1"/>
  <c r="K16328" i="1"/>
  <c r="A16329" i="1"/>
  <c r="B16329" i="1"/>
  <c r="C16329" i="1"/>
  <c r="E16329" i="1"/>
  <c r="G16329" i="1"/>
  <c r="K16329" i="1"/>
  <c r="A16330" i="1"/>
  <c r="B16330" i="1"/>
  <c r="C16330" i="1"/>
  <c r="E16330" i="1"/>
  <c r="G16330" i="1"/>
  <c r="K16330" i="1"/>
  <c r="A16331" i="1"/>
  <c r="B16331" i="1"/>
  <c r="C16331" i="1"/>
  <c r="E16331" i="1"/>
  <c r="G16331" i="1"/>
  <c r="K16331" i="1"/>
  <c r="A16332" i="1"/>
  <c r="B16332" i="1"/>
  <c r="C16332" i="1"/>
  <c r="E16332" i="1"/>
  <c r="G16332" i="1"/>
  <c r="K16332" i="1"/>
  <c r="A16333" i="1"/>
  <c r="B16333" i="1"/>
  <c r="C16333" i="1"/>
  <c r="E16333" i="1"/>
  <c r="G16333" i="1"/>
  <c r="K16333" i="1"/>
  <c r="A16334" i="1"/>
  <c r="B16334" i="1"/>
  <c r="C16334" i="1"/>
  <c r="E16334" i="1"/>
  <c r="G16334" i="1"/>
  <c r="K16334" i="1"/>
  <c r="A16335" i="1"/>
  <c r="B16335" i="1"/>
  <c r="C16335" i="1"/>
  <c r="E16335" i="1"/>
  <c r="G16335" i="1"/>
  <c r="K16335" i="1"/>
  <c r="A16336" i="1"/>
  <c r="B16336" i="1"/>
  <c r="C16336" i="1"/>
  <c r="E16336" i="1"/>
  <c r="G16336" i="1"/>
  <c r="K16336" i="1"/>
  <c r="A16337" i="1"/>
  <c r="B16337" i="1"/>
  <c r="C16337" i="1"/>
  <c r="E16337" i="1"/>
  <c r="G16337" i="1"/>
  <c r="K16337" i="1"/>
  <c r="A16338" i="1"/>
  <c r="B16338" i="1"/>
  <c r="C16338" i="1"/>
  <c r="E16338" i="1"/>
  <c r="G16338" i="1"/>
  <c r="K16338" i="1"/>
  <c r="A16339" i="1"/>
  <c r="B16339" i="1"/>
  <c r="C16339" i="1"/>
  <c r="E16339" i="1"/>
  <c r="G16339" i="1"/>
  <c r="K16339" i="1"/>
  <c r="A16340" i="1"/>
  <c r="B16340" i="1"/>
  <c r="C16340" i="1"/>
  <c r="E16340" i="1"/>
  <c r="G16340" i="1"/>
  <c r="K16340" i="1"/>
  <c r="A16341" i="1"/>
  <c r="B16341" i="1"/>
  <c r="C16341" i="1"/>
  <c r="E16341" i="1"/>
  <c r="G16341" i="1"/>
  <c r="K16341" i="1"/>
  <c r="A16342" i="1"/>
  <c r="B16342" i="1"/>
  <c r="C16342" i="1"/>
  <c r="E16342" i="1"/>
  <c r="G16342" i="1"/>
  <c r="K16342" i="1"/>
  <c r="A16343" i="1"/>
  <c r="B16343" i="1"/>
  <c r="C16343" i="1"/>
  <c r="E16343" i="1"/>
  <c r="G16343" i="1"/>
  <c r="K16343" i="1"/>
  <c r="A16344" i="1"/>
  <c r="B16344" i="1"/>
  <c r="C16344" i="1"/>
  <c r="E16344" i="1"/>
  <c r="G16344" i="1"/>
  <c r="K16344" i="1"/>
  <c r="A16345" i="1"/>
  <c r="B16345" i="1"/>
  <c r="C16345" i="1"/>
  <c r="E16345" i="1"/>
  <c r="G16345" i="1"/>
  <c r="K16345" i="1"/>
  <c r="A16346" i="1"/>
  <c r="B16346" i="1"/>
  <c r="C16346" i="1"/>
  <c r="E16346" i="1"/>
  <c r="G16346" i="1"/>
  <c r="K16346" i="1"/>
  <c r="A16347" i="1"/>
  <c r="B16347" i="1"/>
  <c r="C16347" i="1"/>
  <c r="E16347" i="1"/>
  <c r="G16347" i="1"/>
  <c r="K16347" i="1"/>
  <c r="A16348" i="1"/>
  <c r="B16348" i="1"/>
  <c r="C16348" i="1"/>
  <c r="E16348" i="1"/>
  <c r="G16348" i="1"/>
  <c r="K16348" i="1"/>
  <c r="A16349" i="1"/>
  <c r="B16349" i="1"/>
  <c r="C16349" i="1"/>
  <c r="E16349" i="1"/>
  <c r="G16349" i="1"/>
  <c r="K16349" i="1"/>
  <c r="A16350" i="1"/>
  <c r="B16350" i="1"/>
  <c r="C16350" i="1"/>
  <c r="E16350" i="1"/>
  <c r="G16350" i="1"/>
  <c r="K16350" i="1"/>
  <c r="A16351" i="1"/>
  <c r="B16351" i="1"/>
  <c r="C16351" i="1"/>
  <c r="E16351" i="1"/>
  <c r="G16351" i="1"/>
  <c r="K16351" i="1"/>
  <c r="A16352" i="1"/>
  <c r="B16352" i="1"/>
  <c r="C16352" i="1"/>
  <c r="E16352" i="1"/>
  <c r="G16352" i="1"/>
  <c r="K16352" i="1"/>
  <c r="A16353" i="1"/>
  <c r="B16353" i="1"/>
  <c r="C16353" i="1"/>
  <c r="E16353" i="1"/>
  <c r="G16353" i="1"/>
  <c r="K16353" i="1"/>
  <c r="A16354" i="1"/>
  <c r="B16354" i="1"/>
  <c r="C16354" i="1"/>
  <c r="E16354" i="1"/>
  <c r="G16354" i="1"/>
  <c r="K16354" i="1"/>
  <c r="A16355" i="1"/>
  <c r="B16355" i="1"/>
  <c r="C16355" i="1"/>
  <c r="E16355" i="1"/>
  <c r="G16355" i="1"/>
  <c r="K16355" i="1"/>
  <c r="A16356" i="1"/>
  <c r="B16356" i="1"/>
  <c r="C16356" i="1"/>
  <c r="E16356" i="1"/>
  <c r="G16356" i="1"/>
  <c r="K16356" i="1"/>
  <c r="A16357" i="1"/>
  <c r="B16357" i="1"/>
  <c r="C16357" i="1"/>
  <c r="E16357" i="1"/>
  <c r="G16357" i="1"/>
  <c r="K16357" i="1"/>
  <c r="A16358" i="1"/>
  <c r="B16358" i="1"/>
  <c r="C16358" i="1"/>
  <c r="E16358" i="1"/>
  <c r="G16358" i="1"/>
  <c r="K16358" i="1"/>
  <c r="A16359" i="1"/>
  <c r="B16359" i="1"/>
  <c r="C16359" i="1"/>
  <c r="E16359" i="1"/>
  <c r="G16359" i="1"/>
  <c r="K16359" i="1"/>
  <c r="A16360" i="1"/>
  <c r="B16360" i="1"/>
  <c r="C16360" i="1"/>
  <c r="E16360" i="1"/>
  <c r="G16360" i="1"/>
  <c r="K16360" i="1"/>
  <c r="A16361" i="1"/>
  <c r="B16361" i="1"/>
  <c r="C16361" i="1"/>
  <c r="E16361" i="1"/>
  <c r="G16361" i="1"/>
  <c r="K16361" i="1"/>
  <c r="A16362" i="1"/>
  <c r="B16362" i="1"/>
  <c r="C16362" i="1"/>
  <c r="E16362" i="1"/>
  <c r="G16362" i="1"/>
  <c r="K16362" i="1"/>
  <c r="A16363" i="1"/>
  <c r="B16363" i="1"/>
  <c r="C16363" i="1"/>
  <c r="E16363" i="1"/>
  <c r="G16363" i="1"/>
  <c r="K16363" i="1"/>
  <c r="A16364" i="1"/>
  <c r="B16364" i="1"/>
  <c r="C16364" i="1"/>
  <c r="E16364" i="1"/>
  <c r="G16364" i="1"/>
  <c r="K16364" i="1"/>
  <c r="A16365" i="1"/>
  <c r="B16365" i="1"/>
  <c r="C16365" i="1"/>
  <c r="E16365" i="1"/>
  <c r="G16365" i="1"/>
  <c r="K16365" i="1"/>
  <c r="A16366" i="1"/>
  <c r="B16366" i="1"/>
  <c r="C16366" i="1"/>
  <c r="E16366" i="1"/>
  <c r="G16366" i="1"/>
  <c r="K16366" i="1"/>
  <c r="A16367" i="1"/>
  <c r="B16367" i="1"/>
  <c r="C16367" i="1"/>
  <c r="E16367" i="1"/>
  <c r="G16367" i="1"/>
  <c r="K16367" i="1"/>
  <c r="A16368" i="1"/>
  <c r="B16368" i="1"/>
  <c r="C16368" i="1"/>
  <c r="E16368" i="1"/>
  <c r="G16368" i="1"/>
  <c r="K16368" i="1"/>
  <c r="A16369" i="1"/>
  <c r="B16369" i="1"/>
  <c r="C16369" i="1"/>
  <c r="E16369" i="1"/>
  <c r="G16369" i="1"/>
  <c r="K16369" i="1"/>
  <c r="A16370" i="1"/>
  <c r="B16370" i="1"/>
  <c r="C16370" i="1"/>
  <c r="E16370" i="1"/>
  <c r="G16370" i="1"/>
  <c r="K16370" i="1"/>
  <c r="A16371" i="1"/>
  <c r="B16371" i="1"/>
  <c r="C16371" i="1"/>
  <c r="E16371" i="1"/>
  <c r="G16371" i="1"/>
  <c r="K16371" i="1"/>
  <c r="A16372" i="1"/>
  <c r="B16372" i="1"/>
  <c r="C16372" i="1"/>
  <c r="E16372" i="1"/>
  <c r="G16372" i="1"/>
  <c r="K16372" i="1"/>
  <c r="A16373" i="1"/>
  <c r="B16373" i="1"/>
  <c r="C16373" i="1"/>
  <c r="E16373" i="1"/>
  <c r="G16373" i="1"/>
  <c r="K16373" i="1"/>
  <c r="A16374" i="1"/>
  <c r="B16374" i="1"/>
  <c r="C16374" i="1"/>
  <c r="E16374" i="1"/>
  <c r="G16374" i="1"/>
  <c r="K16374" i="1"/>
  <c r="A16375" i="1"/>
  <c r="B16375" i="1"/>
  <c r="C16375" i="1"/>
  <c r="E16375" i="1"/>
  <c r="G16375" i="1"/>
  <c r="K16375" i="1"/>
  <c r="A16376" i="1"/>
  <c r="B16376" i="1"/>
  <c r="C16376" i="1"/>
  <c r="E16376" i="1"/>
  <c r="G16376" i="1"/>
  <c r="K16376" i="1"/>
  <c r="A16377" i="1"/>
  <c r="B16377" i="1"/>
  <c r="C16377" i="1"/>
  <c r="E16377" i="1"/>
  <c r="G16377" i="1"/>
  <c r="K16377" i="1"/>
  <c r="A16378" i="1"/>
  <c r="B16378" i="1"/>
  <c r="C16378" i="1"/>
  <c r="E16378" i="1"/>
  <c r="G16378" i="1"/>
  <c r="K16378" i="1"/>
  <c r="A16379" i="1"/>
  <c r="B16379" i="1"/>
  <c r="C16379" i="1"/>
  <c r="E16379" i="1"/>
  <c r="G16379" i="1"/>
  <c r="K16379" i="1"/>
  <c r="A16380" i="1"/>
  <c r="B16380" i="1"/>
  <c r="C16380" i="1"/>
  <c r="E16380" i="1"/>
  <c r="G16380" i="1"/>
  <c r="K16380" i="1"/>
  <c r="A16381" i="1"/>
  <c r="B16381" i="1"/>
  <c r="C16381" i="1"/>
  <c r="E16381" i="1"/>
  <c r="G16381" i="1"/>
  <c r="K16381" i="1"/>
  <c r="A16382" i="1"/>
  <c r="B16382" i="1"/>
  <c r="C16382" i="1"/>
  <c r="E16382" i="1"/>
  <c r="G16382" i="1"/>
  <c r="K16382" i="1"/>
  <c r="A16383" i="1"/>
  <c r="B16383" i="1"/>
  <c r="C16383" i="1"/>
  <c r="E16383" i="1"/>
  <c r="G16383" i="1"/>
  <c r="K16383" i="1"/>
  <c r="A16384" i="1"/>
  <c r="B16384" i="1"/>
  <c r="C16384" i="1"/>
  <c r="E16384" i="1"/>
  <c r="G16384" i="1"/>
  <c r="K16384" i="1"/>
  <c r="A16385" i="1"/>
  <c r="B16385" i="1"/>
  <c r="C16385" i="1"/>
  <c r="E16385" i="1"/>
  <c r="G16385" i="1"/>
  <c r="K16385" i="1"/>
  <c r="A16386" i="1"/>
  <c r="B16386" i="1"/>
  <c r="C16386" i="1"/>
  <c r="E16386" i="1"/>
  <c r="G16386" i="1"/>
  <c r="K16386" i="1"/>
  <c r="A16387" i="1"/>
  <c r="B16387" i="1"/>
  <c r="C16387" i="1"/>
  <c r="E16387" i="1"/>
  <c r="G16387" i="1"/>
  <c r="K16387" i="1"/>
  <c r="A16388" i="1"/>
  <c r="B16388" i="1"/>
  <c r="C16388" i="1"/>
  <c r="E16388" i="1"/>
  <c r="G16388" i="1"/>
  <c r="K16388" i="1"/>
  <c r="A16389" i="1"/>
  <c r="B16389" i="1"/>
  <c r="C16389" i="1"/>
  <c r="E16389" i="1"/>
  <c r="G16389" i="1"/>
  <c r="K16389" i="1"/>
  <c r="A16390" i="1"/>
  <c r="B16390" i="1"/>
  <c r="C16390" i="1"/>
  <c r="E16390" i="1"/>
  <c r="G16390" i="1"/>
  <c r="K16390" i="1"/>
  <c r="A16391" i="1"/>
  <c r="B16391" i="1"/>
  <c r="C16391" i="1"/>
  <c r="E16391" i="1"/>
  <c r="G16391" i="1"/>
  <c r="K16391" i="1"/>
  <c r="A16392" i="1"/>
  <c r="B16392" i="1"/>
  <c r="C16392" i="1"/>
  <c r="E16392" i="1"/>
  <c r="G16392" i="1"/>
  <c r="K16392" i="1"/>
  <c r="A16393" i="1"/>
  <c r="B16393" i="1"/>
  <c r="C16393" i="1"/>
  <c r="E16393" i="1"/>
  <c r="G16393" i="1"/>
  <c r="K16393" i="1"/>
  <c r="A16394" i="1"/>
  <c r="B16394" i="1"/>
  <c r="C16394" i="1"/>
  <c r="E16394" i="1"/>
  <c r="G16394" i="1"/>
  <c r="K16394" i="1"/>
  <c r="A16395" i="1"/>
  <c r="B16395" i="1"/>
  <c r="C16395" i="1"/>
  <c r="E16395" i="1"/>
  <c r="G16395" i="1"/>
  <c r="K16395" i="1"/>
  <c r="A16396" i="1"/>
  <c r="B16396" i="1"/>
  <c r="C16396" i="1"/>
  <c r="E16396" i="1"/>
  <c r="G16396" i="1"/>
  <c r="K16396" i="1"/>
  <c r="A16397" i="1"/>
  <c r="B16397" i="1"/>
  <c r="C16397" i="1"/>
  <c r="E16397" i="1"/>
  <c r="G16397" i="1"/>
  <c r="K16397" i="1"/>
  <c r="A16398" i="1"/>
  <c r="B16398" i="1"/>
  <c r="C16398" i="1"/>
  <c r="E16398" i="1"/>
  <c r="G16398" i="1"/>
  <c r="K16398" i="1"/>
  <c r="A16399" i="1"/>
  <c r="B16399" i="1"/>
  <c r="C16399" i="1"/>
  <c r="E16399" i="1"/>
  <c r="G16399" i="1"/>
  <c r="K16399" i="1"/>
  <c r="A16400" i="1"/>
  <c r="B16400" i="1"/>
  <c r="C16400" i="1"/>
  <c r="E16400" i="1"/>
  <c r="G16400" i="1"/>
  <c r="K16400" i="1"/>
  <c r="A16401" i="1"/>
  <c r="B16401" i="1"/>
  <c r="C16401" i="1"/>
  <c r="E16401" i="1"/>
  <c r="G16401" i="1"/>
  <c r="K16401" i="1"/>
  <c r="A16402" i="1"/>
  <c r="B16402" i="1"/>
  <c r="C16402" i="1"/>
  <c r="E16402" i="1"/>
  <c r="G16402" i="1"/>
  <c r="K16402" i="1"/>
  <c r="A16403" i="1"/>
  <c r="B16403" i="1"/>
  <c r="C16403" i="1"/>
  <c r="E16403" i="1"/>
  <c r="G16403" i="1"/>
  <c r="K16403" i="1"/>
  <c r="A16404" i="1"/>
  <c r="B16404" i="1"/>
  <c r="C16404" i="1"/>
  <c r="E16404" i="1"/>
  <c r="G16404" i="1"/>
  <c r="K16404" i="1"/>
  <c r="A16405" i="1"/>
  <c r="B16405" i="1"/>
  <c r="C16405" i="1"/>
  <c r="E16405" i="1"/>
  <c r="G16405" i="1"/>
  <c r="K16405" i="1"/>
  <c r="A16406" i="1"/>
  <c r="B16406" i="1"/>
  <c r="C16406" i="1"/>
  <c r="E16406" i="1"/>
  <c r="G16406" i="1"/>
  <c r="K16406" i="1"/>
  <c r="A16407" i="1"/>
  <c r="B16407" i="1"/>
  <c r="C16407" i="1"/>
  <c r="E16407" i="1"/>
  <c r="G16407" i="1"/>
  <c r="K16407" i="1"/>
  <c r="A16408" i="1"/>
  <c r="B16408" i="1"/>
  <c r="C16408" i="1"/>
  <c r="E16408" i="1"/>
  <c r="G16408" i="1"/>
  <c r="K16408" i="1"/>
  <c r="A16409" i="1"/>
  <c r="B16409" i="1"/>
  <c r="C16409" i="1"/>
  <c r="E16409" i="1"/>
  <c r="G16409" i="1"/>
  <c r="K16409" i="1"/>
  <c r="A16410" i="1"/>
  <c r="B16410" i="1"/>
  <c r="C16410" i="1"/>
  <c r="E16410" i="1"/>
  <c r="G16410" i="1"/>
  <c r="K16410" i="1"/>
  <c r="A16411" i="1"/>
  <c r="B16411" i="1"/>
  <c r="C16411" i="1"/>
  <c r="E16411" i="1"/>
  <c r="G16411" i="1"/>
  <c r="K16411" i="1"/>
  <c r="A16412" i="1"/>
  <c r="B16412" i="1"/>
  <c r="C16412" i="1"/>
  <c r="E16412" i="1"/>
  <c r="G16412" i="1"/>
  <c r="K16412" i="1"/>
  <c r="A16413" i="1"/>
  <c r="B16413" i="1"/>
  <c r="C16413" i="1"/>
  <c r="E16413" i="1"/>
  <c r="G16413" i="1"/>
  <c r="K16413" i="1"/>
  <c r="A16414" i="1"/>
  <c r="B16414" i="1"/>
  <c r="C16414" i="1"/>
  <c r="E16414" i="1"/>
  <c r="G16414" i="1"/>
  <c r="K16414" i="1"/>
  <c r="A16415" i="1"/>
  <c r="B16415" i="1"/>
  <c r="C16415" i="1"/>
  <c r="E16415" i="1"/>
  <c r="G16415" i="1"/>
  <c r="K16415" i="1"/>
  <c r="A16416" i="1"/>
  <c r="B16416" i="1"/>
  <c r="C16416" i="1"/>
  <c r="E16416" i="1"/>
  <c r="G16416" i="1"/>
  <c r="K16416" i="1"/>
  <c r="A16417" i="1"/>
  <c r="B16417" i="1"/>
  <c r="C16417" i="1"/>
  <c r="E16417" i="1"/>
  <c r="G16417" i="1"/>
  <c r="K16417" i="1"/>
  <c r="A16418" i="1"/>
  <c r="B16418" i="1"/>
  <c r="C16418" i="1"/>
  <c r="E16418" i="1"/>
  <c r="G16418" i="1"/>
  <c r="K16418" i="1"/>
  <c r="A16419" i="1"/>
  <c r="B16419" i="1"/>
  <c r="C16419" i="1"/>
  <c r="E16419" i="1"/>
  <c r="G16419" i="1"/>
  <c r="K16419" i="1"/>
  <c r="A16420" i="1"/>
  <c r="B16420" i="1"/>
  <c r="C16420" i="1"/>
  <c r="E16420" i="1"/>
  <c r="G16420" i="1"/>
  <c r="K16420" i="1"/>
  <c r="A16421" i="1"/>
  <c r="B16421" i="1"/>
  <c r="C16421" i="1"/>
  <c r="E16421" i="1"/>
  <c r="G16421" i="1"/>
  <c r="K16421" i="1"/>
  <c r="A16422" i="1"/>
  <c r="B16422" i="1"/>
  <c r="C16422" i="1"/>
  <c r="E16422" i="1"/>
  <c r="G16422" i="1"/>
  <c r="K16422" i="1"/>
  <c r="A16423" i="1"/>
  <c r="B16423" i="1"/>
  <c r="C16423" i="1"/>
  <c r="E16423" i="1"/>
  <c r="G16423" i="1"/>
  <c r="K16423" i="1"/>
  <c r="A16424" i="1"/>
  <c r="B16424" i="1"/>
  <c r="C16424" i="1"/>
  <c r="E16424" i="1"/>
  <c r="G16424" i="1"/>
  <c r="K16424" i="1"/>
  <c r="A16425" i="1"/>
  <c r="B16425" i="1"/>
  <c r="C16425" i="1"/>
  <c r="E16425" i="1"/>
  <c r="G16425" i="1"/>
  <c r="K16425" i="1"/>
  <c r="A16426" i="1"/>
  <c r="B16426" i="1"/>
  <c r="C16426" i="1"/>
  <c r="E16426" i="1"/>
  <c r="G16426" i="1"/>
  <c r="K16426" i="1"/>
  <c r="A16427" i="1"/>
  <c r="B16427" i="1"/>
  <c r="C16427" i="1"/>
  <c r="E16427" i="1"/>
  <c r="G16427" i="1"/>
  <c r="K16427" i="1"/>
  <c r="A16428" i="1"/>
  <c r="B16428" i="1"/>
  <c r="C16428" i="1"/>
  <c r="E16428" i="1"/>
  <c r="G16428" i="1"/>
  <c r="K16428" i="1"/>
  <c r="A16429" i="1"/>
  <c r="B16429" i="1"/>
  <c r="C16429" i="1"/>
  <c r="E16429" i="1"/>
  <c r="G16429" i="1"/>
  <c r="K16429" i="1"/>
  <c r="A16430" i="1"/>
  <c r="B16430" i="1"/>
  <c r="C16430" i="1"/>
  <c r="E16430" i="1"/>
  <c r="G16430" i="1"/>
  <c r="K16430" i="1"/>
  <c r="A16431" i="1"/>
  <c r="B16431" i="1"/>
  <c r="C16431" i="1"/>
  <c r="E16431" i="1"/>
  <c r="G16431" i="1"/>
  <c r="K16431" i="1"/>
  <c r="A16432" i="1"/>
  <c r="B16432" i="1"/>
  <c r="C16432" i="1"/>
  <c r="E16432" i="1"/>
  <c r="G16432" i="1"/>
  <c r="K16432" i="1"/>
  <c r="A16433" i="1"/>
  <c r="B16433" i="1"/>
  <c r="C16433" i="1"/>
  <c r="E16433" i="1"/>
  <c r="G16433" i="1"/>
  <c r="K16433" i="1"/>
  <c r="A16434" i="1"/>
  <c r="B16434" i="1"/>
  <c r="C16434" i="1"/>
  <c r="E16434" i="1"/>
  <c r="G16434" i="1"/>
  <c r="K16434" i="1"/>
  <c r="A16435" i="1"/>
  <c r="B16435" i="1"/>
  <c r="C16435" i="1"/>
  <c r="E16435" i="1"/>
  <c r="G16435" i="1"/>
  <c r="K16435" i="1"/>
  <c r="A16436" i="1"/>
  <c r="B16436" i="1"/>
  <c r="C16436" i="1"/>
  <c r="E16436" i="1"/>
  <c r="G16436" i="1"/>
  <c r="K16436" i="1"/>
  <c r="A16437" i="1"/>
  <c r="B16437" i="1"/>
  <c r="C16437" i="1"/>
  <c r="E16437" i="1"/>
  <c r="G16437" i="1"/>
  <c r="K16437" i="1"/>
  <c r="A16438" i="1"/>
  <c r="B16438" i="1"/>
  <c r="C16438" i="1"/>
  <c r="E16438" i="1"/>
  <c r="G16438" i="1"/>
  <c r="K16438" i="1"/>
  <c r="A16439" i="1"/>
  <c r="B16439" i="1"/>
  <c r="C16439" i="1"/>
  <c r="E16439" i="1"/>
  <c r="G16439" i="1"/>
  <c r="K16439" i="1"/>
  <c r="A16440" i="1"/>
  <c r="B16440" i="1"/>
  <c r="C16440" i="1"/>
  <c r="E16440" i="1"/>
  <c r="G16440" i="1"/>
  <c r="K16440" i="1"/>
  <c r="A16441" i="1"/>
  <c r="B16441" i="1"/>
  <c r="C16441" i="1"/>
  <c r="E16441" i="1"/>
  <c r="G16441" i="1"/>
  <c r="K16441" i="1"/>
  <c r="A16442" i="1"/>
  <c r="B16442" i="1"/>
  <c r="C16442" i="1"/>
  <c r="E16442" i="1"/>
  <c r="G16442" i="1"/>
  <c r="K16442" i="1"/>
  <c r="A16443" i="1"/>
  <c r="B16443" i="1"/>
  <c r="C16443" i="1"/>
  <c r="E16443" i="1"/>
  <c r="G16443" i="1"/>
  <c r="K16443" i="1"/>
  <c r="A16444" i="1"/>
  <c r="B16444" i="1"/>
  <c r="C16444" i="1"/>
  <c r="E16444" i="1"/>
  <c r="G16444" i="1"/>
  <c r="K16444" i="1"/>
  <c r="A16445" i="1"/>
  <c r="B16445" i="1"/>
  <c r="C16445" i="1"/>
  <c r="E16445" i="1"/>
  <c r="G16445" i="1"/>
  <c r="K16445" i="1"/>
  <c r="A16446" i="1"/>
  <c r="B16446" i="1"/>
  <c r="C16446" i="1"/>
  <c r="E16446" i="1"/>
  <c r="G16446" i="1"/>
  <c r="K16446" i="1"/>
  <c r="A16447" i="1"/>
  <c r="B16447" i="1"/>
  <c r="C16447" i="1"/>
  <c r="E16447" i="1"/>
  <c r="G16447" i="1"/>
  <c r="K16447" i="1"/>
  <c r="A16448" i="1"/>
  <c r="B16448" i="1"/>
  <c r="C16448" i="1"/>
  <c r="E16448" i="1"/>
  <c r="G16448" i="1"/>
  <c r="K16448" i="1"/>
  <c r="A16449" i="1"/>
  <c r="B16449" i="1"/>
  <c r="C16449" i="1"/>
  <c r="E16449" i="1"/>
  <c r="G16449" i="1"/>
  <c r="K16449" i="1"/>
  <c r="A16450" i="1"/>
  <c r="B16450" i="1"/>
  <c r="C16450" i="1"/>
  <c r="E16450" i="1"/>
  <c r="G16450" i="1"/>
  <c r="K16450" i="1"/>
  <c r="A16451" i="1"/>
  <c r="B16451" i="1"/>
  <c r="C16451" i="1"/>
  <c r="E16451" i="1"/>
  <c r="G16451" i="1"/>
  <c r="K16451" i="1"/>
  <c r="A16452" i="1"/>
  <c r="B16452" i="1"/>
  <c r="C16452" i="1"/>
  <c r="E16452" i="1"/>
  <c r="G16452" i="1"/>
  <c r="K16452" i="1"/>
  <c r="A16453" i="1"/>
  <c r="B16453" i="1"/>
  <c r="C16453" i="1"/>
  <c r="E16453" i="1"/>
  <c r="G16453" i="1"/>
  <c r="K16453" i="1"/>
  <c r="A16454" i="1"/>
  <c r="B16454" i="1"/>
  <c r="C16454" i="1"/>
  <c r="E16454" i="1"/>
  <c r="G16454" i="1"/>
  <c r="K16454" i="1"/>
  <c r="A16455" i="1"/>
  <c r="B16455" i="1"/>
  <c r="C16455" i="1"/>
  <c r="E16455" i="1"/>
  <c r="G16455" i="1"/>
  <c r="K16455" i="1"/>
  <c r="A16456" i="1"/>
  <c r="B16456" i="1"/>
  <c r="C16456" i="1"/>
  <c r="E16456" i="1"/>
  <c r="G16456" i="1"/>
  <c r="K16456" i="1"/>
  <c r="A16457" i="1"/>
  <c r="B16457" i="1"/>
  <c r="C16457" i="1"/>
  <c r="E16457" i="1"/>
  <c r="G16457" i="1"/>
  <c r="K16457" i="1"/>
  <c r="A16458" i="1"/>
  <c r="B16458" i="1"/>
  <c r="C16458" i="1"/>
  <c r="E16458" i="1"/>
  <c r="G16458" i="1"/>
  <c r="K16458" i="1"/>
  <c r="A16459" i="1"/>
  <c r="B16459" i="1"/>
  <c r="C16459" i="1"/>
  <c r="E16459" i="1"/>
  <c r="G16459" i="1"/>
  <c r="K16459" i="1"/>
  <c r="A16460" i="1"/>
  <c r="B16460" i="1"/>
  <c r="C16460" i="1"/>
  <c r="E16460" i="1"/>
  <c r="G16460" i="1"/>
  <c r="K16460" i="1"/>
  <c r="A16461" i="1"/>
  <c r="B16461" i="1"/>
  <c r="C16461" i="1"/>
  <c r="E16461" i="1"/>
  <c r="G16461" i="1"/>
  <c r="K16461" i="1"/>
  <c r="A16462" i="1"/>
  <c r="B16462" i="1"/>
  <c r="C16462" i="1"/>
  <c r="E16462" i="1"/>
  <c r="G16462" i="1"/>
  <c r="K16462" i="1"/>
  <c r="A16463" i="1"/>
  <c r="B16463" i="1"/>
  <c r="C16463" i="1"/>
  <c r="E16463" i="1"/>
  <c r="G16463" i="1"/>
  <c r="K16463" i="1"/>
  <c r="A16464" i="1"/>
  <c r="B16464" i="1"/>
  <c r="C16464" i="1"/>
  <c r="E16464" i="1"/>
  <c r="G16464" i="1"/>
  <c r="K16464" i="1"/>
  <c r="A16465" i="1"/>
  <c r="B16465" i="1"/>
  <c r="C16465" i="1"/>
  <c r="E16465" i="1"/>
  <c r="G16465" i="1"/>
  <c r="K16465" i="1"/>
</calcChain>
</file>

<file path=xl/sharedStrings.xml><?xml version="1.0" encoding="utf-8"?>
<sst xmlns="http://schemas.openxmlformats.org/spreadsheetml/2006/main" count="12" uniqueCount="12">
  <si>
    <t>IČZ KV</t>
  </si>
  <si>
    <t>IČZ prov.</t>
  </si>
  <si>
    <t>IČP prov.</t>
  </si>
  <si>
    <t>IČP předep.</t>
  </si>
  <si>
    <t>Čís. poj.</t>
  </si>
  <si>
    <t>Datum výk.</t>
  </si>
  <si>
    <t>Kód</t>
  </si>
  <si>
    <t>Počet</t>
  </si>
  <si>
    <t>Body1</t>
  </si>
  <si>
    <t>Kč/mat</t>
  </si>
  <si>
    <t>Odbornost hl.</t>
  </si>
  <si>
    <t>Hodnota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</si>
</sst>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465"/>
  <sheetViews>
    <sheetView tabSelected="1" topLeftCell="A16424" workbookViewId="0">
      <selection activeCell="D16450" sqref="D16450"/>
    </sheetView>
  </sheetViews>
  <sheetFormatPr defaultRowHeight="15" x14ac:dyDescent="0.25"/>
  <cols>
    <col min="6" max="6" width="11.28515625" customWidth="1"/>
  </cols>
  <sheetData>
    <row r="1" spans="1:1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25">
      <c r="A2" t="str">
        <f t="shared" ref="A2:A65" si="0">"89301000"</f>
        <v>89301000</v>
      </c>
      <c r="B2" t="str">
        <f>"86106000"</f>
        <v>86106000</v>
      </c>
      <c r="C2" t="str">
        <f>"86106764"</f>
        <v>86106764</v>
      </c>
      <c r="D2">
        <v>89301112</v>
      </c>
      <c r="E2" t="str">
        <f>"1157121823"</f>
        <v>1157121823</v>
      </c>
      <c r="F2" s="1">
        <v>44935</v>
      </c>
      <c r="G2" t="str">
        <f>"89713"</f>
        <v>89713</v>
      </c>
      <c r="H2">
        <v>1</v>
      </c>
      <c r="I2">
        <v>5411</v>
      </c>
      <c r="J2">
        <v>0</v>
      </c>
      <c r="K2" t="str">
        <f t="shared" ref="K2:K33" si="1">"809"</f>
        <v>809</v>
      </c>
      <c r="L2">
        <v>3517.15</v>
      </c>
    </row>
    <row r="3" spans="1:12" x14ac:dyDescent="0.25">
      <c r="A3" t="str">
        <f t="shared" si="0"/>
        <v>89301000</v>
      </c>
      <c r="B3" t="str">
        <f>"86106000"</f>
        <v>86106000</v>
      </c>
      <c r="C3" t="str">
        <f>"86106764"</f>
        <v>86106764</v>
      </c>
      <c r="D3">
        <v>89301112</v>
      </c>
      <c r="E3" t="str">
        <f>"1157121823"</f>
        <v>1157121823</v>
      </c>
      <c r="F3" s="1">
        <v>44935</v>
      </c>
      <c r="G3" t="str">
        <f>"89725"</f>
        <v>89725</v>
      </c>
      <c r="H3">
        <v>1</v>
      </c>
      <c r="I3">
        <v>2863</v>
      </c>
      <c r="J3">
        <v>0</v>
      </c>
      <c r="K3" t="str">
        <f t="shared" si="1"/>
        <v>809</v>
      </c>
      <c r="L3">
        <v>1860.95</v>
      </c>
    </row>
    <row r="4" spans="1:12" x14ac:dyDescent="0.25">
      <c r="A4" t="str">
        <f t="shared" si="0"/>
        <v>89301000</v>
      </c>
      <c r="B4" t="str">
        <f>"86106000"</f>
        <v>86106000</v>
      </c>
      <c r="C4" t="str">
        <f>"86106764"</f>
        <v>86106764</v>
      </c>
      <c r="D4">
        <v>89301112</v>
      </c>
      <c r="E4" t="str">
        <f>"1157121823"</f>
        <v>1157121823</v>
      </c>
      <c r="F4" s="1">
        <v>44938</v>
      </c>
      <c r="G4" t="str">
        <f>"89713"</f>
        <v>89713</v>
      </c>
      <c r="H4">
        <v>1</v>
      </c>
      <c r="I4">
        <v>5411</v>
      </c>
      <c r="J4">
        <v>0</v>
      </c>
      <c r="K4" t="str">
        <f t="shared" si="1"/>
        <v>809</v>
      </c>
      <c r="L4">
        <v>3517.15</v>
      </c>
    </row>
    <row r="5" spans="1:12" x14ac:dyDescent="0.25">
      <c r="A5" t="str">
        <f t="shared" si="0"/>
        <v>89301000</v>
      </c>
      <c r="B5" t="str">
        <f>"86106000"</f>
        <v>86106000</v>
      </c>
      <c r="C5" t="str">
        <f>"86106764"</f>
        <v>86106764</v>
      </c>
      <c r="D5">
        <v>89301112</v>
      </c>
      <c r="E5" t="str">
        <f>"1157121823"</f>
        <v>1157121823</v>
      </c>
      <c r="F5" s="1">
        <v>44938</v>
      </c>
      <c r="G5" t="str">
        <f>"89725"</f>
        <v>89725</v>
      </c>
      <c r="H5">
        <v>1</v>
      </c>
      <c r="I5">
        <v>2863</v>
      </c>
      <c r="J5">
        <v>0</v>
      </c>
      <c r="K5" t="str">
        <f t="shared" si="1"/>
        <v>809</v>
      </c>
      <c r="L5">
        <v>1860.95</v>
      </c>
    </row>
    <row r="6" spans="1:12" x14ac:dyDescent="0.25">
      <c r="A6" t="str">
        <f t="shared" si="0"/>
        <v>89301000</v>
      </c>
      <c r="B6" t="str">
        <f>"86106000"</f>
        <v>86106000</v>
      </c>
      <c r="C6" t="str">
        <f>"86106064"</f>
        <v>86106064</v>
      </c>
      <c r="D6">
        <v>89301036</v>
      </c>
      <c r="E6" t="str">
        <f>"0551193093"</f>
        <v>0551193093</v>
      </c>
      <c r="F6" s="1">
        <v>44942</v>
      </c>
      <c r="G6" t="str">
        <f>"89517"</f>
        <v>89517</v>
      </c>
      <c r="H6">
        <v>1</v>
      </c>
      <c r="I6">
        <v>994</v>
      </c>
      <c r="J6">
        <v>0</v>
      </c>
      <c r="K6" t="str">
        <f t="shared" si="1"/>
        <v>809</v>
      </c>
      <c r="L6">
        <v>1461.18</v>
      </c>
    </row>
    <row r="7" spans="1:12" x14ac:dyDescent="0.25">
      <c r="A7" t="str">
        <f t="shared" si="0"/>
        <v>89301000</v>
      </c>
      <c r="B7" t="str">
        <f t="shared" ref="B7:C26" si="2">"89063000"</f>
        <v>89063000</v>
      </c>
      <c r="C7" t="str">
        <f t="shared" si="2"/>
        <v>89063000</v>
      </c>
      <c r="D7">
        <v>89301037</v>
      </c>
      <c r="E7" t="str">
        <f>"5957170505"</f>
        <v>5957170505</v>
      </c>
      <c r="F7" s="1">
        <v>44929</v>
      </c>
      <c r="G7" t="str">
        <f t="shared" ref="G7:G38" si="3">"89312"</f>
        <v>89312</v>
      </c>
      <c r="H7">
        <v>3</v>
      </c>
      <c r="I7">
        <v>936</v>
      </c>
      <c r="J7">
        <v>0</v>
      </c>
      <c r="K7" t="str">
        <f t="shared" si="1"/>
        <v>809</v>
      </c>
      <c r="L7">
        <v>1020.24</v>
      </c>
    </row>
    <row r="8" spans="1:12" x14ac:dyDescent="0.25">
      <c r="A8" t="str">
        <f t="shared" si="0"/>
        <v>89301000</v>
      </c>
      <c r="B8" t="str">
        <f t="shared" si="2"/>
        <v>89063000</v>
      </c>
      <c r="C8" t="str">
        <f t="shared" si="2"/>
        <v>89063000</v>
      </c>
      <c r="D8">
        <v>89301037</v>
      </c>
      <c r="E8" t="str">
        <f>"6154221579"</f>
        <v>6154221579</v>
      </c>
      <c r="F8" s="1">
        <v>44930</v>
      </c>
      <c r="G8" t="str">
        <f t="shared" si="3"/>
        <v>89312</v>
      </c>
      <c r="H8">
        <v>3</v>
      </c>
      <c r="I8">
        <v>936</v>
      </c>
      <c r="J8">
        <v>0</v>
      </c>
      <c r="K8" t="str">
        <f t="shared" si="1"/>
        <v>809</v>
      </c>
      <c r="L8">
        <v>1020.24</v>
      </c>
    </row>
    <row r="9" spans="1:12" x14ac:dyDescent="0.25">
      <c r="A9" t="str">
        <f t="shared" si="0"/>
        <v>89301000</v>
      </c>
      <c r="B9" t="str">
        <f t="shared" si="2"/>
        <v>89063000</v>
      </c>
      <c r="C9" t="str">
        <f t="shared" si="2"/>
        <v>89063000</v>
      </c>
      <c r="D9">
        <v>89301036</v>
      </c>
      <c r="E9" t="str">
        <f>"7605235319"</f>
        <v>7605235319</v>
      </c>
      <c r="F9" s="1">
        <v>44931</v>
      </c>
      <c r="G9" t="str">
        <f t="shared" si="3"/>
        <v>89312</v>
      </c>
      <c r="H9">
        <v>3</v>
      </c>
      <c r="I9">
        <v>936</v>
      </c>
      <c r="J9">
        <v>0</v>
      </c>
      <c r="K9" t="str">
        <f t="shared" si="1"/>
        <v>809</v>
      </c>
      <c r="L9">
        <v>1020.24</v>
      </c>
    </row>
    <row r="10" spans="1:12" x14ac:dyDescent="0.25">
      <c r="A10" t="str">
        <f t="shared" si="0"/>
        <v>89301000</v>
      </c>
      <c r="B10" t="str">
        <f t="shared" si="2"/>
        <v>89063000</v>
      </c>
      <c r="C10" t="str">
        <f t="shared" si="2"/>
        <v>89063000</v>
      </c>
      <c r="D10">
        <v>89301142</v>
      </c>
      <c r="E10" t="str">
        <f>"9862195706"</f>
        <v>9862195706</v>
      </c>
      <c r="F10" s="1">
        <v>44931</v>
      </c>
      <c r="G10" t="str">
        <f t="shared" si="3"/>
        <v>89312</v>
      </c>
      <c r="H10">
        <v>3</v>
      </c>
      <c r="I10">
        <v>936</v>
      </c>
      <c r="J10">
        <v>0</v>
      </c>
      <c r="K10" t="str">
        <f t="shared" si="1"/>
        <v>809</v>
      </c>
      <c r="L10">
        <v>1020.24</v>
      </c>
    </row>
    <row r="11" spans="1:12" x14ac:dyDescent="0.25">
      <c r="A11" t="str">
        <f t="shared" si="0"/>
        <v>89301000</v>
      </c>
      <c r="B11" t="str">
        <f t="shared" si="2"/>
        <v>89063000</v>
      </c>
      <c r="C11" t="str">
        <f t="shared" si="2"/>
        <v>89063000</v>
      </c>
      <c r="D11">
        <v>89301109</v>
      </c>
      <c r="E11" t="str">
        <f>"1251250418"</f>
        <v>1251250418</v>
      </c>
      <c r="F11" s="1">
        <v>44931</v>
      </c>
      <c r="G11" t="str">
        <f t="shared" si="3"/>
        <v>89312</v>
      </c>
      <c r="H11">
        <v>1</v>
      </c>
      <c r="I11">
        <v>312</v>
      </c>
      <c r="J11">
        <v>0</v>
      </c>
      <c r="K11" t="str">
        <f t="shared" si="1"/>
        <v>809</v>
      </c>
      <c r="L11">
        <v>340.08</v>
      </c>
    </row>
    <row r="12" spans="1:12" x14ac:dyDescent="0.25">
      <c r="A12" t="str">
        <f t="shared" si="0"/>
        <v>89301000</v>
      </c>
      <c r="B12" t="str">
        <f t="shared" si="2"/>
        <v>89063000</v>
      </c>
      <c r="C12" t="str">
        <f t="shared" si="2"/>
        <v>89063000</v>
      </c>
      <c r="D12">
        <v>89301037</v>
      </c>
      <c r="E12" t="str">
        <f>"6856180584"</f>
        <v>6856180584</v>
      </c>
      <c r="F12" s="1">
        <v>44931</v>
      </c>
      <c r="G12" t="str">
        <f t="shared" si="3"/>
        <v>89312</v>
      </c>
      <c r="H12">
        <v>3</v>
      </c>
      <c r="I12">
        <v>936</v>
      </c>
      <c r="J12">
        <v>0</v>
      </c>
      <c r="K12" t="str">
        <f t="shared" si="1"/>
        <v>809</v>
      </c>
      <c r="L12">
        <v>1020.24</v>
      </c>
    </row>
    <row r="13" spans="1:12" x14ac:dyDescent="0.25">
      <c r="A13" t="str">
        <f t="shared" si="0"/>
        <v>89301000</v>
      </c>
      <c r="B13" t="str">
        <f t="shared" si="2"/>
        <v>89063000</v>
      </c>
      <c r="C13" t="str">
        <f t="shared" si="2"/>
        <v>89063000</v>
      </c>
      <c r="D13">
        <v>89301037</v>
      </c>
      <c r="E13" t="str">
        <f>"6756191651"</f>
        <v>6756191651</v>
      </c>
      <c r="F13" s="1">
        <v>44931</v>
      </c>
      <c r="G13" t="str">
        <f t="shared" si="3"/>
        <v>89312</v>
      </c>
      <c r="H13">
        <v>3</v>
      </c>
      <c r="I13">
        <v>936</v>
      </c>
      <c r="J13">
        <v>0</v>
      </c>
      <c r="K13" t="str">
        <f t="shared" si="1"/>
        <v>809</v>
      </c>
      <c r="L13">
        <v>1020.24</v>
      </c>
    </row>
    <row r="14" spans="1:12" x14ac:dyDescent="0.25">
      <c r="A14" t="str">
        <f t="shared" si="0"/>
        <v>89301000</v>
      </c>
      <c r="B14" t="str">
        <f t="shared" si="2"/>
        <v>89063000</v>
      </c>
      <c r="C14" t="str">
        <f t="shared" si="2"/>
        <v>89063000</v>
      </c>
      <c r="D14">
        <v>89301037</v>
      </c>
      <c r="E14" t="str">
        <f>"6161031063"</f>
        <v>6161031063</v>
      </c>
      <c r="F14" s="1">
        <v>44935</v>
      </c>
      <c r="G14" t="str">
        <f t="shared" si="3"/>
        <v>89312</v>
      </c>
      <c r="H14">
        <v>3</v>
      </c>
      <c r="I14">
        <v>936</v>
      </c>
      <c r="J14">
        <v>0</v>
      </c>
      <c r="K14" t="str">
        <f t="shared" si="1"/>
        <v>809</v>
      </c>
      <c r="L14">
        <v>1020.24</v>
      </c>
    </row>
    <row r="15" spans="1:12" x14ac:dyDescent="0.25">
      <c r="A15" t="str">
        <f t="shared" si="0"/>
        <v>89301000</v>
      </c>
      <c r="B15" t="str">
        <f t="shared" si="2"/>
        <v>89063000</v>
      </c>
      <c r="C15" t="str">
        <f t="shared" si="2"/>
        <v>89063000</v>
      </c>
      <c r="D15">
        <v>89301037</v>
      </c>
      <c r="E15" t="str">
        <f>"506023181"</f>
        <v>506023181</v>
      </c>
      <c r="F15" s="1">
        <v>44935</v>
      </c>
      <c r="G15" t="str">
        <f t="shared" si="3"/>
        <v>89312</v>
      </c>
      <c r="H15">
        <v>3</v>
      </c>
      <c r="I15">
        <v>936</v>
      </c>
      <c r="J15">
        <v>0</v>
      </c>
      <c r="K15" t="str">
        <f t="shared" si="1"/>
        <v>809</v>
      </c>
      <c r="L15">
        <v>1020.24</v>
      </c>
    </row>
    <row r="16" spans="1:12" x14ac:dyDescent="0.25">
      <c r="A16" t="str">
        <f t="shared" si="0"/>
        <v>89301000</v>
      </c>
      <c r="B16" t="str">
        <f t="shared" si="2"/>
        <v>89063000</v>
      </c>
      <c r="C16" t="str">
        <f t="shared" si="2"/>
        <v>89063000</v>
      </c>
      <c r="D16">
        <v>89301037</v>
      </c>
      <c r="E16" t="str">
        <f>"425101196"</f>
        <v>425101196</v>
      </c>
      <c r="F16" s="1">
        <v>44935</v>
      </c>
      <c r="G16" t="str">
        <f t="shared" si="3"/>
        <v>89312</v>
      </c>
      <c r="H16">
        <v>3</v>
      </c>
      <c r="I16">
        <v>936</v>
      </c>
      <c r="J16">
        <v>0</v>
      </c>
      <c r="K16" t="str">
        <f t="shared" si="1"/>
        <v>809</v>
      </c>
      <c r="L16">
        <v>1020.24</v>
      </c>
    </row>
    <row r="17" spans="1:12" x14ac:dyDescent="0.25">
      <c r="A17" t="str">
        <f t="shared" si="0"/>
        <v>89301000</v>
      </c>
      <c r="B17" t="str">
        <f t="shared" si="2"/>
        <v>89063000</v>
      </c>
      <c r="C17" t="str">
        <f t="shared" si="2"/>
        <v>89063000</v>
      </c>
      <c r="D17">
        <v>89301212</v>
      </c>
      <c r="E17" t="str">
        <f>"465805463"</f>
        <v>465805463</v>
      </c>
      <c r="F17" s="1">
        <v>44935</v>
      </c>
      <c r="G17" t="str">
        <f t="shared" si="3"/>
        <v>89312</v>
      </c>
      <c r="H17">
        <v>3</v>
      </c>
      <c r="I17">
        <v>936</v>
      </c>
      <c r="J17">
        <v>0</v>
      </c>
      <c r="K17" t="str">
        <f t="shared" si="1"/>
        <v>809</v>
      </c>
      <c r="L17">
        <v>1020.24</v>
      </c>
    </row>
    <row r="18" spans="1:12" x14ac:dyDescent="0.25">
      <c r="A18" t="str">
        <f t="shared" si="0"/>
        <v>89301000</v>
      </c>
      <c r="B18" t="str">
        <f t="shared" si="2"/>
        <v>89063000</v>
      </c>
      <c r="C18" t="str">
        <f t="shared" si="2"/>
        <v>89063000</v>
      </c>
      <c r="D18">
        <v>89301037</v>
      </c>
      <c r="E18" t="str">
        <f>"7451285325"</f>
        <v>7451285325</v>
      </c>
      <c r="F18" s="1">
        <v>44935</v>
      </c>
      <c r="G18" t="str">
        <f t="shared" si="3"/>
        <v>89312</v>
      </c>
      <c r="H18">
        <v>3</v>
      </c>
      <c r="I18">
        <v>936</v>
      </c>
      <c r="J18">
        <v>0</v>
      </c>
      <c r="K18" t="str">
        <f t="shared" si="1"/>
        <v>809</v>
      </c>
      <c r="L18">
        <v>1020.24</v>
      </c>
    </row>
    <row r="19" spans="1:12" x14ac:dyDescent="0.25">
      <c r="A19" t="str">
        <f t="shared" si="0"/>
        <v>89301000</v>
      </c>
      <c r="B19" t="str">
        <f t="shared" si="2"/>
        <v>89063000</v>
      </c>
      <c r="C19" t="str">
        <f t="shared" si="2"/>
        <v>89063000</v>
      </c>
      <c r="D19">
        <v>89301037</v>
      </c>
      <c r="E19" t="str">
        <f>"6754210705"</f>
        <v>6754210705</v>
      </c>
      <c r="F19" s="1">
        <v>44935</v>
      </c>
      <c r="G19" t="str">
        <f t="shared" si="3"/>
        <v>89312</v>
      </c>
      <c r="H19">
        <v>3</v>
      </c>
      <c r="I19">
        <v>936</v>
      </c>
      <c r="J19">
        <v>0</v>
      </c>
      <c r="K19" t="str">
        <f t="shared" si="1"/>
        <v>809</v>
      </c>
      <c r="L19">
        <v>1020.24</v>
      </c>
    </row>
    <row r="20" spans="1:12" x14ac:dyDescent="0.25">
      <c r="A20" t="str">
        <f t="shared" si="0"/>
        <v>89301000</v>
      </c>
      <c r="B20" t="str">
        <f t="shared" si="2"/>
        <v>89063000</v>
      </c>
      <c r="C20" t="str">
        <f t="shared" si="2"/>
        <v>89063000</v>
      </c>
      <c r="D20">
        <v>89301022</v>
      </c>
      <c r="E20" t="str">
        <f>"455601416"</f>
        <v>455601416</v>
      </c>
      <c r="F20" s="1">
        <v>44935</v>
      </c>
      <c r="G20" t="str">
        <f t="shared" si="3"/>
        <v>89312</v>
      </c>
      <c r="H20">
        <v>3</v>
      </c>
      <c r="I20">
        <v>936</v>
      </c>
      <c r="J20">
        <v>0</v>
      </c>
      <c r="K20" t="str">
        <f t="shared" si="1"/>
        <v>809</v>
      </c>
      <c r="L20">
        <v>1020.24</v>
      </c>
    </row>
    <row r="21" spans="1:12" x14ac:dyDescent="0.25">
      <c r="A21" t="str">
        <f t="shared" si="0"/>
        <v>89301000</v>
      </c>
      <c r="B21" t="str">
        <f t="shared" si="2"/>
        <v>89063000</v>
      </c>
      <c r="C21" t="str">
        <f t="shared" si="2"/>
        <v>89063000</v>
      </c>
      <c r="D21">
        <v>89301037</v>
      </c>
      <c r="E21" t="str">
        <f>"8357015326"</f>
        <v>8357015326</v>
      </c>
      <c r="F21" s="1">
        <v>44937</v>
      </c>
      <c r="G21" t="str">
        <f t="shared" si="3"/>
        <v>89312</v>
      </c>
      <c r="H21">
        <v>3</v>
      </c>
      <c r="I21">
        <v>936</v>
      </c>
      <c r="J21">
        <v>0</v>
      </c>
      <c r="K21" t="str">
        <f t="shared" si="1"/>
        <v>809</v>
      </c>
      <c r="L21">
        <v>1020.24</v>
      </c>
    </row>
    <row r="22" spans="1:12" x14ac:dyDescent="0.25">
      <c r="A22" t="str">
        <f t="shared" si="0"/>
        <v>89301000</v>
      </c>
      <c r="B22" t="str">
        <f t="shared" si="2"/>
        <v>89063000</v>
      </c>
      <c r="C22" t="str">
        <f t="shared" si="2"/>
        <v>89063000</v>
      </c>
      <c r="D22">
        <v>89301215</v>
      </c>
      <c r="E22" t="str">
        <f>"8153065338"</f>
        <v>8153065338</v>
      </c>
      <c r="F22" s="1">
        <v>44937</v>
      </c>
      <c r="G22" t="str">
        <f t="shared" si="3"/>
        <v>89312</v>
      </c>
      <c r="H22">
        <v>3</v>
      </c>
      <c r="I22">
        <v>936</v>
      </c>
      <c r="J22">
        <v>0</v>
      </c>
      <c r="K22" t="str">
        <f t="shared" si="1"/>
        <v>809</v>
      </c>
      <c r="L22">
        <v>1020.24</v>
      </c>
    </row>
    <row r="23" spans="1:12" x14ac:dyDescent="0.25">
      <c r="A23" t="str">
        <f t="shared" si="0"/>
        <v>89301000</v>
      </c>
      <c r="B23" t="str">
        <f t="shared" si="2"/>
        <v>89063000</v>
      </c>
      <c r="C23" t="str">
        <f t="shared" si="2"/>
        <v>89063000</v>
      </c>
      <c r="D23">
        <v>89301037</v>
      </c>
      <c r="E23" t="str">
        <f>"515104036"</f>
        <v>515104036</v>
      </c>
      <c r="F23" s="1">
        <v>44937</v>
      </c>
      <c r="G23" t="str">
        <f t="shared" si="3"/>
        <v>89312</v>
      </c>
      <c r="H23">
        <v>3</v>
      </c>
      <c r="I23">
        <v>936</v>
      </c>
      <c r="J23">
        <v>0</v>
      </c>
      <c r="K23" t="str">
        <f t="shared" si="1"/>
        <v>809</v>
      </c>
      <c r="L23">
        <v>1020.24</v>
      </c>
    </row>
    <row r="24" spans="1:12" x14ac:dyDescent="0.25">
      <c r="A24" t="str">
        <f t="shared" si="0"/>
        <v>89301000</v>
      </c>
      <c r="B24" t="str">
        <f t="shared" si="2"/>
        <v>89063000</v>
      </c>
      <c r="C24" t="str">
        <f t="shared" si="2"/>
        <v>89063000</v>
      </c>
      <c r="D24">
        <v>89301037</v>
      </c>
      <c r="E24" t="str">
        <f>"5759160605"</f>
        <v>5759160605</v>
      </c>
      <c r="F24" s="1">
        <v>44937</v>
      </c>
      <c r="G24" t="str">
        <f t="shared" si="3"/>
        <v>89312</v>
      </c>
      <c r="H24">
        <v>3</v>
      </c>
      <c r="I24">
        <v>936</v>
      </c>
      <c r="J24">
        <v>0</v>
      </c>
      <c r="K24" t="str">
        <f t="shared" si="1"/>
        <v>809</v>
      </c>
      <c r="L24">
        <v>1020.24</v>
      </c>
    </row>
    <row r="25" spans="1:12" x14ac:dyDescent="0.25">
      <c r="A25" t="str">
        <f t="shared" si="0"/>
        <v>89301000</v>
      </c>
      <c r="B25" t="str">
        <f t="shared" si="2"/>
        <v>89063000</v>
      </c>
      <c r="C25" t="str">
        <f t="shared" si="2"/>
        <v>89063000</v>
      </c>
      <c r="D25">
        <v>89301037</v>
      </c>
      <c r="E25" t="str">
        <f>"5656031557"</f>
        <v>5656031557</v>
      </c>
      <c r="F25" s="1">
        <v>44937</v>
      </c>
      <c r="G25" t="str">
        <f t="shared" si="3"/>
        <v>89312</v>
      </c>
      <c r="H25">
        <v>3</v>
      </c>
      <c r="I25">
        <v>936</v>
      </c>
      <c r="J25">
        <v>0</v>
      </c>
      <c r="K25" t="str">
        <f t="shared" si="1"/>
        <v>809</v>
      </c>
      <c r="L25">
        <v>1020.24</v>
      </c>
    </row>
    <row r="26" spans="1:12" x14ac:dyDescent="0.25">
      <c r="A26" t="str">
        <f t="shared" si="0"/>
        <v>89301000</v>
      </c>
      <c r="B26" t="str">
        <f t="shared" si="2"/>
        <v>89063000</v>
      </c>
      <c r="C26" t="str">
        <f t="shared" si="2"/>
        <v>89063000</v>
      </c>
      <c r="D26">
        <v>89301037</v>
      </c>
      <c r="E26" t="str">
        <f>"5552211247"</f>
        <v>5552211247</v>
      </c>
      <c r="F26" s="1">
        <v>44937</v>
      </c>
      <c r="G26" t="str">
        <f t="shared" si="3"/>
        <v>89312</v>
      </c>
      <c r="H26">
        <v>3</v>
      </c>
      <c r="I26">
        <v>936</v>
      </c>
      <c r="J26">
        <v>0</v>
      </c>
      <c r="K26" t="str">
        <f t="shared" si="1"/>
        <v>809</v>
      </c>
      <c r="L26">
        <v>1020.24</v>
      </c>
    </row>
    <row r="27" spans="1:12" x14ac:dyDescent="0.25">
      <c r="A27" t="str">
        <f t="shared" si="0"/>
        <v>89301000</v>
      </c>
      <c r="B27" t="str">
        <f t="shared" ref="B27:C46" si="4">"89063000"</f>
        <v>89063000</v>
      </c>
      <c r="C27" t="str">
        <f t="shared" si="4"/>
        <v>89063000</v>
      </c>
      <c r="D27">
        <v>89301031</v>
      </c>
      <c r="E27" t="str">
        <f>"505409149"</f>
        <v>505409149</v>
      </c>
      <c r="F27" s="1">
        <v>44937</v>
      </c>
      <c r="G27" t="str">
        <f t="shared" si="3"/>
        <v>89312</v>
      </c>
      <c r="H27">
        <v>3</v>
      </c>
      <c r="I27">
        <v>936</v>
      </c>
      <c r="J27">
        <v>0</v>
      </c>
      <c r="K27" t="str">
        <f t="shared" si="1"/>
        <v>809</v>
      </c>
      <c r="L27">
        <v>1020.24</v>
      </c>
    </row>
    <row r="28" spans="1:12" x14ac:dyDescent="0.25">
      <c r="A28" t="str">
        <f t="shared" si="0"/>
        <v>89301000</v>
      </c>
      <c r="B28" t="str">
        <f t="shared" si="4"/>
        <v>89063000</v>
      </c>
      <c r="C28" t="str">
        <f t="shared" si="4"/>
        <v>89063000</v>
      </c>
      <c r="D28">
        <v>89301037</v>
      </c>
      <c r="E28" t="str">
        <f>"6552071779"</f>
        <v>6552071779</v>
      </c>
      <c r="F28" s="1">
        <v>44937</v>
      </c>
      <c r="G28" t="str">
        <f t="shared" si="3"/>
        <v>89312</v>
      </c>
      <c r="H28">
        <v>3</v>
      </c>
      <c r="I28">
        <v>936</v>
      </c>
      <c r="J28">
        <v>0</v>
      </c>
      <c r="K28" t="str">
        <f t="shared" si="1"/>
        <v>809</v>
      </c>
      <c r="L28">
        <v>1020.24</v>
      </c>
    </row>
    <row r="29" spans="1:12" x14ac:dyDescent="0.25">
      <c r="A29" t="str">
        <f t="shared" si="0"/>
        <v>89301000</v>
      </c>
      <c r="B29" t="str">
        <f t="shared" si="4"/>
        <v>89063000</v>
      </c>
      <c r="C29" t="str">
        <f t="shared" si="4"/>
        <v>89063000</v>
      </c>
      <c r="D29">
        <v>89301037</v>
      </c>
      <c r="E29" t="str">
        <f>"6458241515"</f>
        <v>6458241515</v>
      </c>
      <c r="F29" s="1">
        <v>44937</v>
      </c>
      <c r="G29" t="str">
        <f t="shared" si="3"/>
        <v>89312</v>
      </c>
      <c r="H29">
        <v>3</v>
      </c>
      <c r="I29">
        <v>936</v>
      </c>
      <c r="J29">
        <v>0</v>
      </c>
      <c r="K29" t="str">
        <f t="shared" si="1"/>
        <v>809</v>
      </c>
      <c r="L29">
        <v>1020.24</v>
      </c>
    </row>
    <row r="30" spans="1:12" x14ac:dyDescent="0.25">
      <c r="A30" t="str">
        <f t="shared" si="0"/>
        <v>89301000</v>
      </c>
      <c r="B30" t="str">
        <f t="shared" si="4"/>
        <v>89063000</v>
      </c>
      <c r="C30" t="str">
        <f t="shared" si="4"/>
        <v>89063000</v>
      </c>
      <c r="D30">
        <v>89301037</v>
      </c>
      <c r="E30" t="str">
        <f>"6961035334"</f>
        <v>6961035334</v>
      </c>
      <c r="F30" s="1">
        <v>44937</v>
      </c>
      <c r="G30" t="str">
        <f t="shared" si="3"/>
        <v>89312</v>
      </c>
      <c r="H30">
        <v>3</v>
      </c>
      <c r="I30">
        <v>936</v>
      </c>
      <c r="J30">
        <v>0</v>
      </c>
      <c r="K30" t="str">
        <f t="shared" si="1"/>
        <v>809</v>
      </c>
      <c r="L30">
        <v>1020.24</v>
      </c>
    </row>
    <row r="31" spans="1:12" x14ac:dyDescent="0.25">
      <c r="A31" t="str">
        <f t="shared" si="0"/>
        <v>89301000</v>
      </c>
      <c r="B31" t="str">
        <f t="shared" si="4"/>
        <v>89063000</v>
      </c>
      <c r="C31" t="str">
        <f t="shared" si="4"/>
        <v>89063000</v>
      </c>
      <c r="D31">
        <v>89301037</v>
      </c>
      <c r="E31" t="str">
        <f>"6959305375"</f>
        <v>6959305375</v>
      </c>
      <c r="F31" s="1">
        <v>44938</v>
      </c>
      <c r="G31" t="str">
        <f t="shared" si="3"/>
        <v>89312</v>
      </c>
      <c r="H31">
        <v>3</v>
      </c>
      <c r="I31">
        <v>936</v>
      </c>
      <c r="J31">
        <v>0</v>
      </c>
      <c r="K31" t="str">
        <f t="shared" si="1"/>
        <v>809</v>
      </c>
      <c r="L31">
        <v>1020.24</v>
      </c>
    </row>
    <row r="32" spans="1:12" x14ac:dyDescent="0.25">
      <c r="A32" t="str">
        <f t="shared" si="0"/>
        <v>89301000</v>
      </c>
      <c r="B32" t="str">
        <f t="shared" si="4"/>
        <v>89063000</v>
      </c>
      <c r="C32" t="str">
        <f t="shared" si="4"/>
        <v>89063000</v>
      </c>
      <c r="D32">
        <v>89301037</v>
      </c>
      <c r="E32" t="str">
        <f>"466011404"</f>
        <v>466011404</v>
      </c>
      <c r="F32" s="1">
        <v>44938</v>
      </c>
      <c r="G32" t="str">
        <f t="shared" si="3"/>
        <v>89312</v>
      </c>
      <c r="H32">
        <v>3</v>
      </c>
      <c r="I32">
        <v>936</v>
      </c>
      <c r="J32">
        <v>0</v>
      </c>
      <c r="K32" t="str">
        <f t="shared" si="1"/>
        <v>809</v>
      </c>
      <c r="L32">
        <v>1020.24</v>
      </c>
    </row>
    <row r="33" spans="1:12" x14ac:dyDescent="0.25">
      <c r="A33" t="str">
        <f t="shared" si="0"/>
        <v>89301000</v>
      </c>
      <c r="B33" t="str">
        <f t="shared" si="4"/>
        <v>89063000</v>
      </c>
      <c r="C33" t="str">
        <f t="shared" si="4"/>
        <v>89063000</v>
      </c>
      <c r="D33">
        <v>89301212</v>
      </c>
      <c r="E33" t="str">
        <f>"7962115326"</f>
        <v>7962115326</v>
      </c>
      <c r="F33" s="1">
        <v>44938</v>
      </c>
      <c r="G33" t="str">
        <f t="shared" si="3"/>
        <v>89312</v>
      </c>
      <c r="H33">
        <v>3</v>
      </c>
      <c r="I33">
        <v>936</v>
      </c>
      <c r="J33">
        <v>0</v>
      </c>
      <c r="K33" t="str">
        <f t="shared" si="1"/>
        <v>809</v>
      </c>
      <c r="L33">
        <v>1020.24</v>
      </c>
    </row>
    <row r="34" spans="1:12" x14ac:dyDescent="0.25">
      <c r="A34" t="str">
        <f t="shared" si="0"/>
        <v>89301000</v>
      </c>
      <c r="B34" t="str">
        <f t="shared" si="4"/>
        <v>89063000</v>
      </c>
      <c r="C34" t="str">
        <f t="shared" si="4"/>
        <v>89063000</v>
      </c>
      <c r="D34">
        <v>89301212</v>
      </c>
      <c r="E34" t="str">
        <f>"6060030405"</f>
        <v>6060030405</v>
      </c>
      <c r="F34" s="1">
        <v>44938</v>
      </c>
      <c r="G34" t="str">
        <f t="shared" si="3"/>
        <v>89312</v>
      </c>
      <c r="H34">
        <v>3</v>
      </c>
      <c r="I34">
        <v>936</v>
      </c>
      <c r="J34">
        <v>0</v>
      </c>
      <c r="K34" t="str">
        <f t="shared" ref="K34:K65" si="5">"809"</f>
        <v>809</v>
      </c>
      <c r="L34">
        <v>1020.24</v>
      </c>
    </row>
    <row r="35" spans="1:12" x14ac:dyDescent="0.25">
      <c r="A35" t="str">
        <f t="shared" si="0"/>
        <v>89301000</v>
      </c>
      <c r="B35" t="str">
        <f t="shared" si="4"/>
        <v>89063000</v>
      </c>
      <c r="C35" t="str">
        <f t="shared" si="4"/>
        <v>89063000</v>
      </c>
      <c r="D35">
        <v>89301037</v>
      </c>
      <c r="E35" t="str">
        <f>"7202265345"</f>
        <v>7202265345</v>
      </c>
      <c r="F35" s="1">
        <v>44939</v>
      </c>
      <c r="G35" t="str">
        <f t="shared" si="3"/>
        <v>89312</v>
      </c>
      <c r="H35">
        <v>3</v>
      </c>
      <c r="I35">
        <v>936</v>
      </c>
      <c r="J35">
        <v>0</v>
      </c>
      <c r="K35" t="str">
        <f t="shared" si="5"/>
        <v>809</v>
      </c>
      <c r="L35">
        <v>1020.24</v>
      </c>
    </row>
    <row r="36" spans="1:12" x14ac:dyDescent="0.25">
      <c r="A36" t="str">
        <f t="shared" si="0"/>
        <v>89301000</v>
      </c>
      <c r="B36" t="str">
        <f t="shared" si="4"/>
        <v>89063000</v>
      </c>
      <c r="C36" t="str">
        <f t="shared" si="4"/>
        <v>89063000</v>
      </c>
      <c r="D36">
        <v>89301102</v>
      </c>
      <c r="E36" t="str">
        <f>"0511151377"</f>
        <v>0511151377</v>
      </c>
      <c r="F36" s="1">
        <v>44939</v>
      </c>
      <c r="G36" t="str">
        <f t="shared" si="3"/>
        <v>89312</v>
      </c>
      <c r="H36">
        <v>1</v>
      </c>
      <c r="I36">
        <v>312</v>
      </c>
      <c r="J36">
        <v>0</v>
      </c>
      <c r="K36" t="str">
        <f t="shared" si="5"/>
        <v>809</v>
      </c>
      <c r="L36">
        <v>340.08</v>
      </c>
    </row>
    <row r="37" spans="1:12" x14ac:dyDescent="0.25">
      <c r="A37" t="str">
        <f t="shared" si="0"/>
        <v>89301000</v>
      </c>
      <c r="B37" t="str">
        <f t="shared" si="4"/>
        <v>89063000</v>
      </c>
      <c r="C37" t="str">
        <f t="shared" si="4"/>
        <v>89063000</v>
      </c>
      <c r="D37">
        <v>89301212</v>
      </c>
      <c r="E37" t="str">
        <f>"7462135395"</f>
        <v>7462135395</v>
      </c>
      <c r="F37" s="1">
        <v>44939</v>
      </c>
      <c r="G37" t="str">
        <f t="shared" si="3"/>
        <v>89312</v>
      </c>
      <c r="H37">
        <v>3</v>
      </c>
      <c r="I37">
        <v>936</v>
      </c>
      <c r="J37">
        <v>0</v>
      </c>
      <c r="K37" t="str">
        <f t="shared" si="5"/>
        <v>809</v>
      </c>
      <c r="L37">
        <v>1020.24</v>
      </c>
    </row>
    <row r="38" spans="1:12" x14ac:dyDescent="0.25">
      <c r="A38" t="str">
        <f t="shared" si="0"/>
        <v>89301000</v>
      </c>
      <c r="B38" t="str">
        <f t="shared" si="4"/>
        <v>89063000</v>
      </c>
      <c r="C38" t="str">
        <f t="shared" si="4"/>
        <v>89063000</v>
      </c>
      <c r="D38">
        <v>89301102</v>
      </c>
      <c r="E38" t="str">
        <f>"1560080764"</f>
        <v>1560080764</v>
      </c>
      <c r="F38" s="1">
        <v>44939</v>
      </c>
      <c r="G38" t="str">
        <f t="shared" si="3"/>
        <v>89312</v>
      </c>
      <c r="H38">
        <v>1</v>
      </c>
      <c r="I38">
        <v>312</v>
      </c>
      <c r="J38">
        <v>0</v>
      </c>
      <c r="K38" t="str">
        <f t="shared" si="5"/>
        <v>809</v>
      </c>
      <c r="L38">
        <v>340.08</v>
      </c>
    </row>
    <row r="39" spans="1:12" x14ac:dyDescent="0.25">
      <c r="A39" t="str">
        <f t="shared" si="0"/>
        <v>89301000</v>
      </c>
      <c r="B39" t="str">
        <f t="shared" si="4"/>
        <v>89063000</v>
      </c>
      <c r="C39" t="str">
        <f t="shared" si="4"/>
        <v>89063000</v>
      </c>
      <c r="D39">
        <v>89301037</v>
      </c>
      <c r="E39" t="str">
        <f>"465202408"</f>
        <v>465202408</v>
      </c>
      <c r="F39" s="1">
        <v>44939</v>
      </c>
      <c r="G39" t="str">
        <f t="shared" ref="G39:G70" si="6">"89312"</f>
        <v>89312</v>
      </c>
      <c r="H39">
        <v>3</v>
      </c>
      <c r="I39">
        <v>936</v>
      </c>
      <c r="J39">
        <v>0</v>
      </c>
      <c r="K39" t="str">
        <f t="shared" si="5"/>
        <v>809</v>
      </c>
      <c r="L39">
        <v>1020.24</v>
      </c>
    </row>
    <row r="40" spans="1:12" x14ac:dyDescent="0.25">
      <c r="A40" t="str">
        <f t="shared" si="0"/>
        <v>89301000</v>
      </c>
      <c r="B40" t="str">
        <f t="shared" si="4"/>
        <v>89063000</v>
      </c>
      <c r="C40" t="str">
        <f t="shared" si="4"/>
        <v>89063000</v>
      </c>
      <c r="D40">
        <v>89301037</v>
      </c>
      <c r="E40" t="str">
        <f>"6554151021"</f>
        <v>6554151021</v>
      </c>
      <c r="F40" s="1">
        <v>44942</v>
      </c>
      <c r="G40" t="str">
        <f t="shared" si="6"/>
        <v>89312</v>
      </c>
      <c r="H40">
        <v>3</v>
      </c>
      <c r="I40">
        <v>936</v>
      </c>
      <c r="J40">
        <v>0</v>
      </c>
      <c r="K40" t="str">
        <f t="shared" si="5"/>
        <v>809</v>
      </c>
      <c r="L40">
        <v>1020.24</v>
      </c>
    </row>
    <row r="41" spans="1:12" x14ac:dyDescent="0.25">
      <c r="A41" t="str">
        <f t="shared" si="0"/>
        <v>89301000</v>
      </c>
      <c r="B41" t="str">
        <f t="shared" si="4"/>
        <v>89063000</v>
      </c>
      <c r="C41" t="str">
        <f t="shared" si="4"/>
        <v>89063000</v>
      </c>
      <c r="D41">
        <v>89301037</v>
      </c>
      <c r="E41" t="str">
        <f>"6651211556"</f>
        <v>6651211556</v>
      </c>
      <c r="F41" s="1">
        <v>44942</v>
      </c>
      <c r="G41" t="str">
        <f t="shared" si="6"/>
        <v>89312</v>
      </c>
      <c r="H41">
        <v>3</v>
      </c>
      <c r="I41">
        <v>936</v>
      </c>
      <c r="J41">
        <v>0</v>
      </c>
      <c r="K41" t="str">
        <f t="shared" si="5"/>
        <v>809</v>
      </c>
      <c r="L41">
        <v>1020.24</v>
      </c>
    </row>
    <row r="42" spans="1:12" x14ac:dyDescent="0.25">
      <c r="A42" t="str">
        <f t="shared" si="0"/>
        <v>89301000</v>
      </c>
      <c r="B42" t="str">
        <f t="shared" si="4"/>
        <v>89063000</v>
      </c>
      <c r="C42" t="str">
        <f t="shared" si="4"/>
        <v>89063000</v>
      </c>
      <c r="D42">
        <v>89301036</v>
      </c>
      <c r="E42" t="str">
        <f>"5607220949"</f>
        <v>5607220949</v>
      </c>
      <c r="F42" s="1">
        <v>44942</v>
      </c>
      <c r="G42" t="str">
        <f t="shared" si="6"/>
        <v>89312</v>
      </c>
      <c r="H42">
        <v>3</v>
      </c>
      <c r="I42">
        <v>936</v>
      </c>
      <c r="J42">
        <v>0</v>
      </c>
      <c r="K42" t="str">
        <f t="shared" si="5"/>
        <v>809</v>
      </c>
      <c r="L42">
        <v>1020.24</v>
      </c>
    </row>
    <row r="43" spans="1:12" x14ac:dyDescent="0.25">
      <c r="A43" t="str">
        <f t="shared" si="0"/>
        <v>89301000</v>
      </c>
      <c r="B43" t="str">
        <f t="shared" si="4"/>
        <v>89063000</v>
      </c>
      <c r="C43" t="str">
        <f t="shared" si="4"/>
        <v>89063000</v>
      </c>
      <c r="D43">
        <v>89301037</v>
      </c>
      <c r="E43" t="str">
        <f>"6756140996"</f>
        <v>6756140996</v>
      </c>
      <c r="F43" s="1">
        <v>44943</v>
      </c>
      <c r="G43" t="str">
        <f t="shared" si="6"/>
        <v>89312</v>
      </c>
      <c r="H43">
        <v>3</v>
      </c>
      <c r="I43">
        <v>936</v>
      </c>
      <c r="J43">
        <v>0</v>
      </c>
      <c r="K43" t="str">
        <f t="shared" si="5"/>
        <v>809</v>
      </c>
      <c r="L43">
        <v>1020.24</v>
      </c>
    </row>
    <row r="44" spans="1:12" x14ac:dyDescent="0.25">
      <c r="A44" t="str">
        <f t="shared" si="0"/>
        <v>89301000</v>
      </c>
      <c r="B44" t="str">
        <f t="shared" si="4"/>
        <v>89063000</v>
      </c>
      <c r="C44" t="str">
        <f t="shared" si="4"/>
        <v>89063000</v>
      </c>
      <c r="D44">
        <v>89301212</v>
      </c>
      <c r="E44" t="str">
        <f>"6252150014"</f>
        <v>6252150014</v>
      </c>
      <c r="F44" s="1">
        <v>44943</v>
      </c>
      <c r="G44" t="str">
        <f t="shared" si="6"/>
        <v>89312</v>
      </c>
      <c r="H44">
        <v>3</v>
      </c>
      <c r="I44">
        <v>936</v>
      </c>
      <c r="J44">
        <v>0</v>
      </c>
      <c r="K44" t="str">
        <f t="shared" si="5"/>
        <v>809</v>
      </c>
      <c r="L44">
        <v>1020.24</v>
      </c>
    </row>
    <row r="45" spans="1:12" x14ac:dyDescent="0.25">
      <c r="A45" t="str">
        <f t="shared" si="0"/>
        <v>89301000</v>
      </c>
      <c r="B45" t="str">
        <f t="shared" si="4"/>
        <v>89063000</v>
      </c>
      <c r="C45" t="str">
        <f t="shared" si="4"/>
        <v>89063000</v>
      </c>
      <c r="D45">
        <v>89301704</v>
      </c>
      <c r="E45" t="str">
        <f>"0653236166"</f>
        <v>0653236166</v>
      </c>
      <c r="F45" s="1">
        <v>44943</v>
      </c>
      <c r="G45" t="str">
        <f t="shared" si="6"/>
        <v>89312</v>
      </c>
      <c r="H45">
        <v>1</v>
      </c>
      <c r="I45">
        <v>312</v>
      </c>
      <c r="J45">
        <v>0</v>
      </c>
      <c r="K45" t="str">
        <f t="shared" si="5"/>
        <v>809</v>
      </c>
      <c r="L45">
        <v>340.08</v>
      </c>
    </row>
    <row r="46" spans="1:12" x14ac:dyDescent="0.25">
      <c r="A46" t="str">
        <f t="shared" si="0"/>
        <v>89301000</v>
      </c>
      <c r="B46" t="str">
        <f t="shared" si="4"/>
        <v>89063000</v>
      </c>
      <c r="C46" t="str">
        <f t="shared" si="4"/>
        <v>89063000</v>
      </c>
      <c r="D46">
        <v>89301212</v>
      </c>
      <c r="E46" t="str">
        <f>"6458160852"</f>
        <v>6458160852</v>
      </c>
      <c r="F46" s="1">
        <v>44943</v>
      </c>
      <c r="G46" t="str">
        <f t="shared" si="6"/>
        <v>89312</v>
      </c>
      <c r="H46">
        <v>3</v>
      </c>
      <c r="I46">
        <v>936</v>
      </c>
      <c r="J46">
        <v>0</v>
      </c>
      <c r="K46" t="str">
        <f t="shared" si="5"/>
        <v>809</v>
      </c>
      <c r="L46">
        <v>1020.24</v>
      </c>
    </row>
    <row r="47" spans="1:12" x14ac:dyDescent="0.25">
      <c r="A47" t="str">
        <f t="shared" si="0"/>
        <v>89301000</v>
      </c>
      <c r="B47" t="str">
        <f t="shared" ref="B47:C66" si="7">"89063000"</f>
        <v>89063000</v>
      </c>
      <c r="C47" t="str">
        <f t="shared" si="7"/>
        <v>89063000</v>
      </c>
      <c r="D47">
        <v>89301108</v>
      </c>
      <c r="E47" t="str">
        <f>"0905076590"</f>
        <v>0905076590</v>
      </c>
      <c r="F47" s="1">
        <v>44944</v>
      </c>
      <c r="G47" t="str">
        <f t="shared" si="6"/>
        <v>89312</v>
      </c>
      <c r="H47">
        <v>1</v>
      </c>
      <c r="I47">
        <v>312</v>
      </c>
      <c r="J47">
        <v>0</v>
      </c>
      <c r="K47" t="str">
        <f t="shared" si="5"/>
        <v>809</v>
      </c>
      <c r="L47">
        <v>340.08</v>
      </c>
    </row>
    <row r="48" spans="1:12" x14ac:dyDescent="0.25">
      <c r="A48" t="str">
        <f t="shared" si="0"/>
        <v>89301000</v>
      </c>
      <c r="B48" t="str">
        <f t="shared" si="7"/>
        <v>89063000</v>
      </c>
      <c r="C48" t="str">
        <f t="shared" si="7"/>
        <v>89063000</v>
      </c>
      <c r="D48">
        <v>89301212</v>
      </c>
      <c r="E48" t="str">
        <f>"6856120128"</f>
        <v>6856120128</v>
      </c>
      <c r="F48" s="1">
        <v>44944</v>
      </c>
      <c r="G48" t="str">
        <f t="shared" si="6"/>
        <v>89312</v>
      </c>
      <c r="H48">
        <v>3</v>
      </c>
      <c r="I48">
        <v>936</v>
      </c>
      <c r="J48">
        <v>0</v>
      </c>
      <c r="K48" t="str">
        <f t="shared" si="5"/>
        <v>809</v>
      </c>
      <c r="L48">
        <v>1020.24</v>
      </c>
    </row>
    <row r="49" spans="1:12" x14ac:dyDescent="0.25">
      <c r="A49" t="str">
        <f t="shared" si="0"/>
        <v>89301000</v>
      </c>
      <c r="B49" t="str">
        <f t="shared" si="7"/>
        <v>89063000</v>
      </c>
      <c r="C49" t="str">
        <f t="shared" si="7"/>
        <v>89063000</v>
      </c>
      <c r="D49">
        <v>89301037</v>
      </c>
      <c r="E49" t="str">
        <f>"315509463"</f>
        <v>315509463</v>
      </c>
      <c r="F49" s="1">
        <v>44944</v>
      </c>
      <c r="G49" t="str">
        <f t="shared" si="6"/>
        <v>89312</v>
      </c>
      <c r="H49">
        <v>3</v>
      </c>
      <c r="I49">
        <v>936</v>
      </c>
      <c r="J49">
        <v>0</v>
      </c>
      <c r="K49" t="str">
        <f t="shared" si="5"/>
        <v>809</v>
      </c>
      <c r="L49">
        <v>1020.24</v>
      </c>
    </row>
    <row r="50" spans="1:12" x14ac:dyDescent="0.25">
      <c r="A50" t="str">
        <f t="shared" si="0"/>
        <v>89301000</v>
      </c>
      <c r="B50" t="str">
        <f t="shared" si="7"/>
        <v>89063000</v>
      </c>
      <c r="C50" t="str">
        <f t="shared" si="7"/>
        <v>89063000</v>
      </c>
      <c r="D50">
        <v>89301037</v>
      </c>
      <c r="E50" t="str">
        <f>"535807057"</f>
        <v>535807057</v>
      </c>
      <c r="F50" s="1">
        <v>44944</v>
      </c>
      <c r="G50" t="str">
        <f t="shared" si="6"/>
        <v>89312</v>
      </c>
      <c r="H50">
        <v>3</v>
      </c>
      <c r="I50">
        <v>936</v>
      </c>
      <c r="J50">
        <v>0</v>
      </c>
      <c r="K50" t="str">
        <f t="shared" si="5"/>
        <v>809</v>
      </c>
      <c r="L50">
        <v>1020.24</v>
      </c>
    </row>
    <row r="51" spans="1:12" x14ac:dyDescent="0.25">
      <c r="A51" t="str">
        <f t="shared" si="0"/>
        <v>89301000</v>
      </c>
      <c r="B51" t="str">
        <f t="shared" si="7"/>
        <v>89063000</v>
      </c>
      <c r="C51" t="str">
        <f t="shared" si="7"/>
        <v>89063000</v>
      </c>
      <c r="D51">
        <v>89301037</v>
      </c>
      <c r="E51" t="str">
        <f>"7054304191"</f>
        <v>7054304191</v>
      </c>
      <c r="F51" s="1">
        <v>44945</v>
      </c>
      <c r="G51" t="str">
        <f t="shared" si="6"/>
        <v>89312</v>
      </c>
      <c r="H51">
        <v>3</v>
      </c>
      <c r="I51">
        <v>936</v>
      </c>
      <c r="J51">
        <v>0</v>
      </c>
      <c r="K51" t="str">
        <f t="shared" si="5"/>
        <v>809</v>
      </c>
      <c r="L51">
        <v>1020.24</v>
      </c>
    </row>
    <row r="52" spans="1:12" x14ac:dyDescent="0.25">
      <c r="A52" t="str">
        <f t="shared" si="0"/>
        <v>89301000</v>
      </c>
      <c r="B52" t="str">
        <f t="shared" si="7"/>
        <v>89063000</v>
      </c>
      <c r="C52" t="str">
        <f t="shared" si="7"/>
        <v>89063000</v>
      </c>
      <c r="D52">
        <v>89301037</v>
      </c>
      <c r="E52" t="str">
        <f>"485104255"</f>
        <v>485104255</v>
      </c>
      <c r="F52" s="1">
        <v>44945</v>
      </c>
      <c r="G52" t="str">
        <f t="shared" si="6"/>
        <v>89312</v>
      </c>
      <c r="H52">
        <v>3</v>
      </c>
      <c r="I52">
        <v>936</v>
      </c>
      <c r="J52">
        <v>0</v>
      </c>
      <c r="K52" t="str">
        <f t="shared" si="5"/>
        <v>809</v>
      </c>
      <c r="L52">
        <v>1020.24</v>
      </c>
    </row>
    <row r="53" spans="1:12" x14ac:dyDescent="0.25">
      <c r="A53" t="str">
        <f t="shared" si="0"/>
        <v>89301000</v>
      </c>
      <c r="B53" t="str">
        <f t="shared" si="7"/>
        <v>89063000</v>
      </c>
      <c r="C53" t="str">
        <f t="shared" si="7"/>
        <v>89063000</v>
      </c>
      <c r="D53">
        <v>89301172</v>
      </c>
      <c r="E53" t="str">
        <f>"7052125190"</f>
        <v>7052125190</v>
      </c>
      <c r="F53" s="1">
        <v>44945</v>
      </c>
      <c r="G53" t="str">
        <f t="shared" si="6"/>
        <v>89312</v>
      </c>
      <c r="H53">
        <v>3</v>
      </c>
      <c r="I53">
        <v>936</v>
      </c>
      <c r="J53">
        <v>0</v>
      </c>
      <c r="K53" t="str">
        <f t="shared" si="5"/>
        <v>809</v>
      </c>
      <c r="L53">
        <v>1020.24</v>
      </c>
    </row>
    <row r="54" spans="1:12" x14ac:dyDescent="0.25">
      <c r="A54" t="str">
        <f t="shared" si="0"/>
        <v>89301000</v>
      </c>
      <c r="B54" t="str">
        <f t="shared" si="7"/>
        <v>89063000</v>
      </c>
      <c r="C54" t="str">
        <f t="shared" si="7"/>
        <v>89063000</v>
      </c>
      <c r="D54">
        <v>89301730</v>
      </c>
      <c r="E54" t="str">
        <f>"516029173"</f>
        <v>516029173</v>
      </c>
      <c r="F54" s="1">
        <v>44945</v>
      </c>
      <c r="G54" t="str">
        <f t="shared" si="6"/>
        <v>89312</v>
      </c>
      <c r="H54">
        <v>3</v>
      </c>
      <c r="I54">
        <v>936</v>
      </c>
      <c r="J54">
        <v>0</v>
      </c>
      <c r="K54" t="str">
        <f t="shared" si="5"/>
        <v>809</v>
      </c>
      <c r="L54">
        <v>1020.24</v>
      </c>
    </row>
    <row r="55" spans="1:12" x14ac:dyDescent="0.25">
      <c r="A55" t="str">
        <f t="shared" si="0"/>
        <v>89301000</v>
      </c>
      <c r="B55" t="str">
        <f t="shared" si="7"/>
        <v>89063000</v>
      </c>
      <c r="C55" t="str">
        <f t="shared" si="7"/>
        <v>89063000</v>
      </c>
      <c r="D55">
        <v>89301037</v>
      </c>
      <c r="E55" t="str">
        <f>"5658282223"</f>
        <v>5658282223</v>
      </c>
      <c r="F55" s="1">
        <v>44945</v>
      </c>
      <c r="G55" t="str">
        <f t="shared" si="6"/>
        <v>89312</v>
      </c>
      <c r="H55">
        <v>3</v>
      </c>
      <c r="I55">
        <v>936</v>
      </c>
      <c r="J55">
        <v>0</v>
      </c>
      <c r="K55" t="str">
        <f t="shared" si="5"/>
        <v>809</v>
      </c>
      <c r="L55">
        <v>1020.24</v>
      </c>
    </row>
    <row r="56" spans="1:12" x14ac:dyDescent="0.25">
      <c r="A56" t="str">
        <f t="shared" si="0"/>
        <v>89301000</v>
      </c>
      <c r="B56" t="str">
        <f t="shared" si="7"/>
        <v>89063000</v>
      </c>
      <c r="C56" t="str">
        <f t="shared" si="7"/>
        <v>89063000</v>
      </c>
      <c r="D56">
        <v>89301037</v>
      </c>
      <c r="E56" t="str">
        <f>"516128289"</f>
        <v>516128289</v>
      </c>
      <c r="F56" s="1">
        <v>44946</v>
      </c>
      <c r="G56" t="str">
        <f t="shared" si="6"/>
        <v>89312</v>
      </c>
      <c r="H56">
        <v>3</v>
      </c>
      <c r="I56">
        <v>936</v>
      </c>
      <c r="J56">
        <v>0</v>
      </c>
      <c r="K56" t="str">
        <f t="shared" si="5"/>
        <v>809</v>
      </c>
      <c r="L56">
        <v>1020.24</v>
      </c>
    </row>
    <row r="57" spans="1:12" x14ac:dyDescent="0.25">
      <c r="A57" t="str">
        <f t="shared" si="0"/>
        <v>89301000</v>
      </c>
      <c r="B57" t="str">
        <f t="shared" si="7"/>
        <v>89063000</v>
      </c>
      <c r="C57" t="str">
        <f t="shared" si="7"/>
        <v>89063000</v>
      </c>
      <c r="D57">
        <v>89301037</v>
      </c>
      <c r="E57" t="str">
        <f>"490217331"</f>
        <v>490217331</v>
      </c>
      <c r="F57" s="1">
        <v>44949</v>
      </c>
      <c r="G57" t="str">
        <f t="shared" si="6"/>
        <v>89312</v>
      </c>
      <c r="H57">
        <v>3</v>
      </c>
      <c r="I57">
        <v>936</v>
      </c>
      <c r="J57">
        <v>0</v>
      </c>
      <c r="K57" t="str">
        <f t="shared" si="5"/>
        <v>809</v>
      </c>
      <c r="L57">
        <v>1020.24</v>
      </c>
    </row>
    <row r="58" spans="1:12" x14ac:dyDescent="0.25">
      <c r="A58" t="str">
        <f t="shared" si="0"/>
        <v>89301000</v>
      </c>
      <c r="B58" t="str">
        <f t="shared" si="7"/>
        <v>89063000</v>
      </c>
      <c r="C58" t="str">
        <f t="shared" si="7"/>
        <v>89063000</v>
      </c>
      <c r="D58">
        <v>89301037</v>
      </c>
      <c r="E58" t="str">
        <f>"466202461"</f>
        <v>466202461</v>
      </c>
      <c r="F58" s="1">
        <v>44949</v>
      </c>
      <c r="G58" t="str">
        <f t="shared" si="6"/>
        <v>89312</v>
      </c>
      <c r="H58">
        <v>3</v>
      </c>
      <c r="I58">
        <v>936</v>
      </c>
      <c r="J58">
        <v>0</v>
      </c>
      <c r="K58" t="str">
        <f t="shared" si="5"/>
        <v>809</v>
      </c>
      <c r="L58">
        <v>1020.24</v>
      </c>
    </row>
    <row r="59" spans="1:12" x14ac:dyDescent="0.25">
      <c r="A59" t="str">
        <f t="shared" si="0"/>
        <v>89301000</v>
      </c>
      <c r="B59" t="str">
        <f t="shared" si="7"/>
        <v>89063000</v>
      </c>
      <c r="C59" t="str">
        <f t="shared" si="7"/>
        <v>89063000</v>
      </c>
      <c r="D59">
        <v>89301037</v>
      </c>
      <c r="E59" t="str">
        <f>"5955212032"</f>
        <v>5955212032</v>
      </c>
      <c r="F59" s="1">
        <v>44950</v>
      </c>
      <c r="G59" t="str">
        <f t="shared" si="6"/>
        <v>89312</v>
      </c>
      <c r="H59">
        <v>3</v>
      </c>
      <c r="I59">
        <v>936</v>
      </c>
      <c r="J59">
        <v>0</v>
      </c>
      <c r="K59" t="str">
        <f t="shared" si="5"/>
        <v>809</v>
      </c>
      <c r="L59">
        <v>1020.24</v>
      </c>
    </row>
    <row r="60" spans="1:12" x14ac:dyDescent="0.25">
      <c r="A60" t="str">
        <f t="shared" si="0"/>
        <v>89301000</v>
      </c>
      <c r="B60" t="str">
        <f t="shared" si="7"/>
        <v>89063000</v>
      </c>
      <c r="C60" t="str">
        <f t="shared" si="7"/>
        <v>89063000</v>
      </c>
      <c r="D60">
        <v>89301037</v>
      </c>
      <c r="E60" t="str">
        <f>"7704105486"</f>
        <v>7704105486</v>
      </c>
      <c r="F60" s="1">
        <v>44950</v>
      </c>
      <c r="G60" t="str">
        <f t="shared" si="6"/>
        <v>89312</v>
      </c>
      <c r="H60">
        <v>3</v>
      </c>
      <c r="I60">
        <v>936</v>
      </c>
      <c r="J60">
        <v>0</v>
      </c>
      <c r="K60" t="str">
        <f t="shared" si="5"/>
        <v>809</v>
      </c>
      <c r="L60">
        <v>1020.24</v>
      </c>
    </row>
    <row r="61" spans="1:12" x14ac:dyDescent="0.25">
      <c r="A61" t="str">
        <f t="shared" si="0"/>
        <v>89301000</v>
      </c>
      <c r="B61" t="str">
        <f t="shared" si="7"/>
        <v>89063000</v>
      </c>
      <c r="C61" t="str">
        <f t="shared" si="7"/>
        <v>89063000</v>
      </c>
      <c r="D61">
        <v>89301037</v>
      </c>
      <c r="E61" t="str">
        <f>"6658180177"</f>
        <v>6658180177</v>
      </c>
      <c r="F61" s="1">
        <v>44950</v>
      </c>
      <c r="G61" t="str">
        <f t="shared" si="6"/>
        <v>89312</v>
      </c>
      <c r="H61">
        <v>3</v>
      </c>
      <c r="I61">
        <v>936</v>
      </c>
      <c r="J61">
        <v>0</v>
      </c>
      <c r="K61" t="str">
        <f t="shared" si="5"/>
        <v>809</v>
      </c>
      <c r="L61">
        <v>1020.24</v>
      </c>
    </row>
    <row r="62" spans="1:12" x14ac:dyDescent="0.25">
      <c r="A62" t="str">
        <f t="shared" si="0"/>
        <v>89301000</v>
      </c>
      <c r="B62" t="str">
        <f t="shared" si="7"/>
        <v>89063000</v>
      </c>
      <c r="C62" t="str">
        <f t="shared" si="7"/>
        <v>89063000</v>
      </c>
      <c r="D62">
        <v>89301212</v>
      </c>
      <c r="E62" t="str">
        <f>"7153195313"</f>
        <v>7153195313</v>
      </c>
      <c r="F62" s="1">
        <v>44950</v>
      </c>
      <c r="G62" t="str">
        <f t="shared" si="6"/>
        <v>89312</v>
      </c>
      <c r="H62">
        <v>3</v>
      </c>
      <c r="I62">
        <v>936</v>
      </c>
      <c r="J62">
        <v>0</v>
      </c>
      <c r="K62" t="str">
        <f t="shared" si="5"/>
        <v>809</v>
      </c>
      <c r="L62">
        <v>1020.24</v>
      </c>
    </row>
    <row r="63" spans="1:12" x14ac:dyDescent="0.25">
      <c r="A63" t="str">
        <f t="shared" si="0"/>
        <v>89301000</v>
      </c>
      <c r="B63" t="str">
        <f t="shared" si="7"/>
        <v>89063000</v>
      </c>
      <c r="C63" t="str">
        <f t="shared" si="7"/>
        <v>89063000</v>
      </c>
      <c r="D63">
        <v>89301037</v>
      </c>
      <c r="E63" t="str">
        <f>"5852150744"</f>
        <v>5852150744</v>
      </c>
      <c r="F63" s="1">
        <v>44951</v>
      </c>
      <c r="G63" t="str">
        <f t="shared" si="6"/>
        <v>89312</v>
      </c>
      <c r="H63">
        <v>3</v>
      </c>
      <c r="I63">
        <v>936</v>
      </c>
      <c r="J63">
        <v>0</v>
      </c>
      <c r="K63" t="str">
        <f t="shared" si="5"/>
        <v>809</v>
      </c>
      <c r="L63">
        <v>1020.24</v>
      </c>
    </row>
    <row r="64" spans="1:12" x14ac:dyDescent="0.25">
      <c r="A64" t="str">
        <f t="shared" si="0"/>
        <v>89301000</v>
      </c>
      <c r="B64" t="str">
        <f t="shared" si="7"/>
        <v>89063000</v>
      </c>
      <c r="C64" t="str">
        <f t="shared" si="7"/>
        <v>89063000</v>
      </c>
      <c r="D64">
        <v>89301037</v>
      </c>
      <c r="E64" t="str">
        <f>"486017407"</f>
        <v>486017407</v>
      </c>
      <c r="F64" s="1">
        <v>44951</v>
      </c>
      <c r="G64" t="str">
        <f t="shared" si="6"/>
        <v>89312</v>
      </c>
      <c r="H64">
        <v>3</v>
      </c>
      <c r="I64">
        <v>936</v>
      </c>
      <c r="J64">
        <v>0</v>
      </c>
      <c r="K64" t="str">
        <f t="shared" si="5"/>
        <v>809</v>
      </c>
      <c r="L64">
        <v>1020.24</v>
      </c>
    </row>
    <row r="65" spans="1:12" x14ac:dyDescent="0.25">
      <c r="A65" t="str">
        <f t="shared" si="0"/>
        <v>89301000</v>
      </c>
      <c r="B65" t="str">
        <f t="shared" si="7"/>
        <v>89063000</v>
      </c>
      <c r="C65" t="str">
        <f t="shared" si="7"/>
        <v>89063000</v>
      </c>
      <c r="D65">
        <v>89301037</v>
      </c>
      <c r="E65" t="str">
        <f>"6051171236"</f>
        <v>6051171236</v>
      </c>
      <c r="F65" s="1">
        <v>44952</v>
      </c>
      <c r="G65" t="str">
        <f t="shared" si="6"/>
        <v>89312</v>
      </c>
      <c r="H65">
        <v>3</v>
      </c>
      <c r="I65">
        <v>936</v>
      </c>
      <c r="J65">
        <v>0</v>
      </c>
      <c r="K65" t="str">
        <f t="shared" si="5"/>
        <v>809</v>
      </c>
      <c r="L65">
        <v>1020.24</v>
      </c>
    </row>
    <row r="66" spans="1:12" x14ac:dyDescent="0.25">
      <c r="A66" t="str">
        <f t="shared" ref="A66:A129" si="8">"89301000"</f>
        <v>89301000</v>
      </c>
      <c r="B66" t="str">
        <f t="shared" si="7"/>
        <v>89063000</v>
      </c>
      <c r="C66" t="str">
        <f t="shared" si="7"/>
        <v>89063000</v>
      </c>
      <c r="D66">
        <v>89301022</v>
      </c>
      <c r="E66" t="str">
        <f>"8512266213"</f>
        <v>8512266213</v>
      </c>
      <c r="F66" s="1">
        <v>44952</v>
      </c>
      <c r="G66" t="str">
        <f t="shared" si="6"/>
        <v>89312</v>
      </c>
      <c r="H66">
        <v>3</v>
      </c>
      <c r="I66">
        <v>936</v>
      </c>
      <c r="J66">
        <v>0</v>
      </c>
      <c r="K66" t="str">
        <f t="shared" ref="K66:K97" si="9">"809"</f>
        <v>809</v>
      </c>
      <c r="L66">
        <v>1020.24</v>
      </c>
    </row>
    <row r="67" spans="1:12" x14ac:dyDescent="0.25">
      <c r="A67" t="str">
        <f t="shared" si="8"/>
        <v>89301000</v>
      </c>
      <c r="B67" t="str">
        <f t="shared" ref="B67:C76" si="10">"89063000"</f>
        <v>89063000</v>
      </c>
      <c r="C67" t="str">
        <f t="shared" si="10"/>
        <v>89063000</v>
      </c>
      <c r="D67">
        <v>89301212</v>
      </c>
      <c r="E67" t="str">
        <f>"8055045768"</f>
        <v>8055045768</v>
      </c>
      <c r="F67" s="1">
        <v>44952</v>
      </c>
      <c r="G67" t="str">
        <f t="shared" si="6"/>
        <v>89312</v>
      </c>
      <c r="H67">
        <v>3</v>
      </c>
      <c r="I67">
        <v>936</v>
      </c>
      <c r="J67">
        <v>0</v>
      </c>
      <c r="K67" t="str">
        <f t="shared" si="9"/>
        <v>809</v>
      </c>
      <c r="L67">
        <v>1020.24</v>
      </c>
    </row>
    <row r="68" spans="1:12" x14ac:dyDescent="0.25">
      <c r="A68" t="str">
        <f t="shared" si="8"/>
        <v>89301000</v>
      </c>
      <c r="B68" t="str">
        <f t="shared" si="10"/>
        <v>89063000</v>
      </c>
      <c r="C68" t="str">
        <f t="shared" si="10"/>
        <v>89063000</v>
      </c>
      <c r="D68">
        <v>89301039</v>
      </c>
      <c r="E68" t="str">
        <f>"7855305304"</f>
        <v>7855305304</v>
      </c>
      <c r="F68" s="1">
        <v>44952</v>
      </c>
      <c r="G68" t="str">
        <f t="shared" si="6"/>
        <v>89312</v>
      </c>
      <c r="H68">
        <v>3</v>
      </c>
      <c r="I68">
        <v>936</v>
      </c>
      <c r="J68">
        <v>0</v>
      </c>
      <c r="K68" t="str">
        <f t="shared" si="9"/>
        <v>809</v>
      </c>
      <c r="L68">
        <v>1020.24</v>
      </c>
    </row>
    <row r="69" spans="1:12" x14ac:dyDescent="0.25">
      <c r="A69" t="str">
        <f t="shared" si="8"/>
        <v>89301000</v>
      </c>
      <c r="B69" t="str">
        <f t="shared" si="10"/>
        <v>89063000</v>
      </c>
      <c r="C69" t="str">
        <f t="shared" si="10"/>
        <v>89063000</v>
      </c>
      <c r="D69">
        <v>89301037</v>
      </c>
      <c r="E69" t="str">
        <f>"415415471"</f>
        <v>415415471</v>
      </c>
      <c r="F69" s="1">
        <v>44956</v>
      </c>
      <c r="G69" t="str">
        <f t="shared" si="6"/>
        <v>89312</v>
      </c>
      <c r="H69">
        <v>3</v>
      </c>
      <c r="I69">
        <v>936</v>
      </c>
      <c r="J69">
        <v>0</v>
      </c>
      <c r="K69" t="str">
        <f t="shared" si="9"/>
        <v>809</v>
      </c>
      <c r="L69">
        <v>1020.24</v>
      </c>
    </row>
    <row r="70" spans="1:12" x14ac:dyDescent="0.25">
      <c r="A70" t="str">
        <f t="shared" si="8"/>
        <v>89301000</v>
      </c>
      <c r="B70" t="str">
        <f t="shared" si="10"/>
        <v>89063000</v>
      </c>
      <c r="C70" t="str">
        <f t="shared" si="10"/>
        <v>89063000</v>
      </c>
      <c r="D70">
        <v>89301212</v>
      </c>
      <c r="E70" t="str">
        <f>"5853161215"</f>
        <v>5853161215</v>
      </c>
      <c r="F70" s="1">
        <v>44956</v>
      </c>
      <c r="G70" t="str">
        <f t="shared" si="6"/>
        <v>89312</v>
      </c>
      <c r="H70">
        <v>3</v>
      </c>
      <c r="I70">
        <v>936</v>
      </c>
      <c r="J70">
        <v>0</v>
      </c>
      <c r="K70" t="str">
        <f t="shared" si="9"/>
        <v>809</v>
      </c>
      <c r="L70">
        <v>1020.24</v>
      </c>
    </row>
    <row r="71" spans="1:12" x14ac:dyDescent="0.25">
      <c r="A71" t="str">
        <f t="shared" si="8"/>
        <v>89301000</v>
      </c>
      <c r="B71" t="str">
        <f t="shared" si="10"/>
        <v>89063000</v>
      </c>
      <c r="C71" t="str">
        <f t="shared" si="10"/>
        <v>89063000</v>
      </c>
      <c r="D71">
        <v>89301037</v>
      </c>
      <c r="E71" t="str">
        <f>"5862160095"</f>
        <v>5862160095</v>
      </c>
      <c r="F71" s="1">
        <v>44956</v>
      </c>
      <c r="G71" t="str">
        <f t="shared" ref="G71:G76" si="11">"89312"</f>
        <v>89312</v>
      </c>
      <c r="H71">
        <v>3</v>
      </c>
      <c r="I71">
        <v>936</v>
      </c>
      <c r="J71">
        <v>0</v>
      </c>
      <c r="K71" t="str">
        <f t="shared" si="9"/>
        <v>809</v>
      </c>
      <c r="L71">
        <v>1020.24</v>
      </c>
    </row>
    <row r="72" spans="1:12" x14ac:dyDescent="0.25">
      <c r="A72" t="str">
        <f t="shared" si="8"/>
        <v>89301000</v>
      </c>
      <c r="B72" t="str">
        <f t="shared" si="10"/>
        <v>89063000</v>
      </c>
      <c r="C72" t="str">
        <f t="shared" si="10"/>
        <v>89063000</v>
      </c>
      <c r="D72">
        <v>89301037</v>
      </c>
      <c r="E72" t="str">
        <f>"435730449"</f>
        <v>435730449</v>
      </c>
      <c r="F72" s="1">
        <v>44957</v>
      </c>
      <c r="G72" t="str">
        <f t="shared" si="11"/>
        <v>89312</v>
      </c>
      <c r="H72">
        <v>3</v>
      </c>
      <c r="I72">
        <v>936</v>
      </c>
      <c r="J72">
        <v>0</v>
      </c>
      <c r="K72" t="str">
        <f t="shared" si="9"/>
        <v>809</v>
      </c>
      <c r="L72">
        <v>1020.24</v>
      </c>
    </row>
    <row r="73" spans="1:12" x14ac:dyDescent="0.25">
      <c r="A73" t="str">
        <f t="shared" si="8"/>
        <v>89301000</v>
      </c>
      <c r="B73" t="str">
        <f t="shared" si="10"/>
        <v>89063000</v>
      </c>
      <c r="C73" t="str">
        <f t="shared" si="10"/>
        <v>89063000</v>
      </c>
      <c r="D73">
        <v>89301162</v>
      </c>
      <c r="E73" t="str">
        <f>"480916412"</f>
        <v>480916412</v>
      </c>
      <c r="F73" s="1">
        <v>44957</v>
      </c>
      <c r="G73" t="str">
        <f t="shared" si="11"/>
        <v>89312</v>
      </c>
      <c r="H73">
        <v>3</v>
      </c>
      <c r="I73">
        <v>936</v>
      </c>
      <c r="J73">
        <v>0</v>
      </c>
      <c r="K73" t="str">
        <f t="shared" si="9"/>
        <v>809</v>
      </c>
      <c r="L73">
        <v>1020.24</v>
      </c>
    </row>
    <row r="74" spans="1:12" x14ac:dyDescent="0.25">
      <c r="A74" t="str">
        <f t="shared" si="8"/>
        <v>89301000</v>
      </c>
      <c r="B74" t="str">
        <f t="shared" si="10"/>
        <v>89063000</v>
      </c>
      <c r="C74" t="str">
        <f t="shared" si="10"/>
        <v>89063000</v>
      </c>
      <c r="D74">
        <v>89301172</v>
      </c>
      <c r="E74" t="str">
        <f>"5952181873"</f>
        <v>5952181873</v>
      </c>
      <c r="F74" s="1">
        <v>44957</v>
      </c>
      <c r="G74" t="str">
        <f t="shared" si="11"/>
        <v>89312</v>
      </c>
      <c r="H74">
        <v>3</v>
      </c>
      <c r="I74">
        <v>936</v>
      </c>
      <c r="J74">
        <v>0</v>
      </c>
      <c r="K74" t="str">
        <f t="shared" si="9"/>
        <v>809</v>
      </c>
      <c r="L74">
        <v>1020.24</v>
      </c>
    </row>
    <row r="75" spans="1:12" x14ac:dyDescent="0.25">
      <c r="A75" t="str">
        <f t="shared" si="8"/>
        <v>89301000</v>
      </c>
      <c r="B75" t="str">
        <f t="shared" si="10"/>
        <v>89063000</v>
      </c>
      <c r="C75" t="str">
        <f t="shared" si="10"/>
        <v>89063000</v>
      </c>
      <c r="D75">
        <v>89301036</v>
      </c>
      <c r="E75" t="str">
        <f>"6852250966"</f>
        <v>6852250966</v>
      </c>
      <c r="F75" s="1">
        <v>44957</v>
      </c>
      <c r="G75" t="str">
        <f t="shared" si="11"/>
        <v>89312</v>
      </c>
      <c r="H75">
        <v>3</v>
      </c>
      <c r="I75">
        <v>936</v>
      </c>
      <c r="J75">
        <v>0</v>
      </c>
      <c r="K75" t="str">
        <f t="shared" si="9"/>
        <v>809</v>
      </c>
      <c r="L75">
        <v>1020.24</v>
      </c>
    </row>
    <row r="76" spans="1:12" x14ac:dyDescent="0.25">
      <c r="A76" t="str">
        <f t="shared" si="8"/>
        <v>89301000</v>
      </c>
      <c r="B76" t="str">
        <f t="shared" si="10"/>
        <v>89063000</v>
      </c>
      <c r="C76" t="str">
        <f t="shared" si="10"/>
        <v>89063000</v>
      </c>
      <c r="D76">
        <v>89301037</v>
      </c>
      <c r="E76" t="str">
        <f>"5652230848"</f>
        <v>5652230848</v>
      </c>
      <c r="F76" s="1">
        <v>44957</v>
      </c>
      <c r="G76" t="str">
        <f t="shared" si="11"/>
        <v>89312</v>
      </c>
      <c r="H76">
        <v>3</v>
      </c>
      <c r="I76">
        <v>936</v>
      </c>
      <c r="J76">
        <v>0</v>
      </c>
      <c r="K76" t="str">
        <f t="shared" si="9"/>
        <v>809</v>
      </c>
      <c r="L76">
        <v>1020.24</v>
      </c>
    </row>
    <row r="77" spans="1:12" x14ac:dyDescent="0.25">
      <c r="A77" t="str">
        <f t="shared" si="8"/>
        <v>89301000</v>
      </c>
      <c r="B77" t="str">
        <f t="shared" ref="B77:B108" si="12">"78915000"</f>
        <v>78915000</v>
      </c>
      <c r="C77" t="str">
        <f t="shared" ref="C77:C108" si="13">"78915001"</f>
        <v>78915001</v>
      </c>
      <c r="D77">
        <v>89301112</v>
      </c>
      <c r="E77" t="str">
        <f>"0011045089"</f>
        <v>0011045089</v>
      </c>
      <c r="F77" s="1">
        <v>44935</v>
      </c>
      <c r="G77" t="str">
        <f>"09567"</f>
        <v>09567</v>
      </c>
      <c r="H77">
        <v>1</v>
      </c>
      <c r="I77">
        <v>0</v>
      </c>
      <c r="J77">
        <v>0</v>
      </c>
      <c r="K77" t="str">
        <f t="shared" si="9"/>
        <v>809</v>
      </c>
      <c r="L77">
        <v>0</v>
      </c>
    </row>
    <row r="78" spans="1:12" x14ac:dyDescent="0.25">
      <c r="A78" t="str">
        <f t="shared" si="8"/>
        <v>89301000</v>
      </c>
      <c r="B78" t="str">
        <f t="shared" si="12"/>
        <v>78915000</v>
      </c>
      <c r="C78" t="str">
        <f t="shared" si="13"/>
        <v>78915001</v>
      </c>
      <c r="D78">
        <v>89301112</v>
      </c>
      <c r="E78" t="str">
        <f>"0011045089"</f>
        <v>0011045089</v>
      </c>
      <c r="F78" s="1">
        <v>44935</v>
      </c>
      <c r="G78" t="str">
        <f>"89713"</f>
        <v>89713</v>
      </c>
      <c r="H78">
        <v>1</v>
      </c>
      <c r="I78">
        <v>5411</v>
      </c>
      <c r="J78">
        <v>0</v>
      </c>
      <c r="K78" t="str">
        <f t="shared" si="9"/>
        <v>809</v>
      </c>
      <c r="L78">
        <v>3517.15</v>
      </c>
    </row>
    <row r="79" spans="1:12" x14ac:dyDescent="0.25">
      <c r="A79" t="str">
        <f t="shared" si="8"/>
        <v>89301000</v>
      </c>
      <c r="B79" t="str">
        <f t="shared" si="12"/>
        <v>78915000</v>
      </c>
      <c r="C79" t="str">
        <f t="shared" si="13"/>
        <v>78915001</v>
      </c>
      <c r="D79">
        <v>89301112</v>
      </c>
      <c r="E79" t="str">
        <f>"0710037680"</f>
        <v>0710037680</v>
      </c>
      <c r="F79" s="1">
        <v>44953</v>
      </c>
      <c r="G79" t="str">
        <f>"09569"</f>
        <v>09569</v>
      </c>
      <c r="H79">
        <v>1</v>
      </c>
      <c r="I79">
        <v>0</v>
      </c>
      <c r="J79">
        <v>0</v>
      </c>
      <c r="K79" t="str">
        <f t="shared" si="9"/>
        <v>809</v>
      </c>
      <c r="L79">
        <v>0</v>
      </c>
    </row>
    <row r="80" spans="1:12" x14ac:dyDescent="0.25">
      <c r="A80" t="str">
        <f t="shared" si="8"/>
        <v>89301000</v>
      </c>
      <c r="B80" t="str">
        <f t="shared" si="12"/>
        <v>78915000</v>
      </c>
      <c r="C80" t="str">
        <f t="shared" si="13"/>
        <v>78915001</v>
      </c>
      <c r="D80">
        <v>89301112</v>
      </c>
      <c r="E80" t="str">
        <f>"0710037680"</f>
        <v>0710037680</v>
      </c>
      <c r="F80" s="1">
        <v>44953</v>
      </c>
      <c r="G80" t="str">
        <f>"89713"</f>
        <v>89713</v>
      </c>
      <c r="H80">
        <v>1</v>
      </c>
      <c r="I80">
        <v>5411</v>
      </c>
      <c r="J80">
        <v>0</v>
      </c>
      <c r="K80" t="str">
        <f t="shared" si="9"/>
        <v>809</v>
      </c>
      <c r="L80">
        <v>3517.15</v>
      </c>
    </row>
    <row r="81" spans="1:12" x14ac:dyDescent="0.25">
      <c r="A81" t="str">
        <f t="shared" si="8"/>
        <v>89301000</v>
      </c>
      <c r="B81" t="str">
        <f t="shared" si="12"/>
        <v>78915000</v>
      </c>
      <c r="C81" t="str">
        <f t="shared" si="13"/>
        <v>78915001</v>
      </c>
      <c r="D81">
        <v>89301312</v>
      </c>
      <c r="E81" t="str">
        <f>"0807186083"</f>
        <v>0807186083</v>
      </c>
      <c r="F81" s="1">
        <v>44935</v>
      </c>
      <c r="G81" t="str">
        <f>"09569"</f>
        <v>09569</v>
      </c>
      <c r="H81">
        <v>1</v>
      </c>
      <c r="I81">
        <v>0</v>
      </c>
      <c r="J81">
        <v>0</v>
      </c>
      <c r="K81" t="str">
        <f t="shared" si="9"/>
        <v>809</v>
      </c>
      <c r="L81">
        <v>0</v>
      </c>
    </row>
    <row r="82" spans="1:12" x14ac:dyDescent="0.25">
      <c r="A82" t="str">
        <f t="shared" si="8"/>
        <v>89301000</v>
      </c>
      <c r="B82" t="str">
        <f t="shared" si="12"/>
        <v>78915000</v>
      </c>
      <c r="C82" t="str">
        <f t="shared" si="13"/>
        <v>78915001</v>
      </c>
      <c r="D82">
        <v>89301312</v>
      </c>
      <c r="E82" t="str">
        <f>"0807186083"</f>
        <v>0807186083</v>
      </c>
      <c r="F82" s="1">
        <v>44935</v>
      </c>
      <c r="G82" t="str">
        <f>"89713"</f>
        <v>89713</v>
      </c>
      <c r="H82">
        <v>1</v>
      </c>
      <c r="I82">
        <v>5411</v>
      </c>
      <c r="J82">
        <v>0</v>
      </c>
      <c r="K82" t="str">
        <f t="shared" si="9"/>
        <v>809</v>
      </c>
      <c r="L82">
        <v>3517.15</v>
      </c>
    </row>
    <row r="83" spans="1:12" x14ac:dyDescent="0.25">
      <c r="A83" t="str">
        <f t="shared" si="8"/>
        <v>89301000</v>
      </c>
      <c r="B83" t="str">
        <f t="shared" si="12"/>
        <v>78915000</v>
      </c>
      <c r="C83" t="str">
        <f t="shared" si="13"/>
        <v>78915001</v>
      </c>
      <c r="D83">
        <v>89301312</v>
      </c>
      <c r="E83" t="str">
        <f>"1358140234"</f>
        <v>1358140234</v>
      </c>
      <c r="F83" s="1">
        <v>44951</v>
      </c>
      <c r="G83" t="str">
        <f>"09569"</f>
        <v>09569</v>
      </c>
      <c r="H83">
        <v>1</v>
      </c>
      <c r="I83">
        <v>0</v>
      </c>
      <c r="J83">
        <v>0</v>
      </c>
      <c r="K83" t="str">
        <f t="shared" si="9"/>
        <v>809</v>
      </c>
      <c r="L83">
        <v>0</v>
      </c>
    </row>
    <row r="84" spans="1:12" x14ac:dyDescent="0.25">
      <c r="A84" t="str">
        <f t="shared" si="8"/>
        <v>89301000</v>
      </c>
      <c r="B84" t="str">
        <f t="shared" si="12"/>
        <v>78915000</v>
      </c>
      <c r="C84" t="str">
        <f t="shared" si="13"/>
        <v>78915001</v>
      </c>
      <c r="D84">
        <v>89301312</v>
      </c>
      <c r="E84" t="str">
        <f>"1358140234"</f>
        <v>1358140234</v>
      </c>
      <c r="F84" s="1">
        <v>44951</v>
      </c>
      <c r="G84" t="str">
        <f>"89713"</f>
        <v>89713</v>
      </c>
      <c r="H84">
        <v>1</v>
      </c>
      <c r="I84">
        <v>5411</v>
      </c>
      <c r="J84">
        <v>0</v>
      </c>
      <c r="K84" t="str">
        <f t="shared" si="9"/>
        <v>809</v>
      </c>
      <c r="L84">
        <v>3517.15</v>
      </c>
    </row>
    <row r="85" spans="1:12" x14ac:dyDescent="0.25">
      <c r="A85" t="str">
        <f t="shared" si="8"/>
        <v>89301000</v>
      </c>
      <c r="B85" t="str">
        <f t="shared" si="12"/>
        <v>78915000</v>
      </c>
      <c r="C85" t="str">
        <f t="shared" si="13"/>
        <v>78915001</v>
      </c>
      <c r="D85">
        <v>89301112</v>
      </c>
      <c r="E85" t="str">
        <f>"436011440"</f>
        <v>436011440</v>
      </c>
      <c r="F85" s="1">
        <v>44953</v>
      </c>
      <c r="G85" t="str">
        <f>"09567"</f>
        <v>09567</v>
      </c>
      <c r="H85">
        <v>1</v>
      </c>
      <c r="I85">
        <v>0</v>
      </c>
      <c r="J85">
        <v>0</v>
      </c>
      <c r="K85" t="str">
        <f t="shared" si="9"/>
        <v>809</v>
      </c>
      <c r="L85">
        <v>0</v>
      </c>
    </row>
    <row r="86" spans="1:12" x14ac:dyDescent="0.25">
      <c r="A86" t="str">
        <f t="shared" si="8"/>
        <v>89301000</v>
      </c>
      <c r="B86" t="str">
        <f t="shared" si="12"/>
        <v>78915000</v>
      </c>
      <c r="C86" t="str">
        <f t="shared" si="13"/>
        <v>78915001</v>
      </c>
      <c r="D86">
        <v>89301112</v>
      </c>
      <c r="E86" t="str">
        <f>"436011440"</f>
        <v>436011440</v>
      </c>
      <c r="F86" s="1">
        <v>44953</v>
      </c>
      <c r="G86" t="str">
        <f>"89713"</f>
        <v>89713</v>
      </c>
      <c r="H86">
        <v>1</v>
      </c>
      <c r="I86">
        <v>5411</v>
      </c>
      <c r="J86">
        <v>0</v>
      </c>
      <c r="K86" t="str">
        <f t="shared" si="9"/>
        <v>809</v>
      </c>
      <c r="L86">
        <v>3517.15</v>
      </c>
    </row>
    <row r="87" spans="1:12" x14ac:dyDescent="0.25">
      <c r="A87" t="str">
        <f t="shared" si="8"/>
        <v>89301000</v>
      </c>
      <c r="B87" t="str">
        <f t="shared" si="12"/>
        <v>78915000</v>
      </c>
      <c r="C87" t="str">
        <f t="shared" si="13"/>
        <v>78915001</v>
      </c>
      <c r="D87">
        <v>89301062</v>
      </c>
      <c r="E87" t="str">
        <f>"470816100"</f>
        <v>470816100</v>
      </c>
      <c r="F87" s="1">
        <v>44947</v>
      </c>
      <c r="G87" t="str">
        <f>"89713"</f>
        <v>89713</v>
      </c>
      <c r="H87">
        <v>1</v>
      </c>
      <c r="I87">
        <v>5411</v>
      </c>
      <c r="J87">
        <v>0</v>
      </c>
      <c r="K87" t="str">
        <f t="shared" si="9"/>
        <v>809</v>
      </c>
      <c r="L87">
        <v>3517.15</v>
      </c>
    </row>
    <row r="88" spans="1:12" x14ac:dyDescent="0.25">
      <c r="A88" t="str">
        <f t="shared" si="8"/>
        <v>89301000</v>
      </c>
      <c r="B88" t="str">
        <f t="shared" si="12"/>
        <v>78915000</v>
      </c>
      <c r="C88" t="str">
        <f t="shared" si="13"/>
        <v>78915001</v>
      </c>
      <c r="D88">
        <v>89301062</v>
      </c>
      <c r="E88" t="str">
        <f>"470816100"</f>
        <v>470816100</v>
      </c>
      <c r="F88" s="1">
        <v>44947</v>
      </c>
      <c r="G88" t="str">
        <f>"89725"</f>
        <v>89725</v>
      </c>
      <c r="H88">
        <v>1</v>
      </c>
      <c r="I88">
        <v>2863</v>
      </c>
      <c r="J88">
        <v>0</v>
      </c>
      <c r="K88" t="str">
        <f t="shared" si="9"/>
        <v>809</v>
      </c>
      <c r="L88">
        <v>1860.95</v>
      </c>
    </row>
    <row r="89" spans="1:12" x14ac:dyDescent="0.25">
      <c r="A89" t="str">
        <f t="shared" si="8"/>
        <v>89301000</v>
      </c>
      <c r="B89" t="str">
        <f t="shared" si="12"/>
        <v>78915000</v>
      </c>
      <c r="C89" t="str">
        <f t="shared" si="13"/>
        <v>78915001</v>
      </c>
      <c r="D89">
        <v>89301061</v>
      </c>
      <c r="E89" t="str">
        <f>"5456271799"</f>
        <v>5456271799</v>
      </c>
      <c r="F89" s="1">
        <v>44956</v>
      </c>
      <c r="G89" t="str">
        <f>"89713"</f>
        <v>89713</v>
      </c>
      <c r="H89">
        <v>1</v>
      </c>
      <c r="I89">
        <v>5411</v>
      </c>
      <c r="J89">
        <v>0</v>
      </c>
      <c r="K89" t="str">
        <f t="shared" si="9"/>
        <v>809</v>
      </c>
      <c r="L89">
        <v>3517.15</v>
      </c>
    </row>
    <row r="90" spans="1:12" x14ac:dyDescent="0.25">
      <c r="A90" t="str">
        <f t="shared" si="8"/>
        <v>89301000</v>
      </c>
      <c r="B90" t="str">
        <f t="shared" si="12"/>
        <v>78915000</v>
      </c>
      <c r="C90" t="str">
        <f t="shared" si="13"/>
        <v>78915001</v>
      </c>
      <c r="D90">
        <v>89301061</v>
      </c>
      <c r="E90" t="str">
        <f>"5456271799"</f>
        <v>5456271799</v>
      </c>
      <c r="F90" s="1">
        <v>44956</v>
      </c>
      <c r="G90" t="str">
        <f>"89725"</f>
        <v>89725</v>
      </c>
      <c r="H90">
        <v>1</v>
      </c>
      <c r="I90">
        <v>2863</v>
      </c>
      <c r="J90">
        <v>0</v>
      </c>
      <c r="K90" t="str">
        <f t="shared" si="9"/>
        <v>809</v>
      </c>
      <c r="L90">
        <v>1860.95</v>
      </c>
    </row>
    <row r="91" spans="1:12" x14ac:dyDescent="0.25">
      <c r="A91" t="str">
        <f t="shared" si="8"/>
        <v>89301000</v>
      </c>
      <c r="B91" t="str">
        <f t="shared" si="12"/>
        <v>78915000</v>
      </c>
      <c r="C91" t="str">
        <f t="shared" si="13"/>
        <v>78915001</v>
      </c>
      <c r="D91">
        <v>89301606</v>
      </c>
      <c r="E91" t="str">
        <f>"6251011690"</f>
        <v>6251011690</v>
      </c>
      <c r="F91" s="1">
        <v>44932</v>
      </c>
      <c r="G91" t="str">
        <f>"89713"</f>
        <v>89713</v>
      </c>
      <c r="H91">
        <v>1</v>
      </c>
      <c r="I91">
        <v>5411</v>
      </c>
      <c r="J91">
        <v>0</v>
      </c>
      <c r="K91" t="str">
        <f t="shared" si="9"/>
        <v>809</v>
      </c>
      <c r="L91">
        <v>3517.15</v>
      </c>
    </row>
    <row r="92" spans="1:12" x14ac:dyDescent="0.25">
      <c r="A92" t="str">
        <f t="shared" si="8"/>
        <v>89301000</v>
      </c>
      <c r="B92" t="str">
        <f t="shared" si="12"/>
        <v>78915000</v>
      </c>
      <c r="C92" t="str">
        <f t="shared" si="13"/>
        <v>78915001</v>
      </c>
      <c r="D92">
        <v>89301606</v>
      </c>
      <c r="E92" t="str">
        <f>"6251011690"</f>
        <v>6251011690</v>
      </c>
      <c r="F92" s="1">
        <v>44932</v>
      </c>
      <c r="G92" t="str">
        <f>"89725"</f>
        <v>89725</v>
      </c>
      <c r="H92">
        <v>1</v>
      </c>
      <c r="I92">
        <v>2863</v>
      </c>
      <c r="J92">
        <v>0</v>
      </c>
      <c r="K92" t="str">
        <f t="shared" si="9"/>
        <v>809</v>
      </c>
      <c r="L92">
        <v>1860.95</v>
      </c>
    </row>
    <row r="93" spans="1:12" x14ac:dyDescent="0.25">
      <c r="A93" t="str">
        <f t="shared" si="8"/>
        <v>89301000</v>
      </c>
      <c r="B93" t="str">
        <f t="shared" si="12"/>
        <v>78915000</v>
      </c>
      <c r="C93" t="str">
        <f t="shared" si="13"/>
        <v>78915001</v>
      </c>
      <c r="D93">
        <v>89301312</v>
      </c>
      <c r="E93" t="str">
        <f>"6304280477"</f>
        <v>6304280477</v>
      </c>
      <c r="F93" s="1">
        <v>44943</v>
      </c>
      <c r="G93" t="str">
        <f>"09567"</f>
        <v>09567</v>
      </c>
      <c r="H93">
        <v>1</v>
      </c>
      <c r="I93">
        <v>0</v>
      </c>
      <c r="J93">
        <v>0</v>
      </c>
      <c r="K93" t="str">
        <f t="shared" si="9"/>
        <v>809</v>
      </c>
      <c r="L93">
        <v>0</v>
      </c>
    </row>
    <row r="94" spans="1:12" x14ac:dyDescent="0.25">
      <c r="A94" t="str">
        <f t="shared" si="8"/>
        <v>89301000</v>
      </c>
      <c r="B94" t="str">
        <f t="shared" si="12"/>
        <v>78915000</v>
      </c>
      <c r="C94" t="str">
        <f t="shared" si="13"/>
        <v>78915001</v>
      </c>
      <c r="D94">
        <v>89301312</v>
      </c>
      <c r="E94" t="str">
        <f>"6304280477"</f>
        <v>6304280477</v>
      </c>
      <c r="F94" s="1">
        <v>44943</v>
      </c>
      <c r="G94" t="str">
        <f>"89713"</f>
        <v>89713</v>
      </c>
      <c r="H94">
        <v>1</v>
      </c>
      <c r="I94">
        <v>5411</v>
      </c>
      <c r="J94">
        <v>0</v>
      </c>
      <c r="K94" t="str">
        <f t="shared" si="9"/>
        <v>809</v>
      </c>
      <c r="L94">
        <v>3517.15</v>
      </c>
    </row>
    <row r="95" spans="1:12" x14ac:dyDescent="0.25">
      <c r="A95" t="str">
        <f t="shared" si="8"/>
        <v>89301000</v>
      </c>
      <c r="B95" t="str">
        <f t="shared" si="12"/>
        <v>78915000</v>
      </c>
      <c r="C95" t="str">
        <f t="shared" si="13"/>
        <v>78915001</v>
      </c>
      <c r="D95">
        <v>89301606</v>
      </c>
      <c r="E95" t="str">
        <f>"6461291100"</f>
        <v>6461291100</v>
      </c>
      <c r="F95" s="1">
        <v>44928</v>
      </c>
      <c r="G95" t="str">
        <f>"89713"</f>
        <v>89713</v>
      </c>
      <c r="H95">
        <v>1</v>
      </c>
      <c r="I95">
        <v>5411</v>
      </c>
      <c r="J95">
        <v>0</v>
      </c>
      <c r="K95" t="str">
        <f t="shared" si="9"/>
        <v>809</v>
      </c>
      <c r="L95">
        <v>3517.15</v>
      </c>
    </row>
    <row r="96" spans="1:12" x14ac:dyDescent="0.25">
      <c r="A96" t="str">
        <f t="shared" si="8"/>
        <v>89301000</v>
      </c>
      <c r="B96" t="str">
        <f t="shared" si="12"/>
        <v>78915000</v>
      </c>
      <c r="C96" t="str">
        <f t="shared" si="13"/>
        <v>78915001</v>
      </c>
      <c r="D96">
        <v>89301606</v>
      </c>
      <c r="E96" t="str">
        <f>"6461291100"</f>
        <v>6461291100</v>
      </c>
      <c r="F96" s="1">
        <v>44928</v>
      </c>
      <c r="G96" t="str">
        <f>"89725"</f>
        <v>89725</v>
      </c>
      <c r="H96">
        <v>1</v>
      </c>
      <c r="I96">
        <v>2863</v>
      </c>
      <c r="J96">
        <v>0</v>
      </c>
      <c r="K96" t="str">
        <f t="shared" si="9"/>
        <v>809</v>
      </c>
      <c r="L96">
        <v>1860.95</v>
      </c>
    </row>
    <row r="97" spans="1:12" x14ac:dyDescent="0.25">
      <c r="A97" t="str">
        <f t="shared" si="8"/>
        <v>89301000</v>
      </c>
      <c r="B97" t="str">
        <f t="shared" si="12"/>
        <v>78915000</v>
      </c>
      <c r="C97" t="str">
        <f t="shared" si="13"/>
        <v>78915001</v>
      </c>
      <c r="D97">
        <v>89301606</v>
      </c>
      <c r="E97" t="str">
        <f>"6809181038"</f>
        <v>6809181038</v>
      </c>
      <c r="F97" s="1">
        <v>44935</v>
      </c>
      <c r="G97" t="str">
        <f>"89713"</f>
        <v>89713</v>
      </c>
      <c r="H97">
        <v>1</v>
      </c>
      <c r="I97">
        <v>5411</v>
      </c>
      <c r="J97">
        <v>0</v>
      </c>
      <c r="K97" t="str">
        <f t="shared" si="9"/>
        <v>809</v>
      </c>
      <c r="L97">
        <v>3517.15</v>
      </c>
    </row>
    <row r="98" spans="1:12" x14ac:dyDescent="0.25">
      <c r="A98" t="str">
        <f t="shared" si="8"/>
        <v>89301000</v>
      </c>
      <c r="B98" t="str">
        <f t="shared" si="12"/>
        <v>78915000</v>
      </c>
      <c r="C98" t="str">
        <f t="shared" si="13"/>
        <v>78915001</v>
      </c>
      <c r="D98">
        <v>89301606</v>
      </c>
      <c r="E98" t="str">
        <f>"6809181038"</f>
        <v>6809181038</v>
      </c>
      <c r="F98" s="1">
        <v>44935</v>
      </c>
      <c r="G98" t="str">
        <f>"89725"</f>
        <v>89725</v>
      </c>
      <c r="H98">
        <v>1</v>
      </c>
      <c r="I98">
        <v>2863</v>
      </c>
      <c r="J98">
        <v>0</v>
      </c>
      <c r="K98" t="str">
        <f t="shared" ref="K98:K129" si="14">"809"</f>
        <v>809</v>
      </c>
      <c r="L98">
        <v>1860.95</v>
      </c>
    </row>
    <row r="99" spans="1:12" x14ac:dyDescent="0.25">
      <c r="A99" t="str">
        <f t="shared" si="8"/>
        <v>89301000</v>
      </c>
      <c r="B99" t="str">
        <f t="shared" si="12"/>
        <v>78915000</v>
      </c>
      <c r="C99" t="str">
        <f t="shared" si="13"/>
        <v>78915001</v>
      </c>
      <c r="D99">
        <v>89301606</v>
      </c>
      <c r="E99" t="str">
        <f>"6860240145"</f>
        <v>6860240145</v>
      </c>
      <c r="F99" s="1">
        <v>44931</v>
      </c>
      <c r="G99" t="str">
        <f>"89713"</f>
        <v>89713</v>
      </c>
      <c r="H99">
        <v>1</v>
      </c>
      <c r="I99">
        <v>5411</v>
      </c>
      <c r="J99">
        <v>0</v>
      </c>
      <c r="K99" t="str">
        <f t="shared" si="14"/>
        <v>809</v>
      </c>
      <c r="L99">
        <v>3517.15</v>
      </c>
    </row>
    <row r="100" spans="1:12" x14ac:dyDescent="0.25">
      <c r="A100" t="str">
        <f t="shared" si="8"/>
        <v>89301000</v>
      </c>
      <c r="B100" t="str">
        <f t="shared" si="12"/>
        <v>78915000</v>
      </c>
      <c r="C100" t="str">
        <f t="shared" si="13"/>
        <v>78915001</v>
      </c>
      <c r="D100">
        <v>89301606</v>
      </c>
      <c r="E100" t="str">
        <f>"6860240145"</f>
        <v>6860240145</v>
      </c>
      <c r="F100" s="1">
        <v>44931</v>
      </c>
      <c r="G100" t="str">
        <f>"89725"</f>
        <v>89725</v>
      </c>
      <c r="H100">
        <v>1</v>
      </c>
      <c r="I100">
        <v>2863</v>
      </c>
      <c r="J100">
        <v>0</v>
      </c>
      <c r="K100" t="str">
        <f t="shared" si="14"/>
        <v>809</v>
      </c>
      <c r="L100">
        <v>1860.95</v>
      </c>
    </row>
    <row r="101" spans="1:12" x14ac:dyDescent="0.25">
      <c r="A101" t="str">
        <f t="shared" si="8"/>
        <v>89301000</v>
      </c>
      <c r="B101" t="str">
        <f t="shared" si="12"/>
        <v>78915000</v>
      </c>
      <c r="C101" t="str">
        <f t="shared" si="13"/>
        <v>78915001</v>
      </c>
      <c r="D101">
        <v>89301112</v>
      </c>
      <c r="E101" t="str">
        <f>"7003215318"</f>
        <v>7003215318</v>
      </c>
      <c r="F101" s="1">
        <v>44936</v>
      </c>
      <c r="G101" t="str">
        <f>"09567"</f>
        <v>09567</v>
      </c>
      <c r="H101">
        <v>1</v>
      </c>
      <c r="I101">
        <v>0</v>
      </c>
      <c r="J101">
        <v>0</v>
      </c>
      <c r="K101" t="str">
        <f t="shared" si="14"/>
        <v>809</v>
      </c>
      <c r="L101">
        <v>0</v>
      </c>
    </row>
    <row r="102" spans="1:12" x14ac:dyDescent="0.25">
      <c r="A102" t="str">
        <f t="shared" si="8"/>
        <v>89301000</v>
      </c>
      <c r="B102" t="str">
        <f t="shared" si="12"/>
        <v>78915000</v>
      </c>
      <c r="C102" t="str">
        <f t="shared" si="13"/>
        <v>78915001</v>
      </c>
      <c r="D102">
        <v>89301112</v>
      </c>
      <c r="E102" t="str">
        <f>"7003215318"</f>
        <v>7003215318</v>
      </c>
      <c r="F102" s="1">
        <v>44936</v>
      </c>
      <c r="G102" t="str">
        <f>"89713"</f>
        <v>89713</v>
      </c>
      <c r="H102">
        <v>1</v>
      </c>
      <c r="I102">
        <v>5411</v>
      </c>
      <c r="J102">
        <v>0</v>
      </c>
      <c r="K102" t="str">
        <f t="shared" si="14"/>
        <v>809</v>
      </c>
      <c r="L102">
        <v>3517.15</v>
      </c>
    </row>
    <row r="103" spans="1:12" x14ac:dyDescent="0.25">
      <c r="A103" t="str">
        <f t="shared" si="8"/>
        <v>89301000</v>
      </c>
      <c r="B103" t="str">
        <f t="shared" si="12"/>
        <v>78915000</v>
      </c>
      <c r="C103" t="str">
        <f t="shared" si="13"/>
        <v>78915001</v>
      </c>
      <c r="D103">
        <v>89301062</v>
      </c>
      <c r="E103" t="str">
        <f>"7202134467"</f>
        <v>7202134467</v>
      </c>
      <c r="F103" s="1">
        <v>44936</v>
      </c>
      <c r="G103" t="str">
        <f>"89713"</f>
        <v>89713</v>
      </c>
      <c r="H103">
        <v>1</v>
      </c>
      <c r="I103">
        <v>5411</v>
      </c>
      <c r="J103">
        <v>0</v>
      </c>
      <c r="K103" t="str">
        <f t="shared" si="14"/>
        <v>809</v>
      </c>
      <c r="L103">
        <v>3517.15</v>
      </c>
    </row>
    <row r="104" spans="1:12" x14ac:dyDescent="0.25">
      <c r="A104" t="str">
        <f t="shared" si="8"/>
        <v>89301000</v>
      </c>
      <c r="B104" t="str">
        <f t="shared" si="12"/>
        <v>78915000</v>
      </c>
      <c r="C104" t="str">
        <f t="shared" si="13"/>
        <v>78915001</v>
      </c>
      <c r="D104">
        <v>89301062</v>
      </c>
      <c r="E104" t="str">
        <f>"7202134467"</f>
        <v>7202134467</v>
      </c>
      <c r="F104" s="1">
        <v>44936</v>
      </c>
      <c r="G104" t="str">
        <f>"89725"</f>
        <v>89725</v>
      </c>
      <c r="H104">
        <v>1</v>
      </c>
      <c r="I104">
        <v>2863</v>
      </c>
      <c r="J104">
        <v>0</v>
      </c>
      <c r="K104" t="str">
        <f t="shared" si="14"/>
        <v>809</v>
      </c>
      <c r="L104">
        <v>1860.95</v>
      </c>
    </row>
    <row r="105" spans="1:12" x14ac:dyDescent="0.25">
      <c r="A105" t="str">
        <f t="shared" si="8"/>
        <v>89301000</v>
      </c>
      <c r="B105" t="str">
        <f t="shared" si="12"/>
        <v>78915000</v>
      </c>
      <c r="C105" t="str">
        <f t="shared" si="13"/>
        <v>78915001</v>
      </c>
      <c r="D105">
        <v>89301312</v>
      </c>
      <c r="E105" t="str">
        <f>"7202225349"</f>
        <v>7202225349</v>
      </c>
      <c r="F105" s="1">
        <v>44949</v>
      </c>
      <c r="G105" t="str">
        <f>"09569"</f>
        <v>09569</v>
      </c>
      <c r="H105">
        <v>1</v>
      </c>
      <c r="I105">
        <v>0</v>
      </c>
      <c r="J105">
        <v>0</v>
      </c>
      <c r="K105" t="str">
        <f t="shared" si="14"/>
        <v>809</v>
      </c>
      <c r="L105">
        <v>0</v>
      </c>
    </row>
    <row r="106" spans="1:12" x14ac:dyDescent="0.25">
      <c r="A106" t="str">
        <f t="shared" si="8"/>
        <v>89301000</v>
      </c>
      <c r="B106" t="str">
        <f t="shared" si="12"/>
        <v>78915000</v>
      </c>
      <c r="C106" t="str">
        <f t="shared" si="13"/>
        <v>78915001</v>
      </c>
      <c r="D106">
        <v>89301312</v>
      </c>
      <c r="E106" t="str">
        <f>"7202225349"</f>
        <v>7202225349</v>
      </c>
      <c r="F106" s="1">
        <v>44949</v>
      </c>
      <c r="G106" t="str">
        <f>"89713"</f>
        <v>89713</v>
      </c>
      <c r="H106">
        <v>1</v>
      </c>
      <c r="I106">
        <v>5411</v>
      </c>
      <c r="J106">
        <v>0</v>
      </c>
      <c r="K106" t="str">
        <f t="shared" si="14"/>
        <v>809</v>
      </c>
      <c r="L106">
        <v>3517.15</v>
      </c>
    </row>
    <row r="107" spans="1:12" x14ac:dyDescent="0.25">
      <c r="A107" t="str">
        <f t="shared" si="8"/>
        <v>89301000</v>
      </c>
      <c r="B107" t="str">
        <f t="shared" si="12"/>
        <v>78915000</v>
      </c>
      <c r="C107" t="str">
        <f t="shared" si="13"/>
        <v>78915001</v>
      </c>
      <c r="D107">
        <v>89301112</v>
      </c>
      <c r="E107" t="str">
        <f>"7253315784"</f>
        <v>7253315784</v>
      </c>
      <c r="F107" s="1">
        <v>44928</v>
      </c>
      <c r="G107" t="str">
        <f>"09567"</f>
        <v>09567</v>
      </c>
      <c r="H107">
        <v>1</v>
      </c>
      <c r="I107">
        <v>0</v>
      </c>
      <c r="J107">
        <v>0</v>
      </c>
      <c r="K107" t="str">
        <f t="shared" si="14"/>
        <v>809</v>
      </c>
      <c r="L107">
        <v>0</v>
      </c>
    </row>
    <row r="108" spans="1:12" x14ac:dyDescent="0.25">
      <c r="A108" t="str">
        <f t="shared" si="8"/>
        <v>89301000</v>
      </c>
      <c r="B108" t="str">
        <f t="shared" si="12"/>
        <v>78915000</v>
      </c>
      <c r="C108" t="str">
        <f t="shared" si="13"/>
        <v>78915001</v>
      </c>
      <c r="D108">
        <v>89301112</v>
      </c>
      <c r="E108" t="str">
        <f>"7253315784"</f>
        <v>7253315784</v>
      </c>
      <c r="F108" s="1">
        <v>44928</v>
      </c>
      <c r="G108" t="str">
        <f>"89713"</f>
        <v>89713</v>
      </c>
      <c r="H108">
        <v>1</v>
      </c>
      <c r="I108">
        <v>5411</v>
      </c>
      <c r="J108">
        <v>0</v>
      </c>
      <c r="K108" t="str">
        <f t="shared" si="14"/>
        <v>809</v>
      </c>
      <c r="L108">
        <v>3517.15</v>
      </c>
    </row>
    <row r="109" spans="1:12" x14ac:dyDescent="0.25">
      <c r="A109" t="str">
        <f t="shared" si="8"/>
        <v>89301000</v>
      </c>
      <c r="B109" t="str">
        <f t="shared" ref="B109:B140" si="15">"78915000"</f>
        <v>78915000</v>
      </c>
      <c r="C109" t="str">
        <f t="shared" ref="C109:C140" si="16">"78915001"</f>
        <v>78915001</v>
      </c>
      <c r="D109">
        <v>89301062</v>
      </c>
      <c r="E109" t="str">
        <f>"7257235733"</f>
        <v>7257235733</v>
      </c>
      <c r="F109" s="1">
        <v>44930</v>
      </c>
      <c r="G109" t="str">
        <f>"89713"</f>
        <v>89713</v>
      </c>
      <c r="H109">
        <v>1</v>
      </c>
      <c r="I109">
        <v>5411</v>
      </c>
      <c r="J109">
        <v>0</v>
      </c>
      <c r="K109" t="str">
        <f t="shared" si="14"/>
        <v>809</v>
      </c>
      <c r="L109">
        <v>3517.15</v>
      </c>
    </row>
    <row r="110" spans="1:12" x14ac:dyDescent="0.25">
      <c r="A110" t="str">
        <f t="shared" si="8"/>
        <v>89301000</v>
      </c>
      <c r="B110" t="str">
        <f t="shared" si="15"/>
        <v>78915000</v>
      </c>
      <c r="C110" t="str">
        <f t="shared" si="16"/>
        <v>78915001</v>
      </c>
      <c r="D110">
        <v>89301062</v>
      </c>
      <c r="E110" t="str">
        <f>"7309185323"</f>
        <v>7309185323</v>
      </c>
      <c r="F110" s="1">
        <v>44928</v>
      </c>
      <c r="G110" t="str">
        <f>"89713"</f>
        <v>89713</v>
      </c>
      <c r="H110">
        <v>1</v>
      </c>
      <c r="I110">
        <v>5411</v>
      </c>
      <c r="J110">
        <v>0</v>
      </c>
      <c r="K110" t="str">
        <f t="shared" si="14"/>
        <v>809</v>
      </c>
      <c r="L110">
        <v>3517.15</v>
      </c>
    </row>
    <row r="111" spans="1:12" x14ac:dyDescent="0.25">
      <c r="A111" t="str">
        <f t="shared" si="8"/>
        <v>89301000</v>
      </c>
      <c r="B111" t="str">
        <f t="shared" si="15"/>
        <v>78915000</v>
      </c>
      <c r="C111" t="str">
        <f t="shared" si="16"/>
        <v>78915001</v>
      </c>
      <c r="D111">
        <v>89301062</v>
      </c>
      <c r="E111" t="str">
        <f>"7309185323"</f>
        <v>7309185323</v>
      </c>
      <c r="F111" s="1">
        <v>44928</v>
      </c>
      <c r="G111" t="str">
        <f>"89725"</f>
        <v>89725</v>
      </c>
      <c r="H111">
        <v>1</v>
      </c>
      <c r="I111">
        <v>2863</v>
      </c>
      <c r="J111">
        <v>0</v>
      </c>
      <c r="K111" t="str">
        <f t="shared" si="14"/>
        <v>809</v>
      </c>
      <c r="L111">
        <v>1860.95</v>
      </c>
    </row>
    <row r="112" spans="1:12" x14ac:dyDescent="0.25">
      <c r="A112" t="str">
        <f t="shared" si="8"/>
        <v>89301000</v>
      </c>
      <c r="B112" t="str">
        <f t="shared" si="15"/>
        <v>78915000</v>
      </c>
      <c r="C112" t="str">
        <f t="shared" si="16"/>
        <v>78915001</v>
      </c>
      <c r="D112">
        <v>89301062</v>
      </c>
      <c r="E112" t="str">
        <f>"7359185339"</f>
        <v>7359185339</v>
      </c>
      <c r="F112" s="1">
        <v>44929</v>
      </c>
      <c r="G112" t="str">
        <f>"89713"</f>
        <v>89713</v>
      </c>
      <c r="H112">
        <v>1</v>
      </c>
      <c r="I112">
        <v>5411</v>
      </c>
      <c r="J112">
        <v>0</v>
      </c>
      <c r="K112" t="str">
        <f t="shared" si="14"/>
        <v>809</v>
      </c>
      <c r="L112">
        <v>3517.15</v>
      </c>
    </row>
    <row r="113" spans="1:12" x14ac:dyDescent="0.25">
      <c r="A113" t="str">
        <f t="shared" si="8"/>
        <v>89301000</v>
      </c>
      <c r="B113" t="str">
        <f t="shared" si="15"/>
        <v>78915000</v>
      </c>
      <c r="C113" t="str">
        <f t="shared" si="16"/>
        <v>78915001</v>
      </c>
      <c r="D113">
        <v>89301062</v>
      </c>
      <c r="E113" t="str">
        <f>"7359185339"</f>
        <v>7359185339</v>
      </c>
      <c r="F113" s="1">
        <v>44929</v>
      </c>
      <c r="G113" t="str">
        <f>"89725"</f>
        <v>89725</v>
      </c>
      <c r="H113">
        <v>1</v>
      </c>
      <c r="I113">
        <v>2863</v>
      </c>
      <c r="J113">
        <v>0</v>
      </c>
      <c r="K113" t="str">
        <f t="shared" si="14"/>
        <v>809</v>
      </c>
      <c r="L113">
        <v>1860.95</v>
      </c>
    </row>
    <row r="114" spans="1:12" x14ac:dyDescent="0.25">
      <c r="A114" t="str">
        <f t="shared" si="8"/>
        <v>89301000</v>
      </c>
      <c r="B114" t="str">
        <f t="shared" si="15"/>
        <v>78915000</v>
      </c>
      <c r="C114" t="str">
        <f t="shared" si="16"/>
        <v>78915001</v>
      </c>
      <c r="D114">
        <v>89301112</v>
      </c>
      <c r="E114" t="str">
        <f>"7456244466"</f>
        <v>7456244466</v>
      </c>
      <c r="F114" s="1">
        <v>44935</v>
      </c>
      <c r="G114" t="str">
        <f>"09567"</f>
        <v>09567</v>
      </c>
      <c r="H114">
        <v>1</v>
      </c>
      <c r="I114">
        <v>0</v>
      </c>
      <c r="J114">
        <v>0</v>
      </c>
      <c r="K114" t="str">
        <f t="shared" si="14"/>
        <v>809</v>
      </c>
      <c r="L114">
        <v>0</v>
      </c>
    </row>
    <row r="115" spans="1:12" x14ac:dyDescent="0.25">
      <c r="A115" t="str">
        <f t="shared" si="8"/>
        <v>89301000</v>
      </c>
      <c r="B115" t="str">
        <f t="shared" si="15"/>
        <v>78915000</v>
      </c>
      <c r="C115" t="str">
        <f t="shared" si="16"/>
        <v>78915001</v>
      </c>
      <c r="D115">
        <v>89301112</v>
      </c>
      <c r="E115" t="str">
        <f>"7456244466"</f>
        <v>7456244466</v>
      </c>
      <c r="F115" s="1">
        <v>44935</v>
      </c>
      <c r="G115" t="str">
        <f>"89713"</f>
        <v>89713</v>
      </c>
      <c r="H115">
        <v>1</v>
      </c>
      <c r="I115">
        <v>5411</v>
      </c>
      <c r="J115">
        <v>0</v>
      </c>
      <c r="K115" t="str">
        <f t="shared" si="14"/>
        <v>809</v>
      </c>
      <c r="L115">
        <v>3517.15</v>
      </c>
    </row>
    <row r="116" spans="1:12" x14ac:dyDescent="0.25">
      <c r="A116" t="str">
        <f t="shared" si="8"/>
        <v>89301000</v>
      </c>
      <c r="B116" t="str">
        <f t="shared" si="15"/>
        <v>78915000</v>
      </c>
      <c r="C116" t="str">
        <f t="shared" si="16"/>
        <v>78915001</v>
      </c>
      <c r="D116">
        <v>89301606</v>
      </c>
      <c r="E116" t="str">
        <f>"7601081059"</f>
        <v>7601081059</v>
      </c>
      <c r="F116" s="1">
        <v>44938</v>
      </c>
      <c r="G116" t="str">
        <f>"89713"</f>
        <v>89713</v>
      </c>
      <c r="H116">
        <v>1</v>
      </c>
      <c r="I116">
        <v>5411</v>
      </c>
      <c r="J116">
        <v>0</v>
      </c>
      <c r="K116" t="str">
        <f t="shared" si="14"/>
        <v>809</v>
      </c>
      <c r="L116">
        <v>3517.15</v>
      </c>
    </row>
    <row r="117" spans="1:12" x14ac:dyDescent="0.25">
      <c r="A117" t="str">
        <f t="shared" si="8"/>
        <v>89301000</v>
      </c>
      <c r="B117" t="str">
        <f t="shared" si="15"/>
        <v>78915000</v>
      </c>
      <c r="C117" t="str">
        <f t="shared" si="16"/>
        <v>78915001</v>
      </c>
      <c r="D117">
        <v>89301606</v>
      </c>
      <c r="E117" t="str">
        <f>"7601081059"</f>
        <v>7601081059</v>
      </c>
      <c r="F117" s="1">
        <v>44938</v>
      </c>
      <c r="G117" t="str">
        <f>"89723"</f>
        <v>89723</v>
      </c>
      <c r="H117">
        <v>1</v>
      </c>
      <c r="I117">
        <v>5940</v>
      </c>
      <c r="J117">
        <v>0</v>
      </c>
      <c r="K117" t="str">
        <f t="shared" si="14"/>
        <v>809</v>
      </c>
      <c r="L117">
        <v>3861</v>
      </c>
    </row>
    <row r="118" spans="1:12" x14ac:dyDescent="0.25">
      <c r="A118" t="str">
        <f t="shared" si="8"/>
        <v>89301000</v>
      </c>
      <c r="B118" t="str">
        <f t="shared" si="15"/>
        <v>78915000</v>
      </c>
      <c r="C118" t="str">
        <f t="shared" si="16"/>
        <v>78915001</v>
      </c>
      <c r="D118">
        <v>89301172</v>
      </c>
      <c r="E118" t="str">
        <f>"7654295352"</f>
        <v>7654295352</v>
      </c>
      <c r="F118" s="1">
        <v>44946</v>
      </c>
      <c r="G118" t="str">
        <f>"89713"</f>
        <v>89713</v>
      </c>
      <c r="H118">
        <v>2</v>
      </c>
      <c r="I118">
        <v>10822</v>
      </c>
      <c r="J118">
        <v>0</v>
      </c>
      <c r="K118" t="str">
        <f t="shared" si="14"/>
        <v>809</v>
      </c>
      <c r="L118">
        <v>7034.3</v>
      </c>
    </row>
    <row r="119" spans="1:12" x14ac:dyDescent="0.25">
      <c r="A119" t="str">
        <f t="shared" si="8"/>
        <v>89301000</v>
      </c>
      <c r="B119" t="str">
        <f t="shared" si="15"/>
        <v>78915000</v>
      </c>
      <c r="C119" t="str">
        <f t="shared" si="16"/>
        <v>78915001</v>
      </c>
      <c r="D119">
        <v>89301172</v>
      </c>
      <c r="E119" t="str">
        <f>"7654295352"</f>
        <v>7654295352</v>
      </c>
      <c r="F119" s="1">
        <v>44946</v>
      </c>
      <c r="G119" t="str">
        <f>"89725"</f>
        <v>89725</v>
      </c>
      <c r="H119">
        <v>1</v>
      </c>
      <c r="I119">
        <v>2863</v>
      </c>
      <c r="J119">
        <v>0</v>
      </c>
      <c r="K119" t="str">
        <f t="shared" si="14"/>
        <v>809</v>
      </c>
      <c r="L119">
        <v>1860.95</v>
      </c>
    </row>
    <row r="120" spans="1:12" x14ac:dyDescent="0.25">
      <c r="A120" t="str">
        <f t="shared" si="8"/>
        <v>89301000</v>
      </c>
      <c r="B120" t="str">
        <f t="shared" si="15"/>
        <v>78915000</v>
      </c>
      <c r="C120" t="str">
        <f t="shared" si="16"/>
        <v>78915001</v>
      </c>
      <c r="D120">
        <v>89301606</v>
      </c>
      <c r="E120" t="str">
        <f>"7757035308"</f>
        <v>7757035308</v>
      </c>
      <c r="F120" s="1">
        <v>44935</v>
      </c>
      <c r="G120" t="str">
        <f>"89713"</f>
        <v>89713</v>
      </c>
      <c r="H120">
        <v>1</v>
      </c>
      <c r="I120">
        <v>5411</v>
      </c>
      <c r="J120">
        <v>0</v>
      </c>
      <c r="K120" t="str">
        <f t="shared" si="14"/>
        <v>809</v>
      </c>
      <c r="L120">
        <v>3517.15</v>
      </c>
    </row>
    <row r="121" spans="1:12" x14ac:dyDescent="0.25">
      <c r="A121" t="str">
        <f t="shared" si="8"/>
        <v>89301000</v>
      </c>
      <c r="B121" t="str">
        <f t="shared" si="15"/>
        <v>78915000</v>
      </c>
      <c r="C121" t="str">
        <f t="shared" si="16"/>
        <v>78915001</v>
      </c>
      <c r="D121">
        <v>89301606</v>
      </c>
      <c r="E121" t="str">
        <f>"7757035308"</f>
        <v>7757035308</v>
      </c>
      <c r="F121" s="1">
        <v>44935</v>
      </c>
      <c r="G121" t="str">
        <f>"89725"</f>
        <v>89725</v>
      </c>
      <c r="H121">
        <v>1</v>
      </c>
      <c r="I121">
        <v>2863</v>
      </c>
      <c r="J121">
        <v>0</v>
      </c>
      <c r="K121" t="str">
        <f t="shared" si="14"/>
        <v>809</v>
      </c>
      <c r="L121">
        <v>1860.95</v>
      </c>
    </row>
    <row r="122" spans="1:12" x14ac:dyDescent="0.25">
      <c r="A122" t="str">
        <f t="shared" si="8"/>
        <v>89301000</v>
      </c>
      <c r="B122" t="str">
        <f t="shared" si="15"/>
        <v>78915000</v>
      </c>
      <c r="C122" t="str">
        <f t="shared" si="16"/>
        <v>78915001</v>
      </c>
      <c r="D122">
        <v>89301062</v>
      </c>
      <c r="E122" t="str">
        <f>"7851135325"</f>
        <v>7851135325</v>
      </c>
      <c r="F122" s="1">
        <v>44928</v>
      </c>
      <c r="G122" t="str">
        <f>"89713"</f>
        <v>89713</v>
      </c>
      <c r="H122">
        <v>1</v>
      </c>
      <c r="I122">
        <v>5411</v>
      </c>
      <c r="J122">
        <v>0</v>
      </c>
      <c r="K122" t="str">
        <f t="shared" si="14"/>
        <v>809</v>
      </c>
      <c r="L122">
        <v>3517.15</v>
      </c>
    </row>
    <row r="123" spans="1:12" x14ac:dyDescent="0.25">
      <c r="A123" t="str">
        <f t="shared" si="8"/>
        <v>89301000</v>
      </c>
      <c r="B123" t="str">
        <f t="shared" si="15"/>
        <v>78915000</v>
      </c>
      <c r="C123" t="str">
        <f t="shared" si="16"/>
        <v>78915001</v>
      </c>
      <c r="D123">
        <v>89301062</v>
      </c>
      <c r="E123" t="str">
        <f>"7851135325"</f>
        <v>7851135325</v>
      </c>
      <c r="F123" s="1">
        <v>44928</v>
      </c>
      <c r="G123" t="str">
        <f>"89725"</f>
        <v>89725</v>
      </c>
      <c r="H123">
        <v>1</v>
      </c>
      <c r="I123">
        <v>2863</v>
      </c>
      <c r="J123">
        <v>0</v>
      </c>
      <c r="K123" t="str">
        <f t="shared" si="14"/>
        <v>809</v>
      </c>
      <c r="L123">
        <v>1860.95</v>
      </c>
    </row>
    <row r="124" spans="1:12" x14ac:dyDescent="0.25">
      <c r="A124" t="str">
        <f t="shared" si="8"/>
        <v>89301000</v>
      </c>
      <c r="B124" t="str">
        <f t="shared" si="15"/>
        <v>78915000</v>
      </c>
      <c r="C124" t="str">
        <f t="shared" si="16"/>
        <v>78915001</v>
      </c>
      <c r="D124">
        <v>89301062</v>
      </c>
      <c r="E124" t="str">
        <f>"7861265357"</f>
        <v>7861265357</v>
      </c>
      <c r="F124" s="1">
        <v>44943</v>
      </c>
      <c r="G124" t="str">
        <f>"89713"</f>
        <v>89713</v>
      </c>
      <c r="H124">
        <v>1</v>
      </c>
      <c r="I124">
        <v>5411</v>
      </c>
      <c r="J124">
        <v>0</v>
      </c>
      <c r="K124" t="str">
        <f t="shared" si="14"/>
        <v>809</v>
      </c>
      <c r="L124">
        <v>3517.15</v>
      </c>
    </row>
    <row r="125" spans="1:12" x14ac:dyDescent="0.25">
      <c r="A125" t="str">
        <f t="shared" si="8"/>
        <v>89301000</v>
      </c>
      <c r="B125" t="str">
        <f t="shared" si="15"/>
        <v>78915000</v>
      </c>
      <c r="C125" t="str">
        <f t="shared" si="16"/>
        <v>78915001</v>
      </c>
      <c r="D125">
        <v>89301062</v>
      </c>
      <c r="E125" t="str">
        <f>"7861265357"</f>
        <v>7861265357</v>
      </c>
      <c r="F125" s="1">
        <v>44943</v>
      </c>
      <c r="G125" t="str">
        <f>"89725"</f>
        <v>89725</v>
      </c>
      <c r="H125">
        <v>1</v>
      </c>
      <c r="I125">
        <v>2863</v>
      </c>
      <c r="J125">
        <v>0</v>
      </c>
      <c r="K125" t="str">
        <f t="shared" si="14"/>
        <v>809</v>
      </c>
      <c r="L125">
        <v>1860.95</v>
      </c>
    </row>
    <row r="126" spans="1:12" x14ac:dyDescent="0.25">
      <c r="A126" t="str">
        <f t="shared" si="8"/>
        <v>89301000</v>
      </c>
      <c r="B126" t="str">
        <f t="shared" si="15"/>
        <v>78915000</v>
      </c>
      <c r="C126" t="str">
        <f t="shared" si="16"/>
        <v>78915001</v>
      </c>
      <c r="D126">
        <v>89301062</v>
      </c>
      <c r="E126" t="str">
        <f>"7861265357"</f>
        <v>7861265357</v>
      </c>
      <c r="F126" s="1">
        <v>44943</v>
      </c>
      <c r="G126" t="str">
        <f>"0207733"</f>
        <v>0207733</v>
      </c>
      <c r="H126">
        <v>0.84</v>
      </c>
      <c r="J126">
        <v>2176.0500000000002</v>
      </c>
      <c r="K126" t="str">
        <f t="shared" si="14"/>
        <v>809</v>
      </c>
      <c r="L126">
        <v>2176.0500000000002</v>
      </c>
    </row>
    <row r="127" spans="1:12" x14ac:dyDescent="0.25">
      <c r="A127" t="str">
        <f t="shared" si="8"/>
        <v>89301000</v>
      </c>
      <c r="B127" t="str">
        <f t="shared" si="15"/>
        <v>78915000</v>
      </c>
      <c r="C127" t="str">
        <f t="shared" si="16"/>
        <v>78915001</v>
      </c>
      <c r="D127">
        <v>89301607</v>
      </c>
      <c r="E127" t="str">
        <f>"8011295314"</f>
        <v>8011295314</v>
      </c>
      <c r="F127" s="1">
        <v>44942</v>
      </c>
      <c r="G127" t="str">
        <f>"09567"</f>
        <v>09567</v>
      </c>
      <c r="H127">
        <v>1</v>
      </c>
      <c r="I127">
        <v>0</v>
      </c>
      <c r="J127">
        <v>0</v>
      </c>
      <c r="K127" t="str">
        <f t="shared" si="14"/>
        <v>809</v>
      </c>
      <c r="L127">
        <v>0</v>
      </c>
    </row>
    <row r="128" spans="1:12" x14ac:dyDescent="0.25">
      <c r="A128" t="str">
        <f t="shared" si="8"/>
        <v>89301000</v>
      </c>
      <c r="B128" t="str">
        <f t="shared" si="15"/>
        <v>78915000</v>
      </c>
      <c r="C128" t="str">
        <f t="shared" si="16"/>
        <v>78915001</v>
      </c>
      <c r="D128">
        <v>89301607</v>
      </c>
      <c r="E128" t="str">
        <f>"8011295314"</f>
        <v>8011295314</v>
      </c>
      <c r="F128" s="1">
        <v>44942</v>
      </c>
      <c r="G128" t="str">
        <f>"89713"</f>
        <v>89713</v>
      </c>
      <c r="H128">
        <v>1</v>
      </c>
      <c r="I128">
        <v>5411</v>
      </c>
      <c r="J128">
        <v>0</v>
      </c>
      <c r="K128" t="str">
        <f t="shared" si="14"/>
        <v>809</v>
      </c>
      <c r="L128">
        <v>3517.15</v>
      </c>
    </row>
    <row r="129" spans="1:12" x14ac:dyDescent="0.25">
      <c r="A129" t="str">
        <f t="shared" si="8"/>
        <v>89301000</v>
      </c>
      <c r="B129" t="str">
        <f t="shared" si="15"/>
        <v>78915000</v>
      </c>
      <c r="C129" t="str">
        <f t="shared" si="16"/>
        <v>78915001</v>
      </c>
      <c r="D129">
        <v>89301062</v>
      </c>
      <c r="E129" t="str">
        <f>"8260045332"</f>
        <v>8260045332</v>
      </c>
      <c r="F129" s="1">
        <v>44945</v>
      </c>
      <c r="G129" t="str">
        <f>"89713"</f>
        <v>89713</v>
      </c>
      <c r="H129">
        <v>1</v>
      </c>
      <c r="I129">
        <v>5411</v>
      </c>
      <c r="J129">
        <v>0</v>
      </c>
      <c r="K129" t="str">
        <f t="shared" si="14"/>
        <v>809</v>
      </c>
      <c r="L129">
        <v>3517.15</v>
      </c>
    </row>
    <row r="130" spans="1:12" x14ac:dyDescent="0.25">
      <c r="A130" t="str">
        <f t="shared" ref="A130:A193" si="17">"89301000"</f>
        <v>89301000</v>
      </c>
      <c r="B130" t="str">
        <f t="shared" si="15"/>
        <v>78915000</v>
      </c>
      <c r="C130" t="str">
        <f t="shared" si="16"/>
        <v>78915001</v>
      </c>
      <c r="D130">
        <v>89301062</v>
      </c>
      <c r="E130" t="str">
        <f>"8260045332"</f>
        <v>8260045332</v>
      </c>
      <c r="F130" s="1">
        <v>44945</v>
      </c>
      <c r="G130" t="str">
        <f>"89725"</f>
        <v>89725</v>
      </c>
      <c r="H130">
        <v>1</v>
      </c>
      <c r="I130">
        <v>2863</v>
      </c>
      <c r="J130">
        <v>0</v>
      </c>
      <c r="K130" t="str">
        <f t="shared" ref="K130:K149" si="18">"809"</f>
        <v>809</v>
      </c>
      <c r="L130">
        <v>1860.95</v>
      </c>
    </row>
    <row r="131" spans="1:12" x14ac:dyDescent="0.25">
      <c r="A131" t="str">
        <f t="shared" si="17"/>
        <v>89301000</v>
      </c>
      <c r="B131" t="str">
        <f t="shared" si="15"/>
        <v>78915000</v>
      </c>
      <c r="C131" t="str">
        <f t="shared" si="16"/>
        <v>78915001</v>
      </c>
      <c r="D131">
        <v>89301172</v>
      </c>
      <c r="E131" t="str">
        <f>"8351064480"</f>
        <v>8351064480</v>
      </c>
      <c r="F131" s="1">
        <v>44933</v>
      </c>
      <c r="G131" t="str">
        <f>"89713"</f>
        <v>89713</v>
      </c>
      <c r="H131">
        <v>1</v>
      </c>
      <c r="I131">
        <v>5411</v>
      </c>
      <c r="J131">
        <v>0</v>
      </c>
      <c r="K131" t="str">
        <f t="shared" si="18"/>
        <v>809</v>
      </c>
      <c r="L131">
        <v>3517.15</v>
      </c>
    </row>
    <row r="132" spans="1:12" x14ac:dyDescent="0.25">
      <c r="A132" t="str">
        <f t="shared" si="17"/>
        <v>89301000</v>
      </c>
      <c r="B132" t="str">
        <f t="shared" si="15"/>
        <v>78915000</v>
      </c>
      <c r="C132" t="str">
        <f t="shared" si="16"/>
        <v>78915001</v>
      </c>
      <c r="D132">
        <v>89301172</v>
      </c>
      <c r="E132" t="str">
        <f>"8351064480"</f>
        <v>8351064480</v>
      </c>
      <c r="F132" s="1">
        <v>44933</v>
      </c>
      <c r="G132" t="str">
        <f>"89723"</f>
        <v>89723</v>
      </c>
      <c r="H132">
        <v>1</v>
      </c>
      <c r="I132">
        <v>5940</v>
      </c>
      <c r="J132">
        <v>0</v>
      </c>
      <c r="K132" t="str">
        <f t="shared" si="18"/>
        <v>809</v>
      </c>
      <c r="L132">
        <v>3861</v>
      </c>
    </row>
    <row r="133" spans="1:12" x14ac:dyDescent="0.25">
      <c r="A133" t="str">
        <f t="shared" si="17"/>
        <v>89301000</v>
      </c>
      <c r="B133" t="str">
        <f t="shared" si="15"/>
        <v>78915000</v>
      </c>
      <c r="C133" t="str">
        <f t="shared" si="16"/>
        <v>78915001</v>
      </c>
      <c r="D133">
        <v>89301172</v>
      </c>
      <c r="E133" t="str">
        <f>"8351064480"</f>
        <v>8351064480</v>
      </c>
      <c r="F133" s="1">
        <v>44933</v>
      </c>
      <c r="G133" t="str">
        <f>"89725"</f>
        <v>89725</v>
      </c>
      <c r="H133">
        <v>1</v>
      </c>
      <c r="I133">
        <v>2863</v>
      </c>
      <c r="J133">
        <v>0</v>
      </c>
      <c r="K133" t="str">
        <f t="shared" si="18"/>
        <v>809</v>
      </c>
      <c r="L133">
        <v>1860.95</v>
      </c>
    </row>
    <row r="134" spans="1:12" x14ac:dyDescent="0.25">
      <c r="A134" t="str">
        <f t="shared" si="17"/>
        <v>89301000</v>
      </c>
      <c r="B134" t="str">
        <f t="shared" si="15"/>
        <v>78915000</v>
      </c>
      <c r="C134" t="str">
        <f t="shared" si="16"/>
        <v>78915001</v>
      </c>
      <c r="D134">
        <v>89301112</v>
      </c>
      <c r="E134" t="str">
        <f>"8456135776"</f>
        <v>8456135776</v>
      </c>
      <c r="F134" s="1">
        <v>44946</v>
      </c>
      <c r="G134" t="str">
        <f>"09567"</f>
        <v>09567</v>
      </c>
      <c r="H134">
        <v>1</v>
      </c>
      <c r="I134">
        <v>0</v>
      </c>
      <c r="J134">
        <v>0</v>
      </c>
      <c r="K134" t="str">
        <f t="shared" si="18"/>
        <v>809</v>
      </c>
      <c r="L134">
        <v>0</v>
      </c>
    </row>
    <row r="135" spans="1:12" x14ac:dyDescent="0.25">
      <c r="A135" t="str">
        <f t="shared" si="17"/>
        <v>89301000</v>
      </c>
      <c r="B135" t="str">
        <f t="shared" si="15"/>
        <v>78915000</v>
      </c>
      <c r="C135" t="str">
        <f t="shared" si="16"/>
        <v>78915001</v>
      </c>
      <c r="D135">
        <v>89301112</v>
      </c>
      <c r="E135" t="str">
        <f>"8456135776"</f>
        <v>8456135776</v>
      </c>
      <c r="F135" s="1">
        <v>44946</v>
      </c>
      <c r="G135" t="str">
        <f>"89713"</f>
        <v>89713</v>
      </c>
      <c r="H135">
        <v>1</v>
      </c>
      <c r="I135">
        <v>5411</v>
      </c>
      <c r="J135">
        <v>0</v>
      </c>
      <c r="K135" t="str">
        <f t="shared" si="18"/>
        <v>809</v>
      </c>
      <c r="L135">
        <v>3517.15</v>
      </c>
    </row>
    <row r="136" spans="1:12" x14ac:dyDescent="0.25">
      <c r="A136" t="str">
        <f t="shared" si="17"/>
        <v>89301000</v>
      </c>
      <c r="B136" t="str">
        <f t="shared" si="15"/>
        <v>78915000</v>
      </c>
      <c r="C136" t="str">
        <f t="shared" si="16"/>
        <v>78915001</v>
      </c>
      <c r="D136">
        <v>89301606</v>
      </c>
      <c r="E136" t="str">
        <f>"8610295782"</f>
        <v>8610295782</v>
      </c>
      <c r="F136" s="1">
        <v>44929</v>
      </c>
      <c r="G136" t="str">
        <f>"89713"</f>
        <v>89713</v>
      </c>
      <c r="H136">
        <v>1</v>
      </c>
      <c r="I136">
        <v>5411</v>
      </c>
      <c r="J136">
        <v>0</v>
      </c>
      <c r="K136" t="str">
        <f t="shared" si="18"/>
        <v>809</v>
      </c>
      <c r="L136">
        <v>3517.15</v>
      </c>
    </row>
    <row r="137" spans="1:12" x14ac:dyDescent="0.25">
      <c r="A137" t="str">
        <f t="shared" si="17"/>
        <v>89301000</v>
      </c>
      <c r="B137" t="str">
        <f t="shared" si="15"/>
        <v>78915000</v>
      </c>
      <c r="C137" t="str">
        <f t="shared" si="16"/>
        <v>78915001</v>
      </c>
      <c r="D137">
        <v>89301606</v>
      </c>
      <c r="E137" t="str">
        <f>"8610295782"</f>
        <v>8610295782</v>
      </c>
      <c r="F137" s="1">
        <v>44929</v>
      </c>
      <c r="G137" t="str">
        <f>"89725"</f>
        <v>89725</v>
      </c>
      <c r="H137">
        <v>1</v>
      </c>
      <c r="I137">
        <v>2863</v>
      </c>
      <c r="J137">
        <v>0</v>
      </c>
      <c r="K137" t="str">
        <f t="shared" si="18"/>
        <v>809</v>
      </c>
      <c r="L137">
        <v>1860.95</v>
      </c>
    </row>
    <row r="138" spans="1:12" x14ac:dyDescent="0.25">
      <c r="A138" t="str">
        <f t="shared" si="17"/>
        <v>89301000</v>
      </c>
      <c r="B138" t="str">
        <f t="shared" si="15"/>
        <v>78915000</v>
      </c>
      <c r="C138" t="str">
        <f t="shared" si="16"/>
        <v>78915001</v>
      </c>
      <c r="D138">
        <v>89301606</v>
      </c>
      <c r="E138" t="str">
        <f>"8710085813"</f>
        <v>8710085813</v>
      </c>
      <c r="F138" s="1">
        <v>44928</v>
      </c>
      <c r="G138" t="str">
        <f>"89713"</f>
        <v>89713</v>
      </c>
      <c r="H138">
        <v>1</v>
      </c>
      <c r="I138">
        <v>5411</v>
      </c>
      <c r="J138">
        <v>0</v>
      </c>
      <c r="K138" t="str">
        <f t="shared" si="18"/>
        <v>809</v>
      </c>
      <c r="L138">
        <v>3517.15</v>
      </c>
    </row>
    <row r="139" spans="1:12" x14ac:dyDescent="0.25">
      <c r="A139" t="str">
        <f t="shared" si="17"/>
        <v>89301000</v>
      </c>
      <c r="B139" t="str">
        <f t="shared" si="15"/>
        <v>78915000</v>
      </c>
      <c r="C139" t="str">
        <f t="shared" si="16"/>
        <v>78915001</v>
      </c>
      <c r="D139">
        <v>89301606</v>
      </c>
      <c r="E139" t="str">
        <f>"8710085813"</f>
        <v>8710085813</v>
      </c>
      <c r="F139" s="1">
        <v>44928</v>
      </c>
      <c r="G139" t="str">
        <f>"89725"</f>
        <v>89725</v>
      </c>
      <c r="H139">
        <v>1</v>
      </c>
      <c r="I139">
        <v>2863</v>
      </c>
      <c r="J139">
        <v>0</v>
      </c>
      <c r="K139" t="str">
        <f t="shared" si="18"/>
        <v>809</v>
      </c>
      <c r="L139">
        <v>1860.95</v>
      </c>
    </row>
    <row r="140" spans="1:12" x14ac:dyDescent="0.25">
      <c r="A140" t="str">
        <f t="shared" si="17"/>
        <v>89301000</v>
      </c>
      <c r="B140" t="str">
        <f t="shared" si="15"/>
        <v>78915000</v>
      </c>
      <c r="C140" t="str">
        <f t="shared" si="16"/>
        <v>78915001</v>
      </c>
      <c r="D140">
        <v>89301062</v>
      </c>
      <c r="E140" t="str">
        <f>"8810065781"</f>
        <v>8810065781</v>
      </c>
      <c r="F140" s="1">
        <v>44938</v>
      </c>
      <c r="G140" t="str">
        <f>"89713"</f>
        <v>89713</v>
      </c>
      <c r="H140">
        <v>1</v>
      </c>
      <c r="I140">
        <v>5411</v>
      </c>
      <c r="J140">
        <v>0</v>
      </c>
      <c r="K140" t="str">
        <f t="shared" si="18"/>
        <v>809</v>
      </c>
      <c r="L140">
        <v>3517.15</v>
      </c>
    </row>
    <row r="141" spans="1:12" x14ac:dyDescent="0.25">
      <c r="A141" t="str">
        <f t="shared" si="17"/>
        <v>89301000</v>
      </c>
      <c r="B141" t="str">
        <f t="shared" ref="B141:B149" si="19">"78915000"</f>
        <v>78915000</v>
      </c>
      <c r="C141" t="str">
        <f t="shared" ref="C141:C149" si="20">"78915001"</f>
        <v>78915001</v>
      </c>
      <c r="D141">
        <v>89301062</v>
      </c>
      <c r="E141" t="str">
        <f>"8810065781"</f>
        <v>8810065781</v>
      </c>
      <c r="F141" s="1">
        <v>44938</v>
      </c>
      <c r="G141" t="str">
        <f>"89725"</f>
        <v>89725</v>
      </c>
      <c r="H141">
        <v>1</v>
      </c>
      <c r="I141">
        <v>2863</v>
      </c>
      <c r="J141">
        <v>0</v>
      </c>
      <c r="K141" t="str">
        <f t="shared" si="18"/>
        <v>809</v>
      </c>
      <c r="L141">
        <v>1860.95</v>
      </c>
    </row>
    <row r="142" spans="1:12" x14ac:dyDescent="0.25">
      <c r="A142" t="str">
        <f t="shared" si="17"/>
        <v>89301000</v>
      </c>
      <c r="B142" t="str">
        <f t="shared" si="19"/>
        <v>78915000</v>
      </c>
      <c r="C142" t="str">
        <f t="shared" si="20"/>
        <v>78915001</v>
      </c>
      <c r="D142">
        <v>89301062</v>
      </c>
      <c r="E142" t="str">
        <f>"9459225710"</f>
        <v>9459225710</v>
      </c>
      <c r="F142" s="1">
        <v>44954</v>
      </c>
      <c r="G142" t="str">
        <f>"89713"</f>
        <v>89713</v>
      </c>
      <c r="H142">
        <v>1</v>
      </c>
      <c r="I142">
        <v>5411</v>
      </c>
      <c r="J142">
        <v>0</v>
      </c>
      <c r="K142" t="str">
        <f t="shared" si="18"/>
        <v>809</v>
      </c>
      <c r="L142">
        <v>3517.15</v>
      </c>
    </row>
    <row r="143" spans="1:12" x14ac:dyDescent="0.25">
      <c r="A143" t="str">
        <f t="shared" si="17"/>
        <v>89301000</v>
      </c>
      <c r="B143" t="str">
        <f t="shared" si="19"/>
        <v>78915000</v>
      </c>
      <c r="C143" t="str">
        <f t="shared" si="20"/>
        <v>78915001</v>
      </c>
      <c r="D143">
        <v>89301062</v>
      </c>
      <c r="E143" t="str">
        <f>"9459225710"</f>
        <v>9459225710</v>
      </c>
      <c r="F143" s="1">
        <v>44954</v>
      </c>
      <c r="G143" t="str">
        <f>"89725"</f>
        <v>89725</v>
      </c>
      <c r="H143">
        <v>1</v>
      </c>
      <c r="I143">
        <v>2863</v>
      </c>
      <c r="J143">
        <v>0</v>
      </c>
      <c r="K143" t="str">
        <f t="shared" si="18"/>
        <v>809</v>
      </c>
      <c r="L143">
        <v>1860.95</v>
      </c>
    </row>
    <row r="144" spans="1:12" x14ac:dyDescent="0.25">
      <c r="A144" t="str">
        <f t="shared" si="17"/>
        <v>89301000</v>
      </c>
      <c r="B144" t="str">
        <f t="shared" si="19"/>
        <v>78915000</v>
      </c>
      <c r="C144" t="str">
        <f t="shared" si="20"/>
        <v>78915001</v>
      </c>
      <c r="D144">
        <v>89301031</v>
      </c>
      <c r="E144" t="str">
        <f>"9553314848"</f>
        <v>9553314848</v>
      </c>
      <c r="F144" s="1">
        <v>44928</v>
      </c>
      <c r="G144" t="str">
        <f>"89713"</f>
        <v>89713</v>
      </c>
      <c r="H144">
        <v>1</v>
      </c>
      <c r="I144">
        <v>5411</v>
      </c>
      <c r="J144">
        <v>0</v>
      </c>
      <c r="K144" t="str">
        <f t="shared" si="18"/>
        <v>809</v>
      </c>
      <c r="L144">
        <v>3517.15</v>
      </c>
    </row>
    <row r="145" spans="1:12" x14ac:dyDescent="0.25">
      <c r="A145" t="str">
        <f t="shared" si="17"/>
        <v>89301000</v>
      </c>
      <c r="B145" t="str">
        <f t="shared" si="19"/>
        <v>78915000</v>
      </c>
      <c r="C145" t="str">
        <f t="shared" si="20"/>
        <v>78915001</v>
      </c>
      <c r="D145">
        <v>89301606</v>
      </c>
      <c r="E145" t="str">
        <f>"9752165709"</f>
        <v>9752165709</v>
      </c>
      <c r="F145" s="1">
        <v>44946</v>
      </c>
      <c r="G145" t="str">
        <f>"89713"</f>
        <v>89713</v>
      </c>
      <c r="H145">
        <v>1</v>
      </c>
      <c r="I145">
        <v>5411</v>
      </c>
      <c r="J145">
        <v>0</v>
      </c>
      <c r="K145" t="str">
        <f t="shared" si="18"/>
        <v>809</v>
      </c>
      <c r="L145">
        <v>3517.15</v>
      </c>
    </row>
    <row r="146" spans="1:12" x14ac:dyDescent="0.25">
      <c r="A146" t="str">
        <f t="shared" si="17"/>
        <v>89301000</v>
      </c>
      <c r="B146" t="str">
        <f t="shared" si="19"/>
        <v>78915000</v>
      </c>
      <c r="C146" t="str">
        <f t="shared" si="20"/>
        <v>78915001</v>
      </c>
      <c r="D146">
        <v>89301606</v>
      </c>
      <c r="E146" t="str">
        <f>"9752165709"</f>
        <v>9752165709</v>
      </c>
      <c r="F146" s="1">
        <v>44946</v>
      </c>
      <c r="G146" t="str">
        <f>"89723"</f>
        <v>89723</v>
      </c>
      <c r="H146">
        <v>1</v>
      </c>
      <c r="I146">
        <v>5940</v>
      </c>
      <c r="J146">
        <v>0</v>
      </c>
      <c r="K146" t="str">
        <f t="shared" si="18"/>
        <v>809</v>
      </c>
      <c r="L146">
        <v>3861</v>
      </c>
    </row>
    <row r="147" spans="1:12" x14ac:dyDescent="0.25">
      <c r="A147" t="str">
        <f t="shared" si="17"/>
        <v>89301000</v>
      </c>
      <c r="B147" t="str">
        <f t="shared" si="19"/>
        <v>78915000</v>
      </c>
      <c r="C147" t="str">
        <f t="shared" si="20"/>
        <v>78915001</v>
      </c>
      <c r="D147">
        <v>89301606</v>
      </c>
      <c r="E147" t="str">
        <f>"9752165709"</f>
        <v>9752165709</v>
      </c>
      <c r="F147" s="1">
        <v>44946</v>
      </c>
      <c r="G147" t="str">
        <f>"89725"</f>
        <v>89725</v>
      </c>
      <c r="H147">
        <v>1</v>
      </c>
      <c r="I147">
        <v>2863</v>
      </c>
      <c r="J147">
        <v>0</v>
      </c>
      <c r="K147" t="str">
        <f t="shared" si="18"/>
        <v>809</v>
      </c>
      <c r="L147">
        <v>1860.95</v>
      </c>
    </row>
    <row r="148" spans="1:12" x14ac:dyDescent="0.25">
      <c r="A148" t="str">
        <f t="shared" si="17"/>
        <v>89301000</v>
      </c>
      <c r="B148" t="str">
        <f t="shared" si="19"/>
        <v>78915000</v>
      </c>
      <c r="C148" t="str">
        <f t="shared" si="20"/>
        <v>78915001</v>
      </c>
      <c r="D148">
        <v>89301112</v>
      </c>
      <c r="E148" t="str">
        <f>"9808195716"</f>
        <v>9808195716</v>
      </c>
      <c r="F148" s="1">
        <v>44943</v>
      </c>
      <c r="G148" t="str">
        <f>"09569"</f>
        <v>09569</v>
      </c>
      <c r="H148">
        <v>1</v>
      </c>
      <c r="I148">
        <v>0</v>
      </c>
      <c r="J148">
        <v>0</v>
      </c>
      <c r="K148" t="str">
        <f t="shared" si="18"/>
        <v>809</v>
      </c>
      <c r="L148">
        <v>0</v>
      </c>
    </row>
    <row r="149" spans="1:12" x14ac:dyDescent="0.25">
      <c r="A149" t="str">
        <f t="shared" si="17"/>
        <v>89301000</v>
      </c>
      <c r="B149" t="str">
        <f t="shared" si="19"/>
        <v>78915000</v>
      </c>
      <c r="C149" t="str">
        <f t="shared" si="20"/>
        <v>78915001</v>
      </c>
      <c r="D149">
        <v>89301112</v>
      </c>
      <c r="E149" t="str">
        <f>"9808195716"</f>
        <v>9808195716</v>
      </c>
      <c r="F149" s="1">
        <v>44943</v>
      </c>
      <c r="G149" t="str">
        <f>"89713"</f>
        <v>89713</v>
      </c>
      <c r="H149">
        <v>1</v>
      </c>
      <c r="I149">
        <v>5411</v>
      </c>
      <c r="J149">
        <v>0</v>
      </c>
      <c r="K149" t="str">
        <f t="shared" si="18"/>
        <v>809</v>
      </c>
      <c r="L149">
        <v>3517.15</v>
      </c>
    </row>
    <row r="150" spans="1:12" x14ac:dyDescent="0.25">
      <c r="A150" t="str">
        <f t="shared" si="17"/>
        <v>89301000</v>
      </c>
      <c r="B150" t="str">
        <f t="shared" ref="B150:B183" si="21">"91866000"</f>
        <v>91866000</v>
      </c>
      <c r="C150" t="str">
        <f t="shared" ref="C150:C182" si="22">"91866313"</f>
        <v>91866313</v>
      </c>
      <c r="D150">
        <v>89301101</v>
      </c>
      <c r="E150" t="str">
        <f>"0859206073"</f>
        <v>0859206073</v>
      </c>
      <c r="F150" s="1">
        <v>44934</v>
      </c>
      <c r="G150" t="str">
        <f>"82087"</f>
        <v>82087</v>
      </c>
      <c r="H150">
        <v>1</v>
      </c>
      <c r="I150">
        <v>53</v>
      </c>
      <c r="J150">
        <v>0</v>
      </c>
      <c r="K150" t="str">
        <f t="shared" ref="K150:K182" si="23">"802"</f>
        <v>802</v>
      </c>
      <c r="L150">
        <v>51.41</v>
      </c>
    </row>
    <row r="151" spans="1:12" x14ac:dyDescent="0.25">
      <c r="A151" t="str">
        <f t="shared" si="17"/>
        <v>89301000</v>
      </c>
      <c r="B151" t="str">
        <f t="shared" si="21"/>
        <v>91866000</v>
      </c>
      <c r="C151" t="str">
        <f t="shared" si="22"/>
        <v>91866313</v>
      </c>
      <c r="D151">
        <v>89301101</v>
      </c>
      <c r="E151" t="str">
        <f>"0859206073"</f>
        <v>0859206073</v>
      </c>
      <c r="F151" s="1">
        <v>44933</v>
      </c>
      <c r="G151" t="str">
        <f>"82087"</f>
        <v>82087</v>
      </c>
      <c r="H151">
        <v>1</v>
      </c>
      <c r="I151">
        <v>53</v>
      </c>
      <c r="J151">
        <v>0</v>
      </c>
      <c r="K151" t="str">
        <f t="shared" si="23"/>
        <v>802</v>
      </c>
      <c r="L151">
        <v>51.41</v>
      </c>
    </row>
    <row r="152" spans="1:12" x14ac:dyDescent="0.25">
      <c r="A152" t="str">
        <f t="shared" si="17"/>
        <v>89301000</v>
      </c>
      <c r="B152" t="str">
        <f t="shared" si="21"/>
        <v>91866000</v>
      </c>
      <c r="C152" t="str">
        <f t="shared" si="22"/>
        <v>91866313</v>
      </c>
      <c r="D152">
        <v>89301101</v>
      </c>
      <c r="E152" t="str">
        <f>"0859206073"</f>
        <v>0859206073</v>
      </c>
      <c r="F152" s="1">
        <v>44933</v>
      </c>
      <c r="G152" t="str">
        <f>"82087"</f>
        <v>82087</v>
      </c>
      <c r="H152">
        <v>1</v>
      </c>
      <c r="I152">
        <v>53</v>
      </c>
      <c r="J152">
        <v>0</v>
      </c>
      <c r="K152" t="str">
        <f t="shared" si="23"/>
        <v>802</v>
      </c>
      <c r="L152">
        <v>51.41</v>
      </c>
    </row>
    <row r="153" spans="1:12" x14ac:dyDescent="0.25">
      <c r="A153" t="str">
        <f t="shared" si="17"/>
        <v>89301000</v>
      </c>
      <c r="B153" t="str">
        <f t="shared" si="21"/>
        <v>91866000</v>
      </c>
      <c r="C153" t="str">
        <f t="shared" si="22"/>
        <v>91866313</v>
      </c>
      <c r="D153">
        <v>89301101</v>
      </c>
      <c r="E153" t="str">
        <f>"0859206073"</f>
        <v>0859206073</v>
      </c>
      <c r="F153" s="1">
        <v>44934</v>
      </c>
      <c r="G153" t="str">
        <f>"82087"</f>
        <v>82087</v>
      </c>
      <c r="H153">
        <v>1</v>
      </c>
      <c r="I153">
        <v>53</v>
      </c>
      <c r="J153">
        <v>0</v>
      </c>
      <c r="K153" t="str">
        <f t="shared" si="23"/>
        <v>802</v>
      </c>
      <c r="L153">
        <v>51.41</v>
      </c>
    </row>
    <row r="154" spans="1:12" x14ac:dyDescent="0.25">
      <c r="A154" t="str">
        <f t="shared" si="17"/>
        <v>89301000</v>
      </c>
      <c r="B154" t="str">
        <f t="shared" si="21"/>
        <v>91866000</v>
      </c>
      <c r="C154" t="str">
        <f t="shared" si="22"/>
        <v>91866313</v>
      </c>
      <c r="D154">
        <v>89301108</v>
      </c>
      <c r="E154" t="str">
        <f>"0651192212"</f>
        <v>0651192212</v>
      </c>
      <c r="F154" s="1">
        <v>44938</v>
      </c>
      <c r="G154" t="str">
        <f>"82093"</f>
        <v>82093</v>
      </c>
      <c r="H154">
        <v>1</v>
      </c>
      <c r="I154">
        <v>217</v>
      </c>
      <c r="J154">
        <v>0</v>
      </c>
      <c r="K154" t="str">
        <f t="shared" si="23"/>
        <v>802</v>
      </c>
      <c r="L154">
        <v>210.49</v>
      </c>
    </row>
    <row r="155" spans="1:12" x14ac:dyDescent="0.25">
      <c r="A155" t="str">
        <f t="shared" si="17"/>
        <v>89301000</v>
      </c>
      <c r="B155" t="str">
        <f t="shared" si="21"/>
        <v>91866000</v>
      </c>
      <c r="C155" t="str">
        <f t="shared" si="22"/>
        <v>91866313</v>
      </c>
      <c r="D155">
        <v>89301108</v>
      </c>
      <c r="E155" t="str">
        <f>"0651192212"</f>
        <v>0651192212</v>
      </c>
      <c r="F155" s="1">
        <v>44938</v>
      </c>
      <c r="G155" t="str">
        <f>"82079"</f>
        <v>82079</v>
      </c>
      <c r="H155">
        <v>1</v>
      </c>
      <c r="I155">
        <v>333</v>
      </c>
      <c r="J155">
        <v>0</v>
      </c>
      <c r="K155" t="str">
        <f t="shared" si="23"/>
        <v>802</v>
      </c>
      <c r="L155">
        <v>323.01</v>
      </c>
    </row>
    <row r="156" spans="1:12" x14ac:dyDescent="0.25">
      <c r="A156" t="str">
        <f t="shared" si="17"/>
        <v>89301000</v>
      </c>
      <c r="B156" t="str">
        <f t="shared" si="21"/>
        <v>91866000</v>
      </c>
      <c r="C156" t="str">
        <f t="shared" si="22"/>
        <v>91866313</v>
      </c>
      <c r="D156">
        <v>89301108</v>
      </c>
      <c r="E156" t="str">
        <f>"0651192212"</f>
        <v>0651192212</v>
      </c>
      <c r="F156" s="1">
        <v>44938</v>
      </c>
      <c r="G156" t="str">
        <f>"82079"</f>
        <v>82079</v>
      </c>
      <c r="H156">
        <v>1</v>
      </c>
      <c r="I156">
        <v>333</v>
      </c>
      <c r="J156">
        <v>0</v>
      </c>
      <c r="K156" t="str">
        <f t="shared" si="23"/>
        <v>802</v>
      </c>
      <c r="L156">
        <v>323.01</v>
      </c>
    </row>
    <row r="157" spans="1:12" x14ac:dyDescent="0.25">
      <c r="A157" t="str">
        <f t="shared" si="17"/>
        <v>89301000</v>
      </c>
      <c r="B157" t="str">
        <f t="shared" si="21"/>
        <v>91866000</v>
      </c>
      <c r="C157" t="str">
        <f t="shared" si="22"/>
        <v>91866313</v>
      </c>
      <c r="D157">
        <v>89301108</v>
      </c>
      <c r="E157" t="str">
        <f>"0651192212"</f>
        <v>0651192212</v>
      </c>
      <c r="F157" s="1">
        <v>44938</v>
      </c>
      <c r="G157" t="str">
        <f>"82079"</f>
        <v>82079</v>
      </c>
      <c r="H157">
        <v>1</v>
      </c>
      <c r="I157">
        <v>333</v>
      </c>
      <c r="J157">
        <v>0</v>
      </c>
      <c r="K157" t="str">
        <f t="shared" si="23"/>
        <v>802</v>
      </c>
      <c r="L157">
        <v>323.01</v>
      </c>
    </row>
    <row r="158" spans="1:12" x14ac:dyDescent="0.25">
      <c r="A158" t="str">
        <f t="shared" si="17"/>
        <v>89301000</v>
      </c>
      <c r="B158" t="str">
        <f t="shared" si="21"/>
        <v>91866000</v>
      </c>
      <c r="C158" t="str">
        <f t="shared" si="22"/>
        <v>91866313</v>
      </c>
      <c r="D158">
        <v>89301102</v>
      </c>
      <c r="E158" t="str">
        <f>"0859153262"</f>
        <v>0859153262</v>
      </c>
      <c r="F158" s="1">
        <v>44938</v>
      </c>
      <c r="G158" t="str">
        <f t="shared" ref="G158:G164" si="24">"82087"</f>
        <v>82087</v>
      </c>
      <c r="H158">
        <v>1</v>
      </c>
      <c r="I158">
        <v>53</v>
      </c>
      <c r="J158">
        <v>0</v>
      </c>
      <c r="K158" t="str">
        <f t="shared" si="23"/>
        <v>802</v>
      </c>
      <c r="L158">
        <v>51.41</v>
      </c>
    </row>
    <row r="159" spans="1:12" x14ac:dyDescent="0.25">
      <c r="A159" t="str">
        <f t="shared" si="17"/>
        <v>89301000</v>
      </c>
      <c r="B159" t="str">
        <f t="shared" si="21"/>
        <v>91866000</v>
      </c>
      <c r="C159" t="str">
        <f t="shared" si="22"/>
        <v>91866313</v>
      </c>
      <c r="D159">
        <v>89301704</v>
      </c>
      <c r="E159" t="str">
        <f t="shared" ref="E159:E164" si="25">"0751265273"</f>
        <v>0751265273</v>
      </c>
      <c r="F159" s="1">
        <v>44939</v>
      </c>
      <c r="G159" t="str">
        <f t="shared" si="24"/>
        <v>82087</v>
      </c>
      <c r="H159">
        <v>1</v>
      </c>
      <c r="I159">
        <v>53</v>
      </c>
      <c r="J159">
        <v>0</v>
      </c>
      <c r="K159" t="str">
        <f t="shared" si="23"/>
        <v>802</v>
      </c>
      <c r="L159">
        <v>51.41</v>
      </c>
    </row>
    <row r="160" spans="1:12" x14ac:dyDescent="0.25">
      <c r="A160" t="str">
        <f t="shared" si="17"/>
        <v>89301000</v>
      </c>
      <c r="B160" t="str">
        <f t="shared" si="21"/>
        <v>91866000</v>
      </c>
      <c r="C160" t="str">
        <f t="shared" si="22"/>
        <v>91866313</v>
      </c>
      <c r="D160">
        <v>89301704</v>
      </c>
      <c r="E160" t="str">
        <f t="shared" si="25"/>
        <v>0751265273</v>
      </c>
      <c r="F160" s="1">
        <v>44938</v>
      </c>
      <c r="G160" t="str">
        <f t="shared" si="24"/>
        <v>82087</v>
      </c>
      <c r="H160">
        <v>1</v>
      </c>
      <c r="I160">
        <v>53</v>
      </c>
      <c r="J160">
        <v>0</v>
      </c>
      <c r="K160" t="str">
        <f t="shared" si="23"/>
        <v>802</v>
      </c>
      <c r="L160">
        <v>51.41</v>
      </c>
    </row>
    <row r="161" spans="1:12" x14ac:dyDescent="0.25">
      <c r="A161" t="str">
        <f t="shared" si="17"/>
        <v>89301000</v>
      </c>
      <c r="B161" t="str">
        <f t="shared" si="21"/>
        <v>91866000</v>
      </c>
      <c r="C161" t="str">
        <f t="shared" si="22"/>
        <v>91866313</v>
      </c>
      <c r="D161">
        <v>89301704</v>
      </c>
      <c r="E161" t="str">
        <f t="shared" si="25"/>
        <v>0751265273</v>
      </c>
      <c r="F161" s="1">
        <v>44939</v>
      </c>
      <c r="G161" t="str">
        <f t="shared" si="24"/>
        <v>82087</v>
      </c>
      <c r="H161">
        <v>1</v>
      </c>
      <c r="I161">
        <v>53</v>
      </c>
      <c r="J161">
        <v>0</v>
      </c>
      <c r="K161" t="str">
        <f t="shared" si="23"/>
        <v>802</v>
      </c>
      <c r="L161">
        <v>51.41</v>
      </c>
    </row>
    <row r="162" spans="1:12" x14ac:dyDescent="0.25">
      <c r="A162" t="str">
        <f t="shared" si="17"/>
        <v>89301000</v>
      </c>
      <c r="B162" t="str">
        <f t="shared" si="21"/>
        <v>91866000</v>
      </c>
      <c r="C162" t="str">
        <f t="shared" si="22"/>
        <v>91866313</v>
      </c>
      <c r="D162">
        <v>89301704</v>
      </c>
      <c r="E162" t="str">
        <f t="shared" si="25"/>
        <v>0751265273</v>
      </c>
      <c r="F162" s="1">
        <v>44940</v>
      </c>
      <c r="G162" t="str">
        <f t="shared" si="24"/>
        <v>82087</v>
      </c>
      <c r="H162">
        <v>1</v>
      </c>
      <c r="I162">
        <v>53</v>
      </c>
      <c r="J162">
        <v>0</v>
      </c>
      <c r="K162" t="str">
        <f t="shared" si="23"/>
        <v>802</v>
      </c>
      <c r="L162">
        <v>51.41</v>
      </c>
    </row>
    <row r="163" spans="1:12" x14ac:dyDescent="0.25">
      <c r="A163" t="str">
        <f t="shared" si="17"/>
        <v>89301000</v>
      </c>
      <c r="B163" t="str">
        <f t="shared" si="21"/>
        <v>91866000</v>
      </c>
      <c r="C163" t="str">
        <f t="shared" si="22"/>
        <v>91866313</v>
      </c>
      <c r="D163">
        <v>89301704</v>
      </c>
      <c r="E163" t="str">
        <f t="shared" si="25"/>
        <v>0751265273</v>
      </c>
      <c r="F163" s="1">
        <v>44938</v>
      </c>
      <c r="G163" t="str">
        <f t="shared" si="24"/>
        <v>82087</v>
      </c>
      <c r="H163">
        <v>1</v>
      </c>
      <c r="I163">
        <v>53</v>
      </c>
      <c r="J163">
        <v>0</v>
      </c>
      <c r="K163" t="str">
        <f t="shared" si="23"/>
        <v>802</v>
      </c>
      <c r="L163">
        <v>51.41</v>
      </c>
    </row>
    <row r="164" spans="1:12" x14ac:dyDescent="0.25">
      <c r="A164" t="str">
        <f t="shared" si="17"/>
        <v>89301000</v>
      </c>
      <c r="B164" t="str">
        <f t="shared" si="21"/>
        <v>91866000</v>
      </c>
      <c r="C164" t="str">
        <f t="shared" si="22"/>
        <v>91866313</v>
      </c>
      <c r="D164">
        <v>89301704</v>
      </c>
      <c r="E164" t="str">
        <f t="shared" si="25"/>
        <v>0751265273</v>
      </c>
      <c r="F164" s="1">
        <v>44940</v>
      </c>
      <c r="G164" t="str">
        <f t="shared" si="24"/>
        <v>82087</v>
      </c>
      <c r="H164">
        <v>1</v>
      </c>
      <c r="I164">
        <v>53</v>
      </c>
      <c r="J164">
        <v>0</v>
      </c>
      <c r="K164" t="str">
        <f t="shared" si="23"/>
        <v>802</v>
      </c>
      <c r="L164">
        <v>51.41</v>
      </c>
    </row>
    <row r="165" spans="1:12" x14ac:dyDescent="0.25">
      <c r="A165" t="str">
        <f t="shared" si="17"/>
        <v>89301000</v>
      </c>
      <c r="B165" t="str">
        <f t="shared" si="21"/>
        <v>91866000</v>
      </c>
      <c r="C165" t="str">
        <f t="shared" si="22"/>
        <v>91866313</v>
      </c>
      <c r="D165">
        <v>89301107</v>
      </c>
      <c r="E165" t="str">
        <f>"0905076590"</f>
        <v>0905076590</v>
      </c>
      <c r="F165" s="1">
        <v>44939</v>
      </c>
      <c r="G165" t="str">
        <f>"82079"</f>
        <v>82079</v>
      </c>
      <c r="H165">
        <v>1</v>
      </c>
      <c r="I165">
        <v>333</v>
      </c>
      <c r="J165">
        <v>0</v>
      </c>
      <c r="K165" t="str">
        <f t="shared" si="23"/>
        <v>802</v>
      </c>
      <c r="L165">
        <v>323.01</v>
      </c>
    </row>
    <row r="166" spans="1:12" x14ac:dyDescent="0.25">
      <c r="A166" t="str">
        <f t="shared" si="17"/>
        <v>89301000</v>
      </c>
      <c r="B166" t="str">
        <f t="shared" si="21"/>
        <v>91866000</v>
      </c>
      <c r="C166" t="str">
        <f t="shared" si="22"/>
        <v>91866313</v>
      </c>
      <c r="D166">
        <v>89301107</v>
      </c>
      <c r="E166" t="str">
        <f>"0905076590"</f>
        <v>0905076590</v>
      </c>
      <c r="F166" s="1">
        <v>44939</v>
      </c>
      <c r="G166" t="str">
        <f>"82079"</f>
        <v>82079</v>
      </c>
      <c r="H166">
        <v>1</v>
      </c>
      <c r="I166">
        <v>333</v>
      </c>
      <c r="J166">
        <v>0</v>
      </c>
      <c r="K166" t="str">
        <f t="shared" si="23"/>
        <v>802</v>
      </c>
      <c r="L166">
        <v>323.01</v>
      </c>
    </row>
    <row r="167" spans="1:12" x14ac:dyDescent="0.25">
      <c r="A167" t="str">
        <f t="shared" si="17"/>
        <v>89301000</v>
      </c>
      <c r="B167" t="str">
        <f t="shared" si="21"/>
        <v>91866000</v>
      </c>
      <c r="C167" t="str">
        <f t="shared" si="22"/>
        <v>91866313</v>
      </c>
      <c r="D167">
        <v>89301107</v>
      </c>
      <c r="E167" t="str">
        <f>"0905076590"</f>
        <v>0905076590</v>
      </c>
      <c r="F167" s="1">
        <v>44939</v>
      </c>
      <c r="G167" t="str">
        <f>"82079"</f>
        <v>82079</v>
      </c>
      <c r="H167">
        <v>1</v>
      </c>
      <c r="I167">
        <v>333</v>
      </c>
      <c r="J167">
        <v>0</v>
      </c>
      <c r="K167" t="str">
        <f t="shared" si="23"/>
        <v>802</v>
      </c>
      <c r="L167">
        <v>323.01</v>
      </c>
    </row>
    <row r="168" spans="1:12" x14ac:dyDescent="0.25">
      <c r="A168" t="str">
        <f t="shared" si="17"/>
        <v>89301000</v>
      </c>
      <c r="B168" t="str">
        <f t="shared" si="21"/>
        <v>91866000</v>
      </c>
      <c r="C168" t="str">
        <f t="shared" si="22"/>
        <v>91866313</v>
      </c>
      <c r="D168">
        <v>89301704</v>
      </c>
      <c r="E168" t="str">
        <f t="shared" ref="E168:E173" si="26">"0802163274"</f>
        <v>0802163274</v>
      </c>
      <c r="F168" s="1">
        <v>44945</v>
      </c>
      <c r="G168" t="str">
        <f t="shared" ref="G168:G173" si="27">"82087"</f>
        <v>82087</v>
      </c>
      <c r="H168">
        <v>1</v>
      </c>
      <c r="I168">
        <v>53</v>
      </c>
      <c r="J168">
        <v>0</v>
      </c>
      <c r="K168" t="str">
        <f t="shared" si="23"/>
        <v>802</v>
      </c>
      <c r="L168">
        <v>51.41</v>
      </c>
    </row>
    <row r="169" spans="1:12" x14ac:dyDescent="0.25">
      <c r="A169" t="str">
        <f t="shared" si="17"/>
        <v>89301000</v>
      </c>
      <c r="B169" t="str">
        <f t="shared" si="21"/>
        <v>91866000</v>
      </c>
      <c r="C169" t="str">
        <f t="shared" si="22"/>
        <v>91866313</v>
      </c>
      <c r="D169">
        <v>89301704</v>
      </c>
      <c r="E169" t="str">
        <f t="shared" si="26"/>
        <v>0802163274</v>
      </c>
      <c r="F169" s="1">
        <v>44945</v>
      </c>
      <c r="G169" t="str">
        <f t="shared" si="27"/>
        <v>82087</v>
      </c>
      <c r="H169">
        <v>1</v>
      </c>
      <c r="I169">
        <v>53</v>
      </c>
      <c r="J169">
        <v>0</v>
      </c>
      <c r="K169" t="str">
        <f t="shared" si="23"/>
        <v>802</v>
      </c>
      <c r="L169">
        <v>51.41</v>
      </c>
    </row>
    <row r="170" spans="1:12" x14ac:dyDescent="0.25">
      <c r="A170" t="str">
        <f t="shared" si="17"/>
        <v>89301000</v>
      </c>
      <c r="B170" t="str">
        <f t="shared" si="21"/>
        <v>91866000</v>
      </c>
      <c r="C170" t="str">
        <f t="shared" si="22"/>
        <v>91866313</v>
      </c>
      <c r="D170">
        <v>89301704</v>
      </c>
      <c r="E170" t="str">
        <f t="shared" si="26"/>
        <v>0802163274</v>
      </c>
      <c r="F170" s="1">
        <v>44947</v>
      </c>
      <c r="G170" t="str">
        <f t="shared" si="27"/>
        <v>82087</v>
      </c>
      <c r="H170">
        <v>1</v>
      </c>
      <c r="I170">
        <v>53</v>
      </c>
      <c r="J170">
        <v>0</v>
      </c>
      <c r="K170" t="str">
        <f t="shared" si="23"/>
        <v>802</v>
      </c>
      <c r="L170">
        <v>51.41</v>
      </c>
    </row>
    <row r="171" spans="1:12" x14ac:dyDescent="0.25">
      <c r="A171" t="str">
        <f t="shared" si="17"/>
        <v>89301000</v>
      </c>
      <c r="B171" t="str">
        <f t="shared" si="21"/>
        <v>91866000</v>
      </c>
      <c r="C171" t="str">
        <f t="shared" si="22"/>
        <v>91866313</v>
      </c>
      <c r="D171">
        <v>89301704</v>
      </c>
      <c r="E171" t="str">
        <f t="shared" si="26"/>
        <v>0802163274</v>
      </c>
      <c r="F171" s="1">
        <v>44946</v>
      </c>
      <c r="G171" t="str">
        <f t="shared" si="27"/>
        <v>82087</v>
      </c>
      <c r="H171">
        <v>1</v>
      </c>
      <c r="I171">
        <v>53</v>
      </c>
      <c r="J171">
        <v>0</v>
      </c>
      <c r="K171" t="str">
        <f t="shared" si="23"/>
        <v>802</v>
      </c>
      <c r="L171">
        <v>51.41</v>
      </c>
    </row>
    <row r="172" spans="1:12" x14ac:dyDescent="0.25">
      <c r="A172" t="str">
        <f t="shared" si="17"/>
        <v>89301000</v>
      </c>
      <c r="B172" t="str">
        <f t="shared" si="21"/>
        <v>91866000</v>
      </c>
      <c r="C172" t="str">
        <f t="shared" si="22"/>
        <v>91866313</v>
      </c>
      <c r="D172">
        <v>89301704</v>
      </c>
      <c r="E172" t="str">
        <f t="shared" si="26"/>
        <v>0802163274</v>
      </c>
      <c r="F172" s="1">
        <v>44946</v>
      </c>
      <c r="G172" t="str">
        <f t="shared" si="27"/>
        <v>82087</v>
      </c>
      <c r="H172">
        <v>1</v>
      </c>
      <c r="I172">
        <v>53</v>
      </c>
      <c r="J172">
        <v>0</v>
      </c>
      <c r="K172" t="str">
        <f t="shared" si="23"/>
        <v>802</v>
      </c>
      <c r="L172">
        <v>51.41</v>
      </c>
    </row>
    <row r="173" spans="1:12" x14ac:dyDescent="0.25">
      <c r="A173" t="str">
        <f t="shared" si="17"/>
        <v>89301000</v>
      </c>
      <c r="B173" t="str">
        <f t="shared" si="21"/>
        <v>91866000</v>
      </c>
      <c r="C173" t="str">
        <f t="shared" si="22"/>
        <v>91866313</v>
      </c>
      <c r="D173">
        <v>89301704</v>
      </c>
      <c r="E173" t="str">
        <f t="shared" si="26"/>
        <v>0802163274</v>
      </c>
      <c r="F173" s="1">
        <v>44947</v>
      </c>
      <c r="G173" t="str">
        <f t="shared" si="27"/>
        <v>82087</v>
      </c>
      <c r="H173">
        <v>1</v>
      </c>
      <c r="I173">
        <v>53</v>
      </c>
      <c r="J173">
        <v>0</v>
      </c>
      <c r="K173" t="str">
        <f t="shared" si="23"/>
        <v>802</v>
      </c>
      <c r="L173">
        <v>51.41</v>
      </c>
    </row>
    <row r="174" spans="1:12" x14ac:dyDescent="0.25">
      <c r="A174" t="str">
        <f t="shared" si="17"/>
        <v>89301000</v>
      </c>
      <c r="B174" t="str">
        <f t="shared" si="21"/>
        <v>91866000</v>
      </c>
      <c r="C174" t="str">
        <f t="shared" si="22"/>
        <v>91866313</v>
      </c>
      <c r="D174">
        <v>89301101</v>
      </c>
      <c r="E174" t="str">
        <f>"2007130664"</f>
        <v>2007130664</v>
      </c>
      <c r="F174" s="1">
        <v>44953</v>
      </c>
      <c r="G174" t="str">
        <f>"97111"</f>
        <v>97111</v>
      </c>
      <c r="H174">
        <v>1</v>
      </c>
      <c r="I174">
        <v>19</v>
      </c>
      <c r="J174">
        <v>0</v>
      </c>
      <c r="K174" t="str">
        <f t="shared" si="23"/>
        <v>802</v>
      </c>
      <c r="L174">
        <v>23.94</v>
      </c>
    </row>
    <row r="175" spans="1:12" x14ac:dyDescent="0.25">
      <c r="A175" t="str">
        <f t="shared" si="17"/>
        <v>89301000</v>
      </c>
      <c r="B175" t="str">
        <f t="shared" si="21"/>
        <v>91866000</v>
      </c>
      <c r="C175" t="str">
        <f t="shared" si="22"/>
        <v>91866313</v>
      </c>
      <c r="D175">
        <v>89301101</v>
      </c>
      <c r="E175" t="str">
        <f>"2007130664"</f>
        <v>2007130664</v>
      </c>
      <c r="F175" s="1">
        <v>44953</v>
      </c>
      <c r="G175" t="str">
        <f>"82113"</f>
        <v>82113</v>
      </c>
      <c r="H175">
        <v>2</v>
      </c>
      <c r="I175">
        <v>726</v>
      </c>
      <c r="J175">
        <v>0</v>
      </c>
      <c r="K175" t="str">
        <f t="shared" si="23"/>
        <v>802</v>
      </c>
      <c r="L175">
        <v>704.22</v>
      </c>
    </row>
    <row r="176" spans="1:12" x14ac:dyDescent="0.25">
      <c r="A176" t="str">
        <f t="shared" si="17"/>
        <v>89301000</v>
      </c>
      <c r="B176" t="str">
        <f t="shared" si="21"/>
        <v>91866000</v>
      </c>
      <c r="C176" t="str">
        <f t="shared" si="22"/>
        <v>91866313</v>
      </c>
      <c r="D176">
        <v>89301101</v>
      </c>
      <c r="E176" t="str">
        <f>"2007130664"</f>
        <v>2007130664</v>
      </c>
      <c r="F176" s="1">
        <v>44953</v>
      </c>
      <c r="G176" t="str">
        <f>"82113"</f>
        <v>82113</v>
      </c>
      <c r="H176">
        <v>2</v>
      </c>
      <c r="I176">
        <v>726</v>
      </c>
      <c r="J176">
        <v>0</v>
      </c>
      <c r="K176" t="str">
        <f t="shared" si="23"/>
        <v>802</v>
      </c>
      <c r="L176">
        <v>704.22</v>
      </c>
    </row>
    <row r="177" spans="1:12" x14ac:dyDescent="0.25">
      <c r="A177" t="str">
        <f t="shared" si="17"/>
        <v>89301000</v>
      </c>
      <c r="B177" t="str">
        <f t="shared" si="21"/>
        <v>91866000</v>
      </c>
      <c r="C177" t="str">
        <f t="shared" si="22"/>
        <v>91866313</v>
      </c>
      <c r="D177">
        <v>89301704</v>
      </c>
      <c r="E177" t="str">
        <f t="shared" ref="E177:E182" si="28">"1853060308"</f>
        <v>1853060308</v>
      </c>
      <c r="F177" s="1">
        <v>44955</v>
      </c>
      <c r="G177" t="str">
        <f t="shared" ref="G177:G182" si="29">"82087"</f>
        <v>82087</v>
      </c>
      <c r="H177">
        <v>1</v>
      </c>
      <c r="I177">
        <v>53</v>
      </c>
      <c r="J177">
        <v>0</v>
      </c>
      <c r="K177" t="str">
        <f t="shared" si="23"/>
        <v>802</v>
      </c>
      <c r="L177">
        <v>51.41</v>
      </c>
    </row>
    <row r="178" spans="1:12" x14ac:dyDescent="0.25">
      <c r="A178" t="str">
        <f t="shared" si="17"/>
        <v>89301000</v>
      </c>
      <c r="B178" t="str">
        <f t="shared" si="21"/>
        <v>91866000</v>
      </c>
      <c r="C178" t="str">
        <f t="shared" si="22"/>
        <v>91866313</v>
      </c>
      <c r="D178">
        <v>89301704</v>
      </c>
      <c r="E178" t="str">
        <f t="shared" si="28"/>
        <v>1853060308</v>
      </c>
      <c r="F178" s="1">
        <v>44954</v>
      </c>
      <c r="G178" t="str">
        <f t="shared" si="29"/>
        <v>82087</v>
      </c>
      <c r="H178">
        <v>1</v>
      </c>
      <c r="I178">
        <v>53</v>
      </c>
      <c r="J178">
        <v>0</v>
      </c>
      <c r="K178" t="str">
        <f t="shared" si="23"/>
        <v>802</v>
      </c>
      <c r="L178">
        <v>51.41</v>
      </c>
    </row>
    <row r="179" spans="1:12" x14ac:dyDescent="0.25">
      <c r="A179" t="str">
        <f t="shared" si="17"/>
        <v>89301000</v>
      </c>
      <c r="B179" t="str">
        <f t="shared" si="21"/>
        <v>91866000</v>
      </c>
      <c r="C179" t="str">
        <f t="shared" si="22"/>
        <v>91866313</v>
      </c>
      <c r="D179">
        <v>89301704</v>
      </c>
      <c r="E179" t="str">
        <f t="shared" si="28"/>
        <v>1853060308</v>
      </c>
      <c r="F179" s="1">
        <v>44953</v>
      </c>
      <c r="G179" t="str">
        <f t="shared" si="29"/>
        <v>82087</v>
      </c>
      <c r="H179">
        <v>1</v>
      </c>
      <c r="I179">
        <v>53</v>
      </c>
      <c r="J179">
        <v>0</v>
      </c>
      <c r="K179" t="str">
        <f t="shared" si="23"/>
        <v>802</v>
      </c>
      <c r="L179">
        <v>51.41</v>
      </c>
    </row>
    <row r="180" spans="1:12" x14ac:dyDescent="0.25">
      <c r="A180" t="str">
        <f t="shared" si="17"/>
        <v>89301000</v>
      </c>
      <c r="B180" t="str">
        <f t="shared" si="21"/>
        <v>91866000</v>
      </c>
      <c r="C180" t="str">
        <f t="shared" si="22"/>
        <v>91866313</v>
      </c>
      <c r="D180">
        <v>89301704</v>
      </c>
      <c r="E180" t="str">
        <f t="shared" si="28"/>
        <v>1853060308</v>
      </c>
      <c r="F180" s="1">
        <v>44953</v>
      </c>
      <c r="G180" t="str">
        <f t="shared" si="29"/>
        <v>82087</v>
      </c>
      <c r="H180">
        <v>1</v>
      </c>
      <c r="I180">
        <v>53</v>
      </c>
      <c r="J180">
        <v>0</v>
      </c>
      <c r="K180" t="str">
        <f t="shared" si="23"/>
        <v>802</v>
      </c>
      <c r="L180">
        <v>51.41</v>
      </c>
    </row>
    <row r="181" spans="1:12" x14ac:dyDescent="0.25">
      <c r="A181" t="str">
        <f t="shared" si="17"/>
        <v>89301000</v>
      </c>
      <c r="B181" t="str">
        <f t="shared" si="21"/>
        <v>91866000</v>
      </c>
      <c r="C181" t="str">
        <f t="shared" si="22"/>
        <v>91866313</v>
      </c>
      <c r="D181">
        <v>89301704</v>
      </c>
      <c r="E181" t="str">
        <f t="shared" si="28"/>
        <v>1853060308</v>
      </c>
      <c r="F181" s="1">
        <v>44954</v>
      </c>
      <c r="G181" t="str">
        <f t="shared" si="29"/>
        <v>82087</v>
      </c>
      <c r="H181">
        <v>1</v>
      </c>
      <c r="I181">
        <v>53</v>
      </c>
      <c r="J181">
        <v>0</v>
      </c>
      <c r="K181" t="str">
        <f t="shared" si="23"/>
        <v>802</v>
      </c>
      <c r="L181">
        <v>51.41</v>
      </c>
    </row>
    <row r="182" spans="1:12" x14ac:dyDescent="0.25">
      <c r="A182" t="str">
        <f t="shared" si="17"/>
        <v>89301000</v>
      </c>
      <c r="B182" t="str">
        <f t="shared" si="21"/>
        <v>91866000</v>
      </c>
      <c r="C182" t="str">
        <f t="shared" si="22"/>
        <v>91866313</v>
      </c>
      <c r="D182">
        <v>89301704</v>
      </c>
      <c r="E182" t="str">
        <f t="shared" si="28"/>
        <v>1853060308</v>
      </c>
      <c r="F182" s="1">
        <v>44955</v>
      </c>
      <c r="G182" t="str">
        <f t="shared" si="29"/>
        <v>82087</v>
      </c>
      <c r="H182">
        <v>1</v>
      </c>
      <c r="I182">
        <v>53</v>
      </c>
      <c r="J182">
        <v>0</v>
      </c>
      <c r="K182" t="str">
        <f t="shared" si="23"/>
        <v>802</v>
      </c>
      <c r="L182">
        <v>51.41</v>
      </c>
    </row>
    <row r="183" spans="1:12" x14ac:dyDescent="0.25">
      <c r="A183" t="str">
        <f t="shared" si="17"/>
        <v>89301000</v>
      </c>
      <c r="B183" t="str">
        <f t="shared" si="21"/>
        <v>91866000</v>
      </c>
      <c r="C183" t="str">
        <f>"91866321"</f>
        <v>91866321</v>
      </c>
      <c r="D183">
        <v>89301102</v>
      </c>
      <c r="E183" t="str">
        <f>"1311010349"</f>
        <v>1311010349</v>
      </c>
      <c r="F183" s="1">
        <v>44950</v>
      </c>
      <c r="G183" t="str">
        <f>"91135"</f>
        <v>91135</v>
      </c>
      <c r="H183">
        <v>1</v>
      </c>
      <c r="I183">
        <v>267</v>
      </c>
      <c r="J183">
        <v>0</v>
      </c>
      <c r="K183" t="str">
        <f>"813"</f>
        <v>813</v>
      </c>
      <c r="L183">
        <v>224.28</v>
      </c>
    </row>
    <row r="184" spans="1:12" x14ac:dyDescent="0.25">
      <c r="A184" t="str">
        <f t="shared" si="17"/>
        <v>89301000</v>
      </c>
      <c r="B184" t="str">
        <f t="shared" ref="B184:B224" si="30">"89895000"</f>
        <v>89895000</v>
      </c>
      <c r="C184" t="str">
        <f t="shared" ref="C184:C224" si="31">"89895002"</f>
        <v>89895002</v>
      </c>
      <c r="D184">
        <v>89301212</v>
      </c>
      <c r="E184" t="str">
        <f>"475107485"</f>
        <v>475107485</v>
      </c>
      <c r="F184" s="1">
        <v>44949</v>
      </c>
      <c r="G184" t="str">
        <f>"89180"</f>
        <v>89180</v>
      </c>
      <c r="H184">
        <v>2</v>
      </c>
      <c r="I184">
        <v>762</v>
      </c>
      <c r="J184">
        <v>0</v>
      </c>
      <c r="K184" t="str">
        <f t="shared" ref="K184:K229" si="32">"809"</f>
        <v>809</v>
      </c>
      <c r="L184">
        <v>1120.1400000000001</v>
      </c>
    </row>
    <row r="185" spans="1:12" x14ac:dyDescent="0.25">
      <c r="A185" t="str">
        <f t="shared" si="17"/>
        <v>89301000</v>
      </c>
      <c r="B185" t="str">
        <f t="shared" si="30"/>
        <v>89895000</v>
      </c>
      <c r="C185" t="str">
        <f t="shared" si="31"/>
        <v>89895002</v>
      </c>
      <c r="D185">
        <v>89301212</v>
      </c>
      <c r="E185" t="str">
        <f>"475107485"</f>
        <v>475107485</v>
      </c>
      <c r="F185" s="1">
        <v>44949</v>
      </c>
      <c r="G185" t="str">
        <f>"89513"</f>
        <v>89513</v>
      </c>
      <c r="H185">
        <v>1</v>
      </c>
      <c r="I185">
        <v>378</v>
      </c>
      <c r="J185">
        <v>0</v>
      </c>
      <c r="K185" t="str">
        <f t="shared" si="32"/>
        <v>809</v>
      </c>
      <c r="L185">
        <v>555.66</v>
      </c>
    </row>
    <row r="186" spans="1:12" x14ac:dyDescent="0.25">
      <c r="A186" t="str">
        <f t="shared" si="17"/>
        <v>89301000</v>
      </c>
      <c r="B186" t="str">
        <f t="shared" si="30"/>
        <v>89895000</v>
      </c>
      <c r="C186" t="str">
        <f t="shared" si="31"/>
        <v>89895002</v>
      </c>
      <c r="D186">
        <v>89301212</v>
      </c>
      <c r="E186" t="str">
        <f>"475107485"</f>
        <v>475107485</v>
      </c>
      <c r="F186" s="1">
        <v>44949</v>
      </c>
      <c r="G186" t="str">
        <f>"89514"</f>
        <v>89514</v>
      </c>
      <c r="H186">
        <v>1</v>
      </c>
      <c r="I186">
        <v>378</v>
      </c>
      <c r="J186">
        <v>0</v>
      </c>
      <c r="K186" t="str">
        <f t="shared" si="32"/>
        <v>809</v>
      </c>
      <c r="L186">
        <v>555.66</v>
      </c>
    </row>
    <row r="187" spans="1:12" x14ac:dyDescent="0.25">
      <c r="A187" t="str">
        <f t="shared" si="17"/>
        <v>89301000</v>
      </c>
      <c r="B187" t="str">
        <f t="shared" si="30"/>
        <v>89895000</v>
      </c>
      <c r="C187" t="str">
        <f t="shared" si="31"/>
        <v>89895002</v>
      </c>
      <c r="D187">
        <v>89301212</v>
      </c>
      <c r="E187" t="str">
        <f>"475507414"</f>
        <v>475507414</v>
      </c>
      <c r="F187" s="1">
        <v>44949</v>
      </c>
      <c r="G187" t="str">
        <f>"89180"</f>
        <v>89180</v>
      </c>
      <c r="H187">
        <v>2</v>
      </c>
      <c r="I187">
        <v>762</v>
      </c>
      <c r="J187">
        <v>0</v>
      </c>
      <c r="K187" t="str">
        <f t="shared" si="32"/>
        <v>809</v>
      </c>
      <c r="L187">
        <v>1120.1400000000001</v>
      </c>
    </row>
    <row r="188" spans="1:12" x14ac:dyDescent="0.25">
      <c r="A188" t="str">
        <f t="shared" si="17"/>
        <v>89301000</v>
      </c>
      <c r="B188" t="str">
        <f t="shared" si="30"/>
        <v>89895000</v>
      </c>
      <c r="C188" t="str">
        <f t="shared" si="31"/>
        <v>89895002</v>
      </c>
      <c r="D188">
        <v>89301212</v>
      </c>
      <c r="E188" t="str">
        <f>"495518284"</f>
        <v>495518284</v>
      </c>
      <c r="F188" s="1">
        <v>44944</v>
      </c>
      <c r="G188" t="str">
        <f>"89180"</f>
        <v>89180</v>
      </c>
      <c r="H188">
        <v>2</v>
      </c>
      <c r="I188">
        <v>762</v>
      </c>
      <c r="J188">
        <v>0</v>
      </c>
      <c r="K188" t="str">
        <f t="shared" si="32"/>
        <v>809</v>
      </c>
      <c r="L188">
        <v>1120.1400000000001</v>
      </c>
    </row>
    <row r="189" spans="1:12" x14ac:dyDescent="0.25">
      <c r="A189" t="str">
        <f t="shared" si="17"/>
        <v>89301000</v>
      </c>
      <c r="B189" t="str">
        <f t="shared" si="30"/>
        <v>89895000</v>
      </c>
      <c r="C189" t="str">
        <f t="shared" si="31"/>
        <v>89895002</v>
      </c>
      <c r="D189">
        <v>89301212</v>
      </c>
      <c r="E189" t="str">
        <f>"495518284"</f>
        <v>495518284</v>
      </c>
      <c r="F189" s="1">
        <v>44944</v>
      </c>
      <c r="G189" t="str">
        <f>"89512"</f>
        <v>89512</v>
      </c>
      <c r="H189">
        <v>1</v>
      </c>
      <c r="I189">
        <v>283</v>
      </c>
      <c r="J189">
        <v>0</v>
      </c>
      <c r="K189" t="str">
        <f t="shared" si="32"/>
        <v>809</v>
      </c>
      <c r="L189">
        <v>416.01</v>
      </c>
    </row>
    <row r="190" spans="1:12" x14ac:dyDescent="0.25">
      <c r="A190" t="str">
        <f t="shared" si="17"/>
        <v>89301000</v>
      </c>
      <c r="B190" t="str">
        <f t="shared" si="30"/>
        <v>89895000</v>
      </c>
      <c r="C190" t="str">
        <f t="shared" si="31"/>
        <v>89895002</v>
      </c>
      <c r="D190">
        <v>89301212</v>
      </c>
      <c r="E190" t="str">
        <f>"525213030"</f>
        <v>525213030</v>
      </c>
      <c r="F190" s="1">
        <v>44932</v>
      </c>
      <c r="G190" t="str">
        <f>"89180"</f>
        <v>89180</v>
      </c>
      <c r="H190">
        <v>2</v>
      </c>
      <c r="I190">
        <v>762</v>
      </c>
      <c r="J190">
        <v>0</v>
      </c>
      <c r="K190" t="str">
        <f t="shared" si="32"/>
        <v>809</v>
      </c>
      <c r="L190">
        <v>1120.1400000000001</v>
      </c>
    </row>
    <row r="191" spans="1:12" x14ac:dyDescent="0.25">
      <c r="A191" t="str">
        <f t="shared" si="17"/>
        <v>89301000</v>
      </c>
      <c r="B191" t="str">
        <f t="shared" si="30"/>
        <v>89895000</v>
      </c>
      <c r="C191" t="str">
        <f t="shared" si="31"/>
        <v>89895002</v>
      </c>
      <c r="D191">
        <v>89301212</v>
      </c>
      <c r="E191" t="str">
        <f>"525213030"</f>
        <v>525213030</v>
      </c>
      <c r="F191" s="1">
        <v>44932</v>
      </c>
      <c r="G191" t="str">
        <f>"89514"</f>
        <v>89514</v>
      </c>
      <c r="H191">
        <v>1</v>
      </c>
      <c r="I191">
        <v>378</v>
      </c>
      <c r="J191">
        <v>0</v>
      </c>
      <c r="K191" t="str">
        <f t="shared" si="32"/>
        <v>809</v>
      </c>
      <c r="L191">
        <v>555.66</v>
      </c>
    </row>
    <row r="192" spans="1:12" x14ac:dyDescent="0.25">
      <c r="A192" t="str">
        <f t="shared" si="17"/>
        <v>89301000</v>
      </c>
      <c r="B192" t="str">
        <f t="shared" si="30"/>
        <v>89895000</v>
      </c>
      <c r="C192" t="str">
        <f t="shared" si="31"/>
        <v>89895002</v>
      </c>
      <c r="D192">
        <v>89301212</v>
      </c>
      <c r="E192" t="str">
        <f>"525213030"</f>
        <v>525213030</v>
      </c>
      <c r="F192" s="1">
        <v>44932</v>
      </c>
      <c r="G192" t="str">
        <f>"89513"</f>
        <v>89513</v>
      </c>
      <c r="H192">
        <v>1</v>
      </c>
      <c r="I192">
        <v>378</v>
      </c>
      <c r="J192">
        <v>0</v>
      </c>
      <c r="K192" t="str">
        <f t="shared" si="32"/>
        <v>809</v>
      </c>
      <c r="L192">
        <v>555.66</v>
      </c>
    </row>
    <row r="193" spans="1:12" x14ac:dyDescent="0.25">
      <c r="A193" t="str">
        <f t="shared" si="17"/>
        <v>89301000</v>
      </c>
      <c r="B193" t="str">
        <f t="shared" si="30"/>
        <v>89895000</v>
      </c>
      <c r="C193" t="str">
        <f t="shared" si="31"/>
        <v>89895002</v>
      </c>
      <c r="D193">
        <v>89301212</v>
      </c>
      <c r="E193" t="str">
        <f>"525213030"</f>
        <v>525213030</v>
      </c>
      <c r="F193" s="1">
        <v>44932</v>
      </c>
      <c r="G193" t="str">
        <f>"89512"</f>
        <v>89512</v>
      </c>
      <c r="H193">
        <v>1</v>
      </c>
      <c r="I193">
        <v>283</v>
      </c>
      <c r="J193">
        <v>0</v>
      </c>
      <c r="K193" t="str">
        <f t="shared" si="32"/>
        <v>809</v>
      </c>
      <c r="L193">
        <v>416.01</v>
      </c>
    </row>
    <row r="194" spans="1:12" x14ac:dyDescent="0.25">
      <c r="A194" t="str">
        <f t="shared" ref="A194:A257" si="33">"89301000"</f>
        <v>89301000</v>
      </c>
      <c r="B194" t="str">
        <f t="shared" si="30"/>
        <v>89895000</v>
      </c>
      <c r="C194" t="str">
        <f t="shared" si="31"/>
        <v>89895002</v>
      </c>
      <c r="D194">
        <v>89301212</v>
      </c>
      <c r="E194" t="str">
        <f>"526106038"</f>
        <v>526106038</v>
      </c>
      <c r="F194" s="1">
        <v>44942</v>
      </c>
      <c r="G194" t="str">
        <f>"89180"</f>
        <v>89180</v>
      </c>
      <c r="H194">
        <v>2</v>
      </c>
      <c r="I194">
        <v>762</v>
      </c>
      <c r="J194">
        <v>0</v>
      </c>
      <c r="K194" t="str">
        <f t="shared" si="32"/>
        <v>809</v>
      </c>
      <c r="L194">
        <v>1120.1400000000001</v>
      </c>
    </row>
    <row r="195" spans="1:12" x14ac:dyDescent="0.25">
      <c r="A195" t="str">
        <f t="shared" si="33"/>
        <v>89301000</v>
      </c>
      <c r="B195" t="str">
        <f t="shared" si="30"/>
        <v>89895000</v>
      </c>
      <c r="C195" t="str">
        <f t="shared" si="31"/>
        <v>89895002</v>
      </c>
      <c r="D195">
        <v>89301212</v>
      </c>
      <c r="E195" t="str">
        <f>"526106038"</f>
        <v>526106038</v>
      </c>
      <c r="F195" s="1">
        <v>44942</v>
      </c>
      <c r="G195" t="str">
        <f>"89513"</f>
        <v>89513</v>
      </c>
      <c r="H195">
        <v>1</v>
      </c>
      <c r="I195">
        <v>378</v>
      </c>
      <c r="J195">
        <v>0</v>
      </c>
      <c r="K195" t="str">
        <f t="shared" si="32"/>
        <v>809</v>
      </c>
      <c r="L195">
        <v>555.66</v>
      </c>
    </row>
    <row r="196" spans="1:12" x14ac:dyDescent="0.25">
      <c r="A196" t="str">
        <f t="shared" si="33"/>
        <v>89301000</v>
      </c>
      <c r="B196" t="str">
        <f t="shared" si="30"/>
        <v>89895000</v>
      </c>
      <c r="C196" t="str">
        <f t="shared" si="31"/>
        <v>89895002</v>
      </c>
      <c r="D196">
        <v>89301212</v>
      </c>
      <c r="E196" t="str">
        <f>"526106038"</f>
        <v>526106038</v>
      </c>
      <c r="F196" s="1">
        <v>44942</v>
      </c>
      <c r="G196" t="str">
        <f>"89514"</f>
        <v>89514</v>
      </c>
      <c r="H196">
        <v>1</v>
      </c>
      <c r="I196">
        <v>378</v>
      </c>
      <c r="J196">
        <v>0</v>
      </c>
      <c r="K196" t="str">
        <f t="shared" si="32"/>
        <v>809</v>
      </c>
      <c r="L196">
        <v>555.66</v>
      </c>
    </row>
    <row r="197" spans="1:12" x14ac:dyDescent="0.25">
      <c r="A197" t="str">
        <f t="shared" si="33"/>
        <v>89301000</v>
      </c>
      <c r="B197" t="str">
        <f t="shared" si="30"/>
        <v>89895000</v>
      </c>
      <c r="C197" t="str">
        <f t="shared" si="31"/>
        <v>89895002</v>
      </c>
      <c r="D197">
        <v>89301212</v>
      </c>
      <c r="E197" t="str">
        <f>"5751201412"</f>
        <v>5751201412</v>
      </c>
      <c r="F197" s="1">
        <v>44935</v>
      </c>
      <c r="G197" t="str">
        <f>"89180"</f>
        <v>89180</v>
      </c>
      <c r="H197">
        <v>2</v>
      </c>
      <c r="I197">
        <v>762</v>
      </c>
      <c r="J197">
        <v>0</v>
      </c>
      <c r="K197" t="str">
        <f t="shared" si="32"/>
        <v>809</v>
      </c>
      <c r="L197">
        <v>1120.1400000000001</v>
      </c>
    </row>
    <row r="198" spans="1:12" x14ac:dyDescent="0.25">
      <c r="A198" t="str">
        <f t="shared" si="33"/>
        <v>89301000</v>
      </c>
      <c r="B198" t="str">
        <f t="shared" si="30"/>
        <v>89895000</v>
      </c>
      <c r="C198" t="str">
        <f t="shared" si="31"/>
        <v>89895002</v>
      </c>
      <c r="D198">
        <v>89301212</v>
      </c>
      <c r="E198" t="str">
        <f>"5751201412"</f>
        <v>5751201412</v>
      </c>
      <c r="F198" s="1">
        <v>44935</v>
      </c>
      <c r="G198" t="str">
        <f>"89514"</f>
        <v>89514</v>
      </c>
      <c r="H198">
        <v>1</v>
      </c>
      <c r="I198">
        <v>378</v>
      </c>
      <c r="J198">
        <v>0</v>
      </c>
      <c r="K198" t="str">
        <f t="shared" si="32"/>
        <v>809</v>
      </c>
      <c r="L198">
        <v>555.66</v>
      </c>
    </row>
    <row r="199" spans="1:12" x14ac:dyDescent="0.25">
      <c r="A199" t="str">
        <f t="shared" si="33"/>
        <v>89301000</v>
      </c>
      <c r="B199" t="str">
        <f t="shared" si="30"/>
        <v>89895000</v>
      </c>
      <c r="C199" t="str">
        <f t="shared" si="31"/>
        <v>89895002</v>
      </c>
      <c r="D199">
        <v>89301212</v>
      </c>
      <c r="E199" t="str">
        <f>"5751201412"</f>
        <v>5751201412</v>
      </c>
      <c r="F199" s="1">
        <v>44935</v>
      </c>
      <c r="G199" t="str">
        <f>"89513"</f>
        <v>89513</v>
      </c>
      <c r="H199">
        <v>1</v>
      </c>
      <c r="I199">
        <v>378</v>
      </c>
      <c r="J199">
        <v>0</v>
      </c>
      <c r="K199" t="str">
        <f t="shared" si="32"/>
        <v>809</v>
      </c>
      <c r="L199">
        <v>555.66</v>
      </c>
    </row>
    <row r="200" spans="1:12" x14ac:dyDescent="0.25">
      <c r="A200" t="str">
        <f t="shared" si="33"/>
        <v>89301000</v>
      </c>
      <c r="B200" t="str">
        <f t="shared" si="30"/>
        <v>89895000</v>
      </c>
      <c r="C200" t="str">
        <f t="shared" si="31"/>
        <v>89895002</v>
      </c>
      <c r="D200">
        <v>89301212</v>
      </c>
      <c r="E200" t="str">
        <f>"5752161382"</f>
        <v>5752161382</v>
      </c>
      <c r="F200" s="1">
        <v>44949</v>
      </c>
      <c r="G200" t="str">
        <f>"89180"</f>
        <v>89180</v>
      </c>
      <c r="H200">
        <v>2</v>
      </c>
      <c r="I200">
        <v>762</v>
      </c>
      <c r="J200">
        <v>0</v>
      </c>
      <c r="K200" t="str">
        <f t="shared" si="32"/>
        <v>809</v>
      </c>
      <c r="L200">
        <v>1120.1400000000001</v>
      </c>
    </row>
    <row r="201" spans="1:12" x14ac:dyDescent="0.25">
      <c r="A201" t="str">
        <f t="shared" si="33"/>
        <v>89301000</v>
      </c>
      <c r="B201" t="str">
        <f t="shared" si="30"/>
        <v>89895000</v>
      </c>
      <c r="C201" t="str">
        <f t="shared" si="31"/>
        <v>89895002</v>
      </c>
      <c r="D201">
        <v>89301212</v>
      </c>
      <c r="E201" t="str">
        <f>"5752161382"</f>
        <v>5752161382</v>
      </c>
      <c r="F201" s="1">
        <v>44949</v>
      </c>
      <c r="G201" t="str">
        <f>"89512"</f>
        <v>89512</v>
      </c>
      <c r="H201">
        <v>1</v>
      </c>
      <c r="I201">
        <v>283</v>
      </c>
      <c r="J201">
        <v>0</v>
      </c>
      <c r="K201" t="str">
        <f t="shared" si="32"/>
        <v>809</v>
      </c>
      <c r="L201">
        <v>416.01</v>
      </c>
    </row>
    <row r="202" spans="1:12" x14ac:dyDescent="0.25">
      <c r="A202" t="str">
        <f t="shared" si="33"/>
        <v>89301000</v>
      </c>
      <c r="B202" t="str">
        <f t="shared" si="30"/>
        <v>89895000</v>
      </c>
      <c r="C202" t="str">
        <f t="shared" si="31"/>
        <v>89895002</v>
      </c>
      <c r="D202">
        <v>89301212</v>
      </c>
      <c r="E202" t="str">
        <f>"6154111106"</f>
        <v>6154111106</v>
      </c>
      <c r="F202" s="1">
        <v>44936</v>
      </c>
      <c r="G202" t="str">
        <f>"89180"</f>
        <v>89180</v>
      </c>
      <c r="H202">
        <v>2</v>
      </c>
      <c r="I202">
        <v>762</v>
      </c>
      <c r="J202">
        <v>0</v>
      </c>
      <c r="K202" t="str">
        <f t="shared" si="32"/>
        <v>809</v>
      </c>
      <c r="L202">
        <v>1120.1400000000001</v>
      </c>
    </row>
    <row r="203" spans="1:12" x14ac:dyDescent="0.25">
      <c r="A203" t="str">
        <f t="shared" si="33"/>
        <v>89301000</v>
      </c>
      <c r="B203" t="str">
        <f t="shared" si="30"/>
        <v>89895000</v>
      </c>
      <c r="C203" t="str">
        <f t="shared" si="31"/>
        <v>89895002</v>
      </c>
      <c r="D203">
        <v>89301212</v>
      </c>
      <c r="E203" t="str">
        <f>"6154111106"</f>
        <v>6154111106</v>
      </c>
      <c r="F203" s="1">
        <v>44936</v>
      </c>
      <c r="G203" t="str">
        <f>"89513"</f>
        <v>89513</v>
      </c>
      <c r="H203">
        <v>1</v>
      </c>
      <c r="I203">
        <v>378</v>
      </c>
      <c r="J203">
        <v>0</v>
      </c>
      <c r="K203" t="str">
        <f t="shared" si="32"/>
        <v>809</v>
      </c>
      <c r="L203">
        <v>555.66</v>
      </c>
    </row>
    <row r="204" spans="1:12" x14ac:dyDescent="0.25">
      <c r="A204" t="str">
        <f t="shared" si="33"/>
        <v>89301000</v>
      </c>
      <c r="B204" t="str">
        <f t="shared" si="30"/>
        <v>89895000</v>
      </c>
      <c r="C204" t="str">
        <f t="shared" si="31"/>
        <v>89895002</v>
      </c>
      <c r="D204">
        <v>89301212</v>
      </c>
      <c r="E204" t="str">
        <f>"6154111106"</f>
        <v>6154111106</v>
      </c>
      <c r="F204" s="1">
        <v>44936</v>
      </c>
      <c r="G204" t="str">
        <f>"89514"</f>
        <v>89514</v>
      </c>
      <c r="H204">
        <v>1</v>
      </c>
      <c r="I204">
        <v>378</v>
      </c>
      <c r="J204">
        <v>0</v>
      </c>
      <c r="K204" t="str">
        <f t="shared" si="32"/>
        <v>809</v>
      </c>
      <c r="L204">
        <v>555.66</v>
      </c>
    </row>
    <row r="205" spans="1:12" x14ac:dyDescent="0.25">
      <c r="A205" t="str">
        <f t="shared" si="33"/>
        <v>89301000</v>
      </c>
      <c r="B205" t="str">
        <f t="shared" si="30"/>
        <v>89895000</v>
      </c>
      <c r="C205" t="str">
        <f t="shared" si="31"/>
        <v>89895002</v>
      </c>
      <c r="D205">
        <v>89301212</v>
      </c>
      <c r="E205" t="str">
        <f>"6154111106"</f>
        <v>6154111106</v>
      </c>
      <c r="F205" s="1">
        <v>44936</v>
      </c>
      <c r="G205" t="str">
        <f>"89512"</f>
        <v>89512</v>
      </c>
      <c r="H205">
        <v>1</v>
      </c>
      <c r="I205">
        <v>283</v>
      </c>
      <c r="J205">
        <v>0</v>
      </c>
      <c r="K205" t="str">
        <f t="shared" si="32"/>
        <v>809</v>
      </c>
      <c r="L205">
        <v>416.01</v>
      </c>
    </row>
    <row r="206" spans="1:12" x14ac:dyDescent="0.25">
      <c r="A206" t="str">
        <f t="shared" si="33"/>
        <v>89301000</v>
      </c>
      <c r="B206" t="str">
        <f t="shared" si="30"/>
        <v>89895000</v>
      </c>
      <c r="C206" t="str">
        <f t="shared" si="31"/>
        <v>89895002</v>
      </c>
      <c r="D206">
        <v>89301212</v>
      </c>
      <c r="E206" t="str">
        <f>"6158280348"</f>
        <v>6158280348</v>
      </c>
      <c r="F206" s="1">
        <v>44950</v>
      </c>
      <c r="G206" t="str">
        <f>"89513"</f>
        <v>89513</v>
      </c>
      <c r="H206">
        <v>1</v>
      </c>
      <c r="I206">
        <v>378</v>
      </c>
      <c r="J206">
        <v>0</v>
      </c>
      <c r="K206" t="str">
        <f t="shared" si="32"/>
        <v>809</v>
      </c>
      <c r="L206">
        <v>555.66</v>
      </c>
    </row>
    <row r="207" spans="1:12" x14ac:dyDescent="0.25">
      <c r="A207" t="str">
        <f t="shared" si="33"/>
        <v>89301000</v>
      </c>
      <c r="B207" t="str">
        <f t="shared" si="30"/>
        <v>89895000</v>
      </c>
      <c r="C207" t="str">
        <f t="shared" si="31"/>
        <v>89895002</v>
      </c>
      <c r="D207">
        <v>89301212</v>
      </c>
      <c r="E207" t="str">
        <f>"6158280348"</f>
        <v>6158280348</v>
      </c>
      <c r="F207" s="1">
        <v>44950</v>
      </c>
      <c r="G207" t="str">
        <f>"89514"</f>
        <v>89514</v>
      </c>
      <c r="H207">
        <v>1</v>
      </c>
      <c r="I207">
        <v>378</v>
      </c>
      <c r="J207">
        <v>0</v>
      </c>
      <c r="K207" t="str">
        <f t="shared" si="32"/>
        <v>809</v>
      </c>
      <c r="L207">
        <v>555.66</v>
      </c>
    </row>
    <row r="208" spans="1:12" x14ac:dyDescent="0.25">
      <c r="A208" t="str">
        <f t="shared" si="33"/>
        <v>89301000</v>
      </c>
      <c r="B208" t="str">
        <f t="shared" si="30"/>
        <v>89895000</v>
      </c>
      <c r="C208" t="str">
        <f t="shared" si="31"/>
        <v>89895002</v>
      </c>
      <c r="D208">
        <v>89301212</v>
      </c>
      <c r="E208" t="str">
        <f>"6352270210"</f>
        <v>6352270210</v>
      </c>
      <c r="F208" s="1">
        <v>44931</v>
      </c>
      <c r="G208" t="str">
        <f>"89513"</f>
        <v>89513</v>
      </c>
      <c r="H208">
        <v>1</v>
      </c>
      <c r="I208">
        <v>378</v>
      </c>
      <c r="J208">
        <v>0</v>
      </c>
      <c r="K208" t="str">
        <f t="shared" si="32"/>
        <v>809</v>
      </c>
      <c r="L208">
        <v>555.66</v>
      </c>
    </row>
    <row r="209" spans="1:12" x14ac:dyDescent="0.25">
      <c r="A209" t="str">
        <f t="shared" si="33"/>
        <v>89301000</v>
      </c>
      <c r="B209" t="str">
        <f t="shared" si="30"/>
        <v>89895000</v>
      </c>
      <c r="C209" t="str">
        <f t="shared" si="31"/>
        <v>89895002</v>
      </c>
      <c r="D209">
        <v>89301212</v>
      </c>
      <c r="E209" t="str">
        <f>"6352270210"</f>
        <v>6352270210</v>
      </c>
      <c r="F209" s="1">
        <v>44931</v>
      </c>
      <c r="G209" t="str">
        <f>"89514"</f>
        <v>89514</v>
      </c>
      <c r="H209">
        <v>1</v>
      </c>
      <c r="I209">
        <v>378</v>
      </c>
      <c r="J209">
        <v>0</v>
      </c>
      <c r="K209" t="str">
        <f t="shared" si="32"/>
        <v>809</v>
      </c>
      <c r="L209">
        <v>555.66</v>
      </c>
    </row>
    <row r="210" spans="1:12" x14ac:dyDescent="0.25">
      <c r="A210" t="str">
        <f t="shared" si="33"/>
        <v>89301000</v>
      </c>
      <c r="B210" t="str">
        <f t="shared" si="30"/>
        <v>89895000</v>
      </c>
      <c r="C210" t="str">
        <f t="shared" si="31"/>
        <v>89895002</v>
      </c>
      <c r="D210">
        <v>89301212</v>
      </c>
      <c r="E210" t="str">
        <f>"6451070714"</f>
        <v>6451070714</v>
      </c>
      <c r="F210" s="1">
        <v>44957</v>
      </c>
      <c r="G210" t="str">
        <f>"89180"</f>
        <v>89180</v>
      </c>
      <c r="H210">
        <v>2</v>
      </c>
      <c r="I210">
        <v>762</v>
      </c>
      <c r="J210">
        <v>0</v>
      </c>
      <c r="K210" t="str">
        <f t="shared" si="32"/>
        <v>809</v>
      </c>
      <c r="L210">
        <v>1120.1400000000001</v>
      </c>
    </row>
    <row r="211" spans="1:12" x14ac:dyDescent="0.25">
      <c r="A211" t="str">
        <f t="shared" si="33"/>
        <v>89301000</v>
      </c>
      <c r="B211" t="str">
        <f t="shared" si="30"/>
        <v>89895000</v>
      </c>
      <c r="C211" t="str">
        <f t="shared" si="31"/>
        <v>89895002</v>
      </c>
      <c r="D211">
        <v>89301212</v>
      </c>
      <c r="E211" t="str">
        <f>"7054234462"</f>
        <v>7054234462</v>
      </c>
      <c r="F211" s="1">
        <v>44942</v>
      </c>
      <c r="G211" t="str">
        <f>"89180"</f>
        <v>89180</v>
      </c>
      <c r="H211">
        <v>2</v>
      </c>
      <c r="I211">
        <v>762</v>
      </c>
      <c r="J211">
        <v>0</v>
      </c>
      <c r="K211" t="str">
        <f t="shared" si="32"/>
        <v>809</v>
      </c>
      <c r="L211">
        <v>1120.1400000000001</v>
      </c>
    </row>
    <row r="212" spans="1:12" x14ac:dyDescent="0.25">
      <c r="A212" t="str">
        <f t="shared" si="33"/>
        <v>89301000</v>
      </c>
      <c r="B212" t="str">
        <f t="shared" si="30"/>
        <v>89895000</v>
      </c>
      <c r="C212" t="str">
        <f t="shared" si="31"/>
        <v>89895002</v>
      </c>
      <c r="D212">
        <v>89301212</v>
      </c>
      <c r="E212" t="str">
        <f>"7054234462"</f>
        <v>7054234462</v>
      </c>
      <c r="F212" s="1">
        <v>44942</v>
      </c>
      <c r="G212" t="str">
        <f>"89513"</f>
        <v>89513</v>
      </c>
      <c r="H212">
        <v>1</v>
      </c>
      <c r="I212">
        <v>378</v>
      </c>
      <c r="J212">
        <v>0</v>
      </c>
      <c r="K212" t="str">
        <f t="shared" si="32"/>
        <v>809</v>
      </c>
      <c r="L212">
        <v>555.66</v>
      </c>
    </row>
    <row r="213" spans="1:12" x14ac:dyDescent="0.25">
      <c r="A213" t="str">
        <f t="shared" si="33"/>
        <v>89301000</v>
      </c>
      <c r="B213" t="str">
        <f t="shared" si="30"/>
        <v>89895000</v>
      </c>
      <c r="C213" t="str">
        <f t="shared" si="31"/>
        <v>89895002</v>
      </c>
      <c r="D213">
        <v>89301212</v>
      </c>
      <c r="E213" t="str">
        <f>"7054234462"</f>
        <v>7054234462</v>
      </c>
      <c r="F213" s="1">
        <v>44942</v>
      </c>
      <c r="G213" t="str">
        <f>"89514"</f>
        <v>89514</v>
      </c>
      <c r="H213">
        <v>1</v>
      </c>
      <c r="I213">
        <v>378</v>
      </c>
      <c r="J213">
        <v>0</v>
      </c>
      <c r="K213" t="str">
        <f t="shared" si="32"/>
        <v>809</v>
      </c>
      <c r="L213">
        <v>555.66</v>
      </c>
    </row>
    <row r="214" spans="1:12" x14ac:dyDescent="0.25">
      <c r="A214" t="str">
        <f t="shared" si="33"/>
        <v>89301000</v>
      </c>
      <c r="B214" t="str">
        <f t="shared" si="30"/>
        <v>89895000</v>
      </c>
      <c r="C214" t="str">
        <f t="shared" si="31"/>
        <v>89895002</v>
      </c>
      <c r="D214">
        <v>89301212</v>
      </c>
      <c r="E214" t="str">
        <f>"7257148437"</f>
        <v>7257148437</v>
      </c>
      <c r="F214" s="1">
        <v>44956</v>
      </c>
      <c r="G214" t="str">
        <f>"89513"</f>
        <v>89513</v>
      </c>
      <c r="H214">
        <v>1</v>
      </c>
      <c r="I214">
        <v>378</v>
      </c>
      <c r="J214">
        <v>0</v>
      </c>
      <c r="K214" t="str">
        <f t="shared" si="32"/>
        <v>809</v>
      </c>
      <c r="L214">
        <v>555.66</v>
      </c>
    </row>
    <row r="215" spans="1:12" x14ac:dyDescent="0.25">
      <c r="A215" t="str">
        <f t="shared" si="33"/>
        <v>89301000</v>
      </c>
      <c r="B215" t="str">
        <f t="shared" si="30"/>
        <v>89895000</v>
      </c>
      <c r="C215" t="str">
        <f t="shared" si="31"/>
        <v>89895002</v>
      </c>
      <c r="D215">
        <v>89301212</v>
      </c>
      <c r="E215" t="str">
        <f>"7257148437"</f>
        <v>7257148437</v>
      </c>
      <c r="F215" s="1">
        <v>44956</v>
      </c>
      <c r="G215" t="str">
        <f>"89514"</f>
        <v>89514</v>
      </c>
      <c r="H215">
        <v>1</v>
      </c>
      <c r="I215">
        <v>378</v>
      </c>
      <c r="J215">
        <v>0</v>
      </c>
      <c r="K215" t="str">
        <f t="shared" si="32"/>
        <v>809</v>
      </c>
      <c r="L215">
        <v>555.66</v>
      </c>
    </row>
    <row r="216" spans="1:12" x14ac:dyDescent="0.25">
      <c r="A216" t="str">
        <f t="shared" si="33"/>
        <v>89301000</v>
      </c>
      <c r="B216" t="str">
        <f t="shared" si="30"/>
        <v>89895000</v>
      </c>
      <c r="C216" t="str">
        <f t="shared" si="31"/>
        <v>89895002</v>
      </c>
      <c r="D216">
        <v>89301212</v>
      </c>
      <c r="E216" t="str">
        <f>"7457174494"</f>
        <v>7457174494</v>
      </c>
      <c r="F216" s="1">
        <v>44937</v>
      </c>
      <c r="G216" t="str">
        <f>"89513"</f>
        <v>89513</v>
      </c>
      <c r="H216">
        <v>1</v>
      </c>
      <c r="I216">
        <v>378</v>
      </c>
      <c r="J216">
        <v>0</v>
      </c>
      <c r="K216" t="str">
        <f t="shared" si="32"/>
        <v>809</v>
      </c>
      <c r="L216">
        <v>555.66</v>
      </c>
    </row>
    <row r="217" spans="1:12" x14ac:dyDescent="0.25">
      <c r="A217" t="str">
        <f t="shared" si="33"/>
        <v>89301000</v>
      </c>
      <c r="B217" t="str">
        <f t="shared" si="30"/>
        <v>89895000</v>
      </c>
      <c r="C217" t="str">
        <f t="shared" si="31"/>
        <v>89895002</v>
      </c>
      <c r="D217">
        <v>89301212</v>
      </c>
      <c r="E217" t="str">
        <f>"7457174494"</f>
        <v>7457174494</v>
      </c>
      <c r="F217" s="1">
        <v>44937</v>
      </c>
      <c r="G217" t="str">
        <f>"89514"</f>
        <v>89514</v>
      </c>
      <c r="H217">
        <v>1</v>
      </c>
      <c r="I217">
        <v>378</v>
      </c>
      <c r="J217">
        <v>0</v>
      </c>
      <c r="K217" t="str">
        <f t="shared" si="32"/>
        <v>809</v>
      </c>
      <c r="L217">
        <v>555.66</v>
      </c>
    </row>
    <row r="218" spans="1:12" x14ac:dyDescent="0.25">
      <c r="A218" t="str">
        <f t="shared" si="33"/>
        <v>89301000</v>
      </c>
      <c r="B218" t="str">
        <f t="shared" si="30"/>
        <v>89895000</v>
      </c>
      <c r="C218" t="str">
        <f t="shared" si="31"/>
        <v>89895002</v>
      </c>
      <c r="D218">
        <v>89301212</v>
      </c>
      <c r="E218" t="str">
        <f>"7558165318"</f>
        <v>7558165318</v>
      </c>
      <c r="F218" s="1">
        <v>44936</v>
      </c>
      <c r="G218" t="str">
        <f>"89180"</f>
        <v>89180</v>
      </c>
      <c r="H218">
        <v>2</v>
      </c>
      <c r="I218">
        <v>762</v>
      </c>
      <c r="J218">
        <v>0</v>
      </c>
      <c r="K218" t="str">
        <f t="shared" si="32"/>
        <v>809</v>
      </c>
      <c r="L218">
        <v>1120.1400000000001</v>
      </c>
    </row>
    <row r="219" spans="1:12" x14ac:dyDescent="0.25">
      <c r="A219" t="str">
        <f t="shared" si="33"/>
        <v>89301000</v>
      </c>
      <c r="B219" t="str">
        <f t="shared" si="30"/>
        <v>89895000</v>
      </c>
      <c r="C219" t="str">
        <f t="shared" si="31"/>
        <v>89895002</v>
      </c>
      <c r="D219">
        <v>89301212</v>
      </c>
      <c r="E219" t="str">
        <f>"7558165318"</f>
        <v>7558165318</v>
      </c>
      <c r="F219" s="1">
        <v>44936</v>
      </c>
      <c r="G219" t="str">
        <f>"89512"</f>
        <v>89512</v>
      </c>
      <c r="H219">
        <v>1</v>
      </c>
      <c r="I219">
        <v>283</v>
      </c>
      <c r="J219">
        <v>0</v>
      </c>
      <c r="K219" t="str">
        <f t="shared" si="32"/>
        <v>809</v>
      </c>
      <c r="L219">
        <v>416.01</v>
      </c>
    </row>
    <row r="220" spans="1:12" x14ac:dyDescent="0.25">
      <c r="A220" t="str">
        <f t="shared" si="33"/>
        <v>89301000</v>
      </c>
      <c r="B220" t="str">
        <f t="shared" si="30"/>
        <v>89895000</v>
      </c>
      <c r="C220" t="str">
        <f t="shared" si="31"/>
        <v>89895002</v>
      </c>
      <c r="D220">
        <v>89301212</v>
      </c>
      <c r="E220" t="str">
        <f>"7560225365"</f>
        <v>7560225365</v>
      </c>
      <c r="F220" s="1">
        <v>44932</v>
      </c>
      <c r="G220" t="str">
        <f>"89514"</f>
        <v>89514</v>
      </c>
      <c r="H220">
        <v>1</v>
      </c>
      <c r="I220">
        <v>378</v>
      </c>
      <c r="J220">
        <v>0</v>
      </c>
      <c r="K220" t="str">
        <f t="shared" si="32"/>
        <v>809</v>
      </c>
      <c r="L220">
        <v>555.66</v>
      </c>
    </row>
    <row r="221" spans="1:12" x14ac:dyDescent="0.25">
      <c r="A221" t="str">
        <f t="shared" si="33"/>
        <v>89301000</v>
      </c>
      <c r="B221" t="str">
        <f t="shared" si="30"/>
        <v>89895000</v>
      </c>
      <c r="C221" t="str">
        <f t="shared" si="31"/>
        <v>89895002</v>
      </c>
      <c r="D221">
        <v>89301212</v>
      </c>
      <c r="E221" t="str">
        <f>"7560225365"</f>
        <v>7560225365</v>
      </c>
      <c r="F221" s="1">
        <v>44932</v>
      </c>
      <c r="G221" t="str">
        <f>"89513"</f>
        <v>89513</v>
      </c>
      <c r="H221">
        <v>1</v>
      </c>
      <c r="I221">
        <v>378</v>
      </c>
      <c r="J221">
        <v>0</v>
      </c>
      <c r="K221" t="str">
        <f t="shared" si="32"/>
        <v>809</v>
      </c>
      <c r="L221">
        <v>555.66</v>
      </c>
    </row>
    <row r="222" spans="1:12" x14ac:dyDescent="0.25">
      <c r="A222" t="str">
        <f t="shared" si="33"/>
        <v>89301000</v>
      </c>
      <c r="B222" t="str">
        <f t="shared" si="30"/>
        <v>89895000</v>
      </c>
      <c r="C222" t="str">
        <f t="shared" si="31"/>
        <v>89895002</v>
      </c>
      <c r="D222">
        <v>89301212</v>
      </c>
      <c r="E222" t="str">
        <f>"8052105325"</f>
        <v>8052105325</v>
      </c>
      <c r="F222" s="1">
        <v>44950</v>
      </c>
      <c r="G222" t="str">
        <f>"89513"</f>
        <v>89513</v>
      </c>
      <c r="H222">
        <v>1</v>
      </c>
      <c r="I222">
        <v>378</v>
      </c>
      <c r="J222">
        <v>0</v>
      </c>
      <c r="K222" t="str">
        <f t="shared" si="32"/>
        <v>809</v>
      </c>
      <c r="L222">
        <v>555.66</v>
      </c>
    </row>
    <row r="223" spans="1:12" x14ac:dyDescent="0.25">
      <c r="A223" t="str">
        <f t="shared" si="33"/>
        <v>89301000</v>
      </c>
      <c r="B223" t="str">
        <f t="shared" si="30"/>
        <v>89895000</v>
      </c>
      <c r="C223" t="str">
        <f t="shared" si="31"/>
        <v>89895002</v>
      </c>
      <c r="D223">
        <v>89301212</v>
      </c>
      <c r="E223" t="str">
        <f>"8052105325"</f>
        <v>8052105325</v>
      </c>
      <c r="F223" s="1">
        <v>44950</v>
      </c>
      <c r="G223" t="str">
        <f>"89514"</f>
        <v>89514</v>
      </c>
      <c r="H223">
        <v>1</v>
      </c>
      <c r="I223">
        <v>378</v>
      </c>
      <c r="J223">
        <v>0</v>
      </c>
      <c r="K223" t="str">
        <f t="shared" si="32"/>
        <v>809</v>
      </c>
      <c r="L223">
        <v>555.66</v>
      </c>
    </row>
    <row r="224" spans="1:12" x14ac:dyDescent="0.25">
      <c r="A224" t="str">
        <f t="shared" si="33"/>
        <v>89301000</v>
      </c>
      <c r="B224" t="str">
        <f t="shared" si="30"/>
        <v>89895000</v>
      </c>
      <c r="C224" t="str">
        <f t="shared" si="31"/>
        <v>89895002</v>
      </c>
      <c r="D224">
        <v>89301212</v>
      </c>
      <c r="E224" t="str">
        <f>"8353305334"</f>
        <v>8353305334</v>
      </c>
      <c r="F224" s="1">
        <v>44929</v>
      </c>
      <c r="G224" t="str">
        <f>"89512"</f>
        <v>89512</v>
      </c>
      <c r="H224">
        <v>1</v>
      </c>
      <c r="I224">
        <v>283</v>
      </c>
      <c r="J224">
        <v>0</v>
      </c>
      <c r="K224" t="str">
        <f t="shared" si="32"/>
        <v>809</v>
      </c>
      <c r="L224">
        <v>416.01</v>
      </c>
    </row>
    <row r="225" spans="1:12" x14ac:dyDescent="0.25">
      <c r="A225" t="str">
        <f t="shared" si="33"/>
        <v>89301000</v>
      </c>
      <c r="B225" t="str">
        <f>"89511000"</f>
        <v>89511000</v>
      </c>
      <c r="C225" t="str">
        <f>"89511001"</f>
        <v>89511001</v>
      </c>
      <c r="D225">
        <v>89301045</v>
      </c>
      <c r="E225" t="str">
        <f>"475514432"</f>
        <v>475514432</v>
      </c>
      <c r="F225" s="1">
        <v>44944</v>
      </c>
      <c r="G225" t="str">
        <f>"89513"</f>
        <v>89513</v>
      </c>
      <c r="H225">
        <v>1</v>
      </c>
      <c r="I225">
        <v>378</v>
      </c>
      <c r="J225">
        <v>0</v>
      </c>
      <c r="K225" t="str">
        <f t="shared" si="32"/>
        <v>809</v>
      </c>
      <c r="L225">
        <v>555.66</v>
      </c>
    </row>
    <row r="226" spans="1:12" x14ac:dyDescent="0.25">
      <c r="A226" t="str">
        <f t="shared" si="33"/>
        <v>89301000</v>
      </c>
      <c r="B226" t="str">
        <f>"89511000"</f>
        <v>89511000</v>
      </c>
      <c r="C226" t="str">
        <f>"89511001"</f>
        <v>89511001</v>
      </c>
      <c r="D226">
        <v>89301045</v>
      </c>
      <c r="E226" t="str">
        <f>"475514432"</f>
        <v>475514432</v>
      </c>
      <c r="F226" s="1">
        <v>44944</v>
      </c>
      <c r="G226" t="str">
        <f>"89514"</f>
        <v>89514</v>
      </c>
      <c r="H226">
        <v>1</v>
      </c>
      <c r="I226">
        <v>378</v>
      </c>
      <c r="J226">
        <v>0</v>
      </c>
      <c r="K226" t="str">
        <f t="shared" si="32"/>
        <v>809</v>
      </c>
      <c r="L226">
        <v>555.66</v>
      </c>
    </row>
    <row r="227" spans="1:12" x14ac:dyDescent="0.25">
      <c r="A227" t="str">
        <f t="shared" si="33"/>
        <v>89301000</v>
      </c>
      <c r="B227" t="str">
        <f t="shared" ref="B227:C229" si="34">"89434000"</f>
        <v>89434000</v>
      </c>
      <c r="C227" t="str">
        <f t="shared" si="34"/>
        <v>89434000</v>
      </c>
      <c r="D227">
        <v>89301034</v>
      </c>
      <c r="E227" t="str">
        <f>"7205122452"</f>
        <v>7205122452</v>
      </c>
      <c r="F227" s="1">
        <v>44950</v>
      </c>
      <c r="G227" t="str">
        <f>"89513"</f>
        <v>89513</v>
      </c>
      <c r="H227">
        <v>1</v>
      </c>
      <c r="I227">
        <v>378</v>
      </c>
      <c r="J227">
        <v>0</v>
      </c>
      <c r="K227" t="str">
        <f t="shared" si="32"/>
        <v>809</v>
      </c>
      <c r="L227">
        <v>555.66</v>
      </c>
    </row>
    <row r="228" spans="1:12" x14ac:dyDescent="0.25">
      <c r="A228" t="str">
        <f t="shared" si="33"/>
        <v>89301000</v>
      </c>
      <c r="B228" t="str">
        <f t="shared" si="34"/>
        <v>89434000</v>
      </c>
      <c r="C228" t="str">
        <f t="shared" si="34"/>
        <v>89434000</v>
      </c>
      <c r="D228">
        <v>89301034</v>
      </c>
      <c r="E228" t="str">
        <f>"7205122452"</f>
        <v>7205122452</v>
      </c>
      <c r="F228" s="1">
        <v>44950</v>
      </c>
      <c r="G228" t="str">
        <f>"89514"</f>
        <v>89514</v>
      </c>
      <c r="H228">
        <v>1</v>
      </c>
      <c r="I228">
        <v>378</v>
      </c>
      <c r="J228">
        <v>0</v>
      </c>
      <c r="K228" t="str">
        <f t="shared" si="32"/>
        <v>809</v>
      </c>
      <c r="L228">
        <v>555.66</v>
      </c>
    </row>
    <row r="229" spans="1:12" x14ac:dyDescent="0.25">
      <c r="A229" t="str">
        <f t="shared" si="33"/>
        <v>89301000</v>
      </c>
      <c r="B229" t="str">
        <f t="shared" si="34"/>
        <v>89434000</v>
      </c>
      <c r="C229" t="str">
        <f t="shared" si="34"/>
        <v>89434000</v>
      </c>
      <c r="D229">
        <v>89301212</v>
      </c>
      <c r="E229" t="str">
        <f>"9411095727"</f>
        <v>9411095727</v>
      </c>
      <c r="F229" s="1">
        <v>44936</v>
      </c>
      <c r="G229" t="str">
        <f>"89131"</f>
        <v>89131</v>
      </c>
      <c r="H229">
        <v>1</v>
      </c>
      <c r="I229">
        <v>190</v>
      </c>
      <c r="J229">
        <v>0</v>
      </c>
      <c r="K229" t="str">
        <f t="shared" si="32"/>
        <v>809</v>
      </c>
      <c r="L229">
        <v>279.3</v>
      </c>
    </row>
    <row r="230" spans="1:12" x14ac:dyDescent="0.25">
      <c r="A230" t="str">
        <f t="shared" si="33"/>
        <v>89301000</v>
      </c>
      <c r="B230" t="str">
        <f>"44564000"</f>
        <v>44564000</v>
      </c>
      <c r="C230" t="str">
        <f>"44564006"</f>
        <v>44564006</v>
      </c>
      <c r="D230">
        <v>89301212</v>
      </c>
      <c r="E230" t="str">
        <f>"476101468"</f>
        <v>476101468</v>
      </c>
      <c r="F230" s="1">
        <v>44932</v>
      </c>
      <c r="G230" t="str">
        <f>"94115"</f>
        <v>94115</v>
      </c>
      <c r="H230">
        <v>1</v>
      </c>
      <c r="I230">
        <v>10758</v>
      </c>
      <c r="J230">
        <v>0</v>
      </c>
      <c r="K230" t="str">
        <f>"816"</f>
        <v>816</v>
      </c>
      <c r="L230">
        <v>9682.2000000000007</v>
      </c>
    </row>
    <row r="231" spans="1:12" x14ac:dyDescent="0.25">
      <c r="A231" t="str">
        <f t="shared" si="33"/>
        <v>89301000</v>
      </c>
      <c r="B231" t="str">
        <f>"44564000"</f>
        <v>44564000</v>
      </c>
      <c r="C231" t="str">
        <f>"44564006"</f>
        <v>44564006</v>
      </c>
      <c r="D231">
        <v>89301375</v>
      </c>
      <c r="E231" t="str">
        <f>"7452264468"</f>
        <v>7452264468</v>
      </c>
      <c r="F231" s="1">
        <v>44942</v>
      </c>
      <c r="G231" t="str">
        <f>"94229"</f>
        <v>94229</v>
      </c>
      <c r="H231">
        <v>9</v>
      </c>
      <c r="I231">
        <v>5697</v>
      </c>
      <c r="J231">
        <v>0</v>
      </c>
      <c r="K231" t="str">
        <f>"816"</f>
        <v>816</v>
      </c>
      <c r="L231">
        <v>5127.3</v>
      </c>
    </row>
    <row r="232" spans="1:12" x14ac:dyDescent="0.25">
      <c r="A232" t="str">
        <f t="shared" si="33"/>
        <v>89301000</v>
      </c>
      <c r="B232" t="str">
        <f>"44564000"</f>
        <v>44564000</v>
      </c>
      <c r="C232" t="str">
        <f>"44564006"</f>
        <v>44564006</v>
      </c>
      <c r="D232">
        <v>89301375</v>
      </c>
      <c r="E232" t="str">
        <f>"7452264468"</f>
        <v>7452264468</v>
      </c>
      <c r="F232" s="1">
        <v>44942</v>
      </c>
      <c r="G232" t="str">
        <f>"94229"</f>
        <v>94229</v>
      </c>
      <c r="H232">
        <v>1</v>
      </c>
      <c r="I232">
        <v>633</v>
      </c>
      <c r="J232">
        <v>0</v>
      </c>
      <c r="K232" t="str">
        <f>"816"</f>
        <v>816</v>
      </c>
      <c r="L232">
        <v>569.70000000000005</v>
      </c>
    </row>
    <row r="233" spans="1:12" x14ac:dyDescent="0.25">
      <c r="A233" t="str">
        <f t="shared" si="33"/>
        <v>89301000</v>
      </c>
      <c r="B233" t="str">
        <f>"44564000"</f>
        <v>44564000</v>
      </c>
      <c r="C233" t="str">
        <f>"44564006"</f>
        <v>44564006</v>
      </c>
      <c r="D233">
        <v>89301375</v>
      </c>
      <c r="E233" t="str">
        <f>"7452264468"</f>
        <v>7452264468</v>
      </c>
      <c r="F233" s="1">
        <v>44942</v>
      </c>
      <c r="G233" t="str">
        <f>"94365"</f>
        <v>94365</v>
      </c>
      <c r="H233">
        <v>1</v>
      </c>
      <c r="I233">
        <v>36656</v>
      </c>
      <c r="J233">
        <v>0</v>
      </c>
      <c r="K233" t="str">
        <f>"816"</f>
        <v>816</v>
      </c>
      <c r="L233">
        <v>32990.400000000001</v>
      </c>
    </row>
    <row r="234" spans="1:12" x14ac:dyDescent="0.25">
      <c r="A234" t="str">
        <f t="shared" si="33"/>
        <v>89301000</v>
      </c>
      <c r="B234" t="str">
        <f t="shared" ref="B234:B265" si="35">"78051000"</f>
        <v>78051000</v>
      </c>
      <c r="C234" t="str">
        <f t="shared" ref="C234:C265" si="36">"78051004"</f>
        <v>78051004</v>
      </c>
      <c r="D234">
        <v>89301062</v>
      </c>
      <c r="E234" t="str">
        <f>"6503132416"</f>
        <v>6503132416</v>
      </c>
      <c r="F234" s="1">
        <v>44931</v>
      </c>
      <c r="G234" t="str">
        <f>"89311"</f>
        <v>89311</v>
      </c>
      <c r="H234">
        <v>1</v>
      </c>
      <c r="I234">
        <v>970</v>
      </c>
      <c r="J234">
        <v>0</v>
      </c>
      <c r="K234" t="str">
        <f t="shared" ref="K234:K265" si="37">"809"</f>
        <v>809</v>
      </c>
      <c r="L234">
        <v>1425.9</v>
      </c>
    </row>
    <row r="235" spans="1:12" x14ac:dyDescent="0.25">
      <c r="A235" t="str">
        <f t="shared" si="33"/>
        <v>89301000</v>
      </c>
      <c r="B235" t="str">
        <f t="shared" si="35"/>
        <v>78051000</v>
      </c>
      <c r="C235" t="str">
        <f t="shared" si="36"/>
        <v>78051004</v>
      </c>
      <c r="D235">
        <v>89301062</v>
      </c>
      <c r="E235" t="str">
        <f>"6503132416"</f>
        <v>6503132416</v>
      </c>
      <c r="F235" s="1">
        <v>44931</v>
      </c>
      <c r="G235" t="str">
        <f>"0090044"</f>
        <v>0090044</v>
      </c>
      <c r="H235">
        <v>1</v>
      </c>
      <c r="J235">
        <v>16.8</v>
      </c>
      <c r="K235" t="str">
        <f t="shared" si="37"/>
        <v>809</v>
      </c>
      <c r="L235">
        <v>16.8</v>
      </c>
    </row>
    <row r="236" spans="1:12" x14ac:dyDescent="0.25">
      <c r="A236" t="str">
        <f t="shared" si="33"/>
        <v>89301000</v>
      </c>
      <c r="B236" t="str">
        <f t="shared" si="35"/>
        <v>78051000</v>
      </c>
      <c r="C236" t="str">
        <f t="shared" si="36"/>
        <v>78051004</v>
      </c>
      <c r="D236">
        <v>89301062</v>
      </c>
      <c r="E236" t="str">
        <f>"6503132416"</f>
        <v>6503132416</v>
      </c>
      <c r="F236" s="1">
        <v>44931</v>
      </c>
      <c r="G236" t="str">
        <f>"0225891"</f>
        <v>0225891</v>
      </c>
      <c r="H236">
        <v>0.2</v>
      </c>
      <c r="J236">
        <v>73.540000000000006</v>
      </c>
      <c r="K236" t="str">
        <f t="shared" si="37"/>
        <v>809</v>
      </c>
      <c r="L236">
        <v>73.540000000000006</v>
      </c>
    </row>
    <row r="237" spans="1:12" x14ac:dyDescent="0.25">
      <c r="A237" t="str">
        <f t="shared" si="33"/>
        <v>89301000</v>
      </c>
      <c r="B237" t="str">
        <f t="shared" si="35"/>
        <v>78051000</v>
      </c>
      <c r="C237" t="str">
        <f t="shared" si="36"/>
        <v>78051004</v>
      </c>
      <c r="D237">
        <v>89301062</v>
      </c>
      <c r="E237" t="str">
        <f>"6503132416"</f>
        <v>6503132416</v>
      </c>
      <c r="F237" s="1">
        <v>44931</v>
      </c>
      <c r="G237" t="str">
        <f>"0096251"</f>
        <v>0096251</v>
      </c>
      <c r="H237">
        <v>0.17</v>
      </c>
      <c r="J237">
        <v>198.83</v>
      </c>
      <c r="K237" t="str">
        <f t="shared" si="37"/>
        <v>809</v>
      </c>
      <c r="L237">
        <v>198.83</v>
      </c>
    </row>
    <row r="238" spans="1:12" x14ac:dyDescent="0.25">
      <c r="A238" t="str">
        <f t="shared" si="33"/>
        <v>89301000</v>
      </c>
      <c r="B238" t="str">
        <f t="shared" si="35"/>
        <v>78051000</v>
      </c>
      <c r="C238" t="str">
        <f t="shared" si="36"/>
        <v>78051004</v>
      </c>
      <c r="D238">
        <v>89301062</v>
      </c>
      <c r="E238" t="str">
        <f>"6503132416"</f>
        <v>6503132416</v>
      </c>
      <c r="F238" s="1">
        <v>44931</v>
      </c>
      <c r="G238" t="str">
        <f>"0098943"</f>
        <v>0098943</v>
      </c>
      <c r="H238">
        <v>1</v>
      </c>
      <c r="J238">
        <v>293.81</v>
      </c>
      <c r="K238" t="str">
        <f t="shared" si="37"/>
        <v>809</v>
      </c>
      <c r="L238">
        <v>293.81</v>
      </c>
    </row>
    <row r="239" spans="1:12" x14ac:dyDescent="0.25">
      <c r="A239" t="str">
        <f t="shared" si="33"/>
        <v>89301000</v>
      </c>
      <c r="B239" t="str">
        <f t="shared" si="35"/>
        <v>78051000</v>
      </c>
      <c r="C239" t="str">
        <f t="shared" si="36"/>
        <v>78051004</v>
      </c>
      <c r="D239">
        <v>89301062</v>
      </c>
      <c r="E239" t="str">
        <f>"465418404"</f>
        <v>465418404</v>
      </c>
      <c r="F239" s="1">
        <v>44931</v>
      </c>
      <c r="G239" t="str">
        <f>"89311"</f>
        <v>89311</v>
      </c>
      <c r="H239">
        <v>1</v>
      </c>
      <c r="I239">
        <v>970</v>
      </c>
      <c r="J239">
        <v>0</v>
      </c>
      <c r="K239" t="str">
        <f t="shared" si="37"/>
        <v>809</v>
      </c>
      <c r="L239">
        <v>1425.9</v>
      </c>
    </row>
    <row r="240" spans="1:12" x14ac:dyDescent="0.25">
      <c r="A240" t="str">
        <f t="shared" si="33"/>
        <v>89301000</v>
      </c>
      <c r="B240" t="str">
        <f t="shared" si="35"/>
        <v>78051000</v>
      </c>
      <c r="C240" t="str">
        <f t="shared" si="36"/>
        <v>78051004</v>
      </c>
      <c r="D240">
        <v>89301062</v>
      </c>
      <c r="E240" t="str">
        <f>"465418404"</f>
        <v>465418404</v>
      </c>
      <c r="F240" s="1">
        <v>44931</v>
      </c>
      <c r="G240" t="str">
        <f>"0090044"</f>
        <v>0090044</v>
      </c>
      <c r="H240">
        <v>1</v>
      </c>
      <c r="J240">
        <v>16.8</v>
      </c>
      <c r="K240" t="str">
        <f t="shared" si="37"/>
        <v>809</v>
      </c>
      <c r="L240">
        <v>16.8</v>
      </c>
    </row>
    <row r="241" spans="1:12" x14ac:dyDescent="0.25">
      <c r="A241" t="str">
        <f t="shared" si="33"/>
        <v>89301000</v>
      </c>
      <c r="B241" t="str">
        <f t="shared" si="35"/>
        <v>78051000</v>
      </c>
      <c r="C241" t="str">
        <f t="shared" si="36"/>
        <v>78051004</v>
      </c>
      <c r="D241">
        <v>89301062</v>
      </c>
      <c r="E241" t="str">
        <f>"465418404"</f>
        <v>465418404</v>
      </c>
      <c r="F241" s="1">
        <v>44931</v>
      </c>
      <c r="G241" t="str">
        <f>"0225891"</f>
        <v>0225891</v>
      </c>
      <c r="H241">
        <v>0.2</v>
      </c>
      <c r="J241">
        <v>73.540000000000006</v>
      </c>
      <c r="K241" t="str">
        <f t="shared" si="37"/>
        <v>809</v>
      </c>
      <c r="L241">
        <v>73.540000000000006</v>
      </c>
    </row>
    <row r="242" spans="1:12" x14ac:dyDescent="0.25">
      <c r="A242" t="str">
        <f t="shared" si="33"/>
        <v>89301000</v>
      </c>
      <c r="B242" t="str">
        <f t="shared" si="35"/>
        <v>78051000</v>
      </c>
      <c r="C242" t="str">
        <f t="shared" si="36"/>
        <v>78051004</v>
      </c>
      <c r="D242">
        <v>89301062</v>
      </c>
      <c r="E242" t="str">
        <f>"465418404"</f>
        <v>465418404</v>
      </c>
      <c r="F242" s="1">
        <v>44931</v>
      </c>
      <c r="G242" t="str">
        <f>"0096251"</f>
        <v>0096251</v>
      </c>
      <c r="H242">
        <v>0.17</v>
      </c>
      <c r="J242">
        <v>198.83</v>
      </c>
      <c r="K242" t="str">
        <f t="shared" si="37"/>
        <v>809</v>
      </c>
      <c r="L242">
        <v>198.83</v>
      </c>
    </row>
    <row r="243" spans="1:12" x14ac:dyDescent="0.25">
      <c r="A243" t="str">
        <f t="shared" si="33"/>
        <v>89301000</v>
      </c>
      <c r="B243" t="str">
        <f t="shared" si="35"/>
        <v>78051000</v>
      </c>
      <c r="C243" t="str">
        <f t="shared" si="36"/>
        <v>78051004</v>
      </c>
      <c r="D243">
        <v>89301062</v>
      </c>
      <c r="E243" t="str">
        <f>"465418404"</f>
        <v>465418404</v>
      </c>
      <c r="F243" s="1">
        <v>44931</v>
      </c>
      <c r="G243" t="str">
        <f>"0098943"</f>
        <v>0098943</v>
      </c>
      <c r="H243">
        <v>1</v>
      </c>
      <c r="J243">
        <v>293.81</v>
      </c>
      <c r="K243" t="str">
        <f t="shared" si="37"/>
        <v>809</v>
      </c>
      <c r="L243">
        <v>293.81</v>
      </c>
    </row>
    <row r="244" spans="1:12" x14ac:dyDescent="0.25">
      <c r="A244" t="str">
        <f t="shared" si="33"/>
        <v>89301000</v>
      </c>
      <c r="B244" t="str">
        <f t="shared" si="35"/>
        <v>78051000</v>
      </c>
      <c r="C244" t="str">
        <f t="shared" si="36"/>
        <v>78051004</v>
      </c>
      <c r="D244">
        <v>89301062</v>
      </c>
      <c r="E244" t="str">
        <f>"440327472"</f>
        <v>440327472</v>
      </c>
      <c r="F244" s="1">
        <v>44931</v>
      </c>
      <c r="G244" t="str">
        <f>"89311"</f>
        <v>89311</v>
      </c>
      <c r="H244">
        <v>1</v>
      </c>
      <c r="I244">
        <v>970</v>
      </c>
      <c r="J244">
        <v>0</v>
      </c>
      <c r="K244" t="str">
        <f t="shared" si="37"/>
        <v>809</v>
      </c>
      <c r="L244">
        <v>1425.9</v>
      </c>
    </row>
    <row r="245" spans="1:12" x14ac:dyDescent="0.25">
      <c r="A245" t="str">
        <f t="shared" si="33"/>
        <v>89301000</v>
      </c>
      <c r="B245" t="str">
        <f t="shared" si="35"/>
        <v>78051000</v>
      </c>
      <c r="C245" t="str">
        <f t="shared" si="36"/>
        <v>78051004</v>
      </c>
      <c r="D245">
        <v>89301062</v>
      </c>
      <c r="E245" t="str">
        <f>"440327472"</f>
        <v>440327472</v>
      </c>
      <c r="F245" s="1">
        <v>44931</v>
      </c>
      <c r="G245" t="str">
        <f>"0090044"</f>
        <v>0090044</v>
      </c>
      <c r="H245">
        <v>1</v>
      </c>
      <c r="J245">
        <v>16.8</v>
      </c>
      <c r="K245" t="str">
        <f t="shared" si="37"/>
        <v>809</v>
      </c>
      <c r="L245">
        <v>16.8</v>
      </c>
    </row>
    <row r="246" spans="1:12" x14ac:dyDescent="0.25">
      <c r="A246" t="str">
        <f t="shared" si="33"/>
        <v>89301000</v>
      </c>
      <c r="B246" t="str">
        <f t="shared" si="35"/>
        <v>78051000</v>
      </c>
      <c r="C246" t="str">
        <f t="shared" si="36"/>
        <v>78051004</v>
      </c>
      <c r="D246">
        <v>89301062</v>
      </c>
      <c r="E246" t="str">
        <f>"440327472"</f>
        <v>440327472</v>
      </c>
      <c r="F246" s="1">
        <v>44931</v>
      </c>
      <c r="G246" t="str">
        <f>"0225891"</f>
        <v>0225891</v>
      </c>
      <c r="H246">
        <v>0.2</v>
      </c>
      <c r="J246">
        <v>73.540000000000006</v>
      </c>
      <c r="K246" t="str">
        <f t="shared" si="37"/>
        <v>809</v>
      </c>
      <c r="L246">
        <v>73.540000000000006</v>
      </c>
    </row>
    <row r="247" spans="1:12" x14ac:dyDescent="0.25">
      <c r="A247" t="str">
        <f t="shared" si="33"/>
        <v>89301000</v>
      </c>
      <c r="B247" t="str">
        <f t="shared" si="35"/>
        <v>78051000</v>
      </c>
      <c r="C247" t="str">
        <f t="shared" si="36"/>
        <v>78051004</v>
      </c>
      <c r="D247">
        <v>89301062</v>
      </c>
      <c r="E247" t="str">
        <f>"440327472"</f>
        <v>440327472</v>
      </c>
      <c r="F247" s="1">
        <v>44931</v>
      </c>
      <c r="G247" t="str">
        <f>"0096251"</f>
        <v>0096251</v>
      </c>
      <c r="H247">
        <v>0.17</v>
      </c>
      <c r="J247">
        <v>198.83</v>
      </c>
      <c r="K247" t="str">
        <f t="shared" si="37"/>
        <v>809</v>
      </c>
      <c r="L247">
        <v>198.83</v>
      </c>
    </row>
    <row r="248" spans="1:12" x14ac:dyDescent="0.25">
      <c r="A248" t="str">
        <f t="shared" si="33"/>
        <v>89301000</v>
      </c>
      <c r="B248" t="str">
        <f t="shared" si="35"/>
        <v>78051000</v>
      </c>
      <c r="C248" t="str">
        <f t="shared" si="36"/>
        <v>78051004</v>
      </c>
      <c r="D248">
        <v>89301062</v>
      </c>
      <c r="E248" t="str">
        <f>"440327472"</f>
        <v>440327472</v>
      </c>
      <c r="F248" s="1">
        <v>44931</v>
      </c>
      <c r="G248" t="str">
        <f>"0098943"</f>
        <v>0098943</v>
      </c>
      <c r="H248">
        <v>1</v>
      </c>
      <c r="J248">
        <v>293.81</v>
      </c>
      <c r="K248" t="str">
        <f t="shared" si="37"/>
        <v>809</v>
      </c>
      <c r="L248">
        <v>293.81</v>
      </c>
    </row>
    <row r="249" spans="1:12" x14ac:dyDescent="0.25">
      <c r="A249" t="str">
        <f t="shared" si="33"/>
        <v>89301000</v>
      </c>
      <c r="B249" t="str">
        <f t="shared" si="35"/>
        <v>78051000</v>
      </c>
      <c r="C249" t="str">
        <f t="shared" si="36"/>
        <v>78051004</v>
      </c>
      <c r="D249">
        <v>89301062</v>
      </c>
      <c r="E249" t="str">
        <f>"485508424"</f>
        <v>485508424</v>
      </c>
      <c r="F249" s="1">
        <v>44931</v>
      </c>
      <c r="G249" t="str">
        <f>"89311"</f>
        <v>89311</v>
      </c>
      <c r="H249">
        <v>1</v>
      </c>
      <c r="I249">
        <v>970</v>
      </c>
      <c r="J249">
        <v>0</v>
      </c>
      <c r="K249" t="str">
        <f t="shared" si="37"/>
        <v>809</v>
      </c>
      <c r="L249">
        <v>1425.9</v>
      </c>
    </row>
    <row r="250" spans="1:12" x14ac:dyDescent="0.25">
      <c r="A250" t="str">
        <f t="shared" si="33"/>
        <v>89301000</v>
      </c>
      <c r="B250" t="str">
        <f t="shared" si="35"/>
        <v>78051000</v>
      </c>
      <c r="C250" t="str">
        <f t="shared" si="36"/>
        <v>78051004</v>
      </c>
      <c r="D250">
        <v>89301062</v>
      </c>
      <c r="E250" t="str">
        <f>"485508424"</f>
        <v>485508424</v>
      </c>
      <c r="F250" s="1">
        <v>44931</v>
      </c>
      <c r="G250" t="str">
        <f>"0090044"</f>
        <v>0090044</v>
      </c>
      <c r="H250">
        <v>1</v>
      </c>
      <c r="J250">
        <v>16.8</v>
      </c>
      <c r="K250" t="str">
        <f t="shared" si="37"/>
        <v>809</v>
      </c>
      <c r="L250">
        <v>16.8</v>
      </c>
    </row>
    <row r="251" spans="1:12" x14ac:dyDescent="0.25">
      <c r="A251" t="str">
        <f t="shared" si="33"/>
        <v>89301000</v>
      </c>
      <c r="B251" t="str">
        <f t="shared" si="35"/>
        <v>78051000</v>
      </c>
      <c r="C251" t="str">
        <f t="shared" si="36"/>
        <v>78051004</v>
      </c>
      <c r="D251">
        <v>89301062</v>
      </c>
      <c r="E251" t="str">
        <f>"485508424"</f>
        <v>485508424</v>
      </c>
      <c r="F251" s="1">
        <v>44931</v>
      </c>
      <c r="G251" t="str">
        <f>"0225891"</f>
        <v>0225891</v>
      </c>
      <c r="H251">
        <v>0.2</v>
      </c>
      <c r="J251">
        <v>73.540000000000006</v>
      </c>
      <c r="K251" t="str">
        <f t="shared" si="37"/>
        <v>809</v>
      </c>
      <c r="L251">
        <v>73.540000000000006</v>
      </c>
    </row>
    <row r="252" spans="1:12" x14ac:dyDescent="0.25">
      <c r="A252" t="str">
        <f t="shared" si="33"/>
        <v>89301000</v>
      </c>
      <c r="B252" t="str">
        <f t="shared" si="35"/>
        <v>78051000</v>
      </c>
      <c r="C252" t="str">
        <f t="shared" si="36"/>
        <v>78051004</v>
      </c>
      <c r="D252">
        <v>89301062</v>
      </c>
      <c r="E252" t="str">
        <f>"485508424"</f>
        <v>485508424</v>
      </c>
      <c r="F252" s="1">
        <v>44931</v>
      </c>
      <c r="G252" t="str">
        <f>"0096251"</f>
        <v>0096251</v>
      </c>
      <c r="H252">
        <v>0.17</v>
      </c>
      <c r="J252">
        <v>198.83</v>
      </c>
      <c r="K252" t="str">
        <f t="shared" si="37"/>
        <v>809</v>
      </c>
      <c r="L252">
        <v>198.83</v>
      </c>
    </row>
    <row r="253" spans="1:12" x14ac:dyDescent="0.25">
      <c r="A253" t="str">
        <f t="shared" si="33"/>
        <v>89301000</v>
      </c>
      <c r="B253" t="str">
        <f t="shared" si="35"/>
        <v>78051000</v>
      </c>
      <c r="C253" t="str">
        <f t="shared" si="36"/>
        <v>78051004</v>
      </c>
      <c r="D253">
        <v>89301062</v>
      </c>
      <c r="E253" t="str">
        <f>"485508424"</f>
        <v>485508424</v>
      </c>
      <c r="F253" s="1">
        <v>44931</v>
      </c>
      <c r="G253" t="str">
        <f>"0098943"</f>
        <v>0098943</v>
      </c>
      <c r="H253">
        <v>1</v>
      </c>
      <c r="J253">
        <v>293.81</v>
      </c>
      <c r="K253" t="str">
        <f t="shared" si="37"/>
        <v>809</v>
      </c>
      <c r="L253">
        <v>293.81</v>
      </c>
    </row>
    <row r="254" spans="1:12" x14ac:dyDescent="0.25">
      <c r="A254" t="str">
        <f t="shared" si="33"/>
        <v>89301000</v>
      </c>
      <c r="B254" t="str">
        <f t="shared" si="35"/>
        <v>78051000</v>
      </c>
      <c r="C254" t="str">
        <f t="shared" si="36"/>
        <v>78051004</v>
      </c>
      <c r="D254">
        <v>89301062</v>
      </c>
      <c r="E254" t="str">
        <f>"6012081152"</f>
        <v>6012081152</v>
      </c>
      <c r="F254" s="1">
        <v>44931</v>
      </c>
      <c r="G254" t="str">
        <f>"89311"</f>
        <v>89311</v>
      </c>
      <c r="H254">
        <v>1</v>
      </c>
      <c r="I254">
        <v>970</v>
      </c>
      <c r="J254">
        <v>0</v>
      </c>
      <c r="K254" t="str">
        <f t="shared" si="37"/>
        <v>809</v>
      </c>
      <c r="L254">
        <v>1425.9</v>
      </c>
    </row>
    <row r="255" spans="1:12" x14ac:dyDescent="0.25">
      <c r="A255" t="str">
        <f t="shared" si="33"/>
        <v>89301000</v>
      </c>
      <c r="B255" t="str">
        <f t="shared" si="35"/>
        <v>78051000</v>
      </c>
      <c r="C255" t="str">
        <f t="shared" si="36"/>
        <v>78051004</v>
      </c>
      <c r="D255">
        <v>89301062</v>
      </c>
      <c r="E255" t="str">
        <f>"6012081152"</f>
        <v>6012081152</v>
      </c>
      <c r="F255" s="1">
        <v>44931</v>
      </c>
      <c r="G255" t="str">
        <f>"0090044"</f>
        <v>0090044</v>
      </c>
      <c r="H255">
        <v>1</v>
      </c>
      <c r="J255">
        <v>16.8</v>
      </c>
      <c r="K255" t="str">
        <f t="shared" si="37"/>
        <v>809</v>
      </c>
      <c r="L255">
        <v>16.8</v>
      </c>
    </row>
    <row r="256" spans="1:12" x14ac:dyDescent="0.25">
      <c r="A256" t="str">
        <f t="shared" si="33"/>
        <v>89301000</v>
      </c>
      <c r="B256" t="str">
        <f t="shared" si="35"/>
        <v>78051000</v>
      </c>
      <c r="C256" t="str">
        <f t="shared" si="36"/>
        <v>78051004</v>
      </c>
      <c r="D256">
        <v>89301062</v>
      </c>
      <c r="E256" t="str">
        <f>"6012081152"</f>
        <v>6012081152</v>
      </c>
      <c r="F256" s="1">
        <v>44931</v>
      </c>
      <c r="G256" t="str">
        <f>"0225891"</f>
        <v>0225891</v>
      </c>
      <c r="H256">
        <v>0.2</v>
      </c>
      <c r="J256">
        <v>73.540000000000006</v>
      </c>
      <c r="K256" t="str">
        <f t="shared" si="37"/>
        <v>809</v>
      </c>
      <c r="L256">
        <v>73.540000000000006</v>
      </c>
    </row>
    <row r="257" spans="1:12" x14ac:dyDescent="0.25">
      <c r="A257" t="str">
        <f t="shared" si="33"/>
        <v>89301000</v>
      </c>
      <c r="B257" t="str">
        <f t="shared" si="35"/>
        <v>78051000</v>
      </c>
      <c r="C257" t="str">
        <f t="shared" si="36"/>
        <v>78051004</v>
      </c>
      <c r="D257">
        <v>89301062</v>
      </c>
      <c r="E257" t="str">
        <f>"6012081152"</f>
        <v>6012081152</v>
      </c>
      <c r="F257" s="1">
        <v>44931</v>
      </c>
      <c r="G257" t="str">
        <f>"0096251"</f>
        <v>0096251</v>
      </c>
      <c r="H257">
        <v>0.17</v>
      </c>
      <c r="J257">
        <v>198.83</v>
      </c>
      <c r="K257" t="str">
        <f t="shared" si="37"/>
        <v>809</v>
      </c>
      <c r="L257">
        <v>198.83</v>
      </c>
    </row>
    <row r="258" spans="1:12" x14ac:dyDescent="0.25">
      <c r="A258" t="str">
        <f t="shared" ref="A258:A321" si="38">"89301000"</f>
        <v>89301000</v>
      </c>
      <c r="B258" t="str">
        <f t="shared" si="35"/>
        <v>78051000</v>
      </c>
      <c r="C258" t="str">
        <f t="shared" si="36"/>
        <v>78051004</v>
      </c>
      <c r="D258">
        <v>89301062</v>
      </c>
      <c r="E258" t="str">
        <f>"6012081152"</f>
        <v>6012081152</v>
      </c>
      <c r="F258" s="1">
        <v>44931</v>
      </c>
      <c r="G258" t="str">
        <f>"0098943"</f>
        <v>0098943</v>
      </c>
      <c r="H258">
        <v>1</v>
      </c>
      <c r="J258">
        <v>293.81</v>
      </c>
      <c r="K258" t="str">
        <f t="shared" si="37"/>
        <v>809</v>
      </c>
      <c r="L258">
        <v>293.81</v>
      </c>
    </row>
    <row r="259" spans="1:12" x14ac:dyDescent="0.25">
      <c r="A259" t="str">
        <f t="shared" si="38"/>
        <v>89301000</v>
      </c>
      <c r="B259" t="str">
        <f t="shared" si="35"/>
        <v>78051000</v>
      </c>
      <c r="C259" t="str">
        <f t="shared" si="36"/>
        <v>78051004</v>
      </c>
      <c r="D259">
        <v>89301062</v>
      </c>
      <c r="E259" t="str">
        <f>"6706170174"</f>
        <v>6706170174</v>
      </c>
      <c r="F259" s="1">
        <v>44937</v>
      </c>
      <c r="G259" t="str">
        <f>"89311"</f>
        <v>89311</v>
      </c>
      <c r="H259">
        <v>1</v>
      </c>
      <c r="I259">
        <v>970</v>
      </c>
      <c r="J259">
        <v>0</v>
      </c>
      <c r="K259" t="str">
        <f t="shared" si="37"/>
        <v>809</v>
      </c>
      <c r="L259">
        <v>1425.9</v>
      </c>
    </row>
    <row r="260" spans="1:12" x14ac:dyDescent="0.25">
      <c r="A260" t="str">
        <f t="shared" si="38"/>
        <v>89301000</v>
      </c>
      <c r="B260" t="str">
        <f t="shared" si="35"/>
        <v>78051000</v>
      </c>
      <c r="C260" t="str">
        <f t="shared" si="36"/>
        <v>78051004</v>
      </c>
      <c r="D260">
        <v>89301062</v>
      </c>
      <c r="E260" t="str">
        <f>"6706170174"</f>
        <v>6706170174</v>
      </c>
      <c r="F260" s="1">
        <v>44937</v>
      </c>
      <c r="G260" t="str">
        <f>"0090044"</f>
        <v>0090044</v>
      </c>
      <c r="H260">
        <v>1</v>
      </c>
      <c r="J260">
        <v>16.8</v>
      </c>
      <c r="K260" t="str">
        <f t="shared" si="37"/>
        <v>809</v>
      </c>
      <c r="L260">
        <v>16.8</v>
      </c>
    </row>
    <row r="261" spans="1:12" x14ac:dyDescent="0.25">
      <c r="A261" t="str">
        <f t="shared" si="38"/>
        <v>89301000</v>
      </c>
      <c r="B261" t="str">
        <f t="shared" si="35"/>
        <v>78051000</v>
      </c>
      <c r="C261" t="str">
        <f t="shared" si="36"/>
        <v>78051004</v>
      </c>
      <c r="D261">
        <v>89301062</v>
      </c>
      <c r="E261" t="str">
        <f>"6706170174"</f>
        <v>6706170174</v>
      </c>
      <c r="F261" s="1">
        <v>44937</v>
      </c>
      <c r="G261" t="str">
        <f>"0225891"</f>
        <v>0225891</v>
      </c>
      <c r="H261">
        <v>0.2</v>
      </c>
      <c r="J261">
        <v>73.540000000000006</v>
      </c>
      <c r="K261" t="str">
        <f t="shared" si="37"/>
        <v>809</v>
      </c>
      <c r="L261">
        <v>73.540000000000006</v>
      </c>
    </row>
    <row r="262" spans="1:12" x14ac:dyDescent="0.25">
      <c r="A262" t="str">
        <f t="shared" si="38"/>
        <v>89301000</v>
      </c>
      <c r="B262" t="str">
        <f t="shared" si="35"/>
        <v>78051000</v>
      </c>
      <c r="C262" t="str">
        <f t="shared" si="36"/>
        <v>78051004</v>
      </c>
      <c r="D262">
        <v>89301062</v>
      </c>
      <c r="E262" t="str">
        <f>"6706170174"</f>
        <v>6706170174</v>
      </c>
      <c r="F262" s="1">
        <v>44937</v>
      </c>
      <c r="G262" t="str">
        <f>"0096251"</f>
        <v>0096251</v>
      </c>
      <c r="H262">
        <v>0.17</v>
      </c>
      <c r="J262">
        <v>198.83</v>
      </c>
      <c r="K262" t="str">
        <f t="shared" si="37"/>
        <v>809</v>
      </c>
      <c r="L262">
        <v>198.83</v>
      </c>
    </row>
    <row r="263" spans="1:12" x14ac:dyDescent="0.25">
      <c r="A263" t="str">
        <f t="shared" si="38"/>
        <v>89301000</v>
      </c>
      <c r="B263" t="str">
        <f t="shared" si="35"/>
        <v>78051000</v>
      </c>
      <c r="C263" t="str">
        <f t="shared" si="36"/>
        <v>78051004</v>
      </c>
      <c r="D263">
        <v>89301062</v>
      </c>
      <c r="E263" t="str">
        <f>"6706170174"</f>
        <v>6706170174</v>
      </c>
      <c r="F263" s="1">
        <v>44937</v>
      </c>
      <c r="G263" t="str">
        <f>"0098943"</f>
        <v>0098943</v>
      </c>
      <c r="H263">
        <v>1</v>
      </c>
      <c r="J263">
        <v>293.81</v>
      </c>
      <c r="K263" t="str">
        <f t="shared" si="37"/>
        <v>809</v>
      </c>
      <c r="L263">
        <v>293.81</v>
      </c>
    </row>
    <row r="264" spans="1:12" x14ac:dyDescent="0.25">
      <c r="A264" t="str">
        <f t="shared" si="38"/>
        <v>89301000</v>
      </c>
      <c r="B264" t="str">
        <f t="shared" si="35"/>
        <v>78051000</v>
      </c>
      <c r="C264" t="str">
        <f t="shared" si="36"/>
        <v>78051004</v>
      </c>
      <c r="D264">
        <v>89301062</v>
      </c>
      <c r="E264" t="str">
        <f>"6751181624"</f>
        <v>6751181624</v>
      </c>
      <c r="F264" s="1">
        <v>44937</v>
      </c>
      <c r="G264" t="str">
        <f>"89311"</f>
        <v>89311</v>
      </c>
      <c r="H264">
        <v>1</v>
      </c>
      <c r="I264">
        <v>970</v>
      </c>
      <c r="J264">
        <v>0</v>
      </c>
      <c r="K264" t="str">
        <f t="shared" si="37"/>
        <v>809</v>
      </c>
      <c r="L264">
        <v>1425.9</v>
      </c>
    </row>
    <row r="265" spans="1:12" x14ac:dyDescent="0.25">
      <c r="A265" t="str">
        <f t="shared" si="38"/>
        <v>89301000</v>
      </c>
      <c r="B265" t="str">
        <f t="shared" si="35"/>
        <v>78051000</v>
      </c>
      <c r="C265" t="str">
        <f t="shared" si="36"/>
        <v>78051004</v>
      </c>
      <c r="D265">
        <v>89301062</v>
      </c>
      <c r="E265" t="str">
        <f>"6751181624"</f>
        <v>6751181624</v>
      </c>
      <c r="F265" s="1">
        <v>44937</v>
      </c>
      <c r="G265" t="str">
        <f>"0090044"</f>
        <v>0090044</v>
      </c>
      <c r="H265">
        <v>1</v>
      </c>
      <c r="J265">
        <v>16.8</v>
      </c>
      <c r="K265" t="str">
        <f t="shared" si="37"/>
        <v>809</v>
      </c>
      <c r="L265">
        <v>16.8</v>
      </c>
    </row>
    <row r="266" spans="1:12" x14ac:dyDescent="0.25">
      <c r="A266" t="str">
        <f t="shared" si="38"/>
        <v>89301000</v>
      </c>
      <c r="B266" t="str">
        <f t="shared" ref="B266:B297" si="39">"78051000"</f>
        <v>78051000</v>
      </c>
      <c r="C266" t="str">
        <f t="shared" ref="C266:C297" si="40">"78051004"</f>
        <v>78051004</v>
      </c>
      <c r="D266">
        <v>89301062</v>
      </c>
      <c r="E266" t="str">
        <f>"6751181624"</f>
        <v>6751181624</v>
      </c>
      <c r="F266" s="1">
        <v>44937</v>
      </c>
      <c r="G266" t="str">
        <f>"0225891"</f>
        <v>0225891</v>
      </c>
      <c r="H266">
        <v>0.2</v>
      </c>
      <c r="J266">
        <v>73.540000000000006</v>
      </c>
      <c r="K266" t="str">
        <f t="shared" ref="K266:K297" si="41">"809"</f>
        <v>809</v>
      </c>
      <c r="L266">
        <v>73.540000000000006</v>
      </c>
    </row>
    <row r="267" spans="1:12" x14ac:dyDescent="0.25">
      <c r="A267" t="str">
        <f t="shared" si="38"/>
        <v>89301000</v>
      </c>
      <c r="B267" t="str">
        <f t="shared" si="39"/>
        <v>78051000</v>
      </c>
      <c r="C267" t="str">
        <f t="shared" si="40"/>
        <v>78051004</v>
      </c>
      <c r="D267">
        <v>89301062</v>
      </c>
      <c r="E267" t="str">
        <f>"6751181624"</f>
        <v>6751181624</v>
      </c>
      <c r="F267" s="1">
        <v>44937</v>
      </c>
      <c r="G267" t="str">
        <f>"0096251"</f>
        <v>0096251</v>
      </c>
      <c r="H267">
        <v>0.17</v>
      </c>
      <c r="J267">
        <v>198.83</v>
      </c>
      <c r="K267" t="str">
        <f t="shared" si="41"/>
        <v>809</v>
      </c>
      <c r="L267">
        <v>198.83</v>
      </c>
    </row>
    <row r="268" spans="1:12" x14ac:dyDescent="0.25">
      <c r="A268" t="str">
        <f t="shared" si="38"/>
        <v>89301000</v>
      </c>
      <c r="B268" t="str">
        <f t="shared" si="39"/>
        <v>78051000</v>
      </c>
      <c r="C268" t="str">
        <f t="shared" si="40"/>
        <v>78051004</v>
      </c>
      <c r="D268">
        <v>89301062</v>
      </c>
      <c r="E268" t="str">
        <f>"6751181624"</f>
        <v>6751181624</v>
      </c>
      <c r="F268" s="1">
        <v>44937</v>
      </c>
      <c r="G268" t="str">
        <f>"0098943"</f>
        <v>0098943</v>
      </c>
      <c r="H268">
        <v>1</v>
      </c>
      <c r="J268">
        <v>293.81</v>
      </c>
      <c r="K268" t="str">
        <f t="shared" si="41"/>
        <v>809</v>
      </c>
      <c r="L268">
        <v>293.81</v>
      </c>
    </row>
    <row r="269" spans="1:12" x14ac:dyDescent="0.25">
      <c r="A269" t="str">
        <f t="shared" si="38"/>
        <v>89301000</v>
      </c>
      <c r="B269" t="str">
        <f t="shared" si="39"/>
        <v>78051000</v>
      </c>
      <c r="C269" t="str">
        <f t="shared" si="40"/>
        <v>78051004</v>
      </c>
      <c r="D269">
        <v>89301062</v>
      </c>
      <c r="E269" t="str">
        <f>"6259260271"</f>
        <v>6259260271</v>
      </c>
      <c r="F269" s="1">
        <v>44937</v>
      </c>
      <c r="G269" t="str">
        <f>"89311"</f>
        <v>89311</v>
      </c>
      <c r="H269">
        <v>1</v>
      </c>
      <c r="I269">
        <v>970</v>
      </c>
      <c r="J269">
        <v>0</v>
      </c>
      <c r="K269" t="str">
        <f t="shared" si="41"/>
        <v>809</v>
      </c>
      <c r="L269">
        <v>1425.9</v>
      </c>
    </row>
    <row r="270" spans="1:12" x14ac:dyDescent="0.25">
      <c r="A270" t="str">
        <f t="shared" si="38"/>
        <v>89301000</v>
      </c>
      <c r="B270" t="str">
        <f t="shared" si="39"/>
        <v>78051000</v>
      </c>
      <c r="C270" t="str">
        <f t="shared" si="40"/>
        <v>78051004</v>
      </c>
      <c r="D270">
        <v>89301062</v>
      </c>
      <c r="E270" t="str">
        <f>"6259260271"</f>
        <v>6259260271</v>
      </c>
      <c r="F270" s="1">
        <v>44937</v>
      </c>
      <c r="G270" t="str">
        <f>"0090044"</f>
        <v>0090044</v>
      </c>
      <c r="H270">
        <v>1</v>
      </c>
      <c r="J270">
        <v>16.8</v>
      </c>
      <c r="K270" t="str">
        <f t="shared" si="41"/>
        <v>809</v>
      </c>
      <c r="L270">
        <v>16.8</v>
      </c>
    </row>
    <row r="271" spans="1:12" x14ac:dyDescent="0.25">
      <c r="A271" t="str">
        <f t="shared" si="38"/>
        <v>89301000</v>
      </c>
      <c r="B271" t="str">
        <f t="shared" si="39"/>
        <v>78051000</v>
      </c>
      <c r="C271" t="str">
        <f t="shared" si="40"/>
        <v>78051004</v>
      </c>
      <c r="D271">
        <v>89301062</v>
      </c>
      <c r="E271" t="str">
        <f>"6259260271"</f>
        <v>6259260271</v>
      </c>
      <c r="F271" s="1">
        <v>44937</v>
      </c>
      <c r="G271" t="str">
        <f>"0225891"</f>
        <v>0225891</v>
      </c>
      <c r="H271">
        <v>0.2</v>
      </c>
      <c r="J271">
        <v>73.540000000000006</v>
      </c>
      <c r="K271" t="str">
        <f t="shared" si="41"/>
        <v>809</v>
      </c>
      <c r="L271">
        <v>73.540000000000006</v>
      </c>
    </row>
    <row r="272" spans="1:12" x14ac:dyDescent="0.25">
      <c r="A272" t="str">
        <f t="shared" si="38"/>
        <v>89301000</v>
      </c>
      <c r="B272" t="str">
        <f t="shared" si="39"/>
        <v>78051000</v>
      </c>
      <c r="C272" t="str">
        <f t="shared" si="40"/>
        <v>78051004</v>
      </c>
      <c r="D272">
        <v>89301062</v>
      </c>
      <c r="E272" t="str">
        <f>"6259260271"</f>
        <v>6259260271</v>
      </c>
      <c r="F272" s="1">
        <v>44937</v>
      </c>
      <c r="G272" t="str">
        <f>"0096251"</f>
        <v>0096251</v>
      </c>
      <c r="H272">
        <v>0.17</v>
      </c>
      <c r="J272">
        <v>198.83</v>
      </c>
      <c r="K272" t="str">
        <f t="shared" si="41"/>
        <v>809</v>
      </c>
      <c r="L272">
        <v>198.83</v>
      </c>
    </row>
    <row r="273" spans="1:12" x14ac:dyDescent="0.25">
      <c r="A273" t="str">
        <f t="shared" si="38"/>
        <v>89301000</v>
      </c>
      <c r="B273" t="str">
        <f t="shared" si="39"/>
        <v>78051000</v>
      </c>
      <c r="C273" t="str">
        <f t="shared" si="40"/>
        <v>78051004</v>
      </c>
      <c r="D273">
        <v>89301062</v>
      </c>
      <c r="E273" t="str">
        <f>"6259260271"</f>
        <v>6259260271</v>
      </c>
      <c r="F273" s="1">
        <v>44937</v>
      </c>
      <c r="G273" t="str">
        <f>"0098943"</f>
        <v>0098943</v>
      </c>
      <c r="H273">
        <v>1</v>
      </c>
      <c r="J273">
        <v>293.81</v>
      </c>
      <c r="K273" t="str">
        <f t="shared" si="41"/>
        <v>809</v>
      </c>
      <c r="L273">
        <v>293.81</v>
      </c>
    </row>
    <row r="274" spans="1:12" x14ac:dyDescent="0.25">
      <c r="A274" t="str">
        <f t="shared" si="38"/>
        <v>89301000</v>
      </c>
      <c r="B274" t="str">
        <f t="shared" si="39"/>
        <v>78051000</v>
      </c>
      <c r="C274" t="str">
        <f t="shared" si="40"/>
        <v>78051004</v>
      </c>
      <c r="D274">
        <v>89301062</v>
      </c>
      <c r="E274" t="str">
        <f>"5552181272"</f>
        <v>5552181272</v>
      </c>
      <c r="F274" s="1">
        <v>44944</v>
      </c>
      <c r="G274" t="str">
        <f>"89311"</f>
        <v>89311</v>
      </c>
      <c r="H274">
        <v>1</v>
      </c>
      <c r="I274">
        <v>970</v>
      </c>
      <c r="J274">
        <v>0</v>
      </c>
      <c r="K274" t="str">
        <f t="shared" si="41"/>
        <v>809</v>
      </c>
      <c r="L274">
        <v>1425.9</v>
      </c>
    </row>
    <row r="275" spans="1:12" x14ac:dyDescent="0.25">
      <c r="A275" t="str">
        <f t="shared" si="38"/>
        <v>89301000</v>
      </c>
      <c r="B275" t="str">
        <f t="shared" si="39"/>
        <v>78051000</v>
      </c>
      <c r="C275" t="str">
        <f t="shared" si="40"/>
        <v>78051004</v>
      </c>
      <c r="D275">
        <v>89301062</v>
      </c>
      <c r="E275" t="str">
        <f>"5552181272"</f>
        <v>5552181272</v>
      </c>
      <c r="F275" s="1">
        <v>44944</v>
      </c>
      <c r="G275" t="str">
        <f>"0090044"</f>
        <v>0090044</v>
      </c>
      <c r="H275">
        <v>1</v>
      </c>
      <c r="J275">
        <v>16.8</v>
      </c>
      <c r="K275" t="str">
        <f t="shared" si="41"/>
        <v>809</v>
      </c>
      <c r="L275">
        <v>16.8</v>
      </c>
    </row>
    <row r="276" spans="1:12" x14ac:dyDescent="0.25">
      <c r="A276" t="str">
        <f t="shared" si="38"/>
        <v>89301000</v>
      </c>
      <c r="B276" t="str">
        <f t="shared" si="39"/>
        <v>78051000</v>
      </c>
      <c r="C276" t="str">
        <f t="shared" si="40"/>
        <v>78051004</v>
      </c>
      <c r="D276">
        <v>89301062</v>
      </c>
      <c r="E276" t="str">
        <f>"5552181272"</f>
        <v>5552181272</v>
      </c>
      <c r="F276" s="1">
        <v>44944</v>
      </c>
      <c r="G276" t="str">
        <f>"0225891"</f>
        <v>0225891</v>
      </c>
      <c r="H276">
        <v>0.2</v>
      </c>
      <c r="J276">
        <v>73.540000000000006</v>
      </c>
      <c r="K276" t="str">
        <f t="shared" si="41"/>
        <v>809</v>
      </c>
      <c r="L276">
        <v>73.540000000000006</v>
      </c>
    </row>
    <row r="277" spans="1:12" x14ac:dyDescent="0.25">
      <c r="A277" t="str">
        <f t="shared" si="38"/>
        <v>89301000</v>
      </c>
      <c r="B277" t="str">
        <f t="shared" si="39"/>
        <v>78051000</v>
      </c>
      <c r="C277" t="str">
        <f t="shared" si="40"/>
        <v>78051004</v>
      </c>
      <c r="D277">
        <v>89301062</v>
      </c>
      <c r="E277" t="str">
        <f>"5552181272"</f>
        <v>5552181272</v>
      </c>
      <c r="F277" s="1">
        <v>44944</v>
      </c>
      <c r="G277" t="str">
        <f>"0096251"</f>
        <v>0096251</v>
      </c>
      <c r="H277">
        <v>0.17</v>
      </c>
      <c r="J277">
        <v>198.83</v>
      </c>
      <c r="K277" t="str">
        <f t="shared" si="41"/>
        <v>809</v>
      </c>
      <c r="L277">
        <v>198.83</v>
      </c>
    </row>
    <row r="278" spans="1:12" x14ac:dyDescent="0.25">
      <c r="A278" t="str">
        <f t="shared" si="38"/>
        <v>89301000</v>
      </c>
      <c r="B278" t="str">
        <f t="shared" si="39"/>
        <v>78051000</v>
      </c>
      <c r="C278" t="str">
        <f t="shared" si="40"/>
        <v>78051004</v>
      </c>
      <c r="D278">
        <v>89301062</v>
      </c>
      <c r="E278" t="str">
        <f>"5552181272"</f>
        <v>5552181272</v>
      </c>
      <c r="F278" s="1">
        <v>44944</v>
      </c>
      <c r="G278" t="str">
        <f>"0098943"</f>
        <v>0098943</v>
      </c>
      <c r="H278">
        <v>1</v>
      </c>
      <c r="J278">
        <v>293.81</v>
      </c>
      <c r="K278" t="str">
        <f t="shared" si="41"/>
        <v>809</v>
      </c>
      <c r="L278">
        <v>293.81</v>
      </c>
    </row>
    <row r="279" spans="1:12" x14ac:dyDescent="0.25">
      <c r="A279" t="str">
        <f t="shared" si="38"/>
        <v>89301000</v>
      </c>
      <c r="B279" t="str">
        <f t="shared" si="39"/>
        <v>78051000</v>
      </c>
      <c r="C279" t="str">
        <f t="shared" si="40"/>
        <v>78051004</v>
      </c>
      <c r="D279">
        <v>89301062</v>
      </c>
      <c r="E279" t="str">
        <f>"460722402"</f>
        <v>460722402</v>
      </c>
      <c r="F279" s="1">
        <v>44944</v>
      </c>
      <c r="G279" t="str">
        <f>"89311"</f>
        <v>89311</v>
      </c>
      <c r="H279">
        <v>1</v>
      </c>
      <c r="I279">
        <v>970</v>
      </c>
      <c r="J279">
        <v>0</v>
      </c>
      <c r="K279" t="str">
        <f t="shared" si="41"/>
        <v>809</v>
      </c>
      <c r="L279">
        <v>1425.9</v>
      </c>
    </row>
    <row r="280" spans="1:12" x14ac:dyDescent="0.25">
      <c r="A280" t="str">
        <f t="shared" si="38"/>
        <v>89301000</v>
      </c>
      <c r="B280" t="str">
        <f t="shared" si="39"/>
        <v>78051000</v>
      </c>
      <c r="C280" t="str">
        <f t="shared" si="40"/>
        <v>78051004</v>
      </c>
      <c r="D280">
        <v>89301062</v>
      </c>
      <c r="E280" t="str">
        <f>"460722402"</f>
        <v>460722402</v>
      </c>
      <c r="F280" s="1">
        <v>44944</v>
      </c>
      <c r="G280" t="str">
        <f>"0090044"</f>
        <v>0090044</v>
      </c>
      <c r="H280">
        <v>1</v>
      </c>
      <c r="J280">
        <v>16.8</v>
      </c>
      <c r="K280" t="str">
        <f t="shared" si="41"/>
        <v>809</v>
      </c>
      <c r="L280">
        <v>16.8</v>
      </c>
    </row>
    <row r="281" spans="1:12" x14ac:dyDescent="0.25">
      <c r="A281" t="str">
        <f t="shared" si="38"/>
        <v>89301000</v>
      </c>
      <c r="B281" t="str">
        <f t="shared" si="39"/>
        <v>78051000</v>
      </c>
      <c r="C281" t="str">
        <f t="shared" si="40"/>
        <v>78051004</v>
      </c>
      <c r="D281">
        <v>89301062</v>
      </c>
      <c r="E281" t="str">
        <f>"460722402"</f>
        <v>460722402</v>
      </c>
      <c r="F281" s="1">
        <v>44944</v>
      </c>
      <c r="G281" t="str">
        <f>"0225891"</f>
        <v>0225891</v>
      </c>
      <c r="H281">
        <v>0.2</v>
      </c>
      <c r="J281">
        <v>73.540000000000006</v>
      </c>
      <c r="K281" t="str">
        <f t="shared" si="41"/>
        <v>809</v>
      </c>
      <c r="L281">
        <v>73.540000000000006</v>
      </c>
    </row>
    <row r="282" spans="1:12" x14ac:dyDescent="0.25">
      <c r="A282" t="str">
        <f t="shared" si="38"/>
        <v>89301000</v>
      </c>
      <c r="B282" t="str">
        <f t="shared" si="39"/>
        <v>78051000</v>
      </c>
      <c r="C282" t="str">
        <f t="shared" si="40"/>
        <v>78051004</v>
      </c>
      <c r="D282">
        <v>89301062</v>
      </c>
      <c r="E282" t="str">
        <f>"460722402"</f>
        <v>460722402</v>
      </c>
      <c r="F282" s="1">
        <v>44944</v>
      </c>
      <c r="G282" t="str">
        <f>"0096251"</f>
        <v>0096251</v>
      </c>
      <c r="H282">
        <v>0.17</v>
      </c>
      <c r="J282">
        <v>198.83</v>
      </c>
      <c r="K282" t="str">
        <f t="shared" si="41"/>
        <v>809</v>
      </c>
      <c r="L282">
        <v>198.83</v>
      </c>
    </row>
    <row r="283" spans="1:12" x14ac:dyDescent="0.25">
      <c r="A283" t="str">
        <f t="shared" si="38"/>
        <v>89301000</v>
      </c>
      <c r="B283" t="str">
        <f t="shared" si="39"/>
        <v>78051000</v>
      </c>
      <c r="C283" t="str">
        <f t="shared" si="40"/>
        <v>78051004</v>
      </c>
      <c r="D283">
        <v>89301062</v>
      </c>
      <c r="E283" t="str">
        <f>"460722402"</f>
        <v>460722402</v>
      </c>
      <c r="F283" s="1">
        <v>44944</v>
      </c>
      <c r="G283" t="str">
        <f>"0098943"</f>
        <v>0098943</v>
      </c>
      <c r="H283">
        <v>1</v>
      </c>
      <c r="J283">
        <v>293.81</v>
      </c>
      <c r="K283" t="str">
        <f t="shared" si="41"/>
        <v>809</v>
      </c>
      <c r="L283">
        <v>293.81</v>
      </c>
    </row>
    <row r="284" spans="1:12" x14ac:dyDescent="0.25">
      <c r="A284" t="str">
        <f t="shared" si="38"/>
        <v>89301000</v>
      </c>
      <c r="B284" t="str">
        <f t="shared" si="39"/>
        <v>78051000</v>
      </c>
      <c r="C284" t="str">
        <f t="shared" si="40"/>
        <v>78051004</v>
      </c>
      <c r="D284">
        <v>89301062</v>
      </c>
      <c r="E284" t="str">
        <f>"5404263403"</f>
        <v>5404263403</v>
      </c>
      <c r="F284" s="1">
        <v>44944</v>
      </c>
      <c r="G284" t="str">
        <f>"89311"</f>
        <v>89311</v>
      </c>
      <c r="H284">
        <v>1</v>
      </c>
      <c r="I284">
        <v>970</v>
      </c>
      <c r="J284">
        <v>0</v>
      </c>
      <c r="K284" t="str">
        <f t="shared" si="41"/>
        <v>809</v>
      </c>
      <c r="L284">
        <v>1425.9</v>
      </c>
    </row>
    <row r="285" spans="1:12" x14ac:dyDescent="0.25">
      <c r="A285" t="str">
        <f t="shared" si="38"/>
        <v>89301000</v>
      </c>
      <c r="B285" t="str">
        <f t="shared" si="39"/>
        <v>78051000</v>
      </c>
      <c r="C285" t="str">
        <f t="shared" si="40"/>
        <v>78051004</v>
      </c>
      <c r="D285">
        <v>89301062</v>
      </c>
      <c r="E285" t="str">
        <f>"5404263403"</f>
        <v>5404263403</v>
      </c>
      <c r="F285" s="1">
        <v>44944</v>
      </c>
      <c r="G285" t="str">
        <f>"0090044"</f>
        <v>0090044</v>
      </c>
      <c r="H285">
        <v>1</v>
      </c>
      <c r="J285">
        <v>16.8</v>
      </c>
      <c r="K285" t="str">
        <f t="shared" si="41"/>
        <v>809</v>
      </c>
      <c r="L285">
        <v>16.8</v>
      </c>
    </row>
    <row r="286" spans="1:12" x14ac:dyDescent="0.25">
      <c r="A286" t="str">
        <f t="shared" si="38"/>
        <v>89301000</v>
      </c>
      <c r="B286" t="str">
        <f t="shared" si="39"/>
        <v>78051000</v>
      </c>
      <c r="C286" t="str">
        <f t="shared" si="40"/>
        <v>78051004</v>
      </c>
      <c r="D286">
        <v>89301062</v>
      </c>
      <c r="E286" t="str">
        <f>"5404263403"</f>
        <v>5404263403</v>
      </c>
      <c r="F286" s="1">
        <v>44944</v>
      </c>
      <c r="G286" t="str">
        <f>"0225891"</f>
        <v>0225891</v>
      </c>
      <c r="H286">
        <v>0.2</v>
      </c>
      <c r="J286">
        <v>73.540000000000006</v>
      </c>
      <c r="K286" t="str">
        <f t="shared" si="41"/>
        <v>809</v>
      </c>
      <c r="L286">
        <v>73.540000000000006</v>
      </c>
    </row>
    <row r="287" spans="1:12" x14ac:dyDescent="0.25">
      <c r="A287" t="str">
        <f t="shared" si="38"/>
        <v>89301000</v>
      </c>
      <c r="B287" t="str">
        <f t="shared" si="39"/>
        <v>78051000</v>
      </c>
      <c r="C287" t="str">
        <f t="shared" si="40"/>
        <v>78051004</v>
      </c>
      <c r="D287">
        <v>89301062</v>
      </c>
      <c r="E287" t="str">
        <f>"5404263403"</f>
        <v>5404263403</v>
      </c>
      <c r="F287" s="1">
        <v>44944</v>
      </c>
      <c r="G287" t="str">
        <f>"0096251"</f>
        <v>0096251</v>
      </c>
      <c r="H287">
        <v>0.17</v>
      </c>
      <c r="J287">
        <v>198.83</v>
      </c>
      <c r="K287" t="str">
        <f t="shared" si="41"/>
        <v>809</v>
      </c>
      <c r="L287">
        <v>198.83</v>
      </c>
    </row>
    <row r="288" spans="1:12" x14ac:dyDescent="0.25">
      <c r="A288" t="str">
        <f t="shared" si="38"/>
        <v>89301000</v>
      </c>
      <c r="B288" t="str">
        <f t="shared" si="39"/>
        <v>78051000</v>
      </c>
      <c r="C288" t="str">
        <f t="shared" si="40"/>
        <v>78051004</v>
      </c>
      <c r="D288">
        <v>89301062</v>
      </c>
      <c r="E288" t="str">
        <f>"5404263403"</f>
        <v>5404263403</v>
      </c>
      <c r="F288" s="1">
        <v>44944</v>
      </c>
      <c r="G288" t="str">
        <f>"0098943"</f>
        <v>0098943</v>
      </c>
      <c r="H288">
        <v>1</v>
      </c>
      <c r="J288">
        <v>293.81</v>
      </c>
      <c r="K288" t="str">
        <f t="shared" si="41"/>
        <v>809</v>
      </c>
      <c r="L288">
        <v>293.81</v>
      </c>
    </row>
    <row r="289" spans="1:12" x14ac:dyDescent="0.25">
      <c r="A289" t="str">
        <f t="shared" si="38"/>
        <v>89301000</v>
      </c>
      <c r="B289" t="str">
        <f t="shared" si="39"/>
        <v>78051000</v>
      </c>
      <c r="C289" t="str">
        <f t="shared" si="40"/>
        <v>78051004</v>
      </c>
      <c r="D289">
        <v>89301062</v>
      </c>
      <c r="E289" t="str">
        <f>"505218020"</f>
        <v>505218020</v>
      </c>
      <c r="F289" s="1">
        <v>44944</v>
      </c>
      <c r="G289" t="str">
        <f>"89311"</f>
        <v>89311</v>
      </c>
      <c r="H289">
        <v>1</v>
      </c>
      <c r="I289">
        <v>970</v>
      </c>
      <c r="J289">
        <v>0</v>
      </c>
      <c r="K289" t="str">
        <f t="shared" si="41"/>
        <v>809</v>
      </c>
      <c r="L289">
        <v>1425.9</v>
      </c>
    </row>
    <row r="290" spans="1:12" x14ac:dyDescent="0.25">
      <c r="A290" t="str">
        <f t="shared" si="38"/>
        <v>89301000</v>
      </c>
      <c r="B290" t="str">
        <f t="shared" si="39"/>
        <v>78051000</v>
      </c>
      <c r="C290" t="str">
        <f t="shared" si="40"/>
        <v>78051004</v>
      </c>
      <c r="D290">
        <v>89301062</v>
      </c>
      <c r="E290" t="str">
        <f>"505218020"</f>
        <v>505218020</v>
      </c>
      <c r="F290" s="1">
        <v>44944</v>
      </c>
      <c r="G290" t="str">
        <f>"0090044"</f>
        <v>0090044</v>
      </c>
      <c r="H290">
        <v>1</v>
      </c>
      <c r="J290">
        <v>16.8</v>
      </c>
      <c r="K290" t="str">
        <f t="shared" si="41"/>
        <v>809</v>
      </c>
      <c r="L290">
        <v>16.8</v>
      </c>
    </row>
    <row r="291" spans="1:12" x14ac:dyDescent="0.25">
      <c r="A291" t="str">
        <f t="shared" si="38"/>
        <v>89301000</v>
      </c>
      <c r="B291" t="str">
        <f t="shared" si="39"/>
        <v>78051000</v>
      </c>
      <c r="C291" t="str">
        <f t="shared" si="40"/>
        <v>78051004</v>
      </c>
      <c r="D291">
        <v>89301062</v>
      </c>
      <c r="E291" t="str">
        <f>"505218020"</f>
        <v>505218020</v>
      </c>
      <c r="F291" s="1">
        <v>44944</v>
      </c>
      <c r="G291" t="str">
        <f>"0225891"</f>
        <v>0225891</v>
      </c>
      <c r="H291">
        <v>0.2</v>
      </c>
      <c r="J291">
        <v>73.540000000000006</v>
      </c>
      <c r="K291" t="str">
        <f t="shared" si="41"/>
        <v>809</v>
      </c>
      <c r="L291">
        <v>73.540000000000006</v>
      </c>
    </row>
    <row r="292" spans="1:12" x14ac:dyDescent="0.25">
      <c r="A292" t="str">
        <f t="shared" si="38"/>
        <v>89301000</v>
      </c>
      <c r="B292" t="str">
        <f t="shared" si="39"/>
        <v>78051000</v>
      </c>
      <c r="C292" t="str">
        <f t="shared" si="40"/>
        <v>78051004</v>
      </c>
      <c r="D292">
        <v>89301062</v>
      </c>
      <c r="E292" t="str">
        <f>"505218020"</f>
        <v>505218020</v>
      </c>
      <c r="F292" s="1">
        <v>44944</v>
      </c>
      <c r="G292" t="str">
        <f>"0096251"</f>
        <v>0096251</v>
      </c>
      <c r="H292">
        <v>0.17</v>
      </c>
      <c r="J292">
        <v>198.83</v>
      </c>
      <c r="K292" t="str">
        <f t="shared" si="41"/>
        <v>809</v>
      </c>
      <c r="L292">
        <v>198.83</v>
      </c>
    </row>
    <row r="293" spans="1:12" x14ac:dyDescent="0.25">
      <c r="A293" t="str">
        <f t="shared" si="38"/>
        <v>89301000</v>
      </c>
      <c r="B293" t="str">
        <f t="shared" si="39"/>
        <v>78051000</v>
      </c>
      <c r="C293" t="str">
        <f t="shared" si="40"/>
        <v>78051004</v>
      </c>
      <c r="D293">
        <v>89301062</v>
      </c>
      <c r="E293" t="str">
        <f>"505218020"</f>
        <v>505218020</v>
      </c>
      <c r="F293" s="1">
        <v>44944</v>
      </c>
      <c r="G293" t="str">
        <f>"0098943"</f>
        <v>0098943</v>
      </c>
      <c r="H293">
        <v>1</v>
      </c>
      <c r="J293">
        <v>293.81</v>
      </c>
      <c r="K293" t="str">
        <f t="shared" si="41"/>
        <v>809</v>
      </c>
      <c r="L293">
        <v>293.81</v>
      </c>
    </row>
    <row r="294" spans="1:12" x14ac:dyDescent="0.25">
      <c r="A294" t="str">
        <f t="shared" si="38"/>
        <v>89301000</v>
      </c>
      <c r="B294" t="str">
        <f t="shared" si="39"/>
        <v>78051000</v>
      </c>
      <c r="C294" t="str">
        <f t="shared" si="40"/>
        <v>78051004</v>
      </c>
      <c r="D294">
        <v>89301212</v>
      </c>
      <c r="E294" t="str">
        <f>"435208418"</f>
        <v>435208418</v>
      </c>
      <c r="F294" s="1">
        <v>44946</v>
      </c>
      <c r="G294" t="str">
        <f>"89312"</f>
        <v>89312</v>
      </c>
      <c r="H294">
        <v>3</v>
      </c>
      <c r="I294">
        <v>936</v>
      </c>
      <c r="J294">
        <v>0</v>
      </c>
      <c r="K294" t="str">
        <f t="shared" si="41"/>
        <v>809</v>
      </c>
      <c r="L294">
        <v>1020.24</v>
      </c>
    </row>
    <row r="295" spans="1:12" x14ac:dyDescent="0.25">
      <c r="A295" t="str">
        <f t="shared" si="38"/>
        <v>89301000</v>
      </c>
      <c r="B295" t="str">
        <f t="shared" si="39"/>
        <v>78051000</v>
      </c>
      <c r="C295" t="str">
        <f t="shared" si="40"/>
        <v>78051004</v>
      </c>
      <c r="D295">
        <v>89301062</v>
      </c>
      <c r="E295" t="str">
        <f>"8809144916"</f>
        <v>8809144916</v>
      </c>
      <c r="F295" s="1">
        <v>44951</v>
      </c>
      <c r="G295" t="str">
        <f>"89311"</f>
        <v>89311</v>
      </c>
      <c r="H295">
        <v>1</v>
      </c>
      <c r="I295">
        <v>970</v>
      </c>
      <c r="J295">
        <v>0</v>
      </c>
      <c r="K295" t="str">
        <f t="shared" si="41"/>
        <v>809</v>
      </c>
      <c r="L295">
        <v>1425.9</v>
      </c>
    </row>
    <row r="296" spans="1:12" x14ac:dyDescent="0.25">
      <c r="A296" t="str">
        <f t="shared" si="38"/>
        <v>89301000</v>
      </c>
      <c r="B296" t="str">
        <f t="shared" si="39"/>
        <v>78051000</v>
      </c>
      <c r="C296" t="str">
        <f t="shared" si="40"/>
        <v>78051004</v>
      </c>
      <c r="D296">
        <v>89301062</v>
      </c>
      <c r="E296" t="str">
        <f>"8809144916"</f>
        <v>8809144916</v>
      </c>
      <c r="F296" s="1">
        <v>44951</v>
      </c>
      <c r="G296" t="str">
        <f>"0090044"</f>
        <v>0090044</v>
      </c>
      <c r="H296">
        <v>1</v>
      </c>
      <c r="J296">
        <v>16.8</v>
      </c>
      <c r="K296" t="str">
        <f t="shared" si="41"/>
        <v>809</v>
      </c>
      <c r="L296">
        <v>16.8</v>
      </c>
    </row>
    <row r="297" spans="1:12" x14ac:dyDescent="0.25">
      <c r="A297" t="str">
        <f t="shared" si="38"/>
        <v>89301000</v>
      </c>
      <c r="B297" t="str">
        <f t="shared" si="39"/>
        <v>78051000</v>
      </c>
      <c r="C297" t="str">
        <f t="shared" si="40"/>
        <v>78051004</v>
      </c>
      <c r="D297">
        <v>89301062</v>
      </c>
      <c r="E297" t="str">
        <f>"8809144916"</f>
        <v>8809144916</v>
      </c>
      <c r="F297" s="1">
        <v>44951</v>
      </c>
      <c r="G297" t="str">
        <f>"0225891"</f>
        <v>0225891</v>
      </c>
      <c r="H297">
        <v>0.2</v>
      </c>
      <c r="J297">
        <v>73.540000000000006</v>
      </c>
      <c r="K297" t="str">
        <f t="shared" si="41"/>
        <v>809</v>
      </c>
      <c r="L297">
        <v>73.540000000000006</v>
      </c>
    </row>
    <row r="298" spans="1:12" x14ac:dyDescent="0.25">
      <c r="A298" t="str">
        <f t="shared" si="38"/>
        <v>89301000</v>
      </c>
      <c r="B298" t="str">
        <f t="shared" ref="B298:B329" si="42">"78051000"</f>
        <v>78051000</v>
      </c>
      <c r="C298" t="str">
        <f t="shared" ref="C298:C324" si="43">"78051004"</f>
        <v>78051004</v>
      </c>
      <c r="D298">
        <v>89301062</v>
      </c>
      <c r="E298" t="str">
        <f>"8809144916"</f>
        <v>8809144916</v>
      </c>
      <c r="F298" s="1">
        <v>44951</v>
      </c>
      <c r="G298" t="str">
        <f>"0096251"</f>
        <v>0096251</v>
      </c>
      <c r="H298">
        <v>0.17</v>
      </c>
      <c r="J298">
        <v>198.83</v>
      </c>
      <c r="K298" t="str">
        <f t="shared" ref="K298:K324" si="44">"809"</f>
        <v>809</v>
      </c>
      <c r="L298">
        <v>198.83</v>
      </c>
    </row>
    <row r="299" spans="1:12" x14ac:dyDescent="0.25">
      <c r="A299" t="str">
        <f t="shared" si="38"/>
        <v>89301000</v>
      </c>
      <c r="B299" t="str">
        <f t="shared" si="42"/>
        <v>78051000</v>
      </c>
      <c r="C299" t="str">
        <f t="shared" si="43"/>
        <v>78051004</v>
      </c>
      <c r="D299">
        <v>89301062</v>
      </c>
      <c r="E299" t="str">
        <f>"8809144916"</f>
        <v>8809144916</v>
      </c>
      <c r="F299" s="1">
        <v>44951</v>
      </c>
      <c r="G299" t="str">
        <f>"0098943"</f>
        <v>0098943</v>
      </c>
      <c r="H299">
        <v>1</v>
      </c>
      <c r="J299">
        <v>293.81</v>
      </c>
      <c r="K299" t="str">
        <f t="shared" si="44"/>
        <v>809</v>
      </c>
      <c r="L299">
        <v>293.81</v>
      </c>
    </row>
    <row r="300" spans="1:12" x14ac:dyDescent="0.25">
      <c r="A300" t="str">
        <f t="shared" si="38"/>
        <v>89301000</v>
      </c>
      <c r="B300" t="str">
        <f t="shared" si="42"/>
        <v>78051000</v>
      </c>
      <c r="C300" t="str">
        <f t="shared" si="43"/>
        <v>78051004</v>
      </c>
      <c r="D300">
        <v>89301062</v>
      </c>
      <c r="E300" t="str">
        <f>"7551035844"</f>
        <v>7551035844</v>
      </c>
      <c r="F300" s="1">
        <v>44951</v>
      </c>
      <c r="G300" t="str">
        <f>"89311"</f>
        <v>89311</v>
      </c>
      <c r="H300">
        <v>1</v>
      </c>
      <c r="I300">
        <v>970</v>
      </c>
      <c r="J300">
        <v>0</v>
      </c>
      <c r="K300" t="str">
        <f t="shared" si="44"/>
        <v>809</v>
      </c>
      <c r="L300">
        <v>1425.9</v>
      </c>
    </row>
    <row r="301" spans="1:12" x14ac:dyDescent="0.25">
      <c r="A301" t="str">
        <f t="shared" si="38"/>
        <v>89301000</v>
      </c>
      <c r="B301" t="str">
        <f t="shared" si="42"/>
        <v>78051000</v>
      </c>
      <c r="C301" t="str">
        <f t="shared" si="43"/>
        <v>78051004</v>
      </c>
      <c r="D301">
        <v>89301062</v>
      </c>
      <c r="E301" t="str">
        <f>"7551035844"</f>
        <v>7551035844</v>
      </c>
      <c r="F301" s="1">
        <v>44951</v>
      </c>
      <c r="G301" t="str">
        <f>"0090044"</f>
        <v>0090044</v>
      </c>
      <c r="H301">
        <v>1</v>
      </c>
      <c r="J301">
        <v>16.8</v>
      </c>
      <c r="K301" t="str">
        <f t="shared" si="44"/>
        <v>809</v>
      </c>
      <c r="L301">
        <v>16.8</v>
      </c>
    </row>
    <row r="302" spans="1:12" x14ac:dyDescent="0.25">
      <c r="A302" t="str">
        <f t="shared" si="38"/>
        <v>89301000</v>
      </c>
      <c r="B302" t="str">
        <f t="shared" si="42"/>
        <v>78051000</v>
      </c>
      <c r="C302" t="str">
        <f t="shared" si="43"/>
        <v>78051004</v>
      </c>
      <c r="D302">
        <v>89301062</v>
      </c>
      <c r="E302" t="str">
        <f>"7551035844"</f>
        <v>7551035844</v>
      </c>
      <c r="F302" s="1">
        <v>44951</v>
      </c>
      <c r="G302" t="str">
        <f>"0225891"</f>
        <v>0225891</v>
      </c>
      <c r="H302">
        <v>0.2</v>
      </c>
      <c r="J302">
        <v>73.540000000000006</v>
      </c>
      <c r="K302" t="str">
        <f t="shared" si="44"/>
        <v>809</v>
      </c>
      <c r="L302">
        <v>73.540000000000006</v>
      </c>
    </row>
    <row r="303" spans="1:12" x14ac:dyDescent="0.25">
      <c r="A303" t="str">
        <f t="shared" si="38"/>
        <v>89301000</v>
      </c>
      <c r="B303" t="str">
        <f t="shared" si="42"/>
        <v>78051000</v>
      </c>
      <c r="C303" t="str">
        <f t="shared" si="43"/>
        <v>78051004</v>
      </c>
      <c r="D303">
        <v>89301062</v>
      </c>
      <c r="E303" t="str">
        <f>"7551035844"</f>
        <v>7551035844</v>
      </c>
      <c r="F303" s="1">
        <v>44951</v>
      </c>
      <c r="G303" t="str">
        <f>"0096251"</f>
        <v>0096251</v>
      </c>
      <c r="H303">
        <v>0.17</v>
      </c>
      <c r="J303">
        <v>198.83</v>
      </c>
      <c r="K303" t="str">
        <f t="shared" si="44"/>
        <v>809</v>
      </c>
      <c r="L303">
        <v>198.83</v>
      </c>
    </row>
    <row r="304" spans="1:12" x14ac:dyDescent="0.25">
      <c r="A304" t="str">
        <f t="shared" si="38"/>
        <v>89301000</v>
      </c>
      <c r="B304" t="str">
        <f t="shared" si="42"/>
        <v>78051000</v>
      </c>
      <c r="C304" t="str">
        <f t="shared" si="43"/>
        <v>78051004</v>
      </c>
      <c r="D304">
        <v>89301062</v>
      </c>
      <c r="E304" t="str">
        <f>"7551035844"</f>
        <v>7551035844</v>
      </c>
      <c r="F304" s="1">
        <v>44951</v>
      </c>
      <c r="G304" t="str">
        <f>"0098943"</f>
        <v>0098943</v>
      </c>
      <c r="H304">
        <v>1</v>
      </c>
      <c r="J304">
        <v>293.81</v>
      </c>
      <c r="K304" t="str">
        <f t="shared" si="44"/>
        <v>809</v>
      </c>
      <c r="L304">
        <v>293.81</v>
      </c>
    </row>
    <row r="305" spans="1:12" x14ac:dyDescent="0.25">
      <c r="A305" t="str">
        <f t="shared" si="38"/>
        <v>89301000</v>
      </c>
      <c r="B305" t="str">
        <f t="shared" si="42"/>
        <v>78051000</v>
      </c>
      <c r="C305" t="str">
        <f t="shared" si="43"/>
        <v>78051004</v>
      </c>
      <c r="D305">
        <v>89301062</v>
      </c>
      <c r="E305" t="str">
        <f>"6110021115"</f>
        <v>6110021115</v>
      </c>
      <c r="F305" s="1">
        <v>44957</v>
      </c>
      <c r="G305" t="str">
        <f>"89311"</f>
        <v>89311</v>
      </c>
      <c r="H305">
        <v>1</v>
      </c>
      <c r="I305">
        <v>970</v>
      </c>
      <c r="J305">
        <v>0</v>
      </c>
      <c r="K305" t="str">
        <f t="shared" si="44"/>
        <v>809</v>
      </c>
      <c r="L305">
        <v>1425.9</v>
      </c>
    </row>
    <row r="306" spans="1:12" x14ac:dyDescent="0.25">
      <c r="A306" t="str">
        <f t="shared" si="38"/>
        <v>89301000</v>
      </c>
      <c r="B306" t="str">
        <f t="shared" si="42"/>
        <v>78051000</v>
      </c>
      <c r="C306" t="str">
        <f t="shared" si="43"/>
        <v>78051004</v>
      </c>
      <c r="D306">
        <v>89301062</v>
      </c>
      <c r="E306" t="str">
        <f>"6110021115"</f>
        <v>6110021115</v>
      </c>
      <c r="F306" s="1">
        <v>44957</v>
      </c>
      <c r="G306" t="str">
        <f>"0090044"</f>
        <v>0090044</v>
      </c>
      <c r="H306">
        <v>1</v>
      </c>
      <c r="J306">
        <v>16.8</v>
      </c>
      <c r="K306" t="str">
        <f t="shared" si="44"/>
        <v>809</v>
      </c>
      <c r="L306">
        <v>16.8</v>
      </c>
    </row>
    <row r="307" spans="1:12" x14ac:dyDescent="0.25">
      <c r="A307" t="str">
        <f t="shared" si="38"/>
        <v>89301000</v>
      </c>
      <c r="B307" t="str">
        <f t="shared" si="42"/>
        <v>78051000</v>
      </c>
      <c r="C307" t="str">
        <f t="shared" si="43"/>
        <v>78051004</v>
      </c>
      <c r="D307">
        <v>89301062</v>
      </c>
      <c r="E307" t="str">
        <f>"6110021115"</f>
        <v>6110021115</v>
      </c>
      <c r="F307" s="1">
        <v>44957</v>
      </c>
      <c r="G307" t="str">
        <f>"0225891"</f>
        <v>0225891</v>
      </c>
      <c r="H307">
        <v>0.2</v>
      </c>
      <c r="J307">
        <v>73.540000000000006</v>
      </c>
      <c r="K307" t="str">
        <f t="shared" si="44"/>
        <v>809</v>
      </c>
      <c r="L307">
        <v>73.540000000000006</v>
      </c>
    </row>
    <row r="308" spans="1:12" x14ac:dyDescent="0.25">
      <c r="A308" t="str">
        <f t="shared" si="38"/>
        <v>89301000</v>
      </c>
      <c r="B308" t="str">
        <f t="shared" si="42"/>
        <v>78051000</v>
      </c>
      <c r="C308" t="str">
        <f t="shared" si="43"/>
        <v>78051004</v>
      </c>
      <c r="D308">
        <v>89301062</v>
      </c>
      <c r="E308" t="str">
        <f>"6110021115"</f>
        <v>6110021115</v>
      </c>
      <c r="F308" s="1">
        <v>44957</v>
      </c>
      <c r="G308" t="str">
        <f>"0096251"</f>
        <v>0096251</v>
      </c>
      <c r="H308">
        <v>0.17</v>
      </c>
      <c r="J308">
        <v>198.83</v>
      </c>
      <c r="K308" t="str">
        <f t="shared" si="44"/>
        <v>809</v>
      </c>
      <c r="L308">
        <v>198.83</v>
      </c>
    </row>
    <row r="309" spans="1:12" x14ac:dyDescent="0.25">
      <c r="A309" t="str">
        <f t="shared" si="38"/>
        <v>89301000</v>
      </c>
      <c r="B309" t="str">
        <f t="shared" si="42"/>
        <v>78051000</v>
      </c>
      <c r="C309" t="str">
        <f t="shared" si="43"/>
        <v>78051004</v>
      </c>
      <c r="D309">
        <v>89301062</v>
      </c>
      <c r="E309" t="str">
        <f>"6110021115"</f>
        <v>6110021115</v>
      </c>
      <c r="F309" s="1">
        <v>44957</v>
      </c>
      <c r="G309" t="str">
        <f>"0098943"</f>
        <v>0098943</v>
      </c>
      <c r="H309">
        <v>1</v>
      </c>
      <c r="J309">
        <v>293.81</v>
      </c>
      <c r="K309" t="str">
        <f t="shared" si="44"/>
        <v>809</v>
      </c>
      <c r="L309">
        <v>293.81</v>
      </c>
    </row>
    <row r="310" spans="1:12" x14ac:dyDescent="0.25">
      <c r="A310" t="str">
        <f t="shared" si="38"/>
        <v>89301000</v>
      </c>
      <c r="B310" t="str">
        <f t="shared" si="42"/>
        <v>78051000</v>
      </c>
      <c r="C310" t="str">
        <f t="shared" si="43"/>
        <v>78051004</v>
      </c>
      <c r="D310">
        <v>89301062</v>
      </c>
      <c r="E310" t="str">
        <f>"9358194857"</f>
        <v>9358194857</v>
      </c>
      <c r="F310" s="1">
        <v>44957</v>
      </c>
      <c r="G310" t="str">
        <f>"89311"</f>
        <v>89311</v>
      </c>
      <c r="H310">
        <v>1</v>
      </c>
      <c r="I310">
        <v>970</v>
      </c>
      <c r="J310">
        <v>0</v>
      </c>
      <c r="K310" t="str">
        <f t="shared" si="44"/>
        <v>809</v>
      </c>
      <c r="L310">
        <v>1425.9</v>
      </c>
    </row>
    <row r="311" spans="1:12" x14ac:dyDescent="0.25">
      <c r="A311" t="str">
        <f t="shared" si="38"/>
        <v>89301000</v>
      </c>
      <c r="B311" t="str">
        <f t="shared" si="42"/>
        <v>78051000</v>
      </c>
      <c r="C311" t="str">
        <f t="shared" si="43"/>
        <v>78051004</v>
      </c>
      <c r="D311">
        <v>89301062</v>
      </c>
      <c r="E311" t="str">
        <f>"9358194857"</f>
        <v>9358194857</v>
      </c>
      <c r="F311" s="1">
        <v>44957</v>
      </c>
      <c r="G311" t="str">
        <f>"0090044"</f>
        <v>0090044</v>
      </c>
      <c r="H311">
        <v>1</v>
      </c>
      <c r="J311">
        <v>16.8</v>
      </c>
      <c r="K311" t="str">
        <f t="shared" si="44"/>
        <v>809</v>
      </c>
      <c r="L311">
        <v>16.8</v>
      </c>
    </row>
    <row r="312" spans="1:12" x14ac:dyDescent="0.25">
      <c r="A312" t="str">
        <f t="shared" si="38"/>
        <v>89301000</v>
      </c>
      <c r="B312" t="str">
        <f t="shared" si="42"/>
        <v>78051000</v>
      </c>
      <c r="C312" t="str">
        <f t="shared" si="43"/>
        <v>78051004</v>
      </c>
      <c r="D312">
        <v>89301062</v>
      </c>
      <c r="E312" t="str">
        <f>"9358194857"</f>
        <v>9358194857</v>
      </c>
      <c r="F312" s="1">
        <v>44957</v>
      </c>
      <c r="G312" t="str">
        <f>"0225891"</f>
        <v>0225891</v>
      </c>
      <c r="H312">
        <v>0.2</v>
      </c>
      <c r="J312">
        <v>73.540000000000006</v>
      </c>
      <c r="K312" t="str">
        <f t="shared" si="44"/>
        <v>809</v>
      </c>
      <c r="L312">
        <v>73.540000000000006</v>
      </c>
    </row>
    <row r="313" spans="1:12" x14ac:dyDescent="0.25">
      <c r="A313" t="str">
        <f t="shared" si="38"/>
        <v>89301000</v>
      </c>
      <c r="B313" t="str">
        <f t="shared" si="42"/>
        <v>78051000</v>
      </c>
      <c r="C313" t="str">
        <f t="shared" si="43"/>
        <v>78051004</v>
      </c>
      <c r="D313">
        <v>89301062</v>
      </c>
      <c r="E313" t="str">
        <f>"9358194857"</f>
        <v>9358194857</v>
      </c>
      <c r="F313" s="1">
        <v>44957</v>
      </c>
      <c r="G313" t="str">
        <f>"0096251"</f>
        <v>0096251</v>
      </c>
      <c r="H313">
        <v>0.17</v>
      </c>
      <c r="J313">
        <v>198.83</v>
      </c>
      <c r="K313" t="str">
        <f t="shared" si="44"/>
        <v>809</v>
      </c>
      <c r="L313">
        <v>198.83</v>
      </c>
    </row>
    <row r="314" spans="1:12" x14ac:dyDescent="0.25">
      <c r="A314" t="str">
        <f t="shared" si="38"/>
        <v>89301000</v>
      </c>
      <c r="B314" t="str">
        <f t="shared" si="42"/>
        <v>78051000</v>
      </c>
      <c r="C314" t="str">
        <f t="shared" si="43"/>
        <v>78051004</v>
      </c>
      <c r="D314">
        <v>89301062</v>
      </c>
      <c r="E314" t="str">
        <f>"9358194857"</f>
        <v>9358194857</v>
      </c>
      <c r="F314" s="1">
        <v>44957</v>
      </c>
      <c r="G314" t="str">
        <f>"0098943"</f>
        <v>0098943</v>
      </c>
      <c r="H314">
        <v>1</v>
      </c>
      <c r="J314">
        <v>293.81</v>
      </c>
      <c r="K314" t="str">
        <f t="shared" si="44"/>
        <v>809</v>
      </c>
      <c r="L314">
        <v>293.81</v>
      </c>
    </row>
    <row r="315" spans="1:12" x14ac:dyDescent="0.25">
      <c r="A315" t="str">
        <f t="shared" si="38"/>
        <v>89301000</v>
      </c>
      <c r="B315" t="str">
        <f t="shared" si="42"/>
        <v>78051000</v>
      </c>
      <c r="C315" t="str">
        <f t="shared" si="43"/>
        <v>78051004</v>
      </c>
      <c r="D315">
        <v>89301062</v>
      </c>
      <c r="E315" t="str">
        <f>"7551085806"</f>
        <v>7551085806</v>
      </c>
      <c r="F315" s="1">
        <v>44957</v>
      </c>
      <c r="G315" t="str">
        <f>"89311"</f>
        <v>89311</v>
      </c>
      <c r="H315">
        <v>1</v>
      </c>
      <c r="I315">
        <v>970</v>
      </c>
      <c r="J315">
        <v>0</v>
      </c>
      <c r="K315" t="str">
        <f t="shared" si="44"/>
        <v>809</v>
      </c>
      <c r="L315">
        <v>1425.9</v>
      </c>
    </row>
    <row r="316" spans="1:12" x14ac:dyDescent="0.25">
      <c r="A316" t="str">
        <f t="shared" si="38"/>
        <v>89301000</v>
      </c>
      <c r="B316" t="str">
        <f t="shared" si="42"/>
        <v>78051000</v>
      </c>
      <c r="C316" t="str">
        <f t="shared" si="43"/>
        <v>78051004</v>
      </c>
      <c r="D316">
        <v>89301062</v>
      </c>
      <c r="E316" t="str">
        <f>"7551085806"</f>
        <v>7551085806</v>
      </c>
      <c r="F316" s="1">
        <v>44957</v>
      </c>
      <c r="G316" t="str">
        <f>"0090044"</f>
        <v>0090044</v>
      </c>
      <c r="H316">
        <v>1</v>
      </c>
      <c r="J316">
        <v>16.8</v>
      </c>
      <c r="K316" t="str">
        <f t="shared" si="44"/>
        <v>809</v>
      </c>
      <c r="L316">
        <v>16.8</v>
      </c>
    </row>
    <row r="317" spans="1:12" x14ac:dyDescent="0.25">
      <c r="A317" t="str">
        <f t="shared" si="38"/>
        <v>89301000</v>
      </c>
      <c r="B317" t="str">
        <f t="shared" si="42"/>
        <v>78051000</v>
      </c>
      <c r="C317" t="str">
        <f t="shared" si="43"/>
        <v>78051004</v>
      </c>
      <c r="D317">
        <v>89301062</v>
      </c>
      <c r="E317" t="str">
        <f>"7551085806"</f>
        <v>7551085806</v>
      </c>
      <c r="F317" s="1">
        <v>44957</v>
      </c>
      <c r="G317" t="str">
        <f>"0225891"</f>
        <v>0225891</v>
      </c>
      <c r="H317">
        <v>0.2</v>
      </c>
      <c r="J317">
        <v>73.540000000000006</v>
      </c>
      <c r="K317" t="str">
        <f t="shared" si="44"/>
        <v>809</v>
      </c>
      <c r="L317">
        <v>73.540000000000006</v>
      </c>
    </row>
    <row r="318" spans="1:12" x14ac:dyDescent="0.25">
      <c r="A318" t="str">
        <f t="shared" si="38"/>
        <v>89301000</v>
      </c>
      <c r="B318" t="str">
        <f t="shared" si="42"/>
        <v>78051000</v>
      </c>
      <c r="C318" t="str">
        <f t="shared" si="43"/>
        <v>78051004</v>
      </c>
      <c r="D318">
        <v>89301062</v>
      </c>
      <c r="E318" t="str">
        <f>"7551085806"</f>
        <v>7551085806</v>
      </c>
      <c r="F318" s="1">
        <v>44957</v>
      </c>
      <c r="G318" t="str">
        <f>"0096251"</f>
        <v>0096251</v>
      </c>
      <c r="H318">
        <v>0.17</v>
      </c>
      <c r="J318">
        <v>198.83</v>
      </c>
      <c r="K318" t="str">
        <f t="shared" si="44"/>
        <v>809</v>
      </c>
      <c r="L318">
        <v>198.83</v>
      </c>
    </row>
    <row r="319" spans="1:12" x14ac:dyDescent="0.25">
      <c r="A319" t="str">
        <f t="shared" si="38"/>
        <v>89301000</v>
      </c>
      <c r="B319" t="str">
        <f t="shared" si="42"/>
        <v>78051000</v>
      </c>
      <c r="C319" t="str">
        <f t="shared" si="43"/>
        <v>78051004</v>
      </c>
      <c r="D319">
        <v>89301062</v>
      </c>
      <c r="E319" t="str">
        <f>"7551085806"</f>
        <v>7551085806</v>
      </c>
      <c r="F319" s="1">
        <v>44957</v>
      </c>
      <c r="G319" t="str">
        <f>"0098943"</f>
        <v>0098943</v>
      </c>
      <c r="H319">
        <v>1</v>
      </c>
      <c r="J319">
        <v>293.81</v>
      </c>
      <c r="K319" t="str">
        <f t="shared" si="44"/>
        <v>809</v>
      </c>
      <c r="L319">
        <v>293.81</v>
      </c>
    </row>
    <row r="320" spans="1:12" x14ac:dyDescent="0.25">
      <c r="A320" t="str">
        <f t="shared" si="38"/>
        <v>89301000</v>
      </c>
      <c r="B320" t="str">
        <f t="shared" si="42"/>
        <v>78051000</v>
      </c>
      <c r="C320" t="str">
        <f t="shared" si="43"/>
        <v>78051004</v>
      </c>
      <c r="D320">
        <v>89301062</v>
      </c>
      <c r="E320" t="str">
        <f>"415116084"</f>
        <v>415116084</v>
      </c>
      <c r="F320" s="1">
        <v>44957</v>
      </c>
      <c r="G320" t="str">
        <f>"89311"</f>
        <v>89311</v>
      </c>
      <c r="H320">
        <v>1</v>
      </c>
      <c r="I320">
        <v>970</v>
      </c>
      <c r="J320">
        <v>0</v>
      </c>
      <c r="K320" t="str">
        <f t="shared" si="44"/>
        <v>809</v>
      </c>
      <c r="L320">
        <v>1425.9</v>
      </c>
    </row>
    <row r="321" spans="1:12" x14ac:dyDescent="0.25">
      <c r="A321" t="str">
        <f t="shared" si="38"/>
        <v>89301000</v>
      </c>
      <c r="B321" t="str">
        <f t="shared" si="42"/>
        <v>78051000</v>
      </c>
      <c r="C321" t="str">
        <f t="shared" si="43"/>
        <v>78051004</v>
      </c>
      <c r="D321">
        <v>89301062</v>
      </c>
      <c r="E321" t="str">
        <f>"415116084"</f>
        <v>415116084</v>
      </c>
      <c r="F321" s="1">
        <v>44957</v>
      </c>
      <c r="G321" t="str">
        <f>"0090044"</f>
        <v>0090044</v>
      </c>
      <c r="H321">
        <v>1</v>
      </c>
      <c r="J321">
        <v>16.8</v>
      </c>
      <c r="K321" t="str">
        <f t="shared" si="44"/>
        <v>809</v>
      </c>
      <c r="L321">
        <v>16.8</v>
      </c>
    </row>
    <row r="322" spans="1:12" x14ac:dyDescent="0.25">
      <c r="A322" t="str">
        <f t="shared" ref="A322:A385" si="45">"89301000"</f>
        <v>89301000</v>
      </c>
      <c r="B322" t="str">
        <f t="shared" si="42"/>
        <v>78051000</v>
      </c>
      <c r="C322" t="str">
        <f t="shared" si="43"/>
        <v>78051004</v>
      </c>
      <c r="D322">
        <v>89301062</v>
      </c>
      <c r="E322" t="str">
        <f>"415116084"</f>
        <v>415116084</v>
      </c>
      <c r="F322" s="1">
        <v>44957</v>
      </c>
      <c r="G322" t="str">
        <f>"0225891"</f>
        <v>0225891</v>
      </c>
      <c r="H322">
        <v>0.2</v>
      </c>
      <c r="J322">
        <v>73.540000000000006</v>
      </c>
      <c r="K322" t="str">
        <f t="shared" si="44"/>
        <v>809</v>
      </c>
      <c r="L322">
        <v>73.540000000000006</v>
      </c>
    </row>
    <row r="323" spans="1:12" x14ac:dyDescent="0.25">
      <c r="A323" t="str">
        <f t="shared" si="45"/>
        <v>89301000</v>
      </c>
      <c r="B323" t="str">
        <f t="shared" si="42"/>
        <v>78051000</v>
      </c>
      <c r="C323" t="str">
        <f t="shared" si="43"/>
        <v>78051004</v>
      </c>
      <c r="D323">
        <v>89301062</v>
      </c>
      <c r="E323" t="str">
        <f>"415116084"</f>
        <v>415116084</v>
      </c>
      <c r="F323" s="1">
        <v>44957</v>
      </c>
      <c r="G323" t="str">
        <f>"0096251"</f>
        <v>0096251</v>
      </c>
      <c r="H323">
        <v>0.17</v>
      </c>
      <c r="J323">
        <v>198.83</v>
      </c>
      <c r="K323" t="str">
        <f t="shared" si="44"/>
        <v>809</v>
      </c>
      <c r="L323">
        <v>198.83</v>
      </c>
    </row>
    <row r="324" spans="1:12" x14ac:dyDescent="0.25">
      <c r="A324" t="str">
        <f t="shared" si="45"/>
        <v>89301000</v>
      </c>
      <c r="B324" t="str">
        <f t="shared" si="42"/>
        <v>78051000</v>
      </c>
      <c r="C324" t="str">
        <f t="shared" si="43"/>
        <v>78051004</v>
      </c>
      <c r="D324">
        <v>89301062</v>
      </c>
      <c r="E324" t="str">
        <f>"415116084"</f>
        <v>415116084</v>
      </c>
      <c r="F324" s="1">
        <v>44957</v>
      </c>
      <c r="G324" t="str">
        <f>"0098943"</f>
        <v>0098943</v>
      </c>
      <c r="H324">
        <v>1</v>
      </c>
      <c r="J324">
        <v>293.81</v>
      </c>
      <c r="K324" t="str">
        <f t="shared" si="44"/>
        <v>809</v>
      </c>
      <c r="L324">
        <v>293.81</v>
      </c>
    </row>
    <row r="325" spans="1:12" x14ac:dyDescent="0.25">
      <c r="A325" t="str">
        <f t="shared" si="45"/>
        <v>89301000</v>
      </c>
      <c r="B325" t="str">
        <f t="shared" si="42"/>
        <v>78051000</v>
      </c>
      <c r="C325" t="str">
        <f t="shared" ref="C325:C342" si="46">"78051017"</f>
        <v>78051017</v>
      </c>
      <c r="D325">
        <v>89301062</v>
      </c>
      <c r="E325" t="str">
        <f>"6503132416"</f>
        <v>6503132416</v>
      </c>
      <c r="F325" s="1">
        <v>44931</v>
      </c>
      <c r="G325" t="str">
        <f t="shared" ref="G325:G342" si="47">"89615"</f>
        <v>89615</v>
      </c>
      <c r="H325">
        <v>1</v>
      </c>
      <c r="I325">
        <v>2199</v>
      </c>
      <c r="J325">
        <v>0</v>
      </c>
      <c r="K325" t="str">
        <f t="shared" ref="K325:K342" si="48">"810"</f>
        <v>810</v>
      </c>
      <c r="L325">
        <v>1429.35</v>
      </c>
    </row>
    <row r="326" spans="1:12" x14ac:dyDescent="0.25">
      <c r="A326" t="str">
        <f t="shared" si="45"/>
        <v>89301000</v>
      </c>
      <c r="B326" t="str">
        <f t="shared" si="42"/>
        <v>78051000</v>
      </c>
      <c r="C326" t="str">
        <f t="shared" si="46"/>
        <v>78051017</v>
      </c>
      <c r="D326">
        <v>89301062</v>
      </c>
      <c r="E326" t="str">
        <f>"465418404"</f>
        <v>465418404</v>
      </c>
      <c r="F326" s="1">
        <v>44931</v>
      </c>
      <c r="G326" t="str">
        <f t="shared" si="47"/>
        <v>89615</v>
      </c>
      <c r="H326">
        <v>1</v>
      </c>
      <c r="I326">
        <v>2199</v>
      </c>
      <c r="J326">
        <v>0</v>
      </c>
      <c r="K326" t="str">
        <f t="shared" si="48"/>
        <v>810</v>
      </c>
      <c r="L326">
        <v>1429.35</v>
      </c>
    </row>
    <row r="327" spans="1:12" x14ac:dyDescent="0.25">
      <c r="A327" t="str">
        <f t="shared" si="45"/>
        <v>89301000</v>
      </c>
      <c r="B327" t="str">
        <f t="shared" si="42"/>
        <v>78051000</v>
      </c>
      <c r="C327" t="str">
        <f t="shared" si="46"/>
        <v>78051017</v>
      </c>
      <c r="D327">
        <v>89301062</v>
      </c>
      <c r="E327" t="str">
        <f>"440327472"</f>
        <v>440327472</v>
      </c>
      <c r="F327" s="1">
        <v>44931</v>
      </c>
      <c r="G327" t="str">
        <f t="shared" si="47"/>
        <v>89615</v>
      </c>
      <c r="H327">
        <v>1</v>
      </c>
      <c r="I327">
        <v>2199</v>
      </c>
      <c r="J327">
        <v>0</v>
      </c>
      <c r="K327" t="str">
        <f t="shared" si="48"/>
        <v>810</v>
      </c>
      <c r="L327">
        <v>1429.35</v>
      </c>
    </row>
    <row r="328" spans="1:12" x14ac:dyDescent="0.25">
      <c r="A328" t="str">
        <f t="shared" si="45"/>
        <v>89301000</v>
      </c>
      <c r="B328" t="str">
        <f t="shared" si="42"/>
        <v>78051000</v>
      </c>
      <c r="C328" t="str">
        <f t="shared" si="46"/>
        <v>78051017</v>
      </c>
      <c r="D328">
        <v>89301062</v>
      </c>
      <c r="E328" t="str">
        <f>"485508424"</f>
        <v>485508424</v>
      </c>
      <c r="F328" s="1">
        <v>44931</v>
      </c>
      <c r="G328" t="str">
        <f t="shared" si="47"/>
        <v>89615</v>
      </c>
      <c r="H328">
        <v>1</v>
      </c>
      <c r="I328">
        <v>2199</v>
      </c>
      <c r="J328">
        <v>0</v>
      </c>
      <c r="K328" t="str">
        <f t="shared" si="48"/>
        <v>810</v>
      </c>
      <c r="L328">
        <v>1429.35</v>
      </c>
    </row>
    <row r="329" spans="1:12" x14ac:dyDescent="0.25">
      <c r="A329" t="str">
        <f t="shared" si="45"/>
        <v>89301000</v>
      </c>
      <c r="B329" t="str">
        <f t="shared" si="42"/>
        <v>78051000</v>
      </c>
      <c r="C329" t="str">
        <f t="shared" si="46"/>
        <v>78051017</v>
      </c>
      <c r="D329">
        <v>89301062</v>
      </c>
      <c r="E329" t="str">
        <f>"6012081152"</f>
        <v>6012081152</v>
      </c>
      <c r="F329" s="1">
        <v>44931</v>
      </c>
      <c r="G329" t="str">
        <f t="shared" si="47"/>
        <v>89615</v>
      </c>
      <c r="H329">
        <v>1</v>
      </c>
      <c r="I329">
        <v>2199</v>
      </c>
      <c r="J329">
        <v>0</v>
      </c>
      <c r="K329" t="str">
        <f t="shared" si="48"/>
        <v>810</v>
      </c>
      <c r="L329">
        <v>1429.35</v>
      </c>
    </row>
    <row r="330" spans="1:12" x14ac:dyDescent="0.25">
      <c r="A330" t="str">
        <f t="shared" si="45"/>
        <v>89301000</v>
      </c>
      <c r="B330" t="str">
        <f t="shared" ref="B330:B342" si="49">"78051000"</f>
        <v>78051000</v>
      </c>
      <c r="C330" t="str">
        <f t="shared" si="46"/>
        <v>78051017</v>
      </c>
      <c r="D330">
        <v>89301062</v>
      </c>
      <c r="E330" t="str">
        <f>"6706170174"</f>
        <v>6706170174</v>
      </c>
      <c r="F330" s="1">
        <v>44937</v>
      </c>
      <c r="G330" t="str">
        <f t="shared" si="47"/>
        <v>89615</v>
      </c>
      <c r="H330">
        <v>1</v>
      </c>
      <c r="I330">
        <v>2199</v>
      </c>
      <c r="J330">
        <v>0</v>
      </c>
      <c r="K330" t="str">
        <f t="shared" si="48"/>
        <v>810</v>
      </c>
      <c r="L330">
        <v>1429.35</v>
      </c>
    </row>
    <row r="331" spans="1:12" x14ac:dyDescent="0.25">
      <c r="A331" t="str">
        <f t="shared" si="45"/>
        <v>89301000</v>
      </c>
      <c r="B331" t="str">
        <f t="shared" si="49"/>
        <v>78051000</v>
      </c>
      <c r="C331" t="str">
        <f t="shared" si="46"/>
        <v>78051017</v>
      </c>
      <c r="D331">
        <v>89301062</v>
      </c>
      <c r="E331" t="str">
        <f>"6751181624"</f>
        <v>6751181624</v>
      </c>
      <c r="F331" s="1">
        <v>44937</v>
      </c>
      <c r="G331" t="str">
        <f t="shared" si="47"/>
        <v>89615</v>
      </c>
      <c r="H331">
        <v>1</v>
      </c>
      <c r="I331">
        <v>2199</v>
      </c>
      <c r="J331">
        <v>0</v>
      </c>
      <c r="K331" t="str">
        <f t="shared" si="48"/>
        <v>810</v>
      </c>
      <c r="L331">
        <v>1429.35</v>
      </c>
    </row>
    <row r="332" spans="1:12" x14ac:dyDescent="0.25">
      <c r="A332" t="str">
        <f t="shared" si="45"/>
        <v>89301000</v>
      </c>
      <c r="B332" t="str">
        <f t="shared" si="49"/>
        <v>78051000</v>
      </c>
      <c r="C332" t="str">
        <f t="shared" si="46"/>
        <v>78051017</v>
      </c>
      <c r="D332">
        <v>89301062</v>
      </c>
      <c r="E332" t="str">
        <f>"6259260271"</f>
        <v>6259260271</v>
      </c>
      <c r="F332" s="1">
        <v>44937</v>
      </c>
      <c r="G332" t="str">
        <f t="shared" si="47"/>
        <v>89615</v>
      </c>
      <c r="H332">
        <v>1</v>
      </c>
      <c r="I332">
        <v>2199</v>
      </c>
      <c r="J332">
        <v>0</v>
      </c>
      <c r="K332" t="str">
        <f t="shared" si="48"/>
        <v>810</v>
      </c>
      <c r="L332">
        <v>1429.35</v>
      </c>
    </row>
    <row r="333" spans="1:12" x14ac:dyDescent="0.25">
      <c r="A333" t="str">
        <f t="shared" si="45"/>
        <v>89301000</v>
      </c>
      <c r="B333" t="str">
        <f t="shared" si="49"/>
        <v>78051000</v>
      </c>
      <c r="C333" t="str">
        <f t="shared" si="46"/>
        <v>78051017</v>
      </c>
      <c r="D333">
        <v>89301062</v>
      </c>
      <c r="E333" t="str">
        <f>"5552181272"</f>
        <v>5552181272</v>
      </c>
      <c r="F333" s="1">
        <v>44944</v>
      </c>
      <c r="G333" t="str">
        <f t="shared" si="47"/>
        <v>89615</v>
      </c>
      <c r="H333">
        <v>1</v>
      </c>
      <c r="I333">
        <v>2199</v>
      </c>
      <c r="J333">
        <v>0</v>
      </c>
      <c r="K333" t="str">
        <f t="shared" si="48"/>
        <v>810</v>
      </c>
      <c r="L333">
        <v>1429.35</v>
      </c>
    </row>
    <row r="334" spans="1:12" x14ac:dyDescent="0.25">
      <c r="A334" t="str">
        <f t="shared" si="45"/>
        <v>89301000</v>
      </c>
      <c r="B334" t="str">
        <f t="shared" si="49"/>
        <v>78051000</v>
      </c>
      <c r="C334" t="str">
        <f t="shared" si="46"/>
        <v>78051017</v>
      </c>
      <c r="D334">
        <v>89301062</v>
      </c>
      <c r="E334" t="str">
        <f>"460722402"</f>
        <v>460722402</v>
      </c>
      <c r="F334" s="1">
        <v>44944</v>
      </c>
      <c r="G334" t="str">
        <f t="shared" si="47"/>
        <v>89615</v>
      </c>
      <c r="H334">
        <v>1</v>
      </c>
      <c r="I334">
        <v>2199</v>
      </c>
      <c r="J334">
        <v>0</v>
      </c>
      <c r="K334" t="str">
        <f t="shared" si="48"/>
        <v>810</v>
      </c>
      <c r="L334">
        <v>1429.35</v>
      </c>
    </row>
    <row r="335" spans="1:12" x14ac:dyDescent="0.25">
      <c r="A335" t="str">
        <f t="shared" si="45"/>
        <v>89301000</v>
      </c>
      <c r="B335" t="str">
        <f t="shared" si="49"/>
        <v>78051000</v>
      </c>
      <c r="C335" t="str">
        <f t="shared" si="46"/>
        <v>78051017</v>
      </c>
      <c r="D335">
        <v>89301062</v>
      </c>
      <c r="E335" t="str">
        <f>"5404263403"</f>
        <v>5404263403</v>
      </c>
      <c r="F335" s="1">
        <v>44944</v>
      </c>
      <c r="G335" t="str">
        <f t="shared" si="47"/>
        <v>89615</v>
      </c>
      <c r="H335">
        <v>1</v>
      </c>
      <c r="I335">
        <v>2199</v>
      </c>
      <c r="J335">
        <v>0</v>
      </c>
      <c r="K335" t="str">
        <f t="shared" si="48"/>
        <v>810</v>
      </c>
      <c r="L335">
        <v>1429.35</v>
      </c>
    </row>
    <row r="336" spans="1:12" x14ac:dyDescent="0.25">
      <c r="A336" t="str">
        <f t="shared" si="45"/>
        <v>89301000</v>
      </c>
      <c r="B336" t="str">
        <f t="shared" si="49"/>
        <v>78051000</v>
      </c>
      <c r="C336" t="str">
        <f t="shared" si="46"/>
        <v>78051017</v>
      </c>
      <c r="D336">
        <v>89301062</v>
      </c>
      <c r="E336" t="str">
        <f>"505218020"</f>
        <v>505218020</v>
      </c>
      <c r="F336" s="1">
        <v>44944</v>
      </c>
      <c r="G336" t="str">
        <f t="shared" si="47"/>
        <v>89615</v>
      </c>
      <c r="H336">
        <v>1</v>
      </c>
      <c r="I336">
        <v>2199</v>
      </c>
      <c r="J336">
        <v>0</v>
      </c>
      <c r="K336" t="str">
        <f t="shared" si="48"/>
        <v>810</v>
      </c>
      <c r="L336">
        <v>1429.35</v>
      </c>
    </row>
    <row r="337" spans="1:12" x14ac:dyDescent="0.25">
      <c r="A337" t="str">
        <f t="shared" si="45"/>
        <v>89301000</v>
      </c>
      <c r="B337" t="str">
        <f t="shared" si="49"/>
        <v>78051000</v>
      </c>
      <c r="C337" t="str">
        <f t="shared" si="46"/>
        <v>78051017</v>
      </c>
      <c r="D337">
        <v>89301062</v>
      </c>
      <c r="E337" t="str">
        <f>"8809144916"</f>
        <v>8809144916</v>
      </c>
      <c r="F337" s="1">
        <v>44951</v>
      </c>
      <c r="G337" t="str">
        <f t="shared" si="47"/>
        <v>89615</v>
      </c>
      <c r="H337">
        <v>1</v>
      </c>
      <c r="I337">
        <v>2199</v>
      </c>
      <c r="J337">
        <v>0</v>
      </c>
      <c r="K337" t="str">
        <f t="shared" si="48"/>
        <v>810</v>
      </c>
      <c r="L337">
        <v>1429.35</v>
      </c>
    </row>
    <row r="338" spans="1:12" x14ac:dyDescent="0.25">
      <c r="A338" t="str">
        <f t="shared" si="45"/>
        <v>89301000</v>
      </c>
      <c r="B338" t="str">
        <f t="shared" si="49"/>
        <v>78051000</v>
      </c>
      <c r="C338" t="str">
        <f t="shared" si="46"/>
        <v>78051017</v>
      </c>
      <c r="D338">
        <v>89301062</v>
      </c>
      <c r="E338" t="str">
        <f>"7551035844"</f>
        <v>7551035844</v>
      </c>
      <c r="F338" s="1">
        <v>44951</v>
      </c>
      <c r="G338" t="str">
        <f t="shared" si="47"/>
        <v>89615</v>
      </c>
      <c r="H338">
        <v>1</v>
      </c>
      <c r="I338">
        <v>2199</v>
      </c>
      <c r="J338">
        <v>0</v>
      </c>
      <c r="K338" t="str">
        <f t="shared" si="48"/>
        <v>810</v>
      </c>
      <c r="L338">
        <v>1429.35</v>
      </c>
    </row>
    <row r="339" spans="1:12" x14ac:dyDescent="0.25">
      <c r="A339" t="str">
        <f t="shared" si="45"/>
        <v>89301000</v>
      </c>
      <c r="B339" t="str">
        <f t="shared" si="49"/>
        <v>78051000</v>
      </c>
      <c r="C339" t="str">
        <f t="shared" si="46"/>
        <v>78051017</v>
      </c>
      <c r="D339">
        <v>89301062</v>
      </c>
      <c r="E339" t="str">
        <f>"6110021115"</f>
        <v>6110021115</v>
      </c>
      <c r="F339" s="1">
        <v>44957</v>
      </c>
      <c r="G339" t="str">
        <f t="shared" si="47"/>
        <v>89615</v>
      </c>
      <c r="H339">
        <v>1</v>
      </c>
      <c r="I339">
        <v>2199</v>
      </c>
      <c r="J339">
        <v>0</v>
      </c>
      <c r="K339" t="str">
        <f t="shared" si="48"/>
        <v>810</v>
      </c>
      <c r="L339">
        <v>1429.35</v>
      </c>
    </row>
    <row r="340" spans="1:12" x14ac:dyDescent="0.25">
      <c r="A340" t="str">
        <f t="shared" si="45"/>
        <v>89301000</v>
      </c>
      <c r="B340" t="str">
        <f t="shared" si="49"/>
        <v>78051000</v>
      </c>
      <c r="C340" t="str">
        <f t="shared" si="46"/>
        <v>78051017</v>
      </c>
      <c r="D340">
        <v>89301062</v>
      </c>
      <c r="E340" t="str">
        <f>"9358194857"</f>
        <v>9358194857</v>
      </c>
      <c r="F340" s="1">
        <v>44957</v>
      </c>
      <c r="G340" t="str">
        <f t="shared" si="47"/>
        <v>89615</v>
      </c>
      <c r="H340">
        <v>1</v>
      </c>
      <c r="I340">
        <v>2199</v>
      </c>
      <c r="J340">
        <v>0</v>
      </c>
      <c r="K340" t="str">
        <f t="shared" si="48"/>
        <v>810</v>
      </c>
      <c r="L340">
        <v>1429.35</v>
      </c>
    </row>
    <row r="341" spans="1:12" x14ac:dyDescent="0.25">
      <c r="A341" t="str">
        <f t="shared" si="45"/>
        <v>89301000</v>
      </c>
      <c r="B341" t="str">
        <f t="shared" si="49"/>
        <v>78051000</v>
      </c>
      <c r="C341" t="str">
        <f t="shared" si="46"/>
        <v>78051017</v>
      </c>
      <c r="D341">
        <v>89301062</v>
      </c>
      <c r="E341" t="str">
        <f>"7551085806"</f>
        <v>7551085806</v>
      </c>
      <c r="F341" s="1">
        <v>44957</v>
      </c>
      <c r="G341" t="str">
        <f t="shared" si="47"/>
        <v>89615</v>
      </c>
      <c r="H341">
        <v>1</v>
      </c>
      <c r="I341">
        <v>2199</v>
      </c>
      <c r="J341">
        <v>0</v>
      </c>
      <c r="K341" t="str">
        <f t="shared" si="48"/>
        <v>810</v>
      </c>
      <c r="L341">
        <v>1429.35</v>
      </c>
    </row>
    <row r="342" spans="1:12" x14ac:dyDescent="0.25">
      <c r="A342" t="str">
        <f t="shared" si="45"/>
        <v>89301000</v>
      </c>
      <c r="B342" t="str">
        <f t="shared" si="49"/>
        <v>78051000</v>
      </c>
      <c r="C342" t="str">
        <f t="shared" si="46"/>
        <v>78051017</v>
      </c>
      <c r="D342">
        <v>89301062</v>
      </c>
      <c r="E342" t="str">
        <f>"415116084"</f>
        <v>415116084</v>
      </c>
      <c r="F342" s="1">
        <v>44957</v>
      </c>
      <c r="G342" t="str">
        <f t="shared" si="47"/>
        <v>89615</v>
      </c>
      <c r="H342">
        <v>1</v>
      </c>
      <c r="I342">
        <v>2199</v>
      </c>
      <c r="J342">
        <v>0</v>
      </c>
      <c r="K342" t="str">
        <f t="shared" si="48"/>
        <v>810</v>
      </c>
      <c r="L342">
        <v>1429.35</v>
      </c>
    </row>
    <row r="343" spans="1:12" x14ac:dyDescent="0.25">
      <c r="A343" t="str">
        <f t="shared" si="45"/>
        <v>89301000</v>
      </c>
      <c r="B343" t="str">
        <f t="shared" ref="B343:B374" si="50">"72077000"</f>
        <v>72077000</v>
      </c>
      <c r="C343" t="str">
        <f t="shared" ref="C343:C374" si="51">"72077001"</f>
        <v>72077001</v>
      </c>
      <c r="D343">
        <v>89301152</v>
      </c>
      <c r="E343" t="str">
        <f>"8753146226"</f>
        <v>8753146226</v>
      </c>
      <c r="F343" s="1">
        <v>44931</v>
      </c>
      <c r="G343" t="str">
        <f>"91213"</f>
        <v>91213</v>
      </c>
      <c r="H343">
        <v>1</v>
      </c>
      <c r="I343">
        <v>348</v>
      </c>
      <c r="J343">
        <v>0</v>
      </c>
      <c r="K343" t="str">
        <f t="shared" ref="K343:K374" si="52">"813"</f>
        <v>813</v>
      </c>
      <c r="L343">
        <v>292.32</v>
      </c>
    </row>
    <row r="344" spans="1:12" x14ac:dyDescent="0.25">
      <c r="A344" t="str">
        <f t="shared" si="45"/>
        <v>89301000</v>
      </c>
      <c r="B344" t="str">
        <f t="shared" si="50"/>
        <v>72077000</v>
      </c>
      <c r="C344" t="str">
        <f t="shared" si="51"/>
        <v>72077001</v>
      </c>
      <c r="D344">
        <v>89301152</v>
      </c>
      <c r="E344" t="str">
        <f>"8753146226"</f>
        <v>8753146226</v>
      </c>
      <c r="F344" s="1">
        <v>44931</v>
      </c>
      <c r="G344" t="str">
        <f>"91213"</f>
        <v>91213</v>
      </c>
      <c r="H344">
        <v>1</v>
      </c>
      <c r="I344">
        <v>348</v>
      </c>
      <c r="J344">
        <v>0</v>
      </c>
      <c r="K344" t="str">
        <f t="shared" si="52"/>
        <v>813</v>
      </c>
      <c r="L344">
        <v>292.32</v>
      </c>
    </row>
    <row r="345" spans="1:12" x14ac:dyDescent="0.25">
      <c r="A345" t="str">
        <f t="shared" si="45"/>
        <v>89301000</v>
      </c>
      <c r="B345" t="str">
        <f t="shared" si="50"/>
        <v>72077000</v>
      </c>
      <c r="C345" t="str">
        <f t="shared" si="51"/>
        <v>72077001</v>
      </c>
      <c r="D345">
        <v>89301152</v>
      </c>
      <c r="E345" t="str">
        <f>"8753146226"</f>
        <v>8753146226</v>
      </c>
      <c r="F345" s="1">
        <v>44931</v>
      </c>
      <c r="G345" t="str">
        <f>"91213"</f>
        <v>91213</v>
      </c>
      <c r="H345">
        <v>1</v>
      </c>
      <c r="I345">
        <v>348</v>
      </c>
      <c r="J345">
        <v>0</v>
      </c>
      <c r="K345" t="str">
        <f t="shared" si="52"/>
        <v>813</v>
      </c>
      <c r="L345">
        <v>292.32</v>
      </c>
    </row>
    <row r="346" spans="1:12" x14ac:dyDescent="0.25">
      <c r="A346" t="str">
        <f t="shared" si="45"/>
        <v>89301000</v>
      </c>
      <c r="B346" t="str">
        <f t="shared" si="50"/>
        <v>72077000</v>
      </c>
      <c r="C346" t="str">
        <f t="shared" si="51"/>
        <v>72077001</v>
      </c>
      <c r="D346">
        <v>89301152</v>
      </c>
      <c r="E346" t="str">
        <f>"8753146226"</f>
        <v>8753146226</v>
      </c>
      <c r="F346" s="1">
        <v>44931</v>
      </c>
      <c r="G346" t="str">
        <f>"91219"</f>
        <v>91219</v>
      </c>
      <c r="H346">
        <v>1</v>
      </c>
      <c r="I346">
        <v>343</v>
      </c>
      <c r="J346">
        <v>0</v>
      </c>
      <c r="K346" t="str">
        <f t="shared" si="52"/>
        <v>813</v>
      </c>
      <c r="L346">
        <v>288.12</v>
      </c>
    </row>
    <row r="347" spans="1:12" x14ac:dyDescent="0.25">
      <c r="A347" t="str">
        <f t="shared" si="45"/>
        <v>89301000</v>
      </c>
      <c r="B347" t="str">
        <f t="shared" si="50"/>
        <v>72077000</v>
      </c>
      <c r="C347" t="str">
        <f t="shared" si="51"/>
        <v>72077001</v>
      </c>
      <c r="D347">
        <v>89301152</v>
      </c>
      <c r="E347" t="str">
        <f>"8257265313"</f>
        <v>8257265313</v>
      </c>
      <c r="F347" s="1">
        <v>44928</v>
      </c>
      <c r="G347" t="str">
        <f t="shared" ref="G347:G354" si="53">"91197"</f>
        <v>91197</v>
      </c>
      <c r="H347">
        <v>1</v>
      </c>
      <c r="I347">
        <v>1048</v>
      </c>
      <c r="J347">
        <v>0</v>
      </c>
      <c r="K347" t="str">
        <f t="shared" si="52"/>
        <v>813</v>
      </c>
      <c r="L347">
        <v>880.32</v>
      </c>
    </row>
    <row r="348" spans="1:12" x14ac:dyDescent="0.25">
      <c r="A348" t="str">
        <f t="shared" si="45"/>
        <v>89301000</v>
      </c>
      <c r="B348" t="str">
        <f t="shared" si="50"/>
        <v>72077000</v>
      </c>
      <c r="C348" t="str">
        <f t="shared" si="51"/>
        <v>72077001</v>
      </c>
      <c r="D348">
        <v>89301152</v>
      </c>
      <c r="E348" t="str">
        <f>"0553143261"</f>
        <v>0553143261</v>
      </c>
      <c r="F348" s="1">
        <v>44928</v>
      </c>
      <c r="G348" t="str">
        <f t="shared" si="53"/>
        <v>91197</v>
      </c>
      <c r="H348">
        <v>1</v>
      </c>
      <c r="I348">
        <v>1048</v>
      </c>
      <c r="J348">
        <v>0</v>
      </c>
      <c r="K348" t="str">
        <f t="shared" si="52"/>
        <v>813</v>
      </c>
      <c r="L348">
        <v>880.32</v>
      </c>
    </row>
    <row r="349" spans="1:12" x14ac:dyDescent="0.25">
      <c r="A349" t="str">
        <f t="shared" si="45"/>
        <v>89301000</v>
      </c>
      <c r="B349" t="str">
        <f t="shared" si="50"/>
        <v>72077000</v>
      </c>
      <c r="C349" t="str">
        <f t="shared" si="51"/>
        <v>72077001</v>
      </c>
      <c r="D349">
        <v>89301152</v>
      </c>
      <c r="E349" t="str">
        <f>"0056143648"</f>
        <v>0056143648</v>
      </c>
      <c r="F349" s="1">
        <v>44928</v>
      </c>
      <c r="G349" t="str">
        <f t="shared" si="53"/>
        <v>91197</v>
      </c>
      <c r="H349">
        <v>1</v>
      </c>
      <c r="I349">
        <v>1048</v>
      </c>
      <c r="J349">
        <v>0</v>
      </c>
      <c r="K349" t="str">
        <f t="shared" si="52"/>
        <v>813</v>
      </c>
      <c r="L349">
        <v>880.32</v>
      </c>
    </row>
    <row r="350" spans="1:12" x14ac:dyDescent="0.25">
      <c r="A350" t="str">
        <f t="shared" si="45"/>
        <v>89301000</v>
      </c>
      <c r="B350" t="str">
        <f t="shared" si="50"/>
        <v>72077000</v>
      </c>
      <c r="C350" t="str">
        <f t="shared" si="51"/>
        <v>72077001</v>
      </c>
      <c r="D350">
        <v>89301152</v>
      </c>
      <c r="E350" t="str">
        <f>"7754115314"</f>
        <v>7754115314</v>
      </c>
      <c r="F350" s="1">
        <v>44928</v>
      </c>
      <c r="G350" t="str">
        <f t="shared" si="53"/>
        <v>91197</v>
      </c>
      <c r="H350">
        <v>1</v>
      </c>
      <c r="I350">
        <v>1048</v>
      </c>
      <c r="J350">
        <v>0</v>
      </c>
      <c r="K350" t="str">
        <f t="shared" si="52"/>
        <v>813</v>
      </c>
      <c r="L350">
        <v>880.32</v>
      </c>
    </row>
    <row r="351" spans="1:12" x14ac:dyDescent="0.25">
      <c r="A351" t="str">
        <f t="shared" si="45"/>
        <v>89301000</v>
      </c>
      <c r="B351" t="str">
        <f t="shared" si="50"/>
        <v>72077000</v>
      </c>
      <c r="C351" t="str">
        <f t="shared" si="51"/>
        <v>72077001</v>
      </c>
      <c r="D351">
        <v>89301152</v>
      </c>
      <c r="E351" t="str">
        <f>"0161305815"</f>
        <v>0161305815</v>
      </c>
      <c r="F351" s="1">
        <v>44928</v>
      </c>
      <c r="G351" t="str">
        <f t="shared" si="53"/>
        <v>91197</v>
      </c>
      <c r="H351">
        <v>1</v>
      </c>
      <c r="I351">
        <v>1048</v>
      </c>
      <c r="J351">
        <v>0</v>
      </c>
      <c r="K351" t="str">
        <f t="shared" si="52"/>
        <v>813</v>
      </c>
      <c r="L351">
        <v>880.32</v>
      </c>
    </row>
    <row r="352" spans="1:12" x14ac:dyDescent="0.25">
      <c r="A352" t="str">
        <f t="shared" si="45"/>
        <v>89301000</v>
      </c>
      <c r="B352" t="str">
        <f t="shared" si="50"/>
        <v>72077000</v>
      </c>
      <c r="C352" t="str">
        <f t="shared" si="51"/>
        <v>72077001</v>
      </c>
      <c r="D352">
        <v>89301152</v>
      </c>
      <c r="E352" t="str">
        <f>"8161015148"</f>
        <v>8161015148</v>
      </c>
      <c r="F352" s="1">
        <v>44928</v>
      </c>
      <c r="G352" t="str">
        <f t="shared" si="53"/>
        <v>91197</v>
      </c>
      <c r="H352">
        <v>1</v>
      </c>
      <c r="I352">
        <v>1048</v>
      </c>
      <c r="J352">
        <v>0</v>
      </c>
      <c r="K352" t="str">
        <f t="shared" si="52"/>
        <v>813</v>
      </c>
      <c r="L352">
        <v>880.32</v>
      </c>
    </row>
    <row r="353" spans="1:12" x14ac:dyDescent="0.25">
      <c r="A353" t="str">
        <f t="shared" si="45"/>
        <v>89301000</v>
      </c>
      <c r="B353" t="str">
        <f t="shared" si="50"/>
        <v>72077000</v>
      </c>
      <c r="C353" t="str">
        <f t="shared" si="51"/>
        <v>72077001</v>
      </c>
      <c r="D353">
        <v>89301152</v>
      </c>
      <c r="E353" t="str">
        <f>"9512256160"</f>
        <v>9512256160</v>
      </c>
      <c r="F353" s="1">
        <v>44928</v>
      </c>
      <c r="G353" t="str">
        <f t="shared" si="53"/>
        <v>91197</v>
      </c>
      <c r="H353">
        <v>1</v>
      </c>
      <c r="I353">
        <v>1048</v>
      </c>
      <c r="J353">
        <v>0</v>
      </c>
      <c r="K353" t="str">
        <f t="shared" si="52"/>
        <v>813</v>
      </c>
      <c r="L353">
        <v>880.32</v>
      </c>
    </row>
    <row r="354" spans="1:12" x14ac:dyDescent="0.25">
      <c r="A354" t="str">
        <f t="shared" si="45"/>
        <v>89301000</v>
      </c>
      <c r="B354" t="str">
        <f t="shared" si="50"/>
        <v>72077000</v>
      </c>
      <c r="C354" t="str">
        <f t="shared" si="51"/>
        <v>72077001</v>
      </c>
      <c r="D354">
        <v>89301152</v>
      </c>
      <c r="E354" t="str">
        <f>"8257165367"</f>
        <v>8257165367</v>
      </c>
      <c r="F354" s="1">
        <v>44928</v>
      </c>
      <c r="G354" t="str">
        <f t="shared" si="53"/>
        <v>91197</v>
      </c>
      <c r="H354">
        <v>1</v>
      </c>
      <c r="I354">
        <v>1048</v>
      </c>
      <c r="J354">
        <v>0</v>
      </c>
      <c r="K354" t="str">
        <f t="shared" si="52"/>
        <v>813</v>
      </c>
      <c r="L354">
        <v>880.32</v>
      </c>
    </row>
    <row r="355" spans="1:12" x14ac:dyDescent="0.25">
      <c r="A355" t="str">
        <f t="shared" si="45"/>
        <v>89301000</v>
      </c>
      <c r="B355" t="str">
        <f t="shared" si="50"/>
        <v>72077000</v>
      </c>
      <c r="C355" t="str">
        <f t="shared" si="51"/>
        <v>72077001</v>
      </c>
      <c r="D355">
        <v>89301152</v>
      </c>
      <c r="E355" t="str">
        <f t="shared" ref="E355:E360" si="54">"7756155330"</f>
        <v>7756155330</v>
      </c>
      <c r="F355" s="1">
        <v>44936</v>
      </c>
      <c r="G355" t="str">
        <f t="shared" ref="G355:G360" si="55">"91219"</f>
        <v>91219</v>
      </c>
      <c r="H355">
        <v>1</v>
      </c>
      <c r="I355">
        <v>343</v>
      </c>
      <c r="J355">
        <v>0</v>
      </c>
      <c r="K355" t="str">
        <f t="shared" si="52"/>
        <v>813</v>
      </c>
      <c r="L355">
        <v>288.12</v>
      </c>
    </row>
    <row r="356" spans="1:12" x14ac:dyDescent="0.25">
      <c r="A356" t="str">
        <f t="shared" si="45"/>
        <v>89301000</v>
      </c>
      <c r="B356" t="str">
        <f t="shared" si="50"/>
        <v>72077000</v>
      </c>
      <c r="C356" t="str">
        <f t="shared" si="51"/>
        <v>72077001</v>
      </c>
      <c r="D356">
        <v>89301152</v>
      </c>
      <c r="E356" t="str">
        <f t="shared" si="54"/>
        <v>7756155330</v>
      </c>
      <c r="F356" s="1">
        <v>44936</v>
      </c>
      <c r="G356" t="str">
        <f t="shared" si="55"/>
        <v>91219</v>
      </c>
      <c r="H356">
        <v>1</v>
      </c>
      <c r="I356">
        <v>343</v>
      </c>
      <c r="J356">
        <v>0</v>
      </c>
      <c r="K356" t="str">
        <f t="shared" si="52"/>
        <v>813</v>
      </c>
      <c r="L356">
        <v>288.12</v>
      </c>
    </row>
    <row r="357" spans="1:12" x14ac:dyDescent="0.25">
      <c r="A357" t="str">
        <f t="shared" si="45"/>
        <v>89301000</v>
      </c>
      <c r="B357" t="str">
        <f t="shared" si="50"/>
        <v>72077000</v>
      </c>
      <c r="C357" t="str">
        <f t="shared" si="51"/>
        <v>72077001</v>
      </c>
      <c r="D357">
        <v>89301152</v>
      </c>
      <c r="E357" t="str">
        <f t="shared" si="54"/>
        <v>7756155330</v>
      </c>
      <c r="F357" s="1">
        <v>44936</v>
      </c>
      <c r="G357" t="str">
        <f t="shared" si="55"/>
        <v>91219</v>
      </c>
      <c r="H357">
        <v>1</v>
      </c>
      <c r="I357">
        <v>343</v>
      </c>
      <c r="J357">
        <v>0</v>
      </c>
      <c r="K357" t="str">
        <f t="shared" si="52"/>
        <v>813</v>
      </c>
      <c r="L357">
        <v>288.12</v>
      </c>
    </row>
    <row r="358" spans="1:12" x14ac:dyDescent="0.25">
      <c r="A358" t="str">
        <f t="shared" si="45"/>
        <v>89301000</v>
      </c>
      <c r="B358" t="str">
        <f t="shared" si="50"/>
        <v>72077000</v>
      </c>
      <c r="C358" t="str">
        <f t="shared" si="51"/>
        <v>72077001</v>
      </c>
      <c r="D358">
        <v>89301152</v>
      </c>
      <c r="E358" t="str">
        <f t="shared" si="54"/>
        <v>7756155330</v>
      </c>
      <c r="F358" s="1">
        <v>44936</v>
      </c>
      <c r="G358" t="str">
        <f t="shared" si="55"/>
        <v>91219</v>
      </c>
      <c r="H358">
        <v>1</v>
      </c>
      <c r="I358">
        <v>343</v>
      </c>
      <c r="J358">
        <v>0</v>
      </c>
      <c r="K358" t="str">
        <f t="shared" si="52"/>
        <v>813</v>
      </c>
      <c r="L358">
        <v>288.12</v>
      </c>
    </row>
    <row r="359" spans="1:12" x14ac:dyDescent="0.25">
      <c r="A359" t="str">
        <f t="shared" si="45"/>
        <v>89301000</v>
      </c>
      <c r="B359" t="str">
        <f t="shared" si="50"/>
        <v>72077000</v>
      </c>
      <c r="C359" t="str">
        <f t="shared" si="51"/>
        <v>72077001</v>
      </c>
      <c r="D359">
        <v>89301152</v>
      </c>
      <c r="E359" t="str">
        <f t="shared" si="54"/>
        <v>7756155330</v>
      </c>
      <c r="F359" s="1">
        <v>44936</v>
      </c>
      <c r="G359" t="str">
        <f t="shared" si="55"/>
        <v>91219</v>
      </c>
      <c r="H359">
        <v>1</v>
      </c>
      <c r="I359">
        <v>343</v>
      </c>
      <c r="J359">
        <v>0</v>
      </c>
      <c r="K359" t="str">
        <f t="shared" si="52"/>
        <v>813</v>
      </c>
      <c r="L359">
        <v>288.12</v>
      </c>
    </row>
    <row r="360" spans="1:12" x14ac:dyDescent="0.25">
      <c r="A360" t="str">
        <f t="shared" si="45"/>
        <v>89301000</v>
      </c>
      <c r="B360" t="str">
        <f t="shared" si="50"/>
        <v>72077000</v>
      </c>
      <c r="C360" t="str">
        <f t="shared" si="51"/>
        <v>72077001</v>
      </c>
      <c r="D360">
        <v>89301152</v>
      </c>
      <c r="E360" t="str">
        <f t="shared" si="54"/>
        <v>7756155330</v>
      </c>
      <c r="F360" s="1">
        <v>44936</v>
      </c>
      <c r="G360" t="str">
        <f t="shared" si="55"/>
        <v>91219</v>
      </c>
      <c r="H360">
        <v>1</v>
      </c>
      <c r="I360">
        <v>343</v>
      </c>
      <c r="J360">
        <v>0</v>
      </c>
      <c r="K360" t="str">
        <f t="shared" si="52"/>
        <v>813</v>
      </c>
      <c r="L360">
        <v>288.12</v>
      </c>
    </row>
    <row r="361" spans="1:12" x14ac:dyDescent="0.25">
      <c r="A361" t="str">
        <f t="shared" si="45"/>
        <v>89301000</v>
      </c>
      <c r="B361" t="str">
        <f t="shared" si="50"/>
        <v>72077000</v>
      </c>
      <c r="C361" t="str">
        <f t="shared" si="51"/>
        <v>72077001</v>
      </c>
      <c r="D361">
        <v>89301152</v>
      </c>
      <c r="E361" t="str">
        <f>"8656016215"</f>
        <v>8656016215</v>
      </c>
      <c r="F361" s="1">
        <v>44931</v>
      </c>
      <c r="G361" t="str">
        <f>"91465"</f>
        <v>91465</v>
      </c>
      <c r="H361">
        <v>1</v>
      </c>
      <c r="I361">
        <v>1412</v>
      </c>
      <c r="J361">
        <v>0</v>
      </c>
      <c r="K361" t="str">
        <f t="shared" si="52"/>
        <v>813</v>
      </c>
      <c r="L361">
        <v>1186.08</v>
      </c>
    </row>
    <row r="362" spans="1:12" x14ac:dyDescent="0.25">
      <c r="A362" t="str">
        <f t="shared" si="45"/>
        <v>89301000</v>
      </c>
      <c r="B362" t="str">
        <f t="shared" si="50"/>
        <v>72077000</v>
      </c>
      <c r="C362" t="str">
        <f t="shared" si="51"/>
        <v>72077001</v>
      </c>
      <c r="D362">
        <v>89301152</v>
      </c>
      <c r="E362" t="str">
        <f>"8656016215"</f>
        <v>8656016215</v>
      </c>
      <c r="F362" s="1">
        <v>44931</v>
      </c>
      <c r="G362" t="str">
        <f>"91197"</f>
        <v>91197</v>
      </c>
      <c r="H362">
        <v>1</v>
      </c>
      <c r="I362">
        <v>1048</v>
      </c>
      <c r="J362">
        <v>0</v>
      </c>
      <c r="K362" t="str">
        <f t="shared" si="52"/>
        <v>813</v>
      </c>
      <c r="L362">
        <v>880.32</v>
      </c>
    </row>
    <row r="363" spans="1:12" x14ac:dyDescent="0.25">
      <c r="A363" t="str">
        <f t="shared" si="45"/>
        <v>89301000</v>
      </c>
      <c r="B363" t="str">
        <f t="shared" si="50"/>
        <v>72077000</v>
      </c>
      <c r="C363" t="str">
        <f t="shared" si="51"/>
        <v>72077001</v>
      </c>
      <c r="D363">
        <v>89301152</v>
      </c>
      <c r="E363" t="str">
        <f>"7451284478"</f>
        <v>7451284478</v>
      </c>
      <c r="F363" s="1">
        <v>44931</v>
      </c>
      <c r="G363" t="str">
        <f>"91465"</f>
        <v>91465</v>
      </c>
      <c r="H363">
        <v>1</v>
      </c>
      <c r="I363">
        <v>1412</v>
      </c>
      <c r="J363">
        <v>0</v>
      </c>
      <c r="K363" t="str">
        <f t="shared" si="52"/>
        <v>813</v>
      </c>
      <c r="L363">
        <v>1186.08</v>
      </c>
    </row>
    <row r="364" spans="1:12" x14ac:dyDescent="0.25">
      <c r="A364" t="str">
        <f t="shared" si="45"/>
        <v>89301000</v>
      </c>
      <c r="B364" t="str">
        <f t="shared" si="50"/>
        <v>72077000</v>
      </c>
      <c r="C364" t="str">
        <f t="shared" si="51"/>
        <v>72077001</v>
      </c>
      <c r="D364">
        <v>89301152</v>
      </c>
      <c r="E364" t="str">
        <f>"7451284478"</f>
        <v>7451284478</v>
      </c>
      <c r="F364" s="1">
        <v>44931</v>
      </c>
      <c r="G364" t="str">
        <f>"91197"</f>
        <v>91197</v>
      </c>
      <c r="H364">
        <v>1</v>
      </c>
      <c r="I364">
        <v>1048</v>
      </c>
      <c r="J364">
        <v>0</v>
      </c>
      <c r="K364" t="str">
        <f t="shared" si="52"/>
        <v>813</v>
      </c>
      <c r="L364">
        <v>880.32</v>
      </c>
    </row>
    <row r="365" spans="1:12" x14ac:dyDescent="0.25">
      <c r="A365" t="str">
        <f t="shared" si="45"/>
        <v>89301000</v>
      </c>
      <c r="B365" t="str">
        <f t="shared" si="50"/>
        <v>72077000</v>
      </c>
      <c r="C365" t="str">
        <f t="shared" si="51"/>
        <v>72077001</v>
      </c>
      <c r="D365">
        <v>89301152</v>
      </c>
      <c r="E365" t="str">
        <f>"9957085721"</f>
        <v>9957085721</v>
      </c>
      <c r="F365" s="1">
        <v>44931</v>
      </c>
      <c r="G365" t="str">
        <f>"91465"</f>
        <v>91465</v>
      </c>
      <c r="H365">
        <v>1</v>
      </c>
      <c r="I365">
        <v>1412</v>
      </c>
      <c r="J365">
        <v>0</v>
      </c>
      <c r="K365" t="str">
        <f t="shared" si="52"/>
        <v>813</v>
      </c>
      <c r="L365">
        <v>1186.08</v>
      </c>
    </row>
    <row r="366" spans="1:12" x14ac:dyDescent="0.25">
      <c r="A366" t="str">
        <f t="shared" si="45"/>
        <v>89301000</v>
      </c>
      <c r="B366" t="str">
        <f t="shared" si="50"/>
        <v>72077000</v>
      </c>
      <c r="C366" t="str">
        <f t="shared" si="51"/>
        <v>72077001</v>
      </c>
      <c r="D366">
        <v>89301152</v>
      </c>
      <c r="E366" t="str">
        <f>"9957085721"</f>
        <v>9957085721</v>
      </c>
      <c r="F366" s="1">
        <v>44931</v>
      </c>
      <c r="G366" t="str">
        <f>"91197"</f>
        <v>91197</v>
      </c>
      <c r="H366">
        <v>1</v>
      </c>
      <c r="I366">
        <v>1048</v>
      </c>
      <c r="J366">
        <v>0</v>
      </c>
      <c r="K366" t="str">
        <f t="shared" si="52"/>
        <v>813</v>
      </c>
      <c r="L366">
        <v>880.32</v>
      </c>
    </row>
    <row r="367" spans="1:12" x14ac:dyDescent="0.25">
      <c r="A367" t="str">
        <f t="shared" si="45"/>
        <v>89301000</v>
      </c>
      <c r="B367" t="str">
        <f t="shared" si="50"/>
        <v>72077000</v>
      </c>
      <c r="C367" t="str">
        <f t="shared" si="51"/>
        <v>72077001</v>
      </c>
      <c r="D367">
        <v>89301152</v>
      </c>
      <c r="E367" t="str">
        <f>"9507255758"</f>
        <v>9507255758</v>
      </c>
      <c r="F367" s="1">
        <v>44936</v>
      </c>
      <c r="G367" t="str">
        <f>"91219"</f>
        <v>91219</v>
      </c>
      <c r="H367">
        <v>1</v>
      </c>
      <c r="I367">
        <v>343</v>
      </c>
      <c r="J367">
        <v>0</v>
      </c>
      <c r="K367" t="str">
        <f t="shared" si="52"/>
        <v>813</v>
      </c>
      <c r="L367">
        <v>288.12</v>
      </c>
    </row>
    <row r="368" spans="1:12" x14ac:dyDescent="0.25">
      <c r="A368" t="str">
        <f t="shared" si="45"/>
        <v>89301000</v>
      </c>
      <c r="B368" t="str">
        <f t="shared" si="50"/>
        <v>72077000</v>
      </c>
      <c r="C368" t="str">
        <f t="shared" si="51"/>
        <v>72077001</v>
      </c>
      <c r="D368">
        <v>89301152</v>
      </c>
      <c r="E368" t="str">
        <f>"9507255758"</f>
        <v>9507255758</v>
      </c>
      <c r="F368" s="1">
        <v>44936</v>
      </c>
      <c r="G368" t="str">
        <f>"91219"</f>
        <v>91219</v>
      </c>
      <c r="H368">
        <v>1</v>
      </c>
      <c r="I368">
        <v>343</v>
      </c>
      <c r="J368">
        <v>0</v>
      </c>
      <c r="K368" t="str">
        <f t="shared" si="52"/>
        <v>813</v>
      </c>
      <c r="L368">
        <v>288.12</v>
      </c>
    </row>
    <row r="369" spans="1:12" x14ac:dyDescent="0.25">
      <c r="A369" t="str">
        <f t="shared" si="45"/>
        <v>89301000</v>
      </c>
      <c r="B369" t="str">
        <f t="shared" si="50"/>
        <v>72077000</v>
      </c>
      <c r="C369" t="str">
        <f t="shared" si="51"/>
        <v>72077001</v>
      </c>
      <c r="D369">
        <v>89301152</v>
      </c>
      <c r="E369" t="str">
        <f>"9507255758"</f>
        <v>9507255758</v>
      </c>
      <c r="F369" s="1">
        <v>44936</v>
      </c>
      <c r="G369" t="str">
        <f>"91219"</f>
        <v>91219</v>
      </c>
      <c r="H369">
        <v>1</v>
      </c>
      <c r="I369">
        <v>343</v>
      </c>
      <c r="J369">
        <v>0</v>
      </c>
      <c r="K369" t="str">
        <f t="shared" si="52"/>
        <v>813</v>
      </c>
      <c r="L369">
        <v>288.12</v>
      </c>
    </row>
    <row r="370" spans="1:12" x14ac:dyDescent="0.25">
      <c r="A370" t="str">
        <f t="shared" si="45"/>
        <v>89301000</v>
      </c>
      <c r="B370" t="str">
        <f t="shared" si="50"/>
        <v>72077000</v>
      </c>
      <c r="C370" t="str">
        <f t="shared" si="51"/>
        <v>72077001</v>
      </c>
      <c r="D370">
        <v>89301152</v>
      </c>
      <c r="E370" t="str">
        <f>"9507255758"</f>
        <v>9507255758</v>
      </c>
      <c r="F370" s="1">
        <v>44936</v>
      </c>
      <c r="G370" t="str">
        <f>"91219"</f>
        <v>91219</v>
      </c>
      <c r="H370">
        <v>1</v>
      </c>
      <c r="I370">
        <v>343</v>
      </c>
      <c r="J370">
        <v>0</v>
      </c>
      <c r="K370" t="str">
        <f t="shared" si="52"/>
        <v>813</v>
      </c>
      <c r="L370">
        <v>288.12</v>
      </c>
    </row>
    <row r="371" spans="1:12" x14ac:dyDescent="0.25">
      <c r="A371" t="str">
        <f t="shared" si="45"/>
        <v>89301000</v>
      </c>
      <c r="B371" t="str">
        <f t="shared" si="50"/>
        <v>72077000</v>
      </c>
      <c r="C371" t="str">
        <f t="shared" si="51"/>
        <v>72077001</v>
      </c>
      <c r="D371">
        <v>89301152</v>
      </c>
      <c r="E371" t="str">
        <f>"9507255758"</f>
        <v>9507255758</v>
      </c>
      <c r="F371" s="1">
        <v>44936</v>
      </c>
      <c r="G371" t="str">
        <f>"91219"</f>
        <v>91219</v>
      </c>
      <c r="H371">
        <v>1</v>
      </c>
      <c r="I371">
        <v>343</v>
      </c>
      <c r="J371">
        <v>0</v>
      </c>
      <c r="K371" t="str">
        <f t="shared" si="52"/>
        <v>813</v>
      </c>
      <c r="L371">
        <v>288.12</v>
      </c>
    </row>
    <row r="372" spans="1:12" x14ac:dyDescent="0.25">
      <c r="A372" t="str">
        <f t="shared" si="45"/>
        <v>89301000</v>
      </c>
      <c r="B372" t="str">
        <f t="shared" si="50"/>
        <v>72077000</v>
      </c>
      <c r="C372" t="str">
        <f t="shared" si="51"/>
        <v>72077001</v>
      </c>
      <c r="D372">
        <v>89301152</v>
      </c>
      <c r="E372" t="str">
        <f>"7403073040"</f>
        <v>7403073040</v>
      </c>
      <c r="F372" s="1">
        <v>44931</v>
      </c>
      <c r="G372" t="str">
        <f>"91465"</f>
        <v>91465</v>
      </c>
      <c r="H372">
        <v>1</v>
      </c>
      <c r="I372">
        <v>1412</v>
      </c>
      <c r="J372">
        <v>0</v>
      </c>
      <c r="K372" t="str">
        <f t="shared" si="52"/>
        <v>813</v>
      </c>
      <c r="L372">
        <v>1186.08</v>
      </c>
    </row>
    <row r="373" spans="1:12" x14ac:dyDescent="0.25">
      <c r="A373" t="str">
        <f t="shared" si="45"/>
        <v>89301000</v>
      </c>
      <c r="B373" t="str">
        <f t="shared" si="50"/>
        <v>72077000</v>
      </c>
      <c r="C373" t="str">
        <f t="shared" si="51"/>
        <v>72077001</v>
      </c>
      <c r="D373">
        <v>89301152</v>
      </c>
      <c r="E373" t="str">
        <f>"7403073040"</f>
        <v>7403073040</v>
      </c>
      <c r="F373" s="1">
        <v>44931</v>
      </c>
      <c r="G373" t="str">
        <f>"91197"</f>
        <v>91197</v>
      </c>
      <c r="H373">
        <v>1</v>
      </c>
      <c r="I373">
        <v>1048</v>
      </c>
      <c r="J373">
        <v>0</v>
      </c>
      <c r="K373" t="str">
        <f t="shared" si="52"/>
        <v>813</v>
      </c>
      <c r="L373">
        <v>880.32</v>
      </c>
    </row>
    <row r="374" spans="1:12" x14ac:dyDescent="0.25">
      <c r="A374" t="str">
        <f t="shared" si="45"/>
        <v>89301000</v>
      </c>
      <c r="B374" t="str">
        <f t="shared" si="50"/>
        <v>72077000</v>
      </c>
      <c r="C374" t="str">
        <f t="shared" si="51"/>
        <v>72077001</v>
      </c>
      <c r="D374">
        <v>89301107</v>
      </c>
      <c r="E374" t="str">
        <f>"1701271935"</f>
        <v>1701271935</v>
      </c>
      <c r="F374" s="1">
        <v>44935</v>
      </c>
      <c r="G374" t="str">
        <f>"91197"</f>
        <v>91197</v>
      </c>
      <c r="H374">
        <v>1</v>
      </c>
      <c r="I374">
        <v>1048</v>
      </c>
      <c r="J374">
        <v>0</v>
      </c>
      <c r="K374" t="str">
        <f t="shared" si="52"/>
        <v>813</v>
      </c>
      <c r="L374">
        <v>880.32</v>
      </c>
    </row>
    <row r="375" spans="1:12" x14ac:dyDescent="0.25">
      <c r="A375" t="str">
        <f t="shared" si="45"/>
        <v>89301000</v>
      </c>
      <c r="B375" t="str">
        <f t="shared" ref="B375:B406" si="56">"72077000"</f>
        <v>72077000</v>
      </c>
      <c r="C375" t="str">
        <f t="shared" ref="C375:C406" si="57">"72077001"</f>
        <v>72077001</v>
      </c>
      <c r="D375">
        <v>89301152</v>
      </c>
      <c r="E375" t="str">
        <f>"9760075402"</f>
        <v>9760075402</v>
      </c>
      <c r="F375" s="1">
        <v>44935</v>
      </c>
      <c r="G375" t="str">
        <f>"91197"</f>
        <v>91197</v>
      </c>
      <c r="H375">
        <v>1</v>
      </c>
      <c r="I375">
        <v>1048</v>
      </c>
      <c r="J375">
        <v>0</v>
      </c>
      <c r="K375" t="str">
        <f t="shared" ref="K375:K406" si="58">"813"</f>
        <v>813</v>
      </c>
      <c r="L375">
        <v>880.32</v>
      </c>
    </row>
    <row r="376" spans="1:12" x14ac:dyDescent="0.25">
      <c r="A376" t="str">
        <f t="shared" si="45"/>
        <v>89301000</v>
      </c>
      <c r="B376" t="str">
        <f t="shared" si="56"/>
        <v>72077000</v>
      </c>
      <c r="C376" t="str">
        <f t="shared" si="57"/>
        <v>72077001</v>
      </c>
      <c r="D376">
        <v>89301152</v>
      </c>
      <c r="E376" t="str">
        <f>"9760075402"</f>
        <v>9760075402</v>
      </c>
      <c r="F376" s="1">
        <v>44936</v>
      </c>
      <c r="G376" t="str">
        <f>"91465"</f>
        <v>91465</v>
      </c>
      <c r="H376">
        <v>1</v>
      </c>
      <c r="I376">
        <v>1412</v>
      </c>
      <c r="J376">
        <v>0</v>
      </c>
      <c r="K376" t="str">
        <f t="shared" si="58"/>
        <v>813</v>
      </c>
      <c r="L376">
        <v>1186.08</v>
      </c>
    </row>
    <row r="377" spans="1:12" x14ac:dyDescent="0.25">
      <c r="A377" t="str">
        <f t="shared" si="45"/>
        <v>89301000</v>
      </c>
      <c r="B377" t="str">
        <f t="shared" si="56"/>
        <v>72077000</v>
      </c>
      <c r="C377" t="str">
        <f t="shared" si="57"/>
        <v>72077001</v>
      </c>
      <c r="D377">
        <v>89301152</v>
      </c>
      <c r="E377" t="str">
        <f>"6958135305"</f>
        <v>6958135305</v>
      </c>
      <c r="F377" s="1">
        <v>44938</v>
      </c>
      <c r="G377" t="str">
        <f>"91465"</f>
        <v>91465</v>
      </c>
      <c r="H377">
        <v>1</v>
      </c>
      <c r="I377">
        <v>1412</v>
      </c>
      <c r="J377">
        <v>0</v>
      </c>
      <c r="K377" t="str">
        <f t="shared" si="58"/>
        <v>813</v>
      </c>
      <c r="L377">
        <v>1186.08</v>
      </c>
    </row>
    <row r="378" spans="1:12" x14ac:dyDescent="0.25">
      <c r="A378" t="str">
        <f t="shared" si="45"/>
        <v>89301000</v>
      </c>
      <c r="B378" t="str">
        <f t="shared" si="56"/>
        <v>72077000</v>
      </c>
      <c r="C378" t="str">
        <f t="shared" si="57"/>
        <v>72077001</v>
      </c>
      <c r="D378">
        <v>89301152</v>
      </c>
      <c r="E378" t="str">
        <f>"6958135305"</f>
        <v>6958135305</v>
      </c>
      <c r="F378" s="1">
        <v>44939</v>
      </c>
      <c r="G378" t="str">
        <f>"91219"</f>
        <v>91219</v>
      </c>
      <c r="H378">
        <v>1</v>
      </c>
      <c r="I378">
        <v>343</v>
      </c>
      <c r="J378">
        <v>0</v>
      </c>
      <c r="K378" t="str">
        <f t="shared" si="58"/>
        <v>813</v>
      </c>
      <c r="L378">
        <v>288.12</v>
      </c>
    </row>
    <row r="379" spans="1:12" x14ac:dyDescent="0.25">
      <c r="A379" t="str">
        <f t="shared" si="45"/>
        <v>89301000</v>
      </c>
      <c r="B379" t="str">
        <f t="shared" si="56"/>
        <v>72077000</v>
      </c>
      <c r="C379" t="str">
        <f t="shared" si="57"/>
        <v>72077001</v>
      </c>
      <c r="D379">
        <v>89301152</v>
      </c>
      <c r="E379" t="str">
        <f>"6958135305"</f>
        <v>6958135305</v>
      </c>
      <c r="F379" s="1">
        <v>44939</v>
      </c>
      <c r="G379" t="str">
        <f>"91219"</f>
        <v>91219</v>
      </c>
      <c r="H379">
        <v>1</v>
      </c>
      <c r="I379">
        <v>343</v>
      </c>
      <c r="J379">
        <v>0</v>
      </c>
      <c r="K379" t="str">
        <f t="shared" si="58"/>
        <v>813</v>
      </c>
      <c r="L379">
        <v>288.12</v>
      </c>
    </row>
    <row r="380" spans="1:12" x14ac:dyDescent="0.25">
      <c r="A380" t="str">
        <f t="shared" si="45"/>
        <v>89301000</v>
      </c>
      <c r="B380" t="str">
        <f t="shared" si="56"/>
        <v>72077000</v>
      </c>
      <c r="C380" t="str">
        <f t="shared" si="57"/>
        <v>72077001</v>
      </c>
      <c r="D380">
        <v>89301152</v>
      </c>
      <c r="E380" t="str">
        <f>"6958135305"</f>
        <v>6958135305</v>
      </c>
      <c r="F380" s="1">
        <v>44939</v>
      </c>
      <c r="G380" t="str">
        <f>"91197"</f>
        <v>91197</v>
      </c>
      <c r="H380">
        <v>1</v>
      </c>
      <c r="I380">
        <v>1048</v>
      </c>
      <c r="J380">
        <v>0</v>
      </c>
      <c r="K380" t="str">
        <f t="shared" si="58"/>
        <v>813</v>
      </c>
      <c r="L380">
        <v>880.32</v>
      </c>
    </row>
    <row r="381" spans="1:12" x14ac:dyDescent="0.25">
      <c r="A381" t="str">
        <f t="shared" si="45"/>
        <v>89301000</v>
      </c>
      <c r="B381" t="str">
        <f t="shared" si="56"/>
        <v>72077000</v>
      </c>
      <c r="C381" t="str">
        <f t="shared" si="57"/>
        <v>72077001</v>
      </c>
      <c r="D381">
        <v>89301107</v>
      </c>
      <c r="E381" t="str">
        <f>"0957013244"</f>
        <v>0957013244</v>
      </c>
      <c r="F381" s="1">
        <v>44939</v>
      </c>
      <c r="G381" t="str">
        <f>"91171"</f>
        <v>91171</v>
      </c>
      <c r="H381">
        <v>1</v>
      </c>
      <c r="I381">
        <v>362</v>
      </c>
      <c r="J381">
        <v>0</v>
      </c>
      <c r="K381" t="str">
        <f t="shared" si="58"/>
        <v>813</v>
      </c>
      <c r="L381">
        <v>304.08</v>
      </c>
    </row>
    <row r="382" spans="1:12" x14ac:dyDescent="0.25">
      <c r="A382" t="str">
        <f t="shared" si="45"/>
        <v>89301000</v>
      </c>
      <c r="B382" t="str">
        <f t="shared" si="56"/>
        <v>72077000</v>
      </c>
      <c r="C382" t="str">
        <f t="shared" si="57"/>
        <v>72077001</v>
      </c>
      <c r="D382">
        <v>89301107</v>
      </c>
      <c r="E382" t="str">
        <f>"0957013244"</f>
        <v>0957013244</v>
      </c>
      <c r="F382" s="1">
        <v>44939</v>
      </c>
      <c r="G382" t="str">
        <f>"91171"</f>
        <v>91171</v>
      </c>
      <c r="H382">
        <v>1</v>
      </c>
      <c r="I382">
        <v>362</v>
      </c>
      <c r="J382">
        <v>0</v>
      </c>
      <c r="K382" t="str">
        <f t="shared" si="58"/>
        <v>813</v>
      </c>
      <c r="L382">
        <v>304.08</v>
      </c>
    </row>
    <row r="383" spans="1:12" x14ac:dyDescent="0.25">
      <c r="A383" t="str">
        <f t="shared" si="45"/>
        <v>89301000</v>
      </c>
      <c r="B383" t="str">
        <f t="shared" si="56"/>
        <v>72077000</v>
      </c>
      <c r="C383" t="str">
        <f t="shared" si="57"/>
        <v>72077001</v>
      </c>
      <c r="D383">
        <v>89301152</v>
      </c>
      <c r="E383" t="str">
        <f>"9053214852"</f>
        <v>9053214852</v>
      </c>
      <c r="F383" s="1">
        <v>44936</v>
      </c>
      <c r="G383" t="str">
        <f>"91159"</f>
        <v>91159</v>
      </c>
      <c r="H383">
        <v>1</v>
      </c>
      <c r="I383">
        <v>171</v>
      </c>
      <c r="J383">
        <v>0</v>
      </c>
      <c r="K383" t="str">
        <f t="shared" si="58"/>
        <v>813</v>
      </c>
      <c r="L383">
        <v>143.63999999999999</v>
      </c>
    </row>
    <row r="384" spans="1:12" x14ac:dyDescent="0.25">
      <c r="A384" t="str">
        <f t="shared" si="45"/>
        <v>89301000</v>
      </c>
      <c r="B384" t="str">
        <f t="shared" si="56"/>
        <v>72077000</v>
      </c>
      <c r="C384" t="str">
        <f t="shared" si="57"/>
        <v>72077001</v>
      </c>
      <c r="D384">
        <v>89301152</v>
      </c>
      <c r="E384" t="str">
        <f>"9053214852"</f>
        <v>9053214852</v>
      </c>
      <c r="F384" s="1">
        <v>44936</v>
      </c>
      <c r="G384" t="str">
        <f>"91161"</f>
        <v>91161</v>
      </c>
      <c r="H384">
        <v>1</v>
      </c>
      <c r="I384">
        <v>178</v>
      </c>
      <c r="J384">
        <v>0</v>
      </c>
      <c r="K384" t="str">
        <f t="shared" si="58"/>
        <v>813</v>
      </c>
      <c r="L384">
        <v>149.52000000000001</v>
      </c>
    </row>
    <row r="385" spans="1:12" x14ac:dyDescent="0.25">
      <c r="A385" t="str">
        <f t="shared" si="45"/>
        <v>89301000</v>
      </c>
      <c r="B385" t="str">
        <f t="shared" si="56"/>
        <v>72077000</v>
      </c>
      <c r="C385" t="str">
        <f t="shared" si="57"/>
        <v>72077001</v>
      </c>
      <c r="D385">
        <v>89301152</v>
      </c>
      <c r="E385" t="str">
        <f>"9053214852"</f>
        <v>9053214852</v>
      </c>
      <c r="F385" s="1">
        <v>44937</v>
      </c>
      <c r="G385" t="str">
        <f>"91485"</f>
        <v>91485</v>
      </c>
      <c r="H385">
        <v>1</v>
      </c>
      <c r="I385">
        <v>268</v>
      </c>
      <c r="J385">
        <v>0</v>
      </c>
      <c r="K385" t="str">
        <f t="shared" si="58"/>
        <v>813</v>
      </c>
      <c r="L385">
        <v>225.12</v>
      </c>
    </row>
    <row r="386" spans="1:12" x14ac:dyDescent="0.25">
      <c r="A386" t="str">
        <f t="shared" ref="A386:A449" si="59">"89301000"</f>
        <v>89301000</v>
      </c>
      <c r="B386" t="str">
        <f t="shared" si="56"/>
        <v>72077000</v>
      </c>
      <c r="C386" t="str">
        <f t="shared" si="57"/>
        <v>72077001</v>
      </c>
      <c r="D386">
        <v>89301152</v>
      </c>
      <c r="E386" t="str">
        <f>"9053214852"</f>
        <v>9053214852</v>
      </c>
      <c r="F386" s="1">
        <v>44949</v>
      </c>
      <c r="G386" t="str">
        <f>"91361"</f>
        <v>91361</v>
      </c>
      <c r="H386">
        <v>1</v>
      </c>
      <c r="I386">
        <v>444</v>
      </c>
      <c r="J386">
        <v>0</v>
      </c>
      <c r="K386" t="str">
        <f t="shared" si="58"/>
        <v>813</v>
      </c>
      <c r="L386">
        <v>372.96</v>
      </c>
    </row>
    <row r="387" spans="1:12" x14ac:dyDescent="0.25">
      <c r="A387" t="str">
        <f t="shared" si="59"/>
        <v>89301000</v>
      </c>
      <c r="B387" t="str">
        <f t="shared" si="56"/>
        <v>72077000</v>
      </c>
      <c r="C387" t="str">
        <f t="shared" si="57"/>
        <v>72077001</v>
      </c>
      <c r="D387">
        <v>89301152</v>
      </c>
      <c r="E387" t="str">
        <f>"9053214852"</f>
        <v>9053214852</v>
      </c>
      <c r="F387" s="1">
        <v>44949</v>
      </c>
      <c r="G387" t="str">
        <f>"91359"</f>
        <v>91359</v>
      </c>
      <c r="H387">
        <v>1</v>
      </c>
      <c r="I387">
        <v>205</v>
      </c>
      <c r="J387">
        <v>0</v>
      </c>
      <c r="K387" t="str">
        <f t="shared" si="58"/>
        <v>813</v>
      </c>
      <c r="L387">
        <v>172.2</v>
      </c>
    </row>
    <row r="388" spans="1:12" x14ac:dyDescent="0.25">
      <c r="A388" t="str">
        <f t="shared" si="59"/>
        <v>89301000</v>
      </c>
      <c r="B388" t="str">
        <f t="shared" si="56"/>
        <v>72077000</v>
      </c>
      <c r="C388" t="str">
        <f t="shared" si="57"/>
        <v>72077001</v>
      </c>
      <c r="D388">
        <v>89301152</v>
      </c>
      <c r="E388" t="str">
        <f>"9709085309"</f>
        <v>9709085309</v>
      </c>
      <c r="F388" s="1">
        <v>44946</v>
      </c>
      <c r="G388" t="str">
        <f>"91485"</f>
        <v>91485</v>
      </c>
      <c r="H388">
        <v>1</v>
      </c>
      <c r="I388">
        <v>268</v>
      </c>
      <c r="J388">
        <v>0</v>
      </c>
      <c r="K388" t="str">
        <f t="shared" si="58"/>
        <v>813</v>
      </c>
      <c r="L388">
        <v>225.12</v>
      </c>
    </row>
    <row r="389" spans="1:12" x14ac:dyDescent="0.25">
      <c r="A389" t="str">
        <f t="shared" si="59"/>
        <v>89301000</v>
      </c>
      <c r="B389" t="str">
        <f t="shared" si="56"/>
        <v>72077000</v>
      </c>
      <c r="C389" t="str">
        <f t="shared" si="57"/>
        <v>72077001</v>
      </c>
      <c r="D389">
        <v>89301152</v>
      </c>
      <c r="E389" t="str">
        <f>"9709085309"</f>
        <v>9709085309</v>
      </c>
      <c r="F389" s="1">
        <v>44951</v>
      </c>
      <c r="G389" t="str">
        <f>"91361"</f>
        <v>91361</v>
      </c>
      <c r="H389">
        <v>1</v>
      </c>
      <c r="I389">
        <v>444</v>
      </c>
      <c r="J389">
        <v>0</v>
      </c>
      <c r="K389" t="str">
        <f t="shared" si="58"/>
        <v>813</v>
      </c>
      <c r="L389">
        <v>372.96</v>
      </c>
    </row>
    <row r="390" spans="1:12" x14ac:dyDescent="0.25">
      <c r="A390" t="str">
        <f t="shared" si="59"/>
        <v>89301000</v>
      </c>
      <c r="B390" t="str">
        <f t="shared" si="56"/>
        <v>72077000</v>
      </c>
      <c r="C390" t="str">
        <f t="shared" si="57"/>
        <v>72077001</v>
      </c>
      <c r="D390">
        <v>89301152</v>
      </c>
      <c r="E390" t="str">
        <f>"9709085309"</f>
        <v>9709085309</v>
      </c>
      <c r="F390" s="1">
        <v>44951</v>
      </c>
      <c r="G390" t="str">
        <f>"91359"</f>
        <v>91359</v>
      </c>
      <c r="H390">
        <v>1</v>
      </c>
      <c r="I390">
        <v>205</v>
      </c>
      <c r="J390">
        <v>0</v>
      </c>
      <c r="K390" t="str">
        <f t="shared" si="58"/>
        <v>813</v>
      </c>
      <c r="L390">
        <v>172.2</v>
      </c>
    </row>
    <row r="391" spans="1:12" x14ac:dyDescent="0.25">
      <c r="A391" t="str">
        <f t="shared" si="59"/>
        <v>89301000</v>
      </c>
      <c r="B391" t="str">
        <f t="shared" si="56"/>
        <v>72077000</v>
      </c>
      <c r="C391" t="str">
        <f t="shared" si="57"/>
        <v>72077001</v>
      </c>
      <c r="D391">
        <v>89301152</v>
      </c>
      <c r="E391" t="str">
        <f>"9709085309"</f>
        <v>9709085309</v>
      </c>
      <c r="F391" s="1">
        <v>44951</v>
      </c>
      <c r="G391" t="str">
        <f>"91577"</f>
        <v>91577</v>
      </c>
      <c r="H391">
        <v>1</v>
      </c>
      <c r="I391">
        <v>398</v>
      </c>
      <c r="J391">
        <v>0</v>
      </c>
      <c r="K391" t="str">
        <f t="shared" si="58"/>
        <v>813</v>
      </c>
      <c r="L391">
        <v>334.32</v>
      </c>
    </row>
    <row r="392" spans="1:12" x14ac:dyDescent="0.25">
      <c r="A392" t="str">
        <f t="shared" si="59"/>
        <v>89301000</v>
      </c>
      <c r="B392" t="str">
        <f t="shared" si="56"/>
        <v>72077000</v>
      </c>
      <c r="C392" t="str">
        <f t="shared" si="57"/>
        <v>72077001</v>
      </c>
      <c r="D392">
        <v>89301152</v>
      </c>
      <c r="E392" t="str">
        <f t="shared" ref="E392:E403" si="60">"7553125723"</f>
        <v>7553125723</v>
      </c>
      <c r="F392" s="1">
        <v>44946</v>
      </c>
      <c r="G392" t="str">
        <f t="shared" ref="G392:G397" si="61">"82079"</f>
        <v>82079</v>
      </c>
      <c r="H392">
        <v>1</v>
      </c>
      <c r="I392">
        <v>333</v>
      </c>
      <c r="J392">
        <v>0</v>
      </c>
      <c r="K392" t="str">
        <f t="shared" si="58"/>
        <v>813</v>
      </c>
      <c r="L392">
        <v>279.72000000000003</v>
      </c>
    </row>
    <row r="393" spans="1:12" x14ac:dyDescent="0.25">
      <c r="A393" t="str">
        <f t="shared" si="59"/>
        <v>89301000</v>
      </c>
      <c r="B393" t="str">
        <f t="shared" si="56"/>
        <v>72077000</v>
      </c>
      <c r="C393" t="str">
        <f t="shared" si="57"/>
        <v>72077001</v>
      </c>
      <c r="D393">
        <v>89301152</v>
      </c>
      <c r="E393" t="str">
        <f t="shared" si="60"/>
        <v>7553125723</v>
      </c>
      <c r="F393" s="1">
        <v>44946</v>
      </c>
      <c r="G393" t="str">
        <f t="shared" si="61"/>
        <v>82079</v>
      </c>
      <c r="H393">
        <v>1</v>
      </c>
      <c r="I393">
        <v>333</v>
      </c>
      <c r="J393">
        <v>0</v>
      </c>
      <c r="K393" t="str">
        <f t="shared" si="58"/>
        <v>813</v>
      </c>
      <c r="L393">
        <v>279.72000000000003</v>
      </c>
    </row>
    <row r="394" spans="1:12" x14ac:dyDescent="0.25">
      <c r="A394" t="str">
        <f t="shared" si="59"/>
        <v>89301000</v>
      </c>
      <c r="B394" t="str">
        <f t="shared" si="56"/>
        <v>72077000</v>
      </c>
      <c r="C394" t="str">
        <f t="shared" si="57"/>
        <v>72077001</v>
      </c>
      <c r="D394">
        <v>89301152</v>
      </c>
      <c r="E394" t="str">
        <f t="shared" si="60"/>
        <v>7553125723</v>
      </c>
      <c r="F394" s="1">
        <v>44946</v>
      </c>
      <c r="G394" t="str">
        <f t="shared" si="61"/>
        <v>82079</v>
      </c>
      <c r="H394">
        <v>1</v>
      </c>
      <c r="I394">
        <v>333</v>
      </c>
      <c r="J394">
        <v>0</v>
      </c>
      <c r="K394" t="str">
        <f t="shared" si="58"/>
        <v>813</v>
      </c>
      <c r="L394">
        <v>279.72000000000003</v>
      </c>
    </row>
    <row r="395" spans="1:12" x14ac:dyDescent="0.25">
      <c r="A395" t="str">
        <f t="shared" si="59"/>
        <v>89301000</v>
      </c>
      <c r="B395" t="str">
        <f t="shared" si="56"/>
        <v>72077000</v>
      </c>
      <c r="C395" t="str">
        <f t="shared" si="57"/>
        <v>72077001</v>
      </c>
      <c r="D395">
        <v>89301152</v>
      </c>
      <c r="E395" t="str">
        <f t="shared" si="60"/>
        <v>7553125723</v>
      </c>
      <c r="F395" s="1">
        <v>44946</v>
      </c>
      <c r="G395" t="str">
        <f t="shared" si="61"/>
        <v>82079</v>
      </c>
      <c r="H395">
        <v>1</v>
      </c>
      <c r="I395">
        <v>333</v>
      </c>
      <c r="J395">
        <v>0</v>
      </c>
      <c r="K395" t="str">
        <f t="shared" si="58"/>
        <v>813</v>
      </c>
      <c r="L395">
        <v>279.72000000000003</v>
      </c>
    </row>
    <row r="396" spans="1:12" x14ac:dyDescent="0.25">
      <c r="A396" t="str">
        <f t="shared" si="59"/>
        <v>89301000</v>
      </c>
      <c r="B396" t="str">
        <f t="shared" si="56"/>
        <v>72077000</v>
      </c>
      <c r="C396" t="str">
        <f t="shared" si="57"/>
        <v>72077001</v>
      </c>
      <c r="D396">
        <v>89301152</v>
      </c>
      <c r="E396" t="str">
        <f t="shared" si="60"/>
        <v>7553125723</v>
      </c>
      <c r="F396" s="1">
        <v>44946</v>
      </c>
      <c r="G396" t="str">
        <f t="shared" si="61"/>
        <v>82079</v>
      </c>
      <c r="H396">
        <v>1</v>
      </c>
      <c r="I396">
        <v>333</v>
      </c>
      <c r="J396">
        <v>0</v>
      </c>
      <c r="K396" t="str">
        <f t="shared" si="58"/>
        <v>813</v>
      </c>
      <c r="L396">
        <v>279.72000000000003</v>
      </c>
    </row>
    <row r="397" spans="1:12" x14ac:dyDescent="0.25">
      <c r="A397" t="str">
        <f t="shared" si="59"/>
        <v>89301000</v>
      </c>
      <c r="B397" t="str">
        <f t="shared" si="56"/>
        <v>72077000</v>
      </c>
      <c r="C397" t="str">
        <f t="shared" si="57"/>
        <v>72077001</v>
      </c>
      <c r="D397">
        <v>89301152</v>
      </c>
      <c r="E397" t="str">
        <f t="shared" si="60"/>
        <v>7553125723</v>
      </c>
      <c r="F397" s="1">
        <v>44946</v>
      </c>
      <c r="G397" t="str">
        <f t="shared" si="61"/>
        <v>82079</v>
      </c>
      <c r="H397">
        <v>1</v>
      </c>
      <c r="I397">
        <v>333</v>
      </c>
      <c r="J397">
        <v>0</v>
      </c>
      <c r="K397" t="str">
        <f t="shared" si="58"/>
        <v>813</v>
      </c>
      <c r="L397">
        <v>279.72000000000003</v>
      </c>
    </row>
    <row r="398" spans="1:12" x14ac:dyDescent="0.25">
      <c r="A398" t="str">
        <f t="shared" si="59"/>
        <v>89301000</v>
      </c>
      <c r="B398" t="str">
        <f t="shared" si="56"/>
        <v>72077000</v>
      </c>
      <c r="C398" t="str">
        <f t="shared" si="57"/>
        <v>72077001</v>
      </c>
      <c r="D398">
        <v>89301152</v>
      </c>
      <c r="E398" t="str">
        <f t="shared" si="60"/>
        <v>7553125723</v>
      </c>
      <c r="F398" s="1">
        <v>44946</v>
      </c>
      <c r="G398" t="str">
        <f>"91485"</f>
        <v>91485</v>
      </c>
      <c r="H398">
        <v>1</v>
      </c>
      <c r="I398">
        <v>268</v>
      </c>
      <c r="J398">
        <v>0</v>
      </c>
      <c r="K398" t="str">
        <f t="shared" si="58"/>
        <v>813</v>
      </c>
      <c r="L398">
        <v>225.12</v>
      </c>
    </row>
    <row r="399" spans="1:12" x14ac:dyDescent="0.25">
      <c r="A399" t="str">
        <f t="shared" si="59"/>
        <v>89301000</v>
      </c>
      <c r="B399" t="str">
        <f t="shared" si="56"/>
        <v>72077000</v>
      </c>
      <c r="C399" t="str">
        <f t="shared" si="57"/>
        <v>72077001</v>
      </c>
      <c r="D399">
        <v>89301152</v>
      </c>
      <c r="E399" t="str">
        <f t="shared" si="60"/>
        <v>7553125723</v>
      </c>
      <c r="F399" s="1">
        <v>44949</v>
      </c>
      <c r="G399" t="str">
        <f>"82079"</f>
        <v>82079</v>
      </c>
      <c r="H399">
        <v>1</v>
      </c>
      <c r="I399">
        <v>333</v>
      </c>
      <c r="J399">
        <v>0</v>
      </c>
      <c r="K399" t="str">
        <f t="shared" si="58"/>
        <v>813</v>
      </c>
      <c r="L399">
        <v>279.72000000000003</v>
      </c>
    </row>
    <row r="400" spans="1:12" x14ac:dyDescent="0.25">
      <c r="A400" t="str">
        <f t="shared" si="59"/>
        <v>89301000</v>
      </c>
      <c r="B400" t="str">
        <f t="shared" si="56"/>
        <v>72077000</v>
      </c>
      <c r="C400" t="str">
        <f t="shared" si="57"/>
        <v>72077001</v>
      </c>
      <c r="D400">
        <v>89301152</v>
      </c>
      <c r="E400" t="str">
        <f t="shared" si="60"/>
        <v>7553125723</v>
      </c>
      <c r="F400" s="1">
        <v>44949</v>
      </c>
      <c r="G400" t="str">
        <f>"82079"</f>
        <v>82079</v>
      </c>
      <c r="H400">
        <v>1</v>
      </c>
      <c r="I400">
        <v>333</v>
      </c>
      <c r="J400">
        <v>0</v>
      </c>
      <c r="K400" t="str">
        <f t="shared" si="58"/>
        <v>813</v>
      </c>
      <c r="L400">
        <v>279.72000000000003</v>
      </c>
    </row>
    <row r="401" spans="1:12" x14ac:dyDescent="0.25">
      <c r="A401" t="str">
        <f t="shared" si="59"/>
        <v>89301000</v>
      </c>
      <c r="B401" t="str">
        <f t="shared" si="56"/>
        <v>72077000</v>
      </c>
      <c r="C401" t="str">
        <f t="shared" si="57"/>
        <v>72077001</v>
      </c>
      <c r="D401">
        <v>89301152</v>
      </c>
      <c r="E401" t="str">
        <f t="shared" si="60"/>
        <v>7553125723</v>
      </c>
      <c r="F401" s="1">
        <v>44949</v>
      </c>
      <c r="G401" t="str">
        <f>"82079"</f>
        <v>82079</v>
      </c>
      <c r="H401">
        <v>1</v>
      </c>
      <c r="I401">
        <v>333</v>
      </c>
      <c r="J401">
        <v>0</v>
      </c>
      <c r="K401" t="str">
        <f t="shared" si="58"/>
        <v>813</v>
      </c>
      <c r="L401">
        <v>279.72000000000003</v>
      </c>
    </row>
    <row r="402" spans="1:12" x14ac:dyDescent="0.25">
      <c r="A402" t="str">
        <f t="shared" si="59"/>
        <v>89301000</v>
      </c>
      <c r="B402" t="str">
        <f t="shared" si="56"/>
        <v>72077000</v>
      </c>
      <c r="C402" t="str">
        <f t="shared" si="57"/>
        <v>72077001</v>
      </c>
      <c r="D402">
        <v>89301152</v>
      </c>
      <c r="E402" t="str">
        <f t="shared" si="60"/>
        <v>7553125723</v>
      </c>
      <c r="F402" s="1">
        <v>44951</v>
      </c>
      <c r="G402" t="str">
        <f>"91361"</f>
        <v>91361</v>
      </c>
      <c r="H402">
        <v>1</v>
      </c>
      <c r="I402">
        <v>444</v>
      </c>
      <c r="J402">
        <v>0</v>
      </c>
      <c r="K402" t="str">
        <f t="shared" si="58"/>
        <v>813</v>
      </c>
      <c r="L402">
        <v>372.96</v>
      </c>
    </row>
    <row r="403" spans="1:12" x14ac:dyDescent="0.25">
      <c r="A403" t="str">
        <f t="shared" si="59"/>
        <v>89301000</v>
      </c>
      <c r="B403" t="str">
        <f t="shared" si="56"/>
        <v>72077000</v>
      </c>
      <c r="C403" t="str">
        <f t="shared" si="57"/>
        <v>72077001</v>
      </c>
      <c r="D403">
        <v>89301152</v>
      </c>
      <c r="E403" t="str">
        <f t="shared" si="60"/>
        <v>7553125723</v>
      </c>
      <c r="F403" s="1">
        <v>44951</v>
      </c>
      <c r="G403" t="str">
        <f>"91359"</f>
        <v>91359</v>
      </c>
      <c r="H403">
        <v>1</v>
      </c>
      <c r="I403">
        <v>205</v>
      </c>
      <c r="J403">
        <v>0</v>
      </c>
      <c r="K403" t="str">
        <f t="shared" si="58"/>
        <v>813</v>
      </c>
      <c r="L403">
        <v>172.2</v>
      </c>
    </row>
    <row r="404" spans="1:12" x14ac:dyDescent="0.25">
      <c r="A404" t="str">
        <f t="shared" si="59"/>
        <v>89301000</v>
      </c>
      <c r="B404" t="str">
        <f t="shared" si="56"/>
        <v>72077000</v>
      </c>
      <c r="C404" t="str">
        <f t="shared" si="57"/>
        <v>72077001</v>
      </c>
      <c r="D404">
        <v>89301152</v>
      </c>
      <c r="E404" t="str">
        <f>"7958135394"</f>
        <v>7958135394</v>
      </c>
      <c r="F404" s="1">
        <v>44945</v>
      </c>
      <c r="G404" t="str">
        <f>"91465"</f>
        <v>91465</v>
      </c>
      <c r="H404">
        <v>1</v>
      </c>
      <c r="I404">
        <v>1412</v>
      </c>
      <c r="J404">
        <v>0</v>
      </c>
      <c r="K404" t="str">
        <f t="shared" si="58"/>
        <v>813</v>
      </c>
      <c r="L404">
        <v>1186.08</v>
      </c>
    </row>
    <row r="405" spans="1:12" x14ac:dyDescent="0.25">
      <c r="A405" t="str">
        <f t="shared" si="59"/>
        <v>89301000</v>
      </c>
      <c r="B405" t="str">
        <f t="shared" si="56"/>
        <v>72077000</v>
      </c>
      <c r="C405" t="str">
        <f t="shared" si="57"/>
        <v>72077001</v>
      </c>
      <c r="D405">
        <v>89301152</v>
      </c>
      <c r="E405" t="str">
        <f>"7958135394"</f>
        <v>7958135394</v>
      </c>
      <c r="F405" s="1">
        <v>44946</v>
      </c>
      <c r="G405" t="str">
        <f>"91197"</f>
        <v>91197</v>
      </c>
      <c r="H405">
        <v>1</v>
      </c>
      <c r="I405">
        <v>1048</v>
      </c>
      <c r="J405">
        <v>0</v>
      </c>
      <c r="K405" t="str">
        <f t="shared" si="58"/>
        <v>813</v>
      </c>
      <c r="L405">
        <v>880.32</v>
      </c>
    </row>
    <row r="406" spans="1:12" x14ac:dyDescent="0.25">
      <c r="A406" t="str">
        <f t="shared" si="59"/>
        <v>89301000</v>
      </c>
      <c r="B406" t="str">
        <f t="shared" si="56"/>
        <v>72077000</v>
      </c>
      <c r="C406" t="str">
        <f t="shared" si="57"/>
        <v>72077001</v>
      </c>
      <c r="D406">
        <v>89301152</v>
      </c>
      <c r="E406" t="str">
        <f>"7153214464"</f>
        <v>7153214464</v>
      </c>
      <c r="F406" s="1">
        <v>44946</v>
      </c>
      <c r="G406" t="str">
        <f>"91197"</f>
        <v>91197</v>
      </c>
      <c r="H406">
        <v>1</v>
      </c>
      <c r="I406">
        <v>1048</v>
      </c>
      <c r="J406">
        <v>0</v>
      </c>
      <c r="K406" t="str">
        <f t="shared" si="58"/>
        <v>813</v>
      </c>
      <c r="L406">
        <v>880.32</v>
      </c>
    </row>
    <row r="407" spans="1:12" x14ac:dyDescent="0.25">
      <c r="A407" t="str">
        <f t="shared" si="59"/>
        <v>89301000</v>
      </c>
      <c r="B407" t="str">
        <f t="shared" ref="B407:B417" si="62">"72077000"</f>
        <v>72077000</v>
      </c>
      <c r="C407" t="str">
        <f t="shared" ref="C407:C417" si="63">"72077001"</f>
        <v>72077001</v>
      </c>
      <c r="D407">
        <v>89301152</v>
      </c>
      <c r="E407" t="str">
        <f>"7153214464"</f>
        <v>7153214464</v>
      </c>
      <c r="F407" s="1">
        <v>44951</v>
      </c>
      <c r="G407" t="str">
        <f>"91465"</f>
        <v>91465</v>
      </c>
      <c r="H407">
        <v>1</v>
      </c>
      <c r="I407">
        <v>1412</v>
      </c>
      <c r="J407">
        <v>0</v>
      </c>
      <c r="K407" t="str">
        <f t="shared" ref="K407:K417" si="64">"813"</f>
        <v>813</v>
      </c>
      <c r="L407">
        <v>1186.08</v>
      </c>
    </row>
    <row r="408" spans="1:12" x14ac:dyDescent="0.25">
      <c r="A408" t="str">
        <f t="shared" si="59"/>
        <v>89301000</v>
      </c>
      <c r="B408" t="str">
        <f t="shared" si="62"/>
        <v>72077000</v>
      </c>
      <c r="C408" t="str">
        <f t="shared" si="63"/>
        <v>72077001</v>
      </c>
      <c r="D408">
        <v>89301152</v>
      </c>
      <c r="E408" t="str">
        <f>"8002225319"</f>
        <v>8002225319</v>
      </c>
      <c r="F408" s="1">
        <v>44946</v>
      </c>
      <c r="G408" t="str">
        <f>"91485"</f>
        <v>91485</v>
      </c>
      <c r="H408">
        <v>1</v>
      </c>
      <c r="I408">
        <v>268</v>
      </c>
      <c r="J408">
        <v>0</v>
      </c>
      <c r="K408" t="str">
        <f t="shared" si="64"/>
        <v>813</v>
      </c>
      <c r="L408">
        <v>225.12</v>
      </c>
    </row>
    <row r="409" spans="1:12" x14ac:dyDescent="0.25">
      <c r="A409" t="str">
        <f t="shared" si="59"/>
        <v>89301000</v>
      </c>
      <c r="B409" t="str">
        <f t="shared" si="62"/>
        <v>72077000</v>
      </c>
      <c r="C409" t="str">
        <f t="shared" si="63"/>
        <v>72077001</v>
      </c>
      <c r="D409">
        <v>89301152</v>
      </c>
      <c r="E409" t="str">
        <f>"8002225319"</f>
        <v>8002225319</v>
      </c>
      <c r="F409" s="1">
        <v>44951</v>
      </c>
      <c r="G409" t="str">
        <f>"91361"</f>
        <v>91361</v>
      </c>
      <c r="H409">
        <v>1</v>
      </c>
      <c r="I409">
        <v>444</v>
      </c>
      <c r="J409">
        <v>0</v>
      </c>
      <c r="K409" t="str">
        <f t="shared" si="64"/>
        <v>813</v>
      </c>
      <c r="L409">
        <v>372.96</v>
      </c>
    </row>
    <row r="410" spans="1:12" x14ac:dyDescent="0.25">
      <c r="A410" t="str">
        <f t="shared" si="59"/>
        <v>89301000</v>
      </c>
      <c r="B410" t="str">
        <f t="shared" si="62"/>
        <v>72077000</v>
      </c>
      <c r="C410" t="str">
        <f t="shared" si="63"/>
        <v>72077001</v>
      </c>
      <c r="D410">
        <v>89301152</v>
      </c>
      <c r="E410" t="str">
        <f>"8002225319"</f>
        <v>8002225319</v>
      </c>
      <c r="F410" s="1">
        <v>44951</v>
      </c>
      <c r="G410" t="str">
        <f>"91359"</f>
        <v>91359</v>
      </c>
      <c r="H410">
        <v>1</v>
      </c>
      <c r="I410">
        <v>205</v>
      </c>
      <c r="J410">
        <v>0</v>
      </c>
      <c r="K410" t="str">
        <f t="shared" si="64"/>
        <v>813</v>
      </c>
      <c r="L410">
        <v>172.2</v>
      </c>
    </row>
    <row r="411" spans="1:12" x14ac:dyDescent="0.25">
      <c r="A411" t="str">
        <f t="shared" si="59"/>
        <v>89301000</v>
      </c>
      <c r="B411" t="str">
        <f t="shared" si="62"/>
        <v>72077000</v>
      </c>
      <c r="C411" t="str">
        <f t="shared" si="63"/>
        <v>72077001</v>
      </c>
      <c r="D411">
        <v>89301152</v>
      </c>
      <c r="E411" t="str">
        <f>"8002225319"</f>
        <v>8002225319</v>
      </c>
      <c r="F411" s="1">
        <v>44951</v>
      </c>
      <c r="G411" t="str">
        <f>"91577"</f>
        <v>91577</v>
      </c>
      <c r="H411">
        <v>1</v>
      </c>
      <c r="I411">
        <v>398</v>
      </c>
      <c r="J411">
        <v>0</v>
      </c>
      <c r="K411" t="str">
        <f t="shared" si="64"/>
        <v>813</v>
      </c>
      <c r="L411">
        <v>334.32</v>
      </c>
    </row>
    <row r="412" spans="1:12" x14ac:dyDescent="0.25">
      <c r="A412" t="str">
        <f t="shared" si="59"/>
        <v>89301000</v>
      </c>
      <c r="B412" t="str">
        <f t="shared" si="62"/>
        <v>72077000</v>
      </c>
      <c r="C412" t="str">
        <f t="shared" si="63"/>
        <v>72077001</v>
      </c>
      <c r="D412">
        <v>89301152</v>
      </c>
      <c r="E412" t="str">
        <f>"9551045713"</f>
        <v>9551045713</v>
      </c>
      <c r="F412" s="1">
        <v>44946</v>
      </c>
      <c r="G412" t="str">
        <f>"91197"</f>
        <v>91197</v>
      </c>
      <c r="H412">
        <v>1</v>
      </c>
      <c r="I412">
        <v>1048</v>
      </c>
      <c r="J412">
        <v>0</v>
      </c>
      <c r="K412" t="str">
        <f t="shared" si="64"/>
        <v>813</v>
      </c>
      <c r="L412">
        <v>880.32</v>
      </c>
    </row>
    <row r="413" spans="1:12" x14ac:dyDescent="0.25">
      <c r="A413" t="str">
        <f t="shared" si="59"/>
        <v>89301000</v>
      </c>
      <c r="B413" t="str">
        <f t="shared" si="62"/>
        <v>72077000</v>
      </c>
      <c r="C413" t="str">
        <f t="shared" si="63"/>
        <v>72077001</v>
      </c>
      <c r="D413">
        <v>89301152</v>
      </c>
      <c r="E413" t="str">
        <f>"9551045713"</f>
        <v>9551045713</v>
      </c>
      <c r="F413" s="1">
        <v>44951</v>
      </c>
      <c r="G413" t="str">
        <f>"91465"</f>
        <v>91465</v>
      </c>
      <c r="H413">
        <v>1</v>
      </c>
      <c r="I413">
        <v>1412</v>
      </c>
      <c r="J413">
        <v>0</v>
      </c>
      <c r="K413" t="str">
        <f t="shared" si="64"/>
        <v>813</v>
      </c>
      <c r="L413">
        <v>1186.08</v>
      </c>
    </row>
    <row r="414" spans="1:12" x14ac:dyDescent="0.25">
      <c r="A414" t="str">
        <f t="shared" si="59"/>
        <v>89301000</v>
      </c>
      <c r="B414" t="str">
        <f t="shared" si="62"/>
        <v>72077000</v>
      </c>
      <c r="C414" t="str">
        <f t="shared" si="63"/>
        <v>72077001</v>
      </c>
      <c r="D414">
        <v>89301152</v>
      </c>
      <c r="E414" t="str">
        <f>"465102454"</f>
        <v>465102454</v>
      </c>
      <c r="F414" s="1">
        <v>44952</v>
      </c>
      <c r="G414" t="str">
        <f>"91465"</f>
        <v>91465</v>
      </c>
      <c r="H414">
        <v>1</v>
      </c>
      <c r="I414">
        <v>1412</v>
      </c>
      <c r="J414">
        <v>0</v>
      </c>
      <c r="K414" t="str">
        <f t="shared" si="64"/>
        <v>813</v>
      </c>
      <c r="L414">
        <v>1186.08</v>
      </c>
    </row>
    <row r="415" spans="1:12" x14ac:dyDescent="0.25">
      <c r="A415" t="str">
        <f t="shared" si="59"/>
        <v>89301000</v>
      </c>
      <c r="B415" t="str">
        <f t="shared" si="62"/>
        <v>72077000</v>
      </c>
      <c r="C415" t="str">
        <f t="shared" si="63"/>
        <v>72077001</v>
      </c>
      <c r="D415">
        <v>89301152</v>
      </c>
      <c r="E415" t="str">
        <f>"465102454"</f>
        <v>465102454</v>
      </c>
      <c r="F415" s="1">
        <v>44952</v>
      </c>
      <c r="G415" t="str">
        <f>"91197"</f>
        <v>91197</v>
      </c>
      <c r="H415">
        <v>1</v>
      </c>
      <c r="I415">
        <v>1048</v>
      </c>
      <c r="J415">
        <v>0</v>
      </c>
      <c r="K415" t="str">
        <f t="shared" si="64"/>
        <v>813</v>
      </c>
      <c r="L415">
        <v>880.32</v>
      </c>
    </row>
    <row r="416" spans="1:12" x14ac:dyDescent="0.25">
      <c r="A416" t="str">
        <f t="shared" si="59"/>
        <v>89301000</v>
      </c>
      <c r="B416" t="str">
        <f t="shared" si="62"/>
        <v>72077000</v>
      </c>
      <c r="C416" t="str">
        <f t="shared" si="63"/>
        <v>72077001</v>
      </c>
      <c r="D416">
        <v>89301108</v>
      </c>
      <c r="E416" t="str">
        <f>"1512280275"</f>
        <v>1512280275</v>
      </c>
      <c r="F416" s="1">
        <v>44957</v>
      </c>
      <c r="G416" t="str">
        <f>"91171"</f>
        <v>91171</v>
      </c>
      <c r="H416">
        <v>1</v>
      </c>
      <c r="I416">
        <v>362</v>
      </c>
      <c r="J416">
        <v>0</v>
      </c>
      <c r="K416" t="str">
        <f t="shared" si="64"/>
        <v>813</v>
      </c>
      <c r="L416">
        <v>304.08</v>
      </c>
    </row>
    <row r="417" spans="1:12" x14ac:dyDescent="0.25">
      <c r="A417" t="str">
        <f t="shared" si="59"/>
        <v>89301000</v>
      </c>
      <c r="B417" t="str">
        <f t="shared" si="62"/>
        <v>72077000</v>
      </c>
      <c r="C417" t="str">
        <f t="shared" si="63"/>
        <v>72077001</v>
      </c>
      <c r="D417">
        <v>89301108</v>
      </c>
      <c r="E417" t="str">
        <f>"1512280275"</f>
        <v>1512280275</v>
      </c>
      <c r="F417" s="1">
        <v>44957</v>
      </c>
      <c r="G417" t="str">
        <f>"91171"</f>
        <v>91171</v>
      </c>
      <c r="H417">
        <v>1</v>
      </c>
      <c r="I417">
        <v>362</v>
      </c>
      <c r="J417">
        <v>0</v>
      </c>
      <c r="K417" t="str">
        <f t="shared" si="64"/>
        <v>813</v>
      </c>
      <c r="L417">
        <v>304.08</v>
      </c>
    </row>
    <row r="418" spans="1:12" x14ac:dyDescent="0.25">
      <c r="A418" t="str">
        <f t="shared" si="59"/>
        <v>89301000</v>
      </c>
      <c r="B418" t="str">
        <f>"89632000"</f>
        <v>89632000</v>
      </c>
      <c r="C418" t="str">
        <f>"89632000"</f>
        <v>89632000</v>
      </c>
      <c r="D418">
        <v>89301212</v>
      </c>
      <c r="E418" t="str">
        <f>"485726415"</f>
        <v>485726415</v>
      </c>
      <c r="F418" s="1">
        <v>44949</v>
      </c>
      <c r="G418" t="str">
        <f>"89513"</f>
        <v>89513</v>
      </c>
      <c r="H418">
        <v>1</v>
      </c>
      <c r="I418">
        <v>378</v>
      </c>
      <c r="J418">
        <v>0</v>
      </c>
      <c r="K418" t="str">
        <f>"809"</f>
        <v>809</v>
      </c>
      <c r="L418">
        <v>555.66</v>
      </c>
    </row>
    <row r="419" spans="1:12" x14ac:dyDescent="0.25">
      <c r="A419" t="str">
        <f t="shared" si="59"/>
        <v>89301000</v>
      </c>
      <c r="B419" t="str">
        <f>"89632000"</f>
        <v>89632000</v>
      </c>
      <c r="C419" t="str">
        <f>"89632000"</f>
        <v>89632000</v>
      </c>
      <c r="D419">
        <v>89301212</v>
      </c>
      <c r="E419" t="str">
        <f>"485726415"</f>
        <v>485726415</v>
      </c>
      <c r="F419" s="1">
        <v>44949</v>
      </c>
      <c r="G419" t="str">
        <f>"89514"</f>
        <v>89514</v>
      </c>
      <c r="H419">
        <v>1</v>
      </c>
      <c r="I419">
        <v>378</v>
      </c>
      <c r="J419">
        <v>0</v>
      </c>
      <c r="K419" t="str">
        <f>"809"</f>
        <v>809</v>
      </c>
      <c r="L419">
        <v>555.66</v>
      </c>
    </row>
    <row r="420" spans="1:12" x14ac:dyDescent="0.25">
      <c r="A420" t="str">
        <f t="shared" si="59"/>
        <v>89301000</v>
      </c>
      <c r="B420" t="str">
        <f t="shared" ref="B420:B437" si="65">"93501000"</f>
        <v>93501000</v>
      </c>
      <c r="C420" t="str">
        <f t="shared" ref="C420:C436" si="66">"93501001"</f>
        <v>93501001</v>
      </c>
      <c r="D420">
        <v>89301167</v>
      </c>
      <c r="E420" t="str">
        <f t="shared" ref="E420:E437" si="67">"511221028"</f>
        <v>511221028</v>
      </c>
      <c r="F420" s="1">
        <v>44950</v>
      </c>
      <c r="G420" t="str">
        <f>"81329"</f>
        <v>81329</v>
      </c>
      <c r="H420">
        <v>1</v>
      </c>
      <c r="I420">
        <v>17</v>
      </c>
      <c r="J420">
        <v>0</v>
      </c>
      <c r="K420" t="str">
        <f t="shared" ref="K420:K436" si="68">"801"</f>
        <v>801</v>
      </c>
      <c r="L420">
        <v>14.28</v>
      </c>
    </row>
    <row r="421" spans="1:12" x14ac:dyDescent="0.25">
      <c r="A421" t="str">
        <f t="shared" si="59"/>
        <v>89301000</v>
      </c>
      <c r="B421" t="str">
        <f t="shared" si="65"/>
        <v>93501000</v>
      </c>
      <c r="C421" t="str">
        <f t="shared" si="66"/>
        <v>93501001</v>
      </c>
      <c r="D421">
        <v>89301167</v>
      </c>
      <c r="E421" t="str">
        <f t="shared" si="67"/>
        <v>511221028</v>
      </c>
      <c r="F421" s="1">
        <v>44950</v>
      </c>
      <c r="G421" t="str">
        <f>"81337"</f>
        <v>81337</v>
      </c>
      <c r="H421">
        <v>1</v>
      </c>
      <c r="I421">
        <v>20</v>
      </c>
      <c r="J421">
        <v>0</v>
      </c>
      <c r="K421" t="str">
        <f t="shared" si="68"/>
        <v>801</v>
      </c>
      <c r="L421">
        <v>16.8</v>
      </c>
    </row>
    <row r="422" spans="1:12" x14ac:dyDescent="0.25">
      <c r="A422" t="str">
        <f t="shared" si="59"/>
        <v>89301000</v>
      </c>
      <c r="B422" t="str">
        <f t="shared" si="65"/>
        <v>93501000</v>
      </c>
      <c r="C422" t="str">
        <f t="shared" si="66"/>
        <v>93501001</v>
      </c>
      <c r="D422">
        <v>89301167</v>
      </c>
      <c r="E422" t="str">
        <f t="shared" si="67"/>
        <v>511221028</v>
      </c>
      <c r="F422" s="1">
        <v>44950</v>
      </c>
      <c r="G422" t="str">
        <f>"81357"</f>
        <v>81357</v>
      </c>
      <c r="H422">
        <v>1</v>
      </c>
      <c r="I422">
        <v>20</v>
      </c>
      <c r="J422">
        <v>0</v>
      </c>
      <c r="K422" t="str">
        <f t="shared" si="68"/>
        <v>801</v>
      </c>
      <c r="L422">
        <v>16.8</v>
      </c>
    </row>
    <row r="423" spans="1:12" x14ac:dyDescent="0.25">
      <c r="A423" t="str">
        <f t="shared" si="59"/>
        <v>89301000</v>
      </c>
      <c r="B423" t="str">
        <f t="shared" si="65"/>
        <v>93501000</v>
      </c>
      <c r="C423" t="str">
        <f t="shared" si="66"/>
        <v>93501001</v>
      </c>
      <c r="D423">
        <v>89301167</v>
      </c>
      <c r="E423" t="str">
        <f t="shared" si="67"/>
        <v>511221028</v>
      </c>
      <c r="F423" s="1">
        <v>44950</v>
      </c>
      <c r="G423" t="str">
        <f>"81365"</f>
        <v>81365</v>
      </c>
      <c r="H423">
        <v>1</v>
      </c>
      <c r="I423">
        <v>16</v>
      </c>
      <c r="J423">
        <v>0</v>
      </c>
      <c r="K423" t="str">
        <f t="shared" si="68"/>
        <v>801</v>
      </c>
      <c r="L423">
        <v>13.44</v>
      </c>
    </row>
    <row r="424" spans="1:12" x14ac:dyDescent="0.25">
      <c r="A424" t="str">
        <f t="shared" si="59"/>
        <v>89301000</v>
      </c>
      <c r="B424" t="str">
        <f t="shared" si="65"/>
        <v>93501000</v>
      </c>
      <c r="C424" t="str">
        <f t="shared" si="66"/>
        <v>93501001</v>
      </c>
      <c r="D424">
        <v>89301167</v>
      </c>
      <c r="E424" t="str">
        <f t="shared" si="67"/>
        <v>511221028</v>
      </c>
      <c r="F424" s="1">
        <v>44950</v>
      </c>
      <c r="G424" t="str">
        <f>"81383"</f>
        <v>81383</v>
      </c>
      <c r="H424">
        <v>1</v>
      </c>
      <c r="I424">
        <v>24</v>
      </c>
      <c r="J424">
        <v>0</v>
      </c>
      <c r="K424" t="str">
        <f t="shared" si="68"/>
        <v>801</v>
      </c>
      <c r="L424">
        <v>20.16</v>
      </c>
    </row>
    <row r="425" spans="1:12" x14ac:dyDescent="0.25">
      <c r="A425" t="str">
        <f t="shared" si="59"/>
        <v>89301000</v>
      </c>
      <c r="B425" t="str">
        <f t="shared" si="65"/>
        <v>93501000</v>
      </c>
      <c r="C425" t="str">
        <f t="shared" si="66"/>
        <v>93501001</v>
      </c>
      <c r="D425">
        <v>89301167</v>
      </c>
      <c r="E425" t="str">
        <f t="shared" si="67"/>
        <v>511221028</v>
      </c>
      <c r="F425" s="1">
        <v>44950</v>
      </c>
      <c r="G425" t="str">
        <f>"81393"</f>
        <v>81393</v>
      </c>
      <c r="H425">
        <v>1</v>
      </c>
      <c r="I425">
        <v>24</v>
      </c>
      <c r="J425">
        <v>0</v>
      </c>
      <c r="K425" t="str">
        <f t="shared" si="68"/>
        <v>801</v>
      </c>
      <c r="L425">
        <v>20.16</v>
      </c>
    </row>
    <row r="426" spans="1:12" x14ac:dyDescent="0.25">
      <c r="A426" t="str">
        <f t="shared" si="59"/>
        <v>89301000</v>
      </c>
      <c r="B426" t="str">
        <f t="shared" si="65"/>
        <v>93501000</v>
      </c>
      <c r="C426" t="str">
        <f t="shared" si="66"/>
        <v>93501001</v>
      </c>
      <c r="D426">
        <v>89301167</v>
      </c>
      <c r="E426" t="str">
        <f t="shared" si="67"/>
        <v>511221028</v>
      </c>
      <c r="F426" s="1">
        <v>44950</v>
      </c>
      <c r="G426" t="str">
        <f>"81421"</f>
        <v>81421</v>
      </c>
      <c r="H426">
        <v>1</v>
      </c>
      <c r="I426">
        <v>19</v>
      </c>
      <c r="J426">
        <v>0</v>
      </c>
      <c r="K426" t="str">
        <f t="shared" si="68"/>
        <v>801</v>
      </c>
      <c r="L426">
        <v>15.96</v>
      </c>
    </row>
    <row r="427" spans="1:12" x14ac:dyDescent="0.25">
      <c r="A427" t="str">
        <f t="shared" si="59"/>
        <v>89301000</v>
      </c>
      <c r="B427" t="str">
        <f t="shared" si="65"/>
        <v>93501000</v>
      </c>
      <c r="C427" t="str">
        <f t="shared" si="66"/>
        <v>93501001</v>
      </c>
      <c r="D427">
        <v>89301167</v>
      </c>
      <c r="E427" t="str">
        <f t="shared" si="67"/>
        <v>511221028</v>
      </c>
      <c r="F427" s="1">
        <v>44950</v>
      </c>
      <c r="G427" t="str">
        <f>"81435"</f>
        <v>81435</v>
      </c>
      <c r="H427">
        <v>1</v>
      </c>
      <c r="I427">
        <v>22</v>
      </c>
      <c r="J427">
        <v>0</v>
      </c>
      <c r="K427" t="str">
        <f t="shared" si="68"/>
        <v>801</v>
      </c>
      <c r="L427">
        <v>18.48</v>
      </c>
    </row>
    <row r="428" spans="1:12" x14ac:dyDescent="0.25">
      <c r="A428" t="str">
        <f t="shared" si="59"/>
        <v>89301000</v>
      </c>
      <c r="B428" t="str">
        <f t="shared" si="65"/>
        <v>93501000</v>
      </c>
      <c r="C428" t="str">
        <f t="shared" si="66"/>
        <v>93501001</v>
      </c>
      <c r="D428">
        <v>89301167</v>
      </c>
      <c r="E428" t="str">
        <f t="shared" si="67"/>
        <v>511221028</v>
      </c>
      <c r="F428" s="1">
        <v>44950</v>
      </c>
      <c r="G428" t="str">
        <f>"81439"</f>
        <v>81439</v>
      </c>
      <c r="H428">
        <v>1</v>
      </c>
      <c r="I428">
        <v>16</v>
      </c>
      <c r="J428">
        <v>0</v>
      </c>
      <c r="K428" t="str">
        <f t="shared" si="68"/>
        <v>801</v>
      </c>
      <c r="L428">
        <v>13.44</v>
      </c>
    </row>
    <row r="429" spans="1:12" x14ac:dyDescent="0.25">
      <c r="A429" t="str">
        <f t="shared" si="59"/>
        <v>89301000</v>
      </c>
      <c r="B429" t="str">
        <f t="shared" si="65"/>
        <v>93501000</v>
      </c>
      <c r="C429" t="str">
        <f t="shared" si="66"/>
        <v>93501001</v>
      </c>
      <c r="D429">
        <v>89301167</v>
      </c>
      <c r="E429" t="str">
        <f t="shared" si="67"/>
        <v>511221028</v>
      </c>
      <c r="F429" s="1">
        <v>44950</v>
      </c>
      <c r="G429" t="str">
        <f>"81469"</f>
        <v>81469</v>
      </c>
      <c r="H429">
        <v>1</v>
      </c>
      <c r="I429">
        <v>16</v>
      </c>
      <c r="J429">
        <v>0</v>
      </c>
      <c r="K429" t="str">
        <f t="shared" si="68"/>
        <v>801</v>
      </c>
      <c r="L429">
        <v>13.44</v>
      </c>
    </row>
    <row r="430" spans="1:12" x14ac:dyDescent="0.25">
      <c r="A430" t="str">
        <f t="shared" si="59"/>
        <v>89301000</v>
      </c>
      <c r="B430" t="str">
        <f t="shared" si="65"/>
        <v>93501000</v>
      </c>
      <c r="C430" t="str">
        <f t="shared" si="66"/>
        <v>93501001</v>
      </c>
      <c r="D430">
        <v>89301167</v>
      </c>
      <c r="E430" t="str">
        <f t="shared" si="67"/>
        <v>511221028</v>
      </c>
      <c r="F430" s="1">
        <v>44950</v>
      </c>
      <c r="G430" t="str">
        <f>"81499"</f>
        <v>81499</v>
      </c>
      <c r="H430">
        <v>1</v>
      </c>
      <c r="I430">
        <v>18</v>
      </c>
      <c r="J430">
        <v>0</v>
      </c>
      <c r="K430" t="str">
        <f t="shared" si="68"/>
        <v>801</v>
      </c>
      <c r="L430">
        <v>15.12</v>
      </c>
    </row>
    <row r="431" spans="1:12" x14ac:dyDescent="0.25">
      <c r="A431" t="str">
        <f t="shared" si="59"/>
        <v>89301000</v>
      </c>
      <c r="B431" t="str">
        <f t="shared" si="65"/>
        <v>93501000</v>
      </c>
      <c r="C431" t="str">
        <f t="shared" si="66"/>
        <v>93501001</v>
      </c>
      <c r="D431">
        <v>89301167</v>
      </c>
      <c r="E431" t="str">
        <f t="shared" si="67"/>
        <v>511221028</v>
      </c>
      <c r="F431" s="1">
        <v>44950</v>
      </c>
      <c r="G431" t="str">
        <f>"81593"</f>
        <v>81593</v>
      </c>
      <c r="H431">
        <v>1</v>
      </c>
      <c r="I431">
        <v>22</v>
      </c>
      <c r="J431">
        <v>0</v>
      </c>
      <c r="K431" t="str">
        <f t="shared" si="68"/>
        <v>801</v>
      </c>
      <c r="L431">
        <v>18.48</v>
      </c>
    </row>
    <row r="432" spans="1:12" x14ac:dyDescent="0.25">
      <c r="A432" t="str">
        <f t="shared" si="59"/>
        <v>89301000</v>
      </c>
      <c r="B432" t="str">
        <f t="shared" si="65"/>
        <v>93501000</v>
      </c>
      <c r="C432" t="str">
        <f t="shared" si="66"/>
        <v>93501001</v>
      </c>
      <c r="D432">
        <v>89301167</v>
      </c>
      <c r="E432" t="str">
        <f t="shared" si="67"/>
        <v>511221028</v>
      </c>
      <c r="F432" s="1">
        <v>44950</v>
      </c>
      <c r="G432" t="str">
        <f>"81621"</f>
        <v>81621</v>
      </c>
      <c r="H432">
        <v>1</v>
      </c>
      <c r="I432">
        <v>19</v>
      </c>
      <c r="J432">
        <v>0</v>
      </c>
      <c r="K432" t="str">
        <f t="shared" si="68"/>
        <v>801</v>
      </c>
      <c r="L432">
        <v>15.96</v>
      </c>
    </row>
    <row r="433" spans="1:12" x14ac:dyDescent="0.25">
      <c r="A433" t="str">
        <f t="shared" si="59"/>
        <v>89301000</v>
      </c>
      <c r="B433" t="str">
        <f t="shared" si="65"/>
        <v>93501000</v>
      </c>
      <c r="C433" t="str">
        <f t="shared" si="66"/>
        <v>93501001</v>
      </c>
      <c r="D433">
        <v>89301167</v>
      </c>
      <c r="E433" t="str">
        <f t="shared" si="67"/>
        <v>511221028</v>
      </c>
      <c r="F433" s="1">
        <v>44950</v>
      </c>
      <c r="G433" t="str">
        <f>"91153"</f>
        <v>91153</v>
      </c>
      <c r="H433">
        <v>1</v>
      </c>
      <c r="I433">
        <v>153</v>
      </c>
      <c r="J433">
        <v>0</v>
      </c>
      <c r="K433" t="str">
        <f t="shared" si="68"/>
        <v>801</v>
      </c>
      <c r="L433">
        <v>128.52000000000001</v>
      </c>
    </row>
    <row r="434" spans="1:12" x14ac:dyDescent="0.25">
      <c r="A434" t="str">
        <f t="shared" si="59"/>
        <v>89301000</v>
      </c>
      <c r="B434" t="str">
        <f t="shared" si="65"/>
        <v>93501000</v>
      </c>
      <c r="C434" t="str">
        <f t="shared" si="66"/>
        <v>93501001</v>
      </c>
      <c r="D434">
        <v>89301167</v>
      </c>
      <c r="E434" t="str">
        <f t="shared" si="67"/>
        <v>511221028</v>
      </c>
      <c r="F434" s="1">
        <v>44950</v>
      </c>
      <c r="G434" t="str">
        <f>"93189"</f>
        <v>93189</v>
      </c>
      <c r="H434">
        <v>1</v>
      </c>
      <c r="I434">
        <v>191</v>
      </c>
      <c r="J434">
        <v>0</v>
      </c>
      <c r="K434" t="str">
        <f t="shared" si="68"/>
        <v>801</v>
      </c>
      <c r="L434">
        <v>160.44</v>
      </c>
    </row>
    <row r="435" spans="1:12" x14ac:dyDescent="0.25">
      <c r="A435" t="str">
        <f t="shared" si="59"/>
        <v>89301000</v>
      </c>
      <c r="B435" t="str">
        <f t="shared" si="65"/>
        <v>93501000</v>
      </c>
      <c r="C435" t="str">
        <f t="shared" si="66"/>
        <v>93501001</v>
      </c>
      <c r="D435">
        <v>89301167</v>
      </c>
      <c r="E435" t="str">
        <f t="shared" si="67"/>
        <v>511221028</v>
      </c>
      <c r="F435" s="1">
        <v>44950</v>
      </c>
      <c r="G435" t="str">
        <f>"93195"</f>
        <v>93195</v>
      </c>
      <c r="H435">
        <v>1</v>
      </c>
      <c r="I435">
        <v>183</v>
      </c>
      <c r="J435">
        <v>0</v>
      </c>
      <c r="K435" t="str">
        <f t="shared" si="68"/>
        <v>801</v>
      </c>
      <c r="L435">
        <v>153.72</v>
      </c>
    </row>
    <row r="436" spans="1:12" x14ac:dyDescent="0.25">
      <c r="A436" t="str">
        <f t="shared" si="59"/>
        <v>89301000</v>
      </c>
      <c r="B436" t="str">
        <f t="shared" si="65"/>
        <v>93501000</v>
      </c>
      <c r="C436" t="str">
        <f t="shared" si="66"/>
        <v>93501001</v>
      </c>
      <c r="D436">
        <v>89301167</v>
      </c>
      <c r="E436" t="str">
        <f t="shared" si="67"/>
        <v>511221028</v>
      </c>
      <c r="F436" s="1">
        <v>44950</v>
      </c>
      <c r="G436" t="str">
        <f>"97111"</f>
        <v>97111</v>
      </c>
      <c r="H436">
        <v>1</v>
      </c>
      <c r="I436">
        <v>19</v>
      </c>
      <c r="J436">
        <v>0</v>
      </c>
      <c r="K436" t="str">
        <f t="shared" si="68"/>
        <v>801</v>
      </c>
      <c r="L436">
        <v>23.94</v>
      </c>
    </row>
    <row r="437" spans="1:12" x14ac:dyDescent="0.25">
      <c r="A437" t="str">
        <f t="shared" si="59"/>
        <v>89301000</v>
      </c>
      <c r="B437" t="str">
        <f t="shared" si="65"/>
        <v>93501000</v>
      </c>
      <c r="C437" t="str">
        <f>"93501005"</f>
        <v>93501005</v>
      </c>
      <c r="D437">
        <v>89301167</v>
      </c>
      <c r="E437" t="str">
        <f t="shared" si="67"/>
        <v>511221028</v>
      </c>
      <c r="F437" s="1">
        <v>44950</v>
      </c>
      <c r="G437" t="str">
        <f>"96167"</f>
        <v>96167</v>
      </c>
      <c r="H437">
        <v>1</v>
      </c>
      <c r="I437">
        <v>67</v>
      </c>
      <c r="J437">
        <v>0</v>
      </c>
      <c r="K437" t="str">
        <f>"818"</f>
        <v>818</v>
      </c>
      <c r="L437">
        <v>64.989999999999995</v>
      </c>
    </row>
    <row r="438" spans="1:12" x14ac:dyDescent="0.25">
      <c r="A438" t="str">
        <f t="shared" si="59"/>
        <v>89301000</v>
      </c>
      <c r="B438" t="str">
        <f t="shared" ref="B438:B456" si="69">"88805000"</f>
        <v>88805000</v>
      </c>
      <c r="C438" t="str">
        <f t="shared" ref="C438:C444" si="70">"88805014"</f>
        <v>88805014</v>
      </c>
      <c r="D438">
        <v>89301282</v>
      </c>
      <c r="E438" t="str">
        <f>"1559201160"</f>
        <v>1559201160</v>
      </c>
      <c r="F438" s="1">
        <v>44931</v>
      </c>
      <c r="G438" t="str">
        <f>"94951"</f>
        <v>94951</v>
      </c>
      <c r="H438">
        <v>1</v>
      </c>
      <c r="I438">
        <v>0</v>
      </c>
      <c r="J438">
        <v>1766</v>
      </c>
      <c r="K438" t="str">
        <f t="shared" ref="K438:K444" si="71">"816"</f>
        <v>816</v>
      </c>
      <c r="L438">
        <v>1766</v>
      </c>
    </row>
    <row r="439" spans="1:12" x14ac:dyDescent="0.25">
      <c r="A439" t="str">
        <f t="shared" si="59"/>
        <v>89301000</v>
      </c>
      <c r="B439" t="str">
        <f t="shared" si="69"/>
        <v>88805000</v>
      </c>
      <c r="C439" t="str">
        <f t="shared" si="70"/>
        <v>88805014</v>
      </c>
      <c r="D439">
        <v>89301282</v>
      </c>
      <c r="E439" t="str">
        <f>"1458110181"</f>
        <v>1458110181</v>
      </c>
      <c r="F439" s="1">
        <v>44944</v>
      </c>
      <c r="G439" t="str">
        <f>"94982"</f>
        <v>94982</v>
      </c>
      <c r="H439">
        <v>1</v>
      </c>
      <c r="I439">
        <v>0</v>
      </c>
      <c r="J439">
        <v>27500</v>
      </c>
      <c r="K439" t="str">
        <f t="shared" si="71"/>
        <v>816</v>
      </c>
      <c r="L439">
        <v>27500</v>
      </c>
    </row>
    <row r="440" spans="1:12" x14ac:dyDescent="0.25">
      <c r="A440" t="str">
        <f t="shared" si="59"/>
        <v>89301000</v>
      </c>
      <c r="B440" t="str">
        <f t="shared" si="69"/>
        <v>88805000</v>
      </c>
      <c r="C440" t="str">
        <f t="shared" si="70"/>
        <v>88805014</v>
      </c>
      <c r="D440">
        <v>89301282</v>
      </c>
      <c r="E440" t="str">
        <f>"1458110181"</f>
        <v>1458110181</v>
      </c>
      <c r="F440" s="1">
        <v>44944</v>
      </c>
      <c r="G440" t="str">
        <f>"94996"</f>
        <v>94996</v>
      </c>
      <c r="H440">
        <v>1</v>
      </c>
      <c r="I440">
        <v>0</v>
      </c>
      <c r="J440">
        <v>0</v>
      </c>
      <c r="K440" t="str">
        <f t="shared" si="71"/>
        <v>816</v>
      </c>
      <c r="L440">
        <v>0</v>
      </c>
    </row>
    <row r="441" spans="1:12" x14ac:dyDescent="0.25">
      <c r="A441" t="str">
        <f t="shared" si="59"/>
        <v>89301000</v>
      </c>
      <c r="B441" t="str">
        <f t="shared" si="69"/>
        <v>88805000</v>
      </c>
      <c r="C441" t="str">
        <f t="shared" si="70"/>
        <v>88805014</v>
      </c>
      <c r="D441">
        <v>89301282</v>
      </c>
      <c r="E441" t="str">
        <f>"2112270424"</f>
        <v>2112270424</v>
      </c>
      <c r="F441" s="1">
        <v>44953</v>
      </c>
      <c r="G441" t="str">
        <f>"94982"</f>
        <v>94982</v>
      </c>
      <c r="H441">
        <v>1</v>
      </c>
      <c r="I441">
        <v>0</v>
      </c>
      <c r="J441">
        <v>27500</v>
      </c>
      <c r="K441" t="str">
        <f t="shared" si="71"/>
        <v>816</v>
      </c>
      <c r="L441">
        <v>27500</v>
      </c>
    </row>
    <row r="442" spans="1:12" x14ac:dyDescent="0.25">
      <c r="A442" t="str">
        <f t="shared" si="59"/>
        <v>89301000</v>
      </c>
      <c r="B442" t="str">
        <f t="shared" si="69"/>
        <v>88805000</v>
      </c>
      <c r="C442" t="str">
        <f t="shared" si="70"/>
        <v>88805014</v>
      </c>
      <c r="D442">
        <v>89301282</v>
      </c>
      <c r="E442" t="str">
        <f>"2112270424"</f>
        <v>2112270424</v>
      </c>
      <c r="F442" s="1">
        <v>44953</v>
      </c>
      <c r="G442" t="str">
        <f>"94996"</f>
        <v>94996</v>
      </c>
      <c r="H442">
        <v>1</v>
      </c>
      <c r="I442">
        <v>0</v>
      </c>
      <c r="J442">
        <v>0</v>
      </c>
      <c r="K442" t="str">
        <f t="shared" si="71"/>
        <v>816</v>
      </c>
      <c r="L442">
        <v>0</v>
      </c>
    </row>
    <row r="443" spans="1:12" x14ac:dyDescent="0.25">
      <c r="A443" t="str">
        <f t="shared" si="59"/>
        <v>89301000</v>
      </c>
      <c r="B443" t="str">
        <f t="shared" si="69"/>
        <v>88805000</v>
      </c>
      <c r="C443" t="str">
        <f t="shared" si="70"/>
        <v>88805014</v>
      </c>
      <c r="D443">
        <v>89301282</v>
      </c>
      <c r="E443" t="str">
        <f>"6951285781"</f>
        <v>6951285781</v>
      </c>
      <c r="F443" s="1">
        <v>44943</v>
      </c>
      <c r="G443" t="str">
        <f>"94983"</f>
        <v>94983</v>
      </c>
      <c r="H443">
        <v>1</v>
      </c>
      <c r="I443">
        <v>0</v>
      </c>
      <c r="J443">
        <v>39600</v>
      </c>
      <c r="K443" t="str">
        <f t="shared" si="71"/>
        <v>816</v>
      </c>
      <c r="L443">
        <v>39600</v>
      </c>
    </row>
    <row r="444" spans="1:12" x14ac:dyDescent="0.25">
      <c r="A444" t="str">
        <f t="shared" si="59"/>
        <v>89301000</v>
      </c>
      <c r="B444" t="str">
        <f t="shared" si="69"/>
        <v>88805000</v>
      </c>
      <c r="C444" t="str">
        <f t="shared" si="70"/>
        <v>88805014</v>
      </c>
      <c r="D444">
        <v>89301282</v>
      </c>
      <c r="E444" t="str">
        <f>"6951285781"</f>
        <v>6951285781</v>
      </c>
      <c r="F444" s="1">
        <v>44943</v>
      </c>
      <c r="G444" t="str">
        <f>"94996"</f>
        <v>94996</v>
      </c>
      <c r="H444">
        <v>1</v>
      </c>
      <c r="I444">
        <v>0</v>
      </c>
      <c r="J444">
        <v>0</v>
      </c>
      <c r="K444" t="str">
        <f t="shared" si="71"/>
        <v>816</v>
      </c>
      <c r="L444">
        <v>0</v>
      </c>
    </row>
    <row r="445" spans="1:12" x14ac:dyDescent="0.25">
      <c r="A445" t="str">
        <f t="shared" si="59"/>
        <v>89301000</v>
      </c>
      <c r="B445" t="str">
        <f t="shared" si="69"/>
        <v>88805000</v>
      </c>
      <c r="C445" t="str">
        <f t="shared" ref="C445:C456" si="72">"88805001"</f>
        <v>88805001</v>
      </c>
      <c r="D445">
        <v>89301107</v>
      </c>
      <c r="E445" t="str">
        <f>"0905076590"</f>
        <v>0905076590</v>
      </c>
      <c r="F445" s="1">
        <v>44937</v>
      </c>
      <c r="G445" t="str">
        <f>"81631"</f>
        <v>81631</v>
      </c>
      <c r="H445">
        <v>1</v>
      </c>
      <c r="I445">
        <v>299</v>
      </c>
      <c r="J445">
        <v>0</v>
      </c>
      <c r="K445" t="str">
        <f t="shared" ref="K445:K456" si="73">"801"</f>
        <v>801</v>
      </c>
      <c r="L445">
        <v>251.16</v>
      </c>
    </row>
    <row r="446" spans="1:12" x14ac:dyDescent="0.25">
      <c r="A446" t="str">
        <f t="shared" si="59"/>
        <v>89301000</v>
      </c>
      <c r="B446" t="str">
        <f t="shared" si="69"/>
        <v>88805000</v>
      </c>
      <c r="C446" t="str">
        <f t="shared" si="72"/>
        <v>88805001</v>
      </c>
      <c r="D446">
        <v>89301107</v>
      </c>
      <c r="E446" t="str">
        <f>"0905076590"</f>
        <v>0905076590</v>
      </c>
      <c r="F446" s="1">
        <v>44937</v>
      </c>
      <c r="G446" t="str">
        <f>"92143"</f>
        <v>92143</v>
      </c>
      <c r="H446">
        <v>1</v>
      </c>
      <c r="I446">
        <v>1772</v>
      </c>
      <c r="J446">
        <v>0</v>
      </c>
      <c r="K446" t="str">
        <f t="shared" si="73"/>
        <v>801</v>
      </c>
      <c r="L446">
        <v>1488.48</v>
      </c>
    </row>
    <row r="447" spans="1:12" x14ac:dyDescent="0.25">
      <c r="A447" t="str">
        <f t="shared" si="59"/>
        <v>89301000</v>
      </c>
      <c r="B447" t="str">
        <f t="shared" si="69"/>
        <v>88805000</v>
      </c>
      <c r="C447" t="str">
        <f t="shared" si="72"/>
        <v>88805001</v>
      </c>
      <c r="D447">
        <v>89301202</v>
      </c>
      <c r="E447" t="str">
        <f>"5961011749"</f>
        <v>5961011749</v>
      </c>
      <c r="F447" s="1">
        <v>44937</v>
      </c>
      <c r="G447" t="str">
        <f>"81643"</f>
        <v>81643</v>
      </c>
      <c r="H447">
        <v>1</v>
      </c>
      <c r="I447">
        <v>104</v>
      </c>
      <c r="J447">
        <v>0</v>
      </c>
      <c r="K447" t="str">
        <f t="shared" si="73"/>
        <v>801</v>
      </c>
      <c r="L447">
        <v>87.36</v>
      </c>
    </row>
    <row r="448" spans="1:12" x14ac:dyDescent="0.25">
      <c r="A448" t="str">
        <f t="shared" si="59"/>
        <v>89301000</v>
      </c>
      <c r="B448" t="str">
        <f t="shared" si="69"/>
        <v>88805000</v>
      </c>
      <c r="C448" t="str">
        <f t="shared" si="72"/>
        <v>88805001</v>
      </c>
      <c r="D448">
        <v>89301101</v>
      </c>
      <c r="E448" t="str">
        <f>"2157022043"</f>
        <v>2157022043</v>
      </c>
      <c r="F448" s="1">
        <v>44951</v>
      </c>
      <c r="G448" t="str">
        <f>"81631"</f>
        <v>81631</v>
      </c>
      <c r="H448">
        <v>1</v>
      </c>
      <c r="I448">
        <v>299</v>
      </c>
      <c r="J448">
        <v>0</v>
      </c>
      <c r="K448" t="str">
        <f t="shared" si="73"/>
        <v>801</v>
      </c>
      <c r="L448">
        <v>251.16</v>
      </c>
    </row>
    <row r="449" spans="1:12" x14ac:dyDescent="0.25">
      <c r="A449" t="str">
        <f t="shared" si="59"/>
        <v>89301000</v>
      </c>
      <c r="B449" t="str">
        <f t="shared" si="69"/>
        <v>88805000</v>
      </c>
      <c r="C449" t="str">
        <f t="shared" si="72"/>
        <v>88805001</v>
      </c>
      <c r="D449">
        <v>89301101</v>
      </c>
      <c r="E449" t="str">
        <f>"2157022043"</f>
        <v>2157022043</v>
      </c>
      <c r="F449" s="1">
        <v>44951</v>
      </c>
      <c r="G449" t="str">
        <f>"92143"</f>
        <v>92143</v>
      </c>
      <c r="H449">
        <v>1</v>
      </c>
      <c r="I449">
        <v>1772</v>
      </c>
      <c r="J449">
        <v>0</v>
      </c>
      <c r="K449" t="str">
        <f t="shared" si="73"/>
        <v>801</v>
      </c>
      <c r="L449">
        <v>1488.48</v>
      </c>
    </row>
    <row r="450" spans="1:12" x14ac:dyDescent="0.25">
      <c r="A450" t="str">
        <f t="shared" ref="A450:A513" si="74">"89301000"</f>
        <v>89301000</v>
      </c>
      <c r="B450" t="str">
        <f t="shared" si="69"/>
        <v>88805000</v>
      </c>
      <c r="C450" t="str">
        <f t="shared" si="72"/>
        <v>88805001</v>
      </c>
      <c r="D450">
        <v>89301107</v>
      </c>
      <c r="E450" t="str">
        <f>"0905076590"</f>
        <v>0905076590</v>
      </c>
      <c r="F450" s="1">
        <v>44937</v>
      </c>
      <c r="G450" t="str">
        <f>"97111"</f>
        <v>97111</v>
      </c>
      <c r="H450">
        <v>1</v>
      </c>
      <c r="I450">
        <v>19</v>
      </c>
      <c r="J450">
        <v>0</v>
      </c>
      <c r="K450" t="str">
        <f t="shared" si="73"/>
        <v>801</v>
      </c>
      <c r="L450">
        <v>23.94</v>
      </c>
    </row>
    <row r="451" spans="1:12" x14ac:dyDescent="0.25">
      <c r="A451" t="str">
        <f t="shared" si="74"/>
        <v>89301000</v>
      </c>
      <c r="B451" t="str">
        <f t="shared" si="69"/>
        <v>88805000</v>
      </c>
      <c r="C451" t="str">
        <f t="shared" si="72"/>
        <v>88805001</v>
      </c>
      <c r="D451">
        <v>89301202</v>
      </c>
      <c r="E451" t="str">
        <f>"5961011749"</f>
        <v>5961011749</v>
      </c>
      <c r="F451" s="1">
        <v>44937</v>
      </c>
      <c r="G451" t="str">
        <f>"97111"</f>
        <v>97111</v>
      </c>
      <c r="H451">
        <v>1</v>
      </c>
      <c r="I451">
        <v>19</v>
      </c>
      <c r="J451">
        <v>0</v>
      </c>
      <c r="K451" t="str">
        <f t="shared" si="73"/>
        <v>801</v>
      </c>
      <c r="L451">
        <v>23.94</v>
      </c>
    </row>
    <row r="452" spans="1:12" x14ac:dyDescent="0.25">
      <c r="A452" t="str">
        <f t="shared" si="74"/>
        <v>89301000</v>
      </c>
      <c r="B452" t="str">
        <f t="shared" si="69"/>
        <v>88805000</v>
      </c>
      <c r="C452" t="str">
        <f t="shared" si="72"/>
        <v>88805001</v>
      </c>
      <c r="D452">
        <v>89301101</v>
      </c>
      <c r="E452" t="str">
        <f>"2157022043"</f>
        <v>2157022043</v>
      </c>
      <c r="F452" s="1">
        <v>44951</v>
      </c>
      <c r="G452" t="str">
        <f>"97111"</f>
        <v>97111</v>
      </c>
      <c r="H452">
        <v>1</v>
      </c>
      <c r="I452">
        <v>19</v>
      </c>
      <c r="J452">
        <v>0</v>
      </c>
      <c r="K452" t="str">
        <f t="shared" si="73"/>
        <v>801</v>
      </c>
      <c r="L452">
        <v>23.94</v>
      </c>
    </row>
    <row r="453" spans="1:12" x14ac:dyDescent="0.25">
      <c r="A453" t="str">
        <f t="shared" si="74"/>
        <v>89301000</v>
      </c>
      <c r="B453" t="str">
        <f t="shared" si="69"/>
        <v>88805000</v>
      </c>
      <c r="C453" t="str">
        <f t="shared" si="72"/>
        <v>88805001</v>
      </c>
      <c r="D453">
        <v>89301167</v>
      </c>
      <c r="E453" t="str">
        <f>"5707200807"</f>
        <v>5707200807</v>
      </c>
      <c r="F453" s="1">
        <v>44952</v>
      </c>
      <c r="G453" t="str">
        <f>"91153"</f>
        <v>91153</v>
      </c>
      <c r="H453">
        <v>1</v>
      </c>
      <c r="I453">
        <v>153</v>
      </c>
      <c r="J453">
        <v>0</v>
      </c>
      <c r="K453" t="str">
        <f t="shared" si="73"/>
        <v>801</v>
      </c>
      <c r="L453">
        <v>128.52000000000001</v>
      </c>
    </row>
    <row r="454" spans="1:12" x14ac:dyDescent="0.25">
      <c r="A454" t="str">
        <f t="shared" si="74"/>
        <v>89301000</v>
      </c>
      <c r="B454" t="str">
        <f t="shared" si="69"/>
        <v>88805000</v>
      </c>
      <c r="C454" t="str">
        <f t="shared" si="72"/>
        <v>88805001</v>
      </c>
      <c r="D454">
        <v>89301167</v>
      </c>
      <c r="E454" t="str">
        <f>"5707200807"</f>
        <v>5707200807</v>
      </c>
      <c r="F454" s="1">
        <v>44952</v>
      </c>
      <c r="G454" t="str">
        <f>"09119"</f>
        <v>09119</v>
      </c>
      <c r="H454">
        <v>1</v>
      </c>
      <c r="I454">
        <v>43</v>
      </c>
      <c r="J454">
        <v>0</v>
      </c>
      <c r="K454" t="str">
        <f t="shared" si="73"/>
        <v>801</v>
      </c>
      <c r="L454">
        <v>54.18</v>
      </c>
    </row>
    <row r="455" spans="1:12" x14ac:dyDescent="0.25">
      <c r="A455" t="str">
        <f t="shared" si="74"/>
        <v>89301000</v>
      </c>
      <c r="B455" t="str">
        <f t="shared" si="69"/>
        <v>88805000</v>
      </c>
      <c r="C455" t="str">
        <f t="shared" si="72"/>
        <v>88805001</v>
      </c>
      <c r="D455">
        <v>89301167</v>
      </c>
      <c r="E455" t="str">
        <f>"5707200807"</f>
        <v>5707200807</v>
      </c>
      <c r="F455" s="1">
        <v>44945</v>
      </c>
      <c r="G455" t="str">
        <f>"91153"</f>
        <v>91153</v>
      </c>
      <c r="H455">
        <v>1</v>
      </c>
      <c r="I455">
        <v>153</v>
      </c>
      <c r="J455">
        <v>0</v>
      </c>
      <c r="K455" t="str">
        <f t="shared" si="73"/>
        <v>801</v>
      </c>
      <c r="L455">
        <v>128.52000000000001</v>
      </c>
    </row>
    <row r="456" spans="1:12" x14ac:dyDescent="0.25">
      <c r="A456" t="str">
        <f t="shared" si="74"/>
        <v>89301000</v>
      </c>
      <c r="B456" t="str">
        <f t="shared" si="69"/>
        <v>88805000</v>
      </c>
      <c r="C456" t="str">
        <f t="shared" si="72"/>
        <v>88805001</v>
      </c>
      <c r="D456">
        <v>89301167</v>
      </c>
      <c r="E456" t="str">
        <f>"5707200807"</f>
        <v>5707200807</v>
      </c>
      <c r="F456" s="1">
        <v>44945</v>
      </c>
      <c r="G456" t="str">
        <f>"09119"</f>
        <v>09119</v>
      </c>
      <c r="H456">
        <v>1</v>
      </c>
      <c r="I456">
        <v>43</v>
      </c>
      <c r="J456">
        <v>0</v>
      </c>
      <c r="K456" t="str">
        <f t="shared" si="73"/>
        <v>801</v>
      </c>
      <c r="L456">
        <v>54.18</v>
      </c>
    </row>
    <row r="457" spans="1:12" x14ac:dyDescent="0.25">
      <c r="A457" t="str">
        <f t="shared" si="74"/>
        <v>89301000</v>
      </c>
      <c r="B457" t="str">
        <f t="shared" ref="B457:B488" si="75">"95202000"</f>
        <v>95202000</v>
      </c>
      <c r="C457" t="str">
        <f t="shared" ref="C457:C462" si="76">"95202818"</f>
        <v>95202818</v>
      </c>
      <c r="D457">
        <v>89301167</v>
      </c>
      <c r="E457" t="str">
        <f>"520517127"</f>
        <v>520517127</v>
      </c>
      <c r="F457" s="1">
        <v>44952</v>
      </c>
      <c r="G457" t="str">
        <f>"96167"</f>
        <v>96167</v>
      </c>
      <c r="H457">
        <v>1</v>
      </c>
      <c r="I457">
        <v>67</v>
      </c>
      <c r="J457">
        <v>0</v>
      </c>
      <c r="K457" t="str">
        <f t="shared" ref="K457:K462" si="77">"818"</f>
        <v>818</v>
      </c>
      <c r="L457">
        <v>64.989999999999995</v>
      </c>
    </row>
    <row r="458" spans="1:12" x14ac:dyDescent="0.25">
      <c r="A458" t="str">
        <f t="shared" si="74"/>
        <v>89301000</v>
      </c>
      <c r="B458" t="str">
        <f t="shared" si="75"/>
        <v>95202000</v>
      </c>
      <c r="C458" t="str">
        <f t="shared" si="76"/>
        <v>95202818</v>
      </c>
      <c r="D458">
        <v>89301167</v>
      </c>
      <c r="E458" t="str">
        <f>"5707200807"</f>
        <v>5707200807</v>
      </c>
      <c r="F458" s="1">
        <v>44952</v>
      </c>
      <c r="G458" t="str">
        <f>"96167"</f>
        <v>96167</v>
      </c>
      <c r="H458">
        <v>1</v>
      </c>
      <c r="I458">
        <v>67</v>
      </c>
      <c r="J458">
        <v>0</v>
      </c>
      <c r="K458" t="str">
        <f t="shared" si="77"/>
        <v>818</v>
      </c>
      <c r="L458">
        <v>64.989999999999995</v>
      </c>
    </row>
    <row r="459" spans="1:12" x14ac:dyDescent="0.25">
      <c r="A459" t="str">
        <f t="shared" si="74"/>
        <v>89301000</v>
      </c>
      <c r="B459" t="str">
        <f t="shared" si="75"/>
        <v>95202000</v>
      </c>
      <c r="C459" t="str">
        <f t="shared" si="76"/>
        <v>95202818</v>
      </c>
      <c r="D459">
        <v>89301167</v>
      </c>
      <c r="E459" t="str">
        <f>"5707200807"</f>
        <v>5707200807</v>
      </c>
      <c r="F459" s="1">
        <v>44945</v>
      </c>
      <c r="G459" t="str">
        <f>"96167"</f>
        <v>96167</v>
      </c>
      <c r="H459">
        <v>1</v>
      </c>
      <c r="I459">
        <v>67</v>
      </c>
      <c r="J459">
        <v>0</v>
      </c>
      <c r="K459" t="str">
        <f t="shared" si="77"/>
        <v>818</v>
      </c>
      <c r="L459">
        <v>64.989999999999995</v>
      </c>
    </row>
    <row r="460" spans="1:12" x14ac:dyDescent="0.25">
      <c r="A460" t="str">
        <f t="shared" si="74"/>
        <v>89301000</v>
      </c>
      <c r="B460" t="str">
        <f t="shared" si="75"/>
        <v>95202000</v>
      </c>
      <c r="C460" t="str">
        <f t="shared" si="76"/>
        <v>95202818</v>
      </c>
      <c r="D460">
        <v>89301167</v>
      </c>
      <c r="E460" t="str">
        <f>"5707200807"</f>
        <v>5707200807</v>
      </c>
      <c r="F460" s="1">
        <v>44946</v>
      </c>
      <c r="G460" t="str">
        <f>"96315"</f>
        <v>96315</v>
      </c>
      <c r="H460">
        <v>1</v>
      </c>
      <c r="I460">
        <v>30</v>
      </c>
      <c r="J460">
        <v>0</v>
      </c>
      <c r="K460" t="str">
        <f t="shared" si="77"/>
        <v>818</v>
      </c>
      <c r="L460">
        <v>29.1</v>
      </c>
    </row>
    <row r="461" spans="1:12" x14ac:dyDescent="0.25">
      <c r="A461" t="str">
        <f t="shared" si="74"/>
        <v>89301000</v>
      </c>
      <c r="B461" t="str">
        <f t="shared" si="75"/>
        <v>95202000</v>
      </c>
      <c r="C461" t="str">
        <f t="shared" si="76"/>
        <v>95202818</v>
      </c>
      <c r="D461">
        <v>89301167</v>
      </c>
      <c r="E461" t="str">
        <f>"5707200807"</f>
        <v>5707200807</v>
      </c>
      <c r="F461" s="1">
        <v>44946</v>
      </c>
      <c r="G461" t="str">
        <f>"96711"</f>
        <v>96711</v>
      </c>
      <c r="H461">
        <v>1</v>
      </c>
      <c r="I461">
        <v>28</v>
      </c>
      <c r="J461">
        <v>0</v>
      </c>
      <c r="K461" t="str">
        <f t="shared" si="77"/>
        <v>818</v>
      </c>
      <c r="L461">
        <v>27.16</v>
      </c>
    </row>
    <row r="462" spans="1:12" x14ac:dyDescent="0.25">
      <c r="A462" t="str">
        <f t="shared" si="74"/>
        <v>89301000</v>
      </c>
      <c r="B462" t="str">
        <f t="shared" si="75"/>
        <v>95202000</v>
      </c>
      <c r="C462" t="str">
        <f t="shared" si="76"/>
        <v>95202818</v>
      </c>
      <c r="D462">
        <v>89301167</v>
      </c>
      <c r="E462" t="str">
        <f>"5707200807"</f>
        <v>5707200807</v>
      </c>
      <c r="F462" s="1">
        <v>44946</v>
      </c>
      <c r="G462" t="str">
        <f>"96713"</f>
        <v>96713</v>
      </c>
      <c r="H462">
        <v>1</v>
      </c>
      <c r="I462">
        <v>14</v>
      </c>
      <c r="J462">
        <v>0</v>
      </c>
      <c r="K462" t="str">
        <f t="shared" si="77"/>
        <v>818</v>
      </c>
      <c r="L462">
        <v>13.58</v>
      </c>
    </row>
    <row r="463" spans="1:12" x14ac:dyDescent="0.25">
      <c r="A463" t="str">
        <f t="shared" si="74"/>
        <v>89301000</v>
      </c>
      <c r="B463" t="str">
        <f t="shared" si="75"/>
        <v>95202000</v>
      </c>
      <c r="C463" t="str">
        <f>"95202511"</f>
        <v>95202511</v>
      </c>
      <c r="D463">
        <v>89301212</v>
      </c>
      <c r="E463" t="str">
        <f>"8452185786"</f>
        <v>8452185786</v>
      </c>
      <c r="F463" s="1">
        <v>44939</v>
      </c>
      <c r="G463" t="str">
        <f>"89513"</f>
        <v>89513</v>
      </c>
      <c r="H463">
        <v>1</v>
      </c>
      <c r="I463">
        <v>378</v>
      </c>
      <c r="J463">
        <v>0</v>
      </c>
      <c r="K463" t="str">
        <f>"809"</f>
        <v>809</v>
      </c>
      <c r="L463">
        <v>555.66</v>
      </c>
    </row>
    <row r="464" spans="1:12" x14ac:dyDescent="0.25">
      <c r="A464" t="str">
        <f t="shared" si="74"/>
        <v>89301000</v>
      </c>
      <c r="B464" t="str">
        <f t="shared" si="75"/>
        <v>95202000</v>
      </c>
      <c r="C464" t="str">
        <f>"95202511"</f>
        <v>95202511</v>
      </c>
      <c r="D464">
        <v>89301212</v>
      </c>
      <c r="E464" t="str">
        <f>"8452185786"</f>
        <v>8452185786</v>
      </c>
      <c r="F464" s="1">
        <v>44939</v>
      </c>
      <c r="G464" t="str">
        <f>"89514"</f>
        <v>89514</v>
      </c>
      <c r="H464">
        <v>1</v>
      </c>
      <c r="I464">
        <v>378</v>
      </c>
      <c r="J464">
        <v>0</v>
      </c>
      <c r="K464" t="str">
        <f>"809"</f>
        <v>809</v>
      </c>
      <c r="L464">
        <v>555.66</v>
      </c>
    </row>
    <row r="465" spans="1:12" x14ac:dyDescent="0.25">
      <c r="A465" t="str">
        <f t="shared" si="74"/>
        <v>89301000</v>
      </c>
      <c r="B465" t="str">
        <f t="shared" si="75"/>
        <v>95202000</v>
      </c>
      <c r="C465" t="str">
        <f t="shared" ref="C465:C509" si="78">"95202096"</f>
        <v>95202096</v>
      </c>
      <c r="D465">
        <v>89301167</v>
      </c>
      <c r="E465" t="str">
        <f t="shared" ref="E465:E492" si="79">"5707200807"</f>
        <v>5707200807</v>
      </c>
      <c r="F465" s="1">
        <v>44952</v>
      </c>
      <c r="G465" t="str">
        <f>"81329"</f>
        <v>81329</v>
      </c>
      <c r="H465">
        <v>1</v>
      </c>
      <c r="I465">
        <v>17</v>
      </c>
      <c r="J465">
        <v>0</v>
      </c>
      <c r="K465" t="str">
        <f t="shared" ref="K465:K509" si="80">"801"</f>
        <v>801</v>
      </c>
      <c r="L465">
        <v>14.28</v>
      </c>
    </row>
    <row r="466" spans="1:12" x14ac:dyDescent="0.25">
      <c r="A466" t="str">
        <f t="shared" si="74"/>
        <v>89301000</v>
      </c>
      <c r="B466" t="str">
        <f t="shared" si="75"/>
        <v>95202000</v>
      </c>
      <c r="C466" t="str">
        <f t="shared" si="78"/>
        <v>95202096</v>
      </c>
      <c r="D466">
        <v>89301167</v>
      </c>
      <c r="E466" t="str">
        <f t="shared" si="79"/>
        <v>5707200807</v>
      </c>
      <c r="F466" s="1">
        <v>44952</v>
      </c>
      <c r="G466" t="str">
        <f>"81337"</f>
        <v>81337</v>
      </c>
      <c r="H466">
        <v>1</v>
      </c>
      <c r="I466">
        <v>20</v>
      </c>
      <c r="J466">
        <v>0</v>
      </c>
      <c r="K466" t="str">
        <f t="shared" si="80"/>
        <v>801</v>
      </c>
      <c r="L466">
        <v>16.8</v>
      </c>
    </row>
    <row r="467" spans="1:12" x14ac:dyDescent="0.25">
      <c r="A467" t="str">
        <f t="shared" si="74"/>
        <v>89301000</v>
      </c>
      <c r="B467" t="str">
        <f t="shared" si="75"/>
        <v>95202000</v>
      </c>
      <c r="C467" t="str">
        <f t="shared" si="78"/>
        <v>95202096</v>
      </c>
      <c r="D467">
        <v>89301167</v>
      </c>
      <c r="E467" t="str">
        <f t="shared" si="79"/>
        <v>5707200807</v>
      </c>
      <c r="F467" s="1">
        <v>44952</v>
      </c>
      <c r="G467" t="str">
        <f>"81357"</f>
        <v>81357</v>
      </c>
      <c r="H467">
        <v>1</v>
      </c>
      <c r="I467">
        <v>20</v>
      </c>
      <c r="J467">
        <v>0</v>
      </c>
      <c r="K467" t="str">
        <f t="shared" si="80"/>
        <v>801</v>
      </c>
      <c r="L467">
        <v>16.8</v>
      </c>
    </row>
    <row r="468" spans="1:12" x14ac:dyDescent="0.25">
      <c r="A468" t="str">
        <f t="shared" si="74"/>
        <v>89301000</v>
      </c>
      <c r="B468" t="str">
        <f t="shared" si="75"/>
        <v>95202000</v>
      </c>
      <c r="C468" t="str">
        <f t="shared" si="78"/>
        <v>95202096</v>
      </c>
      <c r="D468">
        <v>89301167</v>
      </c>
      <c r="E468" t="str">
        <f t="shared" si="79"/>
        <v>5707200807</v>
      </c>
      <c r="F468" s="1">
        <v>44952</v>
      </c>
      <c r="G468" t="str">
        <f>"81365"</f>
        <v>81365</v>
      </c>
      <c r="H468">
        <v>1</v>
      </c>
      <c r="I468">
        <v>16</v>
      </c>
      <c r="J468">
        <v>0</v>
      </c>
      <c r="K468" t="str">
        <f t="shared" si="80"/>
        <v>801</v>
      </c>
      <c r="L468">
        <v>13.44</v>
      </c>
    </row>
    <row r="469" spans="1:12" x14ac:dyDescent="0.25">
      <c r="A469" t="str">
        <f t="shared" si="74"/>
        <v>89301000</v>
      </c>
      <c r="B469" t="str">
        <f t="shared" si="75"/>
        <v>95202000</v>
      </c>
      <c r="C469" t="str">
        <f t="shared" si="78"/>
        <v>95202096</v>
      </c>
      <c r="D469">
        <v>89301167</v>
      </c>
      <c r="E469" t="str">
        <f t="shared" si="79"/>
        <v>5707200807</v>
      </c>
      <c r="F469" s="1">
        <v>44952</v>
      </c>
      <c r="G469" t="str">
        <f>"81393"</f>
        <v>81393</v>
      </c>
      <c r="H469">
        <v>1</v>
      </c>
      <c r="I469">
        <v>24</v>
      </c>
      <c r="J469">
        <v>0</v>
      </c>
      <c r="K469" t="str">
        <f t="shared" si="80"/>
        <v>801</v>
      </c>
      <c r="L469">
        <v>20.16</v>
      </c>
    </row>
    <row r="470" spans="1:12" x14ac:dyDescent="0.25">
      <c r="A470" t="str">
        <f t="shared" si="74"/>
        <v>89301000</v>
      </c>
      <c r="B470" t="str">
        <f t="shared" si="75"/>
        <v>95202000</v>
      </c>
      <c r="C470" t="str">
        <f t="shared" si="78"/>
        <v>95202096</v>
      </c>
      <c r="D470">
        <v>89301167</v>
      </c>
      <c r="E470" t="str">
        <f t="shared" si="79"/>
        <v>5707200807</v>
      </c>
      <c r="F470" s="1">
        <v>44952</v>
      </c>
      <c r="G470" t="str">
        <f>"81421"</f>
        <v>81421</v>
      </c>
      <c r="H470">
        <v>1</v>
      </c>
      <c r="I470">
        <v>19</v>
      </c>
      <c r="J470">
        <v>0</v>
      </c>
      <c r="K470" t="str">
        <f t="shared" si="80"/>
        <v>801</v>
      </c>
      <c r="L470">
        <v>15.96</v>
      </c>
    </row>
    <row r="471" spans="1:12" x14ac:dyDescent="0.25">
      <c r="A471" t="str">
        <f t="shared" si="74"/>
        <v>89301000</v>
      </c>
      <c r="B471" t="str">
        <f t="shared" si="75"/>
        <v>95202000</v>
      </c>
      <c r="C471" t="str">
        <f t="shared" si="78"/>
        <v>95202096</v>
      </c>
      <c r="D471">
        <v>89301167</v>
      </c>
      <c r="E471" t="str">
        <f t="shared" si="79"/>
        <v>5707200807</v>
      </c>
      <c r="F471" s="1">
        <v>44952</v>
      </c>
      <c r="G471" t="str">
        <f>"81435"</f>
        <v>81435</v>
      </c>
      <c r="H471">
        <v>1</v>
      </c>
      <c r="I471">
        <v>22</v>
      </c>
      <c r="J471">
        <v>0</v>
      </c>
      <c r="K471" t="str">
        <f t="shared" si="80"/>
        <v>801</v>
      </c>
      <c r="L471">
        <v>18.48</v>
      </c>
    </row>
    <row r="472" spans="1:12" x14ac:dyDescent="0.25">
      <c r="A472" t="str">
        <f t="shared" si="74"/>
        <v>89301000</v>
      </c>
      <c r="B472" t="str">
        <f t="shared" si="75"/>
        <v>95202000</v>
      </c>
      <c r="C472" t="str">
        <f t="shared" si="78"/>
        <v>95202096</v>
      </c>
      <c r="D472">
        <v>89301167</v>
      </c>
      <c r="E472" t="str">
        <f t="shared" si="79"/>
        <v>5707200807</v>
      </c>
      <c r="F472" s="1">
        <v>44952</v>
      </c>
      <c r="G472" t="str">
        <f>"81439"</f>
        <v>81439</v>
      </c>
      <c r="H472">
        <v>1</v>
      </c>
      <c r="I472">
        <v>16</v>
      </c>
      <c r="J472">
        <v>0</v>
      </c>
      <c r="K472" t="str">
        <f t="shared" si="80"/>
        <v>801</v>
      </c>
      <c r="L472">
        <v>13.44</v>
      </c>
    </row>
    <row r="473" spans="1:12" x14ac:dyDescent="0.25">
      <c r="A473" t="str">
        <f t="shared" si="74"/>
        <v>89301000</v>
      </c>
      <c r="B473" t="str">
        <f t="shared" si="75"/>
        <v>95202000</v>
      </c>
      <c r="C473" t="str">
        <f t="shared" si="78"/>
        <v>95202096</v>
      </c>
      <c r="D473">
        <v>89301167</v>
      </c>
      <c r="E473" t="str">
        <f t="shared" si="79"/>
        <v>5707200807</v>
      </c>
      <c r="F473" s="1">
        <v>44952</v>
      </c>
      <c r="G473" t="str">
        <f>"81469"</f>
        <v>81469</v>
      </c>
      <c r="H473">
        <v>1</v>
      </c>
      <c r="I473">
        <v>16</v>
      </c>
      <c r="J473">
        <v>0</v>
      </c>
      <c r="K473" t="str">
        <f t="shared" si="80"/>
        <v>801</v>
      </c>
      <c r="L473">
        <v>13.44</v>
      </c>
    </row>
    <row r="474" spans="1:12" x14ac:dyDescent="0.25">
      <c r="A474" t="str">
        <f t="shared" si="74"/>
        <v>89301000</v>
      </c>
      <c r="B474" t="str">
        <f t="shared" si="75"/>
        <v>95202000</v>
      </c>
      <c r="C474" t="str">
        <f t="shared" si="78"/>
        <v>95202096</v>
      </c>
      <c r="D474">
        <v>89301167</v>
      </c>
      <c r="E474" t="str">
        <f t="shared" si="79"/>
        <v>5707200807</v>
      </c>
      <c r="F474" s="1">
        <v>44952</v>
      </c>
      <c r="G474" t="str">
        <f>"81499"</f>
        <v>81499</v>
      </c>
      <c r="H474">
        <v>1</v>
      </c>
      <c r="I474">
        <v>18</v>
      </c>
      <c r="J474">
        <v>0</v>
      </c>
      <c r="K474" t="str">
        <f t="shared" si="80"/>
        <v>801</v>
      </c>
      <c r="L474">
        <v>15.12</v>
      </c>
    </row>
    <row r="475" spans="1:12" x14ac:dyDescent="0.25">
      <c r="A475" t="str">
        <f t="shared" si="74"/>
        <v>89301000</v>
      </c>
      <c r="B475" t="str">
        <f t="shared" si="75"/>
        <v>95202000</v>
      </c>
      <c r="C475" t="str">
        <f t="shared" si="78"/>
        <v>95202096</v>
      </c>
      <c r="D475">
        <v>89301167</v>
      </c>
      <c r="E475" t="str">
        <f t="shared" si="79"/>
        <v>5707200807</v>
      </c>
      <c r="F475" s="1">
        <v>44952</v>
      </c>
      <c r="G475" t="str">
        <f>"81563"</f>
        <v>81563</v>
      </c>
      <c r="H475">
        <v>1</v>
      </c>
      <c r="I475">
        <v>14</v>
      </c>
      <c r="J475">
        <v>0</v>
      </c>
      <c r="K475" t="str">
        <f t="shared" si="80"/>
        <v>801</v>
      </c>
      <c r="L475">
        <v>11.76</v>
      </c>
    </row>
    <row r="476" spans="1:12" x14ac:dyDescent="0.25">
      <c r="A476" t="str">
        <f t="shared" si="74"/>
        <v>89301000</v>
      </c>
      <c r="B476" t="str">
        <f t="shared" si="75"/>
        <v>95202000</v>
      </c>
      <c r="C476" t="str">
        <f t="shared" si="78"/>
        <v>95202096</v>
      </c>
      <c r="D476">
        <v>89301167</v>
      </c>
      <c r="E476" t="str">
        <f t="shared" si="79"/>
        <v>5707200807</v>
      </c>
      <c r="F476" s="1">
        <v>44952</v>
      </c>
      <c r="G476" t="str">
        <f>"81593"</f>
        <v>81593</v>
      </c>
      <c r="H476">
        <v>1</v>
      </c>
      <c r="I476">
        <v>22</v>
      </c>
      <c r="J476">
        <v>0</v>
      </c>
      <c r="K476" t="str">
        <f t="shared" si="80"/>
        <v>801</v>
      </c>
      <c r="L476">
        <v>18.48</v>
      </c>
    </row>
    <row r="477" spans="1:12" x14ac:dyDescent="0.25">
      <c r="A477" t="str">
        <f t="shared" si="74"/>
        <v>89301000</v>
      </c>
      <c r="B477" t="str">
        <f t="shared" si="75"/>
        <v>95202000</v>
      </c>
      <c r="C477" t="str">
        <f t="shared" si="78"/>
        <v>95202096</v>
      </c>
      <c r="D477">
        <v>89301167</v>
      </c>
      <c r="E477" t="str">
        <f t="shared" si="79"/>
        <v>5707200807</v>
      </c>
      <c r="F477" s="1">
        <v>44952</v>
      </c>
      <c r="G477" t="str">
        <f>"81621"</f>
        <v>81621</v>
      </c>
      <c r="H477">
        <v>1</v>
      </c>
      <c r="I477">
        <v>19</v>
      </c>
      <c r="J477">
        <v>0</v>
      </c>
      <c r="K477" t="str">
        <f t="shared" si="80"/>
        <v>801</v>
      </c>
      <c r="L477">
        <v>15.96</v>
      </c>
    </row>
    <row r="478" spans="1:12" x14ac:dyDescent="0.25">
      <c r="A478" t="str">
        <f t="shared" si="74"/>
        <v>89301000</v>
      </c>
      <c r="B478" t="str">
        <f t="shared" si="75"/>
        <v>95202000</v>
      </c>
      <c r="C478" t="str">
        <f t="shared" si="78"/>
        <v>95202096</v>
      </c>
      <c r="D478">
        <v>89301167</v>
      </c>
      <c r="E478" t="str">
        <f t="shared" si="79"/>
        <v>5707200807</v>
      </c>
      <c r="F478" s="1">
        <v>44952</v>
      </c>
      <c r="G478" t="str">
        <f>"97111"</f>
        <v>97111</v>
      </c>
      <c r="H478">
        <v>1</v>
      </c>
      <c r="I478">
        <v>19</v>
      </c>
      <c r="J478">
        <v>0</v>
      </c>
      <c r="K478" t="str">
        <f t="shared" si="80"/>
        <v>801</v>
      </c>
      <c r="L478">
        <v>23.94</v>
      </c>
    </row>
    <row r="479" spans="1:12" x14ac:dyDescent="0.25">
      <c r="A479" t="str">
        <f t="shared" si="74"/>
        <v>89301000</v>
      </c>
      <c r="B479" t="str">
        <f t="shared" si="75"/>
        <v>95202000</v>
      </c>
      <c r="C479" t="str">
        <f t="shared" si="78"/>
        <v>95202096</v>
      </c>
      <c r="D479">
        <v>89301167</v>
      </c>
      <c r="E479" t="str">
        <f t="shared" si="79"/>
        <v>5707200807</v>
      </c>
      <c r="F479" s="1">
        <v>44945</v>
      </c>
      <c r="G479" t="str">
        <f>"81329"</f>
        <v>81329</v>
      </c>
      <c r="H479">
        <v>1</v>
      </c>
      <c r="I479">
        <v>17</v>
      </c>
      <c r="J479">
        <v>0</v>
      </c>
      <c r="K479" t="str">
        <f t="shared" si="80"/>
        <v>801</v>
      </c>
      <c r="L479">
        <v>14.28</v>
      </c>
    </row>
    <row r="480" spans="1:12" x14ac:dyDescent="0.25">
      <c r="A480" t="str">
        <f t="shared" si="74"/>
        <v>89301000</v>
      </c>
      <c r="B480" t="str">
        <f t="shared" si="75"/>
        <v>95202000</v>
      </c>
      <c r="C480" t="str">
        <f t="shared" si="78"/>
        <v>95202096</v>
      </c>
      <c r="D480">
        <v>89301167</v>
      </c>
      <c r="E480" t="str">
        <f t="shared" si="79"/>
        <v>5707200807</v>
      </c>
      <c r="F480" s="1">
        <v>44945</v>
      </c>
      <c r="G480" t="str">
        <f>"81337"</f>
        <v>81337</v>
      </c>
      <c r="H480">
        <v>1</v>
      </c>
      <c r="I480">
        <v>20</v>
      </c>
      <c r="J480">
        <v>0</v>
      </c>
      <c r="K480" t="str">
        <f t="shared" si="80"/>
        <v>801</v>
      </c>
      <c r="L480">
        <v>16.8</v>
      </c>
    </row>
    <row r="481" spans="1:12" x14ac:dyDescent="0.25">
      <c r="A481" t="str">
        <f t="shared" si="74"/>
        <v>89301000</v>
      </c>
      <c r="B481" t="str">
        <f t="shared" si="75"/>
        <v>95202000</v>
      </c>
      <c r="C481" t="str">
        <f t="shared" si="78"/>
        <v>95202096</v>
      </c>
      <c r="D481">
        <v>89301167</v>
      </c>
      <c r="E481" t="str">
        <f t="shared" si="79"/>
        <v>5707200807</v>
      </c>
      <c r="F481" s="1">
        <v>44945</v>
      </c>
      <c r="G481" t="str">
        <f>"81357"</f>
        <v>81357</v>
      </c>
      <c r="H481">
        <v>1</v>
      </c>
      <c r="I481">
        <v>20</v>
      </c>
      <c r="J481">
        <v>0</v>
      </c>
      <c r="K481" t="str">
        <f t="shared" si="80"/>
        <v>801</v>
      </c>
      <c r="L481">
        <v>16.8</v>
      </c>
    </row>
    <row r="482" spans="1:12" x14ac:dyDescent="0.25">
      <c r="A482" t="str">
        <f t="shared" si="74"/>
        <v>89301000</v>
      </c>
      <c r="B482" t="str">
        <f t="shared" si="75"/>
        <v>95202000</v>
      </c>
      <c r="C482" t="str">
        <f t="shared" si="78"/>
        <v>95202096</v>
      </c>
      <c r="D482">
        <v>89301167</v>
      </c>
      <c r="E482" t="str">
        <f t="shared" si="79"/>
        <v>5707200807</v>
      </c>
      <c r="F482" s="1">
        <v>44945</v>
      </c>
      <c r="G482" t="str">
        <f>"81361"</f>
        <v>81361</v>
      </c>
      <c r="H482">
        <v>1</v>
      </c>
      <c r="I482">
        <v>17</v>
      </c>
      <c r="J482">
        <v>0</v>
      </c>
      <c r="K482" t="str">
        <f t="shared" si="80"/>
        <v>801</v>
      </c>
      <c r="L482">
        <v>14.28</v>
      </c>
    </row>
    <row r="483" spans="1:12" x14ac:dyDescent="0.25">
      <c r="A483" t="str">
        <f t="shared" si="74"/>
        <v>89301000</v>
      </c>
      <c r="B483" t="str">
        <f t="shared" si="75"/>
        <v>95202000</v>
      </c>
      <c r="C483" t="str">
        <f t="shared" si="78"/>
        <v>95202096</v>
      </c>
      <c r="D483">
        <v>89301167</v>
      </c>
      <c r="E483" t="str">
        <f t="shared" si="79"/>
        <v>5707200807</v>
      </c>
      <c r="F483" s="1">
        <v>44945</v>
      </c>
      <c r="G483" t="str">
        <f>"81365"</f>
        <v>81365</v>
      </c>
      <c r="H483">
        <v>1</v>
      </c>
      <c r="I483">
        <v>16</v>
      </c>
      <c r="J483">
        <v>0</v>
      </c>
      <c r="K483" t="str">
        <f t="shared" si="80"/>
        <v>801</v>
      </c>
      <c r="L483">
        <v>13.44</v>
      </c>
    </row>
    <row r="484" spans="1:12" x14ac:dyDescent="0.25">
      <c r="A484" t="str">
        <f t="shared" si="74"/>
        <v>89301000</v>
      </c>
      <c r="B484" t="str">
        <f t="shared" si="75"/>
        <v>95202000</v>
      </c>
      <c r="C484" t="str">
        <f t="shared" si="78"/>
        <v>95202096</v>
      </c>
      <c r="D484">
        <v>89301167</v>
      </c>
      <c r="E484" t="str">
        <f t="shared" si="79"/>
        <v>5707200807</v>
      </c>
      <c r="F484" s="1">
        <v>44945</v>
      </c>
      <c r="G484" t="str">
        <f>"81383"</f>
        <v>81383</v>
      </c>
      <c r="H484">
        <v>1</v>
      </c>
      <c r="I484">
        <v>24</v>
      </c>
      <c r="J484">
        <v>0</v>
      </c>
      <c r="K484" t="str">
        <f t="shared" si="80"/>
        <v>801</v>
      </c>
      <c r="L484">
        <v>20.16</v>
      </c>
    </row>
    <row r="485" spans="1:12" x14ac:dyDescent="0.25">
      <c r="A485" t="str">
        <f t="shared" si="74"/>
        <v>89301000</v>
      </c>
      <c r="B485" t="str">
        <f t="shared" si="75"/>
        <v>95202000</v>
      </c>
      <c r="C485" t="str">
        <f t="shared" si="78"/>
        <v>95202096</v>
      </c>
      <c r="D485">
        <v>89301167</v>
      </c>
      <c r="E485" t="str">
        <f t="shared" si="79"/>
        <v>5707200807</v>
      </c>
      <c r="F485" s="1">
        <v>44945</v>
      </c>
      <c r="G485" t="str">
        <f>"81393"</f>
        <v>81393</v>
      </c>
      <c r="H485">
        <v>1</v>
      </c>
      <c r="I485">
        <v>24</v>
      </c>
      <c r="J485">
        <v>0</v>
      </c>
      <c r="K485" t="str">
        <f t="shared" si="80"/>
        <v>801</v>
      </c>
      <c r="L485">
        <v>20.16</v>
      </c>
    </row>
    <row r="486" spans="1:12" x14ac:dyDescent="0.25">
      <c r="A486" t="str">
        <f t="shared" si="74"/>
        <v>89301000</v>
      </c>
      <c r="B486" t="str">
        <f t="shared" si="75"/>
        <v>95202000</v>
      </c>
      <c r="C486" t="str">
        <f t="shared" si="78"/>
        <v>95202096</v>
      </c>
      <c r="D486">
        <v>89301167</v>
      </c>
      <c r="E486" t="str">
        <f t="shared" si="79"/>
        <v>5707200807</v>
      </c>
      <c r="F486" s="1">
        <v>44945</v>
      </c>
      <c r="G486" t="str">
        <f>"81421"</f>
        <v>81421</v>
      </c>
      <c r="H486">
        <v>1</v>
      </c>
      <c r="I486">
        <v>19</v>
      </c>
      <c r="J486">
        <v>0</v>
      </c>
      <c r="K486" t="str">
        <f t="shared" si="80"/>
        <v>801</v>
      </c>
      <c r="L486">
        <v>15.96</v>
      </c>
    </row>
    <row r="487" spans="1:12" x14ac:dyDescent="0.25">
      <c r="A487" t="str">
        <f t="shared" si="74"/>
        <v>89301000</v>
      </c>
      <c r="B487" t="str">
        <f t="shared" si="75"/>
        <v>95202000</v>
      </c>
      <c r="C487" t="str">
        <f t="shared" si="78"/>
        <v>95202096</v>
      </c>
      <c r="D487">
        <v>89301167</v>
      </c>
      <c r="E487" t="str">
        <f t="shared" si="79"/>
        <v>5707200807</v>
      </c>
      <c r="F487" s="1">
        <v>44945</v>
      </c>
      <c r="G487" t="str">
        <f>"81435"</f>
        <v>81435</v>
      </c>
      <c r="H487">
        <v>1</v>
      </c>
      <c r="I487">
        <v>22</v>
      </c>
      <c r="J487">
        <v>0</v>
      </c>
      <c r="K487" t="str">
        <f t="shared" si="80"/>
        <v>801</v>
      </c>
      <c r="L487">
        <v>18.48</v>
      </c>
    </row>
    <row r="488" spans="1:12" x14ac:dyDescent="0.25">
      <c r="A488" t="str">
        <f t="shared" si="74"/>
        <v>89301000</v>
      </c>
      <c r="B488" t="str">
        <f t="shared" si="75"/>
        <v>95202000</v>
      </c>
      <c r="C488" t="str">
        <f t="shared" si="78"/>
        <v>95202096</v>
      </c>
      <c r="D488">
        <v>89301167</v>
      </c>
      <c r="E488" t="str">
        <f t="shared" si="79"/>
        <v>5707200807</v>
      </c>
      <c r="F488" s="1">
        <v>44945</v>
      </c>
      <c r="G488" t="str">
        <f>"81469"</f>
        <v>81469</v>
      </c>
      <c r="H488">
        <v>1</v>
      </c>
      <c r="I488">
        <v>16</v>
      </c>
      <c r="J488">
        <v>0</v>
      </c>
      <c r="K488" t="str">
        <f t="shared" si="80"/>
        <v>801</v>
      </c>
      <c r="L488">
        <v>13.44</v>
      </c>
    </row>
    <row r="489" spans="1:12" x14ac:dyDescent="0.25">
      <c r="A489" t="str">
        <f t="shared" si="74"/>
        <v>89301000</v>
      </c>
      <c r="B489" t="str">
        <f t="shared" ref="B489:B509" si="81">"95202000"</f>
        <v>95202000</v>
      </c>
      <c r="C489" t="str">
        <f t="shared" si="78"/>
        <v>95202096</v>
      </c>
      <c r="D489">
        <v>89301167</v>
      </c>
      <c r="E489" t="str">
        <f t="shared" si="79"/>
        <v>5707200807</v>
      </c>
      <c r="F489" s="1">
        <v>44945</v>
      </c>
      <c r="G489" t="str">
        <f>"81499"</f>
        <v>81499</v>
      </c>
      <c r="H489">
        <v>1</v>
      </c>
      <c r="I489">
        <v>18</v>
      </c>
      <c r="J489">
        <v>0</v>
      </c>
      <c r="K489" t="str">
        <f t="shared" si="80"/>
        <v>801</v>
      </c>
      <c r="L489">
        <v>15.12</v>
      </c>
    </row>
    <row r="490" spans="1:12" x14ac:dyDescent="0.25">
      <c r="A490" t="str">
        <f t="shared" si="74"/>
        <v>89301000</v>
      </c>
      <c r="B490" t="str">
        <f t="shared" si="81"/>
        <v>95202000</v>
      </c>
      <c r="C490" t="str">
        <f t="shared" si="78"/>
        <v>95202096</v>
      </c>
      <c r="D490">
        <v>89301167</v>
      </c>
      <c r="E490" t="str">
        <f t="shared" si="79"/>
        <v>5707200807</v>
      </c>
      <c r="F490" s="1">
        <v>44945</v>
      </c>
      <c r="G490" t="str">
        <f>"81593"</f>
        <v>81593</v>
      </c>
      <c r="H490">
        <v>1</v>
      </c>
      <c r="I490">
        <v>22</v>
      </c>
      <c r="J490">
        <v>0</v>
      </c>
      <c r="K490" t="str">
        <f t="shared" si="80"/>
        <v>801</v>
      </c>
      <c r="L490">
        <v>18.48</v>
      </c>
    </row>
    <row r="491" spans="1:12" x14ac:dyDescent="0.25">
      <c r="A491" t="str">
        <f t="shared" si="74"/>
        <v>89301000</v>
      </c>
      <c r="B491" t="str">
        <f t="shared" si="81"/>
        <v>95202000</v>
      </c>
      <c r="C491" t="str">
        <f t="shared" si="78"/>
        <v>95202096</v>
      </c>
      <c r="D491">
        <v>89301167</v>
      </c>
      <c r="E491" t="str">
        <f t="shared" si="79"/>
        <v>5707200807</v>
      </c>
      <c r="F491" s="1">
        <v>44945</v>
      </c>
      <c r="G491" t="str">
        <f>"81621"</f>
        <v>81621</v>
      </c>
      <c r="H491">
        <v>1</v>
      </c>
      <c r="I491">
        <v>19</v>
      </c>
      <c r="J491">
        <v>0</v>
      </c>
      <c r="K491" t="str">
        <f t="shared" si="80"/>
        <v>801</v>
      </c>
      <c r="L491">
        <v>15.96</v>
      </c>
    </row>
    <row r="492" spans="1:12" x14ac:dyDescent="0.25">
      <c r="A492" t="str">
        <f t="shared" si="74"/>
        <v>89301000</v>
      </c>
      <c r="B492" t="str">
        <f t="shared" si="81"/>
        <v>95202000</v>
      </c>
      <c r="C492" t="str">
        <f t="shared" si="78"/>
        <v>95202096</v>
      </c>
      <c r="D492">
        <v>89301167</v>
      </c>
      <c r="E492" t="str">
        <f t="shared" si="79"/>
        <v>5707200807</v>
      </c>
      <c r="F492" s="1">
        <v>44945</v>
      </c>
      <c r="G492" t="str">
        <f>"97111"</f>
        <v>97111</v>
      </c>
      <c r="H492">
        <v>1</v>
      </c>
      <c r="I492">
        <v>19</v>
      </c>
      <c r="J492">
        <v>0</v>
      </c>
      <c r="K492" t="str">
        <f t="shared" si="80"/>
        <v>801</v>
      </c>
      <c r="L492">
        <v>23.94</v>
      </c>
    </row>
    <row r="493" spans="1:12" x14ac:dyDescent="0.25">
      <c r="A493" t="str">
        <f t="shared" si="74"/>
        <v>89301000</v>
      </c>
      <c r="B493" t="str">
        <f t="shared" si="81"/>
        <v>95202000</v>
      </c>
      <c r="C493" t="str">
        <f t="shared" si="78"/>
        <v>95202096</v>
      </c>
      <c r="D493">
        <v>89301167</v>
      </c>
      <c r="E493" t="str">
        <f t="shared" ref="E493:E509" si="82">"520517127"</f>
        <v>520517127</v>
      </c>
      <c r="F493" s="1">
        <v>44952</v>
      </c>
      <c r="G493" t="str">
        <f>"81329"</f>
        <v>81329</v>
      </c>
      <c r="H493">
        <v>1</v>
      </c>
      <c r="I493">
        <v>17</v>
      </c>
      <c r="J493">
        <v>0</v>
      </c>
      <c r="K493" t="str">
        <f t="shared" si="80"/>
        <v>801</v>
      </c>
      <c r="L493">
        <v>14.28</v>
      </c>
    </row>
    <row r="494" spans="1:12" x14ac:dyDescent="0.25">
      <c r="A494" t="str">
        <f t="shared" si="74"/>
        <v>89301000</v>
      </c>
      <c r="B494" t="str">
        <f t="shared" si="81"/>
        <v>95202000</v>
      </c>
      <c r="C494" t="str">
        <f t="shared" si="78"/>
        <v>95202096</v>
      </c>
      <c r="D494">
        <v>89301167</v>
      </c>
      <c r="E494" t="str">
        <f t="shared" si="82"/>
        <v>520517127</v>
      </c>
      <c r="F494" s="1">
        <v>44952</v>
      </c>
      <c r="G494" t="str">
        <f>"81337"</f>
        <v>81337</v>
      </c>
      <c r="H494">
        <v>1</v>
      </c>
      <c r="I494">
        <v>20</v>
      </c>
      <c r="J494">
        <v>0</v>
      </c>
      <c r="K494" t="str">
        <f t="shared" si="80"/>
        <v>801</v>
      </c>
      <c r="L494">
        <v>16.8</v>
      </c>
    </row>
    <row r="495" spans="1:12" x14ac:dyDescent="0.25">
      <c r="A495" t="str">
        <f t="shared" si="74"/>
        <v>89301000</v>
      </c>
      <c r="B495" t="str">
        <f t="shared" si="81"/>
        <v>95202000</v>
      </c>
      <c r="C495" t="str">
        <f t="shared" si="78"/>
        <v>95202096</v>
      </c>
      <c r="D495">
        <v>89301167</v>
      </c>
      <c r="E495" t="str">
        <f t="shared" si="82"/>
        <v>520517127</v>
      </c>
      <c r="F495" s="1">
        <v>44952</v>
      </c>
      <c r="G495" t="str">
        <f>"81357"</f>
        <v>81357</v>
      </c>
      <c r="H495">
        <v>1</v>
      </c>
      <c r="I495">
        <v>20</v>
      </c>
      <c r="J495">
        <v>0</v>
      </c>
      <c r="K495" t="str">
        <f t="shared" si="80"/>
        <v>801</v>
      </c>
      <c r="L495">
        <v>16.8</v>
      </c>
    </row>
    <row r="496" spans="1:12" x14ac:dyDescent="0.25">
      <c r="A496" t="str">
        <f t="shared" si="74"/>
        <v>89301000</v>
      </c>
      <c r="B496" t="str">
        <f t="shared" si="81"/>
        <v>95202000</v>
      </c>
      <c r="C496" t="str">
        <f t="shared" si="78"/>
        <v>95202096</v>
      </c>
      <c r="D496">
        <v>89301167</v>
      </c>
      <c r="E496" t="str">
        <f t="shared" si="82"/>
        <v>520517127</v>
      </c>
      <c r="F496" s="1">
        <v>44952</v>
      </c>
      <c r="G496" t="str">
        <f>"81361"</f>
        <v>81361</v>
      </c>
      <c r="H496">
        <v>1</v>
      </c>
      <c r="I496">
        <v>17</v>
      </c>
      <c r="J496">
        <v>0</v>
      </c>
      <c r="K496" t="str">
        <f t="shared" si="80"/>
        <v>801</v>
      </c>
      <c r="L496">
        <v>14.28</v>
      </c>
    </row>
    <row r="497" spans="1:12" x14ac:dyDescent="0.25">
      <c r="A497" t="str">
        <f t="shared" si="74"/>
        <v>89301000</v>
      </c>
      <c r="B497" t="str">
        <f t="shared" si="81"/>
        <v>95202000</v>
      </c>
      <c r="C497" t="str">
        <f t="shared" si="78"/>
        <v>95202096</v>
      </c>
      <c r="D497">
        <v>89301167</v>
      </c>
      <c r="E497" t="str">
        <f t="shared" si="82"/>
        <v>520517127</v>
      </c>
      <c r="F497" s="1">
        <v>44952</v>
      </c>
      <c r="G497" t="str">
        <f>"81365"</f>
        <v>81365</v>
      </c>
      <c r="H497">
        <v>1</v>
      </c>
      <c r="I497">
        <v>16</v>
      </c>
      <c r="J497">
        <v>0</v>
      </c>
      <c r="K497" t="str">
        <f t="shared" si="80"/>
        <v>801</v>
      </c>
      <c r="L497">
        <v>13.44</v>
      </c>
    </row>
    <row r="498" spans="1:12" x14ac:dyDescent="0.25">
      <c r="A498" t="str">
        <f t="shared" si="74"/>
        <v>89301000</v>
      </c>
      <c r="B498" t="str">
        <f t="shared" si="81"/>
        <v>95202000</v>
      </c>
      <c r="C498" t="str">
        <f t="shared" si="78"/>
        <v>95202096</v>
      </c>
      <c r="D498">
        <v>89301167</v>
      </c>
      <c r="E498" t="str">
        <f t="shared" si="82"/>
        <v>520517127</v>
      </c>
      <c r="F498" s="1">
        <v>44952</v>
      </c>
      <c r="G498" t="str">
        <f>"81383"</f>
        <v>81383</v>
      </c>
      <c r="H498">
        <v>1</v>
      </c>
      <c r="I498">
        <v>24</v>
      </c>
      <c r="J498">
        <v>0</v>
      </c>
      <c r="K498" t="str">
        <f t="shared" si="80"/>
        <v>801</v>
      </c>
      <c r="L498">
        <v>20.16</v>
      </c>
    </row>
    <row r="499" spans="1:12" x14ac:dyDescent="0.25">
      <c r="A499" t="str">
        <f t="shared" si="74"/>
        <v>89301000</v>
      </c>
      <c r="B499" t="str">
        <f t="shared" si="81"/>
        <v>95202000</v>
      </c>
      <c r="C499" t="str">
        <f t="shared" si="78"/>
        <v>95202096</v>
      </c>
      <c r="D499">
        <v>89301167</v>
      </c>
      <c r="E499" t="str">
        <f t="shared" si="82"/>
        <v>520517127</v>
      </c>
      <c r="F499" s="1">
        <v>44952</v>
      </c>
      <c r="G499" t="str">
        <f>"81393"</f>
        <v>81393</v>
      </c>
      <c r="H499">
        <v>1</v>
      </c>
      <c r="I499">
        <v>24</v>
      </c>
      <c r="J499">
        <v>0</v>
      </c>
      <c r="K499" t="str">
        <f t="shared" si="80"/>
        <v>801</v>
      </c>
      <c r="L499">
        <v>20.16</v>
      </c>
    </row>
    <row r="500" spans="1:12" x14ac:dyDescent="0.25">
      <c r="A500" t="str">
        <f t="shared" si="74"/>
        <v>89301000</v>
      </c>
      <c r="B500" t="str">
        <f t="shared" si="81"/>
        <v>95202000</v>
      </c>
      <c r="C500" t="str">
        <f t="shared" si="78"/>
        <v>95202096</v>
      </c>
      <c r="D500">
        <v>89301167</v>
      </c>
      <c r="E500" t="str">
        <f t="shared" si="82"/>
        <v>520517127</v>
      </c>
      <c r="F500" s="1">
        <v>44952</v>
      </c>
      <c r="G500" t="str">
        <f>"81421"</f>
        <v>81421</v>
      </c>
      <c r="H500">
        <v>1</v>
      </c>
      <c r="I500">
        <v>19</v>
      </c>
      <c r="J500">
        <v>0</v>
      </c>
      <c r="K500" t="str">
        <f t="shared" si="80"/>
        <v>801</v>
      </c>
      <c r="L500">
        <v>15.96</v>
      </c>
    </row>
    <row r="501" spans="1:12" x14ac:dyDescent="0.25">
      <c r="A501" t="str">
        <f t="shared" si="74"/>
        <v>89301000</v>
      </c>
      <c r="B501" t="str">
        <f t="shared" si="81"/>
        <v>95202000</v>
      </c>
      <c r="C501" t="str">
        <f t="shared" si="78"/>
        <v>95202096</v>
      </c>
      <c r="D501">
        <v>89301167</v>
      </c>
      <c r="E501" t="str">
        <f t="shared" si="82"/>
        <v>520517127</v>
      </c>
      <c r="F501" s="1">
        <v>44952</v>
      </c>
      <c r="G501" t="str">
        <f>"81435"</f>
        <v>81435</v>
      </c>
      <c r="H501">
        <v>1</v>
      </c>
      <c r="I501">
        <v>22</v>
      </c>
      <c r="J501">
        <v>0</v>
      </c>
      <c r="K501" t="str">
        <f t="shared" si="80"/>
        <v>801</v>
      </c>
      <c r="L501">
        <v>18.48</v>
      </c>
    </row>
    <row r="502" spans="1:12" x14ac:dyDescent="0.25">
      <c r="A502" t="str">
        <f t="shared" si="74"/>
        <v>89301000</v>
      </c>
      <c r="B502" t="str">
        <f t="shared" si="81"/>
        <v>95202000</v>
      </c>
      <c r="C502" t="str">
        <f t="shared" si="78"/>
        <v>95202096</v>
      </c>
      <c r="D502">
        <v>89301167</v>
      </c>
      <c r="E502" t="str">
        <f t="shared" si="82"/>
        <v>520517127</v>
      </c>
      <c r="F502" s="1">
        <v>44952</v>
      </c>
      <c r="G502" t="str">
        <f>"81439"</f>
        <v>81439</v>
      </c>
      <c r="H502">
        <v>1</v>
      </c>
      <c r="I502">
        <v>16</v>
      </c>
      <c r="J502">
        <v>0</v>
      </c>
      <c r="K502" t="str">
        <f t="shared" si="80"/>
        <v>801</v>
      </c>
      <c r="L502">
        <v>13.44</v>
      </c>
    </row>
    <row r="503" spans="1:12" x14ac:dyDescent="0.25">
      <c r="A503" t="str">
        <f t="shared" si="74"/>
        <v>89301000</v>
      </c>
      <c r="B503" t="str">
        <f t="shared" si="81"/>
        <v>95202000</v>
      </c>
      <c r="C503" t="str">
        <f t="shared" si="78"/>
        <v>95202096</v>
      </c>
      <c r="D503">
        <v>89301167</v>
      </c>
      <c r="E503" t="str">
        <f t="shared" si="82"/>
        <v>520517127</v>
      </c>
      <c r="F503" s="1">
        <v>44952</v>
      </c>
      <c r="G503" t="str">
        <f>"81469"</f>
        <v>81469</v>
      </c>
      <c r="H503">
        <v>1</v>
      </c>
      <c r="I503">
        <v>16</v>
      </c>
      <c r="J503">
        <v>0</v>
      </c>
      <c r="K503" t="str">
        <f t="shared" si="80"/>
        <v>801</v>
      </c>
      <c r="L503">
        <v>13.44</v>
      </c>
    </row>
    <row r="504" spans="1:12" x14ac:dyDescent="0.25">
      <c r="A504" t="str">
        <f t="shared" si="74"/>
        <v>89301000</v>
      </c>
      <c r="B504" t="str">
        <f t="shared" si="81"/>
        <v>95202000</v>
      </c>
      <c r="C504" t="str">
        <f t="shared" si="78"/>
        <v>95202096</v>
      </c>
      <c r="D504">
        <v>89301167</v>
      </c>
      <c r="E504" t="str">
        <f t="shared" si="82"/>
        <v>520517127</v>
      </c>
      <c r="F504" s="1">
        <v>44952</v>
      </c>
      <c r="G504" t="str">
        <f>"81499"</f>
        <v>81499</v>
      </c>
      <c r="H504">
        <v>1</v>
      </c>
      <c r="I504">
        <v>18</v>
      </c>
      <c r="J504">
        <v>0</v>
      </c>
      <c r="K504" t="str">
        <f t="shared" si="80"/>
        <v>801</v>
      </c>
      <c r="L504">
        <v>15.12</v>
      </c>
    </row>
    <row r="505" spans="1:12" x14ac:dyDescent="0.25">
      <c r="A505" t="str">
        <f t="shared" si="74"/>
        <v>89301000</v>
      </c>
      <c r="B505" t="str">
        <f t="shared" si="81"/>
        <v>95202000</v>
      </c>
      <c r="C505" t="str">
        <f t="shared" si="78"/>
        <v>95202096</v>
      </c>
      <c r="D505">
        <v>89301167</v>
      </c>
      <c r="E505" t="str">
        <f t="shared" si="82"/>
        <v>520517127</v>
      </c>
      <c r="F505" s="1">
        <v>44952</v>
      </c>
      <c r="G505" t="str">
        <f>"81593"</f>
        <v>81593</v>
      </c>
      <c r="H505">
        <v>1</v>
      </c>
      <c r="I505">
        <v>22</v>
      </c>
      <c r="J505">
        <v>0</v>
      </c>
      <c r="K505" t="str">
        <f t="shared" si="80"/>
        <v>801</v>
      </c>
      <c r="L505">
        <v>18.48</v>
      </c>
    </row>
    <row r="506" spans="1:12" x14ac:dyDescent="0.25">
      <c r="A506" t="str">
        <f t="shared" si="74"/>
        <v>89301000</v>
      </c>
      <c r="B506" t="str">
        <f t="shared" si="81"/>
        <v>95202000</v>
      </c>
      <c r="C506" t="str">
        <f t="shared" si="78"/>
        <v>95202096</v>
      </c>
      <c r="D506">
        <v>89301167</v>
      </c>
      <c r="E506" t="str">
        <f t="shared" si="82"/>
        <v>520517127</v>
      </c>
      <c r="F506" s="1">
        <v>44952</v>
      </c>
      <c r="G506" t="str">
        <f>"81621"</f>
        <v>81621</v>
      </c>
      <c r="H506">
        <v>1</v>
      </c>
      <c r="I506">
        <v>19</v>
      </c>
      <c r="J506">
        <v>0</v>
      </c>
      <c r="K506" t="str">
        <f t="shared" si="80"/>
        <v>801</v>
      </c>
      <c r="L506">
        <v>15.96</v>
      </c>
    </row>
    <row r="507" spans="1:12" x14ac:dyDescent="0.25">
      <c r="A507" t="str">
        <f t="shared" si="74"/>
        <v>89301000</v>
      </c>
      <c r="B507" t="str">
        <f t="shared" si="81"/>
        <v>95202000</v>
      </c>
      <c r="C507" t="str">
        <f t="shared" si="78"/>
        <v>95202096</v>
      </c>
      <c r="D507">
        <v>89301167</v>
      </c>
      <c r="E507" t="str">
        <f t="shared" si="82"/>
        <v>520517127</v>
      </c>
      <c r="F507" s="1">
        <v>44952</v>
      </c>
      <c r="G507" t="str">
        <f>"81625"</f>
        <v>81625</v>
      </c>
      <c r="H507">
        <v>1</v>
      </c>
      <c r="I507">
        <v>21</v>
      </c>
      <c r="J507">
        <v>0</v>
      </c>
      <c r="K507" t="str">
        <f t="shared" si="80"/>
        <v>801</v>
      </c>
      <c r="L507">
        <v>17.64</v>
      </c>
    </row>
    <row r="508" spans="1:12" x14ac:dyDescent="0.25">
      <c r="A508" t="str">
        <f t="shared" si="74"/>
        <v>89301000</v>
      </c>
      <c r="B508" t="str">
        <f t="shared" si="81"/>
        <v>95202000</v>
      </c>
      <c r="C508" t="str">
        <f t="shared" si="78"/>
        <v>95202096</v>
      </c>
      <c r="D508">
        <v>89301167</v>
      </c>
      <c r="E508" t="str">
        <f t="shared" si="82"/>
        <v>520517127</v>
      </c>
      <c r="F508" s="1">
        <v>44952</v>
      </c>
      <c r="G508" t="str">
        <f>"91153"</f>
        <v>91153</v>
      </c>
      <c r="H508">
        <v>1</v>
      </c>
      <c r="I508">
        <v>153</v>
      </c>
      <c r="J508">
        <v>0</v>
      </c>
      <c r="K508" t="str">
        <f t="shared" si="80"/>
        <v>801</v>
      </c>
      <c r="L508">
        <v>128.52000000000001</v>
      </c>
    </row>
    <row r="509" spans="1:12" x14ac:dyDescent="0.25">
      <c r="A509" t="str">
        <f t="shared" si="74"/>
        <v>89301000</v>
      </c>
      <c r="B509" t="str">
        <f t="shared" si="81"/>
        <v>95202000</v>
      </c>
      <c r="C509" t="str">
        <f t="shared" si="78"/>
        <v>95202096</v>
      </c>
      <c r="D509">
        <v>89301167</v>
      </c>
      <c r="E509" t="str">
        <f t="shared" si="82"/>
        <v>520517127</v>
      </c>
      <c r="F509" s="1">
        <v>44952</v>
      </c>
      <c r="G509" t="str">
        <f>"97111"</f>
        <v>97111</v>
      </c>
      <c r="H509">
        <v>1</v>
      </c>
      <c r="I509">
        <v>19</v>
      </c>
      <c r="J509">
        <v>0</v>
      </c>
      <c r="K509" t="str">
        <f t="shared" si="80"/>
        <v>801</v>
      </c>
      <c r="L509">
        <v>23.94</v>
      </c>
    </row>
    <row r="510" spans="1:12" x14ac:dyDescent="0.25">
      <c r="A510" t="str">
        <f t="shared" si="74"/>
        <v>89301000</v>
      </c>
      <c r="B510" t="str">
        <f t="shared" ref="B510:B519" si="83">"44564000"</f>
        <v>44564000</v>
      </c>
      <c r="C510" t="str">
        <f t="shared" ref="C510:C519" si="84">"44564004"</f>
        <v>44564004</v>
      </c>
      <c r="D510">
        <v>89301375</v>
      </c>
      <c r="E510" t="str">
        <f>"476101468"</f>
        <v>476101468</v>
      </c>
      <c r="F510" s="1">
        <v>44932</v>
      </c>
      <c r="G510" t="str">
        <f>"87231"</f>
        <v>87231</v>
      </c>
      <c r="H510">
        <v>2</v>
      </c>
      <c r="I510">
        <v>762</v>
      </c>
      <c r="J510">
        <v>0</v>
      </c>
      <c r="K510" t="str">
        <f t="shared" ref="K510:K519" si="85">"807"</f>
        <v>807</v>
      </c>
      <c r="L510">
        <v>640.08000000000004</v>
      </c>
    </row>
    <row r="511" spans="1:12" x14ac:dyDescent="0.25">
      <c r="A511" t="str">
        <f t="shared" si="74"/>
        <v>89301000</v>
      </c>
      <c r="B511" t="str">
        <f t="shared" si="83"/>
        <v>44564000</v>
      </c>
      <c r="C511" t="str">
        <f t="shared" si="84"/>
        <v>44564004</v>
      </c>
      <c r="D511">
        <v>89301375</v>
      </c>
      <c r="E511" t="str">
        <f>"476101468"</f>
        <v>476101468</v>
      </c>
      <c r="F511" s="1">
        <v>44932</v>
      </c>
      <c r="G511" t="str">
        <f>"87523"</f>
        <v>87523</v>
      </c>
      <c r="H511">
        <v>1</v>
      </c>
      <c r="I511">
        <v>606</v>
      </c>
      <c r="J511">
        <v>0</v>
      </c>
      <c r="K511" t="str">
        <f t="shared" si="85"/>
        <v>807</v>
      </c>
      <c r="L511">
        <v>509.04</v>
      </c>
    </row>
    <row r="512" spans="1:12" x14ac:dyDescent="0.25">
      <c r="A512" t="str">
        <f t="shared" si="74"/>
        <v>89301000</v>
      </c>
      <c r="B512" t="str">
        <f t="shared" si="83"/>
        <v>44564000</v>
      </c>
      <c r="C512" t="str">
        <f t="shared" si="84"/>
        <v>44564004</v>
      </c>
      <c r="D512">
        <v>89301375</v>
      </c>
      <c r="E512" t="str">
        <f>"476101468"</f>
        <v>476101468</v>
      </c>
      <c r="F512" s="1">
        <v>44932</v>
      </c>
      <c r="G512" t="str">
        <f>"87613"</f>
        <v>87613</v>
      </c>
      <c r="H512">
        <v>1</v>
      </c>
      <c r="I512">
        <v>436</v>
      </c>
      <c r="J512">
        <v>0</v>
      </c>
      <c r="K512" t="str">
        <f t="shared" si="85"/>
        <v>807</v>
      </c>
      <c r="L512">
        <v>366.24</v>
      </c>
    </row>
    <row r="513" spans="1:12" x14ac:dyDescent="0.25">
      <c r="A513" t="str">
        <f t="shared" si="74"/>
        <v>89301000</v>
      </c>
      <c r="B513" t="str">
        <f t="shared" si="83"/>
        <v>44564000</v>
      </c>
      <c r="C513" t="str">
        <f t="shared" si="84"/>
        <v>44564004</v>
      </c>
      <c r="D513">
        <v>89301375</v>
      </c>
      <c r="E513" t="str">
        <f>"7452264468"</f>
        <v>7452264468</v>
      </c>
      <c r="F513" s="1">
        <v>44956</v>
      </c>
      <c r="G513" t="str">
        <f>"87217"</f>
        <v>87217</v>
      </c>
      <c r="H513">
        <v>2</v>
      </c>
      <c r="I513">
        <v>430</v>
      </c>
      <c r="J513">
        <v>0</v>
      </c>
      <c r="K513" t="str">
        <f t="shared" si="85"/>
        <v>807</v>
      </c>
      <c r="L513">
        <v>361.2</v>
      </c>
    </row>
    <row r="514" spans="1:12" x14ac:dyDescent="0.25">
      <c r="A514" t="str">
        <f t="shared" ref="A514:A577" si="86">"89301000"</f>
        <v>89301000</v>
      </c>
      <c r="B514" t="str">
        <f t="shared" si="83"/>
        <v>44564000</v>
      </c>
      <c r="C514" t="str">
        <f t="shared" si="84"/>
        <v>44564004</v>
      </c>
      <c r="D514">
        <v>89301375</v>
      </c>
      <c r="E514" t="str">
        <f>"7452264468"</f>
        <v>7452264468</v>
      </c>
      <c r="F514" s="1">
        <v>44956</v>
      </c>
      <c r="G514" t="str">
        <f>"87231"</f>
        <v>87231</v>
      </c>
      <c r="H514">
        <v>9</v>
      </c>
      <c r="I514">
        <v>3429</v>
      </c>
      <c r="J514">
        <v>0</v>
      </c>
      <c r="K514" t="str">
        <f t="shared" si="85"/>
        <v>807</v>
      </c>
      <c r="L514">
        <v>2880.36</v>
      </c>
    </row>
    <row r="515" spans="1:12" x14ac:dyDescent="0.25">
      <c r="A515" t="str">
        <f t="shared" si="86"/>
        <v>89301000</v>
      </c>
      <c r="B515" t="str">
        <f t="shared" si="83"/>
        <v>44564000</v>
      </c>
      <c r="C515" t="str">
        <f t="shared" si="84"/>
        <v>44564004</v>
      </c>
      <c r="D515">
        <v>89301375</v>
      </c>
      <c r="E515" t="str">
        <f>"7452264468"</f>
        <v>7452264468</v>
      </c>
      <c r="F515" s="1">
        <v>44956</v>
      </c>
      <c r="G515" t="str">
        <f>"87231"</f>
        <v>87231</v>
      </c>
      <c r="H515">
        <v>6</v>
      </c>
      <c r="I515">
        <v>2286</v>
      </c>
      <c r="J515">
        <v>0</v>
      </c>
      <c r="K515" t="str">
        <f t="shared" si="85"/>
        <v>807</v>
      </c>
      <c r="L515">
        <v>1920.24</v>
      </c>
    </row>
    <row r="516" spans="1:12" x14ac:dyDescent="0.25">
      <c r="A516" t="str">
        <f t="shared" si="86"/>
        <v>89301000</v>
      </c>
      <c r="B516" t="str">
        <f t="shared" si="83"/>
        <v>44564000</v>
      </c>
      <c r="C516" t="str">
        <f t="shared" si="84"/>
        <v>44564004</v>
      </c>
      <c r="D516">
        <v>89301375</v>
      </c>
      <c r="E516" t="str">
        <f>"7452264468"</f>
        <v>7452264468</v>
      </c>
      <c r="F516" s="1">
        <v>44956</v>
      </c>
      <c r="G516" t="str">
        <f>"87613"</f>
        <v>87613</v>
      </c>
      <c r="H516">
        <v>1</v>
      </c>
      <c r="I516">
        <v>436</v>
      </c>
      <c r="J516">
        <v>0</v>
      </c>
      <c r="K516" t="str">
        <f t="shared" si="85"/>
        <v>807</v>
      </c>
      <c r="L516">
        <v>366.24</v>
      </c>
    </row>
    <row r="517" spans="1:12" x14ac:dyDescent="0.25">
      <c r="A517" t="str">
        <f t="shared" si="86"/>
        <v>89301000</v>
      </c>
      <c r="B517" t="str">
        <f t="shared" si="83"/>
        <v>44564000</v>
      </c>
      <c r="C517" t="str">
        <f t="shared" si="84"/>
        <v>44564004</v>
      </c>
      <c r="D517">
        <v>89301375</v>
      </c>
      <c r="E517" t="str">
        <f>"7452264468"</f>
        <v>7452264468</v>
      </c>
      <c r="F517" s="1">
        <v>44956</v>
      </c>
      <c r="G517" t="str">
        <f>"87617"</f>
        <v>87617</v>
      </c>
      <c r="H517">
        <v>1</v>
      </c>
      <c r="I517">
        <v>3750</v>
      </c>
      <c r="J517">
        <v>0</v>
      </c>
      <c r="K517" t="str">
        <f t="shared" si="85"/>
        <v>807</v>
      </c>
      <c r="L517">
        <v>3150</v>
      </c>
    </row>
    <row r="518" spans="1:12" x14ac:dyDescent="0.25">
      <c r="A518" t="str">
        <f t="shared" si="86"/>
        <v>89301000</v>
      </c>
      <c r="B518" t="str">
        <f t="shared" si="83"/>
        <v>44564000</v>
      </c>
      <c r="C518" t="str">
        <f t="shared" si="84"/>
        <v>44564004</v>
      </c>
      <c r="D518">
        <v>89301375</v>
      </c>
      <c r="E518" t="str">
        <f>"476101468"</f>
        <v>476101468</v>
      </c>
      <c r="F518" s="1">
        <v>44932</v>
      </c>
      <c r="G518" t="str">
        <f>"99790"</f>
        <v>99790</v>
      </c>
      <c r="H518">
        <v>1</v>
      </c>
      <c r="I518">
        <v>2179</v>
      </c>
      <c r="J518">
        <v>0</v>
      </c>
      <c r="K518" t="str">
        <f t="shared" si="85"/>
        <v>807</v>
      </c>
      <c r="L518">
        <v>1830.36</v>
      </c>
    </row>
    <row r="519" spans="1:12" x14ac:dyDescent="0.25">
      <c r="A519" t="str">
        <f t="shared" si="86"/>
        <v>89301000</v>
      </c>
      <c r="B519" t="str">
        <f t="shared" si="83"/>
        <v>44564000</v>
      </c>
      <c r="C519" t="str">
        <f t="shared" si="84"/>
        <v>44564004</v>
      </c>
      <c r="D519">
        <v>89301375</v>
      </c>
      <c r="E519" t="str">
        <f>"476101468"</f>
        <v>476101468</v>
      </c>
      <c r="F519" s="1">
        <v>44932</v>
      </c>
      <c r="G519" t="str">
        <f>"99798"</f>
        <v>99798</v>
      </c>
      <c r="H519">
        <v>1</v>
      </c>
      <c r="I519">
        <v>3199</v>
      </c>
      <c r="J519">
        <v>0</v>
      </c>
      <c r="K519" t="str">
        <f t="shared" si="85"/>
        <v>807</v>
      </c>
      <c r="L519">
        <v>2687.16</v>
      </c>
    </row>
    <row r="520" spans="1:12" x14ac:dyDescent="0.25">
      <c r="A520" t="str">
        <f t="shared" si="86"/>
        <v>89301000</v>
      </c>
      <c r="B520" t="str">
        <f t="shared" ref="B520:C538" si="87">"87669000"</f>
        <v>87669000</v>
      </c>
      <c r="C520" t="str">
        <f t="shared" si="87"/>
        <v>87669000</v>
      </c>
      <c r="D520">
        <v>89301167</v>
      </c>
      <c r="E520" t="str">
        <f t="shared" ref="E520:E538" si="88">"480710460"</f>
        <v>480710460</v>
      </c>
      <c r="F520" s="1">
        <v>44956</v>
      </c>
      <c r="G520" t="str">
        <f>"81329"</f>
        <v>81329</v>
      </c>
      <c r="H520">
        <v>1</v>
      </c>
      <c r="I520">
        <v>17</v>
      </c>
      <c r="J520">
        <v>0</v>
      </c>
      <c r="K520" t="str">
        <f t="shared" ref="K520:K538" si="89">"801"</f>
        <v>801</v>
      </c>
      <c r="L520">
        <v>14.28</v>
      </c>
    </row>
    <row r="521" spans="1:12" x14ac:dyDescent="0.25">
      <c r="A521" t="str">
        <f t="shared" si="86"/>
        <v>89301000</v>
      </c>
      <c r="B521" t="str">
        <f t="shared" si="87"/>
        <v>87669000</v>
      </c>
      <c r="C521" t="str">
        <f t="shared" si="87"/>
        <v>87669000</v>
      </c>
      <c r="D521">
        <v>89301167</v>
      </c>
      <c r="E521" t="str">
        <f t="shared" si="88"/>
        <v>480710460</v>
      </c>
      <c r="F521" s="1">
        <v>44956</v>
      </c>
      <c r="G521" t="str">
        <f>"81337"</f>
        <v>81337</v>
      </c>
      <c r="H521">
        <v>1</v>
      </c>
      <c r="I521">
        <v>20</v>
      </c>
      <c r="J521">
        <v>0</v>
      </c>
      <c r="K521" t="str">
        <f t="shared" si="89"/>
        <v>801</v>
      </c>
      <c r="L521">
        <v>16.8</v>
      </c>
    </row>
    <row r="522" spans="1:12" x14ac:dyDescent="0.25">
      <c r="A522" t="str">
        <f t="shared" si="86"/>
        <v>89301000</v>
      </c>
      <c r="B522" t="str">
        <f t="shared" si="87"/>
        <v>87669000</v>
      </c>
      <c r="C522" t="str">
        <f t="shared" si="87"/>
        <v>87669000</v>
      </c>
      <c r="D522">
        <v>89301167</v>
      </c>
      <c r="E522" t="str">
        <f t="shared" si="88"/>
        <v>480710460</v>
      </c>
      <c r="F522" s="1">
        <v>44956</v>
      </c>
      <c r="G522" t="str">
        <f>"81357"</f>
        <v>81357</v>
      </c>
      <c r="H522">
        <v>1</v>
      </c>
      <c r="I522">
        <v>20</v>
      </c>
      <c r="J522">
        <v>0</v>
      </c>
      <c r="K522" t="str">
        <f t="shared" si="89"/>
        <v>801</v>
      </c>
      <c r="L522">
        <v>16.8</v>
      </c>
    </row>
    <row r="523" spans="1:12" x14ac:dyDescent="0.25">
      <c r="A523" t="str">
        <f t="shared" si="86"/>
        <v>89301000</v>
      </c>
      <c r="B523" t="str">
        <f t="shared" si="87"/>
        <v>87669000</v>
      </c>
      <c r="C523" t="str">
        <f t="shared" si="87"/>
        <v>87669000</v>
      </c>
      <c r="D523">
        <v>89301167</v>
      </c>
      <c r="E523" t="str">
        <f t="shared" si="88"/>
        <v>480710460</v>
      </c>
      <c r="F523" s="1">
        <v>44956</v>
      </c>
      <c r="G523" t="str">
        <f>"81361"</f>
        <v>81361</v>
      </c>
      <c r="H523">
        <v>1</v>
      </c>
      <c r="I523">
        <v>17</v>
      </c>
      <c r="J523">
        <v>0</v>
      </c>
      <c r="K523" t="str">
        <f t="shared" si="89"/>
        <v>801</v>
      </c>
      <c r="L523">
        <v>14.28</v>
      </c>
    </row>
    <row r="524" spans="1:12" x14ac:dyDescent="0.25">
      <c r="A524" t="str">
        <f t="shared" si="86"/>
        <v>89301000</v>
      </c>
      <c r="B524" t="str">
        <f t="shared" si="87"/>
        <v>87669000</v>
      </c>
      <c r="C524" t="str">
        <f t="shared" si="87"/>
        <v>87669000</v>
      </c>
      <c r="D524">
        <v>89301167</v>
      </c>
      <c r="E524" t="str">
        <f t="shared" si="88"/>
        <v>480710460</v>
      </c>
      <c r="F524" s="1">
        <v>44956</v>
      </c>
      <c r="G524" t="str">
        <f>"81365"</f>
        <v>81365</v>
      </c>
      <c r="H524">
        <v>1</v>
      </c>
      <c r="I524">
        <v>16</v>
      </c>
      <c r="J524">
        <v>0</v>
      </c>
      <c r="K524" t="str">
        <f t="shared" si="89"/>
        <v>801</v>
      </c>
      <c r="L524">
        <v>13.44</v>
      </c>
    </row>
    <row r="525" spans="1:12" x14ac:dyDescent="0.25">
      <c r="A525" t="str">
        <f t="shared" si="86"/>
        <v>89301000</v>
      </c>
      <c r="B525" t="str">
        <f t="shared" si="87"/>
        <v>87669000</v>
      </c>
      <c r="C525" t="str">
        <f t="shared" si="87"/>
        <v>87669000</v>
      </c>
      <c r="D525">
        <v>89301167</v>
      </c>
      <c r="E525" t="str">
        <f t="shared" si="88"/>
        <v>480710460</v>
      </c>
      <c r="F525" s="1">
        <v>44956</v>
      </c>
      <c r="G525" t="str">
        <f>"81393"</f>
        <v>81393</v>
      </c>
      <c r="H525">
        <v>1</v>
      </c>
      <c r="I525">
        <v>24</v>
      </c>
      <c r="J525">
        <v>0</v>
      </c>
      <c r="K525" t="str">
        <f t="shared" si="89"/>
        <v>801</v>
      </c>
      <c r="L525">
        <v>20.16</v>
      </c>
    </row>
    <row r="526" spans="1:12" x14ac:dyDescent="0.25">
      <c r="A526" t="str">
        <f t="shared" si="86"/>
        <v>89301000</v>
      </c>
      <c r="B526" t="str">
        <f t="shared" si="87"/>
        <v>87669000</v>
      </c>
      <c r="C526" t="str">
        <f t="shared" si="87"/>
        <v>87669000</v>
      </c>
      <c r="D526">
        <v>89301167</v>
      </c>
      <c r="E526" t="str">
        <f t="shared" si="88"/>
        <v>480710460</v>
      </c>
      <c r="F526" s="1">
        <v>44956</v>
      </c>
      <c r="G526" t="str">
        <f>"81421"</f>
        <v>81421</v>
      </c>
      <c r="H526">
        <v>1</v>
      </c>
      <c r="I526">
        <v>19</v>
      </c>
      <c r="J526">
        <v>0</v>
      </c>
      <c r="K526" t="str">
        <f t="shared" si="89"/>
        <v>801</v>
      </c>
      <c r="L526">
        <v>15.96</v>
      </c>
    </row>
    <row r="527" spans="1:12" x14ac:dyDescent="0.25">
      <c r="A527" t="str">
        <f t="shared" si="86"/>
        <v>89301000</v>
      </c>
      <c r="B527" t="str">
        <f t="shared" si="87"/>
        <v>87669000</v>
      </c>
      <c r="C527" t="str">
        <f t="shared" si="87"/>
        <v>87669000</v>
      </c>
      <c r="D527">
        <v>89301167</v>
      </c>
      <c r="E527" t="str">
        <f t="shared" si="88"/>
        <v>480710460</v>
      </c>
      <c r="F527" s="1">
        <v>44956</v>
      </c>
      <c r="G527" t="str">
        <f>"81435"</f>
        <v>81435</v>
      </c>
      <c r="H527">
        <v>1</v>
      </c>
      <c r="I527">
        <v>22</v>
      </c>
      <c r="J527">
        <v>0</v>
      </c>
      <c r="K527" t="str">
        <f t="shared" si="89"/>
        <v>801</v>
      </c>
      <c r="L527">
        <v>18.48</v>
      </c>
    </row>
    <row r="528" spans="1:12" x14ac:dyDescent="0.25">
      <c r="A528" t="str">
        <f t="shared" si="86"/>
        <v>89301000</v>
      </c>
      <c r="B528" t="str">
        <f t="shared" si="87"/>
        <v>87669000</v>
      </c>
      <c r="C528" t="str">
        <f t="shared" si="87"/>
        <v>87669000</v>
      </c>
      <c r="D528">
        <v>89301167</v>
      </c>
      <c r="E528" t="str">
        <f t="shared" si="88"/>
        <v>480710460</v>
      </c>
      <c r="F528" s="1">
        <v>44956</v>
      </c>
      <c r="G528" t="str">
        <f>"81439"</f>
        <v>81439</v>
      </c>
      <c r="H528">
        <v>1</v>
      </c>
      <c r="I528">
        <v>16</v>
      </c>
      <c r="J528">
        <v>0</v>
      </c>
      <c r="K528" t="str">
        <f t="shared" si="89"/>
        <v>801</v>
      </c>
      <c r="L528">
        <v>13.44</v>
      </c>
    </row>
    <row r="529" spans="1:12" x14ac:dyDescent="0.25">
      <c r="A529" t="str">
        <f t="shared" si="86"/>
        <v>89301000</v>
      </c>
      <c r="B529" t="str">
        <f t="shared" si="87"/>
        <v>87669000</v>
      </c>
      <c r="C529" t="str">
        <f t="shared" si="87"/>
        <v>87669000</v>
      </c>
      <c r="D529">
        <v>89301167</v>
      </c>
      <c r="E529" t="str">
        <f t="shared" si="88"/>
        <v>480710460</v>
      </c>
      <c r="F529" s="1">
        <v>44956</v>
      </c>
      <c r="G529" t="str">
        <f>"81469"</f>
        <v>81469</v>
      </c>
      <c r="H529">
        <v>1</v>
      </c>
      <c r="I529">
        <v>16</v>
      </c>
      <c r="J529">
        <v>0</v>
      </c>
      <c r="K529" t="str">
        <f t="shared" si="89"/>
        <v>801</v>
      </c>
      <c r="L529">
        <v>13.44</v>
      </c>
    </row>
    <row r="530" spans="1:12" x14ac:dyDescent="0.25">
      <c r="A530" t="str">
        <f t="shared" si="86"/>
        <v>89301000</v>
      </c>
      <c r="B530" t="str">
        <f t="shared" si="87"/>
        <v>87669000</v>
      </c>
      <c r="C530" t="str">
        <f t="shared" si="87"/>
        <v>87669000</v>
      </c>
      <c r="D530">
        <v>89301167</v>
      </c>
      <c r="E530" t="str">
        <f t="shared" si="88"/>
        <v>480710460</v>
      </c>
      <c r="F530" s="1">
        <v>44956</v>
      </c>
      <c r="G530" t="str">
        <f>"81499"</f>
        <v>81499</v>
      </c>
      <c r="H530">
        <v>1</v>
      </c>
      <c r="I530">
        <v>18</v>
      </c>
      <c r="J530">
        <v>0</v>
      </c>
      <c r="K530" t="str">
        <f t="shared" si="89"/>
        <v>801</v>
      </c>
      <c r="L530">
        <v>15.12</v>
      </c>
    </row>
    <row r="531" spans="1:12" x14ac:dyDescent="0.25">
      <c r="A531" t="str">
        <f t="shared" si="86"/>
        <v>89301000</v>
      </c>
      <c r="B531" t="str">
        <f t="shared" si="87"/>
        <v>87669000</v>
      </c>
      <c r="C531" t="str">
        <f t="shared" si="87"/>
        <v>87669000</v>
      </c>
      <c r="D531">
        <v>89301167</v>
      </c>
      <c r="E531" t="str">
        <f t="shared" si="88"/>
        <v>480710460</v>
      </c>
      <c r="F531" s="1">
        <v>44956</v>
      </c>
      <c r="G531" t="str">
        <f>"81593"</f>
        <v>81593</v>
      </c>
      <c r="H531">
        <v>1</v>
      </c>
      <c r="I531">
        <v>22</v>
      </c>
      <c r="J531">
        <v>0</v>
      </c>
      <c r="K531" t="str">
        <f t="shared" si="89"/>
        <v>801</v>
      </c>
      <c r="L531">
        <v>18.48</v>
      </c>
    </row>
    <row r="532" spans="1:12" x14ac:dyDescent="0.25">
      <c r="A532" t="str">
        <f t="shared" si="86"/>
        <v>89301000</v>
      </c>
      <c r="B532" t="str">
        <f t="shared" si="87"/>
        <v>87669000</v>
      </c>
      <c r="C532" t="str">
        <f t="shared" si="87"/>
        <v>87669000</v>
      </c>
      <c r="D532">
        <v>89301167</v>
      </c>
      <c r="E532" t="str">
        <f t="shared" si="88"/>
        <v>480710460</v>
      </c>
      <c r="F532" s="1">
        <v>44956</v>
      </c>
      <c r="G532" t="str">
        <f>"81621"</f>
        <v>81621</v>
      </c>
      <c r="H532">
        <v>1</v>
      </c>
      <c r="I532">
        <v>19</v>
      </c>
      <c r="J532">
        <v>0</v>
      </c>
      <c r="K532" t="str">
        <f t="shared" si="89"/>
        <v>801</v>
      </c>
      <c r="L532">
        <v>15.96</v>
      </c>
    </row>
    <row r="533" spans="1:12" x14ac:dyDescent="0.25">
      <c r="A533" t="str">
        <f t="shared" si="86"/>
        <v>89301000</v>
      </c>
      <c r="B533" t="str">
        <f t="shared" si="87"/>
        <v>87669000</v>
      </c>
      <c r="C533" t="str">
        <f t="shared" si="87"/>
        <v>87669000</v>
      </c>
      <c r="D533">
        <v>89301167</v>
      </c>
      <c r="E533" t="str">
        <f t="shared" si="88"/>
        <v>480710460</v>
      </c>
      <c r="F533" s="1">
        <v>44956</v>
      </c>
      <c r="G533" t="str">
        <f>"81625"</f>
        <v>81625</v>
      </c>
      <c r="H533">
        <v>1</v>
      </c>
      <c r="I533">
        <v>21</v>
      </c>
      <c r="J533">
        <v>0</v>
      </c>
      <c r="K533" t="str">
        <f t="shared" si="89"/>
        <v>801</v>
      </c>
      <c r="L533">
        <v>17.64</v>
      </c>
    </row>
    <row r="534" spans="1:12" x14ac:dyDescent="0.25">
      <c r="A534" t="str">
        <f t="shared" si="86"/>
        <v>89301000</v>
      </c>
      <c r="B534" t="str">
        <f t="shared" si="87"/>
        <v>87669000</v>
      </c>
      <c r="C534" t="str">
        <f t="shared" si="87"/>
        <v>87669000</v>
      </c>
      <c r="D534">
        <v>89301167</v>
      </c>
      <c r="E534" t="str">
        <f t="shared" si="88"/>
        <v>480710460</v>
      </c>
      <c r="F534" s="1">
        <v>44956</v>
      </c>
      <c r="G534" t="str">
        <f>"91153"</f>
        <v>91153</v>
      </c>
      <c r="H534">
        <v>1</v>
      </c>
      <c r="I534">
        <v>153</v>
      </c>
      <c r="J534">
        <v>0</v>
      </c>
      <c r="K534" t="str">
        <f t="shared" si="89"/>
        <v>801</v>
      </c>
      <c r="L534">
        <v>128.52000000000001</v>
      </c>
    </row>
    <row r="535" spans="1:12" x14ac:dyDescent="0.25">
      <c r="A535" t="str">
        <f t="shared" si="86"/>
        <v>89301000</v>
      </c>
      <c r="B535" t="str">
        <f t="shared" si="87"/>
        <v>87669000</v>
      </c>
      <c r="C535" t="str">
        <f t="shared" si="87"/>
        <v>87669000</v>
      </c>
      <c r="D535">
        <v>89301167</v>
      </c>
      <c r="E535" t="str">
        <f t="shared" si="88"/>
        <v>480710460</v>
      </c>
      <c r="F535" s="1">
        <v>44956</v>
      </c>
      <c r="G535" t="str">
        <f>"93189"</f>
        <v>93189</v>
      </c>
      <c r="H535">
        <v>1</v>
      </c>
      <c r="I535">
        <v>191</v>
      </c>
      <c r="J535">
        <v>0</v>
      </c>
      <c r="K535" t="str">
        <f t="shared" si="89"/>
        <v>801</v>
      </c>
      <c r="L535">
        <v>160.44</v>
      </c>
    </row>
    <row r="536" spans="1:12" x14ac:dyDescent="0.25">
      <c r="A536" t="str">
        <f t="shared" si="86"/>
        <v>89301000</v>
      </c>
      <c r="B536" t="str">
        <f t="shared" si="87"/>
        <v>87669000</v>
      </c>
      <c r="C536" t="str">
        <f t="shared" si="87"/>
        <v>87669000</v>
      </c>
      <c r="D536">
        <v>89301167</v>
      </c>
      <c r="E536" t="str">
        <f t="shared" si="88"/>
        <v>480710460</v>
      </c>
      <c r="F536" s="1">
        <v>44956</v>
      </c>
      <c r="G536" t="str">
        <f>"93195"</f>
        <v>93195</v>
      </c>
      <c r="H536">
        <v>1</v>
      </c>
      <c r="I536">
        <v>183</v>
      </c>
      <c r="J536">
        <v>0</v>
      </c>
      <c r="K536" t="str">
        <f t="shared" si="89"/>
        <v>801</v>
      </c>
      <c r="L536">
        <v>153.72</v>
      </c>
    </row>
    <row r="537" spans="1:12" x14ac:dyDescent="0.25">
      <c r="A537" t="str">
        <f t="shared" si="86"/>
        <v>89301000</v>
      </c>
      <c r="B537" t="str">
        <f t="shared" si="87"/>
        <v>87669000</v>
      </c>
      <c r="C537" t="str">
        <f t="shared" si="87"/>
        <v>87669000</v>
      </c>
      <c r="D537">
        <v>89301167</v>
      </c>
      <c r="E537" t="str">
        <f t="shared" si="88"/>
        <v>480710460</v>
      </c>
      <c r="F537" s="1">
        <v>44956</v>
      </c>
      <c r="G537" t="str">
        <f>"96167"</f>
        <v>96167</v>
      </c>
      <c r="H537">
        <v>1</v>
      </c>
      <c r="I537">
        <v>67</v>
      </c>
      <c r="J537">
        <v>0</v>
      </c>
      <c r="K537" t="str">
        <f t="shared" si="89"/>
        <v>801</v>
      </c>
      <c r="L537">
        <v>56.28</v>
      </c>
    </row>
    <row r="538" spans="1:12" x14ac:dyDescent="0.25">
      <c r="A538" t="str">
        <f t="shared" si="86"/>
        <v>89301000</v>
      </c>
      <c r="B538" t="str">
        <f t="shared" si="87"/>
        <v>87669000</v>
      </c>
      <c r="C538" t="str">
        <f t="shared" si="87"/>
        <v>87669000</v>
      </c>
      <c r="D538">
        <v>89301167</v>
      </c>
      <c r="E538" t="str">
        <f t="shared" si="88"/>
        <v>480710460</v>
      </c>
      <c r="F538" s="1">
        <v>44956</v>
      </c>
      <c r="G538" t="str">
        <f>"97111"</f>
        <v>97111</v>
      </c>
      <c r="H538">
        <v>1</v>
      </c>
      <c r="I538">
        <v>19</v>
      </c>
      <c r="J538">
        <v>0</v>
      </c>
      <c r="K538" t="str">
        <f t="shared" si="89"/>
        <v>801</v>
      </c>
      <c r="L538">
        <v>23.94</v>
      </c>
    </row>
    <row r="539" spans="1:12" x14ac:dyDescent="0.25">
      <c r="A539" t="str">
        <f t="shared" si="86"/>
        <v>89301000</v>
      </c>
      <c r="B539" t="str">
        <f t="shared" ref="B539:B548" si="90">"06515000"</f>
        <v>06515000</v>
      </c>
      <c r="C539" t="str">
        <f t="shared" ref="C539:C548" si="91">"06515006"</f>
        <v>06515006</v>
      </c>
      <c r="D539">
        <v>89301163</v>
      </c>
      <c r="E539" t="str">
        <f t="shared" ref="E539:E548" si="92">"5851030130"</f>
        <v>5851030130</v>
      </c>
      <c r="F539" s="1">
        <v>44943</v>
      </c>
      <c r="G539" t="str">
        <f t="shared" ref="G539:G548" si="93">"91221"</f>
        <v>91221</v>
      </c>
      <c r="H539">
        <v>1</v>
      </c>
      <c r="I539">
        <v>212</v>
      </c>
      <c r="J539">
        <v>0</v>
      </c>
      <c r="K539" t="str">
        <f t="shared" ref="K539:K548" si="94">"813"</f>
        <v>813</v>
      </c>
      <c r="L539">
        <v>178.08</v>
      </c>
    </row>
    <row r="540" spans="1:12" x14ac:dyDescent="0.25">
      <c r="A540" t="str">
        <f t="shared" si="86"/>
        <v>89301000</v>
      </c>
      <c r="B540" t="str">
        <f t="shared" si="90"/>
        <v>06515000</v>
      </c>
      <c r="C540" t="str">
        <f t="shared" si="91"/>
        <v>06515006</v>
      </c>
      <c r="D540">
        <v>89301163</v>
      </c>
      <c r="E540" t="str">
        <f t="shared" si="92"/>
        <v>5851030130</v>
      </c>
      <c r="F540" s="1">
        <v>44943</v>
      </c>
      <c r="G540" t="str">
        <f t="shared" si="93"/>
        <v>91221</v>
      </c>
      <c r="H540">
        <v>1</v>
      </c>
      <c r="I540">
        <v>212</v>
      </c>
      <c r="J540">
        <v>0</v>
      </c>
      <c r="K540" t="str">
        <f t="shared" si="94"/>
        <v>813</v>
      </c>
      <c r="L540">
        <v>178.08</v>
      </c>
    </row>
    <row r="541" spans="1:12" x14ac:dyDescent="0.25">
      <c r="A541" t="str">
        <f t="shared" si="86"/>
        <v>89301000</v>
      </c>
      <c r="B541" t="str">
        <f t="shared" si="90"/>
        <v>06515000</v>
      </c>
      <c r="C541" t="str">
        <f t="shared" si="91"/>
        <v>06515006</v>
      </c>
      <c r="D541">
        <v>89301163</v>
      </c>
      <c r="E541" t="str">
        <f t="shared" si="92"/>
        <v>5851030130</v>
      </c>
      <c r="F541" s="1">
        <v>44943</v>
      </c>
      <c r="G541" t="str">
        <f t="shared" si="93"/>
        <v>91221</v>
      </c>
      <c r="H541">
        <v>1</v>
      </c>
      <c r="I541">
        <v>212</v>
      </c>
      <c r="J541">
        <v>0</v>
      </c>
      <c r="K541" t="str">
        <f t="shared" si="94"/>
        <v>813</v>
      </c>
      <c r="L541">
        <v>178.08</v>
      </c>
    </row>
    <row r="542" spans="1:12" x14ac:dyDescent="0.25">
      <c r="A542" t="str">
        <f t="shared" si="86"/>
        <v>89301000</v>
      </c>
      <c r="B542" t="str">
        <f t="shared" si="90"/>
        <v>06515000</v>
      </c>
      <c r="C542" t="str">
        <f t="shared" si="91"/>
        <v>06515006</v>
      </c>
      <c r="D542">
        <v>89301163</v>
      </c>
      <c r="E542" t="str">
        <f t="shared" si="92"/>
        <v>5851030130</v>
      </c>
      <c r="F542" s="1">
        <v>44943</v>
      </c>
      <c r="G542" t="str">
        <f t="shared" si="93"/>
        <v>91221</v>
      </c>
      <c r="H542">
        <v>1</v>
      </c>
      <c r="I542">
        <v>212</v>
      </c>
      <c r="J542">
        <v>0</v>
      </c>
      <c r="K542" t="str">
        <f t="shared" si="94"/>
        <v>813</v>
      </c>
      <c r="L542">
        <v>178.08</v>
      </c>
    </row>
    <row r="543" spans="1:12" x14ac:dyDescent="0.25">
      <c r="A543" t="str">
        <f t="shared" si="86"/>
        <v>89301000</v>
      </c>
      <c r="B543" t="str">
        <f t="shared" si="90"/>
        <v>06515000</v>
      </c>
      <c r="C543" t="str">
        <f t="shared" si="91"/>
        <v>06515006</v>
      </c>
      <c r="D543">
        <v>89301163</v>
      </c>
      <c r="E543" t="str">
        <f t="shared" si="92"/>
        <v>5851030130</v>
      </c>
      <c r="F543" s="1">
        <v>44943</v>
      </c>
      <c r="G543" t="str">
        <f t="shared" si="93"/>
        <v>91221</v>
      </c>
      <c r="H543">
        <v>1</v>
      </c>
      <c r="I543">
        <v>212</v>
      </c>
      <c r="J543">
        <v>0</v>
      </c>
      <c r="K543" t="str">
        <f t="shared" si="94"/>
        <v>813</v>
      </c>
      <c r="L543">
        <v>178.08</v>
      </c>
    </row>
    <row r="544" spans="1:12" x14ac:dyDescent="0.25">
      <c r="A544" t="str">
        <f t="shared" si="86"/>
        <v>89301000</v>
      </c>
      <c r="B544" t="str">
        <f t="shared" si="90"/>
        <v>06515000</v>
      </c>
      <c r="C544" t="str">
        <f t="shared" si="91"/>
        <v>06515006</v>
      </c>
      <c r="D544">
        <v>89301163</v>
      </c>
      <c r="E544" t="str">
        <f t="shared" si="92"/>
        <v>5851030130</v>
      </c>
      <c r="F544" s="1">
        <v>44943</v>
      </c>
      <c r="G544" t="str">
        <f t="shared" si="93"/>
        <v>91221</v>
      </c>
      <c r="H544">
        <v>1</v>
      </c>
      <c r="I544">
        <v>212</v>
      </c>
      <c r="J544">
        <v>0</v>
      </c>
      <c r="K544" t="str">
        <f t="shared" si="94"/>
        <v>813</v>
      </c>
      <c r="L544">
        <v>178.08</v>
      </c>
    </row>
    <row r="545" spans="1:12" x14ac:dyDescent="0.25">
      <c r="A545" t="str">
        <f t="shared" si="86"/>
        <v>89301000</v>
      </c>
      <c r="B545" t="str">
        <f t="shared" si="90"/>
        <v>06515000</v>
      </c>
      <c r="C545" t="str">
        <f t="shared" si="91"/>
        <v>06515006</v>
      </c>
      <c r="D545">
        <v>89301163</v>
      </c>
      <c r="E545" t="str">
        <f t="shared" si="92"/>
        <v>5851030130</v>
      </c>
      <c r="F545" s="1">
        <v>44943</v>
      </c>
      <c r="G545" t="str">
        <f t="shared" si="93"/>
        <v>91221</v>
      </c>
      <c r="H545">
        <v>1</v>
      </c>
      <c r="I545">
        <v>212</v>
      </c>
      <c r="J545">
        <v>0</v>
      </c>
      <c r="K545" t="str">
        <f t="shared" si="94"/>
        <v>813</v>
      </c>
      <c r="L545">
        <v>178.08</v>
      </c>
    </row>
    <row r="546" spans="1:12" x14ac:dyDescent="0.25">
      <c r="A546" t="str">
        <f t="shared" si="86"/>
        <v>89301000</v>
      </c>
      <c r="B546" t="str">
        <f t="shared" si="90"/>
        <v>06515000</v>
      </c>
      <c r="C546" t="str">
        <f t="shared" si="91"/>
        <v>06515006</v>
      </c>
      <c r="D546">
        <v>89301163</v>
      </c>
      <c r="E546" t="str">
        <f t="shared" si="92"/>
        <v>5851030130</v>
      </c>
      <c r="F546" s="1">
        <v>44943</v>
      </c>
      <c r="G546" t="str">
        <f t="shared" si="93"/>
        <v>91221</v>
      </c>
      <c r="H546">
        <v>1</v>
      </c>
      <c r="I546">
        <v>212</v>
      </c>
      <c r="J546">
        <v>0</v>
      </c>
      <c r="K546" t="str">
        <f t="shared" si="94"/>
        <v>813</v>
      </c>
      <c r="L546">
        <v>178.08</v>
      </c>
    </row>
    <row r="547" spans="1:12" x14ac:dyDescent="0.25">
      <c r="A547" t="str">
        <f t="shared" si="86"/>
        <v>89301000</v>
      </c>
      <c r="B547" t="str">
        <f t="shared" si="90"/>
        <v>06515000</v>
      </c>
      <c r="C547" t="str">
        <f t="shared" si="91"/>
        <v>06515006</v>
      </c>
      <c r="D547">
        <v>89301163</v>
      </c>
      <c r="E547" t="str">
        <f t="shared" si="92"/>
        <v>5851030130</v>
      </c>
      <c r="F547" s="1">
        <v>44943</v>
      </c>
      <c r="G547" t="str">
        <f t="shared" si="93"/>
        <v>91221</v>
      </c>
      <c r="H547">
        <v>1</v>
      </c>
      <c r="I547">
        <v>212</v>
      </c>
      <c r="J547">
        <v>0</v>
      </c>
      <c r="K547" t="str">
        <f t="shared" si="94"/>
        <v>813</v>
      </c>
      <c r="L547">
        <v>178.08</v>
      </c>
    </row>
    <row r="548" spans="1:12" x14ac:dyDescent="0.25">
      <c r="A548" t="str">
        <f t="shared" si="86"/>
        <v>89301000</v>
      </c>
      <c r="B548" t="str">
        <f t="shared" si="90"/>
        <v>06515000</v>
      </c>
      <c r="C548" t="str">
        <f t="shared" si="91"/>
        <v>06515006</v>
      </c>
      <c r="D548">
        <v>89301163</v>
      </c>
      <c r="E548" t="str">
        <f t="shared" si="92"/>
        <v>5851030130</v>
      </c>
      <c r="F548" s="1">
        <v>44943</v>
      </c>
      <c r="G548" t="str">
        <f t="shared" si="93"/>
        <v>91221</v>
      </c>
      <c r="H548">
        <v>1</v>
      </c>
      <c r="I548">
        <v>212</v>
      </c>
      <c r="J548">
        <v>0</v>
      </c>
      <c r="K548" t="str">
        <f t="shared" si="94"/>
        <v>813</v>
      </c>
      <c r="L548">
        <v>178.08</v>
      </c>
    </row>
    <row r="549" spans="1:12" x14ac:dyDescent="0.25">
      <c r="A549" t="str">
        <f t="shared" si="86"/>
        <v>89301000</v>
      </c>
      <c r="B549" t="str">
        <f>"91997900"</f>
        <v>91997900</v>
      </c>
      <c r="C549" t="str">
        <f>"91997901"</f>
        <v>91997901</v>
      </c>
      <c r="D549">
        <v>89301167</v>
      </c>
      <c r="E549" t="str">
        <f>"480710460"</f>
        <v>480710460</v>
      </c>
      <c r="F549" s="1">
        <v>44956</v>
      </c>
      <c r="G549" t="str">
        <f>"81249"</f>
        <v>81249</v>
      </c>
      <c r="H549">
        <v>1</v>
      </c>
      <c r="I549">
        <v>334</v>
      </c>
      <c r="J549">
        <v>0</v>
      </c>
      <c r="K549" t="str">
        <f>"801"</f>
        <v>801</v>
      </c>
      <c r="L549">
        <v>280.56</v>
      </c>
    </row>
    <row r="550" spans="1:12" x14ac:dyDescent="0.25">
      <c r="A550" t="str">
        <f t="shared" si="86"/>
        <v>89301000</v>
      </c>
      <c r="B550" t="str">
        <f>"91997900"</f>
        <v>91997900</v>
      </c>
      <c r="C550" t="str">
        <f>"91997901"</f>
        <v>91997901</v>
      </c>
      <c r="D550">
        <v>89301167</v>
      </c>
      <c r="E550" t="str">
        <f>"480710460"</f>
        <v>480710460</v>
      </c>
      <c r="F550" s="1">
        <v>44956</v>
      </c>
      <c r="G550" t="str">
        <f>"81383"</f>
        <v>81383</v>
      </c>
      <c r="H550">
        <v>1</v>
      </c>
      <c r="I550">
        <v>24</v>
      </c>
      <c r="J550">
        <v>0</v>
      </c>
      <c r="K550" t="str">
        <f>"801"</f>
        <v>801</v>
      </c>
      <c r="L550">
        <v>20.16</v>
      </c>
    </row>
    <row r="551" spans="1:12" x14ac:dyDescent="0.25">
      <c r="A551" t="str">
        <f t="shared" si="86"/>
        <v>89301000</v>
      </c>
      <c r="B551" t="str">
        <f>"91997900"</f>
        <v>91997900</v>
      </c>
      <c r="C551" t="str">
        <f>"91997901"</f>
        <v>91997901</v>
      </c>
      <c r="D551">
        <v>89301167</v>
      </c>
      <c r="E551" t="str">
        <f>"480710460"</f>
        <v>480710460</v>
      </c>
      <c r="F551" s="1">
        <v>44956</v>
      </c>
      <c r="G551" t="str">
        <f>"93245"</f>
        <v>93245</v>
      </c>
      <c r="H551">
        <v>1</v>
      </c>
      <c r="I551">
        <v>191</v>
      </c>
      <c r="J551">
        <v>0</v>
      </c>
      <c r="K551" t="str">
        <f>"801"</f>
        <v>801</v>
      </c>
      <c r="L551">
        <v>160.44</v>
      </c>
    </row>
    <row r="552" spans="1:12" x14ac:dyDescent="0.25">
      <c r="A552" t="str">
        <f t="shared" si="86"/>
        <v>89301000</v>
      </c>
      <c r="B552" t="str">
        <f>"02384000"</f>
        <v>02384000</v>
      </c>
      <c r="C552" t="str">
        <f>"02384007"</f>
        <v>02384007</v>
      </c>
      <c r="D552">
        <v>89301037</v>
      </c>
      <c r="E552" t="str">
        <f>"6760160693"</f>
        <v>6760160693</v>
      </c>
      <c r="F552" s="1">
        <v>44945</v>
      </c>
      <c r="G552" t="str">
        <f>"89312"</f>
        <v>89312</v>
      </c>
      <c r="H552">
        <v>1</v>
      </c>
      <c r="I552">
        <v>312</v>
      </c>
      <c r="J552">
        <v>0</v>
      </c>
      <c r="K552" t="str">
        <f>"809"</f>
        <v>809</v>
      </c>
      <c r="L552">
        <v>340.08</v>
      </c>
    </row>
    <row r="553" spans="1:12" x14ac:dyDescent="0.25">
      <c r="A553" t="str">
        <f t="shared" si="86"/>
        <v>89301000</v>
      </c>
      <c r="B553" t="str">
        <f>"02384000"</f>
        <v>02384000</v>
      </c>
      <c r="C553" t="str">
        <f>"02384007"</f>
        <v>02384007</v>
      </c>
      <c r="D553">
        <v>89301037</v>
      </c>
      <c r="E553" t="str">
        <f>"6760160693"</f>
        <v>6760160693</v>
      </c>
      <c r="F553" s="1">
        <v>44945</v>
      </c>
      <c r="G553" t="str">
        <f>"89312"</f>
        <v>89312</v>
      </c>
      <c r="H553">
        <v>2</v>
      </c>
      <c r="I553">
        <v>624</v>
      </c>
      <c r="J553">
        <v>0</v>
      </c>
      <c r="K553" t="str">
        <f>"809"</f>
        <v>809</v>
      </c>
      <c r="L553">
        <v>680.16</v>
      </c>
    </row>
    <row r="554" spans="1:12" x14ac:dyDescent="0.25">
      <c r="A554" t="str">
        <f t="shared" si="86"/>
        <v>89301000</v>
      </c>
      <c r="B554" t="str">
        <f>"02384000"</f>
        <v>02384000</v>
      </c>
      <c r="C554" t="str">
        <f>"02384007"</f>
        <v>02384007</v>
      </c>
      <c r="D554">
        <v>89301212</v>
      </c>
      <c r="E554" t="str">
        <f>"8057285335"</f>
        <v>8057285335</v>
      </c>
      <c r="F554" s="1">
        <v>44945</v>
      </c>
      <c r="G554" t="str">
        <f>"89513"</f>
        <v>89513</v>
      </c>
      <c r="H554">
        <v>1</v>
      </c>
      <c r="I554">
        <v>378</v>
      </c>
      <c r="J554">
        <v>0</v>
      </c>
      <c r="K554" t="str">
        <f>"809"</f>
        <v>809</v>
      </c>
      <c r="L554">
        <v>555.66</v>
      </c>
    </row>
    <row r="555" spans="1:12" x14ac:dyDescent="0.25">
      <c r="A555" t="str">
        <f t="shared" si="86"/>
        <v>89301000</v>
      </c>
      <c r="B555" t="str">
        <f>"02384000"</f>
        <v>02384000</v>
      </c>
      <c r="C555" t="str">
        <f>"02384007"</f>
        <v>02384007</v>
      </c>
      <c r="D555">
        <v>89301212</v>
      </c>
      <c r="E555" t="str">
        <f>"8057285335"</f>
        <v>8057285335</v>
      </c>
      <c r="F555" s="1">
        <v>44945</v>
      </c>
      <c r="G555" t="str">
        <f>"89514"</f>
        <v>89514</v>
      </c>
      <c r="H555">
        <v>1</v>
      </c>
      <c r="I555">
        <v>378</v>
      </c>
      <c r="J555">
        <v>0</v>
      </c>
      <c r="K555" t="str">
        <f>"809"</f>
        <v>809</v>
      </c>
      <c r="L555">
        <v>555.66</v>
      </c>
    </row>
    <row r="556" spans="1:12" x14ac:dyDescent="0.25">
      <c r="A556" t="str">
        <f t="shared" si="86"/>
        <v>89301000</v>
      </c>
      <c r="B556" t="str">
        <f>"92401000"</f>
        <v>92401000</v>
      </c>
      <c r="C556" t="str">
        <f>"92401001"</f>
        <v>92401001</v>
      </c>
      <c r="D556">
        <v>89301212</v>
      </c>
      <c r="E556" t="str">
        <f>"7754600535"</f>
        <v>7754600535</v>
      </c>
      <c r="F556" s="1">
        <v>44957</v>
      </c>
      <c r="G556" t="str">
        <f>"09111"</f>
        <v>09111</v>
      </c>
      <c r="H556">
        <v>1</v>
      </c>
      <c r="I556">
        <v>36</v>
      </c>
      <c r="J556">
        <v>0</v>
      </c>
      <c r="K556" t="str">
        <f>"818"</f>
        <v>818</v>
      </c>
      <c r="L556">
        <v>45.36</v>
      </c>
    </row>
    <row r="557" spans="1:12" x14ac:dyDescent="0.25">
      <c r="A557" t="str">
        <f t="shared" si="86"/>
        <v>89301000</v>
      </c>
      <c r="B557" t="str">
        <f>"92401000"</f>
        <v>92401000</v>
      </c>
      <c r="C557" t="str">
        <f>"92401001"</f>
        <v>92401001</v>
      </c>
      <c r="D557">
        <v>89301212</v>
      </c>
      <c r="E557" t="str">
        <f>"7754600535"</f>
        <v>7754600535</v>
      </c>
      <c r="F557" s="1">
        <v>44957</v>
      </c>
      <c r="G557" t="str">
        <f>"96163"</f>
        <v>96163</v>
      </c>
      <c r="H557">
        <v>1</v>
      </c>
      <c r="I557">
        <v>28</v>
      </c>
      <c r="J557">
        <v>0</v>
      </c>
      <c r="K557" t="str">
        <f>"818"</f>
        <v>818</v>
      </c>
      <c r="L557">
        <v>27.16</v>
      </c>
    </row>
    <row r="558" spans="1:12" x14ac:dyDescent="0.25">
      <c r="A558" t="str">
        <f t="shared" si="86"/>
        <v>89301000</v>
      </c>
      <c r="B558" t="str">
        <f>"92401000"</f>
        <v>92401000</v>
      </c>
      <c r="C558" t="str">
        <f>"92401001"</f>
        <v>92401001</v>
      </c>
      <c r="D558">
        <v>89301212</v>
      </c>
      <c r="E558" t="str">
        <f>"7754600535"</f>
        <v>7754600535</v>
      </c>
      <c r="F558" s="1">
        <v>44957</v>
      </c>
      <c r="G558" t="str">
        <f>"96167"</f>
        <v>96167</v>
      </c>
      <c r="H558">
        <v>1</v>
      </c>
      <c r="I558">
        <v>67</v>
      </c>
      <c r="J558">
        <v>0</v>
      </c>
      <c r="K558" t="str">
        <f>"818"</f>
        <v>818</v>
      </c>
      <c r="L558">
        <v>64.989999999999995</v>
      </c>
    </row>
    <row r="559" spans="1:12" x14ac:dyDescent="0.25">
      <c r="A559" t="str">
        <f t="shared" si="86"/>
        <v>89301000</v>
      </c>
      <c r="B559" t="str">
        <f t="shared" ref="B559:B590" si="95">"89383000"</f>
        <v>89383000</v>
      </c>
      <c r="C559" t="str">
        <f t="shared" ref="C559:C590" si="96">"89383002"</f>
        <v>89383002</v>
      </c>
      <c r="D559">
        <v>89301212</v>
      </c>
      <c r="E559" t="str">
        <f>"505620157"</f>
        <v>505620157</v>
      </c>
      <c r="F559" s="1">
        <v>44929</v>
      </c>
      <c r="G559" t="str">
        <f>"89512"</f>
        <v>89512</v>
      </c>
      <c r="H559">
        <v>1</v>
      </c>
      <c r="I559">
        <v>283</v>
      </c>
      <c r="J559">
        <v>0</v>
      </c>
      <c r="K559" t="str">
        <f t="shared" ref="K559:K590" si="97">"809"</f>
        <v>809</v>
      </c>
      <c r="L559">
        <v>416.01</v>
      </c>
    </row>
    <row r="560" spans="1:12" x14ac:dyDescent="0.25">
      <c r="A560" t="str">
        <f t="shared" si="86"/>
        <v>89301000</v>
      </c>
      <c r="B560" t="str">
        <f t="shared" si="95"/>
        <v>89383000</v>
      </c>
      <c r="C560" t="str">
        <f t="shared" si="96"/>
        <v>89383002</v>
      </c>
      <c r="D560">
        <v>89301212</v>
      </c>
      <c r="E560" t="str">
        <f>"505620157"</f>
        <v>505620157</v>
      </c>
      <c r="F560" s="1">
        <v>44929</v>
      </c>
      <c r="G560" t="str">
        <f>"89513"</f>
        <v>89513</v>
      </c>
      <c r="H560">
        <v>1</v>
      </c>
      <c r="I560">
        <v>378</v>
      </c>
      <c r="J560">
        <v>0</v>
      </c>
      <c r="K560" t="str">
        <f t="shared" si="97"/>
        <v>809</v>
      </c>
      <c r="L560">
        <v>555.66</v>
      </c>
    </row>
    <row r="561" spans="1:12" x14ac:dyDescent="0.25">
      <c r="A561" t="str">
        <f t="shared" si="86"/>
        <v>89301000</v>
      </c>
      <c r="B561" t="str">
        <f t="shared" si="95"/>
        <v>89383000</v>
      </c>
      <c r="C561" t="str">
        <f t="shared" si="96"/>
        <v>89383002</v>
      </c>
      <c r="D561">
        <v>89301212</v>
      </c>
      <c r="E561" t="str">
        <f>"505620157"</f>
        <v>505620157</v>
      </c>
      <c r="F561" s="1">
        <v>44929</v>
      </c>
      <c r="G561" t="str">
        <f>"89514"</f>
        <v>89514</v>
      </c>
      <c r="H561">
        <v>1</v>
      </c>
      <c r="I561">
        <v>378</v>
      </c>
      <c r="J561">
        <v>0</v>
      </c>
      <c r="K561" t="str">
        <f t="shared" si="97"/>
        <v>809</v>
      </c>
      <c r="L561">
        <v>555.66</v>
      </c>
    </row>
    <row r="562" spans="1:12" x14ac:dyDescent="0.25">
      <c r="A562" t="str">
        <f t="shared" si="86"/>
        <v>89301000</v>
      </c>
      <c r="B562" t="str">
        <f t="shared" si="95"/>
        <v>89383000</v>
      </c>
      <c r="C562" t="str">
        <f t="shared" si="96"/>
        <v>89383002</v>
      </c>
      <c r="D562">
        <v>89301212</v>
      </c>
      <c r="E562" t="str">
        <f>"5456092114"</f>
        <v>5456092114</v>
      </c>
      <c r="F562" s="1">
        <v>44929</v>
      </c>
      <c r="G562" t="str">
        <f>"89512"</f>
        <v>89512</v>
      </c>
      <c r="H562">
        <v>1</v>
      </c>
      <c r="I562">
        <v>283</v>
      </c>
      <c r="J562">
        <v>0</v>
      </c>
      <c r="K562" t="str">
        <f t="shared" si="97"/>
        <v>809</v>
      </c>
      <c r="L562">
        <v>416.01</v>
      </c>
    </row>
    <row r="563" spans="1:12" x14ac:dyDescent="0.25">
      <c r="A563" t="str">
        <f t="shared" si="86"/>
        <v>89301000</v>
      </c>
      <c r="B563" t="str">
        <f t="shared" si="95"/>
        <v>89383000</v>
      </c>
      <c r="C563" t="str">
        <f t="shared" si="96"/>
        <v>89383002</v>
      </c>
      <c r="D563">
        <v>89301212</v>
      </c>
      <c r="E563" t="str">
        <f>"5456092114"</f>
        <v>5456092114</v>
      </c>
      <c r="F563" s="1">
        <v>44929</v>
      </c>
      <c r="G563" t="str">
        <f>"89180"</f>
        <v>89180</v>
      </c>
      <c r="H563">
        <v>2</v>
      </c>
      <c r="I563">
        <v>762</v>
      </c>
      <c r="J563">
        <v>0</v>
      </c>
      <c r="K563" t="str">
        <f t="shared" si="97"/>
        <v>809</v>
      </c>
      <c r="L563">
        <v>1120.1400000000001</v>
      </c>
    </row>
    <row r="564" spans="1:12" x14ac:dyDescent="0.25">
      <c r="A564" t="str">
        <f t="shared" si="86"/>
        <v>89301000</v>
      </c>
      <c r="B564" t="str">
        <f t="shared" si="95"/>
        <v>89383000</v>
      </c>
      <c r="C564" t="str">
        <f t="shared" si="96"/>
        <v>89383002</v>
      </c>
      <c r="D564">
        <v>89301212</v>
      </c>
      <c r="E564" t="str">
        <f>"415530422"</f>
        <v>415530422</v>
      </c>
      <c r="F564" s="1">
        <v>44929</v>
      </c>
      <c r="G564" t="str">
        <f>"89512"</f>
        <v>89512</v>
      </c>
      <c r="H564">
        <v>1</v>
      </c>
      <c r="I564">
        <v>283</v>
      </c>
      <c r="J564">
        <v>0</v>
      </c>
      <c r="K564" t="str">
        <f t="shared" si="97"/>
        <v>809</v>
      </c>
      <c r="L564">
        <v>416.01</v>
      </c>
    </row>
    <row r="565" spans="1:12" x14ac:dyDescent="0.25">
      <c r="A565" t="str">
        <f t="shared" si="86"/>
        <v>89301000</v>
      </c>
      <c r="B565" t="str">
        <f t="shared" si="95"/>
        <v>89383000</v>
      </c>
      <c r="C565" t="str">
        <f t="shared" si="96"/>
        <v>89383002</v>
      </c>
      <c r="D565">
        <v>89301212</v>
      </c>
      <c r="E565" t="str">
        <f>"5752151207"</f>
        <v>5752151207</v>
      </c>
      <c r="F565" s="1">
        <v>44929</v>
      </c>
      <c r="G565" t="str">
        <f>"89512"</f>
        <v>89512</v>
      </c>
      <c r="H565">
        <v>1</v>
      </c>
      <c r="I565">
        <v>283</v>
      </c>
      <c r="J565">
        <v>0</v>
      </c>
      <c r="K565" t="str">
        <f t="shared" si="97"/>
        <v>809</v>
      </c>
      <c r="L565">
        <v>416.01</v>
      </c>
    </row>
    <row r="566" spans="1:12" x14ac:dyDescent="0.25">
      <c r="A566" t="str">
        <f t="shared" si="86"/>
        <v>89301000</v>
      </c>
      <c r="B566" t="str">
        <f t="shared" si="95"/>
        <v>89383000</v>
      </c>
      <c r="C566" t="str">
        <f t="shared" si="96"/>
        <v>89383002</v>
      </c>
      <c r="D566">
        <v>89301212</v>
      </c>
      <c r="E566" t="str">
        <f>"5752151207"</f>
        <v>5752151207</v>
      </c>
      <c r="F566" s="1">
        <v>44929</v>
      </c>
      <c r="G566" t="str">
        <f>"89180"</f>
        <v>89180</v>
      </c>
      <c r="H566">
        <v>1</v>
      </c>
      <c r="I566">
        <v>381</v>
      </c>
      <c r="J566">
        <v>0</v>
      </c>
      <c r="K566" t="str">
        <f t="shared" si="97"/>
        <v>809</v>
      </c>
      <c r="L566">
        <v>560.07000000000005</v>
      </c>
    </row>
    <row r="567" spans="1:12" x14ac:dyDescent="0.25">
      <c r="A567" t="str">
        <f t="shared" si="86"/>
        <v>89301000</v>
      </c>
      <c r="B567" t="str">
        <f t="shared" si="95"/>
        <v>89383000</v>
      </c>
      <c r="C567" t="str">
        <f t="shared" si="96"/>
        <v>89383002</v>
      </c>
      <c r="D567">
        <v>89301212</v>
      </c>
      <c r="E567" t="str">
        <f>"5752151207"</f>
        <v>5752151207</v>
      </c>
      <c r="F567" s="1">
        <v>44929</v>
      </c>
      <c r="G567" t="str">
        <f>"89513"</f>
        <v>89513</v>
      </c>
      <c r="H567">
        <v>1</v>
      </c>
      <c r="I567">
        <v>378</v>
      </c>
      <c r="J567">
        <v>0</v>
      </c>
      <c r="K567" t="str">
        <f t="shared" si="97"/>
        <v>809</v>
      </c>
      <c r="L567">
        <v>555.66</v>
      </c>
    </row>
    <row r="568" spans="1:12" x14ac:dyDescent="0.25">
      <c r="A568" t="str">
        <f t="shared" si="86"/>
        <v>89301000</v>
      </c>
      <c r="B568" t="str">
        <f t="shared" si="95"/>
        <v>89383000</v>
      </c>
      <c r="C568" t="str">
        <f t="shared" si="96"/>
        <v>89383002</v>
      </c>
      <c r="D568">
        <v>89301212</v>
      </c>
      <c r="E568" t="str">
        <f>"5752151207"</f>
        <v>5752151207</v>
      </c>
      <c r="F568" s="1">
        <v>44929</v>
      </c>
      <c r="G568" t="str">
        <f>"89514"</f>
        <v>89514</v>
      </c>
      <c r="H568">
        <v>1</v>
      </c>
      <c r="I568">
        <v>378</v>
      </c>
      <c r="J568">
        <v>0</v>
      </c>
      <c r="K568" t="str">
        <f t="shared" si="97"/>
        <v>809</v>
      </c>
      <c r="L568">
        <v>555.66</v>
      </c>
    </row>
    <row r="569" spans="1:12" x14ac:dyDescent="0.25">
      <c r="A569" t="str">
        <f t="shared" si="86"/>
        <v>89301000</v>
      </c>
      <c r="B569" t="str">
        <f t="shared" si="95"/>
        <v>89383000</v>
      </c>
      <c r="C569" t="str">
        <f t="shared" si="96"/>
        <v>89383002</v>
      </c>
      <c r="D569">
        <v>89301212</v>
      </c>
      <c r="E569" t="str">
        <f>"6854110274"</f>
        <v>6854110274</v>
      </c>
      <c r="F569" s="1">
        <v>44931</v>
      </c>
      <c r="G569" t="str">
        <f>"89512"</f>
        <v>89512</v>
      </c>
      <c r="H569">
        <v>1</v>
      </c>
      <c r="I569">
        <v>283</v>
      </c>
      <c r="J569">
        <v>0</v>
      </c>
      <c r="K569" t="str">
        <f t="shared" si="97"/>
        <v>809</v>
      </c>
      <c r="L569">
        <v>416.01</v>
      </c>
    </row>
    <row r="570" spans="1:12" x14ac:dyDescent="0.25">
      <c r="A570" t="str">
        <f t="shared" si="86"/>
        <v>89301000</v>
      </c>
      <c r="B570" t="str">
        <f t="shared" si="95"/>
        <v>89383000</v>
      </c>
      <c r="C570" t="str">
        <f t="shared" si="96"/>
        <v>89383002</v>
      </c>
      <c r="D570">
        <v>89301212</v>
      </c>
      <c r="E570" t="str">
        <f>"7351235331"</f>
        <v>7351235331</v>
      </c>
      <c r="F570" s="1">
        <v>44932</v>
      </c>
      <c r="G570" t="str">
        <f>"89180"</f>
        <v>89180</v>
      </c>
      <c r="H570">
        <v>2</v>
      </c>
      <c r="I570">
        <v>762</v>
      </c>
      <c r="J570">
        <v>0</v>
      </c>
      <c r="K570" t="str">
        <f t="shared" si="97"/>
        <v>809</v>
      </c>
      <c r="L570">
        <v>1120.1400000000001</v>
      </c>
    </row>
    <row r="571" spans="1:12" x14ac:dyDescent="0.25">
      <c r="A571" t="str">
        <f t="shared" si="86"/>
        <v>89301000</v>
      </c>
      <c r="B571" t="str">
        <f t="shared" si="95"/>
        <v>89383000</v>
      </c>
      <c r="C571" t="str">
        <f t="shared" si="96"/>
        <v>89383002</v>
      </c>
      <c r="D571">
        <v>89301212</v>
      </c>
      <c r="E571" t="str">
        <f>"7351235331"</f>
        <v>7351235331</v>
      </c>
      <c r="F571" s="1">
        <v>44932</v>
      </c>
      <c r="G571" t="str">
        <f>"89512"</f>
        <v>89512</v>
      </c>
      <c r="H571">
        <v>1</v>
      </c>
      <c r="I571">
        <v>283</v>
      </c>
      <c r="J571">
        <v>0</v>
      </c>
      <c r="K571" t="str">
        <f t="shared" si="97"/>
        <v>809</v>
      </c>
      <c r="L571">
        <v>416.01</v>
      </c>
    </row>
    <row r="572" spans="1:12" x14ac:dyDescent="0.25">
      <c r="A572" t="str">
        <f t="shared" si="86"/>
        <v>89301000</v>
      </c>
      <c r="B572" t="str">
        <f t="shared" si="95"/>
        <v>89383000</v>
      </c>
      <c r="C572" t="str">
        <f t="shared" si="96"/>
        <v>89383002</v>
      </c>
      <c r="D572">
        <v>89301212</v>
      </c>
      <c r="E572" t="str">
        <f>"7653205406"</f>
        <v>7653205406</v>
      </c>
      <c r="F572" s="1">
        <v>44932</v>
      </c>
      <c r="G572" t="str">
        <f>"89513"</f>
        <v>89513</v>
      </c>
      <c r="H572">
        <v>1</v>
      </c>
      <c r="I572">
        <v>378</v>
      </c>
      <c r="J572">
        <v>0</v>
      </c>
      <c r="K572" t="str">
        <f t="shared" si="97"/>
        <v>809</v>
      </c>
      <c r="L572">
        <v>555.66</v>
      </c>
    </row>
    <row r="573" spans="1:12" x14ac:dyDescent="0.25">
      <c r="A573" t="str">
        <f t="shared" si="86"/>
        <v>89301000</v>
      </c>
      <c r="B573" t="str">
        <f t="shared" si="95"/>
        <v>89383000</v>
      </c>
      <c r="C573" t="str">
        <f t="shared" si="96"/>
        <v>89383002</v>
      </c>
      <c r="D573">
        <v>89301212</v>
      </c>
      <c r="E573" t="str">
        <f>"7653205406"</f>
        <v>7653205406</v>
      </c>
      <c r="F573" s="1">
        <v>44932</v>
      </c>
      <c r="G573" t="str">
        <f>"89514"</f>
        <v>89514</v>
      </c>
      <c r="H573">
        <v>1</v>
      </c>
      <c r="I573">
        <v>378</v>
      </c>
      <c r="J573">
        <v>0</v>
      </c>
      <c r="K573" t="str">
        <f t="shared" si="97"/>
        <v>809</v>
      </c>
      <c r="L573">
        <v>555.66</v>
      </c>
    </row>
    <row r="574" spans="1:12" x14ac:dyDescent="0.25">
      <c r="A574" t="str">
        <f t="shared" si="86"/>
        <v>89301000</v>
      </c>
      <c r="B574" t="str">
        <f t="shared" si="95"/>
        <v>89383000</v>
      </c>
      <c r="C574" t="str">
        <f t="shared" si="96"/>
        <v>89383002</v>
      </c>
      <c r="D574">
        <v>89301212</v>
      </c>
      <c r="E574" t="str">
        <f>"9251265705"</f>
        <v>9251265705</v>
      </c>
      <c r="F574" s="1">
        <v>44935</v>
      </c>
      <c r="G574" t="str">
        <f>"89513"</f>
        <v>89513</v>
      </c>
      <c r="H574">
        <v>1</v>
      </c>
      <c r="I574">
        <v>378</v>
      </c>
      <c r="J574">
        <v>0</v>
      </c>
      <c r="K574" t="str">
        <f t="shared" si="97"/>
        <v>809</v>
      </c>
      <c r="L574">
        <v>555.66</v>
      </c>
    </row>
    <row r="575" spans="1:12" x14ac:dyDescent="0.25">
      <c r="A575" t="str">
        <f t="shared" si="86"/>
        <v>89301000</v>
      </c>
      <c r="B575" t="str">
        <f t="shared" si="95"/>
        <v>89383000</v>
      </c>
      <c r="C575" t="str">
        <f t="shared" si="96"/>
        <v>89383002</v>
      </c>
      <c r="D575">
        <v>89301212</v>
      </c>
      <c r="E575" t="str">
        <f>"9251265705"</f>
        <v>9251265705</v>
      </c>
      <c r="F575" s="1">
        <v>44935</v>
      </c>
      <c r="G575" t="str">
        <f>"89514"</f>
        <v>89514</v>
      </c>
      <c r="H575">
        <v>1</v>
      </c>
      <c r="I575">
        <v>378</v>
      </c>
      <c r="J575">
        <v>0</v>
      </c>
      <c r="K575" t="str">
        <f t="shared" si="97"/>
        <v>809</v>
      </c>
      <c r="L575">
        <v>555.66</v>
      </c>
    </row>
    <row r="576" spans="1:12" x14ac:dyDescent="0.25">
      <c r="A576" t="str">
        <f t="shared" si="86"/>
        <v>89301000</v>
      </c>
      <c r="B576" t="str">
        <f t="shared" si="95"/>
        <v>89383000</v>
      </c>
      <c r="C576" t="str">
        <f t="shared" si="96"/>
        <v>89383002</v>
      </c>
      <c r="D576">
        <v>89301212</v>
      </c>
      <c r="E576" t="str">
        <f>"9251265705"</f>
        <v>9251265705</v>
      </c>
      <c r="F576" s="1">
        <v>44935</v>
      </c>
      <c r="G576" t="str">
        <f>"89512"</f>
        <v>89512</v>
      </c>
      <c r="H576">
        <v>1</v>
      </c>
      <c r="I576">
        <v>283</v>
      </c>
      <c r="J576">
        <v>0</v>
      </c>
      <c r="K576" t="str">
        <f t="shared" si="97"/>
        <v>809</v>
      </c>
      <c r="L576">
        <v>416.01</v>
      </c>
    </row>
    <row r="577" spans="1:12" x14ac:dyDescent="0.25">
      <c r="A577" t="str">
        <f t="shared" si="86"/>
        <v>89301000</v>
      </c>
      <c r="B577" t="str">
        <f t="shared" si="95"/>
        <v>89383000</v>
      </c>
      <c r="C577" t="str">
        <f t="shared" si="96"/>
        <v>89383002</v>
      </c>
      <c r="D577">
        <v>89301212</v>
      </c>
      <c r="E577" t="str">
        <f>"6553182108"</f>
        <v>6553182108</v>
      </c>
      <c r="F577" s="1">
        <v>44936</v>
      </c>
      <c r="G577" t="str">
        <f>"89180"</f>
        <v>89180</v>
      </c>
      <c r="H577">
        <v>2</v>
      </c>
      <c r="I577">
        <v>762</v>
      </c>
      <c r="J577">
        <v>0</v>
      </c>
      <c r="K577" t="str">
        <f t="shared" si="97"/>
        <v>809</v>
      </c>
      <c r="L577">
        <v>1120.1400000000001</v>
      </c>
    </row>
    <row r="578" spans="1:12" x14ac:dyDescent="0.25">
      <c r="A578" t="str">
        <f t="shared" ref="A578:A641" si="98">"89301000"</f>
        <v>89301000</v>
      </c>
      <c r="B578" t="str">
        <f t="shared" si="95"/>
        <v>89383000</v>
      </c>
      <c r="C578" t="str">
        <f t="shared" si="96"/>
        <v>89383002</v>
      </c>
      <c r="D578">
        <v>89301212</v>
      </c>
      <c r="E578" t="str">
        <f>"6553182108"</f>
        <v>6553182108</v>
      </c>
      <c r="F578" s="1">
        <v>44936</v>
      </c>
      <c r="G578" t="str">
        <f>"89512"</f>
        <v>89512</v>
      </c>
      <c r="H578">
        <v>1</v>
      </c>
      <c r="I578">
        <v>283</v>
      </c>
      <c r="J578">
        <v>0</v>
      </c>
      <c r="K578" t="str">
        <f t="shared" si="97"/>
        <v>809</v>
      </c>
      <c r="L578">
        <v>416.01</v>
      </c>
    </row>
    <row r="579" spans="1:12" x14ac:dyDescent="0.25">
      <c r="A579" t="str">
        <f t="shared" si="98"/>
        <v>89301000</v>
      </c>
      <c r="B579" t="str">
        <f t="shared" si="95"/>
        <v>89383000</v>
      </c>
      <c r="C579" t="str">
        <f t="shared" si="96"/>
        <v>89383002</v>
      </c>
      <c r="D579">
        <v>89301212</v>
      </c>
      <c r="E579" t="str">
        <f>"6553182108"</f>
        <v>6553182108</v>
      </c>
      <c r="F579" s="1">
        <v>44936</v>
      </c>
      <c r="G579" t="str">
        <f>"89513"</f>
        <v>89513</v>
      </c>
      <c r="H579">
        <v>1</v>
      </c>
      <c r="I579">
        <v>378</v>
      </c>
      <c r="J579">
        <v>0</v>
      </c>
      <c r="K579" t="str">
        <f t="shared" si="97"/>
        <v>809</v>
      </c>
      <c r="L579">
        <v>555.66</v>
      </c>
    </row>
    <row r="580" spans="1:12" x14ac:dyDescent="0.25">
      <c r="A580" t="str">
        <f t="shared" si="98"/>
        <v>89301000</v>
      </c>
      <c r="B580" t="str">
        <f t="shared" si="95"/>
        <v>89383000</v>
      </c>
      <c r="C580" t="str">
        <f t="shared" si="96"/>
        <v>89383002</v>
      </c>
      <c r="D580">
        <v>89301212</v>
      </c>
      <c r="E580" t="str">
        <f>"6553182108"</f>
        <v>6553182108</v>
      </c>
      <c r="F580" s="1">
        <v>44936</v>
      </c>
      <c r="G580" t="str">
        <f>"89514"</f>
        <v>89514</v>
      </c>
      <c r="H580">
        <v>1</v>
      </c>
      <c r="I580">
        <v>378</v>
      </c>
      <c r="J580">
        <v>0</v>
      </c>
      <c r="K580" t="str">
        <f t="shared" si="97"/>
        <v>809</v>
      </c>
      <c r="L580">
        <v>555.66</v>
      </c>
    </row>
    <row r="581" spans="1:12" x14ac:dyDescent="0.25">
      <c r="A581" t="str">
        <f t="shared" si="98"/>
        <v>89301000</v>
      </c>
      <c r="B581" t="str">
        <f t="shared" si="95"/>
        <v>89383000</v>
      </c>
      <c r="C581" t="str">
        <f t="shared" si="96"/>
        <v>89383002</v>
      </c>
      <c r="D581">
        <v>89301045</v>
      </c>
      <c r="E581" t="str">
        <f t="shared" ref="E581:E586" si="99">"9457314856"</f>
        <v>9457314856</v>
      </c>
      <c r="F581" s="1">
        <v>44929</v>
      </c>
      <c r="G581" t="str">
        <f>"89313"</f>
        <v>89313</v>
      </c>
      <c r="H581">
        <v>1</v>
      </c>
      <c r="I581">
        <v>420</v>
      </c>
      <c r="J581">
        <v>0</v>
      </c>
      <c r="K581" t="str">
        <f t="shared" si="97"/>
        <v>809</v>
      </c>
      <c r="L581">
        <v>617.4</v>
      </c>
    </row>
    <row r="582" spans="1:12" x14ac:dyDescent="0.25">
      <c r="A582" t="str">
        <f t="shared" si="98"/>
        <v>89301000</v>
      </c>
      <c r="B582" t="str">
        <f t="shared" si="95"/>
        <v>89383000</v>
      </c>
      <c r="C582" t="str">
        <f t="shared" si="96"/>
        <v>89383002</v>
      </c>
      <c r="D582">
        <v>89301045</v>
      </c>
      <c r="E582" t="str">
        <f t="shared" si="99"/>
        <v>9457314856</v>
      </c>
      <c r="F582" s="1">
        <v>44929</v>
      </c>
      <c r="G582" t="str">
        <f>"09233"</f>
        <v>09233</v>
      </c>
      <c r="H582">
        <v>1</v>
      </c>
      <c r="I582">
        <v>102</v>
      </c>
      <c r="J582">
        <v>0</v>
      </c>
      <c r="K582" t="str">
        <f t="shared" si="97"/>
        <v>809</v>
      </c>
      <c r="L582">
        <v>149.94</v>
      </c>
    </row>
    <row r="583" spans="1:12" x14ac:dyDescent="0.25">
      <c r="A583" t="str">
        <f t="shared" si="98"/>
        <v>89301000</v>
      </c>
      <c r="B583" t="str">
        <f t="shared" si="95"/>
        <v>89383000</v>
      </c>
      <c r="C583" t="str">
        <f t="shared" si="96"/>
        <v>89383002</v>
      </c>
      <c r="D583">
        <v>89301045</v>
      </c>
      <c r="E583" t="str">
        <f t="shared" si="99"/>
        <v>9457314856</v>
      </c>
      <c r="F583" s="1">
        <v>44929</v>
      </c>
      <c r="G583" t="str">
        <f>"89512"</f>
        <v>89512</v>
      </c>
      <c r="H583">
        <v>1</v>
      </c>
      <c r="I583">
        <v>283</v>
      </c>
      <c r="J583">
        <v>0</v>
      </c>
      <c r="K583" t="str">
        <f t="shared" si="97"/>
        <v>809</v>
      </c>
      <c r="L583">
        <v>416.01</v>
      </c>
    </row>
    <row r="584" spans="1:12" x14ac:dyDescent="0.25">
      <c r="A584" t="str">
        <f t="shared" si="98"/>
        <v>89301000</v>
      </c>
      <c r="B584" t="str">
        <f t="shared" si="95"/>
        <v>89383000</v>
      </c>
      <c r="C584" t="str">
        <f t="shared" si="96"/>
        <v>89383002</v>
      </c>
      <c r="D584">
        <v>89301045</v>
      </c>
      <c r="E584" t="str">
        <f t="shared" si="99"/>
        <v>9457314856</v>
      </c>
      <c r="F584" s="1">
        <v>44929</v>
      </c>
      <c r="G584" t="str">
        <f>"89180"</f>
        <v>89180</v>
      </c>
      <c r="H584">
        <v>1</v>
      </c>
      <c r="I584">
        <v>381</v>
      </c>
      <c r="J584">
        <v>0</v>
      </c>
      <c r="K584" t="str">
        <f t="shared" si="97"/>
        <v>809</v>
      </c>
      <c r="L584">
        <v>560.07000000000005</v>
      </c>
    </row>
    <row r="585" spans="1:12" x14ac:dyDescent="0.25">
      <c r="A585" t="str">
        <f t="shared" si="98"/>
        <v>89301000</v>
      </c>
      <c r="B585" t="str">
        <f t="shared" si="95"/>
        <v>89383000</v>
      </c>
      <c r="C585" t="str">
        <f t="shared" si="96"/>
        <v>89383002</v>
      </c>
      <c r="D585">
        <v>89301045</v>
      </c>
      <c r="E585" t="str">
        <f t="shared" si="99"/>
        <v>9457314856</v>
      </c>
      <c r="F585" s="1">
        <v>44929</v>
      </c>
      <c r="G585" t="str">
        <f>"0225891"</f>
        <v>0225891</v>
      </c>
      <c r="H585">
        <v>0.05</v>
      </c>
      <c r="J585">
        <v>18.39</v>
      </c>
      <c r="K585" t="str">
        <f t="shared" si="97"/>
        <v>809</v>
      </c>
      <c r="L585">
        <v>18.39</v>
      </c>
    </row>
    <row r="586" spans="1:12" x14ac:dyDescent="0.25">
      <c r="A586" t="str">
        <f t="shared" si="98"/>
        <v>89301000</v>
      </c>
      <c r="B586" t="str">
        <f t="shared" si="95"/>
        <v>89383000</v>
      </c>
      <c r="C586" t="str">
        <f t="shared" si="96"/>
        <v>89383002</v>
      </c>
      <c r="D586">
        <v>89301045</v>
      </c>
      <c r="E586" t="str">
        <f t="shared" si="99"/>
        <v>9457314856</v>
      </c>
      <c r="F586" s="1">
        <v>44929</v>
      </c>
      <c r="G586" t="str">
        <f>"0142906"</f>
        <v>0142906</v>
      </c>
      <c r="H586">
        <v>1</v>
      </c>
      <c r="J586">
        <v>6990</v>
      </c>
      <c r="K586" t="str">
        <f t="shared" si="97"/>
        <v>809</v>
      </c>
      <c r="L586">
        <v>6990</v>
      </c>
    </row>
    <row r="587" spans="1:12" x14ac:dyDescent="0.25">
      <c r="A587" t="str">
        <f t="shared" si="98"/>
        <v>89301000</v>
      </c>
      <c r="B587" t="str">
        <f t="shared" si="95"/>
        <v>89383000</v>
      </c>
      <c r="C587" t="str">
        <f t="shared" si="96"/>
        <v>89383002</v>
      </c>
      <c r="D587">
        <v>89301045</v>
      </c>
      <c r="E587" t="str">
        <f>"446217452"</f>
        <v>446217452</v>
      </c>
      <c r="F587" s="1">
        <v>44938</v>
      </c>
      <c r="G587" t="str">
        <f>"89180"</f>
        <v>89180</v>
      </c>
      <c r="H587">
        <v>1</v>
      </c>
      <c r="I587">
        <v>381</v>
      </c>
      <c r="J587">
        <v>0</v>
      </c>
      <c r="K587" t="str">
        <f t="shared" si="97"/>
        <v>809</v>
      </c>
      <c r="L587">
        <v>560.07000000000005</v>
      </c>
    </row>
    <row r="588" spans="1:12" x14ac:dyDescent="0.25">
      <c r="A588" t="str">
        <f t="shared" si="98"/>
        <v>89301000</v>
      </c>
      <c r="B588" t="str">
        <f t="shared" si="95"/>
        <v>89383000</v>
      </c>
      <c r="C588" t="str">
        <f t="shared" si="96"/>
        <v>89383002</v>
      </c>
      <c r="D588">
        <v>89301045</v>
      </c>
      <c r="E588" t="str">
        <f>"446217452"</f>
        <v>446217452</v>
      </c>
      <c r="F588" s="1">
        <v>44938</v>
      </c>
      <c r="G588" t="str">
        <f>"89513"</f>
        <v>89513</v>
      </c>
      <c r="H588">
        <v>1</v>
      </c>
      <c r="I588">
        <v>378</v>
      </c>
      <c r="J588">
        <v>0</v>
      </c>
      <c r="K588" t="str">
        <f t="shared" si="97"/>
        <v>809</v>
      </c>
      <c r="L588">
        <v>555.66</v>
      </c>
    </row>
    <row r="589" spans="1:12" x14ac:dyDescent="0.25">
      <c r="A589" t="str">
        <f t="shared" si="98"/>
        <v>89301000</v>
      </c>
      <c r="B589" t="str">
        <f t="shared" si="95"/>
        <v>89383000</v>
      </c>
      <c r="C589" t="str">
        <f t="shared" si="96"/>
        <v>89383002</v>
      </c>
      <c r="D589">
        <v>89301045</v>
      </c>
      <c r="E589" t="str">
        <f>"446217452"</f>
        <v>446217452</v>
      </c>
      <c r="F589" s="1">
        <v>44938</v>
      </c>
      <c r="G589" t="str">
        <f>"89514"</f>
        <v>89514</v>
      </c>
      <c r="H589">
        <v>1</v>
      </c>
      <c r="I589">
        <v>378</v>
      </c>
      <c r="J589">
        <v>0</v>
      </c>
      <c r="K589" t="str">
        <f t="shared" si="97"/>
        <v>809</v>
      </c>
      <c r="L589">
        <v>555.66</v>
      </c>
    </row>
    <row r="590" spans="1:12" x14ac:dyDescent="0.25">
      <c r="A590" t="str">
        <f t="shared" si="98"/>
        <v>89301000</v>
      </c>
      <c r="B590" t="str">
        <f t="shared" si="95"/>
        <v>89383000</v>
      </c>
      <c r="C590" t="str">
        <f t="shared" si="96"/>
        <v>89383002</v>
      </c>
      <c r="D590">
        <v>89301212</v>
      </c>
      <c r="E590" t="str">
        <f>"6053030896"</f>
        <v>6053030896</v>
      </c>
      <c r="F590" s="1">
        <v>44939</v>
      </c>
      <c r="G590" t="str">
        <f>"89512"</f>
        <v>89512</v>
      </c>
      <c r="H590">
        <v>1</v>
      </c>
      <c r="I590">
        <v>283</v>
      </c>
      <c r="J590">
        <v>0</v>
      </c>
      <c r="K590" t="str">
        <f t="shared" si="97"/>
        <v>809</v>
      </c>
      <c r="L590">
        <v>416.01</v>
      </c>
    </row>
    <row r="591" spans="1:12" x14ac:dyDescent="0.25">
      <c r="A591" t="str">
        <f t="shared" si="98"/>
        <v>89301000</v>
      </c>
      <c r="B591" t="str">
        <f t="shared" ref="B591:B622" si="100">"89383000"</f>
        <v>89383000</v>
      </c>
      <c r="C591" t="str">
        <f t="shared" ref="C591:C622" si="101">"89383002"</f>
        <v>89383002</v>
      </c>
      <c r="D591">
        <v>89301212</v>
      </c>
      <c r="E591" t="str">
        <f>"525206029"</f>
        <v>525206029</v>
      </c>
      <c r="F591" s="1">
        <v>44939</v>
      </c>
      <c r="G591" t="str">
        <f>"89513"</f>
        <v>89513</v>
      </c>
      <c r="H591">
        <v>1</v>
      </c>
      <c r="I591">
        <v>378</v>
      </c>
      <c r="J591">
        <v>0</v>
      </c>
      <c r="K591" t="str">
        <f t="shared" ref="K591:K622" si="102">"809"</f>
        <v>809</v>
      </c>
      <c r="L591">
        <v>555.66</v>
      </c>
    </row>
    <row r="592" spans="1:12" x14ac:dyDescent="0.25">
      <c r="A592" t="str">
        <f t="shared" si="98"/>
        <v>89301000</v>
      </c>
      <c r="B592" t="str">
        <f t="shared" si="100"/>
        <v>89383000</v>
      </c>
      <c r="C592" t="str">
        <f t="shared" si="101"/>
        <v>89383002</v>
      </c>
      <c r="D592">
        <v>89301212</v>
      </c>
      <c r="E592" t="str">
        <f>"525206029"</f>
        <v>525206029</v>
      </c>
      <c r="F592" s="1">
        <v>44939</v>
      </c>
      <c r="G592" t="str">
        <f>"89514"</f>
        <v>89514</v>
      </c>
      <c r="H592">
        <v>1</v>
      </c>
      <c r="I592">
        <v>378</v>
      </c>
      <c r="J592">
        <v>0</v>
      </c>
      <c r="K592" t="str">
        <f t="shared" si="102"/>
        <v>809</v>
      </c>
      <c r="L592">
        <v>555.66</v>
      </c>
    </row>
    <row r="593" spans="1:12" x14ac:dyDescent="0.25">
      <c r="A593" t="str">
        <f t="shared" si="98"/>
        <v>89301000</v>
      </c>
      <c r="B593" t="str">
        <f t="shared" si="100"/>
        <v>89383000</v>
      </c>
      <c r="C593" t="str">
        <f t="shared" si="101"/>
        <v>89383002</v>
      </c>
      <c r="D593">
        <v>89301212</v>
      </c>
      <c r="E593" t="str">
        <f>"6056131224"</f>
        <v>6056131224</v>
      </c>
      <c r="F593" s="1">
        <v>44939</v>
      </c>
      <c r="G593" t="str">
        <f>"89513"</f>
        <v>89513</v>
      </c>
      <c r="H593">
        <v>1</v>
      </c>
      <c r="I593">
        <v>378</v>
      </c>
      <c r="J593">
        <v>0</v>
      </c>
      <c r="K593" t="str">
        <f t="shared" si="102"/>
        <v>809</v>
      </c>
      <c r="L593">
        <v>555.66</v>
      </c>
    </row>
    <row r="594" spans="1:12" x14ac:dyDescent="0.25">
      <c r="A594" t="str">
        <f t="shared" si="98"/>
        <v>89301000</v>
      </c>
      <c r="B594" t="str">
        <f t="shared" si="100"/>
        <v>89383000</v>
      </c>
      <c r="C594" t="str">
        <f t="shared" si="101"/>
        <v>89383002</v>
      </c>
      <c r="D594">
        <v>89301212</v>
      </c>
      <c r="E594" t="str">
        <f>"6056131224"</f>
        <v>6056131224</v>
      </c>
      <c r="F594" s="1">
        <v>44939</v>
      </c>
      <c r="G594" t="str">
        <f>"89514"</f>
        <v>89514</v>
      </c>
      <c r="H594">
        <v>1</v>
      </c>
      <c r="I594">
        <v>378</v>
      </c>
      <c r="J594">
        <v>0</v>
      </c>
      <c r="K594" t="str">
        <f t="shared" si="102"/>
        <v>809</v>
      </c>
      <c r="L594">
        <v>555.66</v>
      </c>
    </row>
    <row r="595" spans="1:12" x14ac:dyDescent="0.25">
      <c r="A595" t="str">
        <f t="shared" si="98"/>
        <v>89301000</v>
      </c>
      <c r="B595" t="str">
        <f t="shared" si="100"/>
        <v>89383000</v>
      </c>
      <c r="C595" t="str">
        <f t="shared" si="101"/>
        <v>89383002</v>
      </c>
      <c r="D595">
        <v>89301212</v>
      </c>
      <c r="E595" t="str">
        <f>"7160155310"</f>
        <v>7160155310</v>
      </c>
      <c r="F595" s="1">
        <v>44939</v>
      </c>
      <c r="G595" t="str">
        <f>"89180"</f>
        <v>89180</v>
      </c>
      <c r="H595">
        <v>1</v>
      </c>
      <c r="I595">
        <v>381</v>
      </c>
      <c r="J595">
        <v>0</v>
      </c>
      <c r="K595" t="str">
        <f t="shared" si="102"/>
        <v>809</v>
      </c>
      <c r="L595">
        <v>560.07000000000005</v>
      </c>
    </row>
    <row r="596" spans="1:12" x14ac:dyDescent="0.25">
      <c r="A596" t="str">
        <f t="shared" si="98"/>
        <v>89301000</v>
      </c>
      <c r="B596" t="str">
        <f t="shared" si="100"/>
        <v>89383000</v>
      </c>
      <c r="C596" t="str">
        <f t="shared" si="101"/>
        <v>89383002</v>
      </c>
      <c r="D596">
        <v>89301212</v>
      </c>
      <c r="E596" t="str">
        <f>"7160155310"</f>
        <v>7160155310</v>
      </c>
      <c r="F596" s="1">
        <v>44939</v>
      </c>
      <c r="G596" t="str">
        <f>"89512"</f>
        <v>89512</v>
      </c>
      <c r="H596">
        <v>1</v>
      </c>
      <c r="I596">
        <v>283</v>
      </c>
      <c r="J596">
        <v>0</v>
      </c>
      <c r="K596" t="str">
        <f t="shared" si="102"/>
        <v>809</v>
      </c>
      <c r="L596">
        <v>416.01</v>
      </c>
    </row>
    <row r="597" spans="1:12" x14ac:dyDescent="0.25">
      <c r="A597" t="str">
        <f t="shared" si="98"/>
        <v>89301000</v>
      </c>
      <c r="B597" t="str">
        <f t="shared" si="100"/>
        <v>89383000</v>
      </c>
      <c r="C597" t="str">
        <f t="shared" si="101"/>
        <v>89383002</v>
      </c>
      <c r="D597">
        <v>89301212</v>
      </c>
      <c r="E597" t="str">
        <f>"7160155310"</f>
        <v>7160155310</v>
      </c>
      <c r="F597" s="1">
        <v>44939</v>
      </c>
      <c r="G597" t="str">
        <f>"89513"</f>
        <v>89513</v>
      </c>
      <c r="H597">
        <v>1</v>
      </c>
      <c r="I597">
        <v>378</v>
      </c>
      <c r="J597">
        <v>0</v>
      </c>
      <c r="K597" t="str">
        <f t="shared" si="102"/>
        <v>809</v>
      </c>
      <c r="L597">
        <v>555.66</v>
      </c>
    </row>
    <row r="598" spans="1:12" x14ac:dyDescent="0.25">
      <c r="A598" t="str">
        <f t="shared" si="98"/>
        <v>89301000</v>
      </c>
      <c r="B598" t="str">
        <f t="shared" si="100"/>
        <v>89383000</v>
      </c>
      <c r="C598" t="str">
        <f t="shared" si="101"/>
        <v>89383002</v>
      </c>
      <c r="D598">
        <v>89301212</v>
      </c>
      <c r="E598" t="str">
        <f>"7160155310"</f>
        <v>7160155310</v>
      </c>
      <c r="F598" s="1">
        <v>44939</v>
      </c>
      <c r="G598" t="str">
        <f>"89514"</f>
        <v>89514</v>
      </c>
      <c r="H598">
        <v>1</v>
      </c>
      <c r="I598">
        <v>378</v>
      </c>
      <c r="J598">
        <v>0</v>
      </c>
      <c r="K598" t="str">
        <f t="shared" si="102"/>
        <v>809</v>
      </c>
      <c r="L598">
        <v>555.66</v>
      </c>
    </row>
    <row r="599" spans="1:12" x14ac:dyDescent="0.25">
      <c r="A599" t="str">
        <f t="shared" si="98"/>
        <v>89301000</v>
      </c>
      <c r="B599" t="str">
        <f t="shared" si="100"/>
        <v>89383000</v>
      </c>
      <c r="C599" t="str">
        <f t="shared" si="101"/>
        <v>89383002</v>
      </c>
      <c r="D599">
        <v>89301082</v>
      </c>
      <c r="E599" t="str">
        <f>"6655270314"</f>
        <v>6655270314</v>
      </c>
      <c r="F599" s="1">
        <v>44943</v>
      </c>
      <c r="G599" t="str">
        <f>"89512"</f>
        <v>89512</v>
      </c>
      <c r="H599">
        <v>1</v>
      </c>
      <c r="I599">
        <v>283</v>
      </c>
      <c r="J599">
        <v>0</v>
      </c>
      <c r="K599" t="str">
        <f t="shared" si="102"/>
        <v>809</v>
      </c>
      <c r="L599">
        <v>416.01</v>
      </c>
    </row>
    <row r="600" spans="1:12" x14ac:dyDescent="0.25">
      <c r="A600" t="str">
        <f t="shared" si="98"/>
        <v>89301000</v>
      </c>
      <c r="B600" t="str">
        <f t="shared" si="100"/>
        <v>89383000</v>
      </c>
      <c r="C600" t="str">
        <f t="shared" si="101"/>
        <v>89383002</v>
      </c>
      <c r="D600">
        <v>89301212</v>
      </c>
      <c r="E600" t="str">
        <f>"9652045733"</f>
        <v>9652045733</v>
      </c>
      <c r="F600" s="1">
        <v>44943</v>
      </c>
      <c r="G600" t="str">
        <f>"89512"</f>
        <v>89512</v>
      </c>
      <c r="H600">
        <v>1</v>
      </c>
      <c r="I600">
        <v>283</v>
      </c>
      <c r="J600">
        <v>0</v>
      </c>
      <c r="K600" t="str">
        <f t="shared" si="102"/>
        <v>809</v>
      </c>
      <c r="L600">
        <v>416.01</v>
      </c>
    </row>
    <row r="601" spans="1:12" x14ac:dyDescent="0.25">
      <c r="A601" t="str">
        <f t="shared" si="98"/>
        <v>89301000</v>
      </c>
      <c r="B601" t="str">
        <f t="shared" si="100"/>
        <v>89383000</v>
      </c>
      <c r="C601" t="str">
        <f t="shared" si="101"/>
        <v>89383002</v>
      </c>
      <c r="D601">
        <v>89301212</v>
      </c>
      <c r="E601" t="str">
        <f>"9652045733"</f>
        <v>9652045733</v>
      </c>
      <c r="F601" s="1">
        <v>44943</v>
      </c>
      <c r="G601" t="str">
        <f>"89513"</f>
        <v>89513</v>
      </c>
      <c r="H601">
        <v>1</v>
      </c>
      <c r="I601">
        <v>378</v>
      </c>
      <c r="J601">
        <v>0</v>
      </c>
      <c r="K601" t="str">
        <f t="shared" si="102"/>
        <v>809</v>
      </c>
      <c r="L601">
        <v>555.66</v>
      </c>
    </row>
    <row r="602" spans="1:12" x14ac:dyDescent="0.25">
      <c r="A602" t="str">
        <f t="shared" si="98"/>
        <v>89301000</v>
      </c>
      <c r="B602" t="str">
        <f t="shared" si="100"/>
        <v>89383000</v>
      </c>
      <c r="C602" t="str">
        <f t="shared" si="101"/>
        <v>89383002</v>
      </c>
      <c r="D602">
        <v>89301212</v>
      </c>
      <c r="E602" t="str">
        <f>"9652045733"</f>
        <v>9652045733</v>
      </c>
      <c r="F602" s="1">
        <v>44943</v>
      </c>
      <c r="G602" t="str">
        <f>"89514"</f>
        <v>89514</v>
      </c>
      <c r="H602">
        <v>1</v>
      </c>
      <c r="I602">
        <v>378</v>
      </c>
      <c r="J602">
        <v>0</v>
      </c>
      <c r="K602" t="str">
        <f t="shared" si="102"/>
        <v>809</v>
      </c>
      <c r="L602">
        <v>555.66</v>
      </c>
    </row>
    <row r="603" spans="1:12" x14ac:dyDescent="0.25">
      <c r="A603" t="str">
        <f t="shared" si="98"/>
        <v>89301000</v>
      </c>
      <c r="B603" t="str">
        <f t="shared" si="100"/>
        <v>89383000</v>
      </c>
      <c r="C603" t="str">
        <f t="shared" si="101"/>
        <v>89383002</v>
      </c>
      <c r="D603">
        <v>89301215</v>
      </c>
      <c r="E603" t="str">
        <f>"6458121637"</f>
        <v>6458121637</v>
      </c>
      <c r="F603" s="1">
        <v>44943</v>
      </c>
      <c r="G603" t="str">
        <f>"89512"</f>
        <v>89512</v>
      </c>
      <c r="H603">
        <v>1</v>
      </c>
      <c r="I603">
        <v>283</v>
      </c>
      <c r="J603">
        <v>0</v>
      </c>
      <c r="K603" t="str">
        <f t="shared" si="102"/>
        <v>809</v>
      </c>
      <c r="L603">
        <v>416.01</v>
      </c>
    </row>
    <row r="604" spans="1:12" x14ac:dyDescent="0.25">
      <c r="A604" t="str">
        <f t="shared" si="98"/>
        <v>89301000</v>
      </c>
      <c r="B604" t="str">
        <f t="shared" si="100"/>
        <v>89383000</v>
      </c>
      <c r="C604" t="str">
        <f t="shared" si="101"/>
        <v>89383002</v>
      </c>
      <c r="D604">
        <v>89301215</v>
      </c>
      <c r="E604" t="str">
        <f>"6458121637"</f>
        <v>6458121637</v>
      </c>
      <c r="F604" s="1">
        <v>44943</v>
      </c>
      <c r="G604" t="str">
        <f>"89180"</f>
        <v>89180</v>
      </c>
      <c r="H604">
        <v>2</v>
      </c>
      <c r="I604">
        <v>762</v>
      </c>
      <c r="J604">
        <v>0</v>
      </c>
      <c r="K604" t="str">
        <f t="shared" si="102"/>
        <v>809</v>
      </c>
      <c r="L604">
        <v>1120.1400000000001</v>
      </c>
    </row>
    <row r="605" spans="1:12" x14ac:dyDescent="0.25">
      <c r="A605" t="str">
        <f t="shared" si="98"/>
        <v>89301000</v>
      </c>
      <c r="B605" t="str">
        <f t="shared" si="100"/>
        <v>89383000</v>
      </c>
      <c r="C605" t="str">
        <f t="shared" si="101"/>
        <v>89383002</v>
      </c>
      <c r="D605">
        <v>89301212</v>
      </c>
      <c r="E605" t="str">
        <f>"525303071"</f>
        <v>525303071</v>
      </c>
      <c r="F605" s="1">
        <v>44943</v>
      </c>
      <c r="G605" t="str">
        <f>"89180"</f>
        <v>89180</v>
      </c>
      <c r="H605">
        <v>1</v>
      </c>
      <c r="I605">
        <v>381</v>
      </c>
      <c r="J605">
        <v>0</v>
      </c>
      <c r="K605" t="str">
        <f t="shared" si="102"/>
        <v>809</v>
      </c>
      <c r="L605">
        <v>560.07000000000005</v>
      </c>
    </row>
    <row r="606" spans="1:12" x14ac:dyDescent="0.25">
      <c r="A606" t="str">
        <f t="shared" si="98"/>
        <v>89301000</v>
      </c>
      <c r="B606" t="str">
        <f t="shared" si="100"/>
        <v>89383000</v>
      </c>
      <c r="C606" t="str">
        <f t="shared" si="101"/>
        <v>89383002</v>
      </c>
      <c r="D606">
        <v>89301212</v>
      </c>
      <c r="E606" t="str">
        <f>"525303071"</f>
        <v>525303071</v>
      </c>
      <c r="F606" s="1">
        <v>44943</v>
      </c>
      <c r="G606" t="str">
        <f>"89512"</f>
        <v>89512</v>
      </c>
      <c r="H606">
        <v>1</v>
      </c>
      <c r="I606">
        <v>283</v>
      </c>
      <c r="J606">
        <v>0</v>
      </c>
      <c r="K606" t="str">
        <f t="shared" si="102"/>
        <v>809</v>
      </c>
      <c r="L606">
        <v>416.01</v>
      </c>
    </row>
    <row r="607" spans="1:12" x14ac:dyDescent="0.25">
      <c r="A607" t="str">
        <f t="shared" si="98"/>
        <v>89301000</v>
      </c>
      <c r="B607" t="str">
        <f t="shared" si="100"/>
        <v>89383000</v>
      </c>
      <c r="C607" t="str">
        <f t="shared" si="101"/>
        <v>89383002</v>
      </c>
      <c r="D607">
        <v>89301212</v>
      </c>
      <c r="E607" t="str">
        <f>"525303071"</f>
        <v>525303071</v>
      </c>
      <c r="F607" s="1">
        <v>44943</v>
      </c>
      <c r="G607" t="str">
        <f>"89514"</f>
        <v>89514</v>
      </c>
      <c r="H607">
        <v>1</v>
      </c>
      <c r="I607">
        <v>378</v>
      </c>
      <c r="J607">
        <v>0</v>
      </c>
      <c r="K607" t="str">
        <f t="shared" si="102"/>
        <v>809</v>
      </c>
      <c r="L607">
        <v>555.66</v>
      </c>
    </row>
    <row r="608" spans="1:12" x14ac:dyDescent="0.25">
      <c r="A608" t="str">
        <f t="shared" si="98"/>
        <v>89301000</v>
      </c>
      <c r="B608" t="str">
        <f t="shared" si="100"/>
        <v>89383000</v>
      </c>
      <c r="C608" t="str">
        <f t="shared" si="101"/>
        <v>89383002</v>
      </c>
      <c r="D608">
        <v>89301212</v>
      </c>
      <c r="E608" t="str">
        <f>"5554041933"</f>
        <v>5554041933</v>
      </c>
      <c r="F608" s="1">
        <v>44944</v>
      </c>
      <c r="G608" t="str">
        <f>"89180"</f>
        <v>89180</v>
      </c>
      <c r="H608">
        <v>2</v>
      </c>
      <c r="I608">
        <v>762</v>
      </c>
      <c r="J608">
        <v>0</v>
      </c>
      <c r="K608" t="str">
        <f t="shared" si="102"/>
        <v>809</v>
      </c>
      <c r="L608">
        <v>1120.1400000000001</v>
      </c>
    </row>
    <row r="609" spans="1:12" x14ac:dyDescent="0.25">
      <c r="A609" t="str">
        <f t="shared" si="98"/>
        <v>89301000</v>
      </c>
      <c r="B609" t="str">
        <f t="shared" si="100"/>
        <v>89383000</v>
      </c>
      <c r="C609" t="str">
        <f t="shared" si="101"/>
        <v>89383002</v>
      </c>
      <c r="D609">
        <v>89301212</v>
      </c>
      <c r="E609" t="str">
        <f>"5554041933"</f>
        <v>5554041933</v>
      </c>
      <c r="F609" s="1">
        <v>44944</v>
      </c>
      <c r="G609" t="str">
        <f>"89512"</f>
        <v>89512</v>
      </c>
      <c r="H609">
        <v>1</v>
      </c>
      <c r="I609">
        <v>283</v>
      </c>
      <c r="J609">
        <v>0</v>
      </c>
      <c r="K609" t="str">
        <f t="shared" si="102"/>
        <v>809</v>
      </c>
      <c r="L609">
        <v>416.01</v>
      </c>
    </row>
    <row r="610" spans="1:12" x14ac:dyDescent="0.25">
      <c r="A610" t="str">
        <f t="shared" si="98"/>
        <v>89301000</v>
      </c>
      <c r="B610" t="str">
        <f t="shared" si="100"/>
        <v>89383000</v>
      </c>
      <c r="C610" t="str">
        <f t="shared" si="101"/>
        <v>89383002</v>
      </c>
      <c r="D610">
        <v>89301045</v>
      </c>
      <c r="E610" t="str">
        <f t="shared" ref="E610:E616" si="103">"7958094958"</f>
        <v>7958094958</v>
      </c>
      <c r="F610" s="1">
        <v>44944</v>
      </c>
      <c r="G610" t="str">
        <f>"89313"</f>
        <v>89313</v>
      </c>
      <c r="H610">
        <v>1</v>
      </c>
      <c r="I610">
        <v>420</v>
      </c>
      <c r="J610">
        <v>0</v>
      </c>
      <c r="K610" t="str">
        <f t="shared" si="102"/>
        <v>809</v>
      </c>
      <c r="L610">
        <v>617.4</v>
      </c>
    </row>
    <row r="611" spans="1:12" x14ac:dyDescent="0.25">
      <c r="A611" t="str">
        <f t="shared" si="98"/>
        <v>89301000</v>
      </c>
      <c r="B611" t="str">
        <f t="shared" si="100"/>
        <v>89383000</v>
      </c>
      <c r="C611" t="str">
        <f t="shared" si="101"/>
        <v>89383002</v>
      </c>
      <c r="D611">
        <v>89301045</v>
      </c>
      <c r="E611" t="str">
        <f t="shared" si="103"/>
        <v>7958094958</v>
      </c>
      <c r="F611" s="1">
        <v>44944</v>
      </c>
      <c r="G611" t="str">
        <f>"09233"</f>
        <v>09233</v>
      </c>
      <c r="H611">
        <v>1</v>
      </c>
      <c r="I611">
        <v>102</v>
      </c>
      <c r="J611">
        <v>0</v>
      </c>
      <c r="K611" t="str">
        <f t="shared" si="102"/>
        <v>809</v>
      </c>
      <c r="L611">
        <v>149.94</v>
      </c>
    </row>
    <row r="612" spans="1:12" x14ac:dyDescent="0.25">
      <c r="A612" t="str">
        <f t="shared" si="98"/>
        <v>89301000</v>
      </c>
      <c r="B612" t="str">
        <f t="shared" si="100"/>
        <v>89383000</v>
      </c>
      <c r="C612" t="str">
        <f t="shared" si="101"/>
        <v>89383002</v>
      </c>
      <c r="D612">
        <v>89301045</v>
      </c>
      <c r="E612" t="str">
        <f t="shared" si="103"/>
        <v>7958094958</v>
      </c>
      <c r="F612" s="1">
        <v>44944</v>
      </c>
      <c r="G612" t="str">
        <f>"89515"</f>
        <v>89515</v>
      </c>
      <c r="H612">
        <v>1</v>
      </c>
      <c r="I612">
        <v>347</v>
      </c>
      <c r="J612">
        <v>0</v>
      </c>
      <c r="K612" t="str">
        <f t="shared" si="102"/>
        <v>809</v>
      </c>
      <c r="L612">
        <v>510.09</v>
      </c>
    </row>
    <row r="613" spans="1:12" x14ac:dyDescent="0.25">
      <c r="A613" t="str">
        <f t="shared" si="98"/>
        <v>89301000</v>
      </c>
      <c r="B613" t="str">
        <f t="shared" si="100"/>
        <v>89383000</v>
      </c>
      <c r="C613" t="str">
        <f t="shared" si="101"/>
        <v>89383002</v>
      </c>
      <c r="D613">
        <v>89301045</v>
      </c>
      <c r="E613" t="str">
        <f t="shared" si="103"/>
        <v>7958094958</v>
      </c>
      <c r="F613" s="1">
        <v>44944</v>
      </c>
      <c r="G613" t="str">
        <f>"89512"</f>
        <v>89512</v>
      </c>
      <c r="H613">
        <v>1</v>
      </c>
      <c r="I613">
        <v>283</v>
      </c>
      <c r="J613">
        <v>0</v>
      </c>
      <c r="K613" t="str">
        <f t="shared" si="102"/>
        <v>809</v>
      </c>
      <c r="L613">
        <v>416.01</v>
      </c>
    </row>
    <row r="614" spans="1:12" x14ac:dyDescent="0.25">
      <c r="A614" t="str">
        <f t="shared" si="98"/>
        <v>89301000</v>
      </c>
      <c r="B614" t="str">
        <f t="shared" si="100"/>
        <v>89383000</v>
      </c>
      <c r="C614" t="str">
        <f t="shared" si="101"/>
        <v>89383002</v>
      </c>
      <c r="D614">
        <v>89301045</v>
      </c>
      <c r="E614" t="str">
        <f t="shared" si="103"/>
        <v>7958094958</v>
      </c>
      <c r="F614" s="1">
        <v>44952</v>
      </c>
      <c r="G614" t="str">
        <f>"89180"</f>
        <v>89180</v>
      </c>
      <c r="H614">
        <v>2</v>
      </c>
      <c r="I614">
        <v>762</v>
      </c>
      <c r="J614">
        <v>0</v>
      </c>
      <c r="K614" t="str">
        <f t="shared" si="102"/>
        <v>809</v>
      </c>
      <c r="L614">
        <v>1120.1400000000001</v>
      </c>
    </row>
    <row r="615" spans="1:12" x14ac:dyDescent="0.25">
      <c r="A615" t="str">
        <f t="shared" si="98"/>
        <v>89301000</v>
      </c>
      <c r="B615" t="str">
        <f t="shared" si="100"/>
        <v>89383000</v>
      </c>
      <c r="C615" t="str">
        <f t="shared" si="101"/>
        <v>89383002</v>
      </c>
      <c r="D615">
        <v>89301045</v>
      </c>
      <c r="E615" t="str">
        <f t="shared" si="103"/>
        <v>7958094958</v>
      </c>
      <c r="F615" s="1">
        <v>44944</v>
      </c>
      <c r="G615" t="str">
        <f>"0225891"</f>
        <v>0225891</v>
      </c>
      <c r="H615">
        <v>0.05</v>
      </c>
      <c r="J615">
        <v>18.39</v>
      </c>
      <c r="K615" t="str">
        <f t="shared" si="102"/>
        <v>809</v>
      </c>
      <c r="L615">
        <v>18.39</v>
      </c>
    </row>
    <row r="616" spans="1:12" x14ac:dyDescent="0.25">
      <c r="A616" t="str">
        <f t="shared" si="98"/>
        <v>89301000</v>
      </c>
      <c r="B616" t="str">
        <f t="shared" si="100"/>
        <v>89383000</v>
      </c>
      <c r="C616" t="str">
        <f t="shared" si="101"/>
        <v>89383002</v>
      </c>
      <c r="D616">
        <v>89301045</v>
      </c>
      <c r="E616" t="str">
        <f t="shared" si="103"/>
        <v>7958094958</v>
      </c>
      <c r="F616" s="1">
        <v>44944</v>
      </c>
      <c r="G616" t="str">
        <f>"0142908"</f>
        <v>0142908</v>
      </c>
      <c r="H616">
        <v>1</v>
      </c>
      <c r="J616">
        <v>910</v>
      </c>
      <c r="K616" t="str">
        <f t="shared" si="102"/>
        <v>809</v>
      </c>
      <c r="L616">
        <v>910</v>
      </c>
    </row>
    <row r="617" spans="1:12" x14ac:dyDescent="0.25">
      <c r="A617" t="str">
        <f t="shared" si="98"/>
        <v>89301000</v>
      </c>
      <c r="B617" t="str">
        <f t="shared" si="100"/>
        <v>89383000</v>
      </c>
      <c r="C617" t="str">
        <f t="shared" si="101"/>
        <v>89383002</v>
      </c>
      <c r="D617">
        <v>89301212</v>
      </c>
      <c r="E617" t="str">
        <f>"7855023616"</f>
        <v>7855023616</v>
      </c>
      <c r="F617" s="1">
        <v>44944</v>
      </c>
      <c r="G617" t="str">
        <f>"89512"</f>
        <v>89512</v>
      </c>
      <c r="H617">
        <v>1</v>
      </c>
      <c r="I617">
        <v>283</v>
      </c>
      <c r="J617">
        <v>0</v>
      </c>
      <c r="K617" t="str">
        <f t="shared" si="102"/>
        <v>809</v>
      </c>
      <c r="L617">
        <v>416.01</v>
      </c>
    </row>
    <row r="618" spans="1:12" x14ac:dyDescent="0.25">
      <c r="A618" t="str">
        <f t="shared" si="98"/>
        <v>89301000</v>
      </c>
      <c r="B618" t="str">
        <f t="shared" si="100"/>
        <v>89383000</v>
      </c>
      <c r="C618" t="str">
        <f t="shared" si="101"/>
        <v>89383002</v>
      </c>
      <c r="D618">
        <v>89301212</v>
      </c>
      <c r="E618" t="str">
        <f>"7456265355"</f>
        <v>7456265355</v>
      </c>
      <c r="F618" s="1">
        <v>44946</v>
      </c>
      <c r="G618" t="str">
        <f>"89513"</f>
        <v>89513</v>
      </c>
      <c r="H618">
        <v>1</v>
      </c>
      <c r="I618">
        <v>378</v>
      </c>
      <c r="J618">
        <v>0</v>
      </c>
      <c r="K618" t="str">
        <f t="shared" si="102"/>
        <v>809</v>
      </c>
      <c r="L618">
        <v>555.66</v>
      </c>
    </row>
    <row r="619" spans="1:12" x14ac:dyDescent="0.25">
      <c r="A619" t="str">
        <f t="shared" si="98"/>
        <v>89301000</v>
      </c>
      <c r="B619" t="str">
        <f t="shared" si="100"/>
        <v>89383000</v>
      </c>
      <c r="C619" t="str">
        <f t="shared" si="101"/>
        <v>89383002</v>
      </c>
      <c r="D619">
        <v>89301212</v>
      </c>
      <c r="E619" t="str">
        <f>"7456265355"</f>
        <v>7456265355</v>
      </c>
      <c r="F619" s="1">
        <v>44946</v>
      </c>
      <c r="G619" t="str">
        <f>"89514"</f>
        <v>89514</v>
      </c>
      <c r="H619">
        <v>1</v>
      </c>
      <c r="I619">
        <v>378</v>
      </c>
      <c r="J619">
        <v>0</v>
      </c>
      <c r="K619" t="str">
        <f t="shared" si="102"/>
        <v>809</v>
      </c>
      <c r="L619">
        <v>555.66</v>
      </c>
    </row>
    <row r="620" spans="1:12" x14ac:dyDescent="0.25">
      <c r="A620" t="str">
        <f t="shared" si="98"/>
        <v>89301000</v>
      </c>
      <c r="B620" t="str">
        <f t="shared" si="100"/>
        <v>89383000</v>
      </c>
      <c r="C620" t="str">
        <f t="shared" si="101"/>
        <v>89383002</v>
      </c>
      <c r="D620">
        <v>89301212</v>
      </c>
      <c r="E620" t="str">
        <f t="shared" ref="E620:E625" si="104">"5554041933"</f>
        <v>5554041933</v>
      </c>
      <c r="F620" s="1">
        <v>44951</v>
      </c>
      <c r="G620" t="str">
        <f>"89313"</f>
        <v>89313</v>
      </c>
      <c r="H620">
        <v>1</v>
      </c>
      <c r="I620">
        <v>420</v>
      </c>
      <c r="J620">
        <v>0</v>
      </c>
      <c r="K620" t="str">
        <f t="shared" si="102"/>
        <v>809</v>
      </c>
      <c r="L620">
        <v>617.4</v>
      </c>
    </row>
    <row r="621" spans="1:12" x14ac:dyDescent="0.25">
      <c r="A621" t="str">
        <f t="shared" si="98"/>
        <v>89301000</v>
      </c>
      <c r="B621" t="str">
        <f t="shared" si="100"/>
        <v>89383000</v>
      </c>
      <c r="C621" t="str">
        <f t="shared" si="101"/>
        <v>89383002</v>
      </c>
      <c r="D621">
        <v>89301212</v>
      </c>
      <c r="E621" t="str">
        <f t="shared" si="104"/>
        <v>5554041933</v>
      </c>
      <c r="F621" s="1">
        <v>44951</v>
      </c>
      <c r="G621" t="str">
        <f>"09233"</f>
        <v>09233</v>
      </c>
      <c r="H621">
        <v>1</v>
      </c>
      <c r="I621">
        <v>102</v>
      </c>
      <c r="J621">
        <v>0</v>
      </c>
      <c r="K621" t="str">
        <f t="shared" si="102"/>
        <v>809</v>
      </c>
      <c r="L621">
        <v>149.94</v>
      </c>
    </row>
    <row r="622" spans="1:12" x14ac:dyDescent="0.25">
      <c r="A622" t="str">
        <f t="shared" si="98"/>
        <v>89301000</v>
      </c>
      <c r="B622" t="str">
        <f t="shared" si="100"/>
        <v>89383000</v>
      </c>
      <c r="C622" t="str">
        <f t="shared" si="101"/>
        <v>89383002</v>
      </c>
      <c r="D622">
        <v>89301212</v>
      </c>
      <c r="E622" t="str">
        <f t="shared" si="104"/>
        <v>5554041933</v>
      </c>
      <c r="F622" s="1">
        <v>44951</v>
      </c>
      <c r="G622" t="str">
        <f>"89515"</f>
        <v>89515</v>
      </c>
      <c r="H622">
        <v>1</v>
      </c>
      <c r="I622">
        <v>347</v>
      </c>
      <c r="J622">
        <v>0</v>
      </c>
      <c r="K622" t="str">
        <f t="shared" si="102"/>
        <v>809</v>
      </c>
      <c r="L622">
        <v>510.09</v>
      </c>
    </row>
    <row r="623" spans="1:12" x14ac:dyDescent="0.25">
      <c r="A623" t="str">
        <f t="shared" si="98"/>
        <v>89301000</v>
      </c>
      <c r="B623" t="str">
        <f t="shared" ref="B623:B632" si="105">"89383000"</f>
        <v>89383000</v>
      </c>
      <c r="C623" t="str">
        <f t="shared" ref="C623:C632" si="106">"89383002"</f>
        <v>89383002</v>
      </c>
      <c r="D623">
        <v>89301212</v>
      </c>
      <c r="E623" t="str">
        <f t="shared" si="104"/>
        <v>5554041933</v>
      </c>
      <c r="F623" s="1">
        <v>44951</v>
      </c>
      <c r="G623" t="str">
        <f>"89512"</f>
        <v>89512</v>
      </c>
      <c r="H623">
        <v>1</v>
      </c>
      <c r="I623">
        <v>283</v>
      </c>
      <c r="J623">
        <v>0</v>
      </c>
      <c r="K623" t="str">
        <f t="shared" ref="K623:K635" si="107">"809"</f>
        <v>809</v>
      </c>
      <c r="L623">
        <v>416.01</v>
      </c>
    </row>
    <row r="624" spans="1:12" x14ac:dyDescent="0.25">
      <c r="A624" t="str">
        <f t="shared" si="98"/>
        <v>89301000</v>
      </c>
      <c r="B624" t="str">
        <f t="shared" si="105"/>
        <v>89383000</v>
      </c>
      <c r="C624" t="str">
        <f t="shared" si="106"/>
        <v>89383002</v>
      </c>
      <c r="D624">
        <v>89301212</v>
      </c>
      <c r="E624" t="str">
        <f t="shared" si="104"/>
        <v>5554041933</v>
      </c>
      <c r="F624" s="1">
        <v>44951</v>
      </c>
      <c r="G624" t="str">
        <f>"0225891"</f>
        <v>0225891</v>
      </c>
      <c r="H624">
        <v>0.05</v>
      </c>
      <c r="J624">
        <v>18.39</v>
      </c>
      <c r="K624" t="str">
        <f t="shared" si="107"/>
        <v>809</v>
      </c>
      <c r="L624">
        <v>18.39</v>
      </c>
    </row>
    <row r="625" spans="1:12" x14ac:dyDescent="0.25">
      <c r="A625" t="str">
        <f t="shared" si="98"/>
        <v>89301000</v>
      </c>
      <c r="B625" t="str">
        <f t="shared" si="105"/>
        <v>89383000</v>
      </c>
      <c r="C625" t="str">
        <f t="shared" si="106"/>
        <v>89383002</v>
      </c>
      <c r="D625">
        <v>89301212</v>
      </c>
      <c r="E625" t="str">
        <f t="shared" si="104"/>
        <v>5554041933</v>
      </c>
      <c r="F625" s="1">
        <v>44951</v>
      </c>
      <c r="G625" t="str">
        <f>"0142908"</f>
        <v>0142908</v>
      </c>
      <c r="H625">
        <v>1</v>
      </c>
      <c r="J625">
        <v>910</v>
      </c>
      <c r="K625" t="str">
        <f t="shared" si="107"/>
        <v>809</v>
      </c>
      <c r="L625">
        <v>910</v>
      </c>
    </row>
    <row r="626" spans="1:12" x14ac:dyDescent="0.25">
      <c r="A626" t="str">
        <f t="shared" si="98"/>
        <v>89301000</v>
      </c>
      <c r="B626" t="str">
        <f t="shared" si="105"/>
        <v>89383000</v>
      </c>
      <c r="C626" t="str">
        <f t="shared" si="106"/>
        <v>89383002</v>
      </c>
      <c r="D626">
        <v>89301045</v>
      </c>
      <c r="E626" t="str">
        <f>"6659281365"</f>
        <v>6659281365</v>
      </c>
      <c r="F626" s="1">
        <v>44952</v>
      </c>
      <c r="G626" t="str">
        <f>"89512"</f>
        <v>89512</v>
      </c>
      <c r="H626">
        <v>1</v>
      </c>
      <c r="I626">
        <v>283</v>
      </c>
      <c r="J626">
        <v>0</v>
      </c>
      <c r="K626" t="str">
        <f t="shared" si="107"/>
        <v>809</v>
      </c>
      <c r="L626">
        <v>416.01</v>
      </c>
    </row>
    <row r="627" spans="1:12" x14ac:dyDescent="0.25">
      <c r="A627" t="str">
        <f t="shared" si="98"/>
        <v>89301000</v>
      </c>
      <c r="B627" t="str">
        <f t="shared" si="105"/>
        <v>89383000</v>
      </c>
      <c r="C627" t="str">
        <f t="shared" si="106"/>
        <v>89383002</v>
      </c>
      <c r="D627">
        <v>89301045</v>
      </c>
      <c r="E627" t="str">
        <f>"6659281365"</f>
        <v>6659281365</v>
      </c>
      <c r="F627" s="1">
        <v>44952</v>
      </c>
      <c r="G627" t="str">
        <f>"89180"</f>
        <v>89180</v>
      </c>
      <c r="H627">
        <v>1</v>
      </c>
      <c r="I627">
        <v>381</v>
      </c>
      <c r="J627">
        <v>0</v>
      </c>
      <c r="K627" t="str">
        <f t="shared" si="107"/>
        <v>809</v>
      </c>
      <c r="L627">
        <v>560.07000000000005</v>
      </c>
    </row>
    <row r="628" spans="1:12" x14ac:dyDescent="0.25">
      <c r="A628" t="str">
        <f t="shared" si="98"/>
        <v>89301000</v>
      </c>
      <c r="B628" t="str">
        <f t="shared" si="105"/>
        <v>89383000</v>
      </c>
      <c r="C628" t="str">
        <f t="shared" si="106"/>
        <v>89383002</v>
      </c>
      <c r="D628">
        <v>89301212</v>
      </c>
      <c r="E628" t="str">
        <f>"456219438"</f>
        <v>456219438</v>
      </c>
      <c r="F628" s="1">
        <v>44953</v>
      </c>
      <c r="G628" t="str">
        <f>"89513"</f>
        <v>89513</v>
      </c>
      <c r="H628">
        <v>1</v>
      </c>
      <c r="I628">
        <v>378</v>
      </c>
      <c r="J628">
        <v>0</v>
      </c>
      <c r="K628" t="str">
        <f t="shared" si="107"/>
        <v>809</v>
      </c>
      <c r="L628">
        <v>555.66</v>
      </c>
    </row>
    <row r="629" spans="1:12" x14ac:dyDescent="0.25">
      <c r="A629" t="str">
        <f t="shared" si="98"/>
        <v>89301000</v>
      </c>
      <c r="B629" t="str">
        <f t="shared" si="105"/>
        <v>89383000</v>
      </c>
      <c r="C629" t="str">
        <f t="shared" si="106"/>
        <v>89383002</v>
      </c>
      <c r="D629">
        <v>89301212</v>
      </c>
      <c r="E629" t="str">
        <f>"456219438"</f>
        <v>456219438</v>
      </c>
      <c r="F629" s="1">
        <v>44953</v>
      </c>
      <c r="G629" t="str">
        <f>"89514"</f>
        <v>89514</v>
      </c>
      <c r="H629">
        <v>1</v>
      </c>
      <c r="I629">
        <v>378</v>
      </c>
      <c r="J629">
        <v>0</v>
      </c>
      <c r="K629" t="str">
        <f t="shared" si="107"/>
        <v>809</v>
      </c>
      <c r="L629">
        <v>555.66</v>
      </c>
    </row>
    <row r="630" spans="1:12" x14ac:dyDescent="0.25">
      <c r="A630" t="str">
        <f t="shared" si="98"/>
        <v>89301000</v>
      </c>
      <c r="B630" t="str">
        <f t="shared" si="105"/>
        <v>89383000</v>
      </c>
      <c r="C630" t="str">
        <f t="shared" si="106"/>
        <v>89383002</v>
      </c>
      <c r="D630">
        <v>89301212</v>
      </c>
      <c r="E630" t="str">
        <f>"6456211740"</f>
        <v>6456211740</v>
      </c>
      <c r="F630" s="1">
        <v>44956</v>
      </c>
      <c r="G630" t="str">
        <f>"89512"</f>
        <v>89512</v>
      </c>
      <c r="H630">
        <v>1</v>
      </c>
      <c r="I630">
        <v>283</v>
      </c>
      <c r="J630">
        <v>0</v>
      </c>
      <c r="K630" t="str">
        <f t="shared" si="107"/>
        <v>809</v>
      </c>
      <c r="L630">
        <v>416.01</v>
      </c>
    </row>
    <row r="631" spans="1:12" x14ac:dyDescent="0.25">
      <c r="A631" t="str">
        <f t="shared" si="98"/>
        <v>89301000</v>
      </c>
      <c r="B631" t="str">
        <f t="shared" si="105"/>
        <v>89383000</v>
      </c>
      <c r="C631" t="str">
        <f t="shared" si="106"/>
        <v>89383002</v>
      </c>
      <c r="D631">
        <v>89301162</v>
      </c>
      <c r="E631" t="str">
        <f>"8756156145"</f>
        <v>8756156145</v>
      </c>
      <c r="F631" s="1">
        <v>44956</v>
      </c>
      <c r="G631" t="str">
        <f>"89512"</f>
        <v>89512</v>
      </c>
      <c r="H631">
        <v>1</v>
      </c>
      <c r="I631">
        <v>283</v>
      </c>
      <c r="J631">
        <v>0</v>
      </c>
      <c r="K631" t="str">
        <f t="shared" si="107"/>
        <v>809</v>
      </c>
      <c r="L631">
        <v>416.01</v>
      </c>
    </row>
    <row r="632" spans="1:12" x14ac:dyDescent="0.25">
      <c r="A632" t="str">
        <f t="shared" si="98"/>
        <v>89301000</v>
      </c>
      <c r="B632" t="str">
        <f t="shared" si="105"/>
        <v>89383000</v>
      </c>
      <c r="C632" t="str">
        <f t="shared" si="106"/>
        <v>89383002</v>
      </c>
      <c r="D632">
        <v>89301212</v>
      </c>
      <c r="E632" t="str">
        <f>"7856075381"</f>
        <v>7856075381</v>
      </c>
      <c r="F632" s="1">
        <v>44957</v>
      </c>
      <c r="G632" t="str">
        <f>"89512"</f>
        <v>89512</v>
      </c>
      <c r="H632">
        <v>1</v>
      </c>
      <c r="I632">
        <v>283</v>
      </c>
      <c r="J632">
        <v>0</v>
      </c>
      <c r="K632" t="str">
        <f t="shared" si="107"/>
        <v>809</v>
      </c>
      <c r="L632">
        <v>416.01</v>
      </c>
    </row>
    <row r="633" spans="1:12" x14ac:dyDescent="0.25">
      <c r="A633" t="str">
        <f t="shared" si="98"/>
        <v>89301000</v>
      </c>
      <c r="B633" t="str">
        <f t="shared" ref="B633:B639" si="108">"85600000"</f>
        <v>85600000</v>
      </c>
      <c r="C633" t="str">
        <f>"85600421"</f>
        <v>85600421</v>
      </c>
      <c r="D633">
        <v>89301212</v>
      </c>
      <c r="E633" t="str">
        <f>"5661041232"</f>
        <v>5661041232</v>
      </c>
      <c r="F633" s="1">
        <v>44935</v>
      </c>
      <c r="G633" t="str">
        <f>"89131"</f>
        <v>89131</v>
      </c>
      <c r="H633">
        <v>1</v>
      </c>
      <c r="I633">
        <v>190</v>
      </c>
      <c r="J633">
        <v>0</v>
      </c>
      <c r="K633" t="str">
        <f t="shared" si="107"/>
        <v>809</v>
      </c>
      <c r="L633">
        <v>279.3</v>
      </c>
    </row>
    <row r="634" spans="1:12" x14ac:dyDescent="0.25">
      <c r="A634" t="str">
        <f t="shared" si="98"/>
        <v>89301000</v>
      </c>
      <c r="B634" t="str">
        <f t="shared" si="108"/>
        <v>85600000</v>
      </c>
      <c r="C634" t="str">
        <f>"85600421"</f>
        <v>85600421</v>
      </c>
      <c r="D634">
        <v>89301212</v>
      </c>
      <c r="E634" t="str">
        <f>"7755215446"</f>
        <v>7755215446</v>
      </c>
      <c r="F634" s="1">
        <v>44949</v>
      </c>
      <c r="G634" t="str">
        <f>"89611"</f>
        <v>89611</v>
      </c>
      <c r="H634">
        <v>1</v>
      </c>
      <c r="I634">
        <v>2262</v>
      </c>
      <c r="J634">
        <v>0</v>
      </c>
      <c r="K634" t="str">
        <f t="shared" si="107"/>
        <v>809</v>
      </c>
      <c r="L634">
        <v>1470.3</v>
      </c>
    </row>
    <row r="635" spans="1:12" x14ac:dyDescent="0.25">
      <c r="A635" t="str">
        <f t="shared" si="98"/>
        <v>89301000</v>
      </c>
      <c r="B635" t="str">
        <f t="shared" si="108"/>
        <v>85600000</v>
      </c>
      <c r="C635" t="str">
        <f>"85600421"</f>
        <v>85600421</v>
      </c>
      <c r="D635">
        <v>89301212</v>
      </c>
      <c r="E635" t="str">
        <f>"7755215446"</f>
        <v>7755215446</v>
      </c>
      <c r="F635" s="1">
        <v>44949</v>
      </c>
      <c r="G635" t="str">
        <f>"0137480"</f>
        <v>0137480</v>
      </c>
      <c r="H635">
        <v>0.2</v>
      </c>
      <c r="J635">
        <v>990.84</v>
      </c>
      <c r="K635" t="str">
        <f t="shared" si="107"/>
        <v>809</v>
      </c>
      <c r="L635">
        <v>990.84</v>
      </c>
    </row>
    <row r="636" spans="1:12" x14ac:dyDescent="0.25">
      <c r="A636" t="str">
        <f t="shared" si="98"/>
        <v>89301000</v>
      </c>
      <c r="B636" t="str">
        <f t="shared" si="108"/>
        <v>85600000</v>
      </c>
      <c r="C636" t="str">
        <f>"85600422"</f>
        <v>85600422</v>
      </c>
      <c r="D636">
        <v>89301172</v>
      </c>
      <c r="E636" t="str">
        <f>"9554175323"</f>
        <v>9554175323</v>
      </c>
      <c r="F636" s="1">
        <v>44939</v>
      </c>
      <c r="G636" t="str">
        <f>"89725"</f>
        <v>89725</v>
      </c>
      <c r="H636">
        <v>1</v>
      </c>
      <c r="I636">
        <v>2863</v>
      </c>
      <c r="J636">
        <v>0</v>
      </c>
      <c r="K636" t="str">
        <f t="shared" ref="K636:K643" si="109">"810"</f>
        <v>810</v>
      </c>
      <c r="L636">
        <v>1860.95</v>
      </c>
    </row>
    <row r="637" spans="1:12" x14ac:dyDescent="0.25">
      <c r="A637" t="str">
        <f t="shared" si="98"/>
        <v>89301000</v>
      </c>
      <c r="B637" t="str">
        <f t="shared" si="108"/>
        <v>85600000</v>
      </c>
      <c r="C637" t="str">
        <f>"85600422"</f>
        <v>85600422</v>
      </c>
      <c r="D637">
        <v>89301172</v>
      </c>
      <c r="E637" t="str">
        <f>"9554175323"</f>
        <v>9554175323</v>
      </c>
      <c r="F637" s="1">
        <v>44939</v>
      </c>
      <c r="G637" t="str">
        <f>"89713"</f>
        <v>89713</v>
      </c>
      <c r="H637">
        <v>1</v>
      </c>
      <c r="I637">
        <v>5411</v>
      </c>
      <c r="J637">
        <v>0</v>
      </c>
      <c r="K637" t="str">
        <f t="shared" si="109"/>
        <v>810</v>
      </c>
      <c r="L637">
        <v>3517.15</v>
      </c>
    </row>
    <row r="638" spans="1:12" x14ac:dyDescent="0.25">
      <c r="A638" t="str">
        <f t="shared" si="98"/>
        <v>89301000</v>
      </c>
      <c r="B638" t="str">
        <f t="shared" si="108"/>
        <v>85600000</v>
      </c>
      <c r="C638" t="str">
        <f>"85600422"</f>
        <v>85600422</v>
      </c>
      <c r="D638">
        <v>89301172</v>
      </c>
      <c r="E638" t="str">
        <f>"9554175323"</f>
        <v>9554175323</v>
      </c>
      <c r="F638" s="1">
        <v>44939</v>
      </c>
      <c r="G638" t="str">
        <f>"89713"</f>
        <v>89713</v>
      </c>
      <c r="H638">
        <v>1</v>
      </c>
      <c r="I638">
        <v>5411</v>
      </c>
      <c r="J638">
        <v>0</v>
      </c>
      <c r="K638" t="str">
        <f t="shared" si="109"/>
        <v>810</v>
      </c>
      <c r="L638">
        <v>3517.15</v>
      </c>
    </row>
    <row r="639" spans="1:12" x14ac:dyDescent="0.25">
      <c r="A639" t="str">
        <f t="shared" si="98"/>
        <v>89301000</v>
      </c>
      <c r="B639" t="str">
        <f t="shared" si="108"/>
        <v>85600000</v>
      </c>
      <c r="C639" t="str">
        <f>"85600422"</f>
        <v>85600422</v>
      </c>
      <c r="D639">
        <v>89301172</v>
      </c>
      <c r="E639" t="str">
        <f>"9554175323"</f>
        <v>9554175323</v>
      </c>
      <c r="F639" s="1">
        <v>44939</v>
      </c>
      <c r="G639" t="str">
        <f>"0224139"</f>
        <v>0224139</v>
      </c>
      <c r="H639">
        <v>0.1</v>
      </c>
      <c r="J639">
        <v>850.86</v>
      </c>
      <c r="K639" t="str">
        <f t="shared" si="109"/>
        <v>810</v>
      </c>
      <c r="L639">
        <v>850.86</v>
      </c>
    </row>
    <row r="640" spans="1:12" x14ac:dyDescent="0.25">
      <c r="A640" t="str">
        <f t="shared" si="98"/>
        <v>89301000</v>
      </c>
      <c r="B640" t="str">
        <f>"87013000"</f>
        <v>87013000</v>
      </c>
      <c r="C640" t="str">
        <f>"87013880"</f>
        <v>87013880</v>
      </c>
      <c r="D640">
        <v>89301142</v>
      </c>
      <c r="E640" t="str">
        <f>"0353035606"</f>
        <v>0353035606</v>
      </c>
      <c r="F640" s="1">
        <v>44946</v>
      </c>
      <c r="G640" t="str">
        <f>"89725"</f>
        <v>89725</v>
      </c>
      <c r="H640">
        <v>1</v>
      </c>
      <c r="I640">
        <v>2863</v>
      </c>
      <c r="J640">
        <v>0</v>
      </c>
      <c r="K640" t="str">
        <f t="shared" si="109"/>
        <v>810</v>
      </c>
      <c r="L640">
        <v>1860.95</v>
      </c>
    </row>
    <row r="641" spans="1:12" x14ac:dyDescent="0.25">
      <c r="A641" t="str">
        <f t="shared" si="98"/>
        <v>89301000</v>
      </c>
      <c r="B641" t="str">
        <f>"87013000"</f>
        <v>87013000</v>
      </c>
      <c r="C641" t="str">
        <f>"87013880"</f>
        <v>87013880</v>
      </c>
      <c r="D641">
        <v>89301142</v>
      </c>
      <c r="E641" t="str">
        <f>"0353035606"</f>
        <v>0353035606</v>
      </c>
      <c r="F641" s="1">
        <v>44946</v>
      </c>
      <c r="G641" t="str">
        <f>"89713"</f>
        <v>89713</v>
      </c>
      <c r="H641">
        <v>1</v>
      </c>
      <c r="I641">
        <v>5411</v>
      </c>
      <c r="J641">
        <v>0</v>
      </c>
      <c r="K641" t="str">
        <f t="shared" si="109"/>
        <v>810</v>
      </c>
      <c r="L641">
        <v>3517.15</v>
      </c>
    </row>
    <row r="642" spans="1:12" x14ac:dyDescent="0.25">
      <c r="A642" t="str">
        <f t="shared" ref="A642:A705" si="110">"89301000"</f>
        <v>89301000</v>
      </c>
      <c r="B642" t="str">
        <f>"87013000"</f>
        <v>87013000</v>
      </c>
      <c r="C642" t="str">
        <f>"87013880"</f>
        <v>87013880</v>
      </c>
      <c r="D642">
        <v>89301142</v>
      </c>
      <c r="E642" t="str">
        <f>"0353035606"</f>
        <v>0353035606</v>
      </c>
      <c r="F642" s="1">
        <v>44946</v>
      </c>
      <c r="G642" t="str">
        <f>"89713"</f>
        <v>89713</v>
      </c>
      <c r="H642">
        <v>1</v>
      </c>
      <c r="I642">
        <v>5411</v>
      </c>
      <c r="J642">
        <v>0</v>
      </c>
      <c r="K642" t="str">
        <f t="shared" si="109"/>
        <v>810</v>
      </c>
      <c r="L642">
        <v>3517.15</v>
      </c>
    </row>
    <row r="643" spans="1:12" x14ac:dyDescent="0.25">
      <c r="A643" t="str">
        <f t="shared" si="110"/>
        <v>89301000</v>
      </c>
      <c r="B643" t="str">
        <f>"82001000"</f>
        <v>82001000</v>
      </c>
      <c r="C643" t="str">
        <f>"82001846"</f>
        <v>82001846</v>
      </c>
      <c r="D643">
        <v>89301062</v>
      </c>
      <c r="E643" t="str">
        <f>"505306010"</f>
        <v>505306010</v>
      </c>
      <c r="F643" s="1">
        <v>44947</v>
      </c>
      <c r="G643" t="str">
        <f>"89713"</f>
        <v>89713</v>
      </c>
      <c r="H643">
        <v>1</v>
      </c>
      <c r="I643">
        <v>5411</v>
      </c>
      <c r="J643">
        <v>0</v>
      </c>
      <c r="K643" t="str">
        <f t="shared" si="109"/>
        <v>810</v>
      </c>
      <c r="L643">
        <v>3517.15</v>
      </c>
    </row>
    <row r="644" spans="1:12" x14ac:dyDescent="0.25">
      <c r="A644" t="str">
        <f t="shared" si="110"/>
        <v>89301000</v>
      </c>
      <c r="B644" t="str">
        <f>"80001000"</f>
        <v>80001000</v>
      </c>
      <c r="C644" t="str">
        <f>"80001985"</f>
        <v>80001985</v>
      </c>
      <c r="D644">
        <v>89301215</v>
      </c>
      <c r="E644" t="str">
        <f>"5654140294"</f>
        <v>5654140294</v>
      </c>
      <c r="F644" s="1">
        <v>44929</v>
      </c>
      <c r="G644" t="str">
        <f>"89180"</f>
        <v>89180</v>
      </c>
      <c r="H644">
        <v>1</v>
      </c>
      <c r="I644">
        <v>381</v>
      </c>
      <c r="J644">
        <v>0</v>
      </c>
      <c r="K644" t="str">
        <f t="shared" ref="K644:K662" si="111">"809"</f>
        <v>809</v>
      </c>
      <c r="L644">
        <v>560.07000000000005</v>
      </c>
    </row>
    <row r="645" spans="1:12" x14ac:dyDescent="0.25">
      <c r="A645" t="str">
        <f t="shared" si="110"/>
        <v>89301000</v>
      </c>
      <c r="B645" t="str">
        <f t="shared" ref="B645:B670" si="112">"93201000"</f>
        <v>93201000</v>
      </c>
      <c r="C645" t="str">
        <f t="shared" ref="C645:C662" si="113">"93201350"</f>
        <v>93201350</v>
      </c>
      <c r="D645">
        <v>89301212</v>
      </c>
      <c r="E645" t="str">
        <f>"8055285788"</f>
        <v>8055285788</v>
      </c>
      <c r="F645" s="1">
        <v>44945</v>
      </c>
      <c r="G645" t="str">
        <f>"89513"</f>
        <v>89513</v>
      </c>
      <c r="H645">
        <v>1</v>
      </c>
      <c r="I645">
        <v>378</v>
      </c>
      <c r="J645">
        <v>0</v>
      </c>
      <c r="K645" t="str">
        <f t="shared" si="111"/>
        <v>809</v>
      </c>
      <c r="L645">
        <v>555.66</v>
      </c>
    </row>
    <row r="646" spans="1:12" x14ac:dyDescent="0.25">
      <c r="A646" t="str">
        <f t="shared" si="110"/>
        <v>89301000</v>
      </c>
      <c r="B646" t="str">
        <f t="shared" si="112"/>
        <v>93201000</v>
      </c>
      <c r="C646" t="str">
        <f t="shared" si="113"/>
        <v>93201350</v>
      </c>
      <c r="D646">
        <v>89301212</v>
      </c>
      <c r="E646" t="str">
        <f>"8055285788"</f>
        <v>8055285788</v>
      </c>
      <c r="F646" s="1">
        <v>44945</v>
      </c>
      <c r="G646" t="str">
        <f>"89514"</f>
        <v>89514</v>
      </c>
      <c r="H646">
        <v>1</v>
      </c>
      <c r="I646">
        <v>378</v>
      </c>
      <c r="J646">
        <v>0</v>
      </c>
      <c r="K646" t="str">
        <f t="shared" si="111"/>
        <v>809</v>
      </c>
      <c r="L646">
        <v>555.66</v>
      </c>
    </row>
    <row r="647" spans="1:12" x14ac:dyDescent="0.25">
      <c r="A647" t="str">
        <f t="shared" si="110"/>
        <v>89301000</v>
      </c>
      <c r="B647" t="str">
        <f t="shared" si="112"/>
        <v>93201000</v>
      </c>
      <c r="C647" t="str">
        <f t="shared" si="113"/>
        <v>93201350</v>
      </c>
      <c r="D647">
        <v>89301032</v>
      </c>
      <c r="E647" t="str">
        <f>"7652075794"</f>
        <v>7652075794</v>
      </c>
      <c r="F647" s="1">
        <v>44937</v>
      </c>
      <c r="G647" t="str">
        <f>"89517"</f>
        <v>89517</v>
      </c>
      <c r="H647">
        <v>1</v>
      </c>
      <c r="I647">
        <v>994</v>
      </c>
      <c r="J647">
        <v>0</v>
      </c>
      <c r="K647" t="str">
        <f t="shared" si="111"/>
        <v>809</v>
      </c>
      <c r="L647">
        <v>1461.18</v>
      </c>
    </row>
    <row r="648" spans="1:12" x14ac:dyDescent="0.25">
      <c r="A648" t="str">
        <f t="shared" si="110"/>
        <v>89301000</v>
      </c>
      <c r="B648" t="str">
        <f t="shared" si="112"/>
        <v>93201000</v>
      </c>
      <c r="C648" t="str">
        <f t="shared" si="113"/>
        <v>93201350</v>
      </c>
      <c r="D648">
        <v>89301212</v>
      </c>
      <c r="E648" t="str">
        <f>"5858270297"</f>
        <v>5858270297</v>
      </c>
      <c r="F648" s="1">
        <v>44950</v>
      </c>
      <c r="G648" t="str">
        <f>"89513"</f>
        <v>89513</v>
      </c>
      <c r="H648">
        <v>1</v>
      </c>
      <c r="I648">
        <v>378</v>
      </c>
      <c r="J648">
        <v>0</v>
      </c>
      <c r="K648" t="str">
        <f t="shared" si="111"/>
        <v>809</v>
      </c>
      <c r="L648">
        <v>555.66</v>
      </c>
    </row>
    <row r="649" spans="1:12" x14ac:dyDescent="0.25">
      <c r="A649" t="str">
        <f t="shared" si="110"/>
        <v>89301000</v>
      </c>
      <c r="B649" t="str">
        <f t="shared" si="112"/>
        <v>93201000</v>
      </c>
      <c r="C649" t="str">
        <f t="shared" si="113"/>
        <v>93201350</v>
      </c>
      <c r="D649">
        <v>89301212</v>
      </c>
      <c r="E649" t="str">
        <f>"5858270297"</f>
        <v>5858270297</v>
      </c>
      <c r="F649" s="1">
        <v>44950</v>
      </c>
      <c r="G649" t="str">
        <f>"89514"</f>
        <v>89514</v>
      </c>
      <c r="H649">
        <v>1</v>
      </c>
      <c r="I649">
        <v>378</v>
      </c>
      <c r="J649">
        <v>0</v>
      </c>
      <c r="K649" t="str">
        <f t="shared" si="111"/>
        <v>809</v>
      </c>
      <c r="L649">
        <v>555.66</v>
      </c>
    </row>
    <row r="650" spans="1:12" x14ac:dyDescent="0.25">
      <c r="A650" t="str">
        <f t="shared" si="110"/>
        <v>89301000</v>
      </c>
      <c r="B650" t="str">
        <f t="shared" si="112"/>
        <v>93201000</v>
      </c>
      <c r="C650" t="str">
        <f t="shared" si="113"/>
        <v>93201350</v>
      </c>
      <c r="D650">
        <v>89301212</v>
      </c>
      <c r="E650" t="str">
        <f>"8801720532"</f>
        <v>8801720532</v>
      </c>
      <c r="F650" s="1">
        <v>44930</v>
      </c>
      <c r="G650" t="str">
        <f>"09137"</f>
        <v>09137</v>
      </c>
      <c r="H650">
        <v>1</v>
      </c>
      <c r="I650">
        <v>238</v>
      </c>
      <c r="J650">
        <v>0</v>
      </c>
      <c r="K650" t="str">
        <f t="shared" si="111"/>
        <v>809</v>
      </c>
      <c r="L650">
        <v>349.86</v>
      </c>
    </row>
    <row r="651" spans="1:12" x14ac:dyDescent="0.25">
      <c r="A651" t="str">
        <f t="shared" si="110"/>
        <v>89301000</v>
      </c>
      <c r="B651" t="str">
        <f t="shared" si="112"/>
        <v>93201000</v>
      </c>
      <c r="C651" t="str">
        <f t="shared" si="113"/>
        <v>93201350</v>
      </c>
      <c r="D651">
        <v>89301212</v>
      </c>
      <c r="E651" t="str">
        <f>"8662296247"</f>
        <v>8662296247</v>
      </c>
      <c r="F651" s="1">
        <v>44938</v>
      </c>
      <c r="G651" t="str">
        <f>"89619"</f>
        <v>89619</v>
      </c>
      <c r="H651">
        <v>1</v>
      </c>
      <c r="I651">
        <v>1218</v>
      </c>
      <c r="J651">
        <v>0</v>
      </c>
      <c r="K651" t="str">
        <f t="shared" si="111"/>
        <v>809</v>
      </c>
      <c r="L651">
        <v>791.7</v>
      </c>
    </row>
    <row r="652" spans="1:12" x14ac:dyDescent="0.25">
      <c r="A652" t="str">
        <f t="shared" si="110"/>
        <v>89301000</v>
      </c>
      <c r="B652" t="str">
        <f t="shared" si="112"/>
        <v>93201000</v>
      </c>
      <c r="C652" t="str">
        <f t="shared" si="113"/>
        <v>93201350</v>
      </c>
      <c r="D652">
        <v>89301212</v>
      </c>
      <c r="E652" t="str">
        <f>"8662296247"</f>
        <v>8662296247</v>
      </c>
      <c r="F652" s="1">
        <v>44938</v>
      </c>
      <c r="G652" t="str">
        <f>"89617"</f>
        <v>89617</v>
      </c>
      <c r="H652">
        <v>1</v>
      </c>
      <c r="I652">
        <v>1342</v>
      </c>
      <c r="J652">
        <v>0</v>
      </c>
      <c r="K652" t="str">
        <f t="shared" si="111"/>
        <v>809</v>
      </c>
      <c r="L652">
        <v>872.3</v>
      </c>
    </row>
    <row r="653" spans="1:12" x14ac:dyDescent="0.25">
      <c r="A653" t="str">
        <f t="shared" si="110"/>
        <v>89301000</v>
      </c>
      <c r="B653" t="str">
        <f t="shared" si="112"/>
        <v>93201000</v>
      </c>
      <c r="C653" t="str">
        <f t="shared" si="113"/>
        <v>93201350</v>
      </c>
      <c r="D653">
        <v>89301212</v>
      </c>
      <c r="E653" t="str">
        <f>"8662296247"</f>
        <v>8662296247</v>
      </c>
      <c r="F653" s="1">
        <v>44938</v>
      </c>
      <c r="G653" t="str">
        <f>"89611"</f>
        <v>89611</v>
      </c>
      <c r="H653">
        <v>1</v>
      </c>
      <c r="I653">
        <v>2262</v>
      </c>
      <c r="J653">
        <v>0</v>
      </c>
      <c r="K653" t="str">
        <f t="shared" si="111"/>
        <v>809</v>
      </c>
      <c r="L653">
        <v>1470.3</v>
      </c>
    </row>
    <row r="654" spans="1:12" x14ac:dyDescent="0.25">
      <c r="A654" t="str">
        <f t="shared" si="110"/>
        <v>89301000</v>
      </c>
      <c r="B654" t="str">
        <f t="shared" si="112"/>
        <v>93201000</v>
      </c>
      <c r="C654" t="str">
        <f t="shared" si="113"/>
        <v>93201350</v>
      </c>
      <c r="D654">
        <v>89301215</v>
      </c>
      <c r="E654" t="str">
        <f>"470722438"</f>
        <v>470722438</v>
      </c>
      <c r="F654" s="1">
        <v>44936</v>
      </c>
      <c r="G654" t="str">
        <f>"89619"</f>
        <v>89619</v>
      </c>
      <c r="H654">
        <v>1</v>
      </c>
      <c r="I654">
        <v>1218</v>
      </c>
      <c r="J654">
        <v>0</v>
      </c>
      <c r="K654" t="str">
        <f t="shared" si="111"/>
        <v>809</v>
      </c>
      <c r="L654">
        <v>791.7</v>
      </c>
    </row>
    <row r="655" spans="1:12" x14ac:dyDescent="0.25">
      <c r="A655" t="str">
        <f t="shared" si="110"/>
        <v>89301000</v>
      </c>
      <c r="B655" t="str">
        <f t="shared" si="112"/>
        <v>93201000</v>
      </c>
      <c r="C655" t="str">
        <f t="shared" si="113"/>
        <v>93201350</v>
      </c>
      <c r="D655">
        <v>89301215</v>
      </c>
      <c r="E655" t="str">
        <f>"470722438"</f>
        <v>470722438</v>
      </c>
      <c r="F655" s="1">
        <v>44936</v>
      </c>
      <c r="G655" t="str">
        <f>"89617"</f>
        <v>89617</v>
      </c>
      <c r="H655">
        <v>1</v>
      </c>
      <c r="I655">
        <v>1342</v>
      </c>
      <c r="J655">
        <v>0</v>
      </c>
      <c r="K655" t="str">
        <f t="shared" si="111"/>
        <v>809</v>
      </c>
      <c r="L655">
        <v>872.3</v>
      </c>
    </row>
    <row r="656" spans="1:12" x14ac:dyDescent="0.25">
      <c r="A656" t="str">
        <f t="shared" si="110"/>
        <v>89301000</v>
      </c>
      <c r="B656" t="str">
        <f t="shared" si="112"/>
        <v>93201000</v>
      </c>
      <c r="C656" t="str">
        <f t="shared" si="113"/>
        <v>93201350</v>
      </c>
      <c r="D656">
        <v>89301215</v>
      </c>
      <c r="E656" t="str">
        <f>"470722438"</f>
        <v>470722438</v>
      </c>
      <c r="F656" s="1">
        <v>44936</v>
      </c>
      <c r="G656" t="str">
        <f>"89611"</f>
        <v>89611</v>
      </c>
      <c r="H656">
        <v>1</v>
      </c>
      <c r="I656">
        <v>2262</v>
      </c>
      <c r="J656">
        <v>0</v>
      </c>
      <c r="K656" t="str">
        <f t="shared" si="111"/>
        <v>809</v>
      </c>
      <c r="L656">
        <v>1470.3</v>
      </c>
    </row>
    <row r="657" spans="1:12" x14ac:dyDescent="0.25">
      <c r="A657" t="str">
        <f t="shared" si="110"/>
        <v>89301000</v>
      </c>
      <c r="B657" t="str">
        <f t="shared" si="112"/>
        <v>93201000</v>
      </c>
      <c r="C657" t="str">
        <f t="shared" si="113"/>
        <v>93201350</v>
      </c>
      <c r="D657">
        <v>89301215</v>
      </c>
      <c r="E657" t="str">
        <f>"470722438"</f>
        <v>470722438</v>
      </c>
      <c r="F657" s="1">
        <v>44936</v>
      </c>
      <c r="G657" t="str">
        <f>"0137480"</f>
        <v>0137480</v>
      </c>
      <c r="H657">
        <v>0.16</v>
      </c>
      <c r="J657">
        <v>803.86</v>
      </c>
      <c r="K657" t="str">
        <f t="shared" si="111"/>
        <v>809</v>
      </c>
      <c r="L657">
        <v>803.86</v>
      </c>
    </row>
    <row r="658" spans="1:12" x14ac:dyDescent="0.25">
      <c r="A658" t="str">
        <f t="shared" si="110"/>
        <v>89301000</v>
      </c>
      <c r="B658" t="str">
        <f t="shared" si="112"/>
        <v>93201000</v>
      </c>
      <c r="C658" t="str">
        <f t="shared" si="113"/>
        <v>93201350</v>
      </c>
      <c r="D658">
        <v>89301215</v>
      </c>
      <c r="E658" t="str">
        <f>"470722438"</f>
        <v>470722438</v>
      </c>
      <c r="F658" s="1">
        <v>44936</v>
      </c>
      <c r="G658" t="str">
        <f>"0096278"</f>
        <v>0096278</v>
      </c>
      <c r="H658">
        <v>5.0000000000000001E-3</v>
      </c>
      <c r="J658">
        <v>97.23</v>
      </c>
      <c r="K658" t="str">
        <f t="shared" si="111"/>
        <v>809</v>
      </c>
      <c r="L658">
        <v>97.23</v>
      </c>
    </row>
    <row r="659" spans="1:12" x14ac:dyDescent="0.25">
      <c r="A659" t="str">
        <f t="shared" si="110"/>
        <v>89301000</v>
      </c>
      <c r="B659" t="str">
        <f t="shared" si="112"/>
        <v>93201000</v>
      </c>
      <c r="C659" t="str">
        <f t="shared" si="113"/>
        <v>93201350</v>
      </c>
      <c r="D659">
        <v>89301212</v>
      </c>
      <c r="E659" t="str">
        <f>"7359105754"</f>
        <v>7359105754</v>
      </c>
      <c r="F659" s="1">
        <v>44937</v>
      </c>
      <c r="G659" t="str">
        <f>"89512"</f>
        <v>89512</v>
      </c>
      <c r="H659">
        <v>1</v>
      </c>
      <c r="I659">
        <v>283</v>
      </c>
      <c r="J659">
        <v>0</v>
      </c>
      <c r="K659" t="str">
        <f t="shared" si="111"/>
        <v>809</v>
      </c>
      <c r="L659">
        <v>416.01</v>
      </c>
    </row>
    <row r="660" spans="1:12" x14ac:dyDescent="0.25">
      <c r="A660" t="str">
        <f t="shared" si="110"/>
        <v>89301000</v>
      </c>
      <c r="B660" t="str">
        <f t="shared" si="112"/>
        <v>93201000</v>
      </c>
      <c r="C660" t="str">
        <f t="shared" si="113"/>
        <v>93201350</v>
      </c>
      <c r="D660">
        <v>89301212</v>
      </c>
      <c r="E660" t="str">
        <f>"7359105754"</f>
        <v>7359105754</v>
      </c>
      <c r="F660" s="1">
        <v>44937</v>
      </c>
      <c r="G660" t="str">
        <f>"89180"</f>
        <v>89180</v>
      </c>
      <c r="H660">
        <v>2</v>
      </c>
      <c r="I660">
        <v>762</v>
      </c>
      <c r="J660">
        <v>0</v>
      </c>
      <c r="K660" t="str">
        <f t="shared" si="111"/>
        <v>809</v>
      </c>
      <c r="L660">
        <v>1120.1400000000001</v>
      </c>
    </row>
    <row r="661" spans="1:12" x14ac:dyDescent="0.25">
      <c r="A661" t="str">
        <f t="shared" si="110"/>
        <v>89301000</v>
      </c>
      <c r="B661" t="str">
        <f t="shared" si="112"/>
        <v>93201000</v>
      </c>
      <c r="C661" t="str">
        <f t="shared" si="113"/>
        <v>93201350</v>
      </c>
      <c r="D661">
        <v>89301212</v>
      </c>
      <c r="E661" t="str">
        <f>"5858270297"</f>
        <v>5858270297</v>
      </c>
      <c r="F661" s="1">
        <v>44950</v>
      </c>
      <c r="G661" t="str">
        <f>"89512"</f>
        <v>89512</v>
      </c>
      <c r="H661">
        <v>1</v>
      </c>
      <c r="I661">
        <v>283</v>
      </c>
      <c r="J661">
        <v>0</v>
      </c>
      <c r="K661" t="str">
        <f t="shared" si="111"/>
        <v>809</v>
      </c>
      <c r="L661">
        <v>416.01</v>
      </c>
    </row>
    <row r="662" spans="1:12" x14ac:dyDescent="0.25">
      <c r="A662" t="str">
        <f t="shared" si="110"/>
        <v>89301000</v>
      </c>
      <c r="B662" t="str">
        <f t="shared" si="112"/>
        <v>93201000</v>
      </c>
      <c r="C662" t="str">
        <f t="shared" si="113"/>
        <v>93201350</v>
      </c>
      <c r="D662">
        <v>89301212</v>
      </c>
      <c r="E662" t="str">
        <f>"5858270297"</f>
        <v>5858270297</v>
      </c>
      <c r="F662" s="1">
        <v>44950</v>
      </c>
      <c r="G662" t="str">
        <f>"89180"</f>
        <v>89180</v>
      </c>
      <c r="H662">
        <v>2</v>
      </c>
      <c r="I662">
        <v>762</v>
      </c>
      <c r="J662">
        <v>0</v>
      </c>
      <c r="K662" t="str">
        <f t="shared" si="111"/>
        <v>809</v>
      </c>
      <c r="L662">
        <v>1120.1400000000001</v>
      </c>
    </row>
    <row r="663" spans="1:12" x14ac:dyDescent="0.25">
      <c r="A663" t="str">
        <f t="shared" si="110"/>
        <v>89301000</v>
      </c>
      <c r="B663" t="str">
        <f t="shared" si="112"/>
        <v>93201000</v>
      </c>
      <c r="C663" t="str">
        <f t="shared" ref="C663:C670" si="114">"93201355"</f>
        <v>93201355</v>
      </c>
      <c r="D663">
        <v>89301062</v>
      </c>
      <c r="E663" t="str">
        <f>"5452100577"</f>
        <v>5452100577</v>
      </c>
      <c r="F663" s="1">
        <v>44932</v>
      </c>
      <c r="G663" t="str">
        <f>"89713"</f>
        <v>89713</v>
      </c>
      <c r="H663">
        <v>1</v>
      </c>
      <c r="I663">
        <v>5411</v>
      </c>
      <c r="J663">
        <v>0</v>
      </c>
      <c r="K663" t="str">
        <f t="shared" ref="K663:K670" si="115">"810"</f>
        <v>810</v>
      </c>
      <c r="L663">
        <v>3517.15</v>
      </c>
    </row>
    <row r="664" spans="1:12" x14ac:dyDescent="0.25">
      <c r="A664" t="str">
        <f t="shared" si="110"/>
        <v>89301000</v>
      </c>
      <c r="B664" t="str">
        <f t="shared" si="112"/>
        <v>93201000</v>
      </c>
      <c r="C664" t="str">
        <f t="shared" si="114"/>
        <v>93201355</v>
      </c>
      <c r="D664">
        <v>89301172</v>
      </c>
      <c r="E664" t="str">
        <f>"6352110171"</f>
        <v>6352110171</v>
      </c>
      <c r="F664" s="1">
        <v>44942</v>
      </c>
      <c r="G664" t="str">
        <f>"89713"</f>
        <v>89713</v>
      </c>
      <c r="H664">
        <v>1</v>
      </c>
      <c r="I664">
        <v>5411</v>
      </c>
      <c r="J664">
        <v>0</v>
      </c>
      <c r="K664" t="str">
        <f t="shared" si="115"/>
        <v>810</v>
      </c>
      <c r="L664">
        <v>3517.15</v>
      </c>
    </row>
    <row r="665" spans="1:12" x14ac:dyDescent="0.25">
      <c r="A665" t="str">
        <f t="shared" si="110"/>
        <v>89301000</v>
      </c>
      <c r="B665" t="str">
        <f t="shared" si="112"/>
        <v>93201000</v>
      </c>
      <c r="C665" t="str">
        <f t="shared" si="114"/>
        <v>93201355</v>
      </c>
      <c r="D665">
        <v>89301172</v>
      </c>
      <c r="E665" t="str">
        <f>"6352110171"</f>
        <v>6352110171</v>
      </c>
      <c r="F665" s="1">
        <v>44942</v>
      </c>
      <c r="G665" t="str">
        <f>"89725"</f>
        <v>89725</v>
      </c>
      <c r="H665">
        <v>1</v>
      </c>
      <c r="I665">
        <v>2863</v>
      </c>
      <c r="J665">
        <v>0</v>
      </c>
      <c r="K665" t="str">
        <f t="shared" si="115"/>
        <v>810</v>
      </c>
      <c r="L665">
        <v>1860.95</v>
      </c>
    </row>
    <row r="666" spans="1:12" x14ac:dyDescent="0.25">
      <c r="A666" t="str">
        <f t="shared" si="110"/>
        <v>89301000</v>
      </c>
      <c r="B666" t="str">
        <f t="shared" si="112"/>
        <v>93201000</v>
      </c>
      <c r="C666" t="str">
        <f t="shared" si="114"/>
        <v>93201355</v>
      </c>
      <c r="D666">
        <v>89301172</v>
      </c>
      <c r="E666" t="str">
        <f>"6352110171"</f>
        <v>6352110171</v>
      </c>
      <c r="F666" s="1">
        <v>44942</v>
      </c>
      <c r="G666" t="str">
        <f>"89713"</f>
        <v>89713</v>
      </c>
      <c r="H666">
        <v>1</v>
      </c>
      <c r="I666">
        <v>5411</v>
      </c>
      <c r="J666">
        <v>0</v>
      </c>
      <c r="K666" t="str">
        <f t="shared" si="115"/>
        <v>810</v>
      </c>
      <c r="L666">
        <v>3517.15</v>
      </c>
    </row>
    <row r="667" spans="1:12" x14ac:dyDescent="0.25">
      <c r="A667" t="str">
        <f t="shared" si="110"/>
        <v>89301000</v>
      </c>
      <c r="B667" t="str">
        <f t="shared" si="112"/>
        <v>93201000</v>
      </c>
      <c r="C667" t="str">
        <f t="shared" si="114"/>
        <v>93201355</v>
      </c>
      <c r="D667">
        <v>89301172</v>
      </c>
      <c r="E667" t="str">
        <f>"6854150270"</f>
        <v>6854150270</v>
      </c>
      <c r="F667" s="1">
        <v>44935</v>
      </c>
      <c r="G667" t="str">
        <f>"89713"</f>
        <v>89713</v>
      </c>
      <c r="H667">
        <v>1</v>
      </c>
      <c r="I667">
        <v>5411</v>
      </c>
      <c r="J667">
        <v>0</v>
      </c>
      <c r="K667" t="str">
        <f t="shared" si="115"/>
        <v>810</v>
      </c>
      <c r="L667">
        <v>3517.15</v>
      </c>
    </row>
    <row r="668" spans="1:12" x14ac:dyDescent="0.25">
      <c r="A668" t="str">
        <f t="shared" si="110"/>
        <v>89301000</v>
      </c>
      <c r="B668" t="str">
        <f t="shared" si="112"/>
        <v>93201000</v>
      </c>
      <c r="C668" t="str">
        <f t="shared" si="114"/>
        <v>93201355</v>
      </c>
      <c r="D668">
        <v>89301172</v>
      </c>
      <c r="E668" t="str">
        <f>"6854150270"</f>
        <v>6854150270</v>
      </c>
      <c r="F668" s="1">
        <v>44935</v>
      </c>
      <c r="G668" t="str">
        <f>"89725"</f>
        <v>89725</v>
      </c>
      <c r="H668">
        <v>1</v>
      </c>
      <c r="I668">
        <v>2863</v>
      </c>
      <c r="J668">
        <v>0</v>
      </c>
      <c r="K668" t="str">
        <f t="shared" si="115"/>
        <v>810</v>
      </c>
      <c r="L668">
        <v>1860.95</v>
      </c>
    </row>
    <row r="669" spans="1:12" x14ac:dyDescent="0.25">
      <c r="A669" t="str">
        <f t="shared" si="110"/>
        <v>89301000</v>
      </c>
      <c r="B669" t="str">
        <f t="shared" si="112"/>
        <v>93201000</v>
      </c>
      <c r="C669" t="str">
        <f t="shared" si="114"/>
        <v>93201355</v>
      </c>
      <c r="D669">
        <v>89301062</v>
      </c>
      <c r="E669" t="str">
        <f>"7502215776"</f>
        <v>7502215776</v>
      </c>
      <c r="F669" s="1">
        <v>44946</v>
      </c>
      <c r="G669" t="str">
        <f>"89713"</f>
        <v>89713</v>
      </c>
      <c r="H669">
        <v>1</v>
      </c>
      <c r="I669">
        <v>5411</v>
      </c>
      <c r="J669">
        <v>0</v>
      </c>
      <c r="K669" t="str">
        <f t="shared" si="115"/>
        <v>810</v>
      </c>
      <c r="L669">
        <v>3517.15</v>
      </c>
    </row>
    <row r="670" spans="1:12" x14ac:dyDescent="0.25">
      <c r="A670" t="str">
        <f t="shared" si="110"/>
        <v>89301000</v>
      </c>
      <c r="B670" t="str">
        <f t="shared" si="112"/>
        <v>93201000</v>
      </c>
      <c r="C670" t="str">
        <f t="shared" si="114"/>
        <v>93201355</v>
      </c>
      <c r="D670">
        <v>89301062</v>
      </c>
      <c r="E670" t="str">
        <f>"7502215776"</f>
        <v>7502215776</v>
      </c>
      <c r="F670" s="1">
        <v>44946</v>
      </c>
      <c r="G670" t="str">
        <f>"89713"</f>
        <v>89713</v>
      </c>
      <c r="H670">
        <v>1</v>
      </c>
      <c r="I670">
        <v>5411</v>
      </c>
      <c r="J670">
        <v>0</v>
      </c>
      <c r="K670" t="str">
        <f t="shared" si="115"/>
        <v>810</v>
      </c>
      <c r="L670">
        <v>3517.15</v>
      </c>
    </row>
    <row r="671" spans="1:12" x14ac:dyDescent="0.25">
      <c r="A671" t="str">
        <f t="shared" si="110"/>
        <v>89301000</v>
      </c>
      <c r="B671" t="str">
        <f t="shared" ref="B671:C679" si="116">"89345401"</f>
        <v>89345401</v>
      </c>
      <c r="C671" t="str">
        <f t="shared" si="116"/>
        <v>89345401</v>
      </c>
      <c r="D671">
        <v>89301212</v>
      </c>
      <c r="E671" t="str">
        <f>"6051211210"</f>
        <v>6051211210</v>
      </c>
      <c r="F671" s="1">
        <v>44942</v>
      </c>
      <c r="G671" t="str">
        <f>"89513"</f>
        <v>89513</v>
      </c>
      <c r="H671">
        <v>1</v>
      </c>
      <c r="I671">
        <v>378</v>
      </c>
      <c r="J671">
        <v>0</v>
      </c>
      <c r="K671" t="str">
        <f t="shared" ref="K671:K679" si="117">"809"</f>
        <v>809</v>
      </c>
      <c r="L671">
        <v>555.66</v>
      </c>
    </row>
    <row r="672" spans="1:12" x14ac:dyDescent="0.25">
      <c r="A672" t="str">
        <f t="shared" si="110"/>
        <v>89301000</v>
      </c>
      <c r="B672" t="str">
        <f t="shared" si="116"/>
        <v>89345401</v>
      </c>
      <c r="C672" t="str">
        <f t="shared" si="116"/>
        <v>89345401</v>
      </c>
      <c r="D672">
        <v>89301212</v>
      </c>
      <c r="E672" t="str">
        <f>"6051211210"</f>
        <v>6051211210</v>
      </c>
      <c r="F672" s="1">
        <v>44942</v>
      </c>
      <c r="G672" t="str">
        <f>"89514"</f>
        <v>89514</v>
      </c>
      <c r="H672">
        <v>1</v>
      </c>
      <c r="I672">
        <v>378</v>
      </c>
      <c r="J672">
        <v>0</v>
      </c>
      <c r="K672" t="str">
        <f t="shared" si="117"/>
        <v>809</v>
      </c>
      <c r="L672">
        <v>555.66</v>
      </c>
    </row>
    <row r="673" spans="1:12" x14ac:dyDescent="0.25">
      <c r="A673" t="str">
        <f t="shared" si="110"/>
        <v>89301000</v>
      </c>
      <c r="B673" t="str">
        <f t="shared" si="116"/>
        <v>89345401</v>
      </c>
      <c r="C673" t="str">
        <f t="shared" si="116"/>
        <v>89345401</v>
      </c>
      <c r="D673">
        <v>89301132</v>
      </c>
      <c r="E673" t="str">
        <f>"1801150274"</f>
        <v>1801150274</v>
      </c>
      <c r="F673" s="1">
        <v>44956</v>
      </c>
      <c r="G673" t="str">
        <f>"09139"</f>
        <v>09139</v>
      </c>
      <c r="H673">
        <v>1</v>
      </c>
      <c r="I673">
        <v>356</v>
      </c>
      <c r="J673">
        <v>0</v>
      </c>
      <c r="K673" t="str">
        <f t="shared" si="117"/>
        <v>809</v>
      </c>
      <c r="L673">
        <v>523.32000000000005</v>
      </c>
    </row>
    <row r="674" spans="1:12" x14ac:dyDescent="0.25">
      <c r="A674" t="str">
        <f t="shared" si="110"/>
        <v>89301000</v>
      </c>
      <c r="B674" t="str">
        <f t="shared" si="116"/>
        <v>89345401</v>
      </c>
      <c r="C674" t="str">
        <f t="shared" si="116"/>
        <v>89345401</v>
      </c>
      <c r="D674">
        <v>89301212</v>
      </c>
      <c r="E674" t="str">
        <f>"445928463"</f>
        <v>445928463</v>
      </c>
      <c r="F674" s="1">
        <v>44936</v>
      </c>
      <c r="G674" t="str">
        <f>"89131"</f>
        <v>89131</v>
      </c>
      <c r="H674">
        <v>1</v>
      </c>
      <c r="I674">
        <v>190</v>
      </c>
      <c r="J674">
        <v>0</v>
      </c>
      <c r="K674" t="str">
        <f t="shared" si="117"/>
        <v>809</v>
      </c>
      <c r="L674">
        <v>279.3</v>
      </c>
    </row>
    <row r="675" spans="1:12" x14ac:dyDescent="0.25">
      <c r="A675" t="str">
        <f t="shared" si="110"/>
        <v>89301000</v>
      </c>
      <c r="B675" t="str">
        <f t="shared" si="116"/>
        <v>89345401</v>
      </c>
      <c r="C675" t="str">
        <f t="shared" si="116"/>
        <v>89345401</v>
      </c>
      <c r="D675">
        <v>89301212</v>
      </c>
      <c r="E675" t="str">
        <f>"445928463"</f>
        <v>445928463</v>
      </c>
      <c r="F675" s="1">
        <v>44936</v>
      </c>
      <c r="G675" t="str">
        <f>"89513"</f>
        <v>89513</v>
      </c>
      <c r="H675">
        <v>1</v>
      </c>
      <c r="I675">
        <v>378</v>
      </c>
      <c r="J675">
        <v>0</v>
      </c>
      <c r="K675" t="str">
        <f t="shared" si="117"/>
        <v>809</v>
      </c>
      <c r="L675">
        <v>555.66</v>
      </c>
    </row>
    <row r="676" spans="1:12" x14ac:dyDescent="0.25">
      <c r="A676" t="str">
        <f t="shared" si="110"/>
        <v>89301000</v>
      </c>
      <c r="B676" t="str">
        <f t="shared" si="116"/>
        <v>89345401</v>
      </c>
      <c r="C676" t="str">
        <f t="shared" si="116"/>
        <v>89345401</v>
      </c>
      <c r="D676">
        <v>89301212</v>
      </c>
      <c r="E676" t="str">
        <f>"445928463"</f>
        <v>445928463</v>
      </c>
      <c r="F676" s="1">
        <v>44936</v>
      </c>
      <c r="G676" t="str">
        <f>"89514"</f>
        <v>89514</v>
      </c>
      <c r="H676">
        <v>1</v>
      </c>
      <c r="I676">
        <v>378</v>
      </c>
      <c r="J676">
        <v>0</v>
      </c>
      <c r="K676" t="str">
        <f t="shared" si="117"/>
        <v>809</v>
      </c>
      <c r="L676">
        <v>555.66</v>
      </c>
    </row>
    <row r="677" spans="1:12" x14ac:dyDescent="0.25">
      <c r="A677" t="str">
        <f t="shared" si="110"/>
        <v>89301000</v>
      </c>
      <c r="B677" t="str">
        <f t="shared" si="116"/>
        <v>89345401</v>
      </c>
      <c r="C677" t="str">
        <f t="shared" si="116"/>
        <v>89345401</v>
      </c>
      <c r="D677">
        <v>89301215</v>
      </c>
      <c r="E677" t="str">
        <f>"5709280940"</f>
        <v>5709280940</v>
      </c>
      <c r="F677" s="1">
        <v>44942</v>
      </c>
      <c r="G677" t="str">
        <f>"89513"</f>
        <v>89513</v>
      </c>
      <c r="H677">
        <v>1</v>
      </c>
      <c r="I677">
        <v>378</v>
      </c>
      <c r="J677">
        <v>0</v>
      </c>
      <c r="K677" t="str">
        <f t="shared" si="117"/>
        <v>809</v>
      </c>
      <c r="L677">
        <v>555.66</v>
      </c>
    </row>
    <row r="678" spans="1:12" x14ac:dyDescent="0.25">
      <c r="A678" t="str">
        <f t="shared" si="110"/>
        <v>89301000</v>
      </c>
      <c r="B678" t="str">
        <f t="shared" si="116"/>
        <v>89345401</v>
      </c>
      <c r="C678" t="str">
        <f t="shared" si="116"/>
        <v>89345401</v>
      </c>
      <c r="D678">
        <v>89301215</v>
      </c>
      <c r="E678" t="str">
        <f>"5709280940"</f>
        <v>5709280940</v>
      </c>
      <c r="F678" s="1">
        <v>44942</v>
      </c>
      <c r="G678" t="str">
        <f>"89514"</f>
        <v>89514</v>
      </c>
      <c r="H678">
        <v>1</v>
      </c>
      <c r="I678">
        <v>378</v>
      </c>
      <c r="J678">
        <v>0</v>
      </c>
      <c r="K678" t="str">
        <f t="shared" si="117"/>
        <v>809</v>
      </c>
      <c r="L678">
        <v>555.66</v>
      </c>
    </row>
    <row r="679" spans="1:12" x14ac:dyDescent="0.25">
      <c r="A679" t="str">
        <f t="shared" si="110"/>
        <v>89301000</v>
      </c>
      <c r="B679" t="str">
        <f t="shared" si="116"/>
        <v>89345401</v>
      </c>
      <c r="C679" t="str">
        <f t="shared" si="116"/>
        <v>89345401</v>
      </c>
      <c r="D679">
        <v>89301212</v>
      </c>
      <c r="E679" t="str">
        <f>"7551055380"</f>
        <v>7551055380</v>
      </c>
      <c r="F679" s="1">
        <v>44935</v>
      </c>
      <c r="G679" t="str">
        <f>"89131"</f>
        <v>89131</v>
      </c>
      <c r="H679">
        <v>1</v>
      </c>
      <c r="I679">
        <v>190</v>
      </c>
      <c r="J679">
        <v>0</v>
      </c>
      <c r="K679" t="str">
        <f t="shared" si="117"/>
        <v>809</v>
      </c>
      <c r="L679">
        <v>279.3</v>
      </c>
    </row>
    <row r="680" spans="1:12" x14ac:dyDescent="0.25">
      <c r="A680" t="str">
        <f t="shared" si="110"/>
        <v>89301000</v>
      </c>
      <c r="B680" t="str">
        <f t="shared" ref="B680:B711" si="118">"06539000"</f>
        <v>06539000</v>
      </c>
      <c r="C680" t="str">
        <f t="shared" ref="C680:C711" si="119">"06539003"</f>
        <v>06539003</v>
      </c>
      <c r="D680">
        <v>89301171</v>
      </c>
      <c r="E680" t="str">
        <f t="shared" ref="E680:E696" si="120">"5404080220"</f>
        <v>5404080220</v>
      </c>
      <c r="F680" s="1">
        <v>44928</v>
      </c>
      <c r="G680" t="str">
        <f t="shared" ref="G680:G689" si="121">"91413"</f>
        <v>91413</v>
      </c>
      <c r="H680">
        <v>1</v>
      </c>
      <c r="I680">
        <v>868</v>
      </c>
      <c r="J680">
        <v>0</v>
      </c>
      <c r="K680" t="str">
        <f t="shared" ref="K680:K711" si="122">"813"</f>
        <v>813</v>
      </c>
      <c r="L680">
        <v>729.12</v>
      </c>
    </row>
    <row r="681" spans="1:12" x14ac:dyDescent="0.25">
      <c r="A681" t="str">
        <f t="shared" si="110"/>
        <v>89301000</v>
      </c>
      <c r="B681" t="str">
        <f t="shared" si="118"/>
        <v>06539000</v>
      </c>
      <c r="C681" t="str">
        <f t="shared" si="119"/>
        <v>06539003</v>
      </c>
      <c r="D681">
        <v>89301171</v>
      </c>
      <c r="E681" t="str">
        <f t="shared" si="120"/>
        <v>5404080220</v>
      </c>
      <c r="F681" s="1">
        <v>44928</v>
      </c>
      <c r="G681" t="str">
        <f t="shared" si="121"/>
        <v>91413</v>
      </c>
      <c r="H681">
        <v>1</v>
      </c>
      <c r="I681">
        <v>868</v>
      </c>
      <c r="J681">
        <v>0</v>
      </c>
      <c r="K681" t="str">
        <f t="shared" si="122"/>
        <v>813</v>
      </c>
      <c r="L681">
        <v>729.12</v>
      </c>
    </row>
    <row r="682" spans="1:12" x14ac:dyDescent="0.25">
      <c r="A682" t="str">
        <f t="shared" si="110"/>
        <v>89301000</v>
      </c>
      <c r="B682" t="str">
        <f t="shared" si="118"/>
        <v>06539000</v>
      </c>
      <c r="C682" t="str">
        <f t="shared" si="119"/>
        <v>06539003</v>
      </c>
      <c r="D682">
        <v>89301171</v>
      </c>
      <c r="E682" t="str">
        <f t="shared" si="120"/>
        <v>5404080220</v>
      </c>
      <c r="F682" s="1">
        <v>44932</v>
      </c>
      <c r="G682" t="str">
        <f t="shared" si="121"/>
        <v>91413</v>
      </c>
      <c r="H682">
        <v>1</v>
      </c>
      <c r="I682">
        <v>868</v>
      </c>
      <c r="J682">
        <v>0</v>
      </c>
      <c r="K682" t="str">
        <f t="shared" si="122"/>
        <v>813</v>
      </c>
      <c r="L682">
        <v>729.12</v>
      </c>
    </row>
    <row r="683" spans="1:12" x14ac:dyDescent="0.25">
      <c r="A683" t="str">
        <f t="shared" si="110"/>
        <v>89301000</v>
      </c>
      <c r="B683" t="str">
        <f t="shared" si="118"/>
        <v>06539000</v>
      </c>
      <c r="C683" t="str">
        <f t="shared" si="119"/>
        <v>06539003</v>
      </c>
      <c r="D683">
        <v>89301171</v>
      </c>
      <c r="E683" t="str">
        <f t="shared" si="120"/>
        <v>5404080220</v>
      </c>
      <c r="F683" s="1">
        <v>44932</v>
      </c>
      <c r="G683" t="str">
        <f t="shared" si="121"/>
        <v>91413</v>
      </c>
      <c r="H683">
        <v>1</v>
      </c>
      <c r="I683">
        <v>868</v>
      </c>
      <c r="J683">
        <v>0</v>
      </c>
      <c r="K683" t="str">
        <f t="shared" si="122"/>
        <v>813</v>
      </c>
      <c r="L683">
        <v>729.12</v>
      </c>
    </row>
    <row r="684" spans="1:12" x14ac:dyDescent="0.25">
      <c r="A684" t="str">
        <f t="shared" si="110"/>
        <v>89301000</v>
      </c>
      <c r="B684" t="str">
        <f t="shared" si="118"/>
        <v>06539000</v>
      </c>
      <c r="C684" t="str">
        <f t="shared" si="119"/>
        <v>06539003</v>
      </c>
      <c r="D684">
        <v>89301171</v>
      </c>
      <c r="E684" t="str">
        <f t="shared" si="120"/>
        <v>5404080220</v>
      </c>
      <c r="F684" s="1">
        <v>44932</v>
      </c>
      <c r="G684" t="str">
        <f t="shared" si="121"/>
        <v>91413</v>
      </c>
      <c r="H684">
        <v>1</v>
      </c>
      <c r="I684">
        <v>868</v>
      </c>
      <c r="J684">
        <v>0</v>
      </c>
      <c r="K684" t="str">
        <f t="shared" si="122"/>
        <v>813</v>
      </c>
      <c r="L684">
        <v>729.12</v>
      </c>
    </row>
    <row r="685" spans="1:12" x14ac:dyDescent="0.25">
      <c r="A685" t="str">
        <f t="shared" si="110"/>
        <v>89301000</v>
      </c>
      <c r="B685" t="str">
        <f t="shared" si="118"/>
        <v>06539000</v>
      </c>
      <c r="C685" t="str">
        <f t="shared" si="119"/>
        <v>06539003</v>
      </c>
      <c r="D685">
        <v>89301171</v>
      </c>
      <c r="E685" t="str">
        <f t="shared" si="120"/>
        <v>5404080220</v>
      </c>
      <c r="F685" s="1">
        <v>44932</v>
      </c>
      <c r="G685" t="str">
        <f t="shared" si="121"/>
        <v>91413</v>
      </c>
      <c r="H685">
        <v>1</v>
      </c>
      <c r="I685">
        <v>868</v>
      </c>
      <c r="J685">
        <v>0</v>
      </c>
      <c r="K685" t="str">
        <f t="shared" si="122"/>
        <v>813</v>
      </c>
      <c r="L685">
        <v>729.12</v>
      </c>
    </row>
    <row r="686" spans="1:12" x14ac:dyDescent="0.25">
      <c r="A686" t="str">
        <f t="shared" si="110"/>
        <v>89301000</v>
      </c>
      <c r="B686" t="str">
        <f t="shared" si="118"/>
        <v>06539000</v>
      </c>
      <c r="C686" t="str">
        <f t="shared" si="119"/>
        <v>06539003</v>
      </c>
      <c r="D686">
        <v>89301171</v>
      </c>
      <c r="E686" t="str">
        <f t="shared" si="120"/>
        <v>5404080220</v>
      </c>
      <c r="F686" s="1">
        <v>44932</v>
      </c>
      <c r="G686" t="str">
        <f t="shared" si="121"/>
        <v>91413</v>
      </c>
      <c r="H686">
        <v>1</v>
      </c>
      <c r="I686">
        <v>868</v>
      </c>
      <c r="J686">
        <v>0</v>
      </c>
      <c r="K686" t="str">
        <f t="shared" si="122"/>
        <v>813</v>
      </c>
      <c r="L686">
        <v>729.12</v>
      </c>
    </row>
    <row r="687" spans="1:12" x14ac:dyDescent="0.25">
      <c r="A687" t="str">
        <f t="shared" si="110"/>
        <v>89301000</v>
      </c>
      <c r="B687" t="str">
        <f t="shared" si="118"/>
        <v>06539000</v>
      </c>
      <c r="C687" t="str">
        <f t="shared" si="119"/>
        <v>06539003</v>
      </c>
      <c r="D687">
        <v>89301171</v>
      </c>
      <c r="E687" t="str">
        <f t="shared" si="120"/>
        <v>5404080220</v>
      </c>
      <c r="F687" s="1">
        <v>44932</v>
      </c>
      <c r="G687" t="str">
        <f t="shared" si="121"/>
        <v>91413</v>
      </c>
      <c r="H687">
        <v>1</v>
      </c>
      <c r="I687">
        <v>868</v>
      </c>
      <c r="J687">
        <v>0</v>
      </c>
      <c r="K687" t="str">
        <f t="shared" si="122"/>
        <v>813</v>
      </c>
      <c r="L687">
        <v>729.12</v>
      </c>
    </row>
    <row r="688" spans="1:12" x14ac:dyDescent="0.25">
      <c r="A688" t="str">
        <f t="shared" si="110"/>
        <v>89301000</v>
      </c>
      <c r="B688" t="str">
        <f t="shared" si="118"/>
        <v>06539000</v>
      </c>
      <c r="C688" t="str">
        <f t="shared" si="119"/>
        <v>06539003</v>
      </c>
      <c r="D688">
        <v>89301171</v>
      </c>
      <c r="E688" t="str">
        <f t="shared" si="120"/>
        <v>5404080220</v>
      </c>
      <c r="F688" s="1">
        <v>44932</v>
      </c>
      <c r="G688" t="str">
        <f t="shared" si="121"/>
        <v>91413</v>
      </c>
      <c r="H688">
        <v>1</v>
      </c>
      <c r="I688">
        <v>868</v>
      </c>
      <c r="J688">
        <v>0</v>
      </c>
      <c r="K688" t="str">
        <f t="shared" si="122"/>
        <v>813</v>
      </c>
      <c r="L688">
        <v>729.12</v>
      </c>
    </row>
    <row r="689" spans="1:12" x14ac:dyDescent="0.25">
      <c r="A689" t="str">
        <f t="shared" si="110"/>
        <v>89301000</v>
      </c>
      <c r="B689" t="str">
        <f t="shared" si="118"/>
        <v>06539000</v>
      </c>
      <c r="C689" t="str">
        <f t="shared" si="119"/>
        <v>06539003</v>
      </c>
      <c r="D689">
        <v>89301171</v>
      </c>
      <c r="E689" t="str">
        <f t="shared" si="120"/>
        <v>5404080220</v>
      </c>
      <c r="F689" s="1">
        <v>44932</v>
      </c>
      <c r="G689" t="str">
        <f t="shared" si="121"/>
        <v>91413</v>
      </c>
      <c r="H689">
        <v>1</v>
      </c>
      <c r="I689">
        <v>868</v>
      </c>
      <c r="J689">
        <v>0</v>
      </c>
      <c r="K689" t="str">
        <f t="shared" si="122"/>
        <v>813</v>
      </c>
      <c r="L689">
        <v>729.12</v>
      </c>
    </row>
    <row r="690" spans="1:12" x14ac:dyDescent="0.25">
      <c r="A690" t="str">
        <f t="shared" si="110"/>
        <v>89301000</v>
      </c>
      <c r="B690" t="str">
        <f t="shared" si="118"/>
        <v>06539000</v>
      </c>
      <c r="C690" t="str">
        <f t="shared" si="119"/>
        <v>06539003</v>
      </c>
      <c r="D690">
        <v>89301171</v>
      </c>
      <c r="E690" t="str">
        <f t="shared" si="120"/>
        <v>5404080220</v>
      </c>
      <c r="F690" s="1">
        <v>44927</v>
      </c>
      <c r="G690" t="str">
        <f>"91197"</f>
        <v>91197</v>
      </c>
      <c r="H690">
        <v>1</v>
      </c>
      <c r="I690">
        <v>1048</v>
      </c>
      <c r="J690">
        <v>0</v>
      </c>
      <c r="K690" t="str">
        <f t="shared" si="122"/>
        <v>813</v>
      </c>
      <c r="L690">
        <v>880.32</v>
      </c>
    </row>
    <row r="691" spans="1:12" x14ac:dyDescent="0.25">
      <c r="A691" t="str">
        <f t="shared" si="110"/>
        <v>89301000</v>
      </c>
      <c r="B691" t="str">
        <f t="shared" si="118"/>
        <v>06539000</v>
      </c>
      <c r="C691" t="str">
        <f t="shared" si="119"/>
        <v>06539003</v>
      </c>
      <c r="D691">
        <v>89301171</v>
      </c>
      <c r="E691" t="str">
        <f t="shared" si="120"/>
        <v>5404080220</v>
      </c>
      <c r="F691" s="1">
        <v>44927</v>
      </c>
      <c r="G691" t="str">
        <f>"91197"</f>
        <v>91197</v>
      </c>
      <c r="H691">
        <v>1</v>
      </c>
      <c r="I691">
        <v>1048</v>
      </c>
      <c r="J691">
        <v>0</v>
      </c>
      <c r="K691" t="str">
        <f t="shared" si="122"/>
        <v>813</v>
      </c>
      <c r="L691">
        <v>880.32</v>
      </c>
    </row>
    <row r="692" spans="1:12" x14ac:dyDescent="0.25">
      <c r="A692" t="str">
        <f t="shared" si="110"/>
        <v>89301000</v>
      </c>
      <c r="B692" t="str">
        <f t="shared" si="118"/>
        <v>06539000</v>
      </c>
      <c r="C692" t="str">
        <f t="shared" si="119"/>
        <v>06539003</v>
      </c>
      <c r="D692">
        <v>89301171</v>
      </c>
      <c r="E692" t="str">
        <f t="shared" si="120"/>
        <v>5404080220</v>
      </c>
      <c r="F692" s="1">
        <v>44929</v>
      </c>
      <c r="G692" t="str">
        <f>"91329"</f>
        <v>91329</v>
      </c>
      <c r="H692">
        <v>2</v>
      </c>
      <c r="I692">
        <v>436</v>
      </c>
      <c r="J692">
        <v>0</v>
      </c>
      <c r="K692" t="str">
        <f t="shared" si="122"/>
        <v>813</v>
      </c>
      <c r="L692">
        <v>366.24</v>
      </c>
    </row>
    <row r="693" spans="1:12" x14ac:dyDescent="0.25">
      <c r="A693" t="str">
        <f t="shared" si="110"/>
        <v>89301000</v>
      </c>
      <c r="B693" t="str">
        <f t="shared" si="118"/>
        <v>06539000</v>
      </c>
      <c r="C693" t="str">
        <f t="shared" si="119"/>
        <v>06539003</v>
      </c>
      <c r="D693">
        <v>89301171</v>
      </c>
      <c r="E693" t="str">
        <f t="shared" si="120"/>
        <v>5404080220</v>
      </c>
      <c r="F693" s="1">
        <v>44929</v>
      </c>
      <c r="G693" t="str">
        <f>"91329"</f>
        <v>91329</v>
      </c>
      <c r="H693">
        <v>2</v>
      </c>
      <c r="I693">
        <v>436</v>
      </c>
      <c r="J693">
        <v>0</v>
      </c>
      <c r="K693" t="str">
        <f t="shared" si="122"/>
        <v>813</v>
      </c>
      <c r="L693">
        <v>366.24</v>
      </c>
    </row>
    <row r="694" spans="1:12" x14ac:dyDescent="0.25">
      <c r="A694" t="str">
        <f t="shared" si="110"/>
        <v>89301000</v>
      </c>
      <c r="B694" t="str">
        <f t="shared" si="118"/>
        <v>06539000</v>
      </c>
      <c r="C694" t="str">
        <f t="shared" si="119"/>
        <v>06539003</v>
      </c>
      <c r="D694">
        <v>89301171</v>
      </c>
      <c r="E694" t="str">
        <f t="shared" si="120"/>
        <v>5404080220</v>
      </c>
      <c r="F694" s="1">
        <v>44929</v>
      </c>
      <c r="G694" t="str">
        <f>"91329"</f>
        <v>91329</v>
      </c>
      <c r="H694">
        <v>2</v>
      </c>
      <c r="I694">
        <v>436</v>
      </c>
      <c r="J694">
        <v>0</v>
      </c>
      <c r="K694" t="str">
        <f t="shared" si="122"/>
        <v>813</v>
      </c>
      <c r="L694">
        <v>366.24</v>
      </c>
    </row>
    <row r="695" spans="1:12" x14ac:dyDescent="0.25">
      <c r="A695" t="str">
        <f t="shared" si="110"/>
        <v>89301000</v>
      </c>
      <c r="B695" t="str">
        <f t="shared" si="118"/>
        <v>06539000</v>
      </c>
      <c r="C695" t="str">
        <f t="shared" si="119"/>
        <v>06539003</v>
      </c>
      <c r="D695">
        <v>89301171</v>
      </c>
      <c r="E695" t="str">
        <f t="shared" si="120"/>
        <v>5404080220</v>
      </c>
      <c r="F695" s="1">
        <v>44929</v>
      </c>
      <c r="G695" t="str">
        <f>"91329"</f>
        <v>91329</v>
      </c>
      <c r="H695">
        <v>2</v>
      </c>
      <c r="I695">
        <v>436</v>
      </c>
      <c r="J695">
        <v>0</v>
      </c>
      <c r="K695" t="str">
        <f t="shared" si="122"/>
        <v>813</v>
      </c>
      <c r="L695">
        <v>366.24</v>
      </c>
    </row>
    <row r="696" spans="1:12" x14ac:dyDescent="0.25">
      <c r="A696" t="str">
        <f t="shared" si="110"/>
        <v>89301000</v>
      </c>
      <c r="B696" t="str">
        <f t="shared" si="118"/>
        <v>06539000</v>
      </c>
      <c r="C696" t="str">
        <f t="shared" si="119"/>
        <v>06539003</v>
      </c>
      <c r="D696">
        <v>89301171</v>
      </c>
      <c r="E696" t="str">
        <f t="shared" si="120"/>
        <v>5404080220</v>
      </c>
      <c r="F696" s="1">
        <v>44928</v>
      </c>
      <c r="G696" t="str">
        <f>"91475"</f>
        <v>91475</v>
      </c>
      <c r="H696">
        <v>1</v>
      </c>
      <c r="I696">
        <v>213</v>
      </c>
      <c r="J696">
        <v>0</v>
      </c>
      <c r="K696" t="str">
        <f t="shared" si="122"/>
        <v>813</v>
      </c>
      <c r="L696">
        <v>178.92</v>
      </c>
    </row>
    <row r="697" spans="1:12" x14ac:dyDescent="0.25">
      <c r="A697" t="str">
        <f t="shared" si="110"/>
        <v>89301000</v>
      </c>
      <c r="B697" t="str">
        <f t="shared" si="118"/>
        <v>06539000</v>
      </c>
      <c r="C697" t="str">
        <f t="shared" si="119"/>
        <v>06539003</v>
      </c>
      <c r="D697">
        <v>89301171</v>
      </c>
      <c r="E697" t="str">
        <f t="shared" ref="E697:E713" si="123">"7805105319"</f>
        <v>7805105319</v>
      </c>
      <c r="F697" s="1">
        <v>44928</v>
      </c>
      <c r="G697" t="str">
        <f t="shared" ref="G697:G706" si="124">"91413"</f>
        <v>91413</v>
      </c>
      <c r="H697">
        <v>1</v>
      </c>
      <c r="I697">
        <v>868</v>
      </c>
      <c r="J697">
        <v>0</v>
      </c>
      <c r="K697" t="str">
        <f t="shared" si="122"/>
        <v>813</v>
      </c>
      <c r="L697">
        <v>729.12</v>
      </c>
    </row>
    <row r="698" spans="1:12" x14ac:dyDescent="0.25">
      <c r="A698" t="str">
        <f t="shared" si="110"/>
        <v>89301000</v>
      </c>
      <c r="B698" t="str">
        <f t="shared" si="118"/>
        <v>06539000</v>
      </c>
      <c r="C698" t="str">
        <f t="shared" si="119"/>
        <v>06539003</v>
      </c>
      <c r="D698">
        <v>89301171</v>
      </c>
      <c r="E698" t="str">
        <f t="shared" si="123"/>
        <v>7805105319</v>
      </c>
      <c r="F698" s="1">
        <v>44928</v>
      </c>
      <c r="G698" t="str">
        <f t="shared" si="124"/>
        <v>91413</v>
      </c>
      <c r="H698">
        <v>1</v>
      </c>
      <c r="I698">
        <v>868</v>
      </c>
      <c r="J698">
        <v>0</v>
      </c>
      <c r="K698" t="str">
        <f t="shared" si="122"/>
        <v>813</v>
      </c>
      <c r="L698">
        <v>729.12</v>
      </c>
    </row>
    <row r="699" spans="1:12" x14ac:dyDescent="0.25">
      <c r="A699" t="str">
        <f t="shared" si="110"/>
        <v>89301000</v>
      </c>
      <c r="B699" t="str">
        <f t="shared" si="118"/>
        <v>06539000</v>
      </c>
      <c r="C699" t="str">
        <f t="shared" si="119"/>
        <v>06539003</v>
      </c>
      <c r="D699">
        <v>89301171</v>
      </c>
      <c r="E699" t="str">
        <f t="shared" si="123"/>
        <v>7805105319</v>
      </c>
      <c r="F699" s="1">
        <v>44932</v>
      </c>
      <c r="G699" t="str">
        <f t="shared" si="124"/>
        <v>91413</v>
      </c>
      <c r="H699">
        <v>1</v>
      </c>
      <c r="I699">
        <v>868</v>
      </c>
      <c r="J699">
        <v>0</v>
      </c>
      <c r="K699" t="str">
        <f t="shared" si="122"/>
        <v>813</v>
      </c>
      <c r="L699">
        <v>729.12</v>
      </c>
    </row>
    <row r="700" spans="1:12" x14ac:dyDescent="0.25">
      <c r="A700" t="str">
        <f t="shared" si="110"/>
        <v>89301000</v>
      </c>
      <c r="B700" t="str">
        <f t="shared" si="118"/>
        <v>06539000</v>
      </c>
      <c r="C700" t="str">
        <f t="shared" si="119"/>
        <v>06539003</v>
      </c>
      <c r="D700">
        <v>89301171</v>
      </c>
      <c r="E700" t="str">
        <f t="shared" si="123"/>
        <v>7805105319</v>
      </c>
      <c r="F700" s="1">
        <v>44932</v>
      </c>
      <c r="G700" t="str">
        <f t="shared" si="124"/>
        <v>91413</v>
      </c>
      <c r="H700">
        <v>1</v>
      </c>
      <c r="I700">
        <v>868</v>
      </c>
      <c r="J700">
        <v>0</v>
      </c>
      <c r="K700" t="str">
        <f t="shared" si="122"/>
        <v>813</v>
      </c>
      <c r="L700">
        <v>729.12</v>
      </c>
    </row>
    <row r="701" spans="1:12" x14ac:dyDescent="0.25">
      <c r="A701" t="str">
        <f t="shared" si="110"/>
        <v>89301000</v>
      </c>
      <c r="B701" t="str">
        <f t="shared" si="118"/>
        <v>06539000</v>
      </c>
      <c r="C701" t="str">
        <f t="shared" si="119"/>
        <v>06539003</v>
      </c>
      <c r="D701">
        <v>89301171</v>
      </c>
      <c r="E701" t="str">
        <f t="shared" si="123"/>
        <v>7805105319</v>
      </c>
      <c r="F701" s="1">
        <v>44932</v>
      </c>
      <c r="G701" t="str">
        <f t="shared" si="124"/>
        <v>91413</v>
      </c>
      <c r="H701">
        <v>1</v>
      </c>
      <c r="I701">
        <v>868</v>
      </c>
      <c r="J701">
        <v>0</v>
      </c>
      <c r="K701" t="str">
        <f t="shared" si="122"/>
        <v>813</v>
      </c>
      <c r="L701">
        <v>729.12</v>
      </c>
    </row>
    <row r="702" spans="1:12" x14ac:dyDescent="0.25">
      <c r="A702" t="str">
        <f t="shared" si="110"/>
        <v>89301000</v>
      </c>
      <c r="B702" t="str">
        <f t="shared" si="118"/>
        <v>06539000</v>
      </c>
      <c r="C702" t="str">
        <f t="shared" si="119"/>
        <v>06539003</v>
      </c>
      <c r="D702">
        <v>89301171</v>
      </c>
      <c r="E702" t="str">
        <f t="shared" si="123"/>
        <v>7805105319</v>
      </c>
      <c r="F702" s="1">
        <v>44932</v>
      </c>
      <c r="G702" t="str">
        <f t="shared" si="124"/>
        <v>91413</v>
      </c>
      <c r="H702">
        <v>1</v>
      </c>
      <c r="I702">
        <v>868</v>
      </c>
      <c r="J702">
        <v>0</v>
      </c>
      <c r="K702" t="str">
        <f t="shared" si="122"/>
        <v>813</v>
      </c>
      <c r="L702">
        <v>729.12</v>
      </c>
    </row>
    <row r="703" spans="1:12" x14ac:dyDescent="0.25">
      <c r="A703" t="str">
        <f t="shared" si="110"/>
        <v>89301000</v>
      </c>
      <c r="B703" t="str">
        <f t="shared" si="118"/>
        <v>06539000</v>
      </c>
      <c r="C703" t="str">
        <f t="shared" si="119"/>
        <v>06539003</v>
      </c>
      <c r="D703">
        <v>89301171</v>
      </c>
      <c r="E703" t="str">
        <f t="shared" si="123"/>
        <v>7805105319</v>
      </c>
      <c r="F703" s="1">
        <v>44932</v>
      </c>
      <c r="G703" t="str">
        <f t="shared" si="124"/>
        <v>91413</v>
      </c>
      <c r="H703">
        <v>1</v>
      </c>
      <c r="I703">
        <v>868</v>
      </c>
      <c r="J703">
        <v>0</v>
      </c>
      <c r="K703" t="str">
        <f t="shared" si="122"/>
        <v>813</v>
      </c>
      <c r="L703">
        <v>729.12</v>
      </c>
    </row>
    <row r="704" spans="1:12" x14ac:dyDescent="0.25">
      <c r="A704" t="str">
        <f t="shared" si="110"/>
        <v>89301000</v>
      </c>
      <c r="B704" t="str">
        <f t="shared" si="118"/>
        <v>06539000</v>
      </c>
      <c r="C704" t="str">
        <f t="shared" si="119"/>
        <v>06539003</v>
      </c>
      <c r="D704">
        <v>89301171</v>
      </c>
      <c r="E704" t="str">
        <f t="shared" si="123"/>
        <v>7805105319</v>
      </c>
      <c r="F704" s="1">
        <v>44932</v>
      </c>
      <c r="G704" t="str">
        <f t="shared" si="124"/>
        <v>91413</v>
      </c>
      <c r="H704">
        <v>1</v>
      </c>
      <c r="I704">
        <v>868</v>
      </c>
      <c r="J704">
        <v>0</v>
      </c>
      <c r="K704" t="str">
        <f t="shared" si="122"/>
        <v>813</v>
      </c>
      <c r="L704">
        <v>729.12</v>
      </c>
    </row>
    <row r="705" spans="1:12" x14ac:dyDescent="0.25">
      <c r="A705" t="str">
        <f t="shared" si="110"/>
        <v>89301000</v>
      </c>
      <c r="B705" t="str">
        <f t="shared" si="118"/>
        <v>06539000</v>
      </c>
      <c r="C705" t="str">
        <f t="shared" si="119"/>
        <v>06539003</v>
      </c>
      <c r="D705">
        <v>89301171</v>
      </c>
      <c r="E705" t="str">
        <f t="shared" si="123"/>
        <v>7805105319</v>
      </c>
      <c r="F705" s="1">
        <v>44932</v>
      </c>
      <c r="G705" t="str">
        <f t="shared" si="124"/>
        <v>91413</v>
      </c>
      <c r="H705">
        <v>1</v>
      </c>
      <c r="I705">
        <v>868</v>
      </c>
      <c r="J705">
        <v>0</v>
      </c>
      <c r="K705" t="str">
        <f t="shared" si="122"/>
        <v>813</v>
      </c>
      <c r="L705">
        <v>729.12</v>
      </c>
    </row>
    <row r="706" spans="1:12" x14ac:dyDescent="0.25">
      <c r="A706" t="str">
        <f t="shared" ref="A706:A769" si="125">"89301000"</f>
        <v>89301000</v>
      </c>
      <c r="B706" t="str">
        <f t="shared" si="118"/>
        <v>06539000</v>
      </c>
      <c r="C706" t="str">
        <f t="shared" si="119"/>
        <v>06539003</v>
      </c>
      <c r="D706">
        <v>89301171</v>
      </c>
      <c r="E706" t="str">
        <f t="shared" si="123"/>
        <v>7805105319</v>
      </c>
      <c r="F706" s="1">
        <v>44932</v>
      </c>
      <c r="G706" t="str">
        <f t="shared" si="124"/>
        <v>91413</v>
      </c>
      <c r="H706">
        <v>1</v>
      </c>
      <c r="I706">
        <v>868</v>
      </c>
      <c r="J706">
        <v>0</v>
      </c>
      <c r="K706" t="str">
        <f t="shared" si="122"/>
        <v>813</v>
      </c>
      <c r="L706">
        <v>729.12</v>
      </c>
    </row>
    <row r="707" spans="1:12" x14ac:dyDescent="0.25">
      <c r="A707" t="str">
        <f t="shared" si="125"/>
        <v>89301000</v>
      </c>
      <c r="B707" t="str">
        <f t="shared" si="118"/>
        <v>06539000</v>
      </c>
      <c r="C707" t="str">
        <f t="shared" si="119"/>
        <v>06539003</v>
      </c>
      <c r="D707">
        <v>89301171</v>
      </c>
      <c r="E707" t="str">
        <f t="shared" si="123"/>
        <v>7805105319</v>
      </c>
      <c r="F707" s="1">
        <v>44927</v>
      </c>
      <c r="G707" t="str">
        <f>"91197"</f>
        <v>91197</v>
      </c>
      <c r="H707">
        <v>1</v>
      </c>
      <c r="I707">
        <v>1048</v>
      </c>
      <c r="J707">
        <v>0</v>
      </c>
      <c r="K707" t="str">
        <f t="shared" si="122"/>
        <v>813</v>
      </c>
      <c r="L707">
        <v>880.32</v>
      </c>
    </row>
    <row r="708" spans="1:12" x14ac:dyDescent="0.25">
      <c r="A708" t="str">
        <f t="shared" si="125"/>
        <v>89301000</v>
      </c>
      <c r="B708" t="str">
        <f t="shared" si="118"/>
        <v>06539000</v>
      </c>
      <c r="C708" t="str">
        <f t="shared" si="119"/>
        <v>06539003</v>
      </c>
      <c r="D708">
        <v>89301171</v>
      </c>
      <c r="E708" t="str">
        <f t="shared" si="123"/>
        <v>7805105319</v>
      </c>
      <c r="F708" s="1">
        <v>44927</v>
      </c>
      <c r="G708" t="str">
        <f>"91197"</f>
        <v>91197</v>
      </c>
      <c r="H708">
        <v>1</v>
      </c>
      <c r="I708">
        <v>1048</v>
      </c>
      <c r="J708">
        <v>0</v>
      </c>
      <c r="K708" t="str">
        <f t="shared" si="122"/>
        <v>813</v>
      </c>
      <c r="L708">
        <v>880.32</v>
      </c>
    </row>
    <row r="709" spans="1:12" x14ac:dyDescent="0.25">
      <c r="A709" t="str">
        <f t="shared" si="125"/>
        <v>89301000</v>
      </c>
      <c r="B709" t="str">
        <f t="shared" si="118"/>
        <v>06539000</v>
      </c>
      <c r="C709" t="str">
        <f t="shared" si="119"/>
        <v>06539003</v>
      </c>
      <c r="D709">
        <v>89301171</v>
      </c>
      <c r="E709" t="str">
        <f t="shared" si="123"/>
        <v>7805105319</v>
      </c>
      <c r="F709" s="1">
        <v>44932</v>
      </c>
      <c r="G709" t="str">
        <f>"91329"</f>
        <v>91329</v>
      </c>
      <c r="H709">
        <v>2</v>
      </c>
      <c r="I709">
        <v>436</v>
      </c>
      <c r="J709">
        <v>0</v>
      </c>
      <c r="K709" t="str">
        <f t="shared" si="122"/>
        <v>813</v>
      </c>
      <c r="L709">
        <v>366.24</v>
      </c>
    </row>
    <row r="710" spans="1:12" x14ac:dyDescent="0.25">
      <c r="A710" t="str">
        <f t="shared" si="125"/>
        <v>89301000</v>
      </c>
      <c r="B710" t="str">
        <f t="shared" si="118"/>
        <v>06539000</v>
      </c>
      <c r="C710" t="str">
        <f t="shared" si="119"/>
        <v>06539003</v>
      </c>
      <c r="D710">
        <v>89301171</v>
      </c>
      <c r="E710" t="str">
        <f t="shared" si="123"/>
        <v>7805105319</v>
      </c>
      <c r="F710" s="1">
        <v>44932</v>
      </c>
      <c r="G710" t="str">
        <f>"91329"</f>
        <v>91329</v>
      </c>
      <c r="H710">
        <v>2</v>
      </c>
      <c r="I710">
        <v>436</v>
      </c>
      <c r="J710">
        <v>0</v>
      </c>
      <c r="K710" t="str">
        <f t="shared" si="122"/>
        <v>813</v>
      </c>
      <c r="L710">
        <v>366.24</v>
      </c>
    </row>
    <row r="711" spans="1:12" x14ac:dyDescent="0.25">
      <c r="A711" t="str">
        <f t="shared" si="125"/>
        <v>89301000</v>
      </c>
      <c r="B711" t="str">
        <f t="shared" si="118"/>
        <v>06539000</v>
      </c>
      <c r="C711" t="str">
        <f t="shared" si="119"/>
        <v>06539003</v>
      </c>
      <c r="D711">
        <v>89301171</v>
      </c>
      <c r="E711" t="str">
        <f t="shared" si="123"/>
        <v>7805105319</v>
      </c>
      <c r="F711" s="1">
        <v>44932</v>
      </c>
      <c r="G711" t="str">
        <f>"91329"</f>
        <v>91329</v>
      </c>
      <c r="H711">
        <v>2</v>
      </c>
      <c r="I711">
        <v>436</v>
      </c>
      <c r="J711">
        <v>0</v>
      </c>
      <c r="K711" t="str">
        <f t="shared" si="122"/>
        <v>813</v>
      </c>
      <c r="L711">
        <v>366.24</v>
      </c>
    </row>
    <row r="712" spans="1:12" x14ac:dyDescent="0.25">
      <c r="A712" t="str">
        <f t="shared" si="125"/>
        <v>89301000</v>
      </c>
      <c r="B712" t="str">
        <f t="shared" ref="B712:B743" si="126">"06539000"</f>
        <v>06539000</v>
      </c>
      <c r="C712" t="str">
        <f t="shared" ref="C712:C747" si="127">"06539003"</f>
        <v>06539003</v>
      </c>
      <c r="D712">
        <v>89301171</v>
      </c>
      <c r="E712" t="str">
        <f t="shared" si="123"/>
        <v>7805105319</v>
      </c>
      <c r="F712" s="1">
        <v>44932</v>
      </c>
      <c r="G712" t="str">
        <f>"91329"</f>
        <v>91329</v>
      </c>
      <c r="H712">
        <v>2</v>
      </c>
      <c r="I712">
        <v>436</v>
      </c>
      <c r="J712">
        <v>0</v>
      </c>
      <c r="K712" t="str">
        <f t="shared" ref="K712:K747" si="128">"813"</f>
        <v>813</v>
      </c>
      <c r="L712">
        <v>366.24</v>
      </c>
    </row>
    <row r="713" spans="1:12" x14ac:dyDescent="0.25">
      <c r="A713" t="str">
        <f t="shared" si="125"/>
        <v>89301000</v>
      </c>
      <c r="B713" t="str">
        <f t="shared" si="126"/>
        <v>06539000</v>
      </c>
      <c r="C713" t="str">
        <f t="shared" si="127"/>
        <v>06539003</v>
      </c>
      <c r="D713">
        <v>89301171</v>
      </c>
      <c r="E713" t="str">
        <f t="shared" si="123"/>
        <v>7805105319</v>
      </c>
      <c r="F713" s="1">
        <v>44931</v>
      </c>
      <c r="G713" t="str">
        <f>"91475"</f>
        <v>91475</v>
      </c>
      <c r="H713">
        <v>1</v>
      </c>
      <c r="I713">
        <v>213</v>
      </c>
      <c r="J713">
        <v>0</v>
      </c>
      <c r="K713" t="str">
        <f t="shared" si="128"/>
        <v>813</v>
      </c>
      <c r="L713">
        <v>178.92</v>
      </c>
    </row>
    <row r="714" spans="1:12" x14ac:dyDescent="0.25">
      <c r="A714" t="str">
        <f t="shared" si="125"/>
        <v>89301000</v>
      </c>
      <c r="B714" t="str">
        <f t="shared" si="126"/>
        <v>06539000</v>
      </c>
      <c r="C714" t="str">
        <f t="shared" si="127"/>
        <v>06539003</v>
      </c>
      <c r="D714">
        <v>89301171</v>
      </c>
      <c r="E714" t="str">
        <f t="shared" ref="E714:E730" si="129">"7309195344"</f>
        <v>7309195344</v>
      </c>
      <c r="F714" s="1">
        <v>44928</v>
      </c>
      <c r="G714" t="str">
        <f t="shared" ref="G714:G723" si="130">"91413"</f>
        <v>91413</v>
      </c>
      <c r="H714">
        <v>1</v>
      </c>
      <c r="I714">
        <v>868</v>
      </c>
      <c r="J714">
        <v>0</v>
      </c>
      <c r="K714" t="str">
        <f t="shared" si="128"/>
        <v>813</v>
      </c>
      <c r="L714">
        <v>729.12</v>
      </c>
    </row>
    <row r="715" spans="1:12" x14ac:dyDescent="0.25">
      <c r="A715" t="str">
        <f t="shared" si="125"/>
        <v>89301000</v>
      </c>
      <c r="B715" t="str">
        <f t="shared" si="126"/>
        <v>06539000</v>
      </c>
      <c r="C715" t="str">
        <f t="shared" si="127"/>
        <v>06539003</v>
      </c>
      <c r="D715">
        <v>89301171</v>
      </c>
      <c r="E715" t="str">
        <f t="shared" si="129"/>
        <v>7309195344</v>
      </c>
      <c r="F715" s="1">
        <v>44928</v>
      </c>
      <c r="G715" t="str">
        <f t="shared" si="130"/>
        <v>91413</v>
      </c>
      <c r="H715">
        <v>1</v>
      </c>
      <c r="I715">
        <v>868</v>
      </c>
      <c r="J715">
        <v>0</v>
      </c>
      <c r="K715" t="str">
        <f t="shared" si="128"/>
        <v>813</v>
      </c>
      <c r="L715">
        <v>729.12</v>
      </c>
    </row>
    <row r="716" spans="1:12" x14ac:dyDescent="0.25">
      <c r="A716" t="str">
        <f t="shared" si="125"/>
        <v>89301000</v>
      </c>
      <c r="B716" t="str">
        <f t="shared" si="126"/>
        <v>06539000</v>
      </c>
      <c r="C716" t="str">
        <f t="shared" si="127"/>
        <v>06539003</v>
      </c>
      <c r="D716">
        <v>89301171</v>
      </c>
      <c r="E716" t="str">
        <f t="shared" si="129"/>
        <v>7309195344</v>
      </c>
      <c r="F716" s="1">
        <v>44932</v>
      </c>
      <c r="G716" t="str">
        <f t="shared" si="130"/>
        <v>91413</v>
      </c>
      <c r="H716">
        <v>1</v>
      </c>
      <c r="I716">
        <v>868</v>
      </c>
      <c r="J716">
        <v>0</v>
      </c>
      <c r="K716" t="str">
        <f t="shared" si="128"/>
        <v>813</v>
      </c>
      <c r="L716">
        <v>729.12</v>
      </c>
    </row>
    <row r="717" spans="1:12" x14ac:dyDescent="0.25">
      <c r="A717" t="str">
        <f t="shared" si="125"/>
        <v>89301000</v>
      </c>
      <c r="B717" t="str">
        <f t="shared" si="126"/>
        <v>06539000</v>
      </c>
      <c r="C717" t="str">
        <f t="shared" si="127"/>
        <v>06539003</v>
      </c>
      <c r="D717">
        <v>89301171</v>
      </c>
      <c r="E717" t="str">
        <f t="shared" si="129"/>
        <v>7309195344</v>
      </c>
      <c r="F717" s="1">
        <v>44932</v>
      </c>
      <c r="G717" t="str">
        <f t="shared" si="130"/>
        <v>91413</v>
      </c>
      <c r="H717">
        <v>1</v>
      </c>
      <c r="I717">
        <v>868</v>
      </c>
      <c r="J717">
        <v>0</v>
      </c>
      <c r="K717" t="str">
        <f t="shared" si="128"/>
        <v>813</v>
      </c>
      <c r="L717">
        <v>729.12</v>
      </c>
    </row>
    <row r="718" spans="1:12" x14ac:dyDescent="0.25">
      <c r="A718" t="str">
        <f t="shared" si="125"/>
        <v>89301000</v>
      </c>
      <c r="B718" t="str">
        <f t="shared" si="126"/>
        <v>06539000</v>
      </c>
      <c r="C718" t="str">
        <f t="shared" si="127"/>
        <v>06539003</v>
      </c>
      <c r="D718">
        <v>89301171</v>
      </c>
      <c r="E718" t="str">
        <f t="shared" si="129"/>
        <v>7309195344</v>
      </c>
      <c r="F718" s="1">
        <v>44932</v>
      </c>
      <c r="G718" t="str">
        <f t="shared" si="130"/>
        <v>91413</v>
      </c>
      <c r="H718">
        <v>1</v>
      </c>
      <c r="I718">
        <v>868</v>
      </c>
      <c r="J718">
        <v>0</v>
      </c>
      <c r="K718" t="str">
        <f t="shared" si="128"/>
        <v>813</v>
      </c>
      <c r="L718">
        <v>729.12</v>
      </c>
    </row>
    <row r="719" spans="1:12" x14ac:dyDescent="0.25">
      <c r="A719" t="str">
        <f t="shared" si="125"/>
        <v>89301000</v>
      </c>
      <c r="B719" t="str">
        <f t="shared" si="126"/>
        <v>06539000</v>
      </c>
      <c r="C719" t="str">
        <f t="shared" si="127"/>
        <v>06539003</v>
      </c>
      <c r="D719">
        <v>89301171</v>
      </c>
      <c r="E719" t="str">
        <f t="shared" si="129"/>
        <v>7309195344</v>
      </c>
      <c r="F719" s="1">
        <v>44932</v>
      </c>
      <c r="G719" t="str">
        <f t="shared" si="130"/>
        <v>91413</v>
      </c>
      <c r="H719">
        <v>1</v>
      </c>
      <c r="I719">
        <v>868</v>
      </c>
      <c r="J719">
        <v>0</v>
      </c>
      <c r="K719" t="str">
        <f t="shared" si="128"/>
        <v>813</v>
      </c>
      <c r="L719">
        <v>729.12</v>
      </c>
    </row>
    <row r="720" spans="1:12" x14ac:dyDescent="0.25">
      <c r="A720" t="str">
        <f t="shared" si="125"/>
        <v>89301000</v>
      </c>
      <c r="B720" t="str">
        <f t="shared" si="126"/>
        <v>06539000</v>
      </c>
      <c r="C720" t="str">
        <f t="shared" si="127"/>
        <v>06539003</v>
      </c>
      <c r="D720">
        <v>89301171</v>
      </c>
      <c r="E720" t="str">
        <f t="shared" si="129"/>
        <v>7309195344</v>
      </c>
      <c r="F720" s="1">
        <v>44932</v>
      </c>
      <c r="G720" t="str">
        <f t="shared" si="130"/>
        <v>91413</v>
      </c>
      <c r="H720">
        <v>1</v>
      </c>
      <c r="I720">
        <v>868</v>
      </c>
      <c r="J720">
        <v>0</v>
      </c>
      <c r="K720" t="str">
        <f t="shared" si="128"/>
        <v>813</v>
      </c>
      <c r="L720">
        <v>729.12</v>
      </c>
    </row>
    <row r="721" spans="1:12" x14ac:dyDescent="0.25">
      <c r="A721" t="str">
        <f t="shared" si="125"/>
        <v>89301000</v>
      </c>
      <c r="B721" t="str">
        <f t="shared" si="126"/>
        <v>06539000</v>
      </c>
      <c r="C721" t="str">
        <f t="shared" si="127"/>
        <v>06539003</v>
      </c>
      <c r="D721">
        <v>89301171</v>
      </c>
      <c r="E721" t="str">
        <f t="shared" si="129"/>
        <v>7309195344</v>
      </c>
      <c r="F721" s="1">
        <v>44932</v>
      </c>
      <c r="G721" t="str">
        <f t="shared" si="130"/>
        <v>91413</v>
      </c>
      <c r="H721">
        <v>1</v>
      </c>
      <c r="I721">
        <v>868</v>
      </c>
      <c r="J721">
        <v>0</v>
      </c>
      <c r="K721" t="str">
        <f t="shared" si="128"/>
        <v>813</v>
      </c>
      <c r="L721">
        <v>729.12</v>
      </c>
    </row>
    <row r="722" spans="1:12" x14ac:dyDescent="0.25">
      <c r="A722" t="str">
        <f t="shared" si="125"/>
        <v>89301000</v>
      </c>
      <c r="B722" t="str">
        <f t="shared" si="126"/>
        <v>06539000</v>
      </c>
      <c r="C722" t="str">
        <f t="shared" si="127"/>
        <v>06539003</v>
      </c>
      <c r="D722">
        <v>89301171</v>
      </c>
      <c r="E722" t="str">
        <f t="shared" si="129"/>
        <v>7309195344</v>
      </c>
      <c r="F722" s="1">
        <v>44932</v>
      </c>
      <c r="G722" t="str">
        <f t="shared" si="130"/>
        <v>91413</v>
      </c>
      <c r="H722">
        <v>1</v>
      </c>
      <c r="I722">
        <v>868</v>
      </c>
      <c r="J722">
        <v>0</v>
      </c>
      <c r="K722" t="str">
        <f t="shared" si="128"/>
        <v>813</v>
      </c>
      <c r="L722">
        <v>729.12</v>
      </c>
    </row>
    <row r="723" spans="1:12" x14ac:dyDescent="0.25">
      <c r="A723" t="str">
        <f t="shared" si="125"/>
        <v>89301000</v>
      </c>
      <c r="B723" t="str">
        <f t="shared" si="126"/>
        <v>06539000</v>
      </c>
      <c r="C723" t="str">
        <f t="shared" si="127"/>
        <v>06539003</v>
      </c>
      <c r="D723">
        <v>89301171</v>
      </c>
      <c r="E723" t="str">
        <f t="shared" si="129"/>
        <v>7309195344</v>
      </c>
      <c r="F723" s="1">
        <v>44932</v>
      </c>
      <c r="G723" t="str">
        <f t="shared" si="130"/>
        <v>91413</v>
      </c>
      <c r="H723">
        <v>1</v>
      </c>
      <c r="I723">
        <v>868</v>
      </c>
      <c r="J723">
        <v>0</v>
      </c>
      <c r="K723" t="str">
        <f t="shared" si="128"/>
        <v>813</v>
      </c>
      <c r="L723">
        <v>729.12</v>
      </c>
    </row>
    <row r="724" spans="1:12" x14ac:dyDescent="0.25">
      <c r="A724" t="str">
        <f t="shared" si="125"/>
        <v>89301000</v>
      </c>
      <c r="B724" t="str">
        <f t="shared" si="126"/>
        <v>06539000</v>
      </c>
      <c r="C724" t="str">
        <f t="shared" si="127"/>
        <v>06539003</v>
      </c>
      <c r="D724">
        <v>89301171</v>
      </c>
      <c r="E724" t="str">
        <f t="shared" si="129"/>
        <v>7309195344</v>
      </c>
      <c r="F724" s="1">
        <v>44927</v>
      </c>
      <c r="G724" t="str">
        <f>"91197"</f>
        <v>91197</v>
      </c>
      <c r="H724">
        <v>1</v>
      </c>
      <c r="I724">
        <v>1048</v>
      </c>
      <c r="J724">
        <v>0</v>
      </c>
      <c r="K724" t="str">
        <f t="shared" si="128"/>
        <v>813</v>
      </c>
      <c r="L724">
        <v>880.32</v>
      </c>
    </row>
    <row r="725" spans="1:12" x14ac:dyDescent="0.25">
      <c r="A725" t="str">
        <f t="shared" si="125"/>
        <v>89301000</v>
      </c>
      <c r="B725" t="str">
        <f t="shared" si="126"/>
        <v>06539000</v>
      </c>
      <c r="C725" t="str">
        <f t="shared" si="127"/>
        <v>06539003</v>
      </c>
      <c r="D725">
        <v>89301171</v>
      </c>
      <c r="E725" t="str">
        <f t="shared" si="129"/>
        <v>7309195344</v>
      </c>
      <c r="F725" s="1">
        <v>44927</v>
      </c>
      <c r="G725" t="str">
        <f>"91197"</f>
        <v>91197</v>
      </c>
      <c r="H725">
        <v>1</v>
      </c>
      <c r="I725">
        <v>1048</v>
      </c>
      <c r="J725">
        <v>0</v>
      </c>
      <c r="K725" t="str">
        <f t="shared" si="128"/>
        <v>813</v>
      </c>
      <c r="L725">
        <v>880.32</v>
      </c>
    </row>
    <row r="726" spans="1:12" x14ac:dyDescent="0.25">
      <c r="A726" t="str">
        <f t="shared" si="125"/>
        <v>89301000</v>
      </c>
      <c r="B726" t="str">
        <f t="shared" si="126"/>
        <v>06539000</v>
      </c>
      <c r="C726" t="str">
        <f t="shared" si="127"/>
        <v>06539003</v>
      </c>
      <c r="D726">
        <v>89301171</v>
      </c>
      <c r="E726" t="str">
        <f t="shared" si="129"/>
        <v>7309195344</v>
      </c>
      <c r="F726" s="1">
        <v>44932</v>
      </c>
      <c r="G726" t="str">
        <f>"91329"</f>
        <v>91329</v>
      </c>
      <c r="H726">
        <v>2</v>
      </c>
      <c r="I726">
        <v>436</v>
      </c>
      <c r="J726">
        <v>0</v>
      </c>
      <c r="K726" t="str">
        <f t="shared" si="128"/>
        <v>813</v>
      </c>
      <c r="L726">
        <v>366.24</v>
      </c>
    </row>
    <row r="727" spans="1:12" x14ac:dyDescent="0.25">
      <c r="A727" t="str">
        <f t="shared" si="125"/>
        <v>89301000</v>
      </c>
      <c r="B727" t="str">
        <f t="shared" si="126"/>
        <v>06539000</v>
      </c>
      <c r="C727" t="str">
        <f t="shared" si="127"/>
        <v>06539003</v>
      </c>
      <c r="D727">
        <v>89301171</v>
      </c>
      <c r="E727" t="str">
        <f t="shared" si="129"/>
        <v>7309195344</v>
      </c>
      <c r="F727" s="1">
        <v>44932</v>
      </c>
      <c r="G727" t="str">
        <f>"91329"</f>
        <v>91329</v>
      </c>
      <c r="H727">
        <v>2</v>
      </c>
      <c r="I727">
        <v>436</v>
      </c>
      <c r="J727">
        <v>0</v>
      </c>
      <c r="K727" t="str">
        <f t="shared" si="128"/>
        <v>813</v>
      </c>
      <c r="L727">
        <v>366.24</v>
      </c>
    </row>
    <row r="728" spans="1:12" x14ac:dyDescent="0.25">
      <c r="A728" t="str">
        <f t="shared" si="125"/>
        <v>89301000</v>
      </c>
      <c r="B728" t="str">
        <f t="shared" si="126"/>
        <v>06539000</v>
      </c>
      <c r="C728" t="str">
        <f t="shared" si="127"/>
        <v>06539003</v>
      </c>
      <c r="D728">
        <v>89301171</v>
      </c>
      <c r="E728" t="str">
        <f t="shared" si="129"/>
        <v>7309195344</v>
      </c>
      <c r="F728" s="1">
        <v>44932</v>
      </c>
      <c r="G728" t="str">
        <f>"91329"</f>
        <v>91329</v>
      </c>
      <c r="H728">
        <v>2</v>
      </c>
      <c r="I728">
        <v>436</v>
      </c>
      <c r="J728">
        <v>0</v>
      </c>
      <c r="K728" t="str">
        <f t="shared" si="128"/>
        <v>813</v>
      </c>
      <c r="L728">
        <v>366.24</v>
      </c>
    </row>
    <row r="729" spans="1:12" x14ac:dyDescent="0.25">
      <c r="A729" t="str">
        <f t="shared" si="125"/>
        <v>89301000</v>
      </c>
      <c r="B729" t="str">
        <f t="shared" si="126"/>
        <v>06539000</v>
      </c>
      <c r="C729" t="str">
        <f t="shared" si="127"/>
        <v>06539003</v>
      </c>
      <c r="D729">
        <v>89301171</v>
      </c>
      <c r="E729" t="str">
        <f t="shared" si="129"/>
        <v>7309195344</v>
      </c>
      <c r="F729" s="1">
        <v>44932</v>
      </c>
      <c r="G729" t="str">
        <f>"91329"</f>
        <v>91329</v>
      </c>
      <c r="H729">
        <v>2</v>
      </c>
      <c r="I729">
        <v>436</v>
      </c>
      <c r="J729">
        <v>0</v>
      </c>
      <c r="K729" t="str">
        <f t="shared" si="128"/>
        <v>813</v>
      </c>
      <c r="L729">
        <v>366.24</v>
      </c>
    </row>
    <row r="730" spans="1:12" x14ac:dyDescent="0.25">
      <c r="A730" t="str">
        <f t="shared" si="125"/>
        <v>89301000</v>
      </c>
      <c r="B730" t="str">
        <f t="shared" si="126"/>
        <v>06539000</v>
      </c>
      <c r="C730" t="str">
        <f t="shared" si="127"/>
        <v>06539003</v>
      </c>
      <c r="D730">
        <v>89301171</v>
      </c>
      <c r="E730" t="str">
        <f t="shared" si="129"/>
        <v>7309195344</v>
      </c>
      <c r="F730" s="1">
        <v>44928</v>
      </c>
      <c r="G730" t="str">
        <f>"91475"</f>
        <v>91475</v>
      </c>
      <c r="H730">
        <v>1</v>
      </c>
      <c r="I730">
        <v>213</v>
      </c>
      <c r="J730">
        <v>0</v>
      </c>
      <c r="K730" t="str">
        <f t="shared" si="128"/>
        <v>813</v>
      </c>
      <c r="L730">
        <v>178.92</v>
      </c>
    </row>
    <row r="731" spans="1:12" x14ac:dyDescent="0.25">
      <c r="A731" t="str">
        <f t="shared" si="125"/>
        <v>89301000</v>
      </c>
      <c r="B731" t="str">
        <f t="shared" si="126"/>
        <v>06539000</v>
      </c>
      <c r="C731" t="str">
        <f t="shared" si="127"/>
        <v>06539003</v>
      </c>
      <c r="D731">
        <v>89301171</v>
      </c>
      <c r="E731" t="str">
        <f t="shared" ref="E731:E747" si="131">"7361195787"</f>
        <v>7361195787</v>
      </c>
      <c r="F731" s="1">
        <v>44935</v>
      </c>
      <c r="G731" t="str">
        <f t="shared" ref="G731:G740" si="132">"91413"</f>
        <v>91413</v>
      </c>
      <c r="H731">
        <v>1</v>
      </c>
      <c r="I731">
        <v>868</v>
      </c>
      <c r="J731">
        <v>0</v>
      </c>
      <c r="K731" t="str">
        <f t="shared" si="128"/>
        <v>813</v>
      </c>
      <c r="L731">
        <v>729.12</v>
      </c>
    </row>
    <row r="732" spans="1:12" x14ac:dyDescent="0.25">
      <c r="A732" t="str">
        <f t="shared" si="125"/>
        <v>89301000</v>
      </c>
      <c r="B732" t="str">
        <f t="shared" si="126"/>
        <v>06539000</v>
      </c>
      <c r="C732" t="str">
        <f t="shared" si="127"/>
        <v>06539003</v>
      </c>
      <c r="D732">
        <v>89301171</v>
      </c>
      <c r="E732" t="str">
        <f t="shared" si="131"/>
        <v>7361195787</v>
      </c>
      <c r="F732" s="1">
        <v>44935</v>
      </c>
      <c r="G732" t="str">
        <f t="shared" si="132"/>
        <v>91413</v>
      </c>
      <c r="H732">
        <v>1</v>
      </c>
      <c r="I732">
        <v>868</v>
      </c>
      <c r="J732">
        <v>0</v>
      </c>
      <c r="K732" t="str">
        <f t="shared" si="128"/>
        <v>813</v>
      </c>
      <c r="L732">
        <v>729.12</v>
      </c>
    </row>
    <row r="733" spans="1:12" x14ac:dyDescent="0.25">
      <c r="A733" t="str">
        <f t="shared" si="125"/>
        <v>89301000</v>
      </c>
      <c r="B733" t="str">
        <f t="shared" si="126"/>
        <v>06539000</v>
      </c>
      <c r="C733" t="str">
        <f t="shared" si="127"/>
        <v>06539003</v>
      </c>
      <c r="D733">
        <v>89301171</v>
      </c>
      <c r="E733" t="str">
        <f t="shared" si="131"/>
        <v>7361195787</v>
      </c>
      <c r="F733" s="1">
        <v>44942</v>
      </c>
      <c r="G733" t="str">
        <f t="shared" si="132"/>
        <v>91413</v>
      </c>
      <c r="H733">
        <v>1</v>
      </c>
      <c r="I733">
        <v>868</v>
      </c>
      <c r="J733">
        <v>0</v>
      </c>
      <c r="K733" t="str">
        <f t="shared" si="128"/>
        <v>813</v>
      </c>
      <c r="L733">
        <v>729.12</v>
      </c>
    </row>
    <row r="734" spans="1:12" x14ac:dyDescent="0.25">
      <c r="A734" t="str">
        <f t="shared" si="125"/>
        <v>89301000</v>
      </c>
      <c r="B734" t="str">
        <f t="shared" si="126"/>
        <v>06539000</v>
      </c>
      <c r="C734" t="str">
        <f t="shared" si="127"/>
        <v>06539003</v>
      </c>
      <c r="D734">
        <v>89301171</v>
      </c>
      <c r="E734" t="str">
        <f t="shared" si="131"/>
        <v>7361195787</v>
      </c>
      <c r="F734" s="1">
        <v>44942</v>
      </c>
      <c r="G734" t="str">
        <f t="shared" si="132"/>
        <v>91413</v>
      </c>
      <c r="H734">
        <v>1</v>
      </c>
      <c r="I734">
        <v>868</v>
      </c>
      <c r="J734">
        <v>0</v>
      </c>
      <c r="K734" t="str">
        <f t="shared" si="128"/>
        <v>813</v>
      </c>
      <c r="L734">
        <v>729.12</v>
      </c>
    </row>
    <row r="735" spans="1:12" x14ac:dyDescent="0.25">
      <c r="A735" t="str">
        <f t="shared" si="125"/>
        <v>89301000</v>
      </c>
      <c r="B735" t="str">
        <f t="shared" si="126"/>
        <v>06539000</v>
      </c>
      <c r="C735" t="str">
        <f t="shared" si="127"/>
        <v>06539003</v>
      </c>
      <c r="D735">
        <v>89301171</v>
      </c>
      <c r="E735" t="str">
        <f t="shared" si="131"/>
        <v>7361195787</v>
      </c>
      <c r="F735" s="1">
        <v>44938</v>
      </c>
      <c r="G735" t="str">
        <f t="shared" si="132"/>
        <v>91413</v>
      </c>
      <c r="H735">
        <v>1</v>
      </c>
      <c r="I735">
        <v>868</v>
      </c>
      <c r="J735">
        <v>0</v>
      </c>
      <c r="K735" t="str">
        <f t="shared" si="128"/>
        <v>813</v>
      </c>
      <c r="L735">
        <v>729.12</v>
      </c>
    </row>
    <row r="736" spans="1:12" x14ac:dyDescent="0.25">
      <c r="A736" t="str">
        <f t="shared" si="125"/>
        <v>89301000</v>
      </c>
      <c r="B736" t="str">
        <f t="shared" si="126"/>
        <v>06539000</v>
      </c>
      <c r="C736" t="str">
        <f t="shared" si="127"/>
        <v>06539003</v>
      </c>
      <c r="D736">
        <v>89301171</v>
      </c>
      <c r="E736" t="str">
        <f t="shared" si="131"/>
        <v>7361195787</v>
      </c>
      <c r="F736" s="1">
        <v>44938</v>
      </c>
      <c r="G736" t="str">
        <f t="shared" si="132"/>
        <v>91413</v>
      </c>
      <c r="H736">
        <v>1</v>
      </c>
      <c r="I736">
        <v>868</v>
      </c>
      <c r="J736">
        <v>0</v>
      </c>
      <c r="K736" t="str">
        <f t="shared" si="128"/>
        <v>813</v>
      </c>
      <c r="L736">
        <v>729.12</v>
      </c>
    </row>
    <row r="737" spans="1:12" x14ac:dyDescent="0.25">
      <c r="A737" t="str">
        <f t="shared" si="125"/>
        <v>89301000</v>
      </c>
      <c r="B737" t="str">
        <f t="shared" si="126"/>
        <v>06539000</v>
      </c>
      <c r="C737" t="str">
        <f t="shared" si="127"/>
        <v>06539003</v>
      </c>
      <c r="D737">
        <v>89301171</v>
      </c>
      <c r="E737" t="str">
        <f t="shared" si="131"/>
        <v>7361195787</v>
      </c>
      <c r="F737" s="1">
        <v>44942</v>
      </c>
      <c r="G737" t="str">
        <f t="shared" si="132"/>
        <v>91413</v>
      </c>
      <c r="H737">
        <v>1</v>
      </c>
      <c r="I737">
        <v>868</v>
      </c>
      <c r="J737">
        <v>0</v>
      </c>
      <c r="K737" t="str">
        <f t="shared" si="128"/>
        <v>813</v>
      </c>
      <c r="L737">
        <v>729.12</v>
      </c>
    </row>
    <row r="738" spans="1:12" x14ac:dyDescent="0.25">
      <c r="A738" t="str">
        <f t="shared" si="125"/>
        <v>89301000</v>
      </c>
      <c r="B738" t="str">
        <f t="shared" si="126"/>
        <v>06539000</v>
      </c>
      <c r="C738" t="str">
        <f t="shared" si="127"/>
        <v>06539003</v>
      </c>
      <c r="D738">
        <v>89301171</v>
      </c>
      <c r="E738" t="str">
        <f t="shared" si="131"/>
        <v>7361195787</v>
      </c>
      <c r="F738" s="1">
        <v>44942</v>
      </c>
      <c r="G738" t="str">
        <f t="shared" si="132"/>
        <v>91413</v>
      </c>
      <c r="H738">
        <v>1</v>
      </c>
      <c r="I738">
        <v>868</v>
      </c>
      <c r="J738">
        <v>0</v>
      </c>
      <c r="K738" t="str">
        <f t="shared" si="128"/>
        <v>813</v>
      </c>
      <c r="L738">
        <v>729.12</v>
      </c>
    </row>
    <row r="739" spans="1:12" x14ac:dyDescent="0.25">
      <c r="A739" t="str">
        <f t="shared" si="125"/>
        <v>89301000</v>
      </c>
      <c r="B739" t="str">
        <f t="shared" si="126"/>
        <v>06539000</v>
      </c>
      <c r="C739" t="str">
        <f t="shared" si="127"/>
        <v>06539003</v>
      </c>
      <c r="D739">
        <v>89301171</v>
      </c>
      <c r="E739" t="str">
        <f t="shared" si="131"/>
        <v>7361195787</v>
      </c>
      <c r="F739" s="1">
        <v>44942</v>
      </c>
      <c r="G739" t="str">
        <f t="shared" si="132"/>
        <v>91413</v>
      </c>
      <c r="H739">
        <v>1</v>
      </c>
      <c r="I739">
        <v>868</v>
      </c>
      <c r="J739">
        <v>0</v>
      </c>
      <c r="K739" t="str">
        <f t="shared" si="128"/>
        <v>813</v>
      </c>
      <c r="L739">
        <v>729.12</v>
      </c>
    </row>
    <row r="740" spans="1:12" x14ac:dyDescent="0.25">
      <c r="A740" t="str">
        <f t="shared" si="125"/>
        <v>89301000</v>
      </c>
      <c r="B740" t="str">
        <f t="shared" si="126"/>
        <v>06539000</v>
      </c>
      <c r="C740" t="str">
        <f t="shared" si="127"/>
        <v>06539003</v>
      </c>
      <c r="D740">
        <v>89301171</v>
      </c>
      <c r="E740" t="str">
        <f t="shared" si="131"/>
        <v>7361195787</v>
      </c>
      <c r="F740" s="1">
        <v>44942</v>
      </c>
      <c r="G740" t="str">
        <f t="shared" si="132"/>
        <v>91413</v>
      </c>
      <c r="H740">
        <v>1</v>
      </c>
      <c r="I740">
        <v>868</v>
      </c>
      <c r="J740">
        <v>0</v>
      </c>
      <c r="K740" t="str">
        <f t="shared" si="128"/>
        <v>813</v>
      </c>
      <c r="L740">
        <v>729.12</v>
      </c>
    </row>
    <row r="741" spans="1:12" x14ac:dyDescent="0.25">
      <c r="A741" t="str">
        <f t="shared" si="125"/>
        <v>89301000</v>
      </c>
      <c r="B741" t="str">
        <f t="shared" si="126"/>
        <v>06539000</v>
      </c>
      <c r="C741" t="str">
        <f t="shared" si="127"/>
        <v>06539003</v>
      </c>
      <c r="D741">
        <v>89301171</v>
      </c>
      <c r="E741" t="str">
        <f t="shared" si="131"/>
        <v>7361195787</v>
      </c>
      <c r="F741" s="1">
        <v>44934</v>
      </c>
      <c r="G741" t="str">
        <f>"91197"</f>
        <v>91197</v>
      </c>
      <c r="H741">
        <v>1</v>
      </c>
      <c r="I741">
        <v>1048</v>
      </c>
      <c r="J741">
        <v>0</v>
      </c>
      <c r="K741" t="str">
        <f t="shared" si="128"/>
        <v>813</v>
      </c>
      <c r="L741">
        <v>880.32</v>
      </c>
    </row>
    <row r="742" spans="1:12" x14ac:dyDescent="0.25">
      <c r="A742" t="str">
        <f t="shared" si="125"/>
        <v>89301000</v>
      </c>
      <c r="B742" t="str">
        <f t="shared" si="126"/>
        <v>06539000</v>
      </c>
      <c r="C742" t="str">
        <f t="shared" si="127"/>
        <v>06539003</v>
      </c>
      <c r="D742">
        <v>89301171</v>
      </c>
      <c r="E742" t="str">
        <f t="shared" si="131"/>
        <v>7361195787</v>
      </c>
      <c r="F742" s="1">
        <v>44934</v>
      </c>
      <c r="G742" t="str">
        <f>"91197"</f>
        <v>91197</v>
      </c>
      <c r="H742">
        <v>1</v>
      </c>
      <c r="I742">
        <v>1048</v>
      </c>
      <c r="J742">
        <v>0</v>
      </c>
      <c r="K742" t="str">
        <f t="shared" si="128"/>
        <v>813</v>
      </c>
      <c r="L742">
        <v>880.32</v>
      </c>
    </row>
    <row r="743" spans="1:12" x14ac:dyDescent="0.25">
      <c r="A743" t="str">
        <f t="shared" si="125"/>
        <v>89301000</v>
      </c>
      <c r="B743" t="str">
        <f t="shared" si="126"/>
        <v>06539000</v>
      </c>
      <c r="C743" t="str">
        <f t="shared" si="127"/>
        <v>06539003</v>
      </c>
      <c r="D743">
        <v>89301171</v>
      </c>
      <c r="E743" t="str">
        <f t="shared" si="131"/>
        <v>7361195787</v>
      </c>
      <c r="F743" s="1">
        <v>44933</v>
      </c>
      <c r="G743" t="str">
        <f>"91197"</f>
        <v>91197</v>
      </c>
      <c r="H743">
        <v>1</v>
      </c>
      <c r="I743">
        <v>1048</v>
      </c>
      <c r="J743">
        <v>0</v>
      </c>
      <c r="K743" t="str">
        <f t="shared" si="128"/>
        <v>813</v>
      </c>
      <c r="L743">
        <v>880.32</v>
      </c>
    </row>
    <row r="744" spans="1:12" x14ac:dyDescent="0.25">
      <c r="A744" t="str">
        <f t="shared" si="125"/>
        <v>89301000</v>
      </c>
      <c r="B744" t="str">
        <f t="shared" ref="B744:B775" si="133">"06539000"</f>
        <v>06539000</v>
      </c>
      <c r="C744" t="str">
        <f t="shared" si="127"/>
        <v>06539003</v>
      </c>
      <c r="D744">
        <v>89301171</v>
      </c>
      <c r="E744" t="str">
        <f t="shared" si="131"/>
        <v>7361195787</v>
      </c>
      <c r="F744" s="1">
        <v>44933</v>
      </c>
      <c r="G744" t="str">
        <f>"91197"</f>
        <v>91197</v>
      </c>
      <c r="H744">
        <v>1</v>
      </c>
      <c r="I744">
        <v>1048</v>
      </c>
      <c r="J744">
        <v>0</v>
      </c>
      <c r="K744" t="str">
        <f t="shared" si="128"/>
        <v>813</v>
      </c>
      <c r="L744">
        <v>880.32</v>
      </c>
    </row>
    <row r="745" spans="1:12" x14ac:dyDescent="0.25">
      <c r="A745" t="str">
        <f t="shared" si="125"/>
        <v>89301000</v>
      </c>
      <c r="B745" t="str">
        <f t="shared" si="133"/>
        <v>06539000</v>
      </c>
      <c r="C745" t="str">
        <f t="shared" si="127"/>
        <v>06539003</v>
      </c>
      <c r="D745">
        <v>89301171</v>
      </c>
      <c r="E745" t="str">
        <f t="shared" si="131"/>
        <v>7361195787</v>
      </c>
      <c r="F745" s="1">
        <v>44933</v>
      </c>
      <c r="G745" t="str">
        <f>"91167"</f>
        <v>91167</v>
      </c>
      <c r="H745">
        <v>1</v>
      </c>
      <c r="I745">
        <v>426</v>
      </c>
      <c r="J745">
        <v>0</v>
      </c>
      <c r="K745" t="str">
        <f t="shared" si="128"/>
        <v>813</v>
      </c>
      <c r="L745">
        <v>357.84</v>
      </c>
    </row>
    <row r="746" spans="1:12" x14ac:dyDescent="0.25">
      <c r="A746" t="str">
        <f t="shared" si="125"/>
        <v>89301000</v>
      </c>
      <c r="B746" t="str">
        <f t="shared" si="133"/>
        <v>06539000</v>
      </c>
      <c r="C746" t="str">
        <f t="shared" si="127"/>
        <v>06539003</v>
      </c>
      <c r="D746">
        <v>89301171</v>
      </c>
      <c r="E746" t="str">
        <f t="shared" si="131"/>
        <v>7361195787</v>
      </c>
      <c r="F746" s="1">
        <v>44933</v>
      </c>
      <c r="G746" t="str">
        <f>"91169"</f>
        <v>91169</v>
      </c>
      <c r="H746">
        <v>1</v>
      </c>
      <c r="I746">
        <v>426</v>
      </c>
      <c r="J746">
        <v>0</v>
      </c>
      <c r="K746" t="str">
        <f t="shared" si="128"/>
        <v>813</v>
      </c>
      <c r="L746">
        <v>357.84</v>
      </c>
    </row>
    <row r="747" spans="1:12" x14ac:dyDescent="0.25">
      <c r="A747" t="str">
        <f t="shared" si="125"/>
        <v>89301000</v>
      </c>
      <c r="B747" t="str">
        <f t="shared" si="133"/>
        <v>06539000</v>
      </c>
      <c r="C747" t="str">
        <f t="shared" si="127"/>
        <v>06539003</v>
      </c>
      <c r="D747">
        <v>89301171</v>
      </c>
      <c r="E747" t="str">
        <f t="shared" si="131"/>
        <v>7361195787</v>
      </c>
      <c r="F747" s="1">
        <v>44942</v>
      </c>
      <c r="G747" t="str">
        <f>"91475"</f>
        <v>91475</v>
      </c>
      <c r="H747">
        <v>1</v>
      </c>
      <c r="I747">
        <v>213</v>
      </c>
      <c r="J747">
        <v>0</v>
      </c>
      <c r="K747" t="str">
        <f t="shared" si="128"/>
        <v>813</v>
      </c>
      <c r="L747">
        <v>178.92</v>
      </c>
    </row>
    <row r="748" spans="1:12" x14ac:dyDescent="0.25">
      <c r="A748" t="str">
        <f t="shared" si="125"/>
        <v>89301000</v>
      </c>
      <c r="B748" t="str">
        <f t="shared" si="133"/>
        <v>06539000</v>
      </c>
      <c r="C748" t="str">
        <f>"06539001"</f>
        <v>06539001</v>
      </c>
      <c r="D748">
        <v>89301171</v>
      </c>
      <c r="E748" t="str">
        <f t="shared" ref="E748:E776" si="134">"515516337"</f>
        <v>515516337</v>
      </c>
      <c r="F748" s="1">
        <v>44932</v>
      </c>
      <c r="G748" t="str">
        <f>"81329"</f>
        <v>81329</v>
      </c>
      <c r="H748">
        <v>1</v>
      </c>
      <c r="I748">
        <v>17</v>
      </c>
      <c r="J748">
        <v>0</v>
      </c>
      <c r="K748" t="str">
        <f>"801"</f>
        <v>801</v>
      </c>
      <c r="L748">
        <v>14.28</v>
      </c>
    </row>
    <row r="749" spans="1:12" x14ac:dyDescent="0.25">
      <c r="A749" t="str">
        <f t="shared" si="125"/>
        <v>89301000</v>
      </c>
      <c r="B749" t="str">
        <f t="shared" si="133"/>
        <v>06539000</v>
      </c>
      <c r="C749" t="str">
        <f>"06539001"</f>
        <v>06539001</v>
      </c>
      <c r="D749">
        <v>89301171</v>
      </c>
      <c r="E749" t="str">
        <f t="shared" si="134"/>
        <v>515516337</v>
      </c>
      <c r="F749" s="1">
        <v>44932</v>
      </c>
      <c r="G749" t="str">
        <f>"81331"</f>
        <v>81331</v>
      </c>
      <c r="H749">
        <v>1</v>
      </c>
      <c r="I749">
        <v>193</v>
      </c>
      <c r="J749">
        <v>0</v>
      </c>
      <c r="K749" t="str">
        <f>"801"</f>
        <v>801</v>
      </c>
      <c r="L749">
        <v>162.12</v>
      </c>
    </row>
    <row r="750" spans="1:12" x14ac:dyDescent="0.25">
      <c r="A750" t="str">
        <f t="shared" si="125"/>
        <v>89301000</v>
      </c>
      <c r="B750" t="str">
        <f t="shared" si="133"/>
        <v>06539000</v>
      </c>
      <c r="C750" t="str">
        <f t="shared" ref="C750:C776" si="135">"06539003"</f>
        <v>06539003</v>
      </c>
      <c r="D750">
        <v>89301171</v>
      </c>
      <c r="E750" t="str">
        <f t="shared" si="134"/>
        <v>515516337</v>
      </c>
      <c r="F750" s="1">
        <v>44937</v>
      </c>
      <c r="G750" t="str">
        <f t="shared" ref="G750:G759" si="136">"91413"</f>
        <v>91413</v>
      </c>
      <c r="H750">
        <v>1</v>
      </c>
      <c r="I750">
        <v>868</v>
      </c>
      <c r="J750">
        <v>0</v>
      </c>
      <c r="K750" t="str">
        <f t="shared" ref="K750:K776" si="137">"813"</f>
        <v>813</v>
      </c>
      <c r="L750">
        <v>729.12</v>
      </c>
    </row>
    <row r="751" spans="1:12" x14ac:dyDescent="0.25">
      <c r="A751" t="str">
        <f t="shared" si="125"/>
        <v>89301000</v>
      </c>
      <c r="B751" t="str">
        <f t="shared" si="133"/>
        <v>06539000</v>
      </c>
      <c r="C751" t="str">
        <f t="shared" si="135"/>
        <v>06539003</v>
      </c>
      <c r="D751">
        <v>89301171</v>
      </c>
      <c r="E751" t="str">
        <f t="shared" si="134"/>
        <v>515516337</v>
      </c>
      <c r="F751" s="1">
        <v>44937</v>
      </c>
      <c r="G751" t="str">
        <f t="shared" si="136"/>
        <v>91413</v>
      </c>
      <c r="H751">
        <v>1</v>
      </c>
      <c r="I751">
        <v>868</v>
      </c>
      <c r="J751">
        <v>0</v>
      </c>
      <c r="K751" t="str">
        <f t="shared" si="137"/>
        <v>813</v>
      </c>
      <c r="L751">
        <v>729.12</v>
      </c>
    </row>
    <row r="752" spans="1:12" x14ac:dyDescent="0.25">
      <c r="A752" t="str">
        <f t="shared" si="125"/>
        <v>89301000</v>
      </c>
      <c r="B752" t="str">
        <f t="shared" si="133"/>
        <v>06539000</v>
      </c>
      <c r="C752" t="str">
        <f t="shared" si="135"/>
        <v>06539003</v>
      </c>
      <c r="D752">
        <v>89301171</v>
      </c>
      <c r="E752" t="str">
        <f t="shared" si="134"/>
        <v>515516337</v>
      </c>
      <c r="F752" s="1">
        <v>44942</v>
      </c>
      <c r="G752" t="str">
        <f t="shared" si="136"/>
        <v>91413</v>
      </c>
      <c r="H752">
        <v>1</v>
      </c>
      <c r="I752">
        <v>868</v>
      </c>
      <c r="J752">
        <v>0</v>
      </c>
      <c r="K752" t="str">
        <f t="shared" si="137"/>
        <v>813</v>
      </c>
      <c r="L752">
        <v>729.12</v>
      </c>
    </row>
    <row r="753" spans="1:12" x14ac:dyDescent="0.25">
      <c r="A753" t="str">
        <f t="shared" si="125"/>
        <v>89301000</v>
      </c>
      <c r="B753" t="str">
        <f t="shared" si="133"/>
        <v>06539000</v>
      </c>
      <c r="C753" t="str">
        <f t="shared" si="135"/>
        <v>06539003</v>
      </c>
      <c r="D753">
        <v>89301171</v>
      </c>
      <c r="E753" t="str">
        <f t="shared" si="134"/>
        <v>515516337</v>
      </c>
      <c r="F753" s="1">
        <v>44942</v>
      </c>
      <c r="G753" t="str">
        <f t="shared" si="136"/>
        <v>91413</v>
      </c>
      <c r="H753">
        <v>1</v>
      </c>
      <c r="I753">
        <v>868</v>
      </c>
      <c r="J753">
        <v>0</v>
      </c>
      <c r="K753" t="str">
        <f t="shared" si="137"/>
        <v>813</v>
      </c>
      <c r="L753">
        <v>729.12</v>
      </c>
    </row>
    <row r="754" spans="1:12" x14ac:dyDescent="0.25">
      <c r="A754" t="str">
        <f t="shared" si="125"/>
        <v>89301000</v>
      </c>
      <c r="B754" t="str">
        <f t="shared" si="133"/>
        <v>06539000</v>
      </c>
      <c r="C754" t="str">
        <f t="shared" si="135"/>
        <v>06539003</v>
      </c>
      <c r="D754">
        <v>89301171</v>
      </c>
      <c r="E754" t="str">
        <f t="shared" si="134"/>
        <v>515516337</v>
      </c>
      <c r="F754" s="1">
        <v>44938</v>
      </c>
      <c r="G754" t="str">
        <f t="shared" si="136"/>
        <v>91413</v>
      </c>
      <c r="H754">
        <v>1</v>
      </c>
      <c r="I754">
        <v>868</v>
      </c>
      <c r="J754">
        <v>0</v>
      </c>
      <c r="K754" t="str">
        <f t="shared" si="137"/>
        <v>813</v>
      </c>
      <c r="L754">
        <v>729.12</v>
      </c>
    </row>
    <row r="755" spans="1:12" x14ac:dyDescent="0.25">
      <c r="A755" t="str">
        <f t="shared" si="125"/>
        <v>89301000</v>
      </c>
      <c r="B755" t="str">
        <f t="shared" si="133"/>
        <v>06539000</v>
      </c>
      <c r="C755" t="str">
        <f t="shared" si="135"/>
        <v>06539003</v>
      </c>
      <c r="D755">
        <v>89301171</v>
      </c>
      <c r="E755" t="str">
        <f t="shared" si="134"/>
        <v>515516337</v>
      </c>
      <c r="F755" s="1">
        <v>44938</v>
      </c>
      <c r="G755" t="str">
        <f t="shared" si="136"/>
        <v>91413</v>
      </c>
      <c r="H755">
        <v>1</v>
      </c>
      <c r="I755">
        <v>868</v>
      </c>
      <c r="J755">
        <v>0</v>
      </c>
      <c r="K755" t="str">
        <f t="shared" si="137"/>
        <v>813</v>
      </c>
      <c r="L755">
        <v>729.12</v>
      </c>
    </row>
    <row r="756" spans="1:12" x14ac:dyDescent="0.25">
      <c r="A756" t="str">
        <f t="shared" si="125"/>
        <v>89301000</v>
      </c>
      <c r="B756" t="str">
        <f t="shared" si="133"/>
        <v>06539000</v>
      </c>
      <c r="C756" t="str">
        <f t="shared" si="135"/>
        <v>06539003</v>
      </c>
      <c r="D756">
        <v>89301171</v>
      </c>
      <c r="E756" t="str">
        <f t="shared" si="134"/>
        <v>515516337</v>
      </c>
      <c r="F756" s="1">
        <v>44942</v>
      </c>
      <c r="G756" t="str">
        <f t="shared" si="136"/>
        <v>91413</v>
      </c>
      <c r="H756">
        <v>1</v>
      </c>
      <c r="I756">
        <v>868</v>
      </c>
      <c r="J756">
        <v>0</v>
      </c>
      <c r="K756" t="str">
        <f t="shared" si="137"/>
        <v>813</v>
      </c>
      <c r="L756">
        <v>729.12</v>
      </c>
    </row>
    <row r="757" spans="1:12" x14ac:dyDescent="0.25">
      <c r="A757" t="str">
        <f t="shared" si="125"/>
        <v>89301000</v>
      </c>
      <c r="B757" t="str">
        <f t="shared" si="133"/>
        <v>06539000</v>
      </c>
      <c r="C757" t="str">
        <f t="shared" si="135"/>
        <v>06539003</v>
      </c>
      <c r="D757">
        <v>89301171</v>
      </c>
      <c r="E757" t="str">
        <f t="shared" si="134"/>
        <v>515516337</v>
      </c>
      <c r="F757" s="1">
        <v>44942</v>
      </c>
      <c r="G757" t="str">
        <f t="shared" si="136"/>
        <v>91413</v>
      </c>
      <c r="H757">
        <v>1</v>
      </c>
      <c r="I757">
        <v>868</v>
      </c>
      <c r="J757">
        <v>0</v>
      </c>
      <c r="K757" t="str">
        <f t="shared" si="137"/>
        <v>813</v>
      </c>
      <c r="L757">
        <v>729.12</v>
      </c>
    </row>
    <row r="758" spans="1:12" x14ac:dyDescent="0.25">
      <c r="A758" t="str">
        <f t="shared" si="125"/>
        <v>89301000</v>
      </c>
      <c r="B758" t="str">
        <f t="shared" si="133"/>
        <v>06539000</v>
      </c>
      <c r="C758" t="str">
        <f t="shared" si="135"/>
        <v>06539003</v>
      </c>
      <c r="D758">
        <v>89301171</v>
      </c>
      <c r="E758" t="str">
        <f t="shared" si="134"/>
        <v>515516337</v>
      </c>
      <c r="F758" s="1">
        <v>44942</v>
      </c>
      <c r="G758" t="str">
        <f t="shared" si="136"/>
        <v>91413</v>
      </c>
      <c r="H758">
        <v>1</v>
      </c>
      <c r="I758">
        <v>868</v>
      </c>
      <c r="J758">
        <v>0</v>
      </c>
      <c r="K758" t="str">
        <f t="shared" si="137"/>
        <v>813</v>
      </c>
      <c r="L758">
        <v>729.12</v>
      </c>
    </row>
    <row r="759" spans="1:12" x14ac:dyDescent="0.25">
      <c r="A759" t="str">
        <f t="shared" si="125"/>
        <v>89301000</v>
      </c>
      <c r="B759" t="str">
        <f t="shared" si="133"/>
        <v>06539000</v>
      </c>
      <c r="C759" t="str">
        <f t="shared" si="135"/>
        <v>06539003</v>
      </c>
      <c r="D759">
        <v>89301171</v>
      </c>
      <c r="E759" t="str">
        <f t="shared" si="134"/>
        <v>515516337</v>
      </c>
      <c r="F759" s="1">
        <v>44942</v>
      </c>
      <c r="G759" t="str">
        <f t="shared" si="136"/>
        <v>91413</v>
      </c>
      <c r="H759">
        <v>1</v>
      </c>
      <c r="I759">
        <v>868</v>
      </c>
      <c r="J759">
        <v>0</v>
      </c>
      <c r="K759" t="str">
        <f t="shared" si="137"/>
        <v>813</v>
      </c>
      <c r="L759">
        <v>729.12</v>
      </c>
    </row>
    <row r="760" spans="1:12" x14ac:dyDescent="0.25">
      <c r="A760" t="str">
        <f t="shared" si="125"/>
        <v>89301000</v>
      </c>
      <c r="B760" t="str">
        <f t="shared" si="133"/>
        <v>06539000</v>
      </c>
      <c r="C760" t="str">
        <f t="shared" si="135"/>
        <v>06539003</v>
      </c>
      <c r="D760">
        <v>89301171</v>
      </c>
      <c r="E760" t="str">
        <f t="shared" si="134"/>
        <v>515516337</v>
      </c>
      <c r="F760" s="1">
        <v>44932</v>
      </c>
      <c r="G760" t="str">
        <f t="shared" ref="G760:G765" si="138">"91197"</f>
        <v>91197</v>
      </c>
      <c r="H760">
        <v>1</v>
      </c>
      <c r="I760">
        <v>1048</v>
      </c>
      <c r="J760">
        <v>0</v>
      </c>
      <c r="K760" t="str">
        <f t="shared" si="137"/>
        <v>813</v>
      </c>
      <c r="L760">
        <v>880.32</v>
      </c>
    </row>
    <row r="761" spans="1:12" x14ac:dyDescent="0.25">
      <c r="A761" t="str">
        <f t="shared" si="125"/>
        <v>89301000</v>
      </c>
      <c r="B761" t="str">
        <f t="shared" si="133"/>
        <v>06539000</v>
      </c>
      <c r="C761" t="str">
        <f t="shared" si="135"/>
        <v>06539003</v>
      </c>
      <c r="D761">
        <v>89301171</v>
      </c>
      <c r="E761" t="str">
        <f t="shared" si="134"/>
        <v>515516337</v>
      </c>
      <c r="F761" s="1">
        <v>44934</v>
      </c>
      <c r="G761" t="str">
        <f t="shared" si="138"/>
        <v>91197</v>
      </c>
      <c r="H761">
        <v>1</v>
      </c>
      <c r="I761">
        <v>1048</v>
      </c>
      <c r="J761">
        <v>0</v>
      </c>
      <c r="K761" t="str">
        <f t="shared" si="137"/>
        <v>813</v>
      </c>
      <c r="L761">
        <v>880.32</v>
      </c>
    </row>
    <row r="762" spans="1:12" x14ac:dyDescent="0.25">
      <c r="A762" t="str">
        <f t="shared" si="125"/>
        <v>89301000</v>
      </c>
      <c r="B762" t="str">
        <f t="shared" si="133"/>
        <v>06539000</v>
      </c>
      <c r="C762" t="str">
        <f t="shared" si="135"/>
        <v>06539003</v>
      </c>
      <c r="D762">
        <v>89301171</v>
      </c>
      <c r="E762" t="str">
        <f t="shared" si="134"/>
        <v>515516337</v>
      </c>
      <c r="F762" s="1">
        <v>44934</v>
      </c>
      <c r="G762" t="str">
        <f t="shared" si="138"/>
        <v>91197</v>
      </c>
      <c r="H762">
        <v>1</v>
      </c>
      <c r="I762">
        <v>1048</v>
      </c>
      <c r="J762">
        <v>0</v>
      </c>
      <c r="K762" t="str">
        <f t="shared" si="137"/>
        <v>813</v>
      </c>
      <c r="L762">
        <v>880.32</v>
      </c>
    </row>
    <row r="763" spans="1:12" x14ac:dyDescent="0.25">
      <c r="A763" t="str">
        <f t="shared" si="125"/>
        <v>89301000</v>
      </c>
      <c r="B763" t="str">
        <f t="shared" si="133"/>
        <v>06539000</v>
      </c>
      <c r="C763" t="str">
        <f t="shared" si="135"/>
        <v>06539003</v>
      </c>
      <c r="D763">
        <v>89301171</v>
      </c>
      <c r="E763" t="str">
        <f t="shared" si="134"/>
        <v>515516337</v>
      </c>
      <c r="F763" s="1">
        <v>44933</v>
      </c>
      <c r="G763" t="str">
        <f t="shared" si="138"/>
        <v>91197</v>
      </c>
      <c r="H763">
        <v>1</v>
      </c>
      <c r="I763">
        <v>1048</v>
      </c>
      <c r="J763">
        <v>0</v>
      </c>
      <c r="K763" t="str">
        <f t="shared" si="137"/>
        <v>813</v>
      </c>
      <c r="L763">
        <v>880.32</v>
      </c>
    </row>
    <row r="764" spans="1:12" x14ac:dyDescent="0.25">
      <c r="A764" t="str">
        <f t="shared" si="125"/>
        <v>89301000</v>
      </c>
      <c r="B764" t="str">
        <f t="shared" si="133"/>
        <v>06539000</v>
      </c>
      <c r="C764" t="str">
        <f t="shared" si="135"/>
        <v>06539003</v>
      </c>
      <c r="D764">
        <v>89301171</v>
      </c>
      <c r="E764" t="str">
        <f t="shared" si="134"/>
        <v>515516337</v>
      </c>
      <c r="F764" s="1">
        <v>44933</v>
      </c>
      <c r="G764" t="str">
        <f t="shared" si="138"/>
        <v>91197</v>
      </c>
      <c r="H764">
        <v>1</v>
      </c>
      <c r="I764">
        <v>1048</v>
      </c>
      <c r="J764">
        <v>0</v>
      </c>
      <c r="K764" t="str">
        <f t="shared" si="137"/>
        <v>813</v>
      </c>
      <c r="L764">
        <v>880.32</v>
      </c>
    </row>
    <row r="765" spans="1:12" x14ac:dyDescent="0.25">
      <c r="A765" t="str">
        <f t="shared" si="125"/>
        <v>89301000</v>
      </c>
      <c r="B765" t="str">
        <f t="shared" si="133"/>
        <v>06539000</v>
      </c>
      <c r="C765" t="str">
        <f t="shared" si="135"/>
        <v>06539003</v>
      </c>
      <c r="D765">
        <v>89301171</v>
      </c>
      <c r="E765" t="str">
        <f t="shared" si="134"/>
        <v>515516337</v>
      </c>
      <c r="F765" s="1">
        <v>44932</v>
      </c>
      <c r="G765" t="str">
        <f t="shared" si="138"/>
        <v>91197</v>
      </c>
      <c r="H765">
        <v>1</v>
      </c>
      <c r="I765">
        <v>1048</v>
      </c>
      <c r="J765">
        <v>0</v>
      </c>
      <c r="K765" t="str">
        <f t="shared" si="137"/>
        <v>813</v>
      </c>
      <c r="L765">
        <v>880.32</v>
      </c>
    </row>
    <row r="766" spans="1:12" x14ac:dyDescent="0.25">
      <c r="A766" t="str">
        <f t="shared" si="125"/>
        <v>89301000</v>
      </c>
      <c r="B766" t="str">
        <f t="shared" si="133"/>
        <v>06539000</v>
      </c>
      <c r="C766" t="str">
        <f t="shared" si="135"/>
        <v>06539003</v>
      </c>
      <c r="D766">
        <v>89301171</v>
      </c>
      <c r="E766" t="str">
        <f t="shared" si="134"/>
        <v>515516337</v>
      </c>
      <c r="F766" s="1">
        <v>44932</v>
      </c>
      <c r="G766" t="str">
        <f>"91129"</f>
        <v>91129</v>
      </c>
      <c r="H766">
        <v>1</v>
      </c>
      <c r="I766">
        <v>175</v>
      </c>
      <c r="J766">
        <v>0</v>
      </c>
      <c r="K766" t="str">
        <f t="shared" si="137"/>
        <v>813</v>
      </c>
      <c r="L766">
        <v>147</v>
      </c>
    </row>
    <row r="767" spans="1:12" x14ac:dyDescent="0.25">
      <c r="A767" t="str">
        <f t="shared" si="125"/>
        <v>89301000</v>
      </c>
      <c r="B767" t="str">
        <f t="shared" si="133"/>
        <v>06539000</v>
      </c>
      <c r="C767" t="str">
        <f t="shared" si="135"/>
        <v>06539003</v>
      </c>
      <c r="D767">
        <v>89301171</v>
      </c>
      <c r="E767" t="str">
        <f t="shared" si="134"/>
        <v>515516337</v>
      </c>
      <c r="F767" s="1">
        <v>44932</v>
      </c>
      <c r="G767" t="str">
        <f>"91131"</f>
        <v>91131</v>
      </c>
      <c r="H767">
        <v>1</v>
      </c>
      <c r="I767">
        <v>171</v>
      </c>
      <c r="J767">
        <v>0</v>
      </c>
      <c r="K767" t="str">
        <f t="shared" si="137"/>
        <v>813</v>
      </c>
      <c r="L767">
        <v>143.63999999999999</v>
      </c>
    </row>
    <row r="768" spans="1:12" x14ac:dyDescent="0.25">
      <c r="A768" t="str">
        <f t="shared" si="125"/>
        <v>89301000</v>
      </c>
      <c r="B768" t="str">
        <f t="shared" si="133"/>
        <v>06539000</v>
      </c>
      <c r="C768" t="str">
        <f t="shared" si="135"/>
        <v>06539003</v>
      </c>
      <c r="D768">
        <v>89301171</v>
      </c>
      <c r="E768" t="str">
        <f t="shared" si="134"/>
        <v>515516337</v>
      </c>
      <c r="F768" s="1">
        <v>44932</v>
      </c>
      <c r="G768" t="str">
        <f>"91133"</f>
        <v>91133</v>
      </c>
      <c r="H768">
        <v>1</v>
      </c>
      <c r="I768">
        <v>177</v>
      </c>
      <c r="J768">
        <v>0</v>
      </c>
      <c r="K768" t="str">
        <f t="shared" si="137"/>
        <v>813</v>
      </c>
      <c r="L768">
        <v>148.68</v>
      </c>
    </row>
    <row r="769" spans="1:12" x14ac:dyDescent="0.25">
      <c r="A769" t="str">
        <f t="shared" si="125"/>
        <v>89301000</v>
      </c>
      <c r="B769" t="str">
        <f t="shared" si="133"/>
        <v>06539000</v>
      </c>
      <c r="C769" t="str">
        <f t="shared" si="135"/>
        <v>06539003</v>
      </c>
      <c r="D769">
        <v>89301171</v>
      </c>
      <c r="E769" t="str">
        <f t="shared" si="134"/>
        <v>515516337</v>
      </c>
      <c r="F769" s="1">
        <v>44932</v>
      </c>
      <c r="G769" t="str">
        <f>"91171"</f>
        <v>91171</v>
      </c>
      <c r="H769">
        <v>1</v>
      </c>
      <c r="I769">
        <v>362</v>
      </c>
      <c r="J769">
        <v>0</v>
      </c>
      <c r="K769" t="str">
        <f t="shared" si="137"/>
        <v>813</v>
      </c>
      <c r="L769">
        <v>304.08</v>
      </c>
    </row>
    <row r="770" spans="1:12" x14ac:dyDescent="0.25">
      <c r="A770" t="str">
        <f t="shared" ref="A770:A833" si="139">"89301000"</f>
        <v>89301000</v>
      </c>
      <c r="B770" t="str">
        <f t="shared" si="133"/>
        <v>06539000</v>
      </c>
      <c r="C770" t="str">
        <f t="shared" si="135"/>
        <v>06539003</v>
      </c>
      <c r="D770">
        <v>89301171</v>
      </c>
      <c r="E770" t="str">
        <f t="shared" si="134"/>
        <v>515516337</v>
      </c>
      <c r="F770" s="1">
        <v>44932</v>
      </c>
      <c r="G770" t="str">
        <f>"91173"</f>
        <v>91173</v>
      </c>
      <c r="H770">
        <v>1</v>
      </c>
      <c r="I770">
        <v>337</v>
      </c>
      <c r="J770">
        <v>0</v>
      </c>
      <c r="K770" t="str">
        <f t="shared" si="137"/>
        <v>813</v>
      </c>
      <c r="L770">
        <v>283.08</v>
      </c>
    </row>
    <row r="771" spans="1:12" x14ac:dyDescent="0.25">
      <c r="A771" t="str">
        <f t="shared" si="139"/>
        <v>89301000</v>
      </c>
      <c r="B771" t="str">
        <f t="shared" si="133"/>
        <v>06539000</v>
      </c>
      <c r="C771" t="str">
        <f t="shared" si="135"/>
        <v>06539003</v>
      </c>
      <c r="D771">
        <v>89301171</v>
      </c>
      <c r="E771" t="str">
        <f t="shared" si="134"/>
        <v>515516337</v>
      </c>
      <c r="F771" s="1">
        <v>44932</v>
      </c>
      <c r="G771" t="str">
        <f>"91175"</f>
        <v>91175</v>
      </c>
      <c r="H771">
        <v>1</v>
      </c>
      <c r="I771">
        <v>362</v>
      </c>
      <c r="J771">
        <v>0</v>
      </c>
      <c r="K771" t="str">
        <f t="shared" si="137"/>
        <v>813</v>
      </c>
      <c r="L771">
        <v>304.08</v>
      </c>
    </row>
    <row r="772" spans="1:12" x14ac:dyDescent="0.25">
      <c r="A772" t="str">
        <f t="shared" si="139"/>
        <v>89301000</v>
      </c>
      <c r="B772" t="str">
        <f t="shared" si="133"/>
        <v>06539000</v>
      </c>
      <c r="C772" t="str">
        <f t="shared" si="135"/>
        <v>06539003</v>
      </c>
      <c r="D772">
        <v>89301171</v>
      </c>
      <c r="E772" t="str">
        <f t="shared" si="134"/>
        <v>515516337</v>
      </c>
      <c r="F772" s="1">
        <v>44933</v>
      </c>
      <c r="G772" t="str">
        <f>"91167"</f>
        <v>91167</v>
      </c>
      <c r="H772">
        <v>1</v>
      </c>
      <c r="I772">
        <v>426</v>
      </c>
      <c r="J772">
        <v>0</v>
      </c>
      <c r="K772" t="str">
        <f t="shared" si="137"/>
        <v>813</v>
      </c>
      <c r="L772">
        <v>357.84</v>
      </c>
    </row>
    <row r="773" spans="1:12" x14ac:dyDescent="0.25">
      <c r="A773" t="str">
        <f t="shared" si="139"/>
        <v>89301000</v>
      </c>
      <c r="B773" t="str">
        <f t="shared" si="133"/>
        <v>06539000</v>
      </c>
      <c r="C773" t="str">
        <f t="shared" si="135"/>
        <v>06539003</v>
      </c>
      <c r="D773">
        <v>89301171</v>
      </c>
      <c r="E773" t="str">
        <f t="shared" si="134"/>
        <v>515516337</v>
      </c>
      <c r="F773" s="1">
        <v>44933</v>
      </c>
      <c r="G773" t="str">
        <f>"91169"</f>
        <v>91169</v>
      </c>
      <c r="H773">
        <v>1</v>
      </c>
      <c r="I773">
        <v>426</v>
      </c>
      <c r="J773">
        <v>0</v>
      </c>
      <c r="K773" t="str">
        <f t="shared" si="137"/>
        <v>813</v>
      </c>
      <c r="L773">
        <v>357.84</v>
      </c>
    </row>
    <row r="774" spans="1:12" x14ac:dyDescent="0.25">
      <c r="A774" t="str">
        <f t="shared" si="139"/>
        <v>89301000</v>
      </c>
      <c r="B774" t="str">
        <f t="shared" si="133"/>
        <v>06539000</v>
      </c>
      <c r="C774" t="str">
        <f t="shared" si="135"/>
        <v>06539003</v>
      </c>
      <c r="D774">
        <v>89301171</v>
      </c>
      <c r="E774" t="str">
        <f t="shared" si="134"/>
        <v>515516337</v>
      </c>
      <c r="F774" s="1">
        <v>44932</v>
      </c>
      <c r="G774" t="str">
        <f>"91167"</f>
        <v>91167</v>
      </c>
      <c r="H774">
        <v>1</v>
      </c>
      <c r="I774">
        <v>426</v>
      </c>
      <c r="J774">
        <v>0</v>
      </c>
      <c r="K774" t="str">
        <f t="shared" si="137"/>
        <v>813</v>
      </c>
      <c r="L774">
        <v>357.84</v>
      </c>
    </row>
    <row r="775" spans="1:12" x14ac:dyDescent="0.25">
      <c r="A775" t="str">
        <f t="shared" si="139"/>
        <v>89301000</v>
      </c>
      <c r="B775" t="str">
        <f t="shared" si="133"/>
        <v>06539000</v>
      </c>
      <c r="C775" t="str">
        <f t="shared" si="135"/>
        <v>06539003</v>
      </c>
      <c r="D775">
        <v>89301171</v>
      </c>
      <c r="E775" t="str">
        <f t="shared" si="134"/>
        <v>515516337</v>
      </c>
      <c r="F775" s="1">
        <v>44932</v>
      </c>
      <c r="G775" t="str">
        <f>"91169"</f>
        <v>91169</v>
      </c>
      <c r="H775">
        <v>1</v>
      </c>
      <c r="I775">
        <v>426</v>
      </c>
      <c r="J775">
        <v>0</v>
      </c>
      <c r="K775" t="str">
        <f t="shared" si="137"/>
        <v>813</v>
      </c>
      <c r="L775">
        <v>357.84</v>
      </c>
    </row>
    <row r="776" spans="1:12" x14ac:dyDescent="0.25">
      <c r="A776" t="str">
        <f t="shared" si="139"/>
        <v>89301000</v>
      </c>
      <c r="B776" t="str">
        <f t="shared" ref="B776:B807" si="140">"06539000"</f>
        <v>06539000</v>
      </c>
      <c r="C776" t="str">
        <f t="shared" si="135"/>
        <v>06539003</v>
      </c>
      <c r="D776">
        <v>89301171</v>
      </c>
      <c r="E776" t="str">
        <f t="shared" si="134"/>
        <v>515516337</v>
      </c>
      <c r="F776" s="1">
        <v>44937</v>
      </c>
      <c r="G776" t="str">
        <f>"91475"</f>
        <v>91475</v>
      </c>
      <c r="H776">
        <v>1</v>
      </c>
      <c r="I776">
        <v>213</v>
      </c>
      <c r="J776">
        <v>0</v>
      </c>
      <c r="K776" t="str">
        <f t="shared" si="137"/>
        <v>813</v>
      </c>
      <c r="L776">
        <v>178.92</v>
      </c>
    </row>
    <row r="777" spans="1:12" x14ac:dyDescent="0.25">
      <c r="A777" t="str">
        <f t="shared" si="139"/>
        <v>89301000</v>
      </c>
      <c r="B777" t="str">
        <f t="shared" si="140"/>
        <v>06539000</v>
      </c>
      <c r="C777" t="str">
        <f>"06539001"</f>
        <v>06539001</v>
      </c>
      <c r="D777">
        <v>89301171</v>
      </c>
      <c r="E777" t="str">
        <f t="shared" ref="E777:E818" si="141">"9957315709"</f>
        <v>9957315709</v>
      </c>
      <c r="F777" s="1">
        <v>44932</v>
      </c>
      <c r="G777" t="str">
        <f>"81329"</f>
        <v>81329</v>
      </c>
      <c r="H777">
        <v>1</v>
      </c>
      <c r="I777">
        <v>17</v>
      </c>
      <c r="J777">
        <v>0</v>
      </c>
      <c r="K777" t="str">
        <f>"801"</f>
        <v>801</v>
      </c>
      <c r="L777">
        <v>14.28</v>
      </c>
    </row>
    <row r="778" spans="1:12" x14ac:dyDescent="0.25">
      <c r="A778" t="str">
        <f t="shared" si="139"/>
        <v>89301000</v>
      </c>
      <c r="B778" t="str">
        <f t="shared" si="140"/>
        <v>06539000</v>
      </c>
      <c r="C778" t="str">
        <f>"06539001"</f>
        <v>06539001</v>
      </c>
      <c r="D778">
        <v>89301171</v>
      </c>
      <c r="E778" t="str">
        <f t="shared" si="141"/>
        <v>9957315709</v>
      </c>
      <c r="F778" s="1">
        <v>44932</v>
      </c>
      <c r="G778" t="str">
        <f>"81331"</f>
        <v>81331</v>
      </c>
      <c r="H778">
        <v>1</v>
      </c>
      <c r="I778">
        <v>193</v>
      </c>
      <c r="J778">
        <v>0</v>
      </c>
      <c r="K778" t="str">
        <f>"801"</f>
        <v>801</v>
      </c>
      <c r="L778">
        <v>162.12</v>
      </c>
    </row>
    <row r="779" spans="1:12" x14ac:dyDescent="0.25">
      <c r="A779" t="str">
        <f t="shared" si="139"/>
        <v>89301000</v>
      </c>
      <c r="B779" t="str">
        <f t="shared" si="140"/>
        <v>06539000</v>
      </c>
      <c r="C779" t="str">
        <f t="shared" ref="C779:C786" si="142">"06539002"</f>
        <v>06539002</v>
      </c>
      <c r="D779">
        <v>89301171</v>
      </c>
      <c r="E779" t="str">
        <f t="shared" si="141"/>
        <v>9957315709</v>
      </c>
      <c r="F779" s="1">
        <v>44932</v>
      </c>
      <c r="G779" t="str">
        <f t="shared" ref="G779:G786" si="143">"82097"</f>
        <v>82097</v>
      </c>
      <c r="H779">
        <v>1</v>
      </c>
      <c r="I779">
        <v>381</v>
      </c>
      <c r="J779">
        <v>0</v>
      </c>
      <c r="K779" t="str">
        <f t="shared" ref="K779:K786" si="144">"802"</f>
        <v>802</v>
      </c>
      <c r="L779">
        <v>369.57</v>
      </c>
    </row>
    <row r="780" spans="1:12" x14ac:dyDescent="0.25">
      <c r="A780" t="str">
        <f t="shared" si="139"/>
        <v>89301000</v>
      </c>
      <c r="B780" t="str">
        <f t="shared" si="140"/>
        <v>06539000</v>
      </c>
      <c r="C780" t="str">
        <f t="shared" si="142"/>
        <v>06539002</v>
      </c>
      <c r="D780">
        <v>89301171</v>
      </c>
      <c r="E780" t="str">
        <f t="shared" si="141"/>
        <v>9957315709</v>
      </c>
      <c r="F780" s="1">
        <v>44932</v>
      </c>
      <c r="G780" t="str">
        <f t="shared" si="143"/>
        <v>82097</v>
      </c>
      <c r="H780">
        <v>1</v>
      </c>
      <c r="I780">
        <v>381</v>
      </c>
      <c r="J780">
        <v>0</v>
      </c>
      <c r="K780" t="str">
        <f t="shared" si="144"/>
        <v>802</v>
      </c>
      <c r="L780">
        <v>369.57</v>
      </c>
    </row>
    <row r="781" spans="1:12" x14ac:dyDescent="0.25">
      <c r="A781" t="str">
        <f t="shared" si="139"/>
        <v>89301000</v>
      </c>
      <c r="B781" t="str">
        <f t="shared" si="140"/>
        <v>06539000</v>
      </c>
      <c r="C781" t="str">
        <f t="shared" si="142"/>
        <v>06539002</v>
      </c>
      <c r="D781">
        <v>89301171</v>
      </c>
      <c r="E781" t="str">
        <f t="shared" si="141"/>
        <v>9957315709</v>
      </c>
      <c r="F781" s="1">
        <v>44932</v>
      </c>
      <c r="G781" t="str">
        <f t="shared" si="143"/>
        <v>82097</v>
      </c>
      <c r="H781">
        <v>1</v>
      </c>
      <c r="I781">
        <v>381</v>
      </c>
      <c r="J781">
        <v>0</v>
      </c>
      <c r="K781" t="str">
        <f t="shared" si="144"/>
        <v>802</v>
      </c>
      <c r="L781">
        <v>369.57</v>
      </c>
    </row>
    <row r="782" spans="1:12" x14ac:dyDescent="0.25">
      <c r="A782" t="str">
        <f t="shared" si="139"/>
        <v>89301000</v>
      </c>
      <c r="B782" t="str">
        <f t="shared" si="140"/>
        <v>06539000</v>
      </c>
      <c r="C782" t="str">
        <f t="shared" si="142"/>
        <v>06539002</v>
      </c>
      <c r="D782">
        <v>89301171</v>
      </c>
      <c r="E782" t="str">
        <f t="shared" si="141"/>
        <v>9957315709</v>
      </c>
      <c r="F782" s="1">
        <v>44932</v>
      </c>
      <c r="G782" t="str">
        <f t="shared" si="143"/>
        <v>82097</v>
      </c>
      <c r="H782">
        <v>1</v>
      </c>
      <c r="I782">
        <v>381</v>
      </c>
      <c r="J782">
        <v>0</v>
      </c>
      <c r="K782" t="str">
        <f t="shared" si="144"/>
        <v>802</v>
      </c>
      <c r="L782">
        <v>369.57</v>
      </c>
    </row>
    <row r="783" spans="1:12" x14ac:dyDescent="0.25">
      <c r="A783" t="str">
        <f t="shared" si="139"/>
        <v>89301000</v>
      </c>
      <c r="B783" t="str">
        <f t="shared" si="140"/>
        <v>06539000</v>
      </c>
      <c r="C783" t="str">
        <f t="shared" si="142"/>
        <v>06539002</v>
      </c>
      <c r="D783">
        <v>89301171</v>
      </c>
      <c r="E783" t="str">
        <f t="shared" si="141"/>
        <v>9957315709</v>
      </c>
      <c r="F783" s="1">
        <v>44932</v>
      </c>
      <c r="G783" t="str">
        <f t="shared" si="143"/>
        <v>82097</v>
      </c>
      <c r="H783">
        <v>1</v>
      </c>
      <c r="I783">
        <v>381</v>
      </c>
      <c r="J783">
        <v>0</v>
      </c>
      <c r="K783" t="str">
        <f t="shared" si="144"/>
        <v>802</v>
      </c>
      <c r="L783">
        <v>369.57</v>
      </c>
    </row>
    <row r="784" spans="1:12" x14ac:dyDescent="0.25">
      <c r="A784" t="str">
        <f t="shared" si="139"/>
        <v>89301000</v>
      </c>
      <c r="B784" t="str">
        <f t="shared" si="140"/>
        <v>06539000</v>
      </c>
      <c r="C784" t="str">
        <f t="shared" si="142"/>
        <v>06539002</v>
      </c>
      <c r="D784">
        <v>89301171</v>
      </c>
      <c r="E784" t="str">
        <f t="shared" si="141"/>
        <v>9957315709</v>
      </c>
      <c r="F784" s="1">
        <v>44932</v>
      </c>
      <c r="G784" t="str">
        <f t="shared" si="143"/>
        <v>82097</v>
      </c>
      <c r="H784">
        <v>1</v>
      </c>
      <c r="I784">
        <v>381</v>
      </c>
      <c r="J784">
        <v>0</v>
      </c>
      <c r="K784" t="str">
        <f t="shared" si="144"/>
        <v>802</v>
      </c>
      <c r="L784">
        <v>369.57</v>
      </c>
    </row>
    <row r="785" spans="1:12" x14ac:dyDescent="0.25">
      <c r="A785" t="str">
        <f t="shared" si="139"/>
        <v>89301000</v>
      </c>
      <c r="B785" t="str">
        <f t="shared" si="140"/>
        <v>06539000</v>
      </c>
      <c r="C785" t="str">
        <f t="shared" si="142"/>
        <v>06539002</v>
      </c>
      <c r="D785">
        <v>89301171</v>
      </c>
      <c r="E785" t="str">
        <f t="shared" si="141"/>
        <v>9957315709</v>
      </c>
      <c r="F785" s="1">
        <v>44932</v>
      </c>
      <c r="G785" t="str">
        <f t="shared" si="143"/>
        <v>82097</v>
      </c>
      <c r="H785">
        <v>1</v>
      </c>
      <c r="I785">
        <v>381</v>
      </c>
      <c r="J785">
        <v>0</v>
      </c>
      <c r="K785" t="str">
        <f t="shared" si="144"/>
        <v>802</v>
      </c>
      <c r="L785">
        <v>369.57</v>
      </c>
    </row>
    <row r="786" spans="1:12" x14ac:dyDescent="0.25">
      <c r="A786" t="str">
        <f t="shared" si="139"/>
        <v>89301000</v>
      </c>
      <c r="B786" t="str">
        <f t="shared" si="140"/>
        <v>06539000</v>
      </c>
      <c r="C786" t="str">
        <f t="shared" si="142"/>
        <v>06539002</v>
      </c>
      <c r="D786">
        <v>89301171</v>
      </c>
      <c r="E786" t="str">
        <f t="shared" si="141"/>
        <v>9957315709</v>
      </c>
      <c r="F786" s="1">
        <v>44932</v>
      </c>
      <c r="G786" t="str">
        <f t="shared" si="143"/>
        <v>82097</v>
      </c>
      <c r="H786">
        <v>1</v>
      </c>
      <c r="I786">
        <v>381</v>
      </c>
      <c r="J786">
        <v>0</v>
      </c>
      <c r="K786" t="str">
        <f t="shared" si="144"/>
        <v>802</v>
      </c>
      <c r="L786">
        <v>369.57</v>
      </c>
    </row>
    <row r="787" spans="1:12" x14ac:dyDescent="0.25">
      <c r="A787" t="str">
        <f t="shared" si="139"/>
        <v>89301000</v>
      </c>
      <c r="B787" t="str">
        <f t="shared" si="140"/>
        <v>06539000</v>
      </c>
      <c r="C787" t="str">
        <f t="shared" ref="C787:C818" si="145">"06539003"</f>
        <v>06539003</v>
      </c>
      <c r="D787">
        <v>89301171</v>
      </c>
      <c r="E787" t="str">
        <f t="shared" si="141"/>
        <v>9957315709</v>
      </c>
      <c r="F787" s="1">
        <v>44937</v>
      </c>
      <c r="G787" t="str">
        <f t="shared" ref="G787:G796" si="146">"91413"</f>
        <v>91413</v>
      </c>
      <c r="H787">
        <v>1</v>
      </c>
      <c r="I787">
        <v>868</v>
      </c>
      <c r="J787">
        <v>0</v>
      </c>
      <c r="K787" t="str">
        <f t="shared" ref="K787:K818" si="147">"813"</f>
        <v>813</v>
      </c>
      <c r="L787">
        <v>729.12</v>
      </c>
    </row>
    <row r="788" spans="1:12" x14ac:dyDescent="0.25">
      <c r="A788" t="str">
        <f t="shared" si="139"/>
        <v>89301000</v>
      </c>
      <c r="B788" t="str">
        <f t="shared" si="140"/>
        <v>06539000</v>
      </c>
      <c r="C788" t="str">
        <f t="shared" si="145"/>
        <v>06539003</v>
      </c>
      <c r="D788">
        <v>89301171</v>
      </c>
      <c r="E788" t="str">
        <f t="shared" si="141"/>
        <v>9957315709</v>
      </c>
      <c r="F788" s="1">
        <v>44937</v>
      </c>
      <c r="G788" t="str">
        <f t="shared" si="146"/>
        <v>91413</v>
      </c>
      <c r="H788">
        <v>1</v>
      </c>
      <c r="I788">
        <v>868</v>
      </c>
      <c r="J788">
        <v>0</v>
      </c>
      <c r="K788" t="str">
        <f t="shared" si="147"/>
        <v>813</v>
      </c>
      <c r="L788">
        <v>729.12</v>
      </c>
    </row>
    <row r="789" spans="1:12" x14ac:dyDescent="0.25">
      <c r="A789" t="str">
        <f t="shared" si="139"/>
        <v>89301000</v>
      </c>
      <c r="B789" t="str">
        <f t="shared" si="140"/>
        <v>06539000</v>
      </c>
      <c r="C789" t="str">
        <f t="shared" si="145"/>
        <v>06539003</v>
      </c>
      <c r="D789">
        <v>89301171</v>
      </c>
      <c r="E789" t="str">
        <f t="shared" si="141"/>
        <v>9957315709</v>
      </c>
      <c r="F789" s="1">
        <v>44942</v>
      </c>
      <c r="G789" t="str">
        <f t="shared" si="146"/>
        <v>91413</v>
      </c>
      <c r="H789">
        <v>1</v>
      </c>
      <c r="I789">
        <v>868</v>
      </c>
      <c r="J789">
        <v>0</v>
      </c>
      <c r="K789" t="str">
        <f t="shared" si="147"/>
        <v>813</v>
      </c>
      <c r="L789">
        <v>729.12</v>
      </c>
    </row>
    <row r="790" spans="1:12" x14ac:dyDescent="0.25">
      <c r="A790" t="str">
        <f t="shared" si="139"/>
        <v>89301000</v>
      </c>
      <c r="B790" t="str">
        <f t="shared" si="140"/>
        <v>06539000</v>
      </c>
      <c r="C790" t="str">
        <f t="shared" si="145"/>
        <v>06539003</v>
      </c>
      <c r="D790">
        <v>89301171</v>
      </c>
      <c r="E790" t="str">
        <f t="shared" si="141"/>
        <v>9957315709</v>
      </c>
      <c r="F790" s="1">
        <v>44942</v>
      </c>
      <c r="G790" t="str">
        <f t="shared" si="146"/>
        <v>91413</v>
      </c>
      <c r="H790">
        <v>1</v>
      </c>
      <c r="I790">
        <v>868</v>
      </c>
      <c r="J790">
        <v>0</v>
      </c>
      <c r="K790" t="str">
        <f t="shared" si="147"/>
        <v>813</v>
      </c>
      <c r="L790">
        <v>729.12</v>
      </c>
    </row>
    <row r="791" spans="1:12" x14ac:dyDescent="0.25">
      <c r="A791" t="str">
        <f t="shared" si="139"/>
        <v>89301000</v>
      </c>
      <c r="B791" t="str">
        <f t="shared" si="140"/>
        <v>06539000</v>
      </c>
      <c r="C791" t="str">
        <f t="shared" si="145"/>
        <v>06539003</v>
      </c>
      <c r="D791">
        <v>89301171</v>
      </c>
      <c r="E791" t="str">
        <f t="shared" si="141"/>
        <v>9957315709</v>
      </c>
      <c r="F791" s="1">
        <v>44939</v>
      </c>
      <c r="G791" t="str">
        <f t="shared" si="146"/>
        <v>91413</v>
      </c>
      <c r="H791">
        <v>1</v>
      </c>
      <c r="I791">
        <v>868</v>
      </c>
      <c r="J791">
        <v>0</v>
      </c>
      <c r="K791" t="str">
        <f t="shared" si="147"/>
        <v>813</v>
      </c>
      <c r="L791">
        <v>729.12</v>
      </c>
    </row>
    <row r="792" spans="1:12" x14ac:dyDescent="0.25">
      <c r="A792" t="str">
        <f t="shared" si="139"/>
        <v>89301000</v>
      </c>
      <c r="B792" t="str">
        <f t="shared" si="140"/>
        <v>06539000</v>
      </c>
      <c r="C792" t="str">
        <f t="shared" si="145"/>
        <v>06539003</v>
      </c>
      <c r="D792">
        <v>89301171</v>
      </c>
      <c r="E792" t="str">
        <f t="shared" si="141"/>
        <v>9957315709</v>
      </c>
      <c r="F792" s="1">
        <v>44939</v>
      </c>
      <c r="G792" t="str">
        <f t="shared" si="146"/>
        <v>91413</v>
      </c>
      <c r="H792">
        <v>1</v>
      </c>
      <c r="I792">
        <v>868</v>
      </c>
      <c r="J792">
        <v>0</v>
      </c>
      <c r="K792" t="str">
        <f t="shared" si="147"/>
        <v>813</v>
      </c>
      <c r="L792">
        <v>729.12</v>
      </c>
    </row>
    <row r="793" spans="1:12" x14ac:dyDescent="0.25">
      <c r="A793" t="str">
        <f t="shared" si="139"/>
        <v>89301000</v>
      </c>
      <c r="B793" t="str">
        <f t="shared" si="140"/>
        <v>06539000</v>
      </c>
      <c r="C793" t="str">
        <f t="shared" si="145"/>
        <v>06539003</v>
      </c>
      <c r="D793">
        <v>89301171</v>
      </c>
      <c r="E793" t="str">
        <f t="shared" si="141"/>
        <v>9957315709</v>
      </c>
      <c r="F793" s="1">
        <v>44942</v>
      </c>
      <c r="G793" t="str">
        <f t="shared" si="146"/>
        <v>91413</v>
      </c>
      <c r="H793">
        <v>1</v>
      </c>
      <c r="I793">
        <v>868</v>
      </c>
      <c r="J793">
        <v>0</v>
      </c>
      <c r="K793" t="str">
        <f t="shared" si="147"/>
        <v>813</v>
      </c>
      <c r="L793">
        <v>729.12</v>
      </c>
    </row>
    <row r="794" spans="1:12" x14ac:dyDescent="0.25">
      <c r="A794" t="str">
        <f t="shared" si="139"/>
        <v>89301000</v>
      </c>
      <c r="B794" t="str">
        <f t="shared" si="140"/>
        <v>06539000</v>
      </c>
      <c r="C794" t="str">
        <f t="shared" si="145"/>
        <v>06539003</v>
      </c>
      <c r="D794">
        <v>89301171</v>
      </c>
      <c r="E794" t="str">
        <f t="shared" si="141"/>
        <v>9957315709</v>
      </c>
      <c r="F794" s="1">
        <v>44942</v>
      </c>
      <c r="G794" t="str">
        <f t="shared" si="146"/>
        <v>91413</v>
      </c>
      <c r="H794">
        <v>1</v>
      </c>
      <c r="I794">
        <v>868</v>
      </c>
      <c r="J794">
        <v>0</v>
      </c>
      <c r="K794" t="str">
        <f t="shared" si="147"/>
        <v>813</v>
      </c>
      <c r="L794">
        <v>729.12</v>
      </c>
    </row>
    <row r="795" spans="1:12" x14ac:dyDescent="0.25">
      <c r="A795" t="str">
        <f t="shared" si="139"/>
        <v>89301000</v>
      </c>
      <c r="B795" t="str">
        <f t="shared" si="140"/>
        <v>06539000</v>
      </c>
      <c r="C795" t="str">
        <f t="shared" si="145"/>
        <v>06539003</v>
      </c>
      <c r="D795">
        <v>89301171</v>
      </c>
      <c r="E795" t="str">
        <f t="shared" si="141"/>
        <v>9957315709</v>
      </c>
      <c r="F795" s="1">
        <v>44942</v>
      </c>
      <c r="G795" t="str">
        <f t="shared" si="146"/>
        <v>91413</v>
      </c>
      <c r="H795">
        <v>1</v>
      </c>
      <c r="I795">
        <v>868</v>
      </c>
      <c r="J795">
        <v>0</v>
      </c>
      <c r="K795" t="str">
        <f t="shared" si="147"/>
        <v>813</v>
      </c>
      <c r="L795">
        <v>729.12</v>
      </c>
    </row>
    <row r="796" spans="1:12" x14ac:dyDescent="0.25">
      <c r="A796" t="str">
        <f t="shared" si="139"/>
        <v>89301000</v>
      </c>
      <c r="B796" t="str">
        <f t="shared" si="140"/>
        <v>06539000</v>
      </c>
      <c r="C796" t="str">
        <f t="shared" si="145"/>
        <v>06539003</v>
      </c>
      <c r="D796">
        <v>89301171</v>
      </c>
      <c r="E796" t="str">
        <f t="shared" si="141"/>
        <v>9957315709</v>
      </c>
      <c r="F796" s="1">
        <v>44942</v>
      </c>
      <c r="G796" t="str">
        <f t="shared" si="146"/>
        <v>91413</v>
      </c>
      <c r="H796">
        <v>1</v>
      </c>
      <c r="I796">
        <v>868</v>
      </c>
      <c r="J796">
        <v>0</v>
      </c>
      <c r="K796" t="str">
        <f t="shared" si="147"/>
        <v>813</v>
      </c>
      <c r="L796">
        <v>729.12</v>
      </c>
    </row>
    <row r="797" spans="1:12" x14ac:dyDescent="0.25">
      <c r="A797" t="str">
        <f t="shared" si="139"/>
        <v>89301000</v>
      </c>
      <c r="B797" t="str">
        <f t="shared" si="140"/>
        <v>06539000</v>
      </c>
      <c r="C797" t="str">
        <f t="shared" si="145"/>
        <v>06539003</v>
      </c>
      <c r="D797">
        <v>89301171</v>
      </c>
      <c r="E797" t="str">
        <f t="shared" si="141"/>
        <v>9957315709</v>
      </c>
      <c r="F797" s="1">
        <v>44932</v>
      </c>
      <c r="G797" t="str">
        <f t="shared" ref="G797:G803" si="148">"91197"</f>
        <v>91197</v>
      </c>
      <c r="H797">
        <v>1</v>
      </c>
      <c r="I797">
        <v>1048</v>
      </c>
      <c r="J797">
        <v>0</v>
      </c>
      <c r="K797" t="str">
        <f t="shared" si="147"/>
        <v>813</v>
      </c>
      <c r="L797">
        <v>880.32</v>
      </c>
    </row>
    <row r="798" spans="1:12" x14ac:dyDescent="0.25">
      <c r="A798" t="str">
        <f t="shared" si="139"/>
        <v>89301000</v>
      </c>
      <c r="B798" t="str">
        <f t="shared" si="140"/>
        <v>06539000</v>
      </c>
      <c r="C798" t="str">
        <f t="shared" si="145"/>
        <v>06539003</v>
      </c>
      <c r="D798">
        <v>89301171</v>
      </c>
      <c r="E798" t="str">
        <f t="shared" si="141"/>
        <v>9957315709</v>
      </c>
      <c r="F798" s="1">
        <v>44935</v>
      </c>
      <c r="G798" t="str">
        <f t="shared" si="148"/>
        <v>91197</v>
      </c>
      <c r="H798">
        <v>1</v>
      </c>
      <c r="I798">
        <v>1048</v>
      </c>
      <c r="J798">
        <v>0</v>
      </c>
      <c r="K798" t="str">
        <f t="shared" si="147"/>
        <v>813</v>
      </c>
      <c r="L798">
        <v>880.32</v>
      </c>
    </row>
    <row r="799" spans="1:12" x14ac:dyDescent="0.25">
      <c r="A799" t="str">
        <f t="shared" si="139"/>
        <v>89301000</v>
      </c>
      <c r="B799" t="str">
        <f t="shared" si="140"/>
        <v>06539000</v>
      </c>
      <c r="C799" t="str">
        <f t="shared" si="145"/>
        <v>06539003</v>
      </c>
      <c r="D799">
        <v>89301171</v>
      </c>
      <c r="E799" t="str">
        <f t="shared" si="141"/>
        <v>9957315709</v>
      </c>
      <c r="F799" s="1">
        <v>44935</v>
      </c>
      <c r="G799" t="str">
        <f t="shared" si="148"/>
        <v>91197</v>
      </c>
      <c r="H799">
        <v>1</v>
      </c>
      <c r="I799">
        <v>1048</v>
      </c>
      <c r="J799">
        <v>0</v>
      </c>
      <c r="K799" t="str">
        <f t="shared" si="147"/>
        <v>813</v>
      </c>
      <c r="L799">
        <v>880.32</v>
      </c>
    </row>
    <row r="800" spans="1:12" x14ac:dyDescent="0.25">
      <c r="A800" t="str">
        <f t="shared" si="139"/>
        <v>89301000</v>
      </c>
      <c r="B800" t="str">
        <f t="shared" si="140"/>
        <v>06539000</v>
      </c>
      <c r="C800" t="str">
        <f t="shared" si="145"/>
        <v>06539003</v>
      </c>
      <c r="D800">
        <v>89301171</v>
      </c>
      <c r="E800" t="str">
        <f t="shared" si="141"/>
        <v>9957315709</v>
      </c>
      <c r="F800" s="1">
        <v>44934</v>
      </c>
      <c r="G800" t="str">
        <f t="shared" si="148"/>
        <v>91197</v>
      </c>
      <c r="H800">
        <v>1</v>
      </c>
      <c r="I800">
        <v>1048</v>
      </c>
      <c r="J800">
        <v>0</v>
      </c>
      <c r="K800" t="str">
        <f t="shared" si="147"/>
        <v>813</v>
      </c>
      <c r="L800">
        <v>880.32</v>
      </c>
    </row>
    <row r="801" spans="1:12" x14ac:dyDescent="0.25">
      <c r="A801" t="str">
        <f t="shared" si="139"/>
        <v>89301000</v>
      </c>
      <c r="B801" t="str">
        <f t="shared" si="140"/>
        <v>06539000</v>
      </c>
      <c r="C801" t="str">
        <f t="shared" si="145"/>
        <v>06539003</v>
      </c>
      <c r="D801">
        <v>89301171</v>
      </c>
      <c r="E801" t="str">
        <f t="shared" si="141"/>
        <v>9957315709</v>
      </c>
      <c r="F801" s="1">
        <v>44934</v>
      </c>
      <c r="G801" t="str">
        <f t="shared" si="148"/>
        <v>91197</v>
      </c>
      <c r="H801">
        <v>1</v>
      </c>
      <c r="I801">
        <v>1048</v>
      </c>
      <c r="J801">
        <v>0</v>
      </c>
      <c r="K801" t="str">
        <f t="shared" si="147"/>
        <v>813</v>
      </c>
      <c r="L801">
        <v>880.32</v>
      </c>
    </row>
    <row r="802" spans="1:12" x14ac:dyDescent="0.25">
      <c r="A802" t="str">
        <f t="shared" si="139"/>
        <v>89301000</v>
      </c>
      <c r="B802" t="str">
        <f t="shared" si="140"/>
        <v>06539000</v>
      </c>
      <c r="C802" t="str">
        <f t="shared" si="145"/>
        <v>06539003</v>
      </c>
      <c r="D802">
        <v>89301171</v>
      </c>
      <c r="E802" t="str">
        <f t="shared" si="141"/>
        <v>9957315709</v>
      </c>
      <c r="F802" s="1">
        <v>44933</v>
      </c>
      <c r="G802" t="str">
        <f t="shared" si="148"/>
        <v>91197</v>
      </c>
      <c r="H802">
        <v>1</v>
      </c>
      <c r="I802">
        <v>1048</v>
      </c>
      <c r="J802">
        <v>0</v>
      </c>
      <c r="K802" t="str">
        <f t="shared" si="147"/>
        <v>813</v>
      </c>
      <c r="L802">
        <v>880.32</v>
      </c>
    </row>
    <row r="803" spans="1:12" x14ac:dyDescent="0.25">
      <c r="A803" t="str">
        <f t="shared" si="139"/>
        <v>89301000</v>
      </c>
      <c r="B803" t="str">
        <f t="shared" si="140"/>
        <v>06539000</v>
      </c>
      <c r="C803" t="str">
        <f t="shared" si="145"/>
        <v>06539003</v>
      </c>
      <c r="D803">
        <v>89301171</v>
      </c>
      <c r="E803" t="str">
        <f t="shared" si="141"/>
        <v>9957315709</v>
      </c>
      <c r="F803" s="1">
        <v>44933</v>
      </c>
      <c r="G803" t="str">
        <f t="shared" si="148"/>
        <v>91197</v>
      </c>
      <c r="H803">
        <v>1</v>
      </c>
      <c r="I803">
        <v>1048</v>
      </c>
      <c r="J803">
        <v>0</v>
      </c>
      <c r="K803" t="str">
        <f t="shared" si="147"/>
        <v>813</v>
      </c>
      <c r="L803">
        <v>880.32</v>
      </c>
    </row>
    <row r="804" spans="1:12" x14ac:dyDescent="0.25">
      <c r="A804" t="str">
        <f t="shared" si="139"/>
        <v>89301000</v>
      </c>
      <c r="B804" t="str">
        <f t="shared" si="140"/>
        <v>06539000</v>
      </c>
      <c r="C804" t="str">
        <f t="shared" si="145"/>
        <v>06539003</v>
      </c>
      <c r="D804">
        <v>89301171</v>
      </c>
      <c r="E804" t="str">
        <f t="shared" si="141"/>
        <v>9957315709</v>
      </c>
      <c r="F804" s="1">
        <v>44937</v>
      </c>
      <c r="G804" t="str">
        <f>"91329"</f>
        <v>91329</v>
      </c>
      <c r="H804">
        <v>2</v>
      </c>
      <c r="I804">
        <v>436</v>
      </c>
      <c r="J804">
        <v>0</v>
      </c>
      <c r="K804" t="str">
        <f t="shared" si="147"/>
        <v>813</v>
      </c>
      <c r="L804">
        <v>366.24</v>
      </c>
    </row>
    <row r="805" spans="1:12" x14ac:dyDescent="0.25">
      <c r="A805" t="str">
        <f t="shared" si="139"/>
        <v>89301000</v>
      </c>
      <c r="B805" t="str">
        <f t="shared" si="140"/>
        <v>06539000</v>
      </c>
      <c r="C805" t="str">
        <f t="shared" si="145"/>
        <v>06539003</v>
      </c>
      <c r="D805">
        <v>89301171</v>
      </c>
      <c r="E805" t="str">
        <f t="shared" si="141"/>
        <v>9957315709</v>
      </c>
      <c r="F805" s="1">
        <v>44937</v>
      </c>
      <c r="G805" t="str">
        <f>"91329"</f>
        <v>91329</v>
      </c>
      <c r="H805">
        <v>2</v>
      </c>
      <c r="I805">
        <v>436</v>
      </c>
      <c r="J805">
        <v>0</v>
      </c>
      <c r="K805" t="str">
        <f t="shared" si="147"/>
        <v>813</v>
      </c>
      <c r="L805">
        <v>366.24</v>
      </c>
    </row>
    <row r="806" spans="1:12" x14ac:dyDescent="0.25">
      <c r="A806" t="str">
        <f t="shared" si="139"/>
        <v>89301000</v>
      </c>
      <c r="B806" t="str">
        <f t="shared" si="140"/>
        <v>06539000</v>
      </c>
      <c r="C806" t="str">
        <f t="shared" si="145"/>
        <v>06539003</v>
      </c>
      <c r="D806">
        <v>89301171</v>
      </c>
      <c r="E806" t="str">
        <f t="shared" si="141"/>
        <v>9957315709</v>
      </c>
      <c r="F806" s="1">
        <v>44937</v>
      </c>
      <c r="G806" t="str">
        <f>"91329"</f>
        <v>91329</v>
      </c>
      <c r="H806">
        <v>2</v>
      </c>
      <c r="I806">
        <v>436</v>
      </c>
      <c r="J806">
        <v>0</v>
      </c>
      <c r="K806" t="str">
        <f t="shared" si="147"/>
        <v>813</v>
      </c>
      <c r="L806">
        <v>366.24</v>
      </c>
    </row>
    <row r="807" spans="1:12" x14ac:dyDescent="0.25">
      <c r="A807" t="str">
        <f t="shared" si="139"/>
        <v>89301000</v>
      </c>
      <c r="B807" t="str">
        <f t="shared" si="140"/>
        <v>06539000</v>
      </c>
      <c r="C807" t="str">
        <f t="shared" si="145"/>
        <v>06539003</v>
      </c>
      <c r="D807">
        <v>89301171</v>
      </c>
      <c r="E807" t="str">
        <f t="shared" si="141"/>
        <v>9957315709</v>
      </c>
      <c r="F807" s="1">
        <v>44937</v>
      </c>
      <c r="G807" t="str">
        <f>"91329"</f>
        <v>91329</v>
      </c>
      <c r="H807">
        <v>2</v>
      </c>
      <c r="I807">
        <v>436</v>
      </c>
      <c r="J807">
        <v>0</v>
      </c>
      <c r="K807" t="str">
        <f t="shared" si="147"/>
        <v>813</v>
      </c>
      <c r="L807">
        <v>366.24</v>
      </c>
    </row>
    <row r="808" spans="1:12" x14ac:dyDescent="0.25">
      <c r="A808" t="str">
        <f t="shared" si="139"/>
        <v>89301000</v>
      </c>
      <c r="B808" t="str">
        <f t="shared" ref="B808:B839" si="149">"06539000"</f>
        <v>06539000</v>
      </c>
      <c r="C808" t="str">
        <f t="shared" si="145"/>
        <v>06539003</v>
      </c>
      <c r="D808">
        <v>89301171</v>
      </c>
      <c r="E808" t="str">
        <f t="shared" si="141"/>
        <v>9957315709</v>
      </c>
      <c r="F808" s="1">
        <v>44932</v>
      </c>
      <c r="G808" t="str">
        <f>"91129"</f>
        <v>91129</v>
      </c>
      <c r="H808">
        <v>1</v>
      </c>
      <c r="I808">
        <v>175</v>
      </c>
      <c r="J808">
        <v>0</v>
      </c>
      <c r="K808" t="str">
        <f t="shared" si="147"/>
        <v>813</v>
      </c>
      <c r="L808">
        <v>147</v>
      </c>
    </row>
    <row r="809" spans="1:12" x14ac:dyDescent="0.25">
      <c r="A809" t="str">
        <f t="shared" si="139"/>
        <v>89301000</v>
      </c>
      <c r="B809" t="str">
        <f t="shared" si="149"/>
        <v>06539000</v>
      </c>
      <c r="C809" t="str">
        <f t="shared" si="145"/>
        <v>06539003</v>
      </c>
      <c r="D809">
        <v>89301171</v>
      </c>
      <c r="E809" t="str">
        <f t="shared" si="141"/>
        <v>9957315709</v>
      </c>
      <c r="F809" s="1">
        <v>44932</v>
      </c>
      <c r="G809" t="str">
        <f>"91131"</f>
        <v>91131</v>
      </c>
      <c r="H809">
        <v>1</v>
      </c>
      <c r="I809">
        <v>171</v>
      </c>
      <c r="J809">
        <v>0</v>
      </c>
      <c r="K809" t="str">
        <f t="shared" si="147"/>
        <v>813</v>
      </c>
      <c r="L809">
        <v>143.63999999999999</v>
      </c>
    </row>
    <row r="810" spans="1:12" x14ac:dyDescent="0.25">
      <c r="A810" t="str">
        <f t="shared" si="139"/>
        <v>89301000</v>
      </c>
      <c r="B810" t="str">
        <f t="shared" si="149"/>
        <v>06539000</v>
      </c>
      <c r="C810" t="str">
        <f t="shared" si="145"/>
        <v>06539003</v>
      </c>
      <c r="D810">
        <v>89301171</v>
      </c>
      <c r="E810" t="str">
        <f t="shared" si="141"/>
        <v>9957315709</v>
      </c>
      <c r="F810" s="1">
        <v>44932</v>
      </c>
      <c r="G810" t="str">
        <f>"91133"</f>
        <v>91133</v>
      </c>
      <c r="H810">
        <v>1</v>
      </c>
      <c r="I810">
        <v>177</v>
      </c>
      <c r="J810">
        <v>0</v>
      </c>
      <c r="K810" t="str">
        <f t="shared" si="147"/>
        <v>813</v>
      </c>
      <c r="L810">
        <v>148.68</v>
      </c>
    </row>
    <row r="811" spans="1:12" x14ac:dyDescent="0.25">
      <c r="A811" t="str">
        <f t="shared" si="139"/>
        <v>89301000</v>
      </c>
      <c r="B811" t="str">
        <f t="shared" si="149"/>
        <v>06539000</v>
      </c>
      <c r="C811" t="str">
        <f t="shared" si="145"/>
        <v>06539003</v>
      </c>
      <c r="D811">
        <v>89301171</v>
      </c>
      <c r="E811" t="str">
        <f t="shared" si="141"/>
        <v>9957315709</v>
      </c>
      <c r="F811" s="1">
        <v>44932</v>
      </c>
      <c r="G811" t="str">
        <f>"91171"</f>
        <v>91171</v>
      </c>
      <c r="H811">
        <v>1</v>
      </c>
      <c r="I811">
        <v>362</v>
      </c>
      <c r="J811">
        <v>0</v>
      </c>
      <c r="K811" t="str">
        <f t="shared" si="147"/>
        <v>813</v>
      </c>
      <c r="L811">
        <v>304.08</v>
      </c>
    </row>
    <row r="812" spans="1:12" x14ac:dyDescent="0.25">
      <c r="A812" t="str">
        <f t="shared" si="139"/>
        <v>89301000</v>
      </c>
      <c r="B812" t="str">
        <f t="shared" si="149"/>
        <v>06539000</v>
      </c>
      <c r="C812" t="str">
        <f t="shared" si="145"/>
        <v>06539003</v>
      </c>
      <c r="D812">
        <v>89301171</v>
      </c>
      <c r="E812" t="str">
        <f t="shared" si="141"/>
        <v>9957315709</v>
      </c>
      <c r="F812" s="1">
        <v>44932</v>
      </c>
      <c r="G812" t="str">
        <f>"91173"</f>
        <v>91173</v>
      </c>
      <c r="H812">
        <v>1</v>
      </c>
      <c r="I812">
        <v>337</v>
      </c>
      <c r="J812">
        <v>0</v>
      </c>
      <c r="K812" t="str">
        <f t="shared" si="147"/>
        <v>813</v>
      </c>
      <c r="L812">
        <v>283.08</v>
      </c>
    </row>
    <row r="813" spans="1:12" x14ac:dyDescent="0.25">
      <c r="A813" t="str">
        <f t="shared" si="139"/>
        <v>89301000</v>
      </c>
      <c r="B813" t="str">
        <f t="shared" si="149"/>
        <v>06539000</v>
      </c>
      <c r="C813" t="str">
        <f t="shared" si="145"/>
        <v>06539003</v>
      </c>
      <c r="D813">
        <v>89301171</v>
      </c>
      <c r="E813" t="str">
        <f t="shared" si="141"/>
        <v>9957315709</v>
      </c>
      <c r="F813" s="1">
        <v>44932</v>
      </c>
      <c r="G813" t="str">
        <f>"91175"</f>
        <v>91175</v>
      </c>
      <c r="H813">
        <v>1</v>
      </c>
      <c r="I813">
        <v>362</v>
      </c>
      <c r="J813">
        <v>0</v>
      </c>
      <c r="K813" t="str">
        <f t="shared" si="147"/>
        <v>813</v>
      </c>
      <c r="L813">
        <v>304.08</v>
      </c>
    </row>
    <row r="814" spans="1:12" x14ac:dyDescent="0.25">
      <c r="A814" t="str">
        <f t="shared" si="139"/>
        <v>89301000</v>
      </c>
      <c r="B814" t="str">
        <f t="shared" si="149"/>
        <v>06539000</v>
      </c>
      <c r="C814" t="str">
        <f t="shared" si="145"/>
        <v>06539003</v>
      </c>
      <c r="D814">
        <v>89301171</v>
      </c>
      <c r="E814" t="str">
        <f t="shared" si="141"/>
        <v>9957315709</v>
      </c>
      <c r="F814" s="1">
        <v>44933</v>
      </c>
      <c r="G814" t="str">
        <f>"91167"</f>
        <v>91167</v>
      </c>
      <c r="H814">
        <v>1</v>
      </c>
      <c r="I814">
        <v>426</v>
      </c>
      <c r="J814">
        <v>0</v>
      </c>
      <c r="K814" t="str">
        <f t="shared" si="147"/>
        <v>813</v>
      </c>
      <c r="L814">
        <v>357.84</v>
      </c>
    </row>
    <row r="815" spans="1:12" x14ac:dyDescent="0.25">
      <c r="A815" t="str">
        <f t="shared" si="139"/>
        <v>89301000</v>
      </c>
      <c r="B815" t="str">
        <f t="shared" si="149"/>
        <v>06539000</v>
      </c>
      <c r="C815" t="str">
        <f t="shared" si="145"/>
        <v>06539003</v>
      </c>
      <c r="D815">
        <v>89301171</v>
      </c>
      <c r="E815" t="str">
        <f t="shared" si="141"/>
        <v>9957315709</v>
      </c>
      <c r="F815" s="1">
        <v>44933</v>
      </c>
      <c r="G815" t="str">
        <f>"91169"</f>
        <v>91169</v>
      </c>
      <c r="H815">
        <v>1</v>
      </c>
      <c r="I815">
        <v>426</v>
      </c>
      <c r="J815">
        <v>0</v>
      </c>
      <c r="K815" t="str">
        <f t="shared" si="147"/>
        <v>813</v>
      </c>
      <c r="L815">
        <v>357.84</v>
      </c>
    </row>
    <row r="816" spans="1:12" x14ac:dyDescent="0.25">
      <c r="A816" t="str">
        <f t="shared" si="139"/>
        <v>89301000</v>
      </c>
      <c r="B816" t="str">
        <f t="shared" si="149"/>
        <v>06539000</v>
      </c>
      <c r="C816" t="str">
        <f t="shared" si="145"/>
        <v>06539003</v>
      </c>
      <c r="D816">
        <v>89301171</v>
      </c>
      <c r="E816" t="str">
        <f t="shared" si="141"/>
        <v>9957315709</v>
      </c>
      <c r="F816" s="1">
        <v>44932</v>
      </c>
      <c r="G816" t="str">
        <f>"91167"</f>
        <v>91167</v>
      </c>
      <c r="H816">
        <v>1</v>
      </c>
      <c r="I816">
        <v>426</v>
      </c>
      <c r="J816">
        <v>0</v>
      </c>
      <c r="K816" t="str">
        <f t="shared" si="147"/>
        <v>813</v>
      </c>
      <c r="L816">
        <v>357.84</v>
      </c>
    </row>
    <row r="817" spans="1:12" x14ac:dyDescent="0.25">
      <c r="A817" t="str">
        <f t="shared" si="139"/>
        <v>89301000</v>
      </c>
      <c r="B817" t="str">
        <f t="shared" si="149"/>
        <v>06539000</v>
      </c>
      <c r="C817" t="str">
        <f t="shared" si="145"/>
        <v>06539003</v>
      </c>
      <c r="D817">
        <v>89301171</v>
      </c>
      <c r="E817" t="str">
        <f t="shared" si="141"/>
        <v>9957315709</v>
      </c>
      <c r="F817" s="1">
        <v>44932</v>
      </c>
      <c r="G817" t="str">
        <f>"91169"</f>
        <v>91169</v>
      </c>
      <c r="H817">
        <v>1</v>
      </c>
      <c r="I817">
        <v>426</v>
      </c>
      <c r="J817">
        <v>0</v>
      </c>
      <c r="K817" t="str">
        <f t="shared" si="147"/>
        <v>813</v>
      </c>
      <c r="L817">
        <v>357.84</v>
      </c>
    </row>
    <row r="818" spans="1:12" x14ac:dyDescent="0.25">
      <c r="A818" t="str">
        <f t="shared" si="139"/>
        <v>89301000</v>
      </c>
      <c r="B818" t="str">
        <f t="shared" si="149"/>
        <v>06539000</v>
      </c>
      <c r="C818" t="str">
        <f t="shared" si="145"/>
        <v>06539003</v>
      </c>
      <c r="D818">
        <v>89301171</v>
      </c>
      <c r="E818" t="str">
        <f t="shared" si="141"/>
        <v>9957315709</v>
      </c>
      <c r="F818" s="1">
        <v>44942</v>
      </c>
      <c r="G818" t="str">
        <f>"91475"</f>
        <v>91475</v>
      </c>
      <c r="H818">
        <v>1</v>
      </c>
      <c r="I818">
        <v>213</v>
      </c>
      <c r="J818">
        <v>0</v>
      </c>
      <c r="K818" t="str">
        <f t="shared" si="147"/>
        <v>813</v>
      </c>
      <c r="L818">
        <v>178.92</v>
      </c>
    </row>
    <row r="819" spans="1:12" x14ac:dyDescent="0.25">
      <c r="A819" t="str">
        <f t="shared" si="139"/>
        <v>89301000</v>
      </c>
      <c r="B819" t="str">
        <f t="shared" si="149"/>
        <v>06539000</v>
      </c>
      <c r="C819" t="str">
        <f>"06539001"</f>
        <v>06539001</v>
      </c>
      <c r="D819">
        <v>89301171</v>
      </c>
      <c r="E819" t="str">
        <f t="shared" ref="E819:E860" si="150">"9653024854"</f>
        <v>9653024854</v>
      </c>
      <c r="F819" s="1">
        <v>44939</v>
      </c>
      <c r="G819" t="str">
        <f>"81329"</f>
        <v>81329</v>
      </c>
      <c r="H819">
        <v>1</v>
      </c>
      <c r="I819">
        <v>17</v>
      </c>
      <c r="J819">
        <v>0</v>
      </c>
      <c r="K819" t="str">
        <f>"801"</f>
        <v>801</v>
      </c>
      <c r="L819">
        <v>14.28</v>
      </c>
    </row>
    <row r="820" spans="1:12" x14ac:dyDescent="0.25">
      <c r="A820" t="str">
        <f t="shared" si="139"/>
        <v>89301000</v>
      </c>
      <c r="B820" t="str">
        <f t="shared" si="149"/>
        <v>06539000</v>
      </c>
      <c r="C820" t="str">
        <f>"06539001"</f>
        <v>06539001</v>
      </c>
      <c r="D820">
        <v>89301171</v>
      </c>
      <c r="E820" t="str">
        <f t="shared" si="150"/>
        <v>9653024854</v>
      </c>
      <c r="F820" s="1">
        <v>44939</v>
      </c>
      <c r="G820" t="str">
        <f>"81331"</f>
        <v>81331</v>
      </c>
      <c r="H820">
        <v>1</v>
      </c>
      <c r="I820">
        <v>193</v>
      </c>
      <c r="J820">
        <v>0</v>
      </c>
      <c r="K820" t="str">
        <f>"801"</f>
        <v>801</v>
      </c>
      <c r="L820">
        <v>162.12</v>
      </c>
    </row>
    <row r="821" spans="1:12" x14ac:dyDescent="0.25">
      <c r="A821" t="str">
        <f t="shared" si="139"/>
        <v>89301000</v>
      </c>
      <c r="B821" t="str">
        <f t="shared" si="149"/>
        <v>06539000</v>
      </c>
      <c r="C821" t="str">
        <f t="shared" ref="C821:C828" si="151">"06539002"</f>
        <v>06539002</v>
      </c>
      <c r="D821">
        <v>89301171</v>
      </c>
      <c r="E821" t="str">
        <f t="shared" si="150"/>
        <v>9653024854</v>
      </c>
      <c r="F821" s="1">
        <v>44939</v>
      </c>
      <c r="G821" t="str">
        <f t="shared" ref="G821:G828" si="152">"82097"</f>
        <v>82097</v>
      </c>
      <c r="H821">
        <v>1</v>
      </c>
      <c r="I821">
        <v>381</v>
      </c>
      <c r="J821">
        <v>0</v>
      </c>
      <c r="K821" t="str">
        <f t="shared" ref="K821:K828" si="153">"802"</f>
        <v>802</v>
      </c>
      <c r="L821">
        <v>369.57</v>
      </c>
    </row>
    <row r="822" spans="1:12" x14ac:dyDescent="0.25">
      <c r="A822" t="str">
        <f t="shared" si="139"/>
        <v>89301000</v>
      </c>
      <c r="B822" t="str">
        <f t="shared" si="149"/>
        <v>06539000</v>
      </c>
      <c r="C822" t="str">
        <f t="shared" si="151"/>
        <v>06539002</v>
      </c>
      <c r="D822">
        <v>89301171</v>
      </c>
      <c r="E822" t="str">
        <f t="shared" si="150"/>
        <v>9653024854</v>
      </c>
      <c r="F822" s="1">
        <v>44939</v>
      </c>
      <c r="G822" t="str">
        <f t="shared" si="152"/>
        <v>82097</v>
      </c>
      <c r="H822">
        <v>1</v>
      </c>
      <c r="I822">
        <v>381</v>
      </c>
      <c r="J822">
        <v>0</v>
      </c>
      <c r="K822" t="str">
        <f t="shared" si="153"/>
        <v>802</v>
      </c>
      <c r="L822">
        <v>369.57</v>
      </c>
    </row>
    <row r="823" spans="1:12" x14ac:dyDescent="0.25">
      <c r="A823" t="str">
        <f t="shared" si="139"/>
        <v>89301000</v>
      </c>
      <c r="B823" t="str">
        <f t="shared" si="149"/>
        <v>06539000</v>
      </c>
      <c r="C823" t="str">
        <f t="shared" si="151"/>
        <v>06539002</v>
      </c>
      <c r="D823">
        <v>89301171</v>
      </c>
      <c r="E823" t="str">
        <f t="shared" si="150"/>
        <v>9653024854</v>
      </c>
      <c r="F823" s="1">
        <v>44939</v>
      </c>
      <c r="G823" t="str">
        <f t="shared" si="152"/>
        <v>82097</v>
      </c>
      <c r="H823">
        <v>1</v>
      </c>
      <c r="I823">
        <v>381</v>
      </c>
      <c r="J823">
        <v>0</v>
      </c>
      <c r="K823" t="str">
        <f t="shared" si="153"/>
        <v>802</v>
      </c>
      <c r="L823">
        <v>369.57</v>
      </c>
    </row>
    <row r="824" spans="1:12" x14ac:dyDescent="0.25">
      <c r="A824" t="str">
        <f t="shared" si="139"/>
        <v>89301000</v>
      </c>
      <c r="B824" t="str">
        <f t="shared" si="149"/>
        <v>06539000</v>
      </c>
      <c r="C824" t="str">
        <f t="shared" si="151"/>
        <v>06539002</v>
      </c>
      <c r="D824">
        <v>89301171</v>
      </c>
      <c r="E824" t="str">
        <f t="shared" si="150"/>
        <v>9653024854</v>
      </c>
      <c r="F824" s="1">
        <v>44939</v>
      </c>
      <c r="G824" t="str">
        <f t="shared" si="152"/>
        <v>82097</v>
      </c>
      <c r="H824">
        <v>1</v>
      </c>
      <c r="I824">
        <v>381</v>
      </c>
      <c r="J824">
        <v>0</v>
      </c>
      <c r="K824" t="str">
        <f t="shared" si="153"/>
        <v>802</v>
      </c>
      <c r="L824">
        <v>369.57</v>
      </c>
    </row>
    <row r="825" spans="1:12" x14ac:dyDescent="0.25">
      <c r="A825" t="str">
        <f t="shared" si="139"/>
        <v>89301000</v>
      </c>
      <c r="B825" t="str">
        <f t="shared" si="149"/>
        <v>06539000</v>
      </c>
      <c r="C825" t="str">
        <f t="shared" si="151"/>
        <v>06539002</v>
      </c>
      <c r="D825">
        <v>89301171</v>
      </c>
      <c r="E825" t="str">
        <f t="shared" si="150"/>
        <v>9653024854</v>
      </c>
      <c r="F825" s="1">
        <v>44939</v>
      </c>
      <c r="G825" t="str">
        <f t="shared" si="152"/>
        <v>82097</v>
      </c>
      <c r="H825">
        <v>1</v>
      </c>
      <c r="I825">
        <v>381</v>
      </c>
      <c r="J825">
        <v>0</v>
      </c>
      <c r="K825" t="str">
        <f t="shared" si="153"/>
        <v>802</v>
      </c>
      <c r="L825">
        <v>369.57</v>
      </c>
    </row>
    <row r="826" spans="1:12" x14ac:dyDescent="0.25">
      <c r="A826" t="str">
        <f t="shared" si="139"/>
        <v>89301000</v>
      </c>
      <c r="B826" t="str">
        <f t="shared" si="149"/>
        <v>06539000</v>
      </c>
      <c r="C826" t="str">
        <f t="shared" si="151"/>
        <v>06539002</v>
      </c>
      <c r="D826">
        <v>89301171</v>
      </c>
      <c r="E826" t="str">
        <f t="shared" si="150"/>
        <v>9653024854</v>
      </c>
      <c r="F826" s="1">
        <v>44939</v>
      </c>
      <c r="G826" t="str">
        <f t="shared" si="152"/>
        <v>82097</v>
      </c>
      <c r="H826">
        <v>1</v>
      </c>
      <c r="I826">
        <v>381</v>
      </c>
      <c r="J826">
        <v>0</v>
      </c>
      <c r="K826" t="str">
        <f t="shared" si="153"/>
        <v>802</v>
      </c>
      <c r="L826">
        <v>369.57</v>
      </c>
    </row>
    <row r="827" spans="1:12" x14ac:dyDescent="0.25">
      <c r="A827" t="str">
        <f t="shared" si="139"/>
        <v>89301000</v>
      </c>
      <c r="B827" t="str">
        <f t="shared" si="149"/>
        <v>06539000</v>
      </c>
      <c r="C827" t="str">
        <f t="shared" si="151"/>
        <v>06539002</v>
      </c>
      <c r="D827">
        <v>89301171</v>
      </c>
      <c r="E827" t="str">
        <f t="shared" si="150"/>
        <v>9653024854</v>
      </c>
      <c r="F827" s="1">
        <v>44939</v>
      </c>
      <c r="G827" t="str">
        <f t="shared" si="152"/>
        <v>82097</v>
      </c>
      <c r="H827">
        <v>1</v>
      </c>
      <c r="I827">
        <v>381</v>
      </c>
      <c r="J827">
        <v>0</v>
      </c>
      <c r="K827" t="str">
        <f t="shared" si="153"/>
        <v>802</v>
      </c>
      <c r="L827">
        <v>369.57</v>
      </c>
    </row>
    <row r="828" spans="1:12" x14ac:dyDescent="0.25">
      <c r="A828" t="str">
        <f t="shared" si="139"/>
        <v>89301000</v>
      </c>
      <c r="B828" t="str">
        <f t="shared" si="149"/>
        <v>06539000</v>
      </c>
      <c r="C828" t="str">
        <f t="shared" si="151"/>
        <v>06539002</v>
      </c>
      <c r="D828">
        <v>89301171</v>
      </c>
      <c r="E828" t="str">
        <f t="shared" si="150"/>
        <v>9653024854</v>
      </c>
      <c r="F828" s="1">
        <v>44939</v>
      </c>
      <c r="G828" t="str">
        <f t="shared" si="152"/>
        <v>82097</v>
      </c>
      <c r="H828">
        <v>1</v>
      </c>
      <c r="I828">
        <v>381</v>
      </c>
      <c r="J828">
        <v>0</v>
      </c>
      <c r="K828" t="str">
        <f t="shared" si="153"/>
        <v>802</v>
      </c>
      <c r="L828">
        <v>369.57</v>
      </c>
    </row>
    <row r="829" spans="1:12" x14ac:dyDescent="0.25">
      <c r="A829" t="str">
        <f t="shared" si="139"/>
        <v>89301000</v>
      </c>
      <c r="B829" t="str">
        <f t="shared" si="149"/>
        <v>06539000</v>
      </c>
      <c r="C829" t="str">
        <f t="shared" ref="C829:C868" si="154">"06539003"</f>
        <v>06539003</v>
      </c>
      <c r="D829">
        <v>89301171</v>
      </c>
      <c r="E829" t="str">
        <f t="shared" si="150"/>
        <v>9653024854</v>
      </c>
      <c r="F829" s="1">
        <v>44942</v>
      </c>
      <c r="G829" t="str">
        <f t="shared" ref="G829:G838" si="155">"91413"</f>
        <v>91413</v>
      </c>
      <c r="H829">
        <v>1</v>
      </c>
      <c r="I829">
        <v>868</v>
      </c>
      <c r="J829">
        <v>0</v>
      </c>
      <c r="K829" t="str">
        <f t="shared" ref="K829:K868" si="156">"813"</f>
        <v>813</v>
      </c>
      <c r="L829">
        <v>729.12</v>
      </c>
    </row>
    <row r="830" spans="1:12" x14ac:dyDescent="0.25">
      <c r="A830" t="str">
        <f t="shared" si="139"/>
        <v>89301000</v>
      </c>
      <c r="B830" t="str">
        <f t="shared" si="149"/>
        <v>06539000</v>
      </c>
      <c r="C830" t="str">
        <f t="shared" si="154"/>
        <v>06539003</v>
      </c>
      <c r="D830">
        <v>89301171</v>
      </c>
      <c r="E830" t="str">
        <f t="shared" si="150"/>
        <v>9653024854</v>
      </c>
      <c r="F830" s="1">
        <v>44942</v>
      </c>
      <c r="G830" t="str">
        <f t="shared" si="155"/>
        <v>91413</v>
      </c>
      <c r="H830">
        <v>1</v>
      </c>
      <c r="I830">
        <v>868</v>
      </c>
      <c r="J830">
        <v>0</v>
      </c>
      <c r="K830" t="str">
        <f t="shared" si="156"/>
        <v>813</v>
      </c>
      <c r="L830">
        <v>729.12</v>
      </c>
    </row>
    <row r="831" spans="1:12" x14ac:dyDescent="0.25">
      <c r="A831" t="str">
        <f t="shared" si="139"/>
        <v>89301000</v>
      </c>
      <c r="B831" t="str">
        <f t="shared" si="149"/>
        <v>06539000</v>
      </c>
      <c r="C831" t="str">
        <f t="shared" si="154"/>
        <v>06539003</v>
      </c>
      <c r="D831">
        <v>89301171</v>
      </c>
      <c r="E831" t="str">
        <f t="shared" si="150"/>
        <v>9653024854</v>
      </c>
      <c r="F831" s="1">
        <v>44946</v>
      </c>
      <c r="G831" t="str">
        <f t="shared" si="155"/>
        <v>91413</v>
      </c>
      <c r="H831">
        <v>1</v>
      </c>
      <c r="I831">
        <v>868</v>
      </c>
      <c r="J831">
        <v>0</v>
      </c>
      <c r="K831" t="str">
        <f t="shared" si="156"/>
        <v>813</v>
      </c>
      <c r="L831">
        <v>729.12</v>
      </c>
    </row>
    <row r="832" spans="1:12" x14ac:dyDescent="0.25">
      <c r="A832" t="str">
        <f t="shared" si="139"/>
        <v>89301000</v>
      </c>
      <c r="B832" t="str">
        <f t="shared" si="149"/>
        <v>06539000</v>
      </c>
      <c r="C832" t="str">
        <f t="shared" si="154"/>
        <v>06539003</v>
      </c>
      <c r="D832">
        <v>89301171</v>
      </c>
      <c r="E832" t="str">
        <f t="shared" si="150"/>
        <v>9653024854</v>
      </c>
      <c r="F832" s="1">
        <v>44946</v>
      </c>
      <c r="G832" t="str">
        <f t="shared" si="155"/>
        <v>91413</v>
      </c>
      <c r="H832">
        <v>1</v>
      </c>
      <c r="I832">
        <v>868</v>
      </c>
      <c r="J832">
        <v>0</v>
      </c>
      <c r="K832" t="str">
        <f t="shared" si="156"/>
        <v>813</v>
      </c>
      <c r="L832">
        <v>729.12</v>
      </c>
    </row>
    <row r="833" spans="1:12" x14ac:dyDescent="0.25">
      <c r="A833" t="str">
        <f t="shared" si="139"/>
        <v>89301000</v>
      </c>
      <c r="B833" t="str">
        <f t="shared" si="149"/>
        <v>06539000</v>
      </c>
      <c r="C833" t="str">
        <f t="shared" si="154"/>
        <v>06539003</v>
      </c>
      <c r="D833">
        <v>89301171</v>
      </c>
      <c r="E833" t="str">
        <f t="shared" si="150"/>
        <v>9653024854</v>
      </c>
      <c r="F833" s="1">
        <v>44945</v>
      </c>
      <c r="G833" t="str">
        <f t="shared" si="155"/>
        <v>91413</v>
      </c>
      <c r="H833">
        <v>1</v>
      </c>
      <c r="I833">
        <v>868</v>
      </c>
      <c r="J833">
        <v>0</v>
      </c>
      <c r="K833" t="str">
        <f t="shared" si="156"/>
        <v>813</v>
      </c>
      <c r="L833">
        <v>729.12</v>
      </c>
    </row>
    <row r="834" spans="1:12" x14ac:dyDescent="0.25">
      <c r="A834" t="str">
        <f t="shared" ref="A834:A897" si="157">"89301000"</f>
        <v>89301000</v>
      </c>
      <c r="B834" t="str">
        <f t="shared" si="149"/>
        <v>06539000</v>
      </c>
      <c r="C834" t="str">
        <f t="shared" si="154"/>
        <v>06539003</v>
      </c>
      <c r="D834">
        <v>89301171</v>
      </c>
      <c r="E834" t="str">
        <f t="shared" si="150"/>
        <v>9653024854</v>
      </c>
      <c r="F834" s="1">
        <v>44945</v>
      </c>
      <c r="G834" t="str">
        <f t="shared" si="155"/>
        <v>91413</v>
      </c>
      <c r="H834">
        <v>1</v>
      </c>
      <c r="I834">
        <v>868</v>
      </c>
      <c r="J834">
        <v>0</v>
      </c>
      <c r="K834" t="str">
        <f t="shared" si="156"/>
        <v>813</v>
      </c>
      <c r="L834">
        <v>729.12</v>
      </c>
    </row>
    <row r="835" spans="1:12" x14ac:dyDescent="0.25">
      <c r="A835" t="str">
        <f t="shared" si="157"/>
        <v>89301000</v>
      </c>
      <c r="B835" t="str">
        <f t="shared" si="149"/>
        <v>06539000</v>
      </c>
      <c r="C835" t="str">
        <f t="shared" si="154"/>
        <v>06539003</v>
      </c>
      <c r="D835">
        <v>89301171</v>
      </c>
      <c r="E835" t="str">
        <f t="shared" si="150"/>
        <v>9653024854</v>
      </c>
      <c r="F835" s="1">
        <v>44946</v>
      </c>
      <c r="G835" t="str">
        <f t="shared" si="155"/>
        <v>91413</v>
      </c>
      <c r="H835">
        <v>1</v>
      </c>
      <c r="I835">
        <v>868</v>
      </c>
      <c r="J835">
        <v>0</v>
      </c>
      <c r="K835" t="str">
        <f t="shared" si="156"/>
        <v>813</v>
      </c>
      <c r="L835">
        <v>729.12</v>
      </c>
    </row>
    <row r="836" spans="1:12" x14ac:dyDescent="0.25">
      <c r="A836" t="str">
        <f t="shared" si="157"/>
        <v>89301000</v>
      </c>
      <c r="B836" t="str">
        <f t="shared" si="149"/>
        <v>06539000</v>
      </c>
      <c r="C836" t="str">
        <f t="shared" si="154"/>
        <v>06539003</v>
      </c>
      <c r="D836">
        <v>89301171</v>
      </c>
      <c r="E836" t="str">
        <f t="shared" si="150"/>
        <v>9653024854</v>
      </c>
      <c r="F836" s="1">
        <v>44946</v>
      </c>
      <c r="G836" t="str">
        <f t="shared" si="155"/>
        <v>91413</v>
      </c>
      <c r="H836">
        <v>1</v>
      </c>
      <c r="I836">
        <v>868</v>
      </c>
      <c r="J836">
        <v>0</v>
      </c>
      <c r="K836" t="str">
        <f t="shared" si="156"/>
        <v>813</v>
      </c>
      <c r="L836">
        <v>729.12</v>
      </c>
    </row>
    <row r="837" spans="1:12" x14ac:dyDescent="0.25">
      <c r="A837" t="str">
        <f t="shared" si="157"/>
        <v>89301000</v>
      </c>
      <c r="B837" t="str">
        <f t="shared" si="149"/>
        <v>06539000</v>
      </c>
      <c r="C837" t="str">
        <f t="shared" si="154"/>
        <v>06539003</v>
      </c>
      <c r="D837">
        <v>89301171</v>
      </c>
      <c r="E837" t="str">
        <f t="shared" si="150"/>
        <v>9653024854</v>
      </c>
      <c r="F837" s="1">
        <v>44946</v>
      </c>
      <c r="G837" t="str">
        <f t="shared" si="155"/>
        <v>91413</v>
      </c>
      <c r="H837">
        <v>1</v>
      </c>
      <c r="I837">
        <v>868</v>
      </c>
      <c r="J837">
        <v>0</v>
      </c>
      <c r="K837" t="str">
        <f t="shared" si="156"/>
        <v>813</v>
      </c>
      <c r="L837">
        <v>729.12</v>
      </c>
    </row>
    <row r="838" spans="1:12" x14ac:dyDescent="0.25">
      <c r="A838" t="str">
        <f t="shared" si="157"/>
        <v>89301000</v>
      </c>
      <c r="B838" t="str">
        <f t="shared" si="149"/>
        <v>06539000</v>
      </c>
      <c r="C838" t="str">
        <f t="shared" si="154"/>
        <v>06539003</v>
      </c>
      <c r="D838">
        <v>89301171</v>
      </c>
      <c r="E838" t="str">
        <f t="shared" si="150"/>
        <v>9653024854</v>
      </c>
      <c r="F838" s="1">
        <v>44946</v>
      </c>
      <c r="G838" t="str">
        <f t="shared" si="155"/>
        <v>91413</v>
      </c>
      <c r="H838">
        <v>1</v>
      </c>
      <c r="I838">
        <v>868</v>
      </c>
      <c r="J838">
        <v>0</v>
      </c>
      <c r="K838" t="str">
        <f t="shared" si="156"/>
        <v>813</v>
      </c>
      <c r="L838">
        <v>729.12</v>
      </c>
    </row>
    <row r="839" spans="1:12" x14ac:dyDescent="0.25">
      <c r="A839" t="str">
        <f t="shared" si="157"/>
        <v>89301000</v>
      </c>
      <c r="B839" t="str">
        <f t="shared" si="149"/>
        <v>06539000</v>
      </c>
      <c r="C839" t="str">
        <f t="shared" si="154"/>
        <v>06539003</v>
      </c>
      <c r="D839">
        <v>89301171</v>
      </c>
      <c r="E839" t="str">
        <f t="shared" si="150"/>
        <v>9653024854</v>
      </c>
      <c r="F839" s="1">
        <v>44939</v>
      </c>
      <c r="G839" t="str">
        <f t="shared" ref="G839:G845" si="158">"91197"</f>
        <v>91197</v>
      </c>
      <c r="H839">
        <v>1</v>
      </c>
      <c r="I839">
        <v>1048</v>
      </c>
      <c r="J839">
        <v>0</v>
      </c>
      <c r="K839" t="str">
        <f t="shared" si="156"/>
        <v>813</v>
      </c>
      <c r="L839">
        <v>880.32</v>
      </c>
    </row>
    <row r="840" spans="1:12" x14ac:dyDescent="0.25">
      <c r="A840" t="str">
        <f t="shared" si="157"/>
        <v>89301000</v>
      </c>
      <c r="B840" t="str">
        <f t="shared" ref="B840:B868" si="159">"06539000"</f>
        <v>06539000</v>
      </c>
      <c r="C840" t="str">
        <f t="shared" si="154"/>
        <v>06539003</v>
      </c>
      <c r="D840">
        <v>89301171</v>
      </c>
      <c r="E840" t="str">
        <f t="shared" si="150"/>
        <v>9653024854</v>
      </c>
      <c r="F840" s="1">
        <v>44942</v>
      </c>
      <c r="G840" t="str">
        <f t="shared" si="158"/>
        <v>91197</v>
      </c>
      <c r="H840">
        <v>1</v>
      </c>
      <c r="I840">
        <v>1048</v>
      </c>
      <c r="J840">
        <v>0</v>
      </c>
      <c r="K840" t="str">
        <f t="shared" si="156"/>
        <v>813</v>
      </c>
      <c r="L840">
        <v>880.32</v>
      </c>
    </row>
    <row r="841" spans="1:12" x14ac:dyDescent="0.25">
      <c r="A841" t="str">
        <f t="shared" si="157"/>
        <v>89301000</v>
      </c>
      <c r="B841" t="str">
        <f t="shared" si="159"/>
        <v>06539000</v>
      </c>
      <c r="C841" t="str">
        <f t="shared" si="154"/>
        <v>06539003</v>
      </c>
      <c r="D841">
        <v>89301171</v>
      </c>
      <c r="E841" t="str">
        <f t="shared" si="150"/>
        <v>9653024854</v>
      </c>
      <c r="F841" s="1">
        <v>44942</v>
      </c>
      <c r="G841" t="str">
        <f t="shared" si="158"/>
        <v>91197</v>
      </c>
      <c r="H841">
        <v>1</v>
      </c>
      <c r="I841">
        <v>1048</v>
      </c>
      <c r="J841">
        <v>0</v>
      </c>
      <c r="K841" t="str">
        <f t="shared" si="156"/>
        <v>813</v>
      </c>
      <c r="L841">
        <v>880.32</v>
      </c>
    </row>
    <row r="842" spans="1:12" x14ac:dyDescent="0.25">
      <c r="A842" t="str">
        <f t="shared" si="157"/>
        <v>89301000</v>
      </c>
      <c r="B842" t="str">
        <f t="shared" si="159"/>
        <v>06539000</v>
      </c>
      <c r="C842" t="str">
        <f t="shared" si="154"/>
        <v>06539003</v>
      </c>
      <c r="D842">
        <v>89301171</v>
      </c>
      <c r="E842" t="str">
        <f t="shared" si="150"/>
        <v>9653024854</v>
      </c>
      <c r="F842" s="1">
        <v>44941</v>
      </c>
      <c r="G842" t="str">
        <f t="shared" si="158"/>
        <v>91197</v>
      </c>
      <c r="H842">
        <v>1</v>
      </c>
      <c r="I842">
        <v>1048</v>
      </c>
      <c r="J842">
        <v>0</v>
      </c>
      <c r="K842" t="str">
        <f t="shared" si="156"/>
        <v>813</v>
      </c>
      <c r="L842">
        <v>880.32</v>
      </c>
    </row>
    <row r="843" spans="1:12" x14ac:dyDescent="0.25">
      <c r="A843" t="str">
        <f t="shared" si="157"/>
        <v>89301000</v>
      </c>
      <c r="B843" t="str">
        <f t="shared" si="159"/>
        <v>06539000</v>
      </c>
      <c r="C843" t="str">
        <f t="shared" si="154"/>
        <v>06539003</v>
      </c>
      <c r="D843">
        <v>89301171</v>
      </c>
      <c r="E843" t="str">
        <f t="shared" si="150"/>
        <v>9653024854</v>
      </c>
      <c r="F843" s="1">
        <v>44941</v>
      </c>
      <c r="G843" t="str">
        <f t="shared" si="158"/>
        <v>91197</v>
      </c>
      <c r="H843">
        <v>1</v>
      </c>
      <c r="I843">
        <v>1048</v>
      </c>
      <c r="J843">
        <v>0</v>
      </c>
      <c r="K843" t="str">
        <f t="shared" si="156"/>
        <v>813</v>
      </c>
      <c r="L843">
        <v>880.32</v>
      </c>
    </row>
    <row r="844" spans="1:12" x14ac:dyDescent="0.25">
      <c r="A844" t="str">
        <f t="shared" si="157"/>
        <v>89301000</v>
      </c>
      <c r="B844" t="str">
        <f t="shared" si="159"/>
        <v>06539000</v>
      </c>
      <c r="C844" t="str">
        <f t="shared" si="154"/>
        <v>06539003</v>
      </c>
      <c r="D844">
        <v>89301171</v>
      </c>
      <c r="E844" t="str">
        <f t="shared" si="150"/>
        <v>9653024854</v>
      </c>
      <c r="F844" s="1">
        <v>44940</v>
      </c>
      <c r="G844" t="str">
        <f t="shared" si="158"/>
        <v>91197</v>
      </c>
      <c r="H844">
        <v>1</v>
      </c>
      <c r="I844">
        <v>1048</v>
      </c>
      <c r="J844">
        <v>0</v>
      </c>
      <c r="K844" t="str">
        <f t="shared" si="156"/>
        <v>813</v>
      </c>
      <c r="L844">
        <v>880.32</v>
      </c>
    </row>
    <row r="845" spans="1:12" x14ac:dyDescent="0.25">
      <c r="A845" t="str">
        <f t="shared" si="157"/>
        <v>89301000</v>
      </c>
      <c r="B845" t="str">
        <f t="shared" si="159"/>
        <v>06539000</v>
      </c>
      <c r="C845" t="str">
        <f t="shared" si="154"/>
        <v>06539003</v>
      </c>
      <c r="D845">
        <v>89301171</v>
      </c>
      <c r="E845" t="str">
        <f t="shared" si="150"/>
        <v>9653024854</v>
      </c>
      <c r="F845" s="1">
        <v>44940</v>
      </c>
      <c r="G845" t="str">
        <f t="shared" si="158"/>
        <v>91197</v>
      </c>
      <c r="H845">
        <v>1</v>
      </c>
      <c r="I845">
        <v>1048</v>
      </c>
      <c r="J845">
        <v>0</v>
      </c>
      <c r="K845" t="str">
        <f t="shared" si="156"/>
        <v>813</v>
      </c>
      <c r="L845">
        <v>880.32</v>
      </c>
    </row>
    <row r="846" spans="1:12" x14ac:dyDescent="0.25">
      <c r="A846" t="str">
        <f t="shared" si="157"/>
        <v>89301000</v>
      </c>
      <c r="B846" t="str">
        <f t="shared" si="159"/>
        <v>06539000</v>
      </c>
      <c r="C846" t="str">
        <f t="shared" si="154"/>
        <v>06539003</v>
      </c>
      <c r="D846">
        <v>89301171</v>
      </c>
      <c r="E846" t="str">
        <f t="shared" si="150"/>
        <v>9653024854</v>
      </c>
      <c r="F846" s="1">
        <v>44946</v>
      </c>
      <c r="G846" t="str">
        <f>"91329"</f>
        <v>91329</v>
      </c>
      <c r="H846">
        <v>2</v>
      </c>
      <c r="I846">
        <v>436</v>
      </c>
      <c r="J846">
        <v>0</v>
      </c>
      <c r="K846" t="str">
        <f t="shared" si="156"/>
        <v>813</v>
      </c>
      <c r="L846">
        <v>366.24</v>
      </c>
    </row>
    <row r="847" spans="1:12" x14ac:dyDescent="0.25">
      <c r="A847" t="str">
        <f t="shared" si="157"/>
        <v>89301000</v>
      </c>
      <c r="B847" t="str">
        <f t="shared" si="159"/>
        <v>06539000</v>
      </c>
      <c r="C847" t="str">
        <f t="shared" si="154"/>
        <v>06539003</v>
      </c>
      <c r="D847">
        <v>89301171</v>
      </c>
      <c r="E847" t="str">
        <f t="shared" si="150"/>
        <v>9653024854</v>
      </c>
      <c r="F847" s="1">
        <v>44946</v>
      </c>
      <c r="G847" t="str">
        <f>"91329"</f>
        <v>91329</v>
      </c>
      <c r="H847">
        <v>2</v>
      </c>
      <c r="I847">
        <v>436</v>
      </c>
      <c r="J847">
        <v>0</v>
      </c>
      <c r="K847" t="str">
        <f t="shared" si="156"/>
        <v>813</v>
      </c>
      <c r="L847">
        <v>366.24</v>
      </c>
    </row>
    <row r="848" spans="1:12" x14ac:dyDescent="0.25">
      <c r="A848" t="str">
        <f t="shared" si="157"/>
        <v>89301000</v>
      </c>
      <c r="B848" t="str">
        <f t="shared" si="159"/>
        <v>06539000</v>
      </c>
      <c r="C848" t="str">
        <f t="shared" si="154"/>
        <v>06539003</v>
      </c>
      <c r="D848">
        <v>89301171</v>
      </c>
      <c r="E848" t="str">
        <f t="shared" si="150"/>
        <v>9653024854</v>
      </c>
      <c r="F848" s="1">
        <v>44946</v>
      </c>
      <c r="G848" t="str">
        <f>"91329"</f>
        <v>91329</v>
      </c>
      <c r="H848">
        <v>2</v>
      </c>
      <c r="I848">
        <v>436</v>
      </c>
      <c r="J848">
        <v>0</v>
      </c>
      <c r="K848" t="str">
        <f t="shared" si="156"/>
        <v>813</v>
      </c>
      <c r="L848">
        <v>366.24</v>
      </c>
    </row>
    <row r="849" spans="1:12" x14ac:dyDescent="0.25">
      <c r="A849" t="str">
        <f t="shared" si="157"/>
        <v>89301000</v>
      </c>
      <c r="B849" t="str">
        <f t="shared" si="159"/>
        <v>06539000</v>
      </c>
      <c r="C849" t="str">
        <f t="shared" si="154"/>
        <v>06539003</v>
      </c>
      <c r="D849">
        <v>89301171</v>
      </c>
      <c r="E849" t="str">
        <f t="shared" si="150"/>
        <v>9653024854</v>
      </c>
      <c r="F849" s="1">
        <v>44946</v>
      </c>
      <c r="G849" t="str">
        <f>"91329"</f>
        <v>91329</v>
      </c>
      <c r="H849">
        <v>2</v>
      </c>
      <c r="I849">
        <v>436</v>
      </c>
      <c r="J849">
        <v>0</v>
      </c>
      <c r="K849" t="str">
        <f t="shared" si="156"/>
        <v>813</v>
      </c>
      <c r="L849">
        <v>366.24</v>
      </c>
    </row>
    <row r="850" spans="1:12" x14ac:dyDescent="0.25">
      <c r="A850" t="str">
        <f t="shared" si="157"/>
        <v>89301000</v>
      </c>
      <c r="B850" t="str">
        <f t="shared" si="159"/>
        <v>06539000</v>
      </c>
      <c r="C850" t="str">
        <f t="shared" si="154"/>
        <v>06539003</v>
      </c>
      <c r="D850">
        <v>89301171</v>
      </c>
      <c r="E850" t="str">
        <f t="shared" si="150"/>
        <v>9653024854</v>
      </c>
      <c r="F850" s="1">
        <v>44939</v>
      </c>
      <c r="G850" t="str">
        <f>"91129"</f>
        <v>91129</v>
      </c>
      <c r="H850">
        <v>1</v>
      </c>
      <c r="I850">
        <v>175</v>
      </c>
      <c r="J850">
        <v>0</v>
      </c>
      <c r="K850" t="str">
        <f t="shared" si="156"/>
        <v>813</v>
      </c>
      <c r="L850">
        <v>147</v>
      </c>
    </row>
    <row r="851" spans="1:12" x14ac:dyDescent="0.25">
      <c r="A851" t="str">
        <f t="shared" si="157"/>
        <v>89301000</v>
      </c>
      <c r="B851" t="str">
        <f t="shared" si="159"/>
        <v>06539000</v>
      </c>
      <c r="C851" t="str">
        <f t="shared" si="154"/>
        <v>06539003</v>
      </c>
      <c r="D851">
        <v>89301171</v>
      </c>
      <c r="E851" t="str">
        <f t="shared" si="150"/>
        <v>9653024854</v>
      </c>
      <c r="F851" s="1">
        <v>44939</v>
      </c>
      <c r="G851" t="str">
        <f>"91131"</f>
        <v>91131</v>
      </c>
      <c r="H851">
        <v>1</v>
      </c>
      <c r="I851">
        <v>171</v>
      </c>
      <c r="J851">
        <v>0</v>
      </c>
      <c r="K851" t="str">
        <f t="shared" si="156"/>
        <v>813</v>
      </c>
      <c r="L851">
        <v>143.63999999999999</v>
      </c>
    </row>
    <row r="852" spans="1:12" x14ac:dyDescent="0.25">
      <c r="A852" t="str">
        <f t="shared" si="157"/>
        <v>89301000</v>
      </c>
      <c r="B852" t="str">
        <f t="shared" si="159"/>
        <v>06539000</v>
      </c>
      <c r="C852" t="str">
        <f t="shared" si="154"/>
        <v>06539003</v>
      </c>
      <c r="D852">
        <v>89301171</v>
      </c>
      <c r="E852" t="str">
        <f t="shared" si="150"/>
        <v>9653024854</v>
      </c>
      <c r="F852" s="1">
        <v>44939</v>
      </c>
      <c r="G852" t="str">
        <f>"91133"</f>
        <v>91133</v>
      </c>
      <c r="H852">
        <v>1</v>
      </c>
      <c r="I852">
        <v>177</v>
      </c>
      <c r="J852">
        <v>0</v>
      </c>
      <c r="K852" t="str">
        <f t="shared" si="156"/>
        <v>813</v>
      </c>
      <c r="L852">
        <v>148.68</v>
      </c>
    </row>
    <row r="853" spans="1:12" x14ac:dyDescent="0.25">
      <c r="A853" t="str">
        <f t="shared" si="157"/>
        <v>89301000</v>
      </c>
      <c r="B853" t="str">
        <f t="shared" si="159"/>
        <v>06539000</v>
      </c>
      <c r="C853" t="str">
        <f t="shared" si="154"/>
        <v>06539003</v>
      </c>
      <c r="D853">
        <v>89301171</v>
      </c>
      <c r="E853" t="str">
        <f t="shared" si="150"/>
        <v>9653024854</v>
      </c>
      <c r="F853" s="1">
        <v>44939</v>
      </c>
      <c r="G853" t="str">
        <f>"91171"</f>
        <v>91171</v>
      </c>
      <c r="H853">
        <v>1</v>
      </c>
      <c r="I853">
        <v>362</v>
      </c>
      <c r="J853">
        <v>0</v>
      </c>
      <c r="K853" t="str">
        <f t="shared" si="156"/>
        <v>813</v>
      </c>
      <c r="L853">
        <v>304.08</v>
      </c>
    </row>
    <row r="854" spans="1:12" x14ac:dyDescent="0.25">
      <c r="A854" t="str">
        <f t="shared" si="157"/>
        <v>89301000</v>
      </c>
      <c r="B854" t="str">
        <f t="shared" si="159"/>
        <v>06539000</v>
      </c>
      <c r="C854" t="str">
        <f t="shared" si="154"/>
        <v>06539003</v>
      </c>
      <c r="D854">
        <v>89301171</v>
      </c>
      <c r="E854" t="str">
        <f t="shared" si="150"/>
        <v>9653024854</v>
      </c>
      <c r="F854" s="1">
        <v>44939</v>
      </c>
      <c r="G854" t="str">
        <f>"91173"</f>
        <v>91173</v>
      </c>
      <c r="H854">
        <v>1</v>
      </c>
      <c r="I854">
        <v>337</v>
      </c>
      <c r="J854">
        <v>0</v>
      </c>
      <c r="K854" t="str">
        <f t="shared" si="156"/>
        <v>813</v>
      </c>
      <c r="L854">
        <v>283.08</v>
      </c>
    </row>
    <row r="855" spans="1:12" x14ac:dyDescent="0.25">
      <c r="A855" t="str">
        <f t="shared" si="157"/>
        <v>89301000</v>
      </c>
      <c r="B855" t="str">
        <f t="shared" si="159"/>
        <v>06539000</v>
      </c>
      <c r="C855" t="str">
        <f t="shared" si="154"/>
        <v>06539003</v>
      </c>
      <c r="D855">
        <v>89301171</v>
      </c>
      <c r="E855" t="str">
        <f t="shared" si="150"/>
        <v>9653024854</v>
      </c>
      <c r="F855" s="1">
        <v>44939</v>
      </c>
      <c r="G855" t="str">
        <f>"91175"</f>
        <v>91175</v>
      </c>
      <c r="H855">
        <v>1</v>
      </c>
      <c r="I855">
        <v>362</v>
      </c>
      <c r="J855">
        <v>0</v>
      </c>
      <c r="K855" t="str">
        <f t="shared" si="156"/>
        <v>813</v>
      </c>
      <c r="L855">
        <v>304.08</v>
      </c>
    </row>
    <row r="856" spans="1:12" x14ac:dyDescent="0.25">
      <c r="A856" t="str">
        <f t="shared" si="157"/>
        <v>89301000</v>
      </c>
      <c r="B856" t="str">
        <f t="shared" si="159"/>
        <v>06539000</v>
      </c>
      <c r="C856" t="str">
        <f t="shared" si="154"/>
        <v>06539003</v>
      </c>
      <c r="D856">
        <v>89301171</v>
      </c>
      <c r="E856" t="str">
        <f t="shared" si="150"/>
        <v>9653024854</v>
      </c>
      <c r="F856" s="1">
        <v>44940</v>
      </c>
      <c r="G856" t="str">
        <f>"91167"</f>
        <v>91167</v>
      </c>
      <c r="H856">
        <v>1</v>
      </c>
      <c r="I856">
        <v>426</v>
      </c>
      <c r="J856">
        <v>0</v>
      </c>
      <c r="K856" t="str">
        <f t="shared" si="156"/>
        <v>813</v>
      </c>
      <c r="L856">
        <v>357.84</v>
      </c>
    </row>
    <row r="857" spans="1:12" x14ac:dyDescent="0.25">
      <c r="A857" t="str">
        <f t="shared" si="157"/>
        <v>89301000</v>
      </c>
      <c r="B857" t="str">
        <f t="shared" si="159"/>
        <v>06539000</v>
      </c>
      <c r="C857" t="str">
        <f t="shared" si="154"/>
        <v>06539003</v>
      </c>
      <c r="D857">
        <v>89301171</v>
      </c>
      <c r="E857" t="str">
        <f t="shared" si="150"/>
        <v>9653024854</v>
      </c>
      <c r="F857" s="1">
        <v>44940</v>
      </c>
      <c r="G857" t="str">
        <f>"91169"</f>
        <v>91169</v>
      </c>
      <c r="H857">
        <v>1</v>
      </c>
      <c r="I857">
        <v>426</v>
      </c>
      <c r="J857">
        <v>0</v>
      </c>
      <c r="K857" t="str">
        <f t="shared" si="156"/>
        <v>813</v>
      </c>
      <c r="L857">
        <v>357.84</v>
      </c>
    </row>
    <row r="858" spans="1:12" x14ac:dyDescent="0.25">
      <c r="A858" t="str">
        <f t="shared" si="157"/>
        <v>89301000</v>
      </c>
      <c r="B858" t="str">
        <f t="shared" si="159"/>
        <v>06539000</v>
      </c>
      <c r="C858" t="str">
        <f t="shared" si="154"/>
        <v>06539003</v>
      </c>
      <c r="D858">
        <v>89301171</v>
      </c>
      <c r="E858" t="str">
        <f t="shared" si="150"/>
        <v>9653024854</v>
      </c>
      <c r="F858" s="1">
        <v>44939</v>
      </c>
      <c r="G858" t="str">
        <f>"91167"</f>
        <v>91167</v>
      </c>
      <c r="H858">
        <v>1</v>
      </c>
      <c r="I858">
        <v>426</v>
      </c>
      <c r="J858">
        <v>0</v>
      </c>
      <c r="K858" t="str">
        <f t="shared" si="156"/>
        <v>813</v>
      </c>
      <c r="L858">
        <v>357.84</v>
      </c>
    </row>
    <row r="859" spans="1:12" x14ac:dyDescent="0.25">
      <c r="A859" t="str">
        <f t="shared" si="157"/>
        <v>89301000</v>
      </c>
      <c r="B859" t="str">
        <f t="shared" si="159"/>
        <v>06539000</v>
      </c>
      <c r="C859" t="str">
        <f t="shared" si="154"/>
        <v>06539003</v>
      </c>
      <c r="D859">
        <v>89301171</v>
      </c>
      <c r="E859" t="str">
        <f t="shared" si="150"/>
        <v>9653024854</v>
      </c>
      <c r="F859" s="1">
        <v>44939</v>
      </c>
      <c r="G859" t="str">
        <f>"91169"</f>
        <v>91169</v>
      </c>
      <c r="H859">
        <v>1</v>
      </c>
      <c r="I859">
        <v>426</v>
      </c>
      <c r="J859">
        <v>0</v>
      </c>
      <c r="K859" t="str">
        <f t="shared" si="156"/>
        <v>813</v>
      </c>
      <c r="L859">
        <v>357.84</v>
      </c>
    </row>
    <row r="860" spans="1:12" x14ac:dyDescent="0.25">
      <c r="A860" t="str">
        <f t="shared" si="157"/>
        <v>89301000</v>
      </c>
      <c r="B860" t="str">
        <f t="shared" si="159"/>
        <v>06539000</v>
      </c>
      <c r="C860" t="str">
        <f t="shared" si="154"/>
        <v>06539003</v>
      </c>
      <c r="D860">
        <v>89301171</v>
      </c>
      <c r="E860" t="str">
        <f t="shared" si="150"/>
        <v>9653024854</v>
      </c>
      <c r="F860" s="1">
        <v>44943</v>
      </c>
      <c r="G860" t="str">
        <f>"91475"</f>
        <v>91475</v>
      </c>
      <c r="H860">
        <v>1</v>
      </c>
      <c r="I860">
        <v>213</v>
      </c>
      <c r="J860">
        <v>0</v>
      </c>
      <c r="K860" t="str">
        <f t="shared" si="156"/>
        <v>813</v>
      </c>
      <c r="L860">
        <v>178.92</v>
      </c>
    </row>
    <row r="861" spans="1:12" x14ac:dyDescent="0.25">
      <c r="A861" t="str">
        <f t="shared" si="157"/>
        <v>89301000</v>
      </c>
      <c r="B861" t="str">
        <f t="shared" si="159"/>
        <v>06539000</v>
      </c>
      <c r="C861" t="str">
        <f t="shared" si="154"/>
        <v>06539003</v>
      </c>
      <c r="D861">
        <v>89301171</v>
      </c>
      <c r="E861" t="str">
        <f t="shared" ref="E861:E868" si="160">"5951011418"</f>
        <v>5951011418</v>
      </c>
      <c r="F861" s="1">
        <v>44946</v>
      </c>
      <c r="G861" t="str">
        <f t="shared" ref="G861:G868" si="161">"91413"</f>
        <v>91413</v>
      </c>
      <c r="H861">
        <v>1</v>
      </c>
      <c r="I861">
        <v>868</v>
      </c>
      <c r="J861">
        <v>0</v>
      </c>
      <c r="K861" t="str">
        <f t="shared" si="156"/>
        <v>813</v>
      </c>
      <c r="L861">
        <v>729.12</v>
      </c>
    </row>
    <row r="862" spans="1:12" x14ac:dyDescent="0.25">
      <c r="A862" t="str">
        <f t="shared" si="157"/>
        <v>89301000</v>
      </c>
      <c r="B862" t="str">
        <f t="shared" si="159"/>
        <v>06539000</v>
      </c>
      <c r="C862" t="str">
        <f t="shared" si="154"/>
        <v>06539003</v>
      </c>
      <c r="D862">
        <v>89301171</v>
      </c>
      <c r="E862" t="str">
        <f t="shared" si="160"/>
        <v>5951011418</v>
      </c>
      <c r="F862" s="1">
        <v>44946</v>
      </c>
      <c r="G862" t="str">
        <f t="shared" si="161"/>
        <v>91413</v>
      </c>
      <c r="H862">
        <v>1</v>
      </c>
      <c r="I862">
        <v>868</v>
      </c>
      <c r="J862">
        <v>0</v>
      </c>
      <c r="K862" t="str">
        <f t="shared" si="156"/>
        <v>813</v>
      </c>
      <c r="L862">
        <v>729.12</v>
      </c>
    </row>
    <row r="863" spans="1:12" x14ac:dyDescent="0.25">
      <c r="A863" t="str">
        <f t="shared" si="157"/>
        <v>89301000</v>
      </c>
      <c r="B863" t="str">
        <f t="shared" si="159"/>
        <v>06539000</v>
      </c>
      <c r="C863" t="str">
        <f t="shared" si="154"/>
        <v>06539003</v>
      </c>
      <c r="D863">
        <v>89301171</v>
      </c>
      <c r="E863" t="str">
        <f t="shared" si="160"/>
        <v>5951011418</v>
      </c>
      <c r="F863" s="1">
        <v>44945</v>
      </c>
      <c r="G863" t="str">
        <f t="shared" si="161"/>
        <v>91413</v>
      </c>
      <c r="H863">
        <v>1</v>
      </c>
      <c r="I863">
        <v>868</v>
      </c>
      <c r="J863">
        <v>0</v>
      </c>
      <c r="K863" t="str">
        <f t="shared" si="156"/>
        <v>813</v>
      </c>
      <c r="L863">
        <v>729.12</v>
      </c>
    </row>
    <row r="864" spans="1:12" x14ac:dyDescent="0.25">
      <c r="A864" t="str">
        <f t="shared" si="157"/>
        <v>89301000</v>
      </c>
      <c r="B864" t="str">
        <f t="shared" si="159"/>
        <v>06539000</v>
      </c>
      <c r="C864" t="str">
        <f t="shared" si="154"/>
        <v>06539003</v>
      </c>
      <c r="D864">
        <v>89301171</v>
      </c>
      <c r="E864" t="str">
        <f t="shared" si="160"/>
        <v>5951011418</v>
      </c>
      <c r="F864" s="1">
        <v>44945</v>
      </c>
      <c r="G864" t="str">
        <f t="shared" si="161"/>
        <v>91413</v>
      </c>
      <c r="H864">
        <v>1</v>
      </c>
      <c r="I864">
        <v>868</v>
      </c>
      <c r="J864">
        <v>0</v>
      </c>
      <c r="K864" t="str">
        <f t="shared" si="156"/>
        <v>813</v>
      </c>
      <c r="L864">
        <v>729.12</v>
      </c>
    </row>
    <row r="865" spans="1:12" x14ac:dyDescent="0.25">
      <c r="A865" t="str">
        <f t="shared" si="157"/>
        <v>89301000</v>
      </c>
      <c r="B865" t="str">
        <f t="shared" si="159"/>
        <v>06539000</v>
      </c>
      <c r="C865" t="str">
        <f t="shared" si="154"/>
        <v>06539003</v>
      </c>
      <c r="D865">
        <v>89301171</v>
      </c>
      <c r="E865" t="str">
        <f t="shared" si="160"/>
        <v>5951011418</v>
      </c>
      <c r="F865" s="1">
        <v>44946</v>
      </c>
      <c r="G865" t="str">
        <f t="shared" si="161"/>
        <v>91413</v>
      </c>
      <c r="H865">
        <v>1</v>
      </c>
      <c r="I865">
        <v>868</v>
      </c>
      <c r="J865">
        <v>0</v>
      </c>
      <c r="K865" t="str">
        <f t="shared" si="156"/>
        <v>813</v>
      </c>
      <c r="L865">
        <v>729.12</v>
      </c>
    </row>
    <row r="866" spans="1:12" x14ac:dyDescent="0.25">
      <c r="A866" t="str">
        <f t="shared" si="157"/>
        <v>89301000</v>
      </c>
      <c r="B866" t="str">
        <f t="shared" si="159"/>
        <v>06539000</v>
      </c>
      <c r="C866" t="str">
        <f t="shared" si="154"/>
        <v>06539003</v>
      </c>
      <c r="D866">
        <v>89301171</v>
      </c>
      <c r="E866" t="str">
        <f t="shared" si="160"/>
        <v>5951011418</v>
      </c>
      <c r="F866" s="1">
        <v>44946</v>
      </c>
      <c r="G866" t="str">
        <f t="shared" si="161"/>
        <v>91413</v>
      </c>
      <c r="H866">
        <v>1</v>
      </c>
      <c r="I866">
        <v>868</v>
      </c>
      <c r="J866">
        <v>0</v>
      </c>
      <c r="K866" t="str">
        <f t="shared" si="156"/>
        <v>813</v>
      </c>
      <c r="L866">
        <v>729.12</v>
      </c>
    </row>
    <row r="867" spans="1:12" x14ac:dyDescent="0.25">
      <c r="A867" t="str">
        <f t="shared" si="157"/>
        <v>89301000</v>
      </c>
      <c r="B867" t="str">
        <f t="shared" si="159"/>
        <v>06539000</v>
      </c>
      <c r="C867" t="str">
        <f t="shared" si="154"/>
        <v>06539003</v>
      </c>
      <c r="D867">
        <v>89301171</v>
      </c>
      <c r="E867" t="str">
        <f t="shared" si="160"/>
        <v>5951011418</v>
      </c>
      <c r="F867" s="1">
        <v>44946</v>
      </c>
      <c r="G867" t="str">
        <f t="shared" si="161"/>
        <v>91413</v>
      </c>
      <c r="H867">
        <v>1</v>
      </c>
      <c r="I867">
        <v>868</v>
      </c>
      <c r="J867">
        <v>0</v>
      </c>
      <c r="K867" t="str">
        <f t="shared" si="156"/>
        <v>813</v>
      </c>
      <c r="L867">
        <v>729.12</v>
      </c>
    </row>
    <row r="868" spans="1:12" x14ac:dyDescent="0.25">
      <c r="A868" t="str">
        <f t="shared" si="157"/>
        <v>89301000</v>
      </c>
      <c r="B868" t="str">
        <f t="shared" si="159"/>
        <v>06539000</v>
      </c>
      <c r="C868" t="str">
        <f t="shared" si="154"/>
        <v>06539003</v>
      </c>
      <c r="D868">
        <v>89301171</v>
      </c>
      <c r="E868" t="str">
        <f t="shared" si="160"/>
        <v>5951011418</v>
      </c>
      <c r="F868" s="1">
        <v>44946</v>
      </c>
      <c r="G868" t="str">
        <f t="shared" si="161"/>
        <v>91413</v>
      </c>
      <c r="H868">
        <v>1</v>
      </c>
      <c r="I868">
        <v>868</v>
      </c>
      <c r="J868">
        <v>0</v>
      </c>
      <c r="K868" t="str">
        <f t="shared" si="156"/>
        <v>813</v>
      </c>
      <c r="L868">
        <v>729.12</v>
      </c>
    </row>
    <row r="869" spans="1:12" x14ac:dyDescent="0.25">
      <c r="A869" t="str">
        <f t="shared" si="157"/>
        <v>89301000</v>
      </c>
      <c r="B869" t="str">
        <f>"89670000"</f>
        <v>89670000</v>
      </c>
      <c r="C869" t="str">
        <f>"89670001"</f>
        <v>89670001</v>
      </c>
      <c r="D869">
        <v>89301102</v>
      </c>
      <c r="E869" t="str">
        <f>"0806236068"</f>
        <v>0806236068</v>
      </c>
      <c r="F869" s="1">
        <v>44953</v>
      </c>
      <c r="G869" t="str">
        <f>"97111"</f>
        <v>97111</v>
      </c>
      <c r="H869">
        <v>1</v>
      </c>
      <c r="I869">
        <v>19</v>
      </c>
      <c r="J869">
        <v>0</v>
      </c>
      <c r="K869" t="str">
        <f>"802"</f>
        <v>802</v>
      </c>
      <c r="L869">
        <v>23.94</v>
      </c>
    </row>
    <row r="870" spans="1:12" x14ac:dyDescent="0.25">
      <c r="A870" t="str">
        <f t="shared" si="157"/>
        <v>89301000</v>
      </c>
      <c r="B870" t="str">
        <f>"89670000"</f>
        <v>89670000</v>
      </c>
      <c r="C870" t="str">
        <f>"89670001"</f>
        <v>89670001</v>
      </c>
      <c r="D870">
        <v>89301102</v>
      </c>
      <c r="E870" t="str">
        <f>"0806236068"</f>
        <v>0806236068</v>
      </c>
      <c r="F870" s="1">
        <v>44956</v>
      </c>
      <c r="G870" t="str">
        <f>"82097"</f>
        <v>82097</v>
      </c>
      <c r="H870">
        <v>1</v>
      </c>
      <c r="I870">
        <v>381</v>
      </c>
      <c r="J870">
        <v>0</v>
      </c>
      <c r="K870" t="str">
        <f>"802"</f>
        <v>802</v>
      </c>
      <c r="L870">
        <v>369.57</v>
      </c>
    </row>
    <row r="871" spans="1:12" x14ac:dyDescent="0.25">
      <c r="A871" t="str">
        <f t="shared" si="157"/>
        <v>89301000</v>
      </c>
      <c r="B871" t="str">
        <f>"89670000"</f>
        <v>89670000</v>
      </c>
      <c r="C871" t="str">
        <f>"89670001"</f>
        <v>89670001</v>
      </c>
      <c r="D871">
        <v>89301102</v>
      </c>
      <c r="E871" t="str">
        <f>"0806236068"</f>
        <v>0806236068</v>
      </c>
      <c r="F871" s="1">
        <v>44956</v>
      </c>
      <c r="G871" t="str">
        <f>"82097"</f>
        <v>82097</v>
      </c>
      <c r="H871">
        <v>1</v>
      </c>
      <c r="I871">
        <v>381</v>
      </c>
      <c r="J871">
        <v>0</v>
      </c>
      <c r="K871" t="str">
        <f>"802"</f>
        <v>802</v>
      </c>
      <c r="L871">
        <v>369.57</v>
      </c>
    </row>
    <row r="872" spans="1:12" x14ac:dyDescent="0.25">
      <c r="A872" t="str">
        <f t="shared" si="157"/>
        <v>89301000</v>
      </c>
      <c r="B872" t="str">
        <f>"89670000"</f>
        <v>89670000</v>
      </c>
      <c r="C872" t="str">
        <f>"89670200"</f>
        <v>89670200</v>
      </c>
      <c r="D872">
        <v>89301167</v>
      </c>
      <c r="E872" t="str">
        <f>"511221028"</f>
        <v>511221028</v>
      </c>
      <c r="F872" s="1">
        <v>44950</v>
      </c>
      <c r="G872" t="str">
        <f>"09119"</f>
        <v>09119</v>
      </c>
      <c r="H872">
        <v>1</v>
      </c>
      <c r="I872">
        <v>43</v>
      </c>
      <c r="J872">
        <v>0</v>
      </c>
      <c r="K872" t="str">
        <f>"802"</f>
        <v>802</v>
      </c>
      <c r="L872">
        <v>54.18</v>
      </c>
    </row>
    <row r="873" spans="1:12" x14ac:dyDescent="0.25">
      <c r="A873" t="str">
        <f t="shared" si="157"/>
        <v>89301000</v>
      </c>
      <c r="B873" t="str">
        <f>"87004000"</f>
        <v>87004000</v>
      </c>
      <c r="C873" t="str">
        <f>"87004900"</f>
        <v>87004900</v>
      </c>
      <c r="D873">
        <v>89301112</v>
      </c>
      <c r="E873" t="str">
        <f>"8407075413"</f>
        <v>8407075413</v>
      </c>
      <c r="F873" s="1">
        <v>44950</v>
      </c>
      <c r="G873" t="str">
        <f>"89713"</f>
        <v>89713</v>
      </c>
      <c r="H873">
        <v>1</v>
      </c>
      <c r="I873">
        <v>5411</v>
      </c>
      <c r="J873">
        <v>0</v>
      </c>
      <c r="K873" t="str">
        <f>"810"</f>
        <v>810</v>
      </c>
      <c r="L873">
        <v>3517.15</v>
      </c>
    </row>
    <row r="874" spans="1:12" x14ac:dyDescent="0.25">
      <c r="A874" t="str">
        <f t="shared" si="157"/>
        <v>89301000</v>
      </c>
      <c r="B874" t="str">
        <f t="shared" ref="B874:B897" si="162">"89903000"</f>
        <v>89903000</v>
      </c>
      <c r="C874" t="str">
        <f>"89903504"</f>
        <v>89903504</v>
      </c>
      <c r="D874">
        <v>89301062</v>
      </c>
      <c r="E874" t="str">
        <f>"7554235348"</f>
        <v>7554235348</v>
      </c>
      <c r="F874" s="1">
        <v>44928</v>
      </c>
      <c r="G874" t="str">
        <f>"89713"</f>
        <v>89713</v>
      </c>
      <c r="H874">
        <v>1</v>
      </c>
      <c r="I874">
        <v>5411</v>
      </c>
      <c r="J874">
        <v>0</v>
      </c>
      <c r="K874" t="str">
        <f>"810"</f>
        <v>810</v>
      </c>
      <c r="L874">
        <v>3517.15</v>
      </c>
    </row>
    <row r="875" spans="1:12" x14ac:dyDescent="0.25">
      <c r="A875" t="str">
        <f t="shared" si="157"/>
        <v>89301000</v>
      </c>
      <c r="B875" t="str">
        <f t="shared" si="162"/>
        <v>89903000</v>
      </c>
      <c r="C875" t="str">
        <f>"89903504"</f>
        <v>89903504</v>
      </c>
      <c r="D875">
        <v>89301062</v>
      </c>
      <c r="E875" t="str">
        <f>"7554235348"</f>
        <v>7554235348</v>
      </c>
      <c r="F875" s="1">
        <v>44928</v>
      </c>
      <c r="G875" t="str">
        <f>"89723"</f>
        <v>89723</v>
      </c>
      <c r="H875">
        <v>1</v>
      </c>
      <c r="I875">
        <v>5940</v>
      </c>
      <c r="J875">
        <v>0</v>
      </c>
      <c r="K875" t="str">
        <f>"810"</f>
        <v>810</v>
      </c>
      <c r="L875">
        <v>3861</v>
      </c>
    </row>
    <row r="876" spans="1:12" x14ac:dyDescent="0.25">
      <c r="A876" t="str">
        <f t="shared" si="157"/>
        <v>89301000</v>
      </c>
      <c r="B876" t="str">
        <f t="shared" si="162"/>
        <v>89903000</v>
      </c>
      <c r="C876" t="str">
        <f>"89903504"</f>
        <v>89903504</v>
      </c>
      <c r="D876">
        <v>89301062</v>
      </c>
      <c r="E876" t="str">
        <f>"6202231310"</f>
        <v>6202231310</v>
      </c>
      <c r="F876" s="1">
        <v>44956</v>
      </c>
      <c r="G876" t="str">
        <f>"89713"</f>
        <v>89713</v>
      </c>
      <c r="H876">
        <v>2</v>
      </c>
      <c r="I876">
        <v>10822</v>
      </c>
      <c r="J876">
        <v>0</v>
      </c>
      <c r="K876" t="str">
        <f>"810"</f>
        <v>810</v>
      </c>
      <c r="L876">
        <v>7034.3</v>
      </c>
    </row>
    <row r="877" spans="1:12" x14ac:dyDescent="0.25">
      <c r="A877" t="str">
        <f t="shared" si="157"/>
        <v>89301000</v>
      </c>
      <c r="B877" t="str">
        <f t="shared" si="162"/>
        <v>89903000</v>
      </c>
      <c r="C877" t="str">
        <f t="shared" ref="C877:C897" si="163">"89903503"</f>
        <v>89903503</v>
      </c>
      <c r="D877">
        <v>89301062</v>
      </c>
      <c r="E877" t="str">
        <f>"535205136"</f>
        <v>535205136</v>
      </c>
      <c r="F877" s="1">
        <v>44930</v>
      </c>
      <c r="G877" t="str">
        <f>"09233"</f>
        <v>09233</v>
      </c>
      <c r="H877">
        <v>1</v>
      </c>
      <c r="I877">
        <v>102</v>
      </c>
      <c r="J877">
        <v>0</v>
      </c>
      <c r="K877" t="str">
        <f t="shared" ref="K877:K897" si="164">"809"</f>
        <v>809</v>
      </c>
      <c r="L877">
        <v>149.94</v>
      </c>
    </row>
    <row r="878" spans="1:12" x14ac:dyDescent="0.25">
      <c r="A878" t="str">
        <f t="shared" si="157"/>
        <v>89301000</v>
      </c>
      <c r="B878" t="str">
        <f t="shared" si="162"/>
        <v>89903000</v>
      </c>
      <c r="C878" t="str">
        <f t="shared" si="163"/>
        <v>89903503</v>
      </c>
      <c r="D878">
        <v>89301062</v>
      </c>
      <c r="E878" t="str">
        <f>"535205136"</f>
        <v>535205136</v>
      </c>
      <c r="F878" s="1">
        <v>44930</v>
      </c>
      <c r="G878" t="str">
        <f>"89311"</f>
        <v>89311</v>
      </c>
      <c r="H878">
        <v>1</v>
      </c>
      <c r="I878">
        <v>970</v>
      </c>
      <c r="J878">
        <v>0</v>
      </c>
      <c r="K878" t="str">
        <f t="shared" si="164"/>
        <v>809</v>
      </c>
      <c r="L878">
        <v>1425.9</v>
      </c>
    </row>
    <row r="879" spans="1:12" x14ac:dyDescent="0.25">
      <c r="A879" t="str">
        <f t="shared" si="157"/>
        <v>89301000</v>
      </c>
      <c r="B879" t="str">
        <f t="shared" si="162"/>
        <v>89903000</v>
      </c>
      <c r="C879" t="str">
        <f t="shared" si="163"/>
        <v>89903503</v>
      </c>
      <c r="D879">
        <v>89301062</v>
      </c>
      <c r="E879" t="str">
        <f>"535205136"</f>
        <v>535205136</v>
      </c>
      <c r="F879" s="1">
        <v>44930</v>
      </c>
      <c r="G879" t="str">
        <f>"89615"</f>
        <v>89615</v>
      </c>
      <c r="H879">
        <v>1</v>
      </c>
      <c r="I879">
        <v>2199</v>
      </c>
      <c r="J879">
        <v>0</v>
      </c>
      <c r="K879" t="str">
        <f t="shared" si="164"/>
        <v>809</v>
      </c>
      <c r="L879">
        <v>1429.35</v>
      </c>
    </row>
    <row r="880" spans="1:12" x14ac:dyDescent="0.25">
      <c r="A880" t="str">
        <f t="shared" si="157"/>
        <v>89301000</v>
      </c>
      <c r="B880" t="str">
        <f t="shared" si="162"/>
        <v>89903000</v>
      </c>
      <c r="C880" t="str">
        <f t="shared" si="163"/>
        <v>89903503</v>
      </c>
      <c r="D880">
        <v>89301062</v>
      </c>
      <c r="E880" t="str">
        <f>"535205136"</f>
        <v>535205136</v>
      </c>
      <c r="F880" s="1">
        <v>44930</v>
      </c>
      <c r="G880" t="str">
        <f>"0228011"</f>
        <v>0228011</v>
      </c>
      <c r="H880">
        <v>0.2</v>
      </c>
      <c r="J880">
        <v>17</v>
      </c>
      <c r="K880" t="str">
        <f t="shared" si="164"/>
        <v>809</v>
      </c>
      <c r="L880">
        <v>17</v>
      </c>
    </row>
    <row r="881" spans="1:12" x14ac:dyDescent="0.25">
      <c r="A881" t="str">
        <f t="shared" si="157"/>
        <v>89301000</v>
      </c>
      <c r="B881" t="str">
        <f t="shared" si="162"/>
        <v>89903000</v>
      </c>
      <c r="C881" t="str">
        <f t="shared" si="163"/>
        <v>89903503</v>
      </c>
      <c r="D881">
        <v>89301062</v>
      </c>
      <c r="E881" t="str">
        <f t="shared" ref="E881:E886" si="165">"6158110332"</f>
        <v>6158110332</v>
      </c>
      <c r="F881" s="1">
        <v>44932</v>
      </c>
      <c r="G881" t="str">
        <f>"09233"</f>
        <v>09233</v>
      </c>
      <c r="H881">
        <v>1</v>
      </c>
      <c r="I881">
        <v>102</v>
      </c>
      <c r="J881">
        <v>0</v>
      </c>
      <c r="K881" t="str">
        <f t="shared" si="164"/>
        <v>809</v>
      </c>
      <c r="L881">
        <v>149.94</v>
      </c>
    </row>
    <row r="882" spans="1:12" x14ac:dyDescent="0.25">
      <c r="A882" t="str">
        <f t="shared" si="157"/>
        <v>89301000</v>
      </c>
      <c r="B882" t="str">
        <f t="shared" si="162"/>
        <v>89903000</v>
      </c>
      <c r="C882" t="str">
        <f t="shared" si="163"/>
        <v>89903503</v>
      </c>
      <c r="D882">
        <v>89301062</v>
      </c>
      <c r="E882" t="str">
        <f t="shared" si="165"/>
        <v>6158110332</v>
      </c>
      <c r="F882" s="1">
        <v>44932</v>
      </c>
      <c r="G882" t="str">
        <f>"89311"</f>
        <v>89311</v>
      </c>
      <c r="H882">
        <v>1</v>
      </c>
      <c r="I882">
        <v>970</v>
      </c>
      <c r="J882">
        <v>0</v>
      </c>
      <c r="K882" t="str">
        <f t="shared" si="164"/>
        <v>809</v>
      </c>
      <c r="L882">
        <v>1425.9</v>
      </c>
    </row>
    <row r="883" spans="1:12" x14ac:dyDescent="0.25">
      <c r="A883" t="str">
        <f t="shared" si="157"/>
        <v>89301000</v>
      </c>
      <c r="B883" t="str">
        <f t="shared" si="162"/>
        <v>89903000</v>
      </c>
      <c r="C883" t="str">
        <f t="shared" si="163"/>
        <v>89903503</v>
      </c>
      <c r="D883">
        <v>89301062</v>
      </c>
      <c r="E883" t="str">
        <f t="shared" si="165"/>
        <v>6158110332</v>
      </c>
      <c r="F883" s="1">
        <v>44932</v>
      </c>
      <c r="G883" t="str">
        <f>"89615"</f>
        <v>89615</v>
      </c>
      <c r="H883">
        <v>1</v>
      </c>
      <c r="I883">
        <v>2199</v>
      </c>
      <c r="J883">
        <v>0</v>
      </c>
      <c r="K883" t="str">
        <f t="shared" si="164"/>
        <v>809</v>
      </c>
      <c r="L883">
        <v>1429.35</v>
      </c>
    </row>
    <row r="884" spans="1:12" x14ac:dyDescent="0.25">
      <c r="A884" t="str">
        <f t="shared" si="157"/>
        <v>89301000</v>
      </c>
      <c r="B884" t="str">
        <f t="shared" si="162"/>
        <v>89903000</v>
      </c>
      <c r="C884" t="str">
        <f t="shared" si="163"/>
        <v>89903503</v>
      </c>
      <c r="D884">
        <v>89301062</v>
      </c>
      <c r="E884" t="str">
        <f t="shared" si="165"/>
        <v>6158110332</v>
      </c>
      <c r="F884" s="1">
        <v>44932</v>
      </c>
      <c r="G884" t="str">
        <f>"0000502"</f>
        <v>0000502</v>
      </c>
      <c r="H884">
        <v>0.1</v>
      </c>
      <c r="J884">
        <v>6.97</v>
      </c>
      <c r="K884" t="str">
        <f t="shared" si="164"/>
        <v>809</v>
      </c>
      <c r="L884">
        <v>6.97</v>
      </c>
    </row>
    <row r="885" spans="1:12" x14ac:dyDescent="0.25">
      <c r="A885" t="str">
        <f t="shared" si="157"/>
        <v>89301000</v>
      </c>
      <c r="B885" t="str">
        <f t="shared" si="162"/>
        <v>89903000</v>
      </c>
      <c r="C885" t="str">
        <f t="shared" si="163"/>
        <v>89903503</v>
      </c>
      <c r="D885">
        <v>89301062</v>
      </c>
      <c r="E885" t="str">
        <f t="shared" si="165"/>
        <v>6158110332</v>
      </c>
      <c r="F885" s="1">
        <v>44932</v>
      </c>
      <c r="G885" t="str">
        <f>"0084090"</f>
        <v>0084090</v>
      </c>
      <c r="H885">
        <v>0.1</v>
      </c>
      <c r="J885">
        <v>8.52</v>
      </c>
      <c r="K885" t="str">
        <f t="shared" si="164"/>
        <v>809</v>
      </c>
      <c r="L885">
        <v>8.52</v>
      </c>
    </row>
    <row r="886" spans="1:12" x14ac:dyDescent="0.25">
      <c r="A886" t="str">
        <f t="shared" si="157"/>
        <v>89301000</v>
      </c>
      <c r="B886" t="str">
        <f t="shared" si="162"/>
        <v>89903000</v>
      </c>
      <c r="C886" t="str">
        <f t="shared" si="163"/>
        <v>89903503</v>
      </c>
      <c r="D886">
        <v>89301062</v>
      </c>
      <c r="E886" t="str">
        <f t="shared" si="165"/>
        <v>6158110332</v>
      </c>
      <c r="F886" s="1">
        <v>44932</v>
      </c>
      <c r="G886" t="str">
        <f>"0096251"</f>
        <v>0096251</v>
      </c>
      <c r="H886">
        <v>8.0000000000000002E-3</v>
      </c>
      <c r="J886">
        <v>9.36</v>
      </c>
      <c r="K886" t="str">
        <f t="shared" si="164"/>
        <v>809</v>
      </c>
      <c r="L886">
        <v>9.36</v>
      </c>
    </row>
    <row r="887" spans="1:12" x14ac:dyDescent="0.25">
      <c r="A887" t="str">
        <f t="shared" si="157"/>
        <v>89301000</v>
      </c>
      <c r="B887" t="str">
        <f t="shared" si="162"/>
        <v>89903000</v>
      </c>
      <c r="C887" t="str">
        <f t="shared" si="163"/>
        <v>89903503</v>
      </c>
      <c r="D887">
        <v>89301062</v>
      </c>
      <c r="E887" t="str">
        <f t="shared" ref="E887:E893" si="166">"6512061424"</f>
        <v>6512061424</v>
      </c>
      <c r="F887" s="1">
        <v>44946</v>
      </c>
      <c r="G887" t="str">
        <f>"09233"</f>
        <v>09233</v>
      </c>
      <c r="H887">
        <v>0</v>
      </c>
      <c r="I887">
        <v>0</v>
      </c>
      <c r="J887">
        <v>0</v>
      </c>
      <c r="K887" t="str">
        <f t="shared" si="164"/>
        <v>809</v>
      </c>
      <c r="L887">
        <v>0</v>
      </c>
    </row>
    <row r="888" spans="1:12" x14ac:dyDescent="0.25">
      <c r="A888" t="str">
        <f t="shared" si="157"/>
        <v>89301000</v>
      </c>
      <c r="B888" t="str">
        <f t="shared" si="162"/>
        <v>89903000</v>
      </c>
      <c r="C888" t="str">
        <f t="shared" si="163"/>
        <v>89903503</v>
      </c>
      <c r="D888">
        <v>89301062</v>
      </c>
      <c r="E888" t="str">
        <f t="shared" si="166"/>
        <v>6512061424</v>
      </c>
      <c r="F888" s="1">
        <v>44946</v>
      </c>
      <c r="G888" t="str">
        <f>"89311"</f>
        <v>89311</v>
      </c>
      <c r="H888">
        <v>0</v>
      </c>
      <c r="I888">
        <v>0</v>
      </c>
      <c r="J888">
        <v>0</v>
      </c>
      <c r="K888" t="str">
        <f t="shared" si="164"/>
        <v>809</v>
      </c>
      <c r="L888">
        <v>0</v>
      </c>
    </row>
    <row r="889" spans="1:12" x14ac:dyDescent="0.25">
      <c r="A889" t="str">
        <f t="shared" si="157"/>
        <v>89301000</v>
      </c>
      <c r="B889" t="str">
        <f t="shared" si="162"/>
        <v>89903000</v>
      </c>
      <c r="C889" t="str">
        <f t="shared" si="163"/>
        <v>89903503</v>
      </c>
      <c r="D889">
        <v>89301062</v>
      </c>
      <c r="E889" t="str">
        <f t="shared" si="166"/>
        <v>6512061424</v>
      </c>
      <c r="F889" s="1">
        <v>44946</v>
      </c>
      <c r="G889" t="str">
        <f>"89615"</f>
        <v>89615</v>
      </c>
      <c r="H889">
        <v>0</v>
      </c>
      <c r="I889">
        <v>0</v>
      </c>
      <c r="J889">
        <v>0</v>
      </c>
      <c r="K889" t="str">
        <f t="shared" si="164"/>
        <v>809</v>
      </c>
      <c r="L889">
        <v>0</v>
      </c>
    </row>
    <row r="890" spans="1:12" x14ac:dyDescent="0.25">
      <c r="A890" t="str">
        <f t="shared" si="157"/>
        <v>89301000</v>
      </c>
      <c r="B890" t="str">
        <f t="shared" si="162"/>
        <v>89903000</v>
      </c>
      <c r="C890" t="str">
        <f t="shared" si="163"/>
        <v>89903503</v>
      </c>
      <c r="D890">
        <v>89301062</v>
      </c>
      <c r="E890" t="str">
        <f t="shared" si="166"/>
        <v>6512061424</v>
      </c>
      <c r="F890" s="1">
        <v>44946</v>
      </c>
      <c r="G890" t="str">
        <f>"0000502"</f>
        <v>0000502</v>
      </c>
      <c r="H890">
        <v>0</v>
      </c>
      <c r="I890">
        <v>0</v>
      </c>
      <c r="J890">
        <v>0</v>
      </c>
      <c r="K890" t="str">
        <f t="shared" si="164"/>
        <v>809</v>
      </c>
      <c r="L890">
        <v>0</v>
      </c>
    </row>
    <row r="891" spans="1:12" x14ac:dyDescent="0.25">
      <c r="A891" t="str">
        <f t="shared" si="157"/>
        <v>89301000</v>
      </c>
      <c r="B891" t="str">
        <f t="shared" si="162"/>
        <v>89903000</v>
      </c>
      <c r="C891" t="str">
        <f t="shared" si="163"/>
        <v>89903503</v>
      </c>
      <c r="D891">
        <v>89301062</v>
      </c>
      <c r="E891" t="str">
        <f t="shared" si="166"/>
        <v>6512061424</v>
      </c>
      <c r="F891" s="1">
        <v>44946</v>
      </c>
      <c r="G891" t="str">
        <f>"0084090"</f>
        <v>0084090</v>
      </c>
      <c r="H891">
        <v>0</v>
      </c>
      <c r="I891">
        <v>0</v>
      </c>
      <c r="J891">
        <v>0</v>
      </c>
      <c r="K891" t="str">
        <f t="shared" si="164"/>
        <v>809</v>
      </c>
      <c r="L891">
        <v>0</v>
      </c>
    </row>
    <row r="892" spans="1:12" x14ac:dyDescent="0.25">
      <c r="A892" t="str">
        <f t="shared" si="157"/>
        <v>89301000</v>
      </c>
      <c r="B892" t="str">
        <f t="shared" si="162"/>
        <v>89903000</v>
      </c>
      <c r="C892" t="str">
        <f t="shared" si="163"/>
        <v>89903503</v>
      </c>
      <c r="D892">
        <v>89301062</v>
      </c>
      <c r="E892" t="str">
        <f t="shared" si="166"/>
        <v>6512061424</v>
      </c>
      <c r="F892" s="1">
        <v>44946</v>
      </c>
      <c r="G892" t="str">
        <f>"0096251"</f>
        <v>0096251</v>
      </c>
      <c r="H892">
        <v>0</v>
      </c>
      <c r="I892">
        <v>0</v>
      </c>
      <c r="J892">
        <v>0</v>
      </c>
      <c r="K892" t="str">
        <f t="shared" si="164"/>
        <v>809</v>
      </c>
      <c r="L892">
        <v>0</v>
      </c>
    </row>
    <row r="893" spans="1:12" x14ac:dyDescent="0.25">
      <c r="A893" t="str">
        <f t="shared" si="157"/>
        <v>89301000</v>
      </c>
      <c r="B893" t="str">
        <f t="shared" si="162"/>
        <v>89903000</v>
      </c>
      <c r="C893" t="str">
        <f t="shared" si="163"/>
        <v>89903503</v>
      </c>
      <c r="D893">
        <v>89301062</v>
      </c>
      <c r="E893" t="str">
        <f t="shared" si="166"/>
        <v>6512061424</v>
      </c>
      <c r="F893" s="1">
        <v>44946</v>
      </c>
      <c r="G893" t="str">
        <f>"0194183"</f>
        <v>0194183</v>
      </c>
      <c r="H893">
        <v>0</v>
      </c>
      <c r="I893">
        <v>0</v>
      </c>
      <c r="J893">
        <v>0</v>
      </c>
      <c r="K893" t="str">
        <f t="shared" si="164"/>
        <v>809</v>
      </c>
      <c r="L893">
        <v>0</v>
      </c>
    </row>
    <row r="894" spans="1:12" x14ac:dyDescent="0.25">
      <c r="A894" t="str">
        <f t="shared" si="157"/>
        <v>89301000</v>
      </c>
      <c r="B894" t="str">
        <f t="shared" si="162"/>
        <v>89903000</v>
      </c>
      <c r="C894" t="str">
        <f t="shared" si="163"/>
        <v>89903503</v>
      </c>
      <c r="D894">
        <v>89301062</v>
      </c>
      <c r="E894" t="str">
        <f>"535205136"</f>
        <v>535205136</v>
      </c>
      <c r="F894" s="1">
        <v>44946</v>
      </c>
      <c r="G894" t="str">
        <f>"09233"</f>
        <v>09233</v>
      </c>
      <c r="H894">
        <v>1</v>
      </c>
      <c r="I894">
        <v>102</v>
      </c>
      <c r="J894">
        <v>0</v>
      </c>
      <c r="K894" t="str">
        <f t="shared" si="164"/>
        <v>809</v>
      </c>
      <c r="L894">
        <v>149.94</v>
      </c>
    </row>
    <row r="895" spans="1:12" x14ac:dyDescent="0.25">
      <c r="A895" t="str">
        <f t="shared" si="157"/>
        <v>89301000</v>
      </c>
      <c r="B895" t="str">
        <f t="shared" si="162"/>
        <v>89903000</v>
      </c>
      <c r="C895" t="str">
        <f t="shared" si="163"/>
        <v>89903503</v>
      </c>
      <c r="D895">
        <v>89301062</v>
      </c>
      <c r="E895" t="str">
        <f>"535205136"</f>
        <v>535205136</v>
      </c>
      <c r="F895" s="1">
        <v>44946</v>
      </c>
      <c r="G895" t="str">
        <f>"89311"</f>
        <v>89311</v>
      </c>
      <c r="H895">
        <v>1</v>
      </c>
      <c r="I895">
        <v>970</v>
      </c>
      <c r="J895">
        <v>0</v>
      </c>
      <c r="K895" t="str">
        <f t="shared" si="164"/>
        <v>809</v>
      </c>
      <c r="L895">
        <v>1425.9</v>
      </c>
    </row>
    <row r="896" spans="1:12" x14ac:dyDescent="0.25">
      <c r="A896" t="str">
        <f t="shared" si="157"/>
        <v>89301000</v>
      </c>
      <c r="B896" t="str">
        <f t="shared" si="162"/>
        <v>89903000</v>
      </c>
      <c r="C896" t="str">
        <f t="shared" si="163"/>
        <v>89903503</v>
      </c>
      <c r="D896">
        <v>89301062</v>
      </c>
      <c r="E896" t="str">
        <f>"535205136"</f>
        <v>535205136</v>
      </c>
      <c r="F896" s="1">
        <v>44946</v>
      </c>
      <c r="G896" t="str">
        <f>"89615"</f>
        <v>89615</v>
      </c>
      <c r="H896">
        <v>1</v>
      </c>
      <c r="I896">
        <v>2199</v>
      </c>
      <c r="J896">
        <v>0</v>
      </c>
      <c r="K896" t="str">
        <f t="shared" si="164"/>
        <v>809</v>
      </c>
      <c r="L896">
        <v>1429.35</v>
      </c>
    </row>
    <row r="897" spans="1:12" x14ac:dyDescent="0.25">
      <c r="A897" t="str">
        <f t="shared" si="157"/>
        <v>89301000</v>
      </c>
      <c r="B897" t="str">
        <f t="shared" si="162"/>
        <v>89903000</v>
      </c>
      <c r="C897" t="str">
        <f t="shared" si="163"/>
        <v>89903503</v>
      </c>
      <c r="D897">
        <v>89301062</v>
      </c>
      <c r="E897" t="str">
        <f>"535205136"</f>
        <v>535205136</v>
      </c>
      <c r="F897" s="1">
        <v>44946</v>
      </c>
      <c r="G897" t="str">
        <f>"0228011"</f>
        <v>0228011</v>
      </c>
      <c r="H897">
        <v>0.2</v>
      </c>
      <c r="J897">
        <v>17</v>
      </c>
      <c r="K897" t="str">
        <f t="shared" si="164"/>
        <v>809</v>
      </c>
      <c r="L897">
        <v>17</v>
      </c>
    </row>
    <row r="898" spans="1:12" x14ac:dyDescent="0.25">
      <c r="A898" t="str">
        <f t="shared" ref="A898:A961" si="167">"89301000"</f>
        <v>89301000</v>
      </c>
      <c r="B898" t="str">
        <f>"72100000"</f>
        <v>72100000</v>
      </c>
      <c r="C898" t="str">
        <f>"72100632"</f>
        <v>72100632</v>
      </c>
      <c r="D898">
        <v>89301091</v>
      </c>
      <c r="E898" t="str">
        <f>"9151135719"</f>
        <v>9151135719</v>
      </c>
      <c r="F898" s="1">
        <v>44943</v>
      </c>
      <c r="G898" t="str">
        <f>"94297"</f>
        <v>94297</v>
      </c>
      <c r="H898">
        <v>1</v>
      </c>
      <c r="I898">
        <v>304</v>
      </c>
      <c r="J898">
        <v>0</v>
      </c>
      <c r="K898" t="str">
        <f>"816"</f>
        <v>816</v>
      </c>
      <c r="L898">
        <v>304</v>
      </c>
    </row>
    <row r="899" spans="1:12" x14ac:dyDescent="0.25">
      <c r="A899" t="str">
        <f t="shared" si="167"/>
        <v>89301000</v>
      </c>
      <c r="B899" t="str">
        <f>"72100000"</f>
        <v>72100000</v>
      </c>
      <c r="C899" t="str">
        <f>"72100632"</f>
        <v>72100632</v>
      </c>
      <c r="D899">
        <v>89301091</v>
      </c>
      <c r="E899" t="str">
        <f>"8857275801"</f>
        <v>8857275801</v>
      </c>
      <c r="F899" s="1">
        <v>44945</v>
      </c>
      <c r="G899" t="str">
        <f>"94297"</f>
        <v>94297</v>
      </c>
      <c r="H899">
        <v>1</v>
      </c>
      <c r="I899">
        <v>304</v>
      </c>
      <c r="J899">
        <v>0</v>
      </c>
      <c r="K899" t="str">
        <f>"816"</f>
        <v>816</v>
      </c>
      <c r="L899">
        <v>304</v>
      </c>
    </row>
    <row r="900" spans="1:12" x14ac:dyDescent="0.25">
      <c r="A900" t="str">
        <f t="shared" si="167"/>
        <v>89301000</v>
      </c>
      <c r="B900" t="str">
        <f>"72100000"</f>
        <v>72100000</v>
      </c>
      <c r="C900" t="str">
        <f>"72100632"</f>
        <v>72100632</v>
      </c>
      <c r="D900">
        <v>89301091</v>
      </c>
      <c r="E900" t="str">
        <f>"9055314158"</f>
        <v>9055314158</v>
      </c>
      <c r="F900" s="1">
        <v>44945</v>
      </c>
      <c r="G900" t="str">
        <f>"94297"</f>
        <v>94297</v>
      </c>
      <c r="H900">
        <v>1</v>
      </c>
      <c r="I900">
        <v>304</v>
      </c>
      <c r="J900">
        <v>0</v>
      </c>
      <c r="K900" t="str">
        <f>"816"</f>
        <v>816</v>
      </c>
      <c r="L900">
        <v>304</v>
      </c>
    </row>
    <row r="901" spans="1:12" x14ac:dyDescent="0.25">
      <c r="A901" t="str">
        <f t="shared" si="167"/>
        <v>89301000</v>
      </c>
      <c r="B901" t="str">
        <f>"72100000"</f>
        <v>72100000</v>
      </c>
      <c r="C901" t="str">
        <f>"72100632"</f>
        <v>72100632</v>
      </c>
      <c r="D901">
        <v>89301091</v>
      </c>
      <c r="E901" t="str">
        <f>"9054024606"</f>
        <v>9054024606</v>
      </c>
      <c r="F901" s="1">
        <v>44945</v>
      </c>
      <c r="G901" t="str">
        <f>"94297"</f>
        <v>94297</v>
      </c>
      <c r="H901">
        <v>1</v>
      </c>
      <c r="I901">
        <v>304</v>
      </c>
      <c r="J901">
        <v>0</v>
      </c>
      <c r="K901" t="str">
        <f>"816"</f>
        <v>816</v>
      </c>
      <c r="L901">
        <v>304</v>
      </c>
    </row>
    <row r="902" spans="1:12" x14ac:dyDescent="0.25">
      <c r="A902" t="str">
        <f t="shared" si="167"/>
        <v>89301000</v>
      </c>
      <c r="B902" t="str">
        <f>"72100000"</f>
        <v>72100000</v>
      </c>
      <c r="C902" t="str">
        <f>"72100632"</f>
        <v>72100632</v>
      </c>
      <c r="D902">
        <v>89301091</v>
      </c>
      <c r="E902" t="str">
        <f>"9362235960"</f>
        <v>9362235960</v>
      </c>
      <c r="F902" s="1">
        <v>44949</v>
      </c>
      <c r="G902" t="str">
        <f>"94297"</f>
        <v>94297</v>
      </c>
      <c r="H902">
        <v>1</v>
      </c>
      <c r="I902">
        <v>304</v>
      </c>
      <c r="J902">
        <v>0</v>
      </c>
      <c r="K902" t="str">
        <f>"816"</f>
        <v>816</v>
      </c>
      <c r="L902">
        <v>304</v>
      </c>
    </row>
    <row r="903" spans="1:12" x14ac:dyDescent="0.25">
      <c r="A903" t="str">
        <f t="shared" si="167"/>
        <v>89301000</v>
      </c>
      <c r="B903" t="str">
        <f>"08922000"</f>
        <v>08922000</v>
      </c>
      <c r="C903" t="str">
        <f>"08922003"</f>
        <v>08922003</v>
      </c>
      <c r="D903">
        <v>89301112</v>
      </c>
      <c r="E903" t="str">
        <f>"6862090290"</f>
        <v>6862090290</v>
      </c>
      <c r="F903" s="1">
        <v>44957</v>
      </c>
      <c r="G903" t="str">
        <f>"89713"</f>
        <v>89713</v>
      </c>
      <c r="H903">
        <v>1</v>
      </c>
      <c r="I903">
        <v>5411</v>
      </c>
      <c r="J903">
        <v>0</v>
      </c>
      <c r="K903" t="str">
        <f>"809"</f>
        <v>809</v>
      </c>
      <c r="L903">
        <v>3517.15</v>
      </c>
    </row>
    <row r="904" spans="1:12" x14ac:dyDescent="0.25">
      <c r="A904" t="str">
        <f t="shared" si="167"/>
        <v>89301000</v>
      </c>
      <c r="B904" t="str">
        <f t="shared" ref="B904:B935" si="168">"10510000"</f>
        <v>10510000</v>
      </c>
      <c r="C904" t="str">
        <f t="shared" ref="C904:C935" si="169">"10510001"</f>
        <v>10510001</v>
      </c>
      <c r="D904">
        <v>89301202</v>
      </c>
      <c r="E904" t="str">
        <f>"9305055683"</f>
        <v>9305055683</v>
      </c>
      <c r="F904" s="1">
        <v>44932</v>
      </c>
      <c r="G904" t="str">
        <f>"82145"</f>
        <v>82145</v>
      </c>
      <c r="H904">
        <v>1</v>
      </c>
      <c r="I904">
        <v>59</v>
      </c>
      <c r="J904">
        <v>0</v>
      </c>
      <c r="K904" t="str">
        <f t="shared" ref="K904:K935" si="170">"802"</f>
        <v>802</v>
      </c>
      <c r="L904">
        <v>57.23</v>
      </c>
    </row>
    <row r="905" spans="1:12" x14ac:dyDescent="0.25">
      <c r="A905" t="str">
        <f t="shared" si="167"/>
        <v>89301000</v>
      </c>
      <c r="B905" t="str">
        <f t="shared" si="168"/>
        <v>10510000</v>
      </c>
      <c r="C905" t="str">
        <f t="shared" si="169"/>
        <v>10510001</v>
      </c>
      <c r="D905">
        <v>89301202</v>
      </c>
      <c r="E905" t="str">
        <f>"9305055683"</f>
        <v>9305055683</v>
      </c>
      <c r="F905" s="1">
        <v>44932</v>
      </c>
      <c r="G905" t="str">
        <f>"82111"</f>
        <v>82111</v>
      </c>
      <c r="H905">
        <v>1</v>
      </c>
      <c r="I905">
        <v>37</v>
      </c>
      <c r="J905">
        <v>0</v>
      </c>
      <c r="K905" t="str">
        <f t="shared" si="170"/>
        <v>802</v>
      </c>
      <c r="L905">
        <v>35.89</v>
      </c>
    </row>
    <row r="906" spans="1:12" x14ac:dyDescent="0.25">
      <c r="A906" t="str">
        <f t="shared" si="167"/>
        <v>89301000</v>
      </c>
      <c r="B906" t="str">
        <f t="shared" si="168"/>
        <v>10510000</v>
      </c>
      <c r="C906" t="str">
        <f t="shared" si="169"/>
        <v>10510001</v>
      </c>
      <c r="D906">
        <v>89301202</v>
      </c>
      <c r="E906" t="str">
        <f>"9305055683"</f>
        <v>9305055683</v>
      </c>
      <c r="F906" s="1">
        <v>44932</v>
      </c>
      <c r="G906" t="str">
        <f>"82079"</f>
        <v>82079</v>
      </c>
      <c r="H906">
        <v>1</v>
      </c>
      <c r="I906">
        <v>333</v>
      </c>
      <c r="J906">
        <v>0</v>
      </c>
      <c r="K906" t="str">
        <f t="shared" si="170"/>
        <v>802</v>
      </c>
      <c r="L906">
        <v>323.01</v>
      </c>
    </row>
    <row r="907" spans="1:12" x14ac:dyDescent="0.25">
      <c r="A907" t="str">
        <f t="shared" si="167"/>
        <v>89301000</v>
      </c>
      <c r="B907" t="str">
        <f t="shared" si="168"/>
        <v>10510000</v>
      </c>
      <c r="C907" t="str">
        <f t="shared" si="169"/>
        <v>10510001</v>
      </c>
      <c r="D907">
        <v>89301202</v>
      </c>
      <c r="E907" t="str">
        <f>"9305055683"</f>
        <v>9305055683</v>
      </c>
      <c r="F907" s="1">
        <v>44932</v>
      </c>
      <c r="G907" t="str">
        <f>"82113"</f>
        <v>82113</v>
      </c>
      <c r="H907">
        <v>1</v>
      </c>
      <c r="I907">
        <v>363</v>
      </c>
      <c r="J907">
        <v>0</v>
      </c>
      <c r="K907" t="str">
        <f t="shared" si="170"/>
        <v>802</v>
      </c>
      <c r="L907">
        <v>352.11</v>
      </c>
    </row>
    <row r="908" spans="1:12" x14ac:dyDescent="0.25">
      <c r="A908" t="str">
        <f t="shared" si="167"/>
        <v>89301000</v>
      </c>
      <c r="B908" t="str">
        <f t="shared" si="168"/>
        <v>10510000</v>
      </c>
      <c r="C908" t="str">
        <f t="shared" si="169"/>
        <v>10510001</v>
      </c>
      <c r="D908">
        <v>89301202</v>
      </c>
      <c r="E908" t="str">
        <f>"9305055683"</f>
        <v>9305055683</v>
      </c>
      <c r="F908" s="1">
        <v>44931</v>
      </c>
      <c r="G908" t="str">
        <f>"97111"</f>
        <v>97111</v>
      </c>
      <c r="H908">
        <v>1</v>
      </c>
      <c r="I908">
        <v>19</v>
      </c>
      <c r="J908">
        <v>0</v>
      </c>
      <c r="K908" t="str">
        <f t="shared" si="170"/>
        <v>802</v>
      </c>
      <c r="L908">
        <v>23.94</v>
      </c>
    </row>
    <row r="909" spans="1:12" x14ac:dyDescent="0.25">
      <c r="A909" t="str">
        <f t="shared" si="167"/>
        <v>89301000</v>
      </c>
      <c r="B909" t="str">
        <f t="shared" si="168"/>
        <v>10510000</v>
      </c>
      <c r="C909" t="str">
        <f t="shared" si="169"/>
        <v>10510001</v>
      </c>
      <c r="D909">
        <v>89301202</v>
      </c>
      <c r="E909" t="str">
        <f>"9802235707"</f>
        <v>9802235707</v>
      </c>
      <c r="F909" s="1">
        <v>44946</v>
      </c>
      <c r="G909" t="str">
        <f>"82113"</f>
        <v>82113</v>
      </c>
      <c r="H909">
        <v>1</v>
      </c>
      <c r="I909">
        <v>363</v>
      </c>
      <c r="J909">
        <v>0</v>
      </c>
      <c r="K909" t="str">
        <f t="shared" si="170"/>
        <v>802</v>
      </c>
      <c r="L909">
        <v>352.11</v>
      </c>
    </row>
    <row r="910" spans="1:12" x14ac:dyDescent="0.25">
      <c r="A910" t="str">
        <f t="shared" si="167"/>
        <v>89301000</v>
      </c>
      <c r="B910" t="str">
        <f t="shared" si="168"/>
        <v>10510000</v>
      </c>
      <c r="C910" t="str">
        <f t="shared" si="169"/>
        <v>10510001</v>
      </c>
      <c r="D910">
        <v>89301202</v>
      </c>
      <c r="E910" t="str">
        <f>"9802235707"</f>
        <v>9802235707</v>
      </c>
      <c r="F910" s="1">
        <v>44945</v>
      </c>
      <c r="G910" t="str">
        <f>"97111"</f>
        <v>97111</v>
      </c>
      <c r="H910">
        <v>1</v>
      </c>
      <c r="I910">
        <v>19</v>
      </c>
      <c r="J910">
        <v>0</v>
      </c>
      <c r="K910" t="str">
        <f t="shared" si="170"/>
        <v>802</v>
      </c>
      <c r="L910">
        <v>23.94</v>
      </c>
    </row>
    <row r="911" spans="1:12" x14ac:dyDescent="0.25">
      <c r="A911" t="str">
        <f t="shared" si="167"/>
        <v>89301000</v>
      </c>
      <c r="B911" t="str">
        <f t="shared" si="168"/>
        <v>10510000</v>
      </c>
      <c r="C911" t="str">
        <f t="shared" si="169"/>
        <v>10510001</v>
      </c>
      <c r="D911">
        <v>89301202</v>
      </c>
      <c r="E911" t="str">
        <f>"9802235707"</f>
        <v>9802235707</v>
      </c>
      <c r="F911" s="1">
        <v>44946</v>
      </c>
      <c r="G911" t="str">
        <f>"82111"</f>
        <v>82111</v>
      </c>
      <c r="H911">
        <v>1</v>
      </c>
      <c r="I911">
        <v>37</v>
      </c>
      <c r="J911">
        <v>0</v>
      </c>
      <c r="K911" t="str">
        <f t="shared" si="170"/>
        <v>802</v>
      </c>
      <c r="L911">
        <v>35.89</v>
      </c>
    </row>
    <row r="912" spans="1:12" x14ac:dyDescent="0.25">
      <c r="A912" t="str">
        <f t="shared" si="167"/>
        <v>89301000</v>
      </c>
      <c r="B912" t="str">
        <f t="shared" si="168"/>
        <v>10510000</v>
      </c>
      <c r="C912" t="str">
        <f t="shared" si="169"/>
        <v>10510001</v>
      </c>
      <c r="D912">
        <v>89301202</v>
      </c>
      <c r="E912" t="str">
        <f>"9802235707"</f>
        <v>9802235707</v>
      </c>
      <c r="F912" s="1">
        <v>44946</v>
      </c>
      <c r="G912" t="str">
        <f>"82145"</f>
        <v>82145</v>
      </c>
      <c r="H912">
        <v>6</v>
      </c>
      <c r="I912">
        <v>354</v>
      </c>
      <c r="J912">
        <v>0</v>
      </c>
      <c r="K912" t="str">
        <f t="shared" si="170"/>
        <v>802</v>
      </c>
      <c r="L912">
        <v>343.38</v>
      </c>
    </row>
    <row r="913" spans="1:12" x14ac:dyDescent="0.25">
      <c r="A913" t="str">
        <f t="shared" si="167"/>
        <v>89301000</v>
      </c>
      <c r="B913" t="str">
        <f t="shared" si="168"/>
        <v>10510000</v>
      </c>
      <c r="C913" t="str">
        <f t="shared" si="169"/>
        <v>10510001</v>
      </c>
      <c r="D913">
        <v>89301202</v>
      </c>
      <c r="E913" t="str">
        <f>"9802235707"</f>
        <v>9802235707</v>
      </c>
      <c r="F913" s="1">
        <v>44946</v>
      </c>
      <c r="G913" t="str">
        <f>"82079"</f>
        <v>82079</v>
      </c>
      <c r="H913">
        <v>1</v>
      </c>
      <c r="I913">
        <v>333</v>
      </c>
      <c r="J913">
        <v>0</v>
      </c>
      <c r="K913" t="str">
        <f t="shared" si="170"/>
        <v>802</v>
      </c>
      <c r="L913">
        <v>323.01</v>
      </c>
    </row>
    <row r="914" spans="1:12" x14ac:dyDescent="0.25">
      <c r="A914" t="str">
        <f t="shared" si="167"/>
        <v>89301000</v>
      </c>
      <c r="B914" t="str">
        <f t="shared" si="168"/>
        <v>10510000</v>
      </c>
      <c r="C914" t="str">
        <f t="shared" si="169"/>
        <v>10510001</v>
      </c>
      <c r="D914">
        <v>89301202</v>
      </c>
      <c r="E914" t="str">
        <f>"2101210738"</f>
        <v>2101210738</v>
      </c>
      <c r="F914" s="1">
        <v>44952</v>
      </c>
      <c r="G914" t="str">
        <f>"82113"</f>
        <v>82113</v>
      </c>
      <c r="H914">
        <v>1</v>
      </c>
      <c r="I914">
        <v>363</v>
      </c>
      <c r="J914">
        <v>0</v>
      </c>
      <c r="K914" t="str">
        <f t="shared" si="170"/>
        <v>802</v>
      </c>
      <c r="L914">
        <v>352.11</v>
      </c>
    </row>
    <row r="915" spans="1:12" x14ac:dyDescent="0.25">
      <c r="A915" t="str">
        <f t="shared" si="167"/>
        <v>89301000</v>
      </c>
      <c r="B915" t="str">
        <f t="shared" si="168"/>
        <v>10510000</v>
      </c>
      <c r="C915" t="str">
        <f t="shared" si="169"/>
        <v>10510001</v>
      </c>
      <c r="D915">
        <v>89301202</v>
      </c>
      <c r="E915" t="str">
        <f>"2101210738"</f>
        <v>2101210738</v>
      </c>
      <c r="F915" s="1">
        <v>44951</v>
      </c>
      <c r="G915" t="str">
        <f>"97111"</f>
        <v>97111</v>
      </c>
      <c r="H915">
        <v>1</v>
      </c>
      <c r="I915">
        <v>19</v>
      </c>
      <c r="J915">
        <v>0</v>
      </c>
      <c r="K915" t="str">
        <f t="shared" si="170"/>
        <v>802</v>
      </c>
      <c r="L915">
        <v>23.94</v>
      </c>
    </row>
    <row r="916" spans="1:12" x14ac:dyDescent="0.25">
      <c r="A916" t="str">
        <f t="shared" si="167"/>
        <v>89301000</v>
      </c>
      <c r="B916" t="str">
        <f t="shared" si="168"/>
        <v>10510000</v>
      </c>
      <c r="C916" t="str">
        <f t="shared" si="169"/>
        <v>10510001</v>
      </c>
      <c r="D916">
        <v>89301202</v>
      </c>
      <c r="E916" t="str">
        <f>"2101210738"</f>
        <v>2101210738</v>
      </c>
      <c r="F916" s="1">
        <v>44952</v>
      </c>
      <c r="G916" t="str">
        <f>"82111"</f>
        <v>82111</v>
      </c>
      <c r="H916">
        <v>1</v>
      </c>
      <c r="I916">
        <v>37</v>
      </c>
      <c r="J916">
        <v>0</v>
      </c>
      <c r="K916" t="str">
        <f t="shared" si="170"/>
        <v>802</v>
      </c>
      <c r="L916">
        <v>35.89</v>
      </c>
    </row>
    <row r="917" spans="1:12" x14ac:dyDescent="0.25">
      <c r="A917" t="str">
        <f t="shared" si="167"/>
        <v>89301000</v>
      </c>
      <c r="B917" t="str">
        <f t="shared" si="168"/>
        <v>10510000</v>
      </c>
      <c r="C917" t="str">
        <f t="shared" si="169"/>
        <v>10510001</v>
      </c>
      <c r="D917">
        <v>89301202</v>
      </c>
      <c r="E917" t="str">
        <f>"2101210738"</f>
        <v>2101210738</v>
      </c>
      <c r="F917" s="1">
        <v>44952</v>
      </c>
      <c r="G917" t="str">
        <f>"82145"</f>
        <v>82145</v>
      </c>
      <c r="H917">
        <v>1</v>
      </c>
      <c r="I917">
        <v>59</v>
      </c>
      <c r="J917">
        <v>0</v>
      </c>
      <c r="K917" t="str">
        <f t="shared" si="170"/>
        <v>802</v>
      </c>
      <c r="L917">
        <v>57.23</v>
      </c>
    </row>
    <row r="918" spans="1:12" x14ac:dyDescent="0.25">
      <c r="A918" t="str">
        <f t="shared" si="167"/>
        <v>89301000</v>
      </c>
      <c r="B918" t="str">
        <f t="shared" si="168"/>
        <v>10510000</v>
      </c>
      <c r="C918" t="str">
        <f t="shared" si="169"/>
        <v>10510001</v>
      </c>
      <c r="D918">
        <v>89301202</v>
      </c>
      <c r="E918" t="str">
        <f>"2101210738"</f>
        <v>2101210738</v>
      </c>
      <c r="F918" s="1">
        <v>44952</v>
      </c>
      <c r="G918" t="str">
        <f>"82079"</f>
        <v>82079</v>
      </c>
      <c r="H918">
        <v>1</v>
      </c>
      <c r="I918">
        <v>333</v>
      </c>
      <c r="J918">
        <v>0</v>
      </c>
      <c r="K918" t="str">
        <f t="shared" si="170"/>
        <v>802</v>
      </c>
      <c r="L918">
        <v>323.01</v>
      </c>
    </row>
    <row r="919" spans="1:12" x14ac:dyDescent="0.25">
      <c r="A919" t="str">
        <f t="shared" si="167"/>
        <v>89301000</v>
      </c>
      <c r="B919" t="str">
        <f t="shared" si="168"/>
        <v>10510000</v>
      </c>
      <c r="C919" t="str">
        <f t="shared" si="169"/>
        <v>10510001</v>
      </c>
      <c r="D919">
        <v>89301355</v>
      </c>
      <c r="E919" t="str">
        <f>"0161065586"</f>
        <v>0161065586</v>
      </c>
      <c r="F919" s="1">
        <v>44956</v>
      </c>
      <c r="G919" t="str">
        <f>"82113"</f>
        <v>82113</v>
      </c>
      <c r="H919">
        <v>1</v>
      </c>
      <c r="I919">
        <v>363</v>
      </c>
      <c r="J919">
        <v>0</v>
      </c>
      <c r="K919" t="str">
        <f t="shared" si="170"/>
        <v>802</v>
      </c>
      <c r="L919">
        <v>352.11</v>
      </c>
    </row>
    <row r="920" spans="1:12" x14ac:dyDescent="0.25">
      <c r="A920" t="str">
        <f t="shared" si="167"/>
        <v>89301000</v>
      </c>
      <c r="B920" t="str">
        <f t="shared" si="168"/>
        <v>10510000</v>
      </c>
      <c r="C920" t="str">
        <f t="shared" si="169"/>
        <v>10510001</v>
      </c>
      <c r="D920">
        <v>89301355</v>
      </c>
      <c r="E920" t="str">
        <f>"0161065586"</f>
        <v>0161065586</v>
      </c>
      <c r="F920" s="1">
        <v>44956</v>
      </c>
      <c r="G920" t="str">
        <f>"82145"</f>
        <v>82145</v>
      </c>
      <c r="H920">
        <v>1</v>
      </c>
      <c r="I920">
        <v>59</v>
      </c>
      <c r="J920">
        <v>0</v>
      </c>
      <c r="K920" t="str">
        <f t="shared" si="170"/>
        <v>802</v>
      </c>
      <c r="L920">
        <v>57.23</v>
      </c>
    </row>
    <row r="921" spans="1:12" x14ac:dyDescent="0.25">
      <c r="A921" t="str">
        <f t="shared" si="167"/>
        <v>89301000</v>
      </c>
      <c r="B921" t="str">
        <f t="shared" si="168"/>
        <v>10510000</v>
      </c>
      <c r="C921" t="str">
        <f t="shared" si="169"/>
        <v>10510001</v>
      </c>
      <c r="D921">
        <v>89301355</v>
      </c>
      <c r="E921" t="str">
        <f>"0161065586"</f>
        <v>0161065586</v>
      </c>
      <c r="F921" s="1">
        <v>44956</v>
      </c>
      <c r="G921" t="str">
        <f>"82111"</f>
        <v>82111</v>
      </c>
      <c r="H921">
        <v>1</v>
      </c>
      <c r="I921">
        <v>37</v>
      </c>
      <c r="J921">
        <v>0</v>
      </c>
      <c r="K921" t="str">
        <f t="shared" si="170"/>
        <v>802</v>
      </c>
      <c r="L921">
        <v>35.89</v>
      </c>
    </row>
    <row r="922" spans="1:12" x14ac:dyDescent="0.25">
      <c r="A922" t="str">
        <f t="shared" si="167"/>
        <v>89301000</v>
      </c>
      <c r="B922" t="str">
        <f t="shared" si="168"/>
        <v>10510000</v>
      </c>
      <c r="C922" t="str">
        <f t="shared" si="169"/>
        <v>10510001</v>
      </c>
      <c r="D922">
        <v>89301355</v>
      </c>
      <c r="E922" t="str">
        <f>"0161065586"</f>
        <v>0161065586</v>
      </c>
      <c r="F922" s="1">
        <v>44953</v>
      </c>
      <c r="G922" t="str">
        <f>"82111"</f>
        <v>82111</v>
      </c>
      <c r="H922">
        <v>1</v>
      </c>
      <c r="I922">
        <v>37</v>
      </c>
      <c r="J922">
        <v>0</v>
      </c>
      <c r="K922" t="str">
        <f t="shared" si="170"/>
        <v>802</v>
      </c>
      <c r="L922">
        <v>35.89</v>
      </c>
    </row>
    <row r="923" spans="1:12" x14ac:dyDescent="0.25">
      <c r="A923" t="str">
        <f t="shared" si="167"/>
        <v>89301000</v>
      </c>
      <c r="B923" t="str">
        <f t="shared" si="168"/>
        <v>10510000</v>
      </c>
      <c r="C923" t="str">
        <f t="shared" si="169"/>
        <v>10510001</v>
      </c>
      <c r="D923">
        <v>89301355</v>
      </c>
      <c r="E923" t="str">
        <f>"0161065586"</f>
        <v>0161065586</v>
      </c>
      <c r="F923" s="1">
        <v>44956</v>
      </c>
      <c r="G923" t="str">
        <f>"82079"</f>
        <v>82079</v>
      </c>
      <c r="H923">
        <v>1</v>
      </c>
      <c r="I923">
        <v>333</v>
      </c>
      <c r="J923">
        <v>0</v>
      </c>
      <c r="K923" t="str">
        <f t="shared" si="170"/>
        <v>802</v>
      </c>
      <c r="L923">
        <v>323.01</v>
      </c>
    </row>
    <row r="924" spans="1:12" x14ac:dyDescent="0.25">
      <c r="A924" t="str">
        <f t="shared" si="167"/>
        <v>89301000</v>
      </c>
      <c r="B924" t="str">
        <f t="shared" si="168"/>
        <v>10510000</v>
      </c>
      <c r="C924" t="str">
        <f t="shared" si="169"/>
        <v>10510001</v>
      </c>
      <c r="D924">
        <v>89301355</v>
      </c>
      <c r="E924" t="str">
        <f>"6307180462"</f>
        <v>6307180462</v>
      </c>
      <c r="F924" s="1">
        <v>44943</v>
      </c>
      <c r="G924" t="str">
        <f>"82137"</f>
        <v>82137</v>
      </c>
      <c r="H924">
        <v>1</v>
      </c>
      <c r="I924">
        <v>1606</v>
      </c>
      <c r="J924">
        <v>0</v>
      </c>
      <c r="K924" t="str">
        <f t="shared" si="170"/>
        <v>802</v>
      </c>
      <c r="L924">
        <v>1557.82</v>
      </c>
    </row>
    <row r="925" spans="1:12" x14ac:dyDescent="0.25">
      <c r="A925" t="str">
        <f t="shared" si="167"/>
        <v>89301000</v>
      </c>
      <c r="B925" t="str">
        <f t="shared" si="168"/>
        <v>10510000</v>
      </c>
      <c r="C925" t="str">
        <f t="shared" si="169"/>
        <v>10510001</v>
      </c>
      <c r="D925">
        <v>89301355</v>
      </c>
      <c r="E925" t="str">
        <f>"6307180462"</f>
        <v>6307180462</v>
      </c>
      <c r="F925" s="1">
        <v>44944</v>
      </c>
      <c r="G925" t="str">
        <f>"82077"</f>
        <v>82077</v>
      </c>
      <c r="H925">
        <v>2</v>
      </c>
      <c r="I925">
        <v>702</v>
      </c>
      <c r="J925">
        <v>0</v>
      </c>
      <c r="K925" t="str">
        <f t="shared" si="170"/>
        <v>802</v>
      </c>
      <c r="L925">
        <v>680.94</v>
      </c>
    </row>
    <row r="926" spans="1:12" x14ac:dyDescent="0.25">
      <c r="A926" t="str">
        <f t="shared" si="167"/>
        <v>89301000</v>
      </c>
      <c r="B926" t="str">
        <f t="shared" si="168"/>
        <v>10510000</v>
      </c>
      <c r="C926" t="str">
        <f t="shared" si="169"/>
        <v>10510001</v>
      </c>
      <c r="D926">
        <v>89301355</v>
      </c>
      <c r="E926" t="str">
        <f>"6307180462"</f>
        <v>6307180462</v>
      </c>
      <c r="F926" s="1">
        <v>44944</v>
      </c>
      <c r="G926" t="str">
        <f>"82077"</f>
        <v>82077</v>
      </c>
      <c r="H926">
        <v>2</v>
      </c>
      <c r="I926">
        <v>702</v>
      </c>
      <c r="J926">
        <v>0</v>
      </c>
      <c r="K926" t="str">
        <f t="shared" si="170"/>
        <v>802</v>
      </c>
      <c r="L926">
        <v>680.94</v>
      </c>
    </row>
    <row r="927" spans="1:12" x14ac:dyDescent="0.25">
      <c r="A927" t="str">
        <f t="shared" si="167"/>
        <v>89301000</v>
      </c>
      <c r="B927" t="str">
        <f t="shared" si="168"/>
        <v>10510000</v>
      </c>
      <c r="C927" t="str">
        <f t="shared" si="169"/>
        <v>10510001</v>
      </c>
      <c r="D927">
        <v>89301355</v>
      </c>
      <c r="E927" t="str">
        <f>"6307180462"</f>
        <v>6307180462</v>
      </c>
      <c r="F927" s="1">
        <v>44943</v>
      </c>
      <c r="G927" t="str">
        <f>"82077"</f>
        <v>82077</v>
      </c>
      <c r="H927">
        <v>1</v>
      </c>
      <c r="I927">
        <v>351</v>
      </c>
      <c r="J927">
        <v>0</v>
      </c>
      <c r="K927" t="str">
        <f t="shared" si="170"/>
        <v>802</v>
      </c>
      <c r="L927">
        <v>340.47</v>
      </c>
    </row>
    <row r="928" spans="1:12" x14ac:dyDescent="0.25">
      <c r="A928" t="str">
        <f t="shared" si="167"/>
        <v>89301000</v>
      </c>
      <c r="B928" t="str">
        <f t="shared" si="168"/>
        <v>10510000</v>
      </c>
      <c r="C928" t="str">
        <f t="shared" si="169"/>
        <v>10510001</v>
      </c>
      <c r="D928">
        <v>89301355</v>
      </c>
      <c r="E928" t="str">
        <f>"9152145728"</f>
        <v>9152145728</v>
      </c>
      <c r="F928" s="1">
        <v>44950</v>
      </c>
      <c r="G928" t="str">
        <f>"82137"</f>
        <v>82137</v>
      </c>
      <c r="H928">
        <v>1</v>
      </c>
      <c r="I928">
        <v>1606</v>
      </c>
      <c r="J928">
        <v>0</v>
      </c>
      <c r="K928" t="str">
        <f t="shared" si="170"/>
        <v>802</v>
      </c>
      <c r="L928">
        <v>1557.82</v>
      </c>
    </row>
    <row r="929" spans="1:12" x14ac:dyDescent="0.25">
      <c r="A929" t="str">
        <f t="shared" si="167"/>
        <v>89301000</v>
      </c>
      <c r="B929" t="str">
        <f t="shared" si="168"/>
        <v>10510000</v>
      </c>
      <c r="C929" t="str">
        <f t="shared" si="169"/>
        <v>10510001</v>
      </c>
      <c r="D929">
        <v>89301355</v>
      </c>
      <c r="E929" t="str">
        <f>"9152145728"</f>
        <v>9152145728</v>
      </c>
      <c r="F929" s="1">
        <v>44951</v>
      </c>
      <c r="G929" t="str">
        <f>"82077"</f>
        <v>82077</v>
      </c>
      <c r="H929">
        <v>2</v>
      </c>
      <c r="I929">
        <v>702</v>
      </c>
      <c r="J929">
        <v>0</v>
      </c>
      <c r="K929" t="str">
        <f t="shared" si="170"/>
        <v>802</v>
      </c>
      <c r="L929">
        <v>680.94</v>
      </c>
    </row>
    <row r="930" spans="1:12" x14ac:dyDescent="0.25">
      <c r="A930" t="str">
        <f t="shared" si="167"/>
        <v>89301000</v>
      </c>
      <c r="B930" t="str">
        <f t="shared" si="168"/>
        <v>10510000</v>
      </c>
      <c r="C930" t="str">
        <f t="shared" si="169"/>
        <v>10510001</v>
      </c>
      <c r="D930">
        <v>89301355</v>
      </c>
      <c r="E930" t="str">
        <f>"9152145728"</f>
        <v>9152145728</v>
      </c>
      <c r="F930" s="1">
        <v>44951</v>
      </c>
      <c r="G930" t="str">
        <f>"82077"</f>
        <v>82077</v>
      </c>
      <c r="H930">
        <v>2</v>
      </c>
      <c r="I930">
        <v>702</v>
      </c>
      <c r="J930">
        <v>0</v>
      </c>
      <c r="K930" t="str">
        <f t="shared" si="170"/>
        <v>802</v>
      </c>
      <c r="L930">
        <v>680.94</v>
      </c>
    </row>
    <row r="931" spans="1:12" x14ac:dyDescent="0.25">
      <c r="A931" t="str">
        <f t="shared" si="167"/>
        <v>89301000</v>
      </c>
      <c r="B931" t="str">
        <f t="shared" si="168"/>
        <v>10510000</v>
      </c>
      <c r="C931" t="str">
        <f t="shared" si="169"/>
        <v>10510001</v>
      </c>
      <c r="D931">
        <v>89301355</v>
      </c>
      <c r="E931" t="str">
        <f>"9152145728"</f>
        <v>9152145728</v>
      </c>
      <c r="F931" s="1">
        <v>44950</v>
      </c>
      <c r="G931" t="str">
        <f>"82077"</f>
        <v>82077</v>
      </c>
      <c r="H931">
        <v>1</v>
      </c>
      <c r="I931">
        <v>351</v>
      </c>
      <c r="J931">
        <v>0</v>
      </c>
      <c r="K931" t="str">
        <f t="shared" si="170"/>
        <v>802</v>
      </c>
      <c r="L931">
        <v>340.47</v>
      </c>
    </row>
    <row r="932" spans="1:12" x14ac:dyDescent="0.25">
      <c r="A932" t="str">
        <f t="shared" si="167"/>
        <v>89301000</v>
      </c>
      <c r="B932" t="str">
        <f t="shared" si="168"/>
        <v>10510000</v>
      </c>
      <c r="C932" t="str">
        <f t="shared" si="169"/>
        <v>10510001</v>
      </c>
      <c r="D932">
        <v>89301171</v>
      </c>
      <c r="E932" t="str">
        <f>"7805105319"</f>
        <v>7805105319</v>
      </c>
      <c r="F932" s="1">
        <v>44929</v>
      </c>
      <c r="G932" t="str">
        <f>"82041"</f>
        <v>82041</v>
      </c>
      <c r="H932">
        <v>1</v>
      </c>
      <c r="I932">
        <v>1096</v>
      </c>
      <c r="J932">
        <v>0</v>
      </c>
      <c r="K932" t="str">
        <f t="shared" si="170"/>
        <v>802</v>
      </c>
      <c r="L932">
        <v>1063.1199999999999</v>
      </c>
    </row>
    <row r="933" spans="1:12" x14ac:dyDescent="0.25">
      <c r="A933" t="str">
        <f t="shared" si="167"/>
        <v>89301000</v>
      </c>
      <c r="B933" t="str">
        <f t="shared" si="168"/>
        <v>10510000</v>
      </c>
      <c r="C933" t="str">
        <f t="shared" si="169"/>
        <v>10510001</v>
      </c>
      <c r="D933">
        <v>89301171</v>
      </c>
      <c r="E933" t="str">
        <f>"7805105319"</f>
        <v>7805105319</v>
      </c>
      <c r="F933" s="1">
        <v>44929</v>
      </c>
      <c r="G933" t="str">
        <f>"82034"</f>
        <v>82034</v>
      </c>
      <c r="H933">
        <v>1</v>
      </c>
      <c r="I933">
        <v>354</v>
      </c>
      <c r="J933">
        <v>0</v>
      </c>
      <c r="K933" t="str">
        <f t="shared" si="170"/>
        <v>802</v>
      </c>
      <c r="L933">
        <v>343.38</v>
      </c>
    </row>
    <row r="934" spans="1:12" x14ac:dyDescent="0.25">
      <c r="A934" t="str">
        <f t="shared" si="167"/>
        <v>89301000</v>
      </c>
      <c r="B934" t="str">
        <f t="shared" si="168"/>
        <v>10510000</v>
      </c>
      <c r="C934" t="str">
        <f t="shared" si="169"/>
        <v>10510001</v>
      </c>
      <c r="D934">
        <v>89301171</v>
      </c>
      <c r="E934" t="str">
        <f>"7805105319"</f>
        <v>7805105319</v>
      </c>
      <c r="F934" s="1">
        <v>44929</v>
      </c>
      <c r="G934" t="str">
        <f>"82041"</f>
        <v>82041</v>
      </c>
      <c r="H934">
        <v>1</v>
      </c>
      <c r="I934">
        <v>1096</v>
      </c>
      <c r="J934">
        <v>0</v>
      </c>
      <c r="K934" t="str">
        <f t="shared" si="170"/>
        <v>802</v>
      </c>
      <c r="L934">
        <v>1063.1199999999999</v>
      </c>
    </row>
    <row r="935" spans="1:12" x14ac:dyDescent="0.25">
      <c r="A935" t="str">
        <f t="shared" si="167"/>
        <v>89301000</v>
      </c>
      <c r="B935" t="str">
        <f t="shared" si="168"/>
        <v>10510000</v>
      </c>
      <c r="C935" t="str">
        <f t="shared" si="169"/>
        <v>10510001</v>
      </c>
      <c r="D935">
        <v>89301171</v>
      </c>
      <c r="E935" t="str">
        <f>"7309195344"</f>
        <v>7309195344</v>
      </c>
      <c r="F935" s="1">
        <v>44929</v>
      </c>
      <c r="G935" t="str">
        <f>"82041"</f>
        <v>82041</v>
      </c>
      <c r="H935">
        <v>1</v>
      </c>
      <c r="I935">
        <v>1096</v>
      </c>
      <c r="J935">
        <v>0</v>
      </c>
      <c r="K935" t="str">
        <f t="shared" si="170"/>
        <v>802</v>
      </c>
      <c r="L935">
        <v>1063.1199999999999</v>
      </c>
    </row>
    <row r="936" spans="1:12" x14ac:dyDescent="0.25">
      <c r="A936" t="str">
        <f t="shared" si="167"/>
        <v>89301000</v>
      </c>
      <c r="B936" t="str">
        <f t="shared" ref="B936:B967" si="171">"10510000"</f>
        <v>10510000</v>
      </c>
      <c r="C936" t="str">
        <f t="shared" ref="C936:C967" si="172">"10510001"</f>
        <v>10510001</v>
      </c>
      <c r="D936">
        <v>89301171</v>
      </c>
      <c r="E936" t="str">
        <f>"7309195344"</f>
        <v>7309195344</v>
      </c>
      <c r="F936" s="1">
        <v>44929</v>
      </c>
      <c r="G936" t="str">
        <f>"82041"</f>
        <v>82041</v>
      </c>
      <c r="H936">
        <v>1</v>
      </c>
      <c r="I936">
        <v>1096</v>
      </c>
      <c r="J936">
        <v>0</v>
      </c>
      <c r="K936" t="str">
        <f t="shared" ref="K936:K967" si="173">"802"</f>
        <v>802</v>
      </c>
      <c r="L936">
        <v>1063.1199999999999</v>
      </c>
    </row>
    <row r="937" spans="1:12" x14ac:dyDescent="0.25">
      <c r="A937" t="str">
        <f t="shared" si="167"/>
        <v>89301000</v>
      </c>
      <c r="B937" t="str">
        <f t="shared" si="171"/>
        <v>10510000</v>
      </c>
      <c r="C937" t="str">
        <f t="shared" si="172"/>
        <v>10510001</v>
      </c>
      <c r="D937">
        <v>89301171</v>
      </c>
      <c r="E937" t="str">
        <f>"7309195344"</f>
        <v>7309195344</v>
      </c>
      <c r="F937" s="1">
        <v>44929</v>
      </c>
      <c r="G937" t="str">
        <f>"82034"</f>
        <v>82034</v>
      </c>
      <c r="H937">
        <v>1</v>
      </c>
      <c r="I937">
        <v>354</v>
      </c>
      <c r="J937">
        <v>0</v>
      </c>
      <c r="K937" t="str">
        <f t="shared" si="173"/>
        <v>802</v>
      </c>
      <c r="L937">
        <v>343.38</v>
      </c>
    </row>
    <row r="938" spans="1:12" x14ac:dyDescent="0.25">
      <c r="A938" t="str">
        <f t="shared" si="167"/>
        <v>89301000</v>
      </c>
      <c r="B938" t="str">
        <f t="shared" si="171"/>
        <v>10510000</v>
      </c>
      <c r="C938" t="str">
        <f t="shared" si="172"/>
        <v>10510001</v>
      </c>
      <c r="D938">
        <v>89301176</v>
      </c>
      <c r="E938" t="str">
        <f>"5762201896"</f>
        <v>5762201896</v>
      </c>
      <c r="F938" s="1">
        <v>44929</v>
      </c>
      <c r="G938" t="str">
        <f>"82041"</f>
        <v>82041</v>
      </c>
      <c r="H938">
        <v>1</v>
      </c>
      <c r="I938">
        <v>1096</v>
      </c>
      <c r="J938">
        <v>0</v>
      </c>
      <c r="K938" t="str">
        <f t="shared" si="173"/>
        <v>802</v>
      </c>
      <c r="L938">
        <v>1063.1199999999999</v>
      </c>
    </row>
    <row r="939" spans="1:12" x14ac:dyDescent="0.25">
      <c r="A939" t="str">
        <f t="shared" si="167"/>
        <v>89301000</v>
      </c>
      <c r="B939" t="str">
        <f t="shared" si="171"/>
        <v>10510000</v>
      </c>
      <c r="C939" t="str">
        <f t="shared" si="172"/>
        <v>10510001</v>
      </c>
      <c r="D939">
        <v>89301176</v>
      </c>
      <c r="E939" t="str">
        <f>"5762201896"</f>
        <v>5762201896</v>
      </c>
      <c r="F939" s="1">
        <v>44929</v>
      </c>
      <c r="G939" t="str">
        <f>"82034"</f>
        <v>82034</v>
      </c>
      <c r="H939">
        <v>1</v>
      </c>
      <c r="I939">
        <v>354</v>
      </c>
      <c r="J939">
        <v>0</v>
      </c>
      <c r="K939" t="str">
        <f t="shared" si="173"/>
        <v>802</v>
      </c>
      <c r="L939">
        <v>343.38</v>
      </c>
    </row>
    <row r="940" spans="1:12" x14ac:dyDescent="0.25">
      <c r="A940" t="str">
        <f t="shared" si="167"/>
        <v>89301000</v>
      </c>
      <c r="B940" t="str">
        <f t="shared" si="171"/>
        <v>10510000</v>
      </c>
      <c r="C940" t="str">
        <f t="shared" si="172"/>
        <v>10510001</v>
      </c>
      <c r="D940">
        <v>89301176</v>
      </c>
      <c r="E940" t="str">
        <f>"5762201896"</f>
        <v>5762201896</v>
      </c>
      <c r="F940" s="1">
        <v>44929</v>
      </c>
      <c r="G940" t="str">
        <f>"82041"</f>
        <v>82041</v>
      </c>
      <c r="H940">
        <v>1</v>
      </c>
      <c r="I940">
        <v>1096</v>
      </c>
      <c r="J940">
        <v>0</v>
      </c>
      <c r="K940" t="str">
        <f t="shared" si="173"/>
        <v>802</v>
      </c>
      <c r="L940">
        <v>1063.1199999999999</v>
      </c>
    </row>
    <row r="941" spans="1:12" x14ac:dyDescent="0.25">
      <c r="A941" t="str">
        <f t="shared" si="167"/>
        <v>89301000</v>
      </c>
      <c r="B941" t="str">
        <f t="shared" si="171"/>
        <v>10510000</v>
      </c>
      <c r="C941" t="str">
        <f t="shared" si="172"/>
        <v>10510001</v>
      </c>
      <c r="D941">
        <v>89301176</v>
      </c>
      <c r="E941" t="str">
        <f>"5404080220"</f>
        <v>5404080220</v>
      </c>
      <c r="F941" s="1">
        <v>44929</v>
      </c>
      <c r="G941" t="str">
        <f>"82034"</f>
        <v>82034</v>
      </c>
      <c r="H941">
        <v>1</v>
      </c>
      <c r="I941">
        <v>354</v>
      </c>
      <c r="J941">
        <v>0</v>
      </c>
      <c r="K941" t="str">
        <f t="shared" si="173"/>
        <v>802</v>
      </c>
      <c r="L941">
        <v>343.38</v>
      </c>
    </row>
    <row r="942" spans="1:12" x14ac:dyDescent="0.25">
      <c r="A942" t="str">
        <f t="shared" si="167"/>
        <v>89301000</v>
      </c>
      <c r="B942" t="str">
        <f t="shared" si="171"/>
        <v>10510000</v>
      </c>
      <c r="C942" t="str">
        <f t="shared" si="172"/>
        <v>10510001</v>
      </c>
      <c r="D942">
        <v>89301176</v>
      </c>
      <c r="E942" t="str">
        <f>"5404080220"</f>
        <v>5404080220</v>
      </c>
      <c r="F942" s="1">
        <v>44929</v>
      </c>
      <c r="G942" t="str">
        <f>"82041"</f>
        <v>82041</v>
      </c>
      <c r="H942">
        <v>1</v>
      </c>
      <c r="I942">
        <v>1096</v>
      </c>
      <c r="J942">
        <v>0</v>
      </c>
      <c r="K942" t="str">
        <f t="shared" si="173"/>
        <v>802</v>
      </c>
      <c r="L942">
        <v>1063.1199999999999</v>
      </c>
    </row>
    <row r="943" spans="1:12" x14ac:dyDescent="0.25">
      <c r="A943" t="str">
        <f t="shared" si="167"/>
        <v>89301000</v>
      </c>
      <c r="B943" t="str">
        <f t="shared" si="171"/>
        <v>10510000</v>
      </c>
      <c r="C943" t="str">
        <f t="shared" si="172"/>
        <v>10510001</v>
      </c>
      <c r="D943">
        <v>89301176</v>
      </c>
      <c r="E943" t="str">
        <f>"5404080220"</f>
        <v>5404080220</v>
      </c>
      <c r="F943" s="1">
        <v>44929</v>
      </c>
      <c r="G943" t="str">
        <f>"82041"</f>
        <v>82041</v>
      </c>
      <c r="H943">
        <v>1</v>
      </c>
      <c r="I943">
        <v>1096</v>
      </c>
      <c r="J943">
        <v>0</v>
      </c>
      <c r="K943" t="str">
        <f t="shared" si="173"/>
        <v>802</v>
      </c>
      <c r="L943">
        <v>1063.1199999999999</v>
      </c>
    </row>
    <row r="944" spans="1:12" x14ac:dyDescent="0.25">
      <c r="A944" t="str">
        <f t="shared" si="167"/>
        <v>89301000</v>
      </c>
      <c r="B944" t="str">
        <f t="shared" si="171"/>
        <v>10510000</v>
      </c>
      <c r="C944" t="str">
        <f t="shared" si="172"/>
        <v>10510001</v>
      </c>
      <c r="D944">
        <v>89301171</v>
      </c>
      <c r="E944" t="str">
        <f>"9957315709"</f>
        <v>9957315709</v>
      </c>
      <c r="F944" s="1">
        <v>44936</v>
      </c>
      <c r="G944" t="str">
        <f>"82041"</f>
        <v>82041</v>
      </c>
      <c r="H944">
        <v>1</v>
      </c>
      <c r="I944">
        <v>1096</v>
      </c>
      <c r="J944">
        <v>0</v>
      </c>
      <c r="K944" t="str">
        <f t="shared" si="173"/>
        <v>802</v>
      </c>
      <c r="L944">
        <v>1063.1199999999999</v>
      </c>
    </row>
    <row r="945" spans="1:12" x14ac:dyDescent="0.25">
      <c r="A945" t="str">
        <f t="shared" si="167"/>
        <v>89301000</v>
      </c>
      <c r="B945" t="str">
        <f t="shared" si="171"/>
        <v>10510000</v>
      </c>
      <c r="C945" t="str">
        <f t="shared" si="172"/>
        <v>10510001</v>
      </c>
      <c r="D945">
        <v>89301171</v>
      </c>
      <c r="E945" t="str">
        <f>"9957315709"</f>
        <v>9957315709</v>
      </c>
      <c r="F945" s="1">
        <v>44936</v>
      </c>
      <c r="G945" t="str">
        <f>"82034"</f>
        <v>82034</v>
      </c>
      <c r="H945">
        <v>1</v>
      </c>
      <c r="I945">
        <v>354</v>
      </c>
      <c r="J945">
        <v>0</v>
      </c>
      <c r="K945" t="str">
        <f t="shared" si="173"/>
        <v>802</v>
      </c>
      <c r="L945">
        <v>343.38</v>
      </c>
    </row>
    <row r="946" spans="1:12" x14ac:dyDescent="0.25">
      <c r="A946" t="str">
        <f t="shared" si="167"/>
        <v>89301000</v>
      </c>
      <c r="B946" t="str">
        <f t="shared" si="171"/>
        <v>10510000</v>
      </c>
      <c r="C946" t="str">
        <f t="shared" si="172"/>
        <v>10510001</v>
      </c>
      <c r="D946">
        <v>89301171</v>
      </c>
      <c r="E946" t="str">
        <f>"9957315709"</f>
        <v>9957315709</v>
      </c>
      <c r="F946" s="1">
        <v>44936</v>
      </c>
      <c r="G946" t="str">
        <f>"82041"</f>
        <v>82041</v>
      </c>
      <c r="H946">
        <v>1</v>
      </c>
      <c r="I946">
        <v>1096</v>
      </c>
      <c r="J946">
        <v>0</v>
      </c>
      <c r="K946" t="str">
        <f t="shared" si="173"/>
        <v>802</v>
      </c>
      <c r="L946">
        <v>1063.1199999999999</v>
      </c>
    </row>
    <row r="947" spans="1:12" x14ac:dyDescent="0.25">
      <c r="A947" t="str">
        <f t="shared" si="167"/>
        <v>89301000</v>
      </c>
      <c r="B947" t="str">
        <f t="shared" si="171"/>
        <v>10510000</v>
      </c>
      <c r="C947" t="str">
        <f t="shared" si="172"/>
        <v>10510001</v>
      </c>
      <c r="D947">
        <v>89301171</v>
      </c>
      <c r="E947" t="str">
        <f>"9653024854"</f>
        <v>9653024854</v>
      </c>
      <c r="F947" s="1">
        <v>44942</v>
      </c>
      <c r="G947" t="str">
        <f>"82041"</f>
        <v>82041</v>
      </c>
      <c r="H947">
        <v>1</v>
      </c>
      <c r="I947">
        <v>1096</v>
      </c>
      <c r="J947">
        <v>0</v>
      </c>
      <c r="K947" t="str">
        <f t="shared" si="173"/>
        <v>802</v>
      </c>
      <c r="L947">
        <v>1063.1199999999999</v>
      </c>
    </row>
    <row r="948" spans="1:12" x14ac:dyDescent="0.25">
      <c r="A948" t="str">
        <f t="shared" si="167"/>
        <v>89301000</v>
      </c>
      <c r="B948" t="str">
        <f t="shared" si="171"/>
        <v>10510000</v>
      </c>
      <c r="C948" t="str">
        <f t="shared" si="172"/>
        <v>10510001</v>
      </c>
      <c r="D948">
        <v>89301171</v>
      </c>
      <c r="E948" t="str">
        <f>"9653024854"</f>
        <v>9653024854</v>
      </c>
      <c r="F948" s="1">
        <v>44942</v>
      </c>
      <c r="G948" t="str">
        <f>"82041"</f>
        <v>82041</v>
      </c>
      <c r="H948">
        <v>1</v>
      </c>
      <c r="I948">
        <v>1096</v>
      </c>
      <c r="J948">
        <v>0</v>
      </c>
      <c r="K948" t="str">
        <f t="shared" si="173"/>
        <v>802</v>
      </c>
      <c r="L948">
        <v>1063.1199999999999</v>
      </c>
    </row>
    <row r="949" spans="1:12" x14ac:dyDescent="0.25">
      <c r="A949" t="str">
        <f t="shared" si="167"/>
        <v>89301000</v>
      </c>
      <c r="B949" t="str">
        <f t="shared" si="171"/>
        <v>10510000</v>
      </c>
      <c r="C949" t="str">
        <f t="shared" si="172"/>
        <v>10510001</v>
      </c>
      <c r="D949">
        <v>89301171</v>
      </c>
      <c r="E949" t="str">
        <f>"9653024854"</f>
        <v>9653024854</v>
      </c>
      <c r="F949" s="1">
        <v>44942</v>
      </c>
      <c r="G949" t="str">
        <f>"82034"</f>
        <v>82034</v>
      </c>
      <c r="H949">
        <v>1</v>
      </c>
      <c r="I949">
        <v>354</v>
      </c>
      <c r="J949">
        <v>0</v>
      </c>
      <c r="K949" t="str">
        <f t="shared" si="173"/>
        <v>802</v>
      </c>
      <c r="L949">
        <v>343.38</v>
      </c>
    </row>
    <row r="950" spans="1:12" x14ac:dyDescent="0.25">
      <c r="A950" t="str">
        <f t="shared" si="167"/>
        <v>89301000</v>
      </c>
      <c r="B950" t="str">
        <f t="shared" si="171"/>
        <v>10510000</v>
      </c>
      <c r="C950" t="str">
        <f t="shared" si="172"/>
        <v>10510001</v>
      </c>
      <c r="D950">
        <v>89301171</v>
      </c>
      <c r="E950" t="str">
        <f>"6454220575"</f>
        <v>6454220575</v>
      </c>
      <c r="F950" s="1">
        <v>44942</v>
      </c>
      <c r="G950" t="str">
        <f>"82041"</f>
        <v>82041</v>
      </c>
      <c r="H950">
        <v>1</v>
      </c>
      <c r="I950">
        <v>1096</v>
      </c>
      <c r="J950">
        <v>0</v>
      </c>
      <c r="K950" t="str">
        <f t="shared" si="173"/>
        <v>802</v>
      </c>
      <c r="L950">
        <v>1063.1199999999999</v>
      </c>
    </row>
    <row r="951" spans="1:12" x14ac:dyDescent="0.25">
      <c r="A951" t="str">
        <f t="shared" si="167"/>
        <v>89301000</v>
      </c>
      <c r="B951" t="str">
        <f t="shared" si="171"/>
        <v>10510000</v>
      </c>
      <c r="C951" t="str">
        <f t="shared" si="172"/>
        <v>10510001</v>
      </c>
      <c r="D951">
        <v>89301171</v>
      </c>
      <c r="E951" t="str">
        <f>"6454220575"</f>
        <v>6454220575</v>
      </c>
      <c r="F951" s="1">
        <v>44942</v>
      </c>
      <c r="G951" t="str">
        <f>"82041"</f>
        <v>82041</v>
      </c>
      <c r="H951">
        <v>1</v>
      </c>
      <c r="I951">
        <v>1096</v>
      </c>
      <c r="J951">
        <v>0</v>
      </c>
      <c r="K951" t="str">
        <f t="shared" si="173"/>
        <v>802</v>
      </c>
      <c r="L951">
        <v>1063.1199999999999</v>
      </c>
    </row>
    <row r="952" spans="1:12" x14ac:dyDescent="0.25">
      <c r="A952" t="str">
        <f t="shared" si="167"/>
        <v>89301000</v>
      </c>
      <c r="B952" t="str">
        <f t="shared" si="171"/>
        <v>10510000</v>
      </c>
      <c r="C952" t="str">
        <f t="shared" si="172"/>
        <v>10510001</v>
      </c>
      <c r="D952">
        <v>89301171</v>
      </c>
      <c r="E952" t="str">
        <f>"6454220575"</f>
        <v>6454220575</v>
      </c>
      <c r="F952" s="1">
        <v>44942</v>
      </c>
      <c r="G952" t="str">
        <f>"82034"</f>
        <v>82034</v>
      </c>
      <c r="H952">
        <v>1</v>
      </c>
      <c r="I952">
        <v>354</v>
      </c>
      <c r="J952">
        <v>0</v>
      </c>
      <c r="K952" t="str">
        <f t="shared" si="173"/>
        <v>802</v>
      </c>
      <c r="L952">
        <v>343.38</v>
      </c>
    </row>
    <row r="953" spans="1:12" x14ac:dyDescent="0.25">
      <c r="A953" t="str">
        <f t="shared" si="167"/>
        <v>89301000</v>
      </c>
      <c r="B953" t="str">
        <f t="shared" si="171"/>
        <v>10510000</v>
      </c>
      <c r="C953" t="str">
        <f t="shared" si="172"/>
        <v>10510001</v>
      </c>
      <c r="D953">
        <v>89301171</v>
      </c>
      <c r="E953" t="str">
        <f>"7601081059"</f>
        <v>7601081059</v>
      </c>
      <c r="F953" s="1">
        <v>44949</v>
      </c>
      <c r="G953" t="str">
        <f>"82034"</f>
        <v>82034</v>
      </c>
      <c r="H953">
        <v>1</v>
      </c>
      <c r="I953">
        <v>354</v>
      </c>
      <c r="J953">
        <v>0</v>
      </c>
      <c r="K953" t="str">
        <f t="shared" si="173"/>
        <v>802</v>
      </c>
      <c r="L953">
        <v>343.38</v>
      </c>
    </row>
    <row r="954" spans="1:12" x14ac:dyDescent="0.25">
      <c r="A954" t="str">
        <f t="shared" si="167"/>
        <v>89301000</v>
      </c>
      <c r="B954" t="str">
        <f t="shared" si="171"/>
        <v>10510000</v>
      </c>
      <c r="C954" t="str">
        <f t="shared" si="172"/>
        <v>10510001</v>
      </c>
      <c r="D954">
        <v>89301171</v>
      </c>
      <c r="E954" t="str">
        <f>"7601081059"</f>
        <v>7601081059</v>
      </c>
      <c r="F954" s="1">
        <v>44949</v>
      </c>
      <c r="G954" t="str">
        <f>"82041"</f>
        <v>82041</v>
      </c>
      <c r="H954">
        <v>1</v>
      </c>
      <c r="I954">
        <v>1096</v>
      </c>
      <c r="J954">
        <v>0</v>
      </c>
      <c r="K954" t="str">
        <f t="shared" si="173"/>
        <v>802</v>
      </c>
      <c r="L954">
        <v>1063.1199999999999</v>
      </c>
    </row>
    <row r="955" spans="1:12" x14ac:dyDescent="0.25">
      <c r="A955" t="str">
        <f t="shared" si="167"/>
        <v>89301000</v>
      </c>
      <c r="B955" t="str">
        <f t="shared" si="171"/>
        <v>10510000</v>
      </c>
      <c r="C955" t="str">
        <f t="shared" si="172"/>
        <v>10510001</v>
      </c>
      <c r="D955">
        <v>89301171</v>
      </c>
      <c r="E955" t="str">
        <f>"7601081059"</f>
        <v>7601081059</v>
      </c>
      <c r="F955" s="1">
        <v>44949</v>
      </c>
      <c r="G955" t="str">
        <f>"82041"</f>
        <v>82041</v>
      </c>
      <c r="H955">
        <v>1</v>
      </c>
      <c r="I955">
        <v>1096</v>
      </c>
      <c r="J955">
        <v>0</v>
      </c>
      <c r="K955" t="str">
        <f t="shared" si="173"/>
        <v>802</v>
      </c>
      <c r="L955">
        <v>1063.1199999999999</v>
      </c>
    </row>
    <row r="956" spans="1:12" x14ac:dyDescent="0.25">
      <c r="A956" t="str">
        <f t="shared" si="167"/>
        <v>89301000</v>
      </c>
      <c r="B956" t="str">
        <f t="shared" si="171"/>
        <v>10510000</v>
      </c>
      <c r="C956" t="str">
        <f t="shared" si="172"/>
        <v>10510001</v>
      </c>
      <c r="D956">
        <v>89301171</v>
      </c>
      <c r="E956" t="str">
        <f>"7210055358"</f>
        <v>7210055358</v>
      </c>
      <c r="F956" s="1">
        <v>44951</v>
      </c>
      <c r="G956" t="str">
        <f>"82041"</f>
        <v>82041</v>
      </c>
      <c r="H956">
        <v>1</v>
      </c>
      <c r="I956">
        <v>1096</v>
      </c>
      <c r="J956">
        <v>0</v>
      </c>
      <c r="K956" t="str">
        <f t="shared" si="173"/>
        <v>802</v>
      </c>
      <c r="L956">
        <v>1063.1199999999999</v>
      </c>
    </row>
    <row r="957" spans="1:12" x14ac:dyDescent="0.25">
      <c r="A957" t="str">
        <f t="shared" si="167"/>
        <v>89301000</v>
      </c>
      <c r="B957" t="str">
        <f t="shared" si="171"/>
        <v>10510000</v>
      </c>
      <c r="C957" t="str">
        <f t="shared" si="172"/>
        <v>10510001</v>
      </c>
      <c r="D957">
        <v>89301171</v>
      </c>
      <c r="E957" t="str">
        <f>"7210055358"</f>
        <v>7210055358</v>
      </c>
      <c r="F957" s="1">
        <v>44951</v>
      </c>
      <c r="G957" t="str">
        <f>"82041"</f>
        <v>82041</v>
      </c>
      <c r="H957">
        <v>1</v>
      </c>
      <c r="I957">
        <v>1096</v>
      </c>
      <c r="J957">
        <v>0</v>
      </c>
      <c r="K957" t="str">
        <f t="shared" si="173"/>
        <v>802</v>
      </c>
      <c r="L957">
        <v>1063.1199999999999</v>
      </c>
    </row>
    <row r="958" spans="1:12" x14ac:dyDescent="0.25">
      <c r="A958" t="str">
        <f t="shared" si="167"/>
        <v>89301000</v>
      </c>
      <c r="B958" t="str">
        <f t="shared" si="171"/>
        <v>10510000</v>
      </c>
      <c r="C958" t="str">
        <f t="shared" si="172"/>
        <v>10510001</v>
      </c>
      <c r="D958">
        <v>89301171</v>
      </c>
      <c r="E958" t="str">
        <f>"7210055358"</f>
        <v>7210055358</v>
      </c>
      <c r="F958" s="1">
        <v>44951</v>
      </c>
      <c r="G958" t="str">
        <f>"82034"</f>
        <v>82034</v>
      </c>
      <c r="H958">
        <v>1</v>
      </c>
      <c r="I958">
        <v>354</v>
      </c>
      <c r="J958">
        <v>0</v>
      </c>
      <c r="K958" t="str">
        <f t="shared" si="173"/>
        <v>802</v>
      </c>
      <c r="L958">
        <v>343.38</v>
      </c>
    </row>
    <row r="959" spans="1:12" x14ac:dyDescent="0.25">
      <c r="A959" t="str">
        <f t="shared" si="167"/>
        <v>89301000</v>
      </c>
      <c r="B959" t="str">
        <f t="shared" si="171"/>
        <v>10510000</v>
      </c>
      <c r="C959" t="str">
        <f t="shared" si="172"/>
        <v>10510001</v>
      </c>
      <c r="D959">
        <v>89301171</v>
      </c>
      <c r="E959" t="str">
        <f>"6856081650"</f>
        <v>6856081650</v>
      </c>
      <c r="F959" s="1">
        <v>44951</v>
      </c>
      <c r="G959" t="str">
        <f>"82034"</f>
        <v>82034</v>
      </c>
      <c r="H959">
        <v>1</v>
      </c>
      <c r="I959">
        <v>354</v>
      </c>
      <c r="J959">
        <v>0</v>
      </c>
      <c r="K959" t="str">
        <f t="shared" si="173"/>
        <v>802</v>
      </c>
      <c r="L959">
        <v>343.38</v>
      </c>
    </row>
    <row r="960" spans="1:12" x14ac:dyDescent="0.25">
      <c r="A960" t="str">
        <f t="shared" si="167"/>
        <v>89301000</v>
      </c>
      <c r="B960" t="str">
        <f t="shared" si="171"/>
        <v>10510000</v>
      </c>
      <c r="C960" t="str">
        <f t="shared" si="172"/>
        <v>10510001</v>
      </c>
      <c r="D960">
        <v>89301171</v>
      </c>
      <c r="E960" t="str">
        <f>"6856081650"</f>
        <v>6856081650</v>
      </c>
      <c r="F960" s="1">
        <v>44951</v>
      </c>
      <c r="G960" t="str">
        <f>"82041"</f>
        <v>82041</v>
      </c>
      <c r="H960">
        <v>1</v>
      </c>
      <c r="I960">
        <v>1096</v>
      </c>
      <c r="J960">
        <v>0</v>
      </c>
      <c r="K960" t="str">
        <f t="shared" si="173"/>
        <v>802</v>
      </c>
      <c r="L960">
        <v>1063.1199999999999</v>
      </c>
    </row>
    <row r="961" spans="1:12" x14ac:dyDescent="0.25">
      <c r="A961" t="str">
        <f t="shared" si="167"/>
        <v>89301000</v>
      </c>
      <c r="B961" t="str">
        <f t="shared" si="171"/>
        <v>10510000</v>
      </c>
      <c r="C961" t="str">
        <f t="shared" si="172"/>
        <v>10510001</v>
      </c>
      <c r="D961">
        <v>89301171</v>
      </c>
      <c r="E961" t="str">
        <f>"6856081650"</f>
        <v>6856081650</v>
      </c>
      <c r="F961" s="1">
        <v>44951</v>
      </c>
      <c r="G961" t="str">
        <f>"82041"</f>
        <v>82041</v>
      </c>
      <c r="H961">
        <v>1</v>
      </c>
      <c r="I961">
        <v>1096</v>
      </c>
      <c r="J961">
        <v>0</v>
      </c>
      <c r="K961" t="str">
        <f t="shared" si="173"/>
        <v>802</v>
      </c>
      <c r="L961">
        <v>1063.1199999999999</v>
      </c>
    </row>
    <row r="962" spans="1:12" x14ac:dyDescent="0.25">
      <c r="A962" t="str">
        <f t="shared" ref="A962:A1025" si="174">"89301000"</f>
        <v>89301000</v>
      </c>
      <c r="B962" t="str">
        <f t="shared" si="171"/>
        <v>10510000</v>
      </c>
      <c r="C962" t="str">
        <f t="shared" si="172"/>
        <v>10510001</v>
      </c>
      <c r="D962">
        <v>89301171</v>
      </c>
      <c r="E962" t="str">
        <f>"0051216154"</f>
        <v>0051216154</v>
      </c>
      <c r="F962" s="1">
        <v>44957</v>
      </c>
      <c r="G962" t="str">
        <f>"82034"</f>
        <v>82034</v>
      </c>
      <c r="H962">
        <v>1</v>
      </c>
      <c r="I962">
        <v>354</v>
      </c>
      <c r="J962">
        <v>0</v>
      </c>
      <c r="K962" t="str">
        <f t="shared" si="173"/>
        <v>802</v>
      </c>
      <c r="L962">
        <v>343.38</v>
      </c>
    </row>
    <row r="963" spans="1:12" x14ac:dyDescent="0.25">
      <c r="A963" t="str">
        <f t="shared" si="174"/>
        <v>89301000</v>
      </c>
      <c r="B963" t="str">
        <f t="shared" si="171"/>
        <v>10510000</v>
      </c>
      <c r="C963" t="str">
        <f t="shared" si="172"/>
        <v>10510001</v>
      </c>
      <c r="D963">
        <v>89301171</v>
      </c>
      <c r="E963" t="str">
        <f>"0051216154"</f>
        <v>0051216154</v>
      </c>
      <c r="F963" s="1">
        <v>44957</v>
      </c>
      <c r="G963" t="str">
        <f>"82041"</f>
        <v>82041</v>
      </c>
      <c r="H963">
        <v>1</v>
      </c>
      <c r="I963">
        <v>1096</v>
      </c>
      <c r="J963">
        <v>0</v>
      </c>
      <c r="K963" t="str">
        <f t="shared" si="173"/>
        <v>802</v>
      </c>
      <c r="L963">
        <v>1063.1199999999999</v>
      </c>
    </row>
    <row r="964" spans="1:12" x14ac:dyDescent="0.25">
      <c r="A964" t="str">
        <f t="shared" si="174"/>
        <v>89301000</v>
      </c>
      <c r="B964" t="str">
        <f t="shared" si="171"/>
        <v>10510000</v>
      </c>
      <c r="C964" t="str">
        <f t="shared" si="172"/>
        <v>10510001</v>
      </c>
      <c r="D964">
        <v>89301171</v>
      </c>
      <c r="E964" t="str">
        <f>"0051216154"</f>
        <v>0051216154</v>
      </c>
      <c r="F964" s="1">
        <v>44957</v>
      </c>
      <c r="G964" t="str">
        <f>"82041"</f>
        <v>82041</v>
      </c>
      <c r="H964">
        <v>1</v>
      </c>
      <c r="I964">
        <v>1096</v>
      </c>
      <c r="J964">
        <v>0</v>
      </c>
      <c r="K964" t="str">
        <f t="shared" si="173"/>
        <v>802</v>
      </c>
      <c r="L964">
        <v>1063.1199999999999</v>
      </c>
    </row>
    <row r="965" spans="1:12" x14ac:dyDescent="0.25">
      <c r="A965" t="str">
        <f t="shared" si="174"/>
        <v>89301000</v>
      </c>
      <c r="B965" t="str">
        <f t="shared" si="171"/>
        <v>10510000</v>
      </c>
      <c r="C965" t="str">
        <f t="shared" si="172"/>
        <v>10510001</v>
      </c>
      <c r="D965">
        <v>89301171</v>
      </c>
      <c r="E965" t="str">
        <f>"9306305294"</f>
        <v>9306305294</v>
      </c>
      <c r="F965" s="1">
        <v>44957</v>
      </c>
      <c r="G965" t="str">
        <f>"82041"</f>
        <v>82041</v>
      </c>
      <c r="H965">
        <v>1</v>
      </c>
      <c r="I965">
        <v>1096</v>
      </c>
      <c r="J965">
        <v>0</v>
      </c>
      <c r="K965" t="str">
        <f t="shared" si="173"/>
        <v>802</v>
      </c>
      <c r="L965">
        <v>1063.1199999999999</v>
      </c>
    </row>
    <row r="966" spans="1:12" x14ac:dyDescent="0.25">
      <c r="A966" t="str">
        <f t="shared" si="174"/>
        <v>89301000</v>
      </c>
      <c r="B966" t="str">
        <f t="shared" si="171"/>
        <v>10510000</v>
      </c>
      <c r="C966" t="str">
        <f t="shared" si="172"/>
        <v>10510001</v>
      </c>
      <c r="D966">
        <v>89301171</v>
      </c>
      <c r="E966" t="str">
        <f>"9306305294"</f>
        <v>9306305294</v>
      </c>
      <c r="F966" s="1">
        <v>44957</v>
      </c>
      <c r="G966" t="str">
        <f>"82041"</f>
        <v>82041</v>
      </c>
      <c r="H966">
        <v>1</v>
      </c>
      <c r="I966">
        <v>1096</v>
      </c>
      <c r="J966">
        <v>0</v>
      </c>
      <c r="K966" t="str">
        <f t="shared" si="173"/>
        <v>802</v>
      </c>
      <c r="L966">
        <v>1063.1199999999999</v>
      </c>
    </row>
    <row r="967" spans="1:12" x14ac:dyDescent="0.25">
      <c r="A967" t="str">
        <f t="shared" si="174"/>
        <v>89301000</v>
      </c>
      <c r="B967" t="str">
        <f t="shared" si="171"/>
        <v>10510000</v>
      </c>
      <c r="C967" t="str">
        <f t="shared" si="172"/>
        <v>10510001</v>
      </c>
      <c r="D967">
        <v>89301171</v>
      </c>
      <c r="E967" t="str">
        <f>"9306305294"</f>
        <v>9306305294</v>
      </c>
      <c r="F967" s="1">
        <v>44957</v>
      </c>
      <c r="G967" t="str">
        <f>"82034"</f>
        <v>82034</v>
      </c>
      <c r="H967">
        <v>1</v>
      </c>
      <c r="I967">
        <v>354</v>
      </c>
      <c r="J967">
        <v>0</v>
      </c>
      <c r="K967" t="str">
        <f t="shared" si="173"/>
        <v>802</v>
      </c>
      <c r="L967">
        <v>343.38</v>
      </c>
    </row>
    <row r="968" spans="1:12" x14ac:dyDescent="0.25">
      <c r="A968" t="str">
        <f t="shared" si="174"/>
        <v>89301000</v>
      </c>
      <c r="B968" t="str">
        <f>"94101000"</f>
        <v>94101000</v>
      </c>
      <c r="C968" t="str">
        <f>"94101857"</f>
        <v>94101857</v>
      </c>
      <c r="D968">
        <v>89301312</v>
      </c>
      <c r="E968" t="str">
        <f>"0005044468"</f>
        <v>0005044468</v>
      </c>
      <c r="F968" s="1">
        <v>44938</v>
      </c>
      <c r="G968" t="str">
        <f>"89615"</f>
        <v>89615</v>
      </c>
      <c r="H968">
        <v>1</v>
      </c>
      <c r="I968">
        <v>2199</v>
      </c>
      <c r="J968">
        <v>0</v>
      </c>
      <c r="K968" t="str">
        <f>"809"</f>
        <v>809</v>
      </c>
      <c r="L968">
        <v>1429.35</v>
      </c>
    </row>
    <row r="969" spans="1:12" x14ac:dyDescent="0.25">
      <c r="A969" t="str">
        <f t="shared" si="174"/>
        <v>89301000</v>
      </c>
      <c r="B969" t="str">
        <f>"78934000"</f>
        <v>78934000</v>
      </c>
      <c r="C969" t="str">
        <f>"78934001"</f>
        <v>78934001</v>
      </c>
      <c r="D969">
        <v>89301034</v>
      </c>
      <c r="E969" t="str">
        <f>"7462214694"</f>
        <v>7462214694</v>
      </c>
      <c r="F969" s="1">
        <v>44957</v>
      </c>
      <c r="G969" t="str">
        <f>"89517"</f>
        <v>89517</v>
      </c>
      <c r="H969">
        <v>1</v>
      </c>
      <c r="I969">
        <v>994</v>
      </c>
      <c r="J969">
        <v>0</v>
      </c>
      <c r="K969" t="str">
        <f>"809"</f>
        <v>809</v>
      </c>
      <c r="L969">
        <v>1461.18</v>
      </c>
    </row>
    <row r="970" spans="1:12" x14ac:dyDescent="0.25">
      <c r="A970" t="str">
        <f t="shared" si="174"/>
        <v>89301000</v>
      </c>
      <c r="B970" t="str">
        <f t="shared" ref="B970:B984" si="175">"91009000"</f>
        <v>91009000</v>
      </c>
      <c r="C970" t="str">
        <f>"91009132"</f>
        <v>91009132</v>
      </c>
      <c r="D970">
        <v>89301212</v>
      </c>
      <c r="E970" t="str">
        <f>"8556125776"</f>
        <v>8556125776</v>
      </c>
      <c r="F970" s="1">
        <v>44936</v>
      </c>
      <c r="G970" t="str">
        <f>"92157"</f>
        <v>92157</v>
      </c>
      <c r="H970">
        <v>1</v>
      </c>
      <c r="I970">
        <v>1778</v>
      </c>
      <c r="J970">
        <v>0</v>
      </c>
      <c r="K970" t="str">
        <f>"812"</f>
        <v>812</v>
      </c>
      <c r="L970">
        <v>1493.52</v>
      </c>
    </row>
    <row r="971" spans="1:12" x14ac:dyDescent="0.25">
      <c r="A971" t="str">
        <f t="shared" si="174"/>
        <v>89301000</v>
      </c>
      <c r="B971" t="str">
        <f t="shared" si="175"/>
        <v>91009000</v>
      </c>
      <c r="C971" t="str">
        <f>"91009132"</f>
        <v>91009132</v>
      </c>
      <c r="D971">
        <v>89301212</v>
      </c>
      <c r="E971" t="str">
        <f>"8556125776"</f>
        <v>8556125776</v>
      </c>
      <c r="F971" s="1">
        <v>44936</v>
      </c>
      <c r="G971" t="str">
        <f>"99111"</f>
        <v>99111</v>
      </c>
      <c r="H971">
        <v>1</v>
      </c>
      <c r="I971">
        <v>213</v>
      </c>
      <c r="J971">
        <v>0</v>
      </c>
      <c r="K971" t="str">
        <f>"812"</f>
        <v>812</v>
      </c>
      <c r="L971">
        <v>178.92</v>
      </c>
    </row>
    <row r="972" spans="1:12" x14ac:dyDescent="0.25">
      <c r="A972" t="str">
        <f t="shared" si="174"/>
        <v>89301000</v>
      </c>
      <c r="B972" t="str">
        <f t="shared" si="175"/>
        <v>91009000</v>
      </c>
      <c r="C972" t="str">
        <f t="shared" ref="C972:C980" si="176">"91009522"</f>
        <v>91009522</v>
      </c>
      <c r="D972">
        <v>89301282</v>
      </c>
      <c r="E972" t="str">
        <f>"1410100186"</f>
        <v>1410100186</v>
      </c>
      <c r="F972" s="1">
        <v>44931</v>
      </c>
      <c r="G972" t="str">
        <f>"94948"</f>
        <v>94948</v>
      </c>
      <c r="H972">
        <v>2</v>
      </c>
      <c r="I972">
        <v>0</v>
      </c>
      <c r="J972">
        <v>0</v>
      </c>
      <c r="K972" t="str">
        <f t="shared" ref="K972:K980" si="177">"816"</f>
        <v>816</v>
      </c>
      <c r="L972">
        <v>0</v>
      </c>
    </row>
    <row r="973" spans="1:12" x14ac:dyDescent="0.25">
      <c r="A973" t="str">
        <f t="shared" si="174"/>
        <v>89301000</v>
      </c>
      <c r="B973" t="str">
        <f t="shared" si="175"/>
        <v>91009000</v>
      </c>
      <c r="C973" t="str">
        <f t="shared" si="176"/>
        <v>91009522</v>
      </c>
      <c r="D973">
        <v>89301282</v>
      </c>
      <c r="E973" t="str">
        <f>"1410100186"</f>
        <v>1410100186</v>
      </c>
      <c r="F973" s="1">
        <v>44931</v>
      </c>
      <c r="G973" t="str">
        <f>"94983"</f>
        <v>94983</v>
      </c>
      <c r="H973">
        <v>1</v>
      </c>
      <c r="I973">
        <v>0</v>
      </c>
      <c r="J973">
        <v>39600</v>
      </c>
      <c r="K973" t="str">
        <f t="shared" si="177"/>
        <v>816</v>
      </c>
      <c r="L973">
        <v>39600</v>
      </c>
    </row>
    <row r="974" spans="1:12" x14ac:dyDescent="0.25">
      <c r="A974" t="str">
        <f t="shared" si="174"/>
        <v>89301000</v>
      </c>
      <c r="B974" t="str">
        <f t="shared" si="175"/>
        <v>91009000</v>
      </c>
      <c r="C974" t="str">
        <f t="shared" si="176"/>
        <v>91009522</v>
      </c>
      <c r="D974">
        <v>89301282</v>
      </c>
      <c r="E974" t="str">
        <f>"1410100186"</f>
        <v>1410100186</v>
      </c>
      <c r="F974" s="1">
        <v>44931</v>
      </c>
      <c r="G974" t="str">
        <f>"94996"</f>
        <v>94996</v>
      </c>
      <c r="H974">
        <v>1</v>
      </c>
      <c r="I974">
        <v>0</v>
      </c>
      <c r="J974">
        <v>0</v>
      </c>
      <c r="K974" t="str">
        <f t="shared" si="177"/>
        <v>816</v>
      </c>
      <c r="L974">
        <v>0</v>
      </c>
    </row>
    <row r="975" spans="1:12" x14ac:dyDescent="0.25">
      <c r="A975" t="str">
        <f t="shared" si="174"/>
        <v>89301000</v>
      </c>
      <c r="B975" t="str">
        <f t="shared" si="175"/>
        <v>91009000</v>
      </c>
      <c r="C975" t="str">
        <f t="shared" si="176"/>
        <v>91009522</v>
      </c>
      <c r="D975">
        <v>89301282</v>
      </c>
      <c r="E975" t="str">
        <f>"1811090281"</f>
        <v>1811090281</v>
      </c>
      <c r="F975" s="1">
        <v>44935</v>
      </c>
      <c r="G975" t="str">
        <f>"94948"</f>
        <v>94948</v>
      </c>
      <c r="H975">
        <v>2</v>
      </c>
      <c r="I975">
        <v>0</v>
      </c>
      <c r="J975">
        <v>0</v>
      </c>
      <c r="K975" t="str">
        <f t="shared" si="177"/>
        <v>816</v>
      </c>
      <c r="L975">
        <v>0</v>
      </c>
    </row>
    <row r="976" spans="1:12" x14ac:dyDescent="0.25">
      <c r="A976" t="str">
        <f t="shared" si="174"/>
        <v>89301000</v>
      </c>
      <c r="B976" t="str">
        <f t="shared" si="175"/>
        <v>91009000</v>
      </c>
      <c r="C976" t="str">
        <f t="shared" si="176"/>
        <v>91009522</v>
      </c>
      <c r="D976">
        <v>89301282</v>
      </c>
      <c r="E976" t="str">
        <f>"1811090281"</f>
        <v>1811090281</v>
      </c>
      <c r="F976" s="1">
        <v>44935</v>
      </c>
      <c r="G976" t="str">
        <f>"94983"</f>
        <v>94983</v>
      </c>
      <c r="H976">
        <v>1</v>
      </c>
      <c r="I976">
        <v>0</v>
      </c>
      <c r="J976">
        <v>39600</v>
      </c>
      <c r="K976" t="str">
        <f t="shared" si="177"/>
        <v>816</v>
      </c>
      <c r="L976">
        <v>39600</v>
      </c>
    </row>
    <row r="977" spans="1:12" x14ac:dyDescent="0.25">
      <c r="A977" t="str">
        <f t="shared" si="174"/>
        <v>89301000</v>
      </c>
      <c r="B977" t="str">
        <f t="shared" si="175"/>
        <v>91009000</v>
      </c>
      <c r="C977" t="str">
        <f t="shared" si="176"/>
        <v>91009522</v>
      </c>
      <c r="D977">
        <v>89301282</v>
      </c>
      <c r="E977" t="str">
        <f>"1811090281"</f>
        <v>1811090281</v>
      </c>
      <c r="F977" s="1">
        <v>44935</v>
      </c>
      <c r="G977" t="str">
        <f>"94996"</f>
        <v>94996</v>
      </c>
      <c r="H977">
        <v>1</v>
      </c>
      <c r="I977">
        <v>0</v>
      </c>
      <c r="J977">
        <v>0</v>
      </c>
      <c r="K977" t="str">
        <f t="shared" si="177"/>
        <v>816</v>
      </c>
      <c r="L977">
        <v>0</v>
      </c>
    </row>
    <row r="978" spans="1:12" x14ac:dyDescent="0.25">
      <c r="A978" t="str">
        <f t="shared" si="174"/>
        <v>89301000</v>
      </c>
      <c r="B978" t="str">
        <f t="shared" si="175"/>
        <v>91009000</v>
      </c>
      <c r="C978" t="str">
        <f t="shared" si="176"/>
        <v>91009522</v>
      </c>
      <c r="D978">
        <v>89301282</v>
      </c>
      <c r="E978" t="str">
        <f>"8254193343"</f>
        <v>8254193343</v>
      </c>
      <c r="F978" s="1">
        <v>44953</v>
      </c>
      <c r="G978" t="str">
        <f>"94948"</f>
        <v>94948</v>
      </c>
      <c r="H978">
        <v>2</v>
      </c>
      <c r="I978">
        <v>0</v>
      </c>
      <c r="J978">
        <v>0</v>
      </c>
      <c r="K978" t="str">
        <f t="shared" si="177"/>
        <v>816</v>
      </c>
      <c r="L978">
        <v>0</v>
      </c>
    </row>
    <row r="979" spans="1:12" x14ac:dyDescent="0.25">
      <c r="A979" t="str">
        <f t="shared" si="174"/>
        <v>89301000</v>
      </c>
      <c r="B979" t="str">
        <f t="shared" si="175"/>
        <v>91009000</v>
      </c>
      <c r="C979" t="str">
        <f t="shared" si="176"/>
        <v>91009522</v>
      </c>
      <c r="D979">
        <v>89301282</v>
      </c>
      <c r="E979" t="str">
        <f>"8254193343"</f>
        <v>8254193343</v>
      </c>
      <c r="F979" s="1">
        <v>44953</v>
      </c>
      <c r="G979" t="str">
        <f>"94982"</f>
        <v>94982</v>
      </c>
      <c r="H979">
        <v>1</v>
      </c>
      <c r="I979">
        <v>0</v>
      </c>
      <c r="J979">
        <v>27500</v>
      </c>
      <c r="K979" t="str">
        <f t="shared" si="177"/>
        <v>816</v>
      </c>
      <c r="L979">
        <v>27500</v>
      </c>
    </row>
    <row r="980" spans="1:12" x14ac:dyDescent="0.25">
      <c r="A980" t="str">
        <f t="shared" si="174"/>
        <v>89301000</v>
      </c>
      <c r="B980" t="str">
        <f t="shared" si="175"/>
        <v>91009000</v>
      </c>
      <c r="C980" t="str">
        <f t="shared" si="176"/>
        <v>91009522</v>
      </c>
      <c r="D980">
        <v>89301282</v>
      </c>
      <c r="E980" t="str">
        <f>"8254193343"</f>
        <v>8254193343</v>
      </c>
      <c r="F980" s="1">
        <v>44953</v>
      </c>
      <c r="G980" t="str">
        <f>"94996"</f>
        <v>94996</v>
      </c>
      <c r="H980">
        <v>1</v>
      </c>
      <c r="I980">
        <v>0</v>
      </c>
      <c r="J980">
        <v>0</v>
      </c>
      <c r="K980" t="str">
        <f t="shared" si="177"/>
        <v>816</v>
      </c>
      <c r="L980">
        <v>0</v>
      </c>
    </row>
    <row r="981" spans="1:12" x14ac:dyDescent="0.25">
      <c r="A981" t="str">
        <f t="shared" si="174"/>
        <v>89301000</v>
      </c>
      <c r="B981" t="str">
        <f t="shared" si="175"/>
        <v>91009000</v>
      </c>
      <c r="C981" t="str">
        <f>"91009575"</f>
        <v>91009575</v>
      </c>
      <c r="D981">
        <v>89301062</v>
      </c>
      <c r="E981" t="str">
        <f>"7555205592"</f>
        <v>7555205592</v>
      </c>
      <c r="F981" s="1">
        <v>44941</v>
      </c>
      <c r="G981" t="str">
        <f>"89713"</f>
        <v>89713</v>
      </c>
      <c r="H981">
        <v>1</v>
      </c>
      <c r="I981">
        <v>5411</v>
      </c>
      <c r="J981">
        <v>0</v>
      </c>
      <c r="K981" t="str">
        <f>"810"</f>
        <v>810</v>
      </c>
      <c r="L981">
        <v>3517.15</v>
      </c>
    </row>
    <row r="982" spans="1:12" x14ac:dyDescent="0.25">
      <c r="A982" t="str">
        <f t="shared" si="174"/>
        <v>89301000</v>
      </c>
      <c r="B982" t="str">
        <f t="shared" si="175"/>
        <v>91009000</v>
      </c>
      <c r="C982" t="str">
        <f>"91009575"</f>
        <v>91009575</v>
      </c>
      <c r="D982">
        <v>89301062</v>
      </c>
      <c r="E982" t="str">
        <f>"7555205592"</f>
        <v>7555205592</v>
      </c>
      <c r="F982" s="1">
        <v>44941</v>
      </c>
      <c r="G982" t="str">
        <f>"89713"</f>
        <v>89713</v>
      </c>
      <c r="H982">
        <v>1</v>
      </c>
      <c r="I982">
        <v>5411</v>
      </c>
      <c r="J982">
        <v>0</v>
      </c>
      <c r="K982" t="str">
        <f>"810"</f>
        <v>810</v>
      </c>
      <c r="L982">
        <v>3517.15</v>
      </c>
    </row>
    <row r="983" spans="1:12" x14ac:dyDescent="0.25">
      <c r="A983" t="str">
        <f t="shared" si="174"/>
        <v>89301000</v>
      </c>
      <c r="B983" t="str">
        <f t="shared" si="175"/>
        <v>91009000</v>
      </c>
      <c r="C983" t="str">
        <f>"91009575"</f>
        <v>91009575</v>
      </c>
      <c r="D983">
        <v>89301062</v>
      </c>
      <c r="E983" t="str">
        <f>"7555205592"</f>
        <v>7555205592</v>
      </c>
      <c r="F983" s="1">
        <v>44941</v>
      </c>
      <c r="G983" t="str">
        <f>"89725"</f>
        <v>89725</v>
      </c>
      <c r="H983">
        <v>1</v>
      </c>
      <c r="I983">
        <v>2863</v>
      </c>
      <c r="J983">
        <v>0</v>
      </c>
      <c r="K983" t="str">
        <f>"810"</f>
        <v>810</v>
      </c>
      <c r="L983">
        <v>1860.95</v>
      </c>
    </row>
    <row r="984" spans="1:12" x14ac:dyDescent="0.25">
      <c r="A984" t="str">
        <f t="shared" si="174"/>
        <v>89301000</v>
      </c>
      <c r="B984" t="str">
        <f t="shared" si="175"/>
        <v>91009000</v>
      </c>
      <c r="C984" t="str">
        <f>"91009581"</f>
        <v>91009581</v>
      </c>
      <c r="D984">
        <v>89301212</v>
      </c>
      <c r="E984" t="str">
        <f>"8556125776"</f>
        <v>8556125776</v>
      </c>
      <c r="F984" s="1">
        <v>44936</v>
      </c>
      <c r="G984" t="str">
        <f>"97111"</f>
        <v>97111</v>
      </c>
      <c r="H984">
        <v>1</v>
      </c>
      <c r="I984">
        <v>19</v>
      </c>
      <c r="J984">
        <v>0</v>
      </c>
      <c r="K984" t="str">
        <f>"801"</f>
        <v>801</v>
      </c>
      <c r="L984">
        <v>23.94</v>
      </c>
    </row>
    <row r="985" spans="1:12" x14ac:dyDescent="0.25">
      <c r="A985" t="str">
        <f t="shared" si="174"/>
        <v>89301000</v>
      </c>
      <c r="B985" t="str">
        <f t="shared" ref="B985:B990" si="178">"72001000"</f>
        <v>72001000</v>
      </c>
      <c r="C985" t="str">
        <f>"72001742"</f>
        <v>72001742</v>
      </c>
      <c r="D985">
        <v>89301731</v>
      </c>
      <c r="E985" t="str">
        <f>"6651211556"</f>
        <v>6651211556</v>
      </c>
      <c r="F985" s="1">
        <v>44949</v>
      </c>
      <c r="G985" t="str">
        <f>"89713"</f>
        <v>89713</v>
      </c>
      <c r="H985">
        <v>2</v>
      </c>
      <c r="I985">
        <v>10822</v>
      </c>
      <c r="J985">
        <v>0</v>
      </c>
      <c r="K985" t="str">
        <f>"809"</f>
        <v>809</v>
      </c>
      <c r="L985">
        <v>7034.3</v>
      </c>
    </row>
    <row r="986" spans="1:12" x14ac:dyDescent="0.25">
      <c r="A986" t="str">
        <f t="shared" si="174"/>
        <v>89301000</v>
      </c>
      <c r="B986" t="str">
        <f t="shared" si="178"/>
        <v>72001000</v>
      </c>
      <c r="C986" t="str">
        <f>"72001845"</f>
        <v>72001845</v>
      </c>
      <c r="D986">
        <v>89301048</v>
      </c>
      <c r="E986" t="str">
        <f>"0402104813"</f>
        <v>0402104813</v>
      </c>
      <c r="F986" s="1">
        <v>44936</v>
      </c>
      <c r="G986" t="str">
        <f>"87217"</f>
        <v>87217</v>
      </c>
      <c r="H986">
        <v>2</v>
      </c>
      <c r="I986">
        <v>430</v>
      </c>
      <c r="J986">
        <v>0</v>
      </c>
      <c r="K986" t="str">
        <f>"807"</f>
        <v>807</v>
      </c>
      <c r="L986">
        <v>361.2</v>
      </c>
    </row>
    <row r="987" spans="1:12" x14ac:dyDescent="0.25">
      <c r="A987" t="str">
        <f t="shared" si="174"/>
        <v>89301000</v>
      </c>
      <c r="B987" t="str">
        <f t="shared" si="178"/>
        <v>72001000</v>
      </c>
      <c r="C987" t="str">
        <f>"72001845"</f>
        <v>72001845</v>
      </c>
      <c r="D987">
        <v>89301048</v>
      </c>
      <c r="E987" t="str">
        <f>"0402104813"</f>
        <v>0402104813</v>
      </c>
      <c r="F987" s="1">
        <v>44936</v>
      </c>
      <c r="G987" t="str">
        <f>"87231"</f>
        <v>87231</v>
      </c>
      <c r="H987">
        <v>9</v>
      </c>
      <c r="I987">
        <v>3429</v>
      </c>
      <c r="J987">
        <v>0</v>
      </c>
      <c r="K987" t="str">
        <f>"807"</f>
        <v>807</v>
      </c>
      <c r="L987">
        <v>2880.36</v>
      </c>
    </row>
    <row r="988" spans="1:12" x14ac:dyDescent="0.25">
      <c r="A988" t="str">
        <f t="shared" si="174"/>
        <v>89301000</v>
      </c>
      <c r="B988" t="str">
        <f t="shared" si="178"/>
        <v>72001000</v>
      </c>
      <c r="C988" t="str">
        <f>"72001845"</f>
        <v>72001845</v>
      </c>
      <c r="D988">
        <v>89301048</v>
      </c>
      <c r="E988" t="str">
        <f>"0402104813"</f>
        <v>0402104813</v>
      </c>
      <c r="F988" s="1">
        <v>44936</v>
      </c>
      <c r="G988" t="str">
        <f>"87231"</f>
        <v>87231</v>
      </c>
      <c r="H988">
        <v>3</v>
      </c>
      <c r="I988">
        <v>1143</v>
      </c>
      <c r="J988">
        <v>0</v>
      </c>
      <c r="K988" t="str">
        <f>"807"</f>
        <v>807</v>
      </c>
      <c r="L988">
        <v>960.12</v>
      </c>
    </row>
    <row r="989" spans="1:12" x14ac:dyDescent="0.25">
      <c r="A989" t="str">
        <f t="shared" si="174"/>
        <v>89301000</v>
      </c>
      <c r="B989" t="str">
        <f t="shared" si="178"/>
        <v>72001000</v>
      </c>
      <c r="C989" t="str">
        <f>"72001845"</f>
        <v>72001845</v>
      </c>
      <c r="D989">
        <v>89301048</v>
      </c>
      <c r="E989" t="str">
        <f>"0402104813"</f>
        <v>0402104813</v>
      </c>
      <c r="F989" s="1">
        <v>44936</v>
      </c>
      <c r="G989" t="str">
        <f>"87613"</f>
        <v>87613</v>
      </c>
      <c r="H989">
        <v>1</v>
      </c>
      <c r="I989">
        <v>436</v>
      </c>
      <c r="J989">
        <v>0</v>
      </c>
      <c r="K989" t="str">
        <f>"807"</f>
        <v>807</v>
      </c>
      <c r="L989">
        <v>366.24</v>
      </c>
    </row>
    <row r="990" spans="1:12" x14ac:dyDescent="0.25">
      <c r="A990" t="str">
        <f t="shared" si="174"/>
        <v>89301000</v>
      </c>
      <c r="B990" t="str">
        <f t="shared" si="178"/>
        <v>72001000</v>
      </c>
      <c r="C990" t="str">
        <f>"72001845"</f>
        <v>72001845</v>
      </c>
      <c r="D990">
        <v>89301048</v>
      </c>
      <c r="E990" t="str">
        <f>"0402104813"</f>
        <v>0402104813</v>
      </c>
      <c r="F990" s="1">
        <v>44938</v>
      </c>
      <c r="G990" t="str">
        <f>"87617"</f>
        <v>87617</v>
      </c>
      <c r="H990">
        <v>1</v>
      </c>
      <c r="I990">
        <v>3750</v>
      </c>
      <c r="J990">
        <v>0</v>
      </c>
      <c r="K990" t="str">
        <f>"807"</f>
        <v>807</v>
      </c>
      <c r="L990">
        <v>3150</v>
      </c>
    </row>
    <row r="991" spans="1:12" x14ac:dyDescent="0.25">
      <c r="A991" t="str">
        <f t="shared" si="174"/>
        <v>89301000</v>
      </c>
      <c r="B991" t="str">
        <f t="shared" ref="B991:B1002" si="179">"02004000"</f>
        <v>02004000</v>
      </c>
      <c r="C991" t="str">
        <f>"02004561"</f>
        <v>02004561</v>
      </c>
      <c r="D991">
        <v>89301702</v>
      </c>
      <c r="E991" t="str">
        <f>"2103290970"</f>
        <v>2103290970</v>
      </c>
      <c r="F991" s="1">
        <v>44930</v>
      </c>
      <c r="G991" t="str">
        <f>"81657"</f>
        <v>81657</v>
      </c>
      <c r="H991">
        <v>1</v>
      </c>
      <c r="I991">
        <v>301</v>
      </c>
      <c r="J991">
        <v>0</v>
      </c>
      <c r="K991" t="str">
        <f>"801"</f>
        <v>801</v>
      </c>
      <c r="L991">
        <v>252.84</v>
      </c>
    </row>
    <row r="992" spans="1:12" x14ac:dyDescent="0.25">
      <c r="A992" t="str">
        <f t="shared" si="174"/>
        <v>89301000</v>
      </c>
      <c r="B992" t="str">
        <f t="shared" si="179"/>
        <v>02004000</v>
      </c>
      <c r="C992" t="str">
        <f>"02004561"</f>
        <v>02004561</v>
      </c>
      <c r="D992">
        <v>89301702</v>
      </c>
      <c r="E992" t="str">
        <f>"2103290970"</f>
        <v>2103290970</v>
      </c>
      <c r="F992" s="1">
        <v>44930</v>
      </c>
      <c r="G992" t="str">
        <f>"97111"</f>
        <v>97111</v>
      </c>
      <c r="H992">
        <v>1</v>
      </c>
      <c r="I992">
        <v>19</v>
      </c>
      <c r="J992">
        <v>0</v>
      </c>
      <c r="K992" t="str">
        <f>"801"</f>
        <v>801</v>
      </c>
      <c r="L992">
        <v>23.94</v>
      </c>
    </row>
    <row r="993" spans="1:12" x14ac:dyDescent="0.25">
      <c r="A993" t="str">
        <f t="shared" si="174"/>
        <v>89301000</v>
      </c>
      <c r="B993" t="str">
        <f t="shared" si="179"/>
        <v>02004000</v>
      </c>
      <c r="C993" t="str">
        <f>"02004545"</f>
        <v>02004545</v>
      </c>
      <c r="D993">
        <v>89301704</v>
      </c>
      <c r="E993" t="str">
        <f>"1905051214"</f>
        <v>1905051214</v>
      </c>
      <c r="F993" s="1">
        <v>44931</v>
      </c>
      <c r="G993" t="str">
        <f>"94221"</f>
        <v>94221</v>
      </c>
      <c r="H993">
        <v>5</v>
      </c>
      <c r="I993">
        <v>12335</v>
      </c>
      <c r="J993">
        <v>0</v>
      </c>
      <c r="K993" t="str">
        <f>"816"</f>
        <v>816</v>
      </c>
      <c r="L993">
        <v>11101.5</v>
      </c>
    </row>
    <row r="994" spans="1:12" x14ac:dyDescent="0.25">
      <c r="A994" t="str">
        <f t="shared" si="174"/>
        <v>89301000</v>
      </c>
      <c r="B994" t="str">
        <f t="shared" si="179"/>
        <v>02004000</v>
      </c>
      <c r="C994" t="str">
        <f>"02004545"</f>
        <v>02004545</v>
      </c>
      <c r="D994">
        <v>89301704</v>
      </c>
      <c r="E994" t="str">
        <f>"1906051994"</f>
        <v>1906051994</v>
      </c>
      <c r="F994" s="1">
        <v>44937</v>
      </c>
      <c r="G994" t="str">
        <f>"94331"</f>
        <v>94331</v>
      </c>
      <c r="H994">
        <v>1</v>
      </c>
      <c r="I994">
        <v>7866</v>
      </c>
      <c r="J994">
        <v>0</v>
      </c>
      <c r="K994" t="str">
        <f>"816"</f>
        <v>816</v>
      </c>
      <c r="L994">
        <v>7079.4</v>
      </c>
    </row>
    <row r="995" spans="1:12" x14ac:dyDescent="0.25">
      <c r="A995" t="str">
        <f t="shared" si="174"/>
        <v>89301000</v>
      </c>
      <c r="B995" t="str">
        <f t="shared" si="179"/>
        <v>02004000</v>
      </c>
      <c r="C995" t="str">
        <f>"02004545"</f>
        <v>02004545</v>
      </c>
      <c r="D995">
        <v>89301704</v>
      </c>
      <c r="E995" t="str">
        <f>"1905051214"</f>
        <v>1905051214</v>
      </c>
      <c r="F995" s="1">
        <v>44937</v>
      </c>
      <c r="G995" t="str">
        <f>"94331"</f>
        <v>94331</v>
      </c>
      <c r="H995">
        <v>1</v>
      </c>
      <c r="I995">
        <v>7866</v>
      </c>
      <c r="J995">
        <v>0</v>
      </c>
      <c r="K995" t="str">
        <f>"816"</f>
        <v>816</v>
      </c>
      <c r="L995">
        <v>7079.4</v>
      </c>
    </row>
    <row r="996" spans="1:12" x14ac:dyDescent="0.25">
      <c r="A996" t="str">
        <f t="shared" si="174"/>
        <v>89301000</v>
      </c>
      <c r="B996" t="str">
        <f t="shared" si="179"/>
        <v>02004000</v>
      </c>
      <c r="C996" t="str">
        <f>"02004545"</f>
        <v>02004545</v>
      </c>
      <c r="D996">
        <v>89301282</v>
      </c>
      <c r="E996" t="str">
        <f>"9904055711"</f>
        <v>9904055711</v>
      </c>
      <c r="F996" s="1">
        <v>44937</v>
      </c>
      <c r="G996" t="str">
        <f>"94221"</f>
        <v>94221</v>
      </c>
      <c r="H996">
        <v>1</v>
      </c>
      <c r="I996">
        <v>2467</v>
      </c>
      <c r="J996">
        <v>0</v>
      </c>
      <c r="K996" t="str">
        <f>"816"</f>
        <v>816</v>
      </c>
      <c r="L996">
        <v>2220.3000000000002</v>
      </c>
    </row>
    <row r="997" spans="1:12" x14ac:dyDescent="0.25">
      <c r="A997" t="str">
        <f t="shared" si="174"/>
        <v>89301000</v>
      </c>
      <c r="B997" t="str">
        <f t="shared" si="179"/>
        <v>02004000</v>
      </c>
      <c r="C997" t="str">
        <f t="shared" ref="C997:C1002" si="180">"02004556"</f>
        <v>02004556</v>
      </c>
      <c r="D997">
        <v>89301028</v>
      </c>
      <c r="E997" t="str">
        <f>"9357105703"</f>
        <v>9357105703</v>
      </c>
      <c r="F997" s="1">
        <v>44938</v>
      </c>
      <c r="G997" t="str">
        <f>"91249"</f>
        <v>91249</v>
      </c>
      <c r="H997">
        <v>1</v>
      </c>
      <c r="I997">
        <v>1495</v>
      </c>
      <c r="J997">
        <v>0</v>
      </c>
      <c r="K997" t="str">
        <f t="shared" ref="K997:K1002" si="181">"813"</f>
        <v>813</v>
      </c>
      <c r="L997">
        <v>1255.8</v>
      </c>
    </row>
    <row r="998" spans="1:12" x14ac:dyDescent="0.25">
      <c r="A998" t="str">
        <f t="shared" si="174"/>
        <v>89301000</v>
      </c>
      <c r="B998" t="str">
        <f t="shared" si="179"/>
        <v>02004000</v>
      </c>
      <c r="C998" t="str">
        <f t="shared" si="180"/>
        <v>02004556</v>
      </c>
      <c r="D998">
        <v>89301028</v>
      </c>
      <c r="E998" t="str">
        <f>"9357105703"</f>
        <v>9357105703</v>
      </c>
      <c r="F998" s="1">
        <v>44938</v>
      </c>
      <c r="G998" t="str">
        <f>"91251"</f>
        <v>91251</v>
      </c>
      <c r="H998">
        <v>1</v>
      </c>
      <c r="I998">
        <v>1495</v>
      </c>
      <c r="J998">
        <v>0</v>
      </c>
      <c r="K998" t="str">
        <f t="shared" si="181"/>
        <v>813</v>
      </c>
      <c r="L998">
        <v>1255.8</v>
      </c>
    </row>
    <row r="999" spans="1:12" x14ac:dyDescent="0.25">
      <c r="A999" t="str">
        <f t="shared" si="174"/>
        <v>89301000</v>
      </c>
      <c r="B999" t="str">
        <f t="shared" si="179"/>
        <v>02004000</v>
      </c>
      <c r="C999" t="str">
        <f t="shared" si="180"/>
        <v>02004556</v>
      </c>
      <c r="D999">
        <v>89301102</v>
      </c>
      <c r="E999" t="str">
        <f>"0909103272"</f>
        <v>0909103272</v>
      </c>
      <c r="F999" s="1">
        <v>44932</v>
      </c>
      <c r="G999" t="str">
        <f>"91249"</f>
        <v>91249</v>
      </c>
      <c r="H999">
        <v>1</v>
      </c>
      <c r="I999">
        <v>1495</v>
      </c>
      <c r="J999">
        <v>0</v>
      </c>
      <c r="K999" t="str">
        <f t="shared" si="181"/>
        <v>813</v>
      </c>
      <c r="L999">
        <v>1255.8</v>
      </c>
    </row>
    <row r="1000" spans="1:12" x14ac:dyDescent="0.25">
      <c r="A1000" t="str">
        <f t="shared" si="174"/>
        <v>89301000</v>
      </c>
      <c r="B1000" t="str">
        <f t="shared" si="179"/>
        <v>02004000</v>
      </c>
      <c r="C1000" t="str">
        <f t="shared" si="180"/>
        <v>02004556</v>
      </c>
      <c r="D1000">
        <v>89301102</v>
      </c>
      <c r="E1000" t="str">
        <f>"0909103272"</f>
        <v>0909103272</v>
      </c>
      <c r="F1000" s="1">
        <v>44932</v>
      </c>
      <c r="G1000" t="str">
        <f>"91251"</f>
        <v>91251</v>
      </c>
      <c r="H1000">
        <v>1</v>
      </c>
      <c r="I1000">
        <v>1495</v>
      </c>
      <c r="J1000">
        <v>0</v>
      </c>
      <c r="K1000" t="str">
        <f t="shared" si="181"/>
        <v>813</v>
      </c>
      <c r="L1000">
        <v>1255.8</v>
      </c>
    </row>
    <row r="1001" spans="1:12" x14ac:dyDescent="0.25">
      <c r="A1001" t="str">
        <f t="shared" si="174"/>
        <v>89301000</v>
      </c>
      <c r="B1001" t="str">
        <f t="shared" si="179"/>
        <v>02004000</v>
      </c>
      <c r="C1001" t="str">
        <f t="shared" si="180"/>
        <v>02004556</v>
      </c>
      <c r="D1001">
        <v>89301102</v>
      </c>
      <c r="E1001" t="str">
        <f>"1754070054"</f>
        <v>1754070054</v>
      </c>
      <c r="F1001" s="1">
        <v>44938</v>
      </c>
      <c r="G1001" t="str">
        <f>"91249"</f>
        <v>91249</v>
      </c>
      <c r="H1001">
        <v>1</v>
      </c>
      <c r="I1001">
        <v>1495</v>
      </c>
      <c r="J1001">
        <v>0</v>
      </c>
      <c r="K1001" t="str">
        <f t="shared" si="181"/>
        <v>813</v>
      </c>
      <c r="L1001">
        <v>1255.8</v>
      </c>
    </row>
    <row r="1002" spans="1:12" x14ac:dyDescent="0.25">
      <c r="A1002" t="str">
        <f t="shared" si="174"/>
        <v>89301000</v>
      </c>
      <c r="B1002" t="str">
        <f t="shared" si="179"/>
        <v>02004000</v>
      </c>
      <c r="C1002" t="str">
        <f t="shared" si="180"/>
        <v>02004556</v>
      </c>
      <c r="D1002">
        <v>89301102</v>
      </c>
      <c r="E1002" t="str">
        <f>"1754070054"</f>
        <v>1754070054</v>
      </c>
      <c r="F1002" s="1">
        <v>44938</v>
      </c>
      <c r="G1002" t="str">
        <f>"91251"</f>
        <v>91251</v>
      </c>
      <c r="H1002">
        <v>1</v>
      </c>
      <c r="I1002">
        <v>1495</v>
      </c>
      <c r="J1002">
        <v>0</v>
      </c>
      <c r="K1002" t="str">
        <f t="shared" si="181"/>
        <v>813</v>
      </c>
      <c r="L1002">
        <v>1255.8</v>
      </c>
    </row>
    <row r="1003" spans="1:12" x14ac:dyDescent="0.25">
      <c r="A1003" t="str">
        <f t="shared" si="174"/>
        <v>89301000</v>
      </c>
      <c r="B1003" t="str">
        <f t="shared" ref="B1003:B1015" si="182">"78006000"</f>
        <v>78006000</v>
      </c>
      <c r="C1003" t="str">
        <f>"78006531"</f>
        <v>78006531</v>
      </c>
      <c r="D1003">
        <v>89301212</v>
      </c>
      <c r="E1003" t="str">
        <f>"535414122"</f>
        <v>535414122</v>
      </c>
      <c r="F1003" s="1">
        <v>44930</v>
      </c>
      <c r="G1003" t="str">
        <f>"89513"</f>
        <v>89513</v>
      </c>
      <c r="H1003">
        <v>1</v>
      </c>
      <c r="I1003">
        <v>378</v>
      </c>
      <c r="J1003">
        <v>0</v>
      </c>
      <c r="K1003" t="str">
        <f>"809"</f>
        <v>809</v>
      </c>
      <c r="L1003">
        <v>555.66</v>
      </c>
    </row>
    <row r="1004" spans="1:12" x14ac:dyDescent="0.25">
      <c r="A1004" t="str">
        <f t="shared" si="174"/>
        <v>89301000</v>
      </c>
      <c r="B1004" t="str">
        <f t="shared" si="182"/>
        <v>78006000</v>
      </c>
      <c r="C1004" t="str">
        <f>"78006531"</f>
        <v>78006531</v>
      </c>
      <c r="D1004">
        <v>89301212</v>
      </c>
      <c r="E1004" t="str">
        <f>"535414122"</f>
        <v>535414122</v>
      </c>
      <c r="F1004" s="1">
        <v>44930</v>
      </c>
      <c r="G1004" t="str">
        <f>"89514"</f>
        <v>89514</v>
      </c>
      <c r="H1004">
        <v>1</v>
      </c>
      <c r="I1004">
        <v>378</v>
      </c>
      <c r="J1004">
        <v>0</v>
      </c>
      <c r="K1004" t="str">
        <f>"809"</f>
        <v>809</v>
      </c>
      <c r="L1004">
        <v>555.66</v>
      </c>
    </row>
    <row r="1005" spans="1:12" x14ac:dyDescent="0.25">
      <c r="A1005" t="str">
        <f t="shared" si="174"/>
        <v>89301000</v>
      </c>
      <c r="B1005" t="str">
        <f t="shared" si="182"/>
        <v>78006000</v>
      </c>
      <c r="C1005" t="str">
        <f>"78006532"</f>
        <v>78006532</v>
      </c>
      <c r="D1005">
        <v>89301062</v>
      </c>
      <c r="E1005" t="str">
        <f>"7403184470"</f>
        <v>7403184470</v>
      </c>
      <c r="F1005" s="1">
        <v>44946</v>
      </c>
      <c r="G1005" t="str">
        <f>"89713"</f>
        <v>89713</v>
      </c>
      <c r="H1005">
        <v>1</v>
      </c>
      <c r="I1005">
        <v>5411</v>
      </c>
      <c r="J1005">
        <v>0</v>
      </c>
      <c r="K1005" t="str">
        <f t="shared" ref="K1005:K1015" si="183">"810"</f>
        <v>810</v>
      </c>
      <c r="L1005">
        <v>3517.15</v>
      </c>
    </row>
    <row r="1006" spans="1:12" x14ac:dyDescent="0.25">
      <c r="A1006" t="str">
        <f t="shared" si="174"/>
        <v>89301000</v>
      </c>
      <c r="B1006" t="str">
        <f t="shared" si="182"/>
        <v>78006000</v>
      </c>
      <c r="C1006" t="str">
        <f t="shared" ref="C1006:C1015" si="184">"78006233"</f>
        <v>78006233</v>
      </c>
      <c r="D1006">
        <v>89301062</v>
      </c>
      <c r="E1006" t="str">
        <f>"7812134484"</f>
        <v>7812134484</v>
      </c>
      <c r="F1006" s="1">
        <v>44929</v>
      </c>
      <c r="G1006" t="str">
        <f>"89713"</f>
        <v>89713</v>
      </c>
      <c r="H1006">
        <v>1</v>
      </c>
      <c r="I1006">
        <v>5411</v>
      </c>
      <c r="J1006">
        <v>0</v>
      </c>
      <c r="K1006" t="str">
        <f t="shared" si="183"/>
        <v>810</v>
      </c>
      <c r="L1006">
        <v>3517.15</v>
      </c>
    </row>
    <row r="1007" spans="1:12" x14ac:dyDescent="0.25">
      <c r="A1007" t="str">
        <f t="shared" si="174"/>
        <v>89301000</v>
      </c>
      <c r="B1007" t="str">
        <f t="shared" si="182"/>
        <v>78006000</v>
      </c>
      <c r="C1007" t="str">
        <f t="shared" si="184"/>
        <v>78006233</v>
      </c>
      <c r="D1007">
        <v>89301062</v>
      </c>
      <c r="E1007" t="str">
        <f>"7812134484"</f>
        <v>7812134484</v>
      </c>
      <c r="F1007" s="1">
        <v>44929</v>
      </c>
      <c r="G1007" t="str">
        <f>"89725"</f>
        <v>89725</v>
      </c>
      <c r="H1007">
        <v>1</v>
      </c>
      <c r="I1007">
        <v>2863</v>
      </c>
      <c r="J1007">
        <v>0</v>
      </c>
      <c r="K1007" t="str">
        <f t="shared" si="183"/>
        <v>810</v>
      </c>
      <c r="L1007">
        <v>1860.95</v>
      </c>
    </row>
    <row r="1008" spans="1:12" x14ac:dyDescent="0.25">
      <c r="A1008" t="str">
        <f t="shared" si="174"/>
        <v>89301000</v>
      </c>
      <c r="B1008" t="str">
        <f t="shared" si="182"/>
        <v>78006000</v>
      </c>
      <c r="C1008" t="str">
        <f t="shared" si="184"/>
        <v>78006233</v>
      </c>
      <c r="D1008">
        <v>89301062</v>
      </c>
      <c r="E1008" t="str">
        <f>"7812134484"</f>
        <v>7812134484</v>
      </c>
      <c r="F1008" s="1">
        <v>44929</v>
      </c>
      <c r="G1008" t="str">
        <f>"0207746"</f>
        <v>0207746</v>
      </c>
      <c r="H1008">
        <v>0.2</v>
      </c>
      <c r="J1008">
        <v>1727.02</v>
      </c>
      <c r="K1008" t="str">
        <f t="shared" si="183"/>
        <v>810</v>
      </c>
      <c r="L1008">
        <v>1727.02</v>
      </c>
    </row>
    <row r="1009" spans="1:12" x14ac:dyDescent="0.25">
      <c r="A1009" t="str">
        <f t="shared" si="174"/>
        <v>89301000</v>
      </c>
      <c r="B1009" t="str">
        <f t="shared" si="182"/>
        <v>78006000</v>
      </c>
      <c r="C1009" t="str">
        <f t="shared" si="184"/>
        <v>78006233</v>
      </c>
      <c r="D1009">
        <v>89301062</v>
      </c>
      <c r="E1009" t="str">
        <f>"6156030749"</f>
        <v>6156030749</v>
      </c>
      <c r="F1009" s="1">
        <v>44930</v>
      </c>
      <c r="G1009" t="str">
        <f>"89713"</f>
        <v>89713</v>
      </c>
      <c r="H1009">
        <v>1</v>
      </c>
      <c r="I1009">
        <v>5411</v>
      </c>
      <c r="J1009">
        <v>0</v>
      </c>
      <c r="K1009" t="str">
        <f t="shared" si="183"/>
        <v>810</v>
      </c>
      <c r="L1009">
        <v>3517.15</v>
      </c>
    </row>
    <row r="1010" spans="1:12" x14ac:dyDescent="0.25">
      <c r="A1010" t="str">
        <f t="shared" si="174"/>
        <v>89301000</v>
      </c>
      <c r="B1010" t="str">
        <f t="shared" si="182"/>
        <v>78006000</v>
      </c>
      <c r="C1010" t="str">
        <f t="shared" si="184"/>
        <v>78006233</v>
      </c>
      <c r="D1010">
        <v>89301062</v>
      </c>
      <c r="E1010" t="str">
        <f>"6156030749"</f>
        <v>6156030749</v>
      </c>
      <c r="F1010" s="1">
        <v>44930</v>
      </c>
      <c r="G1010" t="str">
        <f>"89725"</f>
        <v>89725</v>
      </c>
      <c r="H1010">
        <v>1</v>
      </c>
      <c r="I1010">
        <v>2863</v>
      </c>
      <c r="J1010">
        <v>0</v>
      </c>
      <c r="K1010" t="str">
        <f t="shared" si="183"/>
        <v>810</v>
      </c>
      <c r="L1010">
        <v>1860.95</v>
      </c>
    </row>
    <row r="1011" spans="1:12" x14ac:dyDescent="0.25">
      <c r="A1011" t="str">
        <f t="shared" si="174"/>
        <v>89301000</v>
      </c>
      <c r="B1011" t="str">
        <f t="shared" si="182"/>
        <v>78006000</v>
      </c>
      <c r="C1011" t="str">
        <f t="shared" si="184"/>
        <v>78006233</v>
      </c>
      <c r="D1011">
        <v>89301062</v>
      </c>
      <c r="E1011" t="str">
        <f>"6156030749"</f>
        <v>6156030749</v>
      </c>
      <c r="F1011" s="1">
        <v>44930</v>
      </c>
      <c r="G1011" t="str">
        <f>"89713"</f>
        <v>89713</v>
      </c>
      <c r="H1011">
        <v>1</v>
      </c>
      <c r="I1011">
        <v>5411</v>
      </c>
      <c r="J1011">
        <v>0</v>
      </c>
      <c r="K1011" t="str">
        <f t="shared" si="183"/>
        <v>810</v>
      </c>
      <c r="L1011">
        <v>3517.15</v>
      </c>
    </row>
    <row r="1012" spans="1:12" x14ac:dyDescent="0.25">
      <c r="A1012" t="str">
        <f t="shared" si="174"/>
        <v>89301000</v>
      </c>
      <c r="B1012" t="str">
        <f t="shared" si="182"/>
        <v>78006000</v>
      </c>
      <c r="C1012" t="str">
        <f t="shared" si="184"/>
        <v>78006233</v>
      </c>
      <c r="D1012">
        <v>89301062</v>
      </c>
      <c r="E1012" t="str">
        <f>"5505050650"</f>
        <v>5505050650</v>
      </c>
      <c r="F1012" s="1">
        <v>44950</v>
      </c>
      <c r="G1012" t="str">
        <f>"89713"</f>
        <v>89713</v>
      </c>
      <c r="H1012">
        <v>1</v>
      </c>
      <c r="I1012">
        <v>5411</v>
      </c>
      <c r="J1012">
        <v>0</v>
      </c>
      <c r="K1012" t="str">
        <f t="shared" si="183"/>
        <v>810</v>
      </c>
      <c r="L1012">
        <v>3517.15</v>
      </c>
    </row>
    <row r="1013" spans="1:12" x14ac:dyDescent="0.25">
      <c r="A1013" t="str">
        <f t="shared" si="174"/>
        <v>89301000</v>
      </c>
      <c r="B1013" t="str">
        <f t="shared" si="182"/>
        <v>78006000</v>
      </c>
      <c r="C1013" t="str">
        <f t="shared" si="184"/>
        <v>78006233</v>
      </c>
      <c r="D1013">
        <v>89301062</v>
      </c>
      <c r="E1013" t="str">
        <f>"5505050650"</f>
        <v>5505050650</v>
      </c>
      <c r="F1013" s="1">
        <v>44950</v>
      </c>
      <c r="G1013" t="str">
        <f>"89725"</f>
        <v>89725</v>
      </c>
      <c r="H1013">
        <v>1</v>
      </c>
      <c r="I1013">
        <v>2863</v>
      </c>
      <c r="J1013">
        <v>0</v>
      </c>
      <c r="K1013" t="str">
        <f t="shared" si="183"/>
        <v>810</v>
      </c>
      <c r="L1013">
        <v>1860.95</v>
      </c>
    </row>
    <row r="1014" spans="1:12" x14ac:dyDescent="0.25">
      <c r="A1014" t="str">
        <f t="shared" si="174"/>
        <v>89301000</v>
      </c>
      <c r="B1014" t="str">
        <f t="shared" si="182"/>
        <v>78006000</v>
      </c>
      <c r="C1014" t="str">
        <f t="shared" si="184"/>
        <v>78006233</v>
      </c>
      <c r="D1014">
        <v>89301062</v>
      </c>
      <c r="E1014" t="str">
        <f>"496001087"</f>
        <v>496001087</v>
      </c>
      <c r="F1014" s="1">
        <v>44957</v>
      </c>
      <c r="G1014" t="str">
        <f>"89713"</f>
        <v>89713</v>
      </c>
      <c r="H1014">
        <v>1</v>
      </c>
      <c r="I1014">
        <v>5411</v>
      </c>
      <c r="J1014">
        <v>0</v>
      </c>
      <c r="K1014" t="str">
        <f t="shared" si="183"/>
        <v>810</v>
      </c>
      <c r="L1014">
        <v>3517.15</v>
      </c>
    </row>
    <row r="1015" spans="1:12" x14ac:dyDescent="0.25">
      <c r="A1015" t="str">
        <f t="shared" si="174"/>
        <v>89301000</v>
      </c>
      <c r="B1015" t="str">
        <f t="shared" si="182"/>
        <v>78006000</v>
      </c>
      <c r="C1015" t="str">
        <f t="shared" si="184"/>
        <v>78006233</v>
      </c>
      <c r="D1015">
        <v>89301062</v>
      </c>
      <c r="E1015" t="str">
        <f>"496001087"</f>
        <v>496001087</v>
      </c>
      <c r="F1015" s="1">
        <v>44957</v>
      </c>
      <c r="G1015" t="str">
        <f>"89725"</f>
        <v>89725</v>
      </c>
      <c r="H1015">
        <v>1</v>
      </c>
      <c r="I1015">
        <v>2863</v>
      </c>
      <c r="J1015">
        <v>0</v>
      </c>
      <c r="K1015" t="str">
        <f t="shared" si="183"/>
        <v>810</v>
      </c>
      <c r="L1015">
        <v>1860.95</v>
      </c>
    </row>
    <row r="1016" spans="1:12" x14ac:dyDescent="0.25">
      <c r="A1016" t="str">
        <f t="shared" si="174"/>
        <v>89301000</v>
      </c>
      <c r="B1016" t="str">
        <f>"72932000"</f>
        <v>72932000</v>
      </c>
      <c r="C1016" t="str">
        <f>"72932050"</f>
        <v>72932050</v>
      </c>
      <c r="D1016">
        <v>89301034</v>
      </c>
      <c r="E1016" t="str">
        <f>"0358265721"</f>
        <v>0358265721</v>
      </c>
      <c r="F1016" s="1">
        <v>44937</v>
      </c>
      <c r="G1016" t="str">
        <f>"94225"</f>
        <v>94225</v>
      </c>
      <c r="H1016">
        <v>1</v>
      </c>
      <c r="I1016">
        <v>1208</v>
      </c>
      <c r="J1016">
        <v>0</v>
      </c>
      <c r="K1016" t="str">
        <f t="shared" ref="K1016:K1021" si="185">"816"</f>
        <v>816</v>
      </c>
      <c r="L1016">
        <v>1087.2</v>
      </c>
    </row>
    <row r="1017" spans="1:12" x14ac:dyDescent="0.25">
      <c r="A1017" t="str">
        <f t="shared" si="174"/>
        <v>89301000</v>
      </c>
      <c r="B1017" t="str">
        <f>"72932000"</f>
        <v>72932000</v>
      </c>
      <c r="C1017" t="str">
        <f>"72932050"</f>
        <v>72932050</v>
      </c>
      <c r="D1017">
        <v>89301034</v>
      </c>
      <c r="E1017" t="str">
        <f>"0358265721"</f>
        <v>0358265721</v>
      </c>
      <c r="F1017" s="1">
        <v>44937</v>
      </c>
      <c r="G1017" t="str">
        <f>"94956"</f>
        <v>94956</v>
      </c>
      <c r="H1017">
        <v>1</v>
      </c>
      <c r="I1017">
        <v>0</v>
      </c>
      <c r="J1017">
        <v>976</v>
      </c>
      <c r="K1017" t="str">
        <f t="shared" si="185"/>
        <v>816</v>
      </c>
      <c r="L1017">
        <v>976</v>
      </c>
    </row>
    <row r="1018" spans="1:12" x14ac:dyDescent="0.25">
      <c r="A1018" t="str">
        <f t="shared" si="174"/>
        <v>89301000</v>
      </c>
      <c r="B1018" t="str">
        <f t="shared" ref="B1018:B1025" si="186">"05002000"</f>
        <v>05002000</v>
      </c>
      <c r="C1018" t="str">
        <f>"05002141"</f>
        <v>05002141</v>
      </c>
      <c r="D1018">
        <v>89301282</v>
      </c>
      <c r="E1018" t="str">
        <f>"0308275715"</f>
        <v>0308275715</v>
      </c>
      <c r="F1018" s="1">
        <v>44950</v>
      </c>
      <c r="G1018" t="str">
        <f>"94345"</f>
        <v>94345</v>
      </c>
      <c r="H1018">
        <v>1</v>
      </c>
      <c r="I1018">
        <v>4662</v>
      </c>
      <c r="J1018">
        <v>0</v>
      </c>
      <c r="K1018" t="str">
        <f t="shared" si="185"/>
        <v>816</v>
      </c>
      <c r="L1018">
        <v>4195.8</v>
      </c>
    </row>
    <row r="1019" spans="1:12" x14ac:dyDescent="0.25">
      <c r="A1019" t="str">
        <f t="shared" si="174"/>
        <v>89301000</v>
      </c>
      <c r="B1019" t="str">
        <f t="shared" si="186"/>
        <v>05002000</v>
      </c>
      <c r="C1019" t="str">
        <f>"05002141"</f>
        <v>05002141</v>
      </c>
      <c r="D1019">
        <v>89301282</v>
      </c>
      <c r="E1019" t="str">
        <f>"0308275715"</f>
        <v>0308275715</v>
      </c>
      <c r="F1019" s="1">
        <v>44950</v>
      </c>
      <c r="G1019" t="str">
        <f>"94948"</f>
        <v>94948</v>
      </c>
      <c r="H1019">
        <v>1</v>
      </c>
      <c r="I1019">
        <v>0</v>
      </c>
      <c r="J1019">
        <v>0</v>
      </c>
      <c r="K1019" t="str">
        <f t="shared" si="185"/>
        <v>816</v>
      </c>
      <c r="L1019">
        <v>0</v>
      </c>
    </row>
    <row r="1020" spans="1:12" x14ac:dyDescent="0.25">
      <c r="A1020" t="str">
        <f t="shared" si="174"/>
        <v>89301000</v>
      </c>
      <c r="B1020" t="str">
        <f t="shared" si="186"/>
        <v>05002000</v>
      </c>
      <c r="C1020" t="str">
        <f>"05002141"</f>
        <v>05002141</v>
      </c>
      <c r="D1020">
        <v>89301282</v>
      </c>
      <c r="E1020" t="str">
        <f>"0308275715"</f>
        <v>0308275715</v>
      </c>
      <c r="F1020" s="1">
        <v>44950</v>
      </c>
      <c r="G1020" t="str">
        <f>"94984"</f>
        <v>94984</v>
      </c>
      <c r="H1020">
        <v>1</v>
      </c>
      <c r="I1020">
        <v>0</v>
      </c>
      <c r="J1020">
        <v>57200</v>
      </c>
      <c r="K1020" t="str">
        <f t="shared" si="185"/>
        <v>816</v>
      </c>
      <c r="L1020">
        <v>57200</v>
      </c>
    </row>
    <row r="1021" spans="1:12" x14ac:dyDescent="0.25">
      <c r="A1021" t="str">
        <f t="shared" si="174"/>
        <v>89301000</v>
      </c>
      <c r="B1021" t="str">
        <f t="shared" si="186"/>
        <v>05002000</v>
      </c>
      <c r="C1021" t="str">
        <f>"05002141"</f>
        <v>05002141</v>
      </c>
      <c r="D1021">
        <v>89301282</v>
      </c>
      <c r="E1021" t="str">
        <f>"0308275715"</f>
        <v>0308275715</v>
      </c>
      <c r="F1021" s="1">
        <v>44950</v>
      </c>
      <c r="G1021" t="str">
        <f>"94996"</f>
        <v>94996</v>
      </c>
      <c r="H1021">
        <v>1</v>
      </c>
      <c r="I1021">
        <v>0</v>
      </c>
      <c r="J1021">
        <v>0</v>
      </c>
      <c r="K1021" t="str">
        <f t="shared" si="185"/>
        <v>816</v>
      </c>
      <c r="L1021">
        <v>0</v>
      </c>
    </row>
    <row r="1022" spans="1:12" x14ac:dyDescent="0.25">
      <c r="A1022" t="str">
        <f t="shared" si="174"/>
        <v>89301000</v>
      </c>
      <c r="B1022" t="str">
        <f t="shared" si="186"/>
        <v>05002000</v>
      </c>
      <c r="C1022" t="str">
        <f>"05002397"</f>
        <v>05002397</v>
      </c>
      <c r="D1022">
        <v>89301109</v>
      </c>
      <c r="E1022" t="str">
        <f>"0653313265"</f>
        <v>0653313265</v>
      </c>
      <c r="F1022" s="1">
        <v>44950</v>
      </c>
      <c r="G1022" t="str">
        <f>"94225"</f>
        <v>94225</v>
      </c>
      <c r="H1022">
        <v>2</v>
      </c>
      <c r="I1022">
        <v>2416</v>
      </c>
      <c r="J1022">
        <v>0</v>
      </c>
      <c r="K1022" t="str">
        <f>"818"</f>
        <v>818</v>
      </c>
      <c r="L1022">
        <v>2343.52</v>
      </c>
    </row>
    <row r="1023" spans="1:12" x14ac:dyDescent="0.25">
      <c r="A1023" t="str">
        <f t="shared" si="174"/>
        <v>89301000</v>
      </c>
      <c r="B1023" t="str">
        <f t="shared" si="186"/>
        <v>05002000</v>
      </c>
      <c r="C1023" t="str">
        <f>"05002397"</f>
        <v>05002397</v>
      </c>
      <c r="D1023">
        <v>89301109</v>
      </c>
      <c r="E1023" t="str">
        <f>"0653313265"</f>
        <v>0653313265</v>
      </c>
      <c r="F1023" s="1">
        <v>44950</v>
      </c>
      <c r="G1023" t="str">
        <f>"94195"</f>
        <v>94195</v>
      </c>
      <c r="H1023">
        <v>1</v>
      </c>
      <c r="I1023">
        <v>384</v>
      </c>
      <c r="J1023">
        <v>0</v>
      </c>
      <c r="K1023" t="str">
        <f>"818"</f>
        <v>818</v>
      </c>
      <c r="L1023">
        <v>372.48</v>
      </c>
    </row>
    <row r="1024" spans="1:12" x14ac:dyDescent="0.25">
      <c r="A1024" t="str">
        <f t="shared" si="174"/>
        <v>89301000</v>
      </c>
      <c r="B1024" t="str">
        <f t="shared" si="186"/>
        <v>05002000</v>
      </c>
      <c r="C1024" t="str">
        <f>"05002397"</f>
        <v>05002397</v>
      </c>
      <c r="D1024">
        <v>89301109</v>
      </c>
      <c r="E1024" t="str">
        <f>"0653313265"</f>
        <v>0653313265</v>
      </c>
      <c r="F1024" s="1">
        <v>44950</v>
      </c>
      <c r="G1024" t="str">
        <f>"94337"</f>
        <v>94337</v>
      </c>
      <c r="H1024">
        <v>3</v>
      </c>
      <c r="I1024">
        <v>26997</v>
      </c>
      <c r="J1024">
        <v>0</v>
      </c>
      <c r="K1024" t="str">
        <f>"818"</f>
        <v>818</v>
      </c>
      <c r="L1024">
        <v>26187.09</v>
      </c>
    </row>
    <row r="1025" spans="1:12" x14ac:dyDescent="0.25">
      <c r="A1025" t="str">
        <f t="shared" si="174"/>
        <v>89301000</v>
      </c>
      <c r="B1025" t="str">
        <f t="shared" si="186"/>
        <v>05002000</v>
      </c>
      <c r="C1025" t="str">
        <f>"05002141"</f>
        <v>05002141</v>
      </c>
      <c r="D1025">
        <v>89301282</v>
      </c>
      <c r="E1025" t="str">
        <f>"8406285371"</f>
        <v>8406285371</v>
      </c>
      <c r="F1025" s="1">
        <v>44944</v>
      </c>
      <c r="G1025" t="str">
        <f>"94351"</f>
        <v>94351</v>
      </c>
      <c r="H1025">
        <v>2</v>
      </c>
      <c r="I1025">
        <v>3460</v>
      </c>
      <c r="J1025">
        <v>0</v>
      </c>
      <c r="K1025" t="str">
        <f>"816"</f>
        <v>816</v>
      </c>
      <c r="L1025">
        <v>3114</v>
      </c>
    </row>
    <row r="1026" spans="1:12" x14ac:dyDescent="0.25">
      <c r="A1026" t="str">
        <f t="shared" ref="A1026:A1089" si="187">"89301000"</f>
        <v>89301000</v>
      </c>
      <c r="B1026" t="str">
        <f>"06223000"</f>
        <v>06223000</v>
      </c>
      <c r="C1026" t="str">
        <f>"06223043"</f>
        <v>06223043</v>
      </c>
      <c r="D1026">
        <v>89301122</v>
      </c>
      <c r="E1026" t="str">
        <f>"7952214468"</f>
        <v>7952214468</v>
      </c>
      <c r="F1026" s="1">
        <v>44946</v>
      </c>
      <c r="G1026" t="str">
        <f>"81485"</f>
        <v>81485</v>
      </c>
      <c r="H1026">
        <v>1</v>
      </c>
      <c r="I1026">
        <v>461</v>
      </c>
      <c r="J1026">
        <v>0</v>
      </c>
      <c r="K1026" t="str">
        <f>"801"</f>
        <v>801</v>
      </c>
      <c r="L1026">
        <v>387.24</v>
      </c>
    </row>
    <row r="1027" spans="1:12" x14ac:dyDescent="0.25">
      <c r="A1027" t="str">
        <f t="shared" si="187"/>
        <v>89301000</v>
      </c>
      <c r="B1027" t="str">
        <f>"06223000"</f>
        <v>06223000</v>
      </c>
      <c r="C1027" t="str">
        <f>"06223043"</f>
        <v>06223043</v>
      </c>
      <c r="D1027">
        <v>89301122</v>
      </c>
      <c r="E1027" t="str">
        <f>"7804195795"</f>
        <v>7804195795</v>
      </c>
      <c r="F1027" s="1">
        <v>44928</v>
      </c>
      <c r="G1027" t="str">
        <f>"81485"</f>
        <v>81485</v>
      </c>
      <c r="H1027">
        <v>1</v>
      </c>
      <c r="I1027">
        <v>461</v>
      </c>
      <c r="J1027">
        <v>0</v>
      </c>
      <c r="K1027" t="str">
        <f>"801"</f>
        <v>801</v>
      </c>
      <c r="L1027">
        <v>387.24</v>
      </c>
    </row>
    <row r="1028" spans="1:12" x14ac:dyDescent="0.25">
      <c r="A1028" t="str">
        <f t="shared" si="187"/>
        <v>89301000</v>
      </c>
      <c r="B1028" t="str">
        <f>"06223000"</f>
        <v>06223000</v>
      </c>
      <c r="C1028" t="str">
        <f>"06223043"</f>
        <v>06223043</v>
      </c>
      <c r="D1028">
        <v>89301122</v>
      </c>
      <c r="E1028" t="str">
        <f>"5660071868"</f>
        <v>5660071868</v>
      </c>
      <c r="F1028" s="1">
        <v>44946</v>
      </c>
      <c r="G1028" t="str">
        <f>"81485"</f>
        <v>81485</v>
      </c>
      <c r="H1028">
        <v>1</v>
      </c>
      <c r="I1028">
        <v>461</v>
      </c>
      <c r="J1028">
        <v>0</v>
      </c>
      <c r="K1028" t="str">
        <f>"801"</f>
        <v>801</v>
      </c>
      <c r="L1028">
        <v>387.24</v>
      </c>
    </row>
    <row r="1029" spans="1:12" x14ac:dyDescent="0.25">
      <c r="A1029" t="str">
        <f t="shared" si="187"/>
        <v>89301000</v>
      </c>
      <c r="B1029" t="str">
        <f>"06223000"</f>
        <v>06223000</v>
      </c>
      <c r="C1029" t="str">
        <f>"06223043"</f>
        <v>06223043</v>
      </c>
      <c r="D1029">
        <v>89301122</v>
      </c>
      <c r="E1029" t="str">
        <f>"7503294458"</f>
        <v>7503294458</v>
      </c>
      <c r="F1029" s="1">
        <v>44946</v>
      </c>
      <c r="G1029" t="str">
        <f>"81485"</f>
        <v>81485</v>
      </c>
      <c r="H1029">
        <v>1</v>
      </c>
      <c r="I1029">
        <v>461</v>
      </c>
      <c r="J1029">
        <v>0</v>
      </c>
      <c r="K1029" t="str">
        <f>"801"</f>
        <v>801</v>
      </c>
      <c r="L1029">
        <v>387.24</v>
      </c>
    </row>
    <row r="1030" spans="1:12" x14ac:dyDescent="0.25">
      <c r="A1030" t="str">
        <f t="shared" si="187"/>
        <v>89301000</v>
      </c>
      <c r="B1030" t="str">
        <f>"06223000"</f>
        <v>06223000</v>
      </c>
      <c r="C1030" t="str">
        <f>"06223043"</f>
        <v>06223043</v>
      </c>
      <c r="D1030">
        <v>89301122</v>
      </c>
      <c r="E1030" t="str">
        <f>"6560041499"</f>
        <v>6560041499</v>
      </c>
      <c r="F1030" s="1">
        <v>44946</v>
      </c>
      <c r="G1030" t="str">
        <f>"81485"</f>
        <v>81485</v>
      </c>
      <c r="H1030">
        <v>1</v>
      </c>
      <c r="I1030">
        <v>461</v>
      </c>
      <c r="J1030">
        <v>0</v>
      </c>
      <c r="K1030" t="str">
        <f>"801"</f>
        <v>801</v>
      </c>
      <c r="L1030">
        <v>387.24</v>
      </c>
    </row>
    <row r="1031" spans="1:12" x14ac:dyDescent="0.25">
      <c r="A1031" t="str">
        <f t="shared" si="187"/>
        <v>89301000</v>
      </c>
      <c r="B1031" t="str">
        <f>"95498000"</f>
        <v>95498000</v>
      </c>
      <c r="C1031" t="str">
        <f>"95498001"</f>
        <v>95498001</v>
      </c>
      <c r="D1031">
        <v>89301212</v>
      </c>
      <c r="E1031" t="str">
        <f>"7660115793"</f>
        <v>7660115793</v>
      </c>
      <c r="F1031" s="1">
        <v>44964</v>
      </c>
      <c r="G1031" t="str">
        <f>"89513"</f>
        <v>89513</v>
      </c>
      <c r="H1031">
        <v>1</v>
      </c>
      <c r="I1031">
        <v>378</v>
      </c>
      <c r="J1031">
        <v>0</v>
      </c>
      <c r="K1031" t="str">
        <f t="shared" ref="K1031:K1062" si="188">"809"</f>
        <v>809</v>
      </c>
      <c r="L1031">
        <v>555.66</v>
      </c>
    </row>
    <row r="1032" spans="1:12" x14ac:dyDescent="0.25">
      <c r="A1032" t="str">
        <f t="shared" si="187"/>
        <v>89301000</v>
      </c>
      <c r="B1032" t="str">
        <f>"95498000"</f>
        <v>95498000</v>
      </c>
      <c r="C1032" t="str">
        <f>"95498001"</f>
        <v>95498001</v>
      </c>
      <c r="D1032">
        <v>89301212</v>
      </c>
      <c r="E1032" t="str">
        <f>"7660115793"</f>
        <v>7660115793</v>
      </c>
      <c r="F1032" s="1">
        <v>44964</v>
      </c>
      <c r="G1032" t="str">
        <f>"89514"</f>
        <v>89514</v>
      </c>
      <c r="H1032">
        <v>1</v>
      </c>
      <c r="I1032">
        <v>378</v>
      </c>
      <c r="J1032">
        <v>0</v>
      </c>
      <c r="K1032" t="str">
        <f t="shared" si="188"/>
        <v>809</v>
      </c>
      <c r="L1032">
        <v>555.66</v>
      </c>
    </row>
    <row r="1033" spans="1:12" x14ac:dyDescent="0.25">
      <c r="A1033" t="str">
        <f t="shared" si="187"/>
        <v>89301000</v>
      </c>
      <c r="B1033" t="str">
        <f>"92327000"</f>
        <v>92327000</v>
      </c>
      <c r="C1033" t="str">
        <f>"92327000"</f>
        <v>92327000</v>
      </c>
      <c r="D1033">
        <v>89301037</v>
      </c>
      <c r="E1033" t="str">
        <f>"6756140996"</f>
        <v>6756140996</v>
      </c>
      <c r="F1033" s="1">
        <v>44984</v>
      </c>
      <c r="G1033" t="str">
        <f>"89131"</f>
        <v>89131</v>
      </c>
      <c r="H1033">
        <v>1</v>
      </c>
      <c r="I1033">
        <v>190</v>
      </c>
      <c r="J1033">
        <v>0</v>
      </c>
      <c r="K1033" t="str">
        <f t="shared" si="188"/>
        <v>809</v>
      </c>
      <c r="L1033">
        <v>279.3</v>
      </c>
    </row>
    <row r="1034" spans="1:12" x14ac:dyDescent="0.25">
      <c r="A1034" t="str">
        <f t="shared" si="187"/>
        <v>89301000</v>
      </c>
      <c r="B1034" t="str">
        <f t="shared" ref="B1034:B1065" si="189">"78915000"</f>
        <v>78915000</v>
      </c>
      <c r="C1034" t="str">
        <f t="shared" ref="C1034:C1065" si="190">"78915001"</f>
        <v>78915001</v>
      </c>
      <c r="D1034">
        <v>89301112</v>
      </c>
      <c r="E1034" t="str">
        <f>"0009245764"</f>
        <v>0009245764</v>
      </c>
      <c r="F1034" s="1">
        <v>44972</v>
      </c>
      <c r="G1034" t="str">
        <f>"09567"</f>
        <v>09567</v>
      </c>
      <c r="H1034">
        <v>1</v>
      </c>
      <c r="I1034">
        <v>0</v>
      </c>
      <c r="J1034">
        <v>0</v>
      </c>
      <c r="K1034" t="str">
        <f t="shared" si="188"/>
        <v>809</v>
      </c>
      <c r="L1034">
        <v>0</v>
      </c>
    </row>
    <row r="1035" spans="1:12" x14ac:dyDescent="0.25">
      <c r="A1035" t="str">
        <f t="shared" si="187"/>
        <v>89301000</v>
      </c>
      <c r="B1035" t="str">
        <f t="shared" si="189"/>
        <v>78915000</v>
      </c>
      <c r="C1035" t="str">
        <f t="shared" si="190"/>
        <v>78915001</v>
      </c>
      <c r="D1035">
        <v>89301112</v>
      </c>
      <c r="E1035" t="str">
        <f>"0009245764"</f>
        <v>0009245764</v>
      </c>
      <c r="F1035" s="1">
        <v>44972</v>
      </c>
      <c r="G1035" t="str">
        <f>"89713"</f>
        <v>89713</v>
      </c>
      <c r="H1035">
        <v>1</v>
      </c>
      <c r="I1035">
        <v>5411</v>
      </c>
      <c r="J1035">
        <v>0</v>
      </c>
      <c r="K1035" t="str">
        <f t="shared" si="188"/>
        <v>809</v>
      </c>
      <c r="L1035">
        <v>3517.15</v>
      </c>
    </row>
    <row r="1036" spans="1:12" x14ac:dyDescent="0.25">
      <c r="A1036" t="str">
        <f t="shared" si="187"/>
        <v>89301000</v>
      </c>
      <c r="B1036" t="str">
        <f t="shared" si="189"/>
        <v>78915000</v>
      </c>
      <c r="C1036" t="str">
        <f t="shared" si="190"/>
        <v>78915001</v>
      </c>
      <c r="D1036">
        <v>89301112</v>
      </c>
      <c r="E1036" t="str">
        <f>"1010011618"</f>
        <v>1010011618</v>
      </c>
      <c r="F1036" s="1">
        <v>44963</v>
      </c>
      <c r="G1036" t="str">
        <f>"09567"</f>
        <v>09567</v>
      </c>
      <c r="H1036">
        <v>1</v>
      </c>
      <c r="I1036">
        <v>0</v>
      </c>
      <c r="J1036">
        <v>0</v>
      </c>
      <c r="K1036" t="str">
        <f t="shared" si="188"/>
        <v>809</v>
      </c>
      <c r="L1036">
        <v>0</v>
      </c>
    </row>
    <row r="1037" spans="1:12" x14ac:dyDescent="0.25">
      <c r="A1037" t="str">
        <f t="shared" si="187"/>
        <v>89301000</v>
      </c>
      <c r="B1037" t="str">
        <f t="shared" si="189"/>
        <v>78915000</v>
      </c>
      <c r="C1037" t="str">
        <f t="shared" si="190"/>
        <v>78915001</v>
      </c>
      <c r="D1037">
        <v>89301112</v>
      </c>
      <c r="E1037" t="str">
        <f>"1010011618"</f>
        <v>1010011618</v>
      </c>
      <c r="F1037" s="1">
        <v>44963</v>
      </c>
      <c r="G1037" t="str">
        <f>"89713"</f>
        <v>89713</v>
      </c>
      <c r="H1037">
        <v>1</v>
      </c>
      <c r="I1037">
        <v>5411</v>
      </c>
      <c r="J1037">
        <v>0</v>
      </c>
      <c r="K1037" t="str">
        <f t="shared" si="188"/>
        <v>809</v>
      </c>
      <c r="L1037">
        <v>3517.15</v>
      </c>
    </row>
    <row r="1038" spans="1:12" x14ac:dyDescent="0.25">
      <c r="A1038" t="str">
        <f t="shared" si="187"/>
        <v>89301000</v>
      </c>
      <c r="B1038" t="str">
        <f t="shared" si="189"/>
        <v>78915000</v>
      </c>
      <c r="C1038" t="str">
        <f t="shared" si="190"/>
        <v>78915001</v>
      </c>
      <c r="D1038">
        <v>89301062</v>
      </c>
      <c r="E1038" t="str">
        <f>"415801428"</f>
        <v>415801428</v>
      </c>
      <c r="F1038" s="1">
        <v>44980</v>
      </c>
      <c r="G1038" t="str">
        <f>"89713"</f>
        <v>89713</v>
      </c>
      <c r="H1038">
        <v>2</v>
      </c>
      <c r="I1038">
        <v>10822</v>
      </c>
      <c r="J1038">
        <v>0</v>
      </c>
      <c r="K1038" t="str">
        <f t="shared" si="188"/>
        <v>809</v>
      </c>
      <c r="L1038">
        <v>7034.3</v>
      </c>
    </row>
    <row r="1039" spans="1:12" x14ac:dyDescent="0.25">
      <c r="A1039" t="str">
        <f t="shared" si="187"/>
        <v>89301000</v>
      </c>
      <c r="B1039" t="str">
        <f t="shared" si="189"/>
        <v>78915000</v>
      </c>
      <c r="C1039" t="str">
        <f t="shared" si="190"/>
        <v>78915001</v>
      </c>
      <c r="D1039">
        <v>89301062</v>
      </c>
      <c r="E1039" t="str">
        <f>"445922474"</f>
        <v>445922474</v>
      </c>
      <c r="F1039" s="1">
        <v>44958</v>
      </c>
      <c r="G1039" t="str">
        <f>"89713"</f>
        <v>89713</v>
      </c>
      <c r="H1039">
        <v>1</v>
      </c>
      <c r="I1039">
        <v>5411</v>
      </c>
      <c r="J1039">
        <v>0</v>
      </c>
      <c r="K1039" t="str">
        <f t="shared" si="188"/>
        <v>809</v>
      </c>
      <c r="L1039">
        <v>3517.15</v>
      </c>
    </row>
    <row r="1040" spans="1:12" x14ac:dyDescent="0.25">
      <c r="A1040" t="str">
        <f t="shared" si="187"/>
        <v>89301000</v>
      </c>
      <c r="B1040" t="str">
        <f t="shared" si="189"/>
        <v>78915000</v>
      </c>
      <c r="C1040" t="str">
        <f t="shared" si="190"/>
        <v>78915001</v>
      </c>
      <c r="D1040">
        <v>89301062</v>
      </c>
      <c r="E1040" t="str">
        <f>"445922474"</f>
        <v>445922474</v>
      </c>
      <c r="F1040" s="1">
        <v>44958</v>
      </c>
      <c r="G1040" t="str">
        <f>"89725"</f>
        <v>89725</v>
      </c>
      <c r="H1040">
        <v>1</v>
      </c>
      <c r="I1040">
        <v>2863</v>
      </c>
      <c r="J1040">
        <v>0</v>
      </c>
      <c r="K1040" t="str">
        <f t="shared" si="188"/>
        <v>809</v>
      </c>
      <c r="L1040">
        <v>1860.95</v>
      </c>
    </row>
    <row r="1041" spans="1:12" x14ac:dyDescent="0.25">
      <c r="A1041" t="str">
        <f t="shared" si="187"/>
        <v>89301000</v>
      </c>
      <c r="B1041" t="str">
        <f t="shared" si="189"/>
        <v>78915000</v>
      </c>
      <c r="C1041" t="str">
        <f t="shared" si="190"/>
        <v>78915001</v>
      </c>
      <c r="D1041">
        <v>89301062</v>
      </c>
      <c r="E1041" t="str">
        <f>"5705181735"</f>
        <v>5705181735</v>
      </c>
      <c r="F1041" s="1">
        <v>44958</v>
      </c>
      <c r="G1041" t="str">
        <f>"09569"</f>
        <v>09569</v>
      </c>
      <c r="H1041">
        <v>1</v>
      </c>
      <c r="I1041">
        <v>0</v>
      </c>
      <c r="J1041">
        <v>0</v>
      </c>
      <c r="K1041" t="str">
        <f t="shared" si="188"/>
        <v>809</v>
      </c>
      <c r="L1041">
        <v>0</v>
      </c>
    </row>
    <row r="1042" spans="1:12" x14ac:dyDescent="0.25">
      <c r="A1042" t="str">
        <f t="shared" si="187"/>
        <v>89301000</v>
      </c>
      <c r="B1042" t="str">
        <f t="shared" si="189"/>
        <v>78915000</v>
      </c>
      <c r="C1042" t="str">
        <f t="shared" si="190"/>
        <v>78915001</v>
      </c>
      <c r="D1042">
        <v>89301062</v>
      </c>
      <c r="E1042" t="str">
        <f>"5705181735"</f>
        <v>5705181735</v>
      </c>
      <c r="F1042" s="1">
        <v>44958</v>
      </c>
      <c r="G1042" t="str">
        <f>"89713"</f>
        <v>89713</v>
      </c>
      <c r="H1042">
        <v>2</v>
      </c>
      <c r="I1042">
        <v>10822</v>
      </c>
      <c r="J1042">
        <v>0</v>
      </c>
      <c r="K1042" t="str">
        <f t="shared" si="188"/>
        <v>809</v>
      </c>
      <c r="L1042">
        <v>7034.3</v>
      </c>
    </row>
    <row r="1043" spans="1:12" x14ac:dyDescent="0.25">
      <c r="A1043" t="str">
        <f t="shared" si="187"/>
        <v>89301000</v>
      </c>
      <c r="B1043" t="str">
        <f t="shared" si="189"/>
        <v>78915000</v>
      </c>
      <c r="C1043" t="str">
        <f t="shared" si="190"/>
        <v>78915001</v>
      </c>
      <c r="D1043">
        <v>89301171</v>
      </c>
      <c r="E1043" t="str">
        <f>"5806160613"</f>
        <v>5806160613</v>
      </c>
      <c r="F1043" s="1">
        <v>44966</v>
      </c>
      <c r="G1043" t="str">
        <f>"89713"</f>
        <v>89713</v>
      </c>
      <c r="H1043">
        <v>1</v>
      </c>
      <c r="I1043">
        <v>5411</v>
      </c>
      <c r="J1043">
        <v>0</v>
      </c>
      <c r="K1043" t="str">
        <f t="shared" si="188"/>
        <v>809</v>
      </c>
      <c r="L1043">
        <v>3517.15</v>
      </c>
    </row>
    <row r="1044" spans="1:12" x14ac:dyDescent="0.25">
      <c r="A1044" t="str">
        <f t="shared" si="187"/>
        <v>89301000</v>
      </c>
      <c r="B1044" t="str">
        <f t="shared" si="189"/>
        <v>78915000</v>
      </c>
      <c r="C1044" t="str">
        <f t="shared" si="190"/>
        <v>78915001</v>
      </c>
      <c r="D1044">
        <v>89301171</v>
      </c>
      <c r="E1044" t="str">
        <f>"5806160613"</f>
        <v>5806160613</v>
      </c>
      <c r="F1044" s="1">
        <v>44966</v>
      </c>
      <c r="G1044" t="str">
        <f>"89725"</f>
        <v>89725</v>
      </c>
      <c r="H1044">
        <v>1</v>
      </c>
      <c r="I1044">
        <v>2863</v>
      </c>
      <c r="J1044">
        <v>0</v>
      </c>
      <c r="K1044" t="str">
        <f t="shared" si="188"/>
        <v>809</v>
      </c>
      <c r="L1044">
        <v>1860.95</v>
      </c>
    </row>
    <row r="1045" spans="1:12" x14ac:dyDescent="0.25">
      <c r="A1045" t="str">
        <f t="shared" si="187"/>
        <v>89301000</v>
      </c>
      <c r="B1045" t="str">
        <f t="shared" si="189"/>
        <v>78915000</v>
      </c>
      <c r="C1045" t="str">
        <f t="shared" si="190"/>
        <v>78915001</v>
      </c>
      <c r="D1045">
        <v>89301112</v>
      </c>
      <c r="E1045" t="str">
        <f>"5855040708"</f>
        <v>5855040708</v>
      </c>
      <c r="F1045" s="1">
        <v>44977</v>
      </c>
      <c r="G1045" t="str">
        <f>"09567"</f>
        <v>09567</v>
      </c>
      <c r="H1045">
        <v>1</v>
      </c>
      <c r="I1045">
        <v>0</v>
      </c>
      <c r="J1045">
        <v>0</v>
      </c>
      <c r="K1045" t="str">
        <f t="shared" si="188"/>
        <v>809</v>
      </c>
      <c r="L1045">
        <v>0</v>
      </c>
    </row>
    <row r="1046" spans="1:12" x14ac:dyDescent="0.25">
      <c r="A1046" t="str">
        <f t="shared" si="187"/>
        <v>89301000</v>
      </c>
      <c r="B1046" t="str">
        <f t="shared" si="189"/>
        <v>78915000</v>
      </c>
      <c r="C1046" t="str">
        <f t="shared" si="190"/>
        <v>78915001</v>
      </c>
      <c r="D1046">
        <v>89301112</v>
      </c>
      <c r="E1046" t="str">
        <f>"5855040708"</f>
        <v>5855040708</v>
      </c>
      <c r="F1046" s="1">
        <v>44977</v>
      </c>
      <c r="G1046" t="str">
        <f>"89713"</f>
        <v>89713</v>
      </c>
      <c r="H1046">
        <v>1</v>
      </c>
      <c r="I1046">
        <v>5411</v>
      </c>
      <c r="J1046">
        <v>0</v>
      </c>
      <c r="K1046" t="str">
        <f t="shared" si="188"/>
        <v>809</v>
      </c>
      <c r="L1046">
        <v>3517.15</v>
      </c>
    </row>
    <row r="1047" spans="1:12" x14ac:dyDescent="0.25">
      <c r="A1047" t="str">
        <f t="shared" si="187"/>
        <v>89301000</v>
      </c>
      <c r="B1047" t="str">
        <f t="shared" si="189"/>
        <v>78915000</v>
      </c>
      <c r="C1047" t="str">
        <f t="shared" si="190"/>
        <v>78915001</v>
      </c>
      <c r="D1047">
        <v>89301212</v>
      </c>
      <c r="E1047" t="str">
        <f>"5958051473"</f>
        <v>5958051473</v>
      </c>
      <c r="F1047" s="1">
        <v>44979</v>
      </c>
      <c r="G1047" t="str">
        <f>"89715"</f>
        <v>89715</v>
      </c>
      <c r="H1047">
        <v>1</v>
      </c>
      <c r="I1047">
        <v>5523</v>
      </c>
      <c r="J1047">
        <v>0</v>
      </c>
      <c r="K1047" t="str">
        <f t="shared" si="188"/>
        <v>809</v>
      </c>
      <c r="L1047">
        <v>3589.95</v>
      </c>
    </row>
    <row r="1048" spans="1:12" x14ac:dyDescent="0.25">
      <c r="A1048" t="str">
        <f t="shared" si="187"/>
        <v>89301000</v>
      </c>
      <c r="B1048" t="str">
        <f t="shared" si="189"/>
        <v>78915000</v>
      </c>
      <c r="C1048" t="str">
        <f t="shared" si="190"/>
        <v>78915001</v>
      </c>
      <c r="D1048">
        <v>89301212</v>
      </c>
      <c r="E1048" t="str">
        <f>"5958051473"</f>
        <v>5958051473</v>
      </c>
      <c r="F1048" s="1">
        <v>44979</v>
      </c>
      <c r="G1048" t="str">
        <f>"89725"</f>
        <v>89725</v>
      </c>
      <c r="H1048">
        <v>1</v>
      </c>
      <c r="I1048">
        <v>2863</v>
      </c>
      <c r="J1048">
        <v>0</v>
      </c>
      <c r="K1048" t="str">
        <f t="shared" si="188"/>
        <v>809</v>
      </c>
      <c r="L1048">
        <v>1860.95</v>
      </c>
    </row>
    <row r="1049" spans="1:12" x14ac:dyDescent="0.25">
      <c r="A1049" t="str">
        <f t="shared" si="187"/>
        <v>89301000</v>
      </c>
      <c r="B1049" t="str">
        <f t="shared" si="189"/>
        <v>78915000</v>
      </c>
      <c r="C1049" t="str">
        <f t="shared" si="190"/>
        <v>78915001</v>
      </c>
      <c r="D1049">
        <v>89301212</v>
      </c>
      <c r="E1049" t="str">
        <f>"5958051473"</f>
        <v>5958051473</v>
      </c>
      <c r="F1049" s="1">
        <v>44979</v>
      </c>
      <c r="G1049" t="str">
        <f>"0207733"</f>
        <v>0207733</v>
      </c>
      <c r="H1049">
        <v>1</v>
      </c>
      <c r="J1049">
        <v>2590.5300000000002</v>
      </c>
      <c r="K1049" t="str">
        <f t="shared" si="188"/>
        <v>809</v>
      </c>
      <c r="L1049">
        <v>2590.5300000000002</v>
      </c>
    </row>
    <row r="1050" spans="1:12" x14ac:dyDescent="0.25">
      <c r="A1050" t="str">
        <f t="shared" si="187"/>
        <v>89301000</v>
      </c>
      <c r="B1050" t="str">
        <f t="shared" si="189"/>
        <v>78915000</v>
      </c>
      <c r="C1050" t="str">
        <f t="shared" si="190"/>
        <v>78915001</v>
      </c>
      <c r="D1050">
        <v>89301212</v>
      </c>
      <c r="E1050" t="str">
        <f>"5960041835"</f>
        <v>5960041835</v>
      </c>
      <c r="F1050" s="1">
        <v>44979</v>
      </c>
      <c r="G1050" t="str">
        <f>"89715"</f>
        <v>89715</v>
      </c>
      <c r="H1050">
        <v>1</v>
      </c>
      <c r="I1050">
        <v>5523</v>
      </c>
      <c r="J1050">
        <v>0</v>
      </c>
      <c r="K1050" t="str">
        <f t="shared" si="188"/>
        <v>809</v>
      </c>
      <c r="L1050">
        <v>3589.95</v>
      </c>
    </row>
    <row r="1051" spans="1:12" x14ac:dyDescent="0.25">
      <c r="A1051" t="str">
        <f t="shared" si="187"/>
        <v>89301000</v>
      </c>
      <c r="B1051" t="str">
        <f t="shared" si="189"/>
        <v>78915000</v>
      </c>
      <c r="C1051" t="str">
        <f t="shared" si="190"/>
        <v>78915001</v>
      </c>
      <c r="D1051">
        <v>89301212</v>
      </c>
      <c r="E1051" t="str">
        <f>"5960041835"</f>
        <v>5960041835</v>
      </c>
      <c r="F1051" s="1">
        <v>44979</v>
      </c>
      <c r="G1051" t="str">
        <f>"89725"</f>
        <v>89725</v>
      </c>
      <c r="H1051">
        <v>1</v>
      </c>
      <c r="I1051">
        <v>2863</v>
      </c>
      <c r="J1051">
        <v>0</v>
      </c>
      <c r="K1051" t="str">
        <f t="shared" si="188"/>
        <v>809</v>
      </c>
      <c r="L1051">
        <v>1860.95</v>
      </c>
    </row>
    <row r="1052" spans="1:12" x14ac:dyDescent="0.25">
      <c r="A1052" t="str">
        <f t="shared" si="187"/>
        <v>89301000</v>
      </c>
      <c r="B1052" t="str">
        <f t="shared" si="189"/>
        <v>78915000</v>
      </c>
      <c r="C1052" t="str">
        <f t="shared" si="190"/>
        <v>78915001</v>
      </c>
      <c r="D1052">
        <v>89301212</v>
      </c>
      <c r="E1052" t="str">
        <f>"5960041835"</f>
        <v>5960041835</v>
      </c>
      <c r="F1052" s="1">
        <v>44979</v>
      </c>
      <c r="G1052" t="str">
        <f>"0207733"</f>
        <v>0207733</v>
      </c>
      <c r="H1052">
        <v>1</v>
      </c>
      <c r="J1052">
        <v>2590.5300000000002</v>
      </c>
      <c r="K1052" t="str">
        <f t="shared" si="188"/>
        <v>809</v>
      </c>
      <c r="L1052">
        <v>2590.5300000000002</v>
      </c>
    </row>
    <row r="1053" spans="1:12" x14ac:dyDescent="0.25">
      <c r="A1053" t="str">
        <f t="shared" si="187"/>
        <v>89301000</v>
      </c>
      <c r="B1053" t="str">
        <f t="shared" si="189"/>
        <v>78915000</v>
      </c>
      <c r="C1053" t="str">
        <f t="shared" si="190"/>
        <v>78915001</v>
      </c>
      <c r="D1053">
        <v>89301062</v>
      </c>
      <c r="E1053" t="str">
        <f>"6312090367"</f>
        <v>6312090367</v>
      </c>
      <c r="F1053" s="1">
        <v>44978</v>
      </c>
      <c r="G1053" t="str">
        <f>"89713"</f>
        <v>89713</v>
      </c>
      <c r="H1053">
        <v>1</v>
      </c>
      <c r="I1053">
        <v>5411</v>
      </c>
      <c r="J1053">
        <v>0</v>
      </c>
      <c r="K1053" t="str">
        <f t="shared" si="188"/>
        <v>809</v>
      </c>
      <c r="L1053">
        <v>3517.15</v>
      </c>
    </row>
    <row r="1054" spans="1:12" x14ac:dyDescent="0.25">
      <c r="A1054" t="str">
        <f t="shared" si="187"/>
        <v>89301000</v>
      </c>
      <c r="B1054" t="str">
        <f t="shared" si="189"/>
        <v>78915000</v>
      </c>
      <c r="C1054" t="str">
        <f t="shared" si="190"/>
        <v>78915001</v>
      </c>
      <c r="D1054">
        <v>89301062</v>
      </c>
      <c r="E1054" t="str">
        <f>"6312090367"</f>
        <v>6312090367</v>
      </c>
      <c r="F1054" s="1">
        <v>44978</v>
      </c>
      <c r="G1054" t="str">
        <f>"89725"</f>
        <v>89725</v>
      </c>
      <c r="H1054">
        <v>1</v>
      </c>
      <c r="I1054">
        <v>2863</v>
      </c>
      <c r="J1054">
        <v>0</v>
      </c>
      <c r="K1054" t="str">
        <f t="shared" si="188"/>
        <v>809</v>
      </c>
      <c r="L1054">
        <v>1860.95</v>
      </c>
    </row>
    <row r="1055" spans="1:12" x14ac:dyDescent="0.25">
      <c r="A1055" t="str">
        <f t="shared" si="187"/>
        <v>89301000</v>
      </c>
      <c r="B1055" t="str">
        <f t="shared" si="189"/>
        <v>78915000</v>
      </c>
      <c r="C1055" t="str">
        <f t="shared" si="190"/>
        <v>78915001</v>
      </c>
      <c r="D1055">
        <v>89301062</v>
      </c>
      <c r="E1055" t="str">
        <f>"6562291120"</f>
        <v>6562291120</v>
      </c>
      <c r="F1055" s="1">
        <v>44972</v>
      </c>
      <c r="G1055" t="str">
        <f>"89713"</f>
        <v>89713</v>
      </c>
      <c r="H1055">
        <v>1</v>
      </c>
      <c r="I1055">
        <v>5411</v>
      </c>
      <c r="J1055">
        <v>0</v>
      </c>
      <c r="K1055" t="str">
        <f t="shared" si="188"/>
        <v>809</v>
      </c>
      <c r="L1055">
        <v>3517.15</v>
      </c>
    </row>
    <row r="1056" spans="1:12" x14ac:dyDescent="0.25">
      <c r="A1056" t="str">
        <f t="shared" si="187"/>
        <v>89301000</v>
      </c>
      <c r="B1056" t="str">
        <f t="shared" si="189"/>
        <v>78915000</v>
      </c>
      <c r="C1056" t="str">
        <f t="shared" si="190"/>
        <v>78915001</v>
      </c>
      <c r="D1056">
        <v>89301062</v>
      </c>
      <c r="E1056" t="str">
        <f>"6562291120"</f>
        <v>6562291120</v>
      </c>
      <c r="F1056" s="1">
        <v>44972</v>
      </c>
      <c r="G1056" t="str">
        <f>"89725"</f>
        <v>89725</v>
      </c>
      <c r="H1056">
        <v>1</v>
      </c>
      <c r="I1056">
        <v>2863</v>
      </c>
      <c r="J1056">
        <v>0</v>
      </c>
      <c r="K1056" t="str">
        <f t="shared" si="188"/>
        <v>809</v>
      </c>
      <c r="L1056">
        <v>1860.95</v>
      </c>
    </row>
    <row r="1057" spans="1:12" x14ac:dyDescent="0.25">
      <c r="A1057" t="str">
        <f t="shared" si="187"/>
        <v>89301000</v>
      </c>
      <c r="B1057" t="str">
        <f t="shared" si="189"/>
        <v>78915000</v>
      </c>
      <c r="C1057" t="str">
        <f t="shared" si="190"/>
        <v>78915001</v>
      </c>
      <c r="D1057">
        <v>89301062</v>
      </c>
      <c r="E1057" t="str">
        <f>"6807160888"</f>
        <v>6807160888</v>
      </c>
      <c r="F1057" s="1">
        <v>44974</v>
      </c>
      <c r="G1057" t="str">
        <f>"89713"</f>
        <v>89713</v>
      </c>
      <c r="H1057">
        <v>1</v>
      </c>
      <c r="I1057">
        <v>5411</v>
      </c>
      <c r="J1057">
        <v>0</v>
      </c>
      <c r="K1057" t="str">
        <f t="shared" si="188"/>
        <v>809</v>
      </c>
      <c r="L1057">
        <v>3517.15</v>
      </c>
    </row>
    <row r="1058" spans="1:12" x14ac:dyDescent="0.25">
      <c r="A1058" t="str">
        <f t="shared" si="187"/>
        <v>89301000</v>
      </c>
      <c r="B1058" t="str">
        <f t="shared" si="189"/>
        <v>78915000</v>
      </c>
      <c r="C1058" t="str">
        <f t="shared" si="190"/>
        <v>78915001</v>
      </c>
      <c r="D1058">
        <v>89301292</v>
      </c>
      <c r="E1058" t="str">
        <f>"6862291953"</f>
        <v>6862291953</v>
      </c>
      <c r="F1058" s="1">
        <v>44958</v>
      </c>
      <c r="G1058" t="str">
        <f>"89715"</f>
        <v>89715</v>
      </c>
      <c r="H1058">
        <v>1</v>
      </c>
      <c r="I1058">
        <v>5523</v>
      </c>
      <c r="J1058">
        <v>0</v>
      </c>
      <c r="K1058" t="str">
        <f t="shared" si="188"/>
        <v>809</v>
      </c>
      <c r="L1058">
        <v>3589.95</v>
      </c>
    </row>
    <row r="1059" spans="1:12" x14ac:dyDescent="0.25">
      <c r="A1059" t="str">
        <f t="shared" si="187"/>
        <v>89301000</v>
      </c>
      <c r="B1059" t="str">
        <f t="shared" si="189"/>
        <v>78915000</v>
      </c>
      <c r="C1059" t="str">
        <f t="shared" si="190"/>
        <v>78915001</v>
      </c>
      <c r="D1059">
        <v>89301292</v>
      </c>
      <c r="E1059" t="str">
        <f>"6862291953"</f>
        <v>6862291953</v>
      </c>
      <c r="F1059" s="1">
        <v>44958</v>
      </c>
      <c r="G1059" t="str">
        <f>"89725"</f>
        <v>89725</v>
      </c>
      <c r="H1059">
        <v>1</v>
      </c>
      <c r="I1059">
        <v>2863</v>
      </c>
      <c r="J1059">
        <v>0</v>
      </c>
      <c r="K1059" t="str">
        <f t="shared" si="188"/>
        <v>809</v>
      </c>
      <c r="L1059">
        <v>1860.95</v>
      </c>
    </row>
    <row r="1060" spans="1:12" x14ac:dyDescent="0.25">
      <c r="A1060" t="str">
        <f t="shared" si="187"/>
        <v>89301000</v>
      </c>
      <c r="B1060" t="str">
        <f t="shared" si="189"/>
        <v>78915000</v>
      </c>
      <c r="C1060" t="str">
        <f t="shared" si="190"/>
        <v>78915001</v>
      </c>
      <c r="D1060">
        <v>89301292</v>
      </c>
      <c r="E1060" t="str">
        <f>"6862291953"</f>
        <v>6862291953</v>
      </c>
      <c r="F1060" s="1">
        <v>44958</v>
      </c>
      <c r="G1060" t="str">
        <f>"0207733"</f>
        <v>0207733</v>
      </c>
      <c r="H1060">
        <v>1</v>
      </c>
      <c r="J1060">
        <v>2590.5300000000002</v>
      </c>
      <c r="K1060" t="str">
        <f t="shared" si="188"/>
        <v>809</v>
      </c>
      <c r="L1060">
        <v>2590.5300000000002</v>
      </c>
    </row>
    <row r="1061" spans="1:12" x14ac:dyDescent="0.25">
      <c r="A1061" t="str">
        <f t="shared" si="187"/>
        <v>89301000</v>
      </c>
      <c r="B1061" t="str">
        <f t="shared" si="189"/>
        <v>78915000</v>
      </c>
      <c r="C1061" t="str">
        <f t="shared" si="190"/>
        <v>78915001</v>
      </c>
      <c r="D1061">
        <v>89301112</v>
      </c>
      <c r="E1061" t="str">
        <f>"6959055345"</f>
        <v>6959055345</v>
      </c>
      <c r="F1061" s="1">
        <v>44966</v>
      </c>
      <c r="G1061" t="str">
        <f>"09567"</f>
        <v>09567</v>
      </c>
      <c r="H1061">
        <v>1</v>
      </c>
      <c r="I1061">
        <v>0</v>
      </c>
      <c r="J1061">
        <v>0</v>
      </c>
      <c r="K1061" t="str">
        <f t="shared" si="188"/>
        <v>809</v>
      </c>
      <c r="L1061">
        <v>0</v>
      </c>
    </row>
    <row r="1062" spans="1:12" x14ac:dyDescent="0.25">
      <c r="A1062" t="str">
        <f t="shared" si="187"/>
        <v>89301000</v>
      </c>
      <c r="B1062" t="str">
        <f t="shared" si="189"/>
        <v>78915000</v>
      </c>
      <c r="C1062" t="str">
        <f t="shared" si="190"/>
        <v>78915001</v>
      </c>
      <c r="D1062">
        <v>89301112</v>
      </c>
      <c r="E1062" t="str">
        <f>"6959055345"</f>
        <v>6959055345</v>
      </c>
      <c r="F1062" s="1">
        <v>44966</v>
      </c>
      <c r="G1062" t="str">
        <f>"89713"</f>
        <v>89713</v>
      </c>
      <c r="H1062">
        <v>1</v>
      </c>
      <c r="I1062">
        <v>5411</v>
      </c>
      <c r="J1062">
        <v>0</v>
      </c>
      <c r="K1062" t="str">
        <f t="shared" si="188"/>
        <v>809</v>
      </c>
      <c r="L1062">
        <v>3517.15</v>
      </c>
    </row>
    <row r="1063" spans="1:12" x14ac:dyDescent="0.25">
      <c r="A1063" t="str">
        <f t="shared" si="187"/>
        <v>89301000</v>
      </c>
      <c r="B1063" t="str">
        <f t="shared" si="189"/>
        <v>78915000</v>
      </c>
      <c r="C1063" t="str">
        <f t="shared" si="190"/>
        <v>78915001</v>
      </c>
      <c r="D1063">
        <v>89301226</v>
      </c>
      <c r="E1063" t="str">
        <f>"7056304596"</f>
        <v>7056304596</v>
      </c>
      <c r="F1063" s="1">
        <v>44963</v>
      </c>
      <c r="G1063" t="str">
        <f>"09569"</f>
        <v>09569</v>
      </c>
      <c r="H1063">
        <v>1</v>
      </c>
      <c r="I1063">
        <v>0</v>
      </c>
      <c r="J1063">
        <v>0</v>
      </c>
      <c r="K1063" t="str">
        <f t="shared" ref="K1063:K1094" si="191">"809"</f>
        <v>809</v>
      </c>
      <c r="L1063">
        <v>0</v>
      </c>
    </row>
    <row r="1064" spans="1:12" x14ac:dyDescent="0.25">
      <c r="A1064" t="str">
        <f t="shared" si="187"/>
        <v>89301000</v>
      </c>
      <c r="B1064" t="str">
        <f t="shared" si="189"/>
        <v>78915000</v>
      </c>
      <c r="C1064" t="str">
        <f t="shared" si="190"/>
        <v>78915001</v>
      </c>
      <c r="D1064">
        <v>89301226</v>
      </c>
      <c r="E1064" t="str">
        <f>"7056304596"</f>
        <v>7056304596</v>
      </c>
      <c r="F1064" s="1">
        <v>44963</v>
      </c>
      <c r="G1064" t="str">
        <f>"89713"</f>
        <v>89713</v>
      </c>
      <c r="H1064">
        <v>1</v>
      </c>
      <c r="I1064">
        <v>5411</v>
      </c>
      <c r="J1064">
        <v>0</v>
      </c>
      <c r="K1064" t="str">
        <f t="shared" si="191"/>
        <v>809</v>
      </c>
      <c r="L1064">
        <v>3517.15</v>
      </c>
    </row>
    <row r="1065" spans="1:12" x14ac:dyDescent="0.25">
      <c r="A1065" t="str">
        <f t="shared" si="187"/>
        <v>89301000</v>
      </c>
      <c r="B1065" t="str">
        <f t="shared" si="189"/>
        <v>78915000</v>
      </c>
      <c r="C1065" t="str">
        <f t="shared" si="190"/>
        <v>78915001</v>
      </c>
      <c r="D1065">
        <v>89301062</v>
      </c>
      <c r="E1065" t="str">
        <f>"7207200902"</f>
        <v>7207200902</v>
      </c>
      <c r="F1065" s="1">
        <v>44958</v>
      </c>
      <c r="G1065" t="str">
        <f>"89713"</f>
        <v>89713</v>
      </c>
      <c r="H1065">
        <v>1</v>
      </c>
      <c r="I1065">
        <v>5411</v>
      </c>
      <c r="J1065">
        <v>0</v>
      </c>
      <c r="K1065" t="str">
        <f t="shared" si="191"/>
        <v>809</v>
      </c>
      <c r="L1065">
        <v>3517.15</v>
      </c>
    </row>
    <row r="1066" spans="1:12" x14ac:dyDescent="0.25">
      <c r="A1066" t="str">
        <f t="shared" si="187"/>
        <v>89301000</v>
      </c>
      <c r="B1066" t="str">
        <f t="shared" ref="B1066:B1097" si="192">"78915000"</f>
        <v>78915000</v>
      </c>
      <c r="C1066" t="str">
        <f t="shared" ref="C1066:C1097" si="193">"78915001"</f>
        <v>78915001</v>
      </c>
      <c r="D1066">
        <v>89301062</v>
      </c>
      <c r="E1066" t="str">
        <f>"7207200902"</f>
        <v>7207200902</v>
      </c>
      <c r="F1066" s="1">
        <v>44958</v>
      </c>
      <c r="G1066" t="str">
        <f>"89725"</f>
        <v>89725</v>
      </c>
      <c r="H1066">
        <v>1</v>
      </c>
      <c r="I1066">
        <v>2863</v>
      </c>
      <c r="J1066">
        <v>0</v>
      </c>
      <c r="K1066" t="str">
        <f t="shared" si="191"/>
        <v>809</v>
      </c>
      <c r="L1066">
        <v>1860.95</v>
      </c>
    </row>
    <row r="1067" spans="1:12" x14ac:dyDescent="0.25">
      <c r="A1067" t="str">
        <f t="shared" si="187"/>
        <v>89301000</v>
      </c>
      <c r="B1067" t="str">
        <f t="shared" si="192"/>
        <v>78915000</v>
      </c>
      <c r="C1067" t="str">
        <f t="shared" si="193"/>
        <v>78915001</v>
      </c>
      <c r="D1067">
        <v>89301172</v>
      </c>
      <c r="E1067" t="str">
        <f>"7458189178"</f>
        <v>7458189178</v>
      </c>
      <c r="F1067" s="1">
        <v>44977</v>
      </c>
      <c r="G1067" t="str">
        <f>"89713"</f>
        <v>89713</v>
      </c>
      <c r="H1067">
        <v>1</v>
      </c>
      <c r="I1067">
        <v>5411</v>
      </c>
      <c r="J1067">
        <v>0</v>
      </c>
      <c r="K1067" t="str">
        <f t="shared" si="191"/>
        <v>809</v>
      </c>
      <c r="L1067">
        <v>3517.15</v>
      </c>
    </row>
    <row r="1068" spans="1:12" x14ac:dyDescent="0.25">
      <c r="A1068" t="str">
        <f t="shared" si="187"/>
        <v>89301000</v>
      </c>
      <c r="B1068" t="str">
        <f t="shared" si="192"/>
        <v>78915000</v>
      </c>
      <c r="C1068" t="str">
        <f t="shared" si="193"/>
        <v>78915001</v>
      </c>
      <c r="D1068">
        <v>89301172</v>
      </c>
      <c r="E1068" t="str">
        <f>"7458189178"</f>
        <v>7458189178</v>
      </c>
      <c r="F1068" s="1">
        <v>44977</v>
      </c>
      <c r="G1068" t="str">
        <f>"89723"</f>
        <v>89723</v>
      </c>
      <c r="H1068">
        <v>1</v>
      </c>
      <c r="I1068">
        <v>5940</v>
      </c>
      <c r="J1068">
        <v>0</v>
      </c>
      <c r="K1068" t="str">
        <f t="shared" si="191"/>
        <v>809</v>
      </c>
      <c r="L1068">
        <v>3861</v>
      </c>
    </row>
    <row r="1069" spans="1:12" x14ac:dyDescent="0.25">
      <c r="A1069" t="str">
        <f t="shared" si="187"/>
        <v>89301000</v>
      </c>
      <c r="B1069" t="str">
        <f t="shared" si="192"/>
        <v>78915000</v>
      </c>
      <c r="C1069" t="str">
        <f t="shared" si="193"/>
        <v>78915001</v>
      </c>
      <c r="D1069">
        <v>89301172</v>
      </c>
      <c r="E1069" t="str">
        <f>"7458189178"</f>
        <v>7458189178</v>
      </c>
      <c r="F1069" s="1">
        <v>44977</v>
      </c>
      <c r="G1069" t="str">
        <f>"89725"</f>
        <v>89725</v>
      </c>
      <c r="H1069">
        <v>1</v>
      </c>
      <c r="I1069">
        <v>2863</v>
      </c>
      <c r="J1069">
        <v>0</v>
      </c>
      <c r="K1069" t="str">
        <f t="shared" si="191"/>
        <v>809</v>
      </c>
      <c r="L1069">
        <v>1860.95</v>
      </c>
    </row>
    <row r="1070" spans="1:12" x14ac:dyDescent="0.25">
      <c r="A1070" t="str">
        <f t="shared" si="187"/>
        <v>89301000</v>
      </c>
      <c r="B1070" t="str">
        <f t="shared" si="192"/>
        <v>78915000</v>
      </c>
      <c r="C1070" t="str">
        <f t="shared" si="193"/>
        <v>78915001</v>
      </c>
      <c r="D1070">
        <v>89301172</v>
      </c>
      <c r="E1070" t="str">
        <f>"7556194690"</f>
        <v>7556194690</v>
      </c>
      <c r="F1070" s="1">
        <v>44977</v>
      </c>
      <c r="G1070" t="str">
        <f>"89713"</f>
        <v>89713</v>
      </c>
      <c r="H1070">
        <v>1</v>
      </c>
      <c r="I1070">
        <v>5411</v>
      </c>
      <c r="J1070">
        <v>0</v>
      </c>
      <c r="K1070" t="str">
        <f t="shared" si="191"/>
        <v>809</v>
      </c>
      <c r="L1070">
        <v>3517.15</v>
      </c>
    </row>
    <row r="1071" spans="1:12" x14ac:dyDescent="0.25">
      <c r="A1071" t="str">
        <f t="shared" si="187"/>
        <v>89301000</v>
      </c>
      <c r="B1071" t="str">
        <f t="shared" si="192"/>
        <v>78915000</v>
      </c>
      <c r="C1071" t="str">
        <f t="shared" si="193"/>
        <v>78915001</v>
      </c>
      <c r="D1071">
        <v>89301172</v>
      </c>
      <c r="E1071" t="str">
        <f>"7556194690"</f>
        <v>7556194690</v>
      </c>
      <c r="F1071" s="1">
        <v>44977</v>
      </c>
      <c r="G1071" t="str">
        <f>"89725"</f>
        <v>89725</v>
      </c>
      <c r="H1071">
        <v>1</v>
      </c>
      <c r="I1071">
        <v>2863</v>
      </c>
      <c r="J1071">
        <v>0</v>
      </c>
      <c r="K1071" t="str">
        <f t="shared" si="191"/>
        <v>809</v>
      </c>
      <c r="L1071">
        <v>1860.95</v>
      </c>
    </row>
    <row r="1072" spans="1:12" x14ac:dyDescent="0.25">
      <c r="A1072" t="str">
        <f t="shared" si="187"/>
        <v>89301000</v>
      </c>
      <c r="B1072" t="str">
        <f t="shared" si="192"/>
        <v>78915000</v>
      </c>
      <c r="C1072" t="str">
        <f t="shared" si="193"/>
        <v>78915001</v>
      </c>
      <c r="D1072">
        <v>89301606</v>
      </c>
      <c r="E1072" t="str">
        <f>"7559035319"</f>
        <v>7559035319</v>
      </c>
      <c r="F1072" s="1">
        <v>44982</v>
      </c>
      <c r="G1072" t="str">
        <f>"89713"</f>
        <v>89713</v>
      </c>
      <c r="H1072">
        <v>1</v>
      </c>
      <c r="I1072">
        <v>5411</v>
      </c>
      <c r="J1072">
        <v>0</v>
      </c>
      <c r="K1072" t="str">
        <f t="shared" si="191"/>
        <v>809</v>
      </c>
      <c r="L1072">
        <v>3517.15</v>
      </c>
    </row>
    <row r="1073" spans="1:12" x14ac:dyDescent="0.25">
      <c r="A1073" t="str">
        <f t="shared" si="187"/>
        <v>89301000</v>
      </c>
      <c r="B1073" t="str">
        <f t="shared" si="192"/>
        <v>78915000</v>
      </c>
      <c r="C1073" t="str">
        <f t="shared" si="193"/>
        <v>78915001</v>
      </c>
      <c r="D1073">
        <v>89301606</v>
      </c>
      <c r="E1073" t="str">
        <f>"7559035319"</f>
        <v>7559035319</v>
      </c>
      <c r="F1073" s="1">
        <v>44982</v>
      </c>
      <c r="G1073" t="str">
        <f>"89725"</f>
        <v>89725</v>
      </c>
      <c r="H1073">
        <v>1</v>
      </c>
      <c r="I1073">
        <v>2863</v>
      </c>
      <c r="J1073">
        <v>0</v>
      </c>
      <c r="K1073" t="str">
        <f t="shared" si="191"/>
        <v>809</v>
      </c>
      <c r="L1073">
        <v>1860.95</v>
      </c>
    </row>
    <row r="1074" spans="1:12" x14ac:dyDescent="0.25">
      <c r="A1074" t="str">
        <f t="shared" si="187"/>
        <v>89301000</v>
      </c>
      <c r="B1074" t="str">
        <f t="shared" si="192"/>
        <v>78915000</v>
      </c>
      <c r="C1074" t="str">
        <f t="shared" si="193"/>
        <v>78915001</v>
      </c>
      <c r="D1074">
        <v>89301606</v>
      </c>
      <c r="E1074" t="str">
        <f>"8053255364"</f>
        <v>8053255364</v>
      </c>
      <c r="F1074" s="1">
        <v>44971</v>
      </c>
      <c r="G1074" t="str">
        <f>"89713"</f>
        <v>89713</v>
      </c>
      <c r="H1074">
        <v>1</v>
      </c>
      <c r="I1074">
        <v>5411</v>
      </c>
      <c r="J1074">
        <v>0</v>
      </c>
      <c r="K1074" t="str">
        <f t="shared" si="191"/>
        <v>809</v>
      </c>
      <c r="L1074">
        <v>3517.15</v>
      </c>
    </row>
    <row r="1075" spans="1:12" x14ac:dyDescent="0.25">
      <c r="A1075" t="str">
        <f t="shared" si="187"/>
        <v>89301000</v>
      </c>
      <c r="B1075" t="str">
        <f t="shared" si="192"/>
        <v>78915000</v>
      </c>
      <c r="C1075" t="str">
        <f t="shared" si="193"/>
        <v>78915001</v>
      </c>
      <c r="D1075">
        <v>89301606</v>
      </c>
      <c r="E1075" t="str">
        <f>"8053255364"</f>
        <v>8053255364</v>
      </c>
      <c r="F1075" s="1">
        <v>44971</v>
      </c>
      <c r="G1075" t="str">
        <f>"89723"</f>
        <v>89723</v>
      </c>
      <c r="H1075">
        <v>1</v>
      </c>
      <c r="I1075">
        <v>5940</v>
      </c>
      <c r="J1075">
        <v>0</v>
      </c>
      <c r="K1075" t="str">
        <f t="shared" si="191"/>
        <v>809</v>
      </c>
      <c r="L1075">
        <v>3861</v>
      </c>
    </row>
    <row r="1076" spans="1:12" x14ac:dyDescent="0.25">
      <c r="A1076" t="str">
        <f t="shared" si="187"/>
        <v>89301000</v>
      </c>
      <c r="B1076" t="str">
        <f t="shared" si="192"/>
        <v>78915000</v>
      </c>
      <c r="C1076" t="str">
        <f t="shared" si="193"/>
        <v>78915001</v>
      </c>
      <c r="D1076">
        <v>89301606</v>
      </c>
      <c r="E1076" t="str">
        <f>"8053255364"</f>
        <v>8053255364</v>
      </c>
      <c r="F1076" s="1">
        <v>44971</v>
      </c>
      <c r="G1076" t="str">
        <f>"89725"</f>
        <v>89725</v>
      </c>
      <c r="H1076">
        <v>1</v>
      </c>
      <c r="I1076">
        <v>2863</v>
      </c>
      <c r="J1076">
        <v>0</v>
      </c>
      <c r="K1076" t="str">
        <f t="shared" si="191"/>
        <v>809</v>
      </c>
      <c r="L1076">
        <v>1860.95</v>
      </c>
    </row>
    <row r="1077" spans="1:12" x14ac:dyDescent="0.25">
      <c r="A1077" t="str">
        <f t="shared" si="187"/>
        <v>89301000</v>
      </c>
      <c r="B1077" t="str">
        <f t="shared" si="192"/>
        <v>78915000</v>
      </c>
      <c r="C1077" t="str">
        <f t="shared" si="193"/>
        <v>78915001</v>
      </c>
      <c r="D1077">
        <v>89301112</v>
      </c>
      <c r="E1077" t="str">
        <f>"8156164456"</f>
        <v>8156164456</v>
      </c>
      <c r="F1077" s="1">
        <v>44980</v>
      </c>
      <c r="G1077" t="str">
        <f>"09569"</f>
        <v>09569</v>
      </c>
      <c r="H1077">
        <v>1</v>
      </c>
      <c r="I1077">
        <v>0</v>
      </c>
      <c r="J1077">
        <v>0</v>
      </c>
      <c r="K1077" t="str">
        <f t="shared" si="191"/>
        <v>809</v>
      </c>
      <c r="L1077">
        <v>0</v>
      </c>
    </row>
    <row r="1078" spans="1:12" x14ac:dyDescent="0.25">
      <c r="A1078" t="str">
        <f t="shared" si="187"/>
        <v>89301000</v>
      </c>
      <c r="B1078" t="str">
        <f t="shared" si="192"/>
        <v>78915000</v>
      </c>
      <c r="C1078" t="str">
        <f t="shared" si="193"/>
        <v>78915001</v>
      </c>
      <c r="D1078">
        <v>89301112</v>
      </c>
      <c r="E1078" t="str">
        <f>"8156164456"</f>
        <v>8156164456</v>
      </c>
      <c r="F1078" s="1">
        <v>44980</v>
      </c>
      <c r="G1078" t="str">
        <f>"89713"</f>
        <v>89713</v>
      </c>
      <c r="H1078">
        <v>1</v>
      </c>
      <c r="I1078">
        <v>5411</v>
      </c>
      <c r="J1078">
        <v>0</v>
      </c>
      <c r="K1078" t="str">
        <f t="shared" si="191"/>
        <v>809</v>
      </c>
      <c r="L1078">
        <v>3517.15</v>
      </c>
    </row>
    <row r="1079" spans="1:12" x14ac:dyDescent="0.25">
      <c r="A1079" t="str">
        <f t="shared" si="187"/>
        <v>89301000</v>
      </c>
      <c r="B1079" t="str">
        <f t="shared" si="192"/>
        <v>78915000</v>
      </c>
      <c r="C1079" t="str">
        <f t="shared" si="193"/>
        <v>78915001</v>
      </c>
      <c r="D1079">
        <v>89301112</v>
      </c>
      <c r="E1079" t="str">
        <f>"8212224471"</f>
        <v>8212224471</v>
      </c>
      <c r="F1079" s="1">
        <v>44968</v>
      </c>
      <c r="G1079" t="str">
        <f>"09569"</f>
        <v>09569</v>
      </c>
      <c r="H1079">
        <v>1</v>
      </c>
      <c r="I1079">
        <v>0</v>
      </c>
      <c r="J1079">
        <v>0</v>
      </c>
      <c r="K1079" t="str">
        <f t="shared" si="191"/>
        <v>809</v>
      </c>
      <c r="L1079">
        <v>0</v>
      </c>
    </row>
    <row r="1080" spans="1:12" x14ac:dyDescent="0.25">
      <c r="A1080" t="str">
        <f t="shared" si="187"/>
        <v>89301000</v>
      </c>
      <c r="B1080" t="str">
        <f t="shared" si="192"/>
        <v>78915000</v>
      </c>
      <c r="C1080" t="str">
        <f t="shared" si="193"/>
        <v>78915001</v>
      </c>
      <c r="D1080">
        <v>89301112</v>
      </c>
      <c r="E1080" t="str">
        <f>"8212224471"</f>
        <v>8212224471</v>
      </c>
      <c r="F1080" s="1">
        <v>44968</v>
      </c>
      <c r="G1080" t="str">
        <f>"89713"</f>
        <v>89713</v>
      </c>
      <c r="H1080">
        <v>1</v>
      </c>
      <c r="I1080">
        <v>5411</v>
      </c>
      <c r="J1080">
        <v>0</v>
      </c>
      <c r="K1080" t="str">
        <f t="shared" si="191"/>
        <v>809</v>
      </c>
      <c r="L1080">
        <v>3517.15</v>
      </c>
    </row>
    <row r="1081" spans="1:12" x14ac:dyDescent="0.25">
      <c r="A1081" t="str">
        <f t="shared" si="187"/>
        <v>89301000</v>
      </c>
      <c r="B1081" t="str">
        <f t="shared" si="192"/>
        <v>78915000</v>
      </c>
      <c r="C1081" t="str">
        <f t="shared" si="193"/>
        <v>78915001</v>
      </c>
      <c r="D1081">
        <v>89301172</v>
      </c>
      <c r="E1081" t="str">
        <f>"8353214672"</f>
        <v>8353214672</v>
      </c>
      <c r="F1081" s="1">
        <v>44967</v>
      </c>
      <c r="G1081" t="str">
        <f>"89713"</f>
        <v>89713</v>
      </c>
      <c r="H1081">
        <v>2</v>
      </c>
      <c r="I1081">
        <v>10822</v>
      </c>
      <c r="J1081">
        <v>0</v>
      </c>
      <c r="K1081" t="str">
        <f t="shared" si="191"/>
        <v>809</v>
      </c>
      <c r="L1081">
        <v>7034.3</v>
      </c>
    </row>
    <row r="1082" spans="1:12" x14ac:dyDescent="0.25">
      <c r="A1082" t="str">
        <f t="shared" si="187"/>
        <v>89301000</v>
      </c>
      <c r="B1082" t="str">
        <f t="shared" si="192"/>
        <v>78915000</v>
      </c>
      <c r="C1082" t="str">
        <f t="shared" si="193"/>
        <v>78915001</v>
      </c>
      <c r="D1082">
        <v>89301172</v>
      </c>
      <c r="E1082" t="str">
        <f>"8353214672"</f>
        <v>8353214672</v>
      </c>
      <c r="F1082" s="1">
        <v>44967</v>
      </c>
      <c r="G1082" t="str">
        <f>"89723"</f>
        <v>89723</v>
      </c>
      <c r="H1082">
        <v>1</v>
      </c>
      <c r="I1082">
        <v>5940</v>
      </c>
      <c r="J1082">
        <v>0</v>
      </c>
      <c r="K1082" t="str">
        <f t="shared" si="191"/>
        <v>809</v>
      </c>
      <c r="L1082">
        <v>3861</v>
      </c>
    </row>
    <row r="1083" spans="1:12" x14ac:dyDescent="0.25">
      <c r="A1083" t="str">
        <f t="shared" si="187"/>
        <v>89301000</v>
      </c>
      <c r="B1083" t="str">
        <f t="shared" si="192"/>
        <v>78915000</v>
      </c>
      <c r="C1083" t="str">
        <f t="shared" si="193"/>
        <v>78915001</v>
      </c>
      <c r="D1083">
        <v>89301112</v>
      </c>
      <c r="E1083" t="str">
        <f>"8510315770"</f>
        <v>8510315770</v>
      </c>
      <c r="F1083" s="1">
        <v>44977</v>
      </c>
      <c r="G1083" t="str">
        <f>"09567"</f>
        <v>09567</v>
      </c>
      <c r="H1083">
        <v>1</v>
      </c>
      <c r="I1083">
        <v>0</v>
      </c>
      <c r="J1083">
        <v>0</v>
      </c>
      <c r="K1083" t="str">
        <f t="shared" si="191"/>
        <v>809</v>
      </c>
      <c r="L1083">
        <v>0</v>
      </c>
    </row>
    <row r="1084" spans="1:12" x14ac:dyDescent="0.25">
      <c r="A1084" t="str">
        <f t="shared" si="187"/>
        <v>89301000</v>
      </c>
      <c r="B1084" t="str">
        <f t="shared" si="192"/>
        <v>78915000</v>
      </c>
      <c r="C1084" t="str">
        <f t="shared" si="193"/>
        <v>78915001</v>
      </c>
      <c r="D1084">
        <v>89301112</v>
      </c>
      <c r="E1084" t="str">
        <f>"8510315770"</f>
        <v>8510315770</v>
      </c>
      <c r="F1084" s="1">
        <v>44977</v>
      </c>
      <c r="G1084" t="str">
        <f>"89713"</f>
        <v>89713</v>
      </c>
      <c r="H1084">
        <v>1</v>
      </c>
      <c r="I1084">
        <v>5411</v>
      </c>
      <c r="J1084">
        <v>0</v>
      </c>
      <c r="K1084" t="str">
        <f t="shared" si="191"/>
        <v>809</v>
      </c>
      <c r="L1084">
        <v>3517.15</v>
      </c>
    </row>
    <row r="1085" spans="1:12" x14ac:dyDescent="0.25">
      <c r="A1085" t="str">
        <f t="shared" si="187"/>
        <v>89301000</v>
      </c>
      <c r="B1085" t="str">
        <f t="shared" si="192"/>
        <v>78915000</v>
      </c>
      <c r="C1085" t="str">
        <f t="shared" si="193"/>
        <v>78915001</v>
      </c>
      <c r="D1085">
        <v>89301262</v>
      </c>
      <c r="E1085" t="str">
        <f>"8607105793"</f>
        <v>8607105793</v>
      </c>
      <c r="F1085" s="1">
        <v>44961</v>
      </c>
      <c r="G1085" t="str">
        <f>"09569"</f>
        <v>09569</v>
      </c>
      <c r="H1085">
        <v>1</v>
      </c>
      <c r="I1085">
        <v>0</v>
      </c>
      <c r="J1085">
        <v>0</v>
      </c>
      <c r="K1085" t="str">
        <f t="shared" si="191"/>
        <v>809</v>
      </c>
      <c r="L1085">
        <v>0</v>
      </c>
    </row>
    <row r="1086" spans="1:12" x14ac:dyDescent="0.25">
      <c r="A1086" t="str">
        <f t="shared" si="187"/>
        <v>89301000</v>
      </c>
      <c r="B1086" t="str">
        <f t="shared" si="192"/>
        <v>78915000</v>
      </c>
      <c r="C1086" t="str">
        <f t="shared" si="193"/>
        <v>78915001</v>
      </c>
      <c r="D1086">
        <v>89301262</v>
      </c>
      <c r="E1086" t="str">
        <f>"8607105793"</f>
        <v>8607105793</v>
      </c>
      <c r="F1086" s="1">
        <v>44961</v>
      </c>
      <c r="G1086" t="str">
        <f>"89713"</f>
        <v>89713</v>
      </c>
      <c r="H1086">
        <v>1</v>
      </c>
      <c r="I1086">
        <v>5411</v>
      </c>
      <c r="J1086">
        <v>0</v>
      </c>
      <c r="K1086" t="str">
        <f t="shared" si="191"/>
        <v>809</v>
      </c>
      <c r="L1086">
        <v>3517.15</v>
      </c>
    </row>
    <row r="1087" spans="1:12" x14ac:dyDescent="0.25">
      <c r="A1087" t="str">
        <f t="shared" si="187"/>
        <v>89301000</v>
      </c>
      <c r="B1087" t="str">
        <f t="shared" si="192"/>
        <v>78915000</v>
      </c>
      <c r="C1087" t="str">
        <f t="shared" si="193"/>
        <v>78915001</v>
      </c>
      <c r="D1087">
        <v>89301606</v>
      </c>
      <c r="E1087" t="str">
        <f>"8753315824"</f>
        <v>8753315824</v>
      </c>
      <c r="F1087" s="1">
        <v>44970</v>
      </c>
      <c r="G1087" t="str">
        <f>"89713"</f>
        <v>89713</v>
      </c>
      <c r="H1087">
        <v>2</v>
      </c>
      <c r="I1087">
        <v>10822</v>
      </c>
      <c r="J1087">
        <v>0</v>
      </c>
      <c r="K1087" t="str">
        <f t="shared" si="191"/>
        <v>809</v>
      </c>
      <c r="L1087">
        <v>7034.3</v>
      </c>
    </row>
    <row r="1088" spans="1:12" x14ac:dyDescent="0.25">
      <c r="A1088" t="str">
        <f t="shared" si="187"/>
        <v>89301000</v>
      </c>
      <c r="B1088" t="str">
        <f t="shared" si="192"/>
        <v>78915000</v>
      </c>
      <c r="C1088" t="str">
        <f t="shared" si="193"/>
        <v>78915001</v>
      </c>
      <c r="D1088">
        <v>89301112</v>
      </c>
      <c r="E1088" t="str">
        <f>"8760054908"</f>
        <v>8760054908</v>
      </c>
      <c r="F1088" s="1">
        <v>44963</v>
      </c>
      <c r="G1088" t="str">
        <f>"09567"</f>
        <v>09567</v>
      </c>
      <c r="H1088">
        <v>1</v>
      </c>
      <c r="I1088">
        <v>0</v>
      </c>
      <c r="J1088">
        <v>0</v>
      </c>
      <c r="K1088" t="str">
        <f t="shared" si="191"/>
        <v>809</v>
      </c>
      <c r="L1088">
        <v>0</v>
      </c>
    </row>
    <row r="1089" spans="1:12" x14ac:dyDescent="0.25">
      <c r="A1089" t="str">
        <f t="shared" si="187"/>
        <v>89301000</v>
      </c>
      <c r="B1089" t="str">
        <f t="shared" si="192"/>
        <v>78915000</v>
      </c>
      <c r="C1089" t="str">
        <f t="shared" si="193"/>
        <v>78915001</v>
      </c>
      <c r="D1089">
        <v>89301112</v>
      </c>
      <c r="E1089" t="str">
        <f>"8760054908"</f>
        <v>8760054908</v>
      </c>
      <c r="F1089" s="1">
        <v>44963</v>
      </c>
      <c r="G1089" t="str">
        <f>"89713"</f>
        <v>89713</v>
      </c>
      <c r="H1089">
        <v>1</v>
      </c>
      <c r="I1089">
        <v>5411</v>
      </c>
      <c r="J1089">
        <v>0</v>
      </c>
      <c r="K1089" t="str">
        <f t="shared" si="191"/>
        <v>809</v>
      </c>
      <c r="L1089">
        <v>3517.15</v>
      </c>
    </row>
    <row r="1090" spans="1:12" x14ac:dyDescent="0.25">
      <c r="A1090" t="str">
        <f t="shared" ref="A1090:A1153" si="194">"89301000"</f>
        <v>89301000</v>
      </c>
      <c r="B1090" t="str">
        <f t="shared" si="192"/>
        <v>78915000</v>
      </c>
      <c r="C1090" t="str">
        <f t="shared" si="193"/>
        <v>78915001</v>
      </c>
      <c r="D1090">
        <v>89301062</v>
      </c>
      <c r="E1090" t="str">
        <f>"8907185727"</f>
        <v>8907185727</v>
      </c>
      <c r="F1090" s="1">
        <v>44966</v>
      </c>
      <c r="G1090" t="str">
        <f>"89713"</f>
        <v>89713</v>
      </c>
      <c r="H1090">
        <v>1</v>
      </c>
      <c r="I1090">
        <v>5411</v>
      </c>
      <c r="J1090">
        <v>0</v>
      </c>
      <c r="K1090" t="str">
        <f t="shared" si="191"/>
        <v>809</v>
      </c>
      <c r="L1090">
        <v>3517.15</v>
      </c>
    </row>
    <row r="1091" spans="1:12" x14ac:dyDescent="0.25">
      <c r="A1091" t="str">
        <f t="shared" si="194"/>
        <v>89301000</v>
      </c>
      <c r="B1091" t="str">
        <f t="shared" si="192"/>
        <v>78915000</v>
      </c>
      <c r="C1091" t="str">
        <f t="shared" si="193"/>
        <v>78915001</v>
      </c>
      <c r="D1091">
        <v>89301062</v>
      </c>
      <c r="E1091" t="str">
        <f>"8907185727"</f>
        <v>8907185727</v>
      </c>
      <c r="F1091" s="1">
        <v>44966</v>
      </c>
      <c r="G1091" t="str">
        <f>"89725"</f>
        <v>89725</v>
      </c>
      <c r="H1091">
        <v>1</v>
      </c>
      <c r="I1091">
        <v>2863</v>
      </c>
      <c r="J1091">
        <v>0</v>
      </c>
      <c r="K1091" t="str">
        <f t="shared" si="191"/>
        <v>809</v>
      </c>
      <c r="L1091">
        <v>1860.95</v>
      </c>
    </row>
    <row r="1092" spans="1:12" x14ac:dyDescent="0.25">
      <c r="A1092" t="str">
        <f t="shared" si="194"/>
        <v>89301000</v>
      </c>
      <c r="B1092" t="str">
        <f t="shared" si="192"/>
        <v>78915000</v>
      </c>
      <c r="C1092" t="str">
        <f t="shared" si="193"/>
        <v>78915001</v>
      </c>
      <c r="D1092">
        <v>89301112</v>
      </c>
      <c r="E1092" t="str">
        <f>"9308115740"</f>
        <v>9308115740</v>
      </c>
      <c r="F1092" s="1">
        <v>44964</v>
      </c>
      <c r="G1092" t="str">
        <f>"09567"</f>
        <v>09567</v>
      </c>
      <c r="H1092">
        <v>1</v>
      </c>
      <c r="I1092">
        <v>0</v>
      </c>
      <c r="J1092">
        <v>0</v>
      </c>
      <c r="K1092" t="str">
        <f t="shared" si="191"/>
        <v>809</v>
      </c>
      <c r="L1092">
        <v>0</v>
      </c>
    </row>
    <row r="1093" spans="1:12" x14ac:dyDescent="0.25">
      <c r="A1093" t="str">
        <f t="shared" si="194"/>
        <v>89301000</v>
      </c>
      <c r="B1093" t="str">
        <f t="shared" si="192"/>
        <v>78915000</v>
      </c>
      <c r="C1093" t="str">
        <f t="shared" si="193"/>
        <v>78915001</v>
      </c>
      <c r="D1093">
        <v>89301112</v>
      </c>
      <c r="E1093" t="str">
        <f>"9308115740"</f>
        <v>9308115740</v>
      </c>
      <c r="F1093" s="1">
        <v>44964</v>
      </c>
      <c r="G1093" t="str">
        <f>"89713"</f>
        <v>89713</v>
      </c>
      <c r="H1093">
        <v>1</v>
      </c>
      <c r="I1093">
        <v>5411</v>
      </c>
      <c r="J1093">
        <v>0</v>
      </c>
      <c r="K1093" t="str">
        <f t="shared" si="191"/>
        <v>809</v>
      </c>
      <c r="L1093">
        <v>3517.15</v>
      </c>
    </row>
    <row r="1094" spans="1:12" x14ac:dyDescent="0.25">
      <c r="A1094" t="str">
        <f t="shared" si="194"/>
        <v>89301000</v>
      </c>
      <c r="B1094" t="str">
        <f t="shared" si="192"/>
        <v>78915000</v>
      </c>
      <c r="C1094" t="str">
        <f t="shared" si="193"/>
        <v>78915001</v>
      </c>
      <c r="D1094">
        <v>89301112</v>
      </c>
      <c r="E1094" t="str">
        <f>"9902114849"</f>
        <v>9902114849</v>
      </c>
      <c r="F1094" s="1">
        <v>44961</v>
      </c>
      <c r="G1094" t="str">
        <f>"89713"</f>
        <v>89713</v>
      </c>
      <c r="H1094">
        <v>1</v>
      </c>
      <c r="I1094">
        <v>5411</v>
      </c>
      <c r="J1094">
        <v>0</v>
      </c>
      <c r="K1094" t="str">
        <f t="shared" si="191"/>
        <v>809</v>
      </c>
      <c r="L1094">
        <v>3517.15</v>
      </c>
    </row>
    <row r="1095" spans="1:12" x14ac:dyDescent="0.25">
      <c r="A1095" t="str">
        <f t="shared" si="194"/>
        <v>89301000</v>
      </c>
      <c r="B1095" t="str">
        <f t="shared" si="192"/>
        <v>78915000</v>
      </c>
      <c r="C1095" t="str">
        <f t="shared" si="193"/>
        <v>78915001</v>
      </c>
      <c r="D1095">
        <v>89301112</v>
      </c>
      <c r="E1095" t="str">
        <f>"9902114849"</f>
        <v>9902114849</v>
      </c>
      <c r="F1095" s="1">
        <v>44961</v>
      </c>
      <c r="G1095" t="str">
        <f>"89725"</f>
        <v>89725</v>
      </c>
      <c r="H1095">
        <v>1</v>
      </c>
      <c r="I1095">
        <v>2863</v>
      </c>
      <c r="J1095">
        <v>0</v>
      </c>
      <c r="K1095" t="str">
        <f t="shared" ref="K1095:K1105" si="195">"809"</f>
        <v>809</v>
      </c>
      <c r="L1095">
        <v>1860.95</v>
      </c>
    </row>
    <row r="1096" spans="1:12" x14ac:dyDescent="0.25">
      <c r="A1096" t="str">
        <f t="shared" si="194"/>
        <v>89301000</v>
      </c>
      <c r="B1096" t="str">
        <f t="shared" si="192"/>
        <v>78915000</v>
      </c>
      <c r="C1096" t="str">
        <f t="shared" si="193"/>
        <v>78915001</v>
      </c>
      <c r="D1096">
        <v>89301606</v>
      </c>
      <c r="E1096" t="str">
        <f>"9952015700"</f>
        <v>9952015700</v>
      </c>
      <c r="F1096" s="1">
        <v>44981</v>
      </c>
      <c r="G1096" t="str">
        <f>"89713"</f>
        <v>89713</v>
      </c>
      <c r="H1096">
        <v>1</v>
      </c>
      <c r="I1096">
        <v>5411</v>
      </c>
      <c r="J1096">
        <v>0</v>
      </c>
      <c r="K1096" t="str">
        <f t="shared" si="195"/>
        <v>809</v>
      </c>
      <c r="L1096">
        <v>3517.15</v>
      </c>
    </row>
    <row r="1097" spans="1:12" x14ac:dyDescent="0.25">
      <c r="A1097" t="str">
        <f t="shared" si="194"/>
        <v>89301000</v>
      </c>
      <c r="B1097" t="str">
        <f t="shared" si="192"/>
        <v>78915000</v>
      </c>
      <c r="C1097" t="str">
        <f t="shared" si="193"/>
        <v>78915001</v>
      </c>
      <c r="D1097">
        <v>89301606</v>
      </c>
      <c r="E1097" t="str">
        <f>"9952015700"</f>
        <v>9952015700</v>
      </c>
      <c r="F1097" s="1">
        <v>44981</v>
      </c>
      <c r="G1097" t="str">
        <f>"89725"</f>
        <v>89725</v>
      </c>
      <c r="H1097">
        <v>1</v>
      </c>
      <c r="I1097">
        <v>2863</v>
      </c>
      <c r="J1097">
        <v>0</v>
      </c>
      <c r="K1097" t="str">
        <f t="shared" si="195"/>
        <v>809</v>
      </c>
      <c r="L1097">
        <v>1860.95</v>
      </c>
    </row>
    <row r="1098" spans="1:12" x14ac:dyDescent="0.25">
      <c r="A1098" t="str">
        <f t="shared" si="194"/>
        <v>89301000</v>
      </c>
      <c r="B1098" t="str">
        <f t="shared" ref="B1098:B1104" si="196">"78610000"</f>
        <v>78610000</v>
      </c>
      <c r="C1098" t="str">
        <f t="shared" ref="C1098:C1104" si="197">"78610001"</f>
        <v>78610001</v>
      </c>
      <c r="D1098">
        <v>89301322</v>
      </c>
      <c r="E1098" t="str">
        <f>"1207171823"</f>
        <v>1207171823</v>
      </c>
      <c r="F1098" s="1">
        <v>44965</v>
      </c>
      <c r="G1098" t="str">
        <f>"89513"</f>
        <v>89513</v>
      </c>
      <c r="H1098">
        <v>1</v>
      </c>
      <c r="I1098">
        <v>378</v>
      </c>
      <c r="J1098">
        <v>0</v>
      </c>
      <c r="K1098" t="str">
        <f t="shared" si="195"/>
        <v>809</v>
      </c>
      <c r="L1098">
        <v>555.66</v>
      </c>
    </row>
    <row r="1099" spans="1:12" x14ac:dyDescent="0.25">
      <c r="A1099" t="str">
        <f t="shared" si="194"/>
        <v>89301000</v>
      </c>
      <c r="B1099" t="str">
        <f t="shared" si="196"/>
        <v>78610000</v>
      </c>
      <c r="C1099" t="str">
        <f t="shared" si="197"/>
        <v>78610001</v>
      </c>
      <c r="D1099">
        <v>89301322</v>
      </c>
      <c r="E1099" t="str">
        <f>"1207171823"</f>
        <v>1207171823</v>
      </c>
      <c r="F1099" s="1">
        <v>44965</v>
      </c>
      <c r="G1099" t="str">
        <f>"89514"</f>
        <v>89514</v>
      </c>
      <c r="H1099">
        <v>1</v>
      </c>
      <c r="I1099">
        <v>378</v>
      </c>
      <c r="J1099">
        <v>0</v>
      </c>
      <c r="K1099" t="str">
        <f t="shared" si="195"/>
        <v>809</v>
      </c>
      <c r="L1099">
        <v>555.66</v>
      </c>
    </row>
    <row r="1100" spans="1:12" x14ac:dyDescent="0.25">
      <c r="A1100" t="str">
        <f t="shared" si="194"/>
        <v>89301000</v>
      </c>
      <c r="B1100" t="str">
        <f t="shared" si="196"/>
        <v>78610000</v>
      </c>
      <c r="C1100" t="str">
        <f t="shared" si="197"/>
        <v>78610001</v>
      </c>
      <c r="D1100">
        <v>89301055</v>
      </c>
      <c r="E1100" t="str">
        <f>"0103105717"</f>
        <v>0103105717</v>
      </c>
      <c r="F1100" s="1">
        <v>44985</v>
      </c>
      <c r="G1100" t="str">
        <f>"89517"</f>
        <v>89517</v>
      </c>
      <c r="H1100">
        <v>1</v>
      </c>
      <c r="I1100">
        <v>994</v>
      </c>
      <c r="J1100">
        <v>0</v>
      </c>
      <c r="K1100" t="str">
        <f t="shared" si="195"/>
        <v>809</v>
      </c>
      <c r="L1100">
        <v>1461.18</v>
      </c>
    </row>
    <row r="1101" spans="1:12" x14ac:dyDescent="0.25">
      <c r="A1101" t="str">
        <f t="shared" si="194"/>
        <v>89301000</v>
      </c>
      <c r="B1101" t="str">
        <f t="shared" si="196"/>
        <v>78610000</v>
      </c>
      <c r="C1101" t="str">
        <f t="shared" si="197"/>
        <v>78610001</v>
      </c>
      <c r="D1101">
        <v>89301055</v>
      </c>
      <c r="E1101" t="str">
        <f>"5556062358"</f>
        <v>5556062358</v>
      </c>
      <c r="F1101" s="1">
        <v>44971</v>
      </c>
      <c r="G1101" t="str">
        <f>"89517"</f>
        <v>89517</v>
      </c>
      <c r="H1101">
        <v>1</v>
      </c>
      <c r="I1101">
        <v>994</v>
      </c>
      <c r="J1101">
        <v>0</v>
      </c>
      <c r="K1101" t="str">
        <f t="shared" si="195"/>
        <v>809</v>
      </c>
      <c r="L1101">
        <v>1461.18</v>
      </c>
    </row>
    <row r="1102" spans="1:12" x14ac:dyDescent="0.25">
      <c r="A1102" t="str">
        <f t="shared" si="194"/>
        <v>89301000</v>
      </c>
      <c r="B1102" t="str">
        <f t="shared" si="196"/>
        <v>78610000</v>
      </c>
      <c r="C1102" t="str">
        <f t="shared" si="197"/>
        <v>78610001</v>
      </c>
      <c r="D1102">
        <v>89301055</v>
      </c>
      <c r="E1102" t="str">
        <f>"7007137126"</f>
        <v>7007137126</v>
      </c>
      <c r="F1102" s="1">
        <v>44964</v>
      </c>
      <c r="G1102" t="str">
        <f>"89517"</f>
        <v>89517</v>
      </c>
      <c r="H1102">
        <v>1</v>
      </c>
      <c r="I1102">
        <v>994</v>
      </c>
      <c r="J1102">
        <v>0</v>
      </c>
      <c r="K1102" t="str">
        <f t="shared" si="195"/>
        <v>809</v>
      </c>
      <c r="L1102">
        <v>1461.18</v>
      </c>
    </row>
    <row r="1103" spans="1:12" x14ac:dyDescent="0.25">
      <c r="A1103" t="str">
        <f t="shared" si="194"/>
        <v>89301000</v>
      </c>
      <c r="B1103" t="str">
        <f t="shared" si="196"/>
        <v>78610000</v>
      </c>
      <c r="C1103" t="str">
        <f t="shared" si="197"/>
        <v>78610001</v>
      </c>
      <c r="D1103">
        <v>89301055</v>
      </c>
      <c r="E1103" t="str">
        <f>"7105053263"</f>
        <v>7105053263</v>
      </c>
      <c r="F1103" s="1">
        <v>44971</v>
      </c>
      <c r="G1103" t="str">
        <f>"89517"</f>
        <v>89517</v>
      </c>
      <c r="H1103">
        <v>1</v>
      </c>
      <c r="I1103">
        <v>994</v>
      </c>
      <c r="J1103">
        <v>0</v>
      </c>
      <c r="K1103" t="str">
        <f t="shared" si="195"/>
        <v>809</v>
      </c>
      <c r="L1103">
        <v>1461.18</v>
      </c>
    </row>
    <row r="1104" spans="1:12" x14ac:dyDescent="0.25">
      <c r="A1104" t="str">
        <f t="shared" si="194"/>
        <v>89301000</v>
      </c>
      <c r="B1104" t="str">
        <f t="shared" si="196"/>
        <v>78610000</v>
      </c>
      <c r="C1104" t="str">
        <f t="shared" si="197"/>
        <v>78610001</v>
      </c>
      <c r="D1104">
        <v>89301055</v>
      </c>
      <c r="E1104" t="str">
        <f>"8355135327"</f>
        <v>8355135327</v>
      </c>
      <c r="F1104" s="1">
        <v>44978</v>
      </c>
      <c r="G1104" t="str">
        <f>"89517"</f>
        <v>89517</v>
      </c>
      <c r="H1104">
        <v>1</v>
      </c>
      <c r="I1104">
        <v>994</v>
      </c>
      <c r="J1104">
        <v>0</v>
      </c>
      <c r="K1104" t="str">
        <f t="shared" si="195"/>
        <v>809</v>
      </c>
      <c r="L1104">
        <v>1461.18</v>
      </c>
    </row>
    <row r="1105" spans="1:12" x14ac:dyDescent="0.25">
      <c r="A1105" t="str">
        <f t="shared" si="194"/>
        <v>89301000</v>
      </c>
      <c r="B1105" t="str">
        <f>"78934000"</f>
        <v>78934000</v>
      </c>
      <c r="C1105" t="str">
        <f>"78934001"</f>
        <v>78934001</v>
      </c>
      <c r="D1105">
        <v>89301112</v>
      </c>
      <c r="E1105" t="str">
        <f>"6454080072"</f>
        <v>6454080072</v>
      </c>
      <c r="F1105" s="1">
        <v>44984</v>
      </c>
      <c r="G1105" t="str">
        <f>"89117"</f>
        <v>89117</v>
      </c>
      <c r="H1105">
        <v>1</v>
      </c>
      <c r="I1105">
        <v>172</v>
      </c>
      <c r="J1105">
        <v>0</v>
      </c>
      <c r="K1105" t="str">
        <f t="shared" si="195"/>
        <v>809</v>
      </c>
      <c r="L1105">
        <v>252.84</v>
      </c>
    </row>
    <row r="1106" spans="1:12" x14ac:dyDescent="0.25">
      <c r="A1106" t="str">
        <f t="shared" si="194"/>
        <v>89301000</v>
      </c>
      <c r="B1106" t="str">
        <f t="shared" ref="B1106:B1147" si="198">"91866000"</f>
        <v>91866000</v>
      </c>
      <c r="C1106" t="str">
        <f t="shared" ref="C1106:C1146" si="199">"91866313"</f>
        <v>91866313</v>
      </c>
      <c r="D1106">
        <v>89301704</v>
      </c>
      <c r="E1106" t="str">
        <f t="shared" ref="E1106:E1111" si="200">"1962300791"</f>
        <v>1962300791</v>
      </c>
      <c r="F1106" s="1">
        <v>44982</v>
      </c>
      <c r="G1106" t="str">
        <f t="shared" ref="G1106:G1111" si="201">"82087"</f>
        <v>82087</v>
      </c>
      <c r="H1106">
        <v>1</v>
      </c>
      <c r="I1106">
        <v>53</v>
      </c>
      <c r="J1106">
        <v>0</v>
      </c>
      <c r="K1106" t="str">
        <f t="shared" ref="K1106:K1146" si="202">"802"</f>
        <v>802</v>
      </c>
      <c r="L1106">
        <v>51.41</v>
      </c>
    </row>
    <row r="1107" spans="1:12" x14ac:dyDescent="0.25">
      <c r="A1107" t="str">
        <f t="shared" si="194"/>
        <v>89301000</v>
      </c>
      <c r="B1107" t="str">
        <f t="shared" si="198"/>
        <v>91866000</v>
      </c>
      <c r="C1107" t="str">
        <f t="shared" si="199"/>
        <v>91866313</v>
      </c>
      <c r="D1107">
        <v>89301704</v>
      </c>
      <c r="E1107" t="str">
        <f t="shared" si="200"/>
        <v>1962300791</v>
      </c>
      <c r="F1107" s="1">
        <v>44980</v>
      </c>
      <c r="G1107" t="str">
        <f t="shared" si="201"/>
        <v>82087</v>
      </c>
      <c r="H1107">
        <v>1</v>
      </c>
      <c r="I1107">
        <v>53</v>
      </c>
      <c r="J1107">
        <v>0</v>
      </c>
      <c r="K1107" t="str">
        <f t="shared" si="202"/>
        <v>802</v>
      </c>
      <c r="L1107">
        <v>51.41</v>
      </c>
    </row>
    <row r="1108" spans="1:12" x14ac:dyDescent="0.25">
      <c r="A1108" t="str">
        <f t="shared" si="194"/>
        <v>89301000</v>
      </c>
      <c r="B1108" t="str">
        <f t="shared" si="198"/>
        <v>91866000</v>
      </c>
      <c r="C1108" t="str">
        <f t="shared" si="199"/>
        <v>91866313</v>
      </c>
      <c r="D1108">
        <v>89301704</v>
      </c>
      <c r="E1108" t="str">
        <f t="shared" si="200"/>
        <v>1962300791</v>
      </c>
      <c r="F1108" s="1">
        <v>44982</v>
      </c>
      <c r="G1108" t="str">
        <f t="shared" si="201"/>
        <v>82087</v>
      </c>
      <c r="H1108">
        <v>1</v>
      </c>
      <c r="I1108">
        <v>53</v>
      </c>
      <c r="J1108">
        <v>0</v>
      </c>
      <c r="K1108" t="str">
        <f t="shared" si="202"/>
        <v>802</v>
      </c>
      <c r="L1108">
        <v>51.41</v>
      </c>
    </row>
    <row r="1109" spans="1:12" x14ac:dyDescent="0.25">
      <c r="A1109" t="str">
        <f t="shared" si="194"/>
        <v>89301000</v>
      </c>
      <c r="B1109" t="str">
        <f t="shared" si="198"/>
        <v>91866000</v>
      </c>
      <c r="C1109" t="str">
        <f t="shared" si="199"/>
        <v>91866313</v>
      </c>
      <c r="D1109">
        <v>89301704</v>
      </c>
      <c r="E1109" t="str">
        <f t="shared" si="200"/>
        <v>1962300791</v>
      </c>
      <c r="F1109" s="1">
        <v>44981</v>
      </c>
      <c r="G1109" t="str">
        <f t="shared" si="201"/>
        <v>82087</v>
      </c>
      <c r="H1109">
        <v>1</v>
      </c>
      <c r="I1109">
        <v>53</v>
      </c>
      <c r="J1109">
        <v>0</v>
      </c>
      <c r="K1109" t="str">
        <f t="shared" si="202"/>
        <v>802</v>
      </c>
      <c r="L1109">
        <v>51.41</v>
      </c>
    </row>
    <row r="1110" spans="1:12" x14ac:dyDescent="0.25">
      <c r="A1110" t="str">
        <f t="shared" si="194"/>
        <v>89301000</v>
      </c>
      <c r="B1110" t="str">
        <f t="shared" si="198"/>
        <v>91866000</v>
      </c>
      <c r="C1110" t="str">
        <f t="shared" si="199"/>
        <v>91866313</v>
      </c>
      <c r="D1110">
        <v>89301704</v>
      </c>
      <c r="E1110" t="str">
        <f t="shared" si="200"/>
        <v>1962300791</v>
      </c>
      <c r="F1110" s="1">
        <v>44980</v>
      </c>
      <c r="G1110" t="str">
        <f t="shared" si="201"/>
        <v>82087</v>
      </c>
      <c r="H1110">
        <v>1</v>
      </c>
      <c r="I1110">
        <v>53</v>
      </c>
      <c r="J1110">
        <v>0</v>
      </c>
      <c r="K1110" t="str">
        <f t="shared" si="202"/>
        <v>802</v>
      </c>
      <c r="L1110">
        <v>51.41</v>
      </c>
    </row>
    <row r="1111" spans="1:12" x14ac:dyDescent="0.25">
      <c r="A1111" t="str">
        <f t="shared" si="194"/>
        <v>89301000</v>
      </c>
      <c r="B1111" t="str">
        <f t="shared" si="198"/>
        <v>91866000</v>
      </c>
      <c r="C1111" t="str">
        <f t="shared" si="199"/>
        <v>91866313</v>
      </c>
      <c r="D1111">
        <v>89301704</v>
      </c>
      <c r="E1111" t="str">
        <f t="shared" si="200"/>
        <v>1962300791</v>
      </c>
      <c r="F1111" s="1">
        <v>44981</v>
      </c>
      <c r="G1111" t="str">
        <f t="shared" si="201"/>
        <v>82087</v>
      </c>
      <c r="H1111">
        <v>1</v>
      </c>
      <c r="I1111">
        <v>53</v>
      </c>
      <c r="J1111">
        <v>0</v>
      </c>
      <c r="K1111" t="str">
        <f t="shared" si="202"/>
        <v>802</v>
      </c>
      <c r="L1111">
        <v>51.41</v>
      </c>
    </row>
    <row r="1112" spans="1:12" x14ac:dyDescent="0.25">
      <c r="A1112" t="str">
        <f t="shared" si="194"/>
        <v>89301000</v>
      </c>
      <c r="B1112" t="str">
        <f t="shared" si="198"/>
        <v>91866000</v>
      </c>
      <c r="C1112" t="str">
        <f t="shared" si="199"/>
        <v>91866313</v>
      </c>
      <c r="D1112">
        <v>89301108</v>
      </c>
      <c r="E1112" t="str">
        <f t="shared" ref="E1112:E1119" si="203">"0508076151"</f>
        <v>0508076151</v>
      </c>
      <c r="F1112" s="1">
        <v>44979</v>
      </c>
      <c r="G1112" t="str">
        <f>"97111"</f>
        <v>97111</v>
      </c>
      <c r="H1112">
        <v>1</v>
      </c>
      <c r="I1112">
        <v>19</v>
      </c>
      <c r="J1112">
        <v>0</v>
      </c>
      <c r="K1112" t="str">
        <f t="shared" si="202"/>
        <v>802</v>
      </c>
      <c r="L1112">
        <v>23.94</v>
      </c>
    </row>
    <row r="1113" spans="1:12" x14ac:dyDescent="0.25">
      <c r="A1113" t="str">
        <f t="shared" si="194"/>
        <v>89301000</v>
      </c>
      <c r="B1113" t="str">
        <f t="shared" si="198"/>
        <v>91866000</v>
      </c>
      <c r="C1113" t="str">
        <f t="shared" si="199"/>
        <v>91866313</v>
      </c>
      <c r="D1113">
        <v>89301108</v>
      </c>
      <c r="E1113" t="str">
        <f t="shared" si="203"/>
        <v>0508076151</v>
      </c>
      <c r="F1113" s="1">
        <v>44979</v>
      </c>
      <c r="G1113" t="str">
        <f>"82117"</f>
        <v>82117</v>
      </c>
      <c r="H1113">
        <v>2</v>
      </c>
      <c r="I1113">
        <v>1058</v>
      </c>
      <c r="J1113">
        <v>0</v>
      </c>
      <c r="K1113" t="str">
        <f t="shared" si="202"/>
        <v>802</v>
      </c>
      <c r="L1113">
        <v>1026.26</v>
      </c>
    </row>
    <row r="1114" spans="1:12" x14ac:dyDescent="0.25">
      <c r="A1114" t="str">
        <f t="shared" si="194"/>
        <v>89301000</v>
      </c>
      <c r="B1114" t="str">
        <f t="shared" si="198"/>
        <v>91866000</v>
      </c>
      <c r="C1114" t="str">
        <f t="shared" si="199"/>
        <v>91866313</v>
      </c>
      <c r="D1114">
        <v>89301108</v>
      </c>
      <c r="E1114" t="str">
        <f t="shared" si="203"/>
        <v>0508076151</v>
      </c>
      <c r="F1114" s="1">
        <v>44979</v>
      </c>
      <c r="G1114" t="str">
        <f>"82079"</f>
        <v>82079</v>
      </c>
      <c r="H1114">
        <v>1</v>
      </c>
      <c r="I1114">
        <v>333</v>
      </c>
      <c r="J1114">
        <v>0</v>
      </c>
      <c r="K1114" t="str">
        <f t="shared" si="202"/>
        <v>802</v>
      </c>
      <c r="L1114">
        <v>323.01</v>
      </c>
    </row>
    <row r="1115" spans="1:12" x14ac:dyDescent="0.25">
      <c r="A1115" t="str">
        <f t="shared" si="194"/>
        <v>89301000</v>
      </c>
      <c r="B1115" t="str">
        <f t="shared" si="198"/>
        <v>91866000</v>
      </c>
      <c r="C1115" t="str">
        <f t="shared" si="199"/>
        <v>91866313</v>
      </c>
      <c r="D1115">
        <v>89301108</v>
      </c>
      <c r="E1115" t="str">
        <f t="shared" si="203"/>
        <v>0508076151</v>
      </c>
      <c r="F1115" s="1">
        <v>44979</v>
      </c>
      <c r="G1115" t="str">
        <f>"82079"</f>
        <v>82079</v>
      </c>
      <c r="H1115">
        <v>1</v>
      </c>
      <c r="I1115">
        <v>333</v>
      </c>
      <c r="J1115">
        <v>0</v>
      </c>
      <c r="K1115" t="str">
        <f t="shared" si="202"/>
        <v>802</v>
      </c>
      <c r="L1115">
        <v>323.01</v>
      </c>
    </row>
    <row r="1116" spans="1:12" x14ac:dyDescent="0.25">
      <c r="A1116" t="str">
        <f t="shared" si="194"/>
        <v>89301000</v>
      </c>
      <c r="B1116" t="str">
        <f t="shared" si="198"/>
        <v>91866000</v>
      </c>
      <c r="C1116" t="str">
        <f t="shared" si="199"/>
        <v>91866313</v>
      </c>
      <c r="D1116">
        <v>89301108</v>
      </c>
      <c r="E1116" t="str">
        <f t="shared" si="203"/>
        <v>0508076151</v>
      </c>
      <c r="F1116" s="1">
        <v>44980</v>
      </c>
      <c r="G1116" t="str">
        <f>"82079"</f>
        <v>82079</v>
      </c>
      <c r="H1116">
        <v>1</v>
      </c>
      <c r="I1116">
        <v>333</v>
      </c>
      <c r="J1116">
        <v>0</v>
      </c>
      <c r="K1116" t="str">
        <f t="shared" si="202"/>
        <v>802</v>
      </c>
      <c r="L1116">
        <v>323.01</v>
      </c>
    </row>
    <row r="1117" spans="1:12" x14ac:dyDescent="0.25">
      <c r="A1117" t="str">
        <f t="shared" si="194"/>
        <v>89301000</v>
      </c>
      <c r="B1117" t="str">
        <f t="shared" si="198"/>
        <v>91866000</v>
      </c>
      <c r="C1117" t="str">
        <f t="shared" si="199"/>
        <v>91866313</v>
      </c>
      <c r="D1117">
        <v>89301108</v>
      </c>
      <c r="E1117" t="str">
        <f t="shared" si="203"/>
        <v>0508076151</v>
      </c>
      <c r="F1117" s="1">
        <v>44979</v>
      </c>
      <c r="G1117" t="str">
        <f>"82117"</f>
        <v>82117</v>
      </c>
      <c r="H1117">
        <v>1</v>
      </c>
      <c r="I1117">
        <v>529</v>
      </c>
      <c r="J1117">
        <v>0</v>
      </c>
      <c r="K1117" t="str">
        <f t="shared" si="202"/>
        <v>802</v>
      </c>
      <c r="L1117">
        <v>513.13</v>
      </c>
    </row>
    <row r="1118" spans="1:12" x14ac:dyDescent="0.25">
      <c r="A1118" t="str">
        <f t="shared" si="194"/>
        <v>89301000</v>
      </c>
      <c r="B1118" t="str">
        <f t="shared" si="198"/>
        <v>91866000</v>
      </c>
      <c r="C1118" t="str">
        <f t="shared" si="199"/>
        <v>91866313</v>
      </c>
      <c r="D1118">
        <v>89301108</v>
      </c>
      <c r="E1118" t="str">
        <f t="shared" si="203"/>
        <v>0508076151</v>
      </c>
      <c r="F1118" s="1">
        <v>44980</v>
      </c>
      <c r="G1118" t="str">
        <f>"82117"</f>
        <v>82117</v>
      </c>
      <c r="H1118">
        <v>1</v>
      </c>
      <c r="I1118">
        <v>529</v>
      </c>
      <c r="J1118">
        <v>0</v>
      </c>
      <c r="K1118" t="str">
        <f t="shared" si="202"/>
        <v>802</v>
      </c>
      <c r="L1118">
        <v>513.13</v>
      </c>
    </row>
    <row r="1119" spans="1:12" x14ac:dyDescent="0.25">
      <c r="A1119" t="str">
        <f t="shared" si="194"/>
        <v>89301000</v>
      </c>
      <c r="B1119" t="str">
        <f t="shared" si="198"/>
        <v>91866000</v>
      </c>
      <c r="C1119" t="str">
        <f t="shared" si="199"/>
        <v>91866313</v>
      </c>
      <c r="D1119">
        <v>89301108</v>
      </c>
      <c r="E1119" t="str">
        <f t="shared" si="203"/>
        <v>0508076151</v>
      </c>
      <c r="F1119" s="1">
        <v>44979</v>
      </c>
      <c r="G1119" t="str">
        <f>"82079"</f>
        <v>82079</v>
      </c>
      <c r="H1119">
        <v>1</v>
      </c>
      <c r="I1119">
        <v>333</v>
      </c>
      <c r="J1119">
        <v>0</v>
      </c>
      <c r="K1119" t="str">
        <f t="shared" si="202"/>
        <v>802</v>
      </c>
      <c r="L1119">
        <v>323.01</v>
      </c>
    </row>
    <row r="1120" spans="1:12" x14ac:dyDescent="0.25">
      <c r="A1120" t="str">
        <f t="shared" si="194"/>
        <v>89301000</v>
      </c>
      <c r="B1120" t="str">
        <f t="shared" si="198"/>
        <v>91866000</v>
      </c>
      <c r="C1120" t="str">
        <f t="shared" si="199"/>
        <v>91866313</v>
      </c>
      <c r="D1120">
        <v>89301031</v>
      </c>
      <c r="E1120" t="str">
        <f>"486217078"</f>
        <v>486217078</v>
      </c>
      <c r="F1120" s="1">
        <v>44974</v>
      </c>
      <c r="G1120" t="str">
        <f t="shared" ref="G1120:G1137" si="204">"82087"</f>
        <v>82087</v>
      </c>
      <c r="H1120">
        <v>1</v>
      </c>
      <c r="I1120">
        <v>53</v>
      </c>
      <c r="J1120">
        <v>0</v>
      </c>
      <c r="K1120" t="str">
        <f t="shared" si="202"/>
        <v>802</v>
      </c>
      <c r="L1120">
        <v>51.41</v>
      </c>
    </row>
    <row r="1121" spans="1:12" x14ac:dyDescent="0.25">
      <c r="A1121" t="str">
        <f t="shared" si="194"/>
        <v>89301000</v>
      </c>
      <c r="B1121" t="str">
        <f t="shared" si="198"/>
        <v>91866000</v>
      </c>
      <c r="C1121" t="str">
        <f t="shared" si="199"/>
        <v>91866313</v>
      </c>
      <c r="D1121">
        <v>89301031</v>
      </c>
      <c r="E1121" t="str">
        <f>"486217078"</f>
        <v>486217078</v>
      </c>
      <c r="F1121" s="1">
        <v>44973</v>
      </c>
      <c r="G1121" t="str">
        <f t="shared" si="204"/>
        <v>82087</v>
      </c>
      <c r="H1121">
        <v>1</v>
      </c>
      <c r="I1121">
        <v>53</v>
      </c>
      <c r="J1121">
        <v>0</v>
      </c>
      <c r="K1121" t="str">
        <f t="shared" si="202"/>
        <v>802</v>
      </c>
      <c r="L1121">
        <v>51.41</v>
      </c>
    </row>
    <row r="1122" spans="1:12" x14ac:dyDescent="0.25">
      <c r="A1122" t="str">
        <f t="shared" si="194"/>
        <v>89301000</v>
      </c>
      <c r="B1122" t="str">
        <f t="shared" si="198"/>
        <v>91866000</v>
      </c>
      <c r="C1122" t="str">
        <f t="shared" si="199"/>
        <v>91866313</v>
      </c>
      <c r="D1122">
        <v>89301031</v>
      </c>
      <c r="E1122" t="str">
        <f>"486217078"</f>
        <v>486217078</v>
      </c>
      <c r="F1122" s="1">
        <v>44973</v>
      </c>
      <c r="G1122" t="str">
        <f t="shared" si="204"/>
        <v>82087</v>
      </c>
      <c r="H1122">
        <v>1</v>
      </c>
      <c r="I1122">
        <v>53</v>
      </c>
      <c r="J1122">
        <v>0</v>
      </c>
      <c r="K1122" t="str">
        <f t="shared" si="202"/>
        <v>802</v>
      </c>
      <c r="L1122">
        <v>51.41</v>
      </c>
    </row>
    <row r="1123" spans="1:12" x14ac:dyDescent="0.25">
      <c r="A1123" t="str">
        <f t="shared" si="194"/>
        <v>89301000</v>
      </c>
      <c r="B1123" t="str">
        <f t="shared" si="198"/>
        <v>91866000</v>
      </c>
      <c r="C1123" t="str">
        <f t="shared" si="199"/>
        <v>91866313</v>
      </c>
      <c r="D1123">
        <v>89301031</v>
      </c>
      <c r="E1123" t="str">
        <f>"486217078"</f>
        <v>486217078</v>
      </c>
      <c r="F1123" s="1">
        <v>44974</v>
      </c>
      <c r="G1123" t="str">
        <f t="shared" si="204"/>
        <v>82087</v>
      </c>
      <c r="H1123">
        <v>1</v>
      </c>
      <c r="I1123">
        <v>53</v>
      </c>
      <c r="J1123">
        <v>0</v>
      </c>
      <c r="K1123" t="str">
        <f t="shared" si="202"/>
        <v>802</v>
      </c>
      <c r="L1123">
        <v>51.41</v>
      </c>
    </row>
    <row r="1124" spans="1:12" x14ac:dyDescent="0.25">
      <c r="A1124" t="str">
        <f t="shared" si="194"/>
        <v>89301000</v>
      </c>
      <c r="B1124" t="str">
        <f t="shared" si="198"/>
        <v>91866000</v>
      </c>
      <c r="C1124" t="str">
        <f t="shared" si="199"/>
        <v>91866313</v>
      </c>
      <c r="D1124">
        <v>89301704</v>
      </c>
      <c r="E1124" t="str">
        <f t="shared" ref="E1124:E1129" si="205">"1157100043"</f>
        <v>1157100043</v>
      </c>
      <c r="F1124" s="1">
        <v>44966</v>
      </c>
      <c r="G1124" t="str">
        <f t="shared" si="204"/>
        <v>82087</v>
      </c>
      <c r="H1124">
        <v>1</v>
      </c>
      <c r="I1124">
        <v>53</v>
      </c>
      <c r="J1124">
        <v>0</v>
      </c>
      <c r="K1124" t="str">
        <f t="shared" si="202"/>
        <v>802</v>
      </c>
      <c r="L1124">
        <v>51.41</v>
      </c>
    </row>
    <row r="1125" spans="1:12" x14ac:dyDescent="0.25">
      <c r="A1125" t="str">
        <f t="shared" si="194"/>
        <v>89301000</v>
      </c>
      <c r="B1125" t="str">
        <f t="shared" si="198"/>
        <v>91866000</v>
      </c>
      <c r="C1125" t="str">
        <f t="shared" si="199"/>
        <v>91866313</v>
      </c>
      <c r="D1125">
        <v>89301704</v>
      </c>
      <c r="E1125" t="str">
        <f t="shared" si="205"/>
        <v>1157100043</v>
      </c>
      <c r="F1125" s="1">
        <v>44968</v>
      </c>
      <c r="G1125" t="str">
        <f t="shared" si="204"/>
        <v>82087</v>
      </c>
      <c r="H1125">
        <v>1</v>
      </c>
      <c r="I1125">
        <v>53</v>
      </c>
      <c r="J1125">
        <v>0</v>
      </c>
      <c r="K1125" t="str">
        <f t="shared" si="202"/>
        <v>802</v>
      </c>
      <c r="L1125">
        <v>51.41</v>
      </c>
    </row>
    <row r="1126" spans="1:12" x14ac:dyDescent="0.25">
      <c r="A1126" t="str">
        <f t="shared" si="194"/>
        <v>89301000</v>
      </c>
      <c r="B1126" t="str">
        <f t="shared" si="198"/>
        <v>91866000</v>
      </c>
      <c r="C1126" t="str">
        <f t="shared" si="199"/>
        <v>91866313</v>
      </c>
      <c r="D1126">
        <v>89301704</v>
      </c>
      <c r="E1126" t="str">
        <f t="shared" si="205"/>
        <v>1157100043</v>
      </c>
      <c r="F1126" s="1">
        <v>44967</v>
      </c>
      <c r="G1126" t="str">
        <f t="shared" si="204"/>
        <v>82087</v>
      </c>
      <c r="H1126">
        <v>1</v>
      </c>
      <c r="I1126">
        <v>53</v>
      </c>
      <c r="J1126">
        <v>0</v>
      </c>
      <c r="K1126" t="str">
        <f t="shared" si="202"/>
        <v>802</v>
      </c>
      <c r="L1126">
        <v>51.41</v>
      </c>
    </row>
    <row r="1127" spans="1:12" x14ac:dyDescent="0.25">
      <c r="A1127" t="str">
        <f t="shared" si="194"/>
        <v>89301000</v>
      </c>
      <c r="B1127" t="str">
        <f t="shared" si="198"/>
        <v>91866000</v>
      </c>
      <c r="C1127" t="str">
        <f t="shared" si="199"/>
        <v>91866313</v>
      </c>
      <c r="D1127">
        <v>89301704</v>
      </c>
      <c r="E1127" t="str">
        <f t="shared" si="205"/>
        <v>1157100043</v>
      </c>
      <c r="F1127" s="1">
        <v>44967</v>
      </c>
      <c r="G1127" t="str">
        <f t="shared" si="204"/>
        <v>82087</v>
      </c>
      <c r="H1127">
        <v>1</v>
      </c>
      <c r="I1127">
        <v>53</v>
      </c>
      <c r="J1127">
        <v>0</v>
      </c>
      <c r="K1127" t="str">
        <f t="shared" si="202"/>
        <v>802</v>
      </c>
      <c r="L1127">
        <v>51.41</v>
      </c>
    </row>
    <row r="1128" spans="1:12" x14ac:dyDescent="0.25">
      <c r="A1128" t="str">
        <f t="shared" si="194"/>
        <v>89301000</v>
      </c>
      <c r="B1128" t="str">
        <f t="shared" si="198"/>
        <v>91866000</v>
      </c>
      <c r="C1128" t="str">
        <f t="shared" si="199"/>
        <v>91866313</v>
      </c>
      <c r="D1128">
        <v>89301704</v>
      </c>
      <c r="E1128" t="str">
        <f t="shared" si="205"/>
        <v>1157100043</v>
      </c>
      <c r="F1128" s="1">
        <v>44966</v>
      </c>
      <c r="G1128" t="str">
        <f t="shared" si="204"/>
        <v>82087</v>
      </c>
      <c r="H1128">
        <v>1</v>
      </c>
      <c r="I1128">
        <v>53</v>
      </c>
      <c r="J1128">
        <v>0</v>
      </c>
      <c r="K1128" t="str">
        <f t="shared" si="202"/>
        <v>802</v>
      </c>
      <c r="L1128">
        <v>51.41</v>
      </c>
    </row>
    <row r="1129" spans="1:12" x14ac:dyDescent="0.25">
      <c r="A1129" t="str">
        <f t="shared" si="194"/>
        <v>89301000</v>
      </c>
      <c r="B1129" t="str">
        <f t="shared" si="198"/>
        <v>91866000</v>
      </c>
      <c r="C1129" t="str">
        <f t="shared" si="199"/>
        <v>91866313</v>
      </c>
      <c r="D1129">
        <v>89301704</v>
      </c>
      <c r="E1129" t="str">
        <f t="shared" si="205"/>
        <v>1157100043</v>
      </c>
      <c r="F1129" s="1">
        <v>44968</v>
      </c>
      <c r="G1129" t="str">
        <f t="shared" si="204"/>
        <v>82087</v>
      </c>
      <c r="H1129">
        <v>1</v>
      </c>
      <c r="I1129">
        <v>53</v>
      </c>
      <c r="J1129">
        <v>0</v>
      </c>
      <c r="K1129" t="str">
        <f t="shared" si="202"/>
        <v>802</v>
      </c>
      <c r="L1129">
        <v>51.41</v>
      </c>
    </row>
    <row r="1130" spans="1:12" x14ac:dyDescent="0.25">
      <c r="A1130" t="str">
        <f t="shared" si="194"/>
        <v>89301000</v>
      </c>
      <c r="B1130" t="str">
        <f t="shared" si="198"/>
        <v>91866000</v>
      </c>
      <c r="C1130" t="str">
        <f t="shared" si="199"/>
        <v>91866313</v>
      </c>
      <c r="D1130">
        <v>89301704</v>
      </c>
      <c r="E1130" t="str">
        <f t="shared" ref="E1130:E1135" si="206">"0856146071"</f>
        <v>0856146071</v>
      </c>
      <c r="F1130" s="1">
        <v>44967</v>
      </c>
      <c r="G1130" t="str">
        <f t="shared" si="204"/>
        <v>82087</v>
      </c>
      <c r="H1130">
        <v>1</v>
      </c>
      <c r="I1130">
        <v>53</v>
      </c>
      <c r="J1130">
        <v>0</v>
      </c>
      <c r="K1130" t="str">
        <f t="shared" si="202"/>
        <v>802</v>
      </c>
      <c r="L1130">
        <v>51.41</v>
      </c>
    </row>
    <row r="1131" spans="1:12" x14ac:dyDescent="0.25">
      <c r="A1131" t="str">
        <f t="shared" si="194"/>
        <v>89301000</v>
      </c>
      <c r="B1131" t="str">
        <f t="shared" si="198"/>
        <v>91866000</v>
      </c>
      <c r="C1131" t="str">
        <f t="shared" si="199"/>
        <v>91866313</v>
      </c>
      <c r="D1131">
        <v>89301704</v>
      </c>
      <c r="E1131" t="str">
        <f t="shared" si="206"/>
        <v>0856146071</v>
      </c>
      <c r="F1131" s="1">
        <v>44968</v>
      </c>
      <c r="G1131" t="str">
        <f t="shared" si="204"/>
        <v>82087</v>
      </c>
      <c r="H1131">
        <v>1</v>
      </c>
      <c r="I1131">
        <v>53</v>
      </c>
      <c r="J1131">
        <v>0</v>
      </c>
      <c r="K1131" t="str">
        <f t="shared" si="202"/>
        <v>802</v>
      </c>
      <c r="L1131">
        <v>51.41</v>
      </c>
    </row>
    <row r="1132" spans="1:12" x14ac:dyDescent="0.25">
      <c r="A1132" t="str">
        <f t="shared" si="194"/>
        <v>89301000</v>
      </c>
      <c r="B1132" t="str">
        <f t="shared" si="198"/>
        <v>91866000</v>
      </c>
      <c r="C1132" t="str">
        <f t="shared" si="199"/>
        <v>91866313</v>
      </c>
      <c r="D1132">
        <v>89301704</v>
      </c>
      <c r="E1132" t="str">
        <f t="shared" si="206"/>
        <v>0856146071</v>
      </c>
      <c r="F1132" s="1">
        <v>44966</v>
      </c>
      <c r="G1132" t="str">
        <f t="shared" si="204"/>
        <v>82087</v>
      </c>
      <c r="H1132">
        <v>1</v>
      </c>
      <c r="I1132">
        <v>53</v>
      </c>
      <c r="J1132">
        <v>0</v>
      </c>
      <c r="K1132" t="str">
        <f t="shared" si="202"/>
        <v>802</v>
      </c>
      <c r="L1132">
        <v>51.41</v>
      </c>
    </row>
    <row r="1133" spans="1:12" x14ac:dyDescent="0.25">
      <c r="A1133" t="str">
        <f t="shared" si="194"/>
        <v>89301000</v>
      </c>
      <c r="B1133" t="str">
        <f t="shared" si="198"/>
        <v>91866000</v>
      </c>
      <c r="C1133" t="str">
        <f t="shared" si="199"/>
        <v>91866313</v>
      </c>
      <c r="D1133">
        <v>89301704</v>
      </c>
      <c r="E1133" t="str">
        <f t="shared" si="206"/>
        <v>0856146071</v>
      </c>
      <c r="F1133" s="1">
        <v>44966</v>
      </c>
      <c r="G1133" t="str">
        <f t="shared" si="204"/>
        <v>82087</v>
      </c>
      <c r="H1133">
        <v>1</v>
      </c>
      <c r="I1133">
        <v>53</v>
      </c>
      <c r="J1133">
        <v>0</v>
      </c>
      <c r="K1133" t="str">
        <f t="shared" si="202"/>
        <v>802</v>
      </c>
      <c r="L1133">
        <v>51.41</v>
      </c>
    </row>
    <row r="1134" spans="1:12" x14ac:dyDescent="0.25">
      <c r="A1134" t="str">
        <f t="shared" si="194"/>
        <v>89301000</v>
      </c>
      <c r="B1134" t="str">
        <f t="shared" si="198"/>
        <v>91866000</v>
      </c>
      <c r="C1134" t="str">
        <f t="shared" si="199"/>
        <v>91866313</v>
      </c>
      <c r="D1134">
        <v>89301704</v>
      </c>
      <c r="E1134" t="str">
        <f t="shared" si="206"/>
        <v>0856146071</v>
      </c>
      <c r="F1134" s="1">
        <v>44967</v>
      </c>
      <c r="G1134" t="str">
        <f t="shared" si="204"/>
        <v>82087</v>
      </c>
      <c r="H1134">
        <v>1</v>
      </c>
      <c r="I1134">
        <v>53</v>
      </c>
      <c r="J1134">
        <v>0</v>
      </c>
      <c r="K1134" t="str">
        <f t="shared" si="202"/>
        <v>802</v>
      </c>
      <c r="L1134">
        <v>51.41</v>
      </c>
    </row>
    <row r="1135" spans="1:12" x14ac:dyDescent="0.25">
      <c r="A1135" t="str">
        <f t="shared" si="194"/>
        <v>89301000</v>
      </c>
      <c r="B1135" t="str">
        <f t="shared" si="198"/>
        <v>91866000</v>
      </c>
      <c r="C1135" t="str">
        <f t="shared" si="199"/>
        <v>91866313</v>
      </c>
      <c r="D1135">
        <v>89301704</v>
      </c>
      <c r="E1135" t="str">
        <f t="shared" si="206"/>
        <v>0856146071</v>
      </c>
      <c r="F1135" s="1">
        <v>44968</v>
      </c>
      <c r="G1135" t="str">
        <f t="shared" si="204"/>
        <v>82087</v>
      </c>
      <c r="H1135">
        <v>1</v>
      </c>
      <c r="I1135">
        <v>53</v>
      </c>
      <c r="J1135">
        <v>0</v>
      </c>
      <c r="K1135" t="str">
        <f t="shared" si="202"/>
        <v>802</v>
      </c>
      <c r="L1135">
        <v>51.41</v>
      </c>
    </row>
    <row r="1136" spans="1:12" x14ac:dyDescent="0.25">
      <c r="A1136" t="str">
        <f t="shared" si="194"/>
        <v>89301000</v>
      </c>
      <c r="B1136" t="str">
        <f t="shared" si="198"/>
        <v>91866000</v>
      </c>
      <c r="C1136" t="str">
        <f t="shared" si="199"/>
        <v>91866313</v>
      </c>
      <c r="D1136">
        <v>89301031</v>
      </c>
      <c r="E1136" t="str">
        <f>"9805194850"</f>
        <v>9805194850</v>
      </c>
      <c r="F1136" s="1">
        <v>44968</v>
      </c>
      <c r="G1136" t="str">
        <f t="shared" si="204"/>
        <v>82087</v>
      </c>
      <c r="H1136">
        <v>1</v>
      </c>
      <c r="I1136">
        <v>53</v>
      </c>
      <c r="J1136">
        <v>0</v>
      </c>
      <c r="K1136" t="str">
        <f t="shared" si="202"/>
        <v>802</v>
      </c>
      <c r="L1136">
        <v>51.41</v>
      </c>
    </row>
    <row r="1137" spans="1:12" x14ac:dyDescent="0.25">
      <c r="A1137" t="str">
        <f t="shared" si="194"/>
        <v>89301000</v>
      </c>
      <c r="B1137" t="str">
        <f t="shared" si="198"/>
        <v>91866000</v>
      </c>
      <c r="C1137" t="str">
        <f t="shared" si="199"/>
        <v>91866313</v>
      </c>
      <c r="D1137">
        <v>89301031</v>
      </c>
      <c r="E1137" t="str">
        <f>"9805194850"</f>
        <v>9805194850</v>
      </c>
      <c r="F1137" s="1">
        <v>44968</v>
      </c>
      <c r="G1137" t="str">
        <f t="shared" si="204"/>
        <v>82087</v>
      </c>
      <c r="H1137">
        <v>1</v>
      </c>
      <c r="I1137">
        <v>53</v>
      </c>
      <c r="J1137">
        <v>0</v>
      </c>
      <c r="K1137" t="str">
        <f t="shared" si="202"/>
        <v>802</v>
      </c>
      <c r="L1137">
        <v>51.41</v>
      </c>
    </row>
    <row r="1138" spans="1:12" x14ac:dyDescent="0.25">
      <c r="A1138" t="str">
        <f t="shared" si="194"/>
        <v>89301000</v>
      </c>
      <c r="B1138" t="str">
        <f t="shared" si="198"/>
        <v>91866000</v>
      </c>
      <c r="C1138" t="str">
        <f t="shared" si="199"/>
        <v>91866313</v>
      </c>
      <c r="D1138">
        <v>89301103</v>
      </c>
      <c r="E1138" t="str">
        <f t="shared" ref="E1138:E1146" si="207">"1004125342"</f>
        <v>1004125342</v>
      </c>
      <c r="F1138" s="1">
        <v>44964</v>
      </c>
      <c r="G1138" t="str">
        <f>"82121"</f>
        <v>82121</v>
      </c>
      <c r="H1138">
        <v>1</v>
      </c>
      <c r="I1138">
        <v>811</v>
      </c>
      <c r="J1138">
        <v>0</v>
      </c>
      <c r="K1138" t="str">
        <f t="shared" si="202"/>
        <v>802</v>
      </c>
      <c r="L1138">
        <v>786.67</v>
      </c>
    </row>
    <row r="1139" spans="1:12" x14ac:dyDescent="0.25">
      <c r="A1139" t="str">
        <f t="shared" si="194"/>
        <v>89301000</v>
      </c>
      <c r="B1139" t="str">
        <f t="shared" si="198"/>
        <v>91866000</v>
      </c>
      <c r="C1139" t="str">
        <f t="shared" si="199"/>
        <v>91866313</v>
      </c>
      <c r="D1139">
        <v>89301103</v>
      </c>
      <c r="E1139" t="str">
        <f t="shared" si="207"/>
        <v>1004125342</v>
      </c>
      <c r="F1139" s="1">
        <v>44964</v>
      </c>
      <c r="G1139" t="str">
        <f>"82121"</f>
        <v>82121</v>
      </c>
      <c r="H1139">
        <v>1</v>
      </c>
      <c r="I1139">
        <v>811</v>
      </c>
      <c r="J1139">
        <v>0</v>
      </c>
      <c r="K1139" t="str">
        <f t="shared" si="202"/>
        <v>802</v>
      </c>
      <c r="L1139">
        <v>786.67</v>
      </c>
    </row>
    <row r="1140" spans="1:12" x14ac:dyDescent="0.25">
      <c r="A1140" t="str">
        <f t="shared" si="194"/>
        <v>89301000</v>
      </c>
      <c r="B1140" t="str">
        <f t="shared" si="198"/>
        <v>91866000</v>
      </c>
      <c r="C1140" t="str">
        <f t="shared" si="199"/>
        <v>91866313</v>
      </c>
      <c r="D1140">
        <v>89301103</v>
      </c>
      <c r="E1140" t="str">
        <f t="shared" si="207"/>
        <v>1004125342</v>
      </c>
      <c r="F1140" s="1">
        <v>44964</v>
      </c>
      <c r="G1140" t="str">
        <f>"82121"</f>
        <v>82121</v>
      </c>
      <c r="H1140">
        <v>1</v>
      </c>
      <c r="I1140">
        <v>811</v>
      </c>
      <c r="J1140">
        <v>0</v>
      </c>
      <c r="K1140" t="str">
        <f t="shared" si="202"/>
        <v>802</v>
      </c>
      <c r="L1140">
        <v>786.67</v>
      </c>
    </row>
    <row r="1141" spans="1:12" x14ac:dyDescent="0.25">
      <c r="A1141" t="str">
        <f t="shared" si="194"/>
        <v>89301000</v>
      </c>
      <c r="B1141" t="str">
        <f t="shared" si="198"/>
        <v>91866000</v>
      </c>
      <c r="C1141" t="str">
        <f t="shared" si="199"/>
        <v>91866313</v>
      </c>
      <c r="D1141">
        <v>89301103</v>
      </c>
      <c r="E1141" t="str">
        <f t="shared" si="207"/>
        <v>1004125342</v>
      </c>
      <c r="F1141" s="1">
        <v>44964</v>
      </c>
      <c r="G1141" t="str">
        <f>"82121"</f>
        <v>82121</v>
      </c>
      <c r="H1141">
        <v>1</v>
      </c>
      <c r="I1141">
        <v>811</v>
      </c>
      <c r="J1141">
        <v>0</v>
      </c>
      <c r="K1141" t="str">
        <f t="shared" si="202"/>
        <v>802</v>
      </c>
      <c r="L1141">
        <v>786.67</v>
      </c>
    </row>
    <row r="1142" spans="1:12" x14ac:dyDescent="0.25">
      <c r="A1142" t="str">
        <f t="shared" si="194"/>
        <v>89301000</v>
      </c>
      <c r="B1142" t="str">
        <f t="shared" si="198"/>
        <v>91866000</v>
      </c>
      <c r="C1142" t="str">
        <f t="shared" si="199"/>
        <v>91866313</v>
      </c>
      <c r="D1142">
        <v>89301103</v>
      </c>
      <c r="E1142" t="str">
        <f t="shared" si="207"/>
        <v>1004125342</v>
      </c>
      <c r="F1142" s="1">
        <v>44964</v>
      </c>
      <c r="G1142" t="str">
        <f>"82079"</f>
        <v>82079</v>
      </c>
      <c r="H1142">
        <v>1</v>
      </c>
      <c r="I1142">
        <v>333</v>
      </c>
      <c r="J1142">
        <v>0</v>
      </c>
      <c r="K1142" t="str">
        <f t="shared" si="202"/>
        <v>802</v>
      </c>
      <c r="L1142">
        <v>323.01</v>
      </c>
    </row>
    <row r="1143" spans="1:12" x14ac:dyDescent="0.25">
      <c r="A1143" t="str">
        <f t="shared" si="194"/>
        <v>89301000</v>
      </c>
      <c r="B1143" t="str">
        <f t="shared" si="198"/>
        <v>91866000</v>
      </c>
      <c r="C1143" t="str">
        <f t="shared" si="199"/>
        <v>91866313</v>
      </c>
      <c r="D1143">
        <v>89301103</v>
      </c>
      <c r="E1143" t="str">
        <f t="shared" si="207"/>
        <v>1004125342</v>
      </c>
      <c r="F1143" s="1">
        <v>44964</v>
      </c>
      <c r="G1143" t="str">
        <f>"82079"</f>
        <v>82079</v>
      </c>
      <c r="H1143">
        <v>1</v>
      </c>
      <c r="I1143">
        <v>333</v>
      </c>
      <c r="J1143">
        <v>0</v>
      </c>
      <c r="K1143" t="str">
        <f t="shared" si="202"/>
        <v>802</v>
      </c>
      <c r="L1143">
        <v>323.01</v>
      </c>
    </row>
    <row r="1144" spans="1:12" x14ac:dyDescent="0.25">
      <c r="A1144" t="str">
        <f t="shared" si="194"/>
        <v>89301000</v>
      </c>
      <c r="B1144" t="str">
        <f t="shared" si="198"/>
        <v>91866000</v>
      </c>
      <c r="C1144" t="str">
        <f t="shared" si="199"/>
        <v>91866313</v>
      </c>
      <c r="D1144">
        <v>89301103</v>
      </c>
      <c r="E1144" t="str">
        <f t="shared" si="207"/>
        <v>1004125342</v>
      </c>
      <c r="F1144" s="1">
        <v>44964</v>
      </c>
      <c r="G1144" t="str">
        <f>"82121"</f>
        <v>82121</v>
      </c>
      <c r="H1144">
        <v>1</v>
      </c>
      <c r="I1144">
        <v>811</v>
      </c>
      <c r="J1144">
        <v>0</v>
      </c>
      <c r="K1144" t="str">
        <f t="shared" si="202"/>
        <v>802</v>
      </c>
      <c r="L1144">
        <v>786.67</v>
      </c>
    </row>
    <row r="1145" spans="1:12" x14ac:dyDescent="0.25">
      <c r="A1145" t="str">
        <f t="shared" si="194"/>
        <v>89301000</v>
      </c>
      <c r="B1145" t="str">
        <f t="shared" si="198"/>
        <v>91866000</v>
      </c>
      <c r="C1145" t="str">
        <f t="shared" si="199"/>
        <v>91866313</v>
      </c>
      <c r="D1145">
        <v>89301103</v>
      </c>
      <c r="E1145" t="str">
        <f t="shared" si="207"/>
        <v>1004125342</v>
      </c>
      <c r="F1145" s="1">
        <v>44964</v>
      </c>
      <c r="G1145" t="str">
        <f>"82079"</f>
        <v>82079</v>
      </c>
      <c r="H1145">
        <v>1</v>
      </c>
      <c r="I1145">
        <v>333</v>
      </c>
      <c r="J1145">
        <v>0</v>
      </c>
      <c r="K1145" t="str">
        <f t="shared" si="202"/>
        <v>802</v>
      </c>
      <c r="L1145">
        <v>323.01</v>
      </c>
    </row>
    <row r="1146" spans="1:12" x14ac:dyDescent="0.25">
      <c r="A1146" t="str">
        <f t="shared" si="194"/>
        <v>89301000</v>
      </c>
      <c r="B1146" t="str">
        <f t="shared" si="198"/>
        <v>91866000</v>
      </c>
      <c r="C1146" t="str">
        <f t="shared" si="199"/>
        <v>91866313</v>
      </c>
      <c r="D1146">
        <v>89301103</v>
      </c>
      <c r="E1146" t="str">
        <f t="shared" si="207"/>
        <v>1004125342</v>
      </c>
      <c r="F1146" s="1">
        <v>44964</v>
      </c>
      <c r="G1146" t="str">
        <f>"82121"</f>
        <v>82121</v>
      </c>
      <c r="H1146">
        <v>1</v>
      </c>
      <c r="I1146">
        <v>811</v>
      </c>
      <c r="J1146">
        <v>0</v>
      </c>
      <c r="K1146" t="str">
        <f t="shared" si="202"/>
        <v>802</v>
      </c>
      <c r="L1146">
        <v>786.67</v>
      </c>
    </row>
    <row r="1147" spans="1:12" x14ac:dyDescent="0.25">
      <c r="A1147" t="str">
        <f t="shared" si="194"/>
        <v>89301000</v>
      </c>
      <c r="B1147" t="str">
        <f t="shared" si="198"/>
        <v>91866000</v>
      </c>
      <c r="C1147" t="str">
        <f>"91866321"</f>
        <v>91866321</v>
      </c>
      <c r="D1147">
        <v>89301102</v>
      </c>
      <c r="E1147" t="str">
        <f>"1555200339"</f>
        <v>1555200339</v>
      </c>
      <c r="F1147" s="1">
        <v>44974</v>
      </c>
      <c r="G1147" t="str">
        <f>"91135"</f>
        <v>91135</v>
      </c>
      <c r="H1147">
        <v>1</v>
      </c>
      <c r="I1147">
        <v>267</v>
      </c>
      <c r="J1147">
        <v>0</v>
      </c>
      <c r="K1147" t="str">
        <f>"813"</f>
        <v>813</v>
      </c>
      <c r="L1147">
        <v>224.28</v>
      </c>
    </row>
    <row r="1148" spans="1:12" x14ac:dyDescent="0.25">
      <c r="A1148" t="str">
        <f t="shared" si="194"/>
        <v>89301000</v>
      </c>
      <c r="B1148" t="str">
        <f t="shared" ref="B1148:C1167" si="208">"89063000"</f>
        <v>89063000</v>
      </c>
      <c r="C1148" t="str">
        <f t="shared" si="208"/>
        <v>89063000</v>
      </c>
      <c r="D1148">
        <v>89301037</v>
      </c>
      <c r="E1148" t="str">
        <f>"8055075325"</f>
        <v>8055075325</v>
      </c>
      <c r="F1148" s="1">
        <v>44958</v>
      </c>
      <c r="G1148" t="str">
        <f t="shared" ref="G1148:G1179" si="209">"89312"</f>
        <v>89312</v>
      </c>
      <c r="H1148">
        <v>3</v>
      </c>
      <c r="I1148">
        <v>936</v>
      </c>
      <c r="J1148">
        <v>0</v>
      </c>
      <c r="K1148" t="str">
        <f t="shared" ref="K1148:K1179" si="210">"809"</f>
        <v>809</v>
      </c>
      <c r="L1148">
        <v>1020.24</v>
      </c>
    </row>
    <row r="1149" spans="1:12" x14ac:dyDescent="0.25">
      <c r="A1149" t="str">
        <f t="shared" si="194"/>
        <v>89301000</v>
      </c>
      <c r="B1149" t="str">
        <f t="shared" si="208"/>
        <v>89063000</v>
      </c>
      <c r="C1149" t="str">
        <f t="shared" si="208"/>
        <v>89063000</v>
      </c>
      <c r="D1149">
        <v>89301037</v>
      </c>
      <c r="E1149" t="str">
        <f>"5752210200"</f>
        <v>5752210200</v>
      </c>
      <c r="F1149" s="1">
        <v>44958</v>
      </c>
      <c r="G1149" t="str">
        <f t="shared" si="209"/>
        <v>89312</v>
      </c>
      <c r="H1149">
        <v>3</v>
      </c>
      <c r="I1149">
        <v>936</v>
      </c>
      <c r="J1149">
        <v>0</v>
      </c>
      <c r="K1149" t="str">
        <f t="shared" si="210"/>
        <v>809</v>
      </c>
      <c r="L1149">
        <v>1020.24</v>
      </c>
    </row>
    <row r="1150" spans="1:12" x14ac:dyDescent="0.25">
      <c r="A1150" t="str">
        <f t="shared" si="194"/>
        <v>89301000</v>
      </c>
      <c r="B1150" t="str">
        <f t="shared" si="208"/>
        <v>89063000</v>
      </c>
      <c r="C1150" t="str">
        <f t="shared" si="208"/>
        <v>89063000</v>
      </c>
      <c r="D1150">
        <v>89301212</v>
      </c>
      <c r="E1150" t="str">
        <f>"7762125756"</f>
        <v>7762125756</v>
      </c>
      <c r="F1150" s="1">
        <v>44958</v>
      </c>
      <c r="G1150" t="str">
        <f t="shared" si="209"/>
        <v>89312</v>
      </c>
      <c r="H1150">
        <v>3</v>
      </c>
      <c r="I1150">
        <v>936</v>
      </c>
      <c r="J1150">
        <v>0</v>
      </c>
      <c r="K1150" t="str">
        <f t="shared" si="210"/>
        <v>809</v>
      </c>
      <c r="L1150">
        <v>1020.24</v>
      </c>
    </row>
    <row r="1151" spans="1:12" x14ac:dyDescent="0.25">
      <c r="A1151" t="str">
        <f t="shared" si="194"/>
        <v>89301000</v>
      </c>
      <c r="B1151" t="str">
        <f t="shared" si="208"/>
        <v>89063000</v>
      </c>
      <c r="C1151" t="str">
        <f t="shared" si="208"/>
        <v>89063000</v>
      </c>
      <c r="D1151">
        <v>89301037</v>
      </c>
      <c r="E1151" t="str">
        <f>"5857210106"</f>
        <v>5857210106</v>
      </c>
      <c r="F1151" s="1">
        <v>44959</v>
      </c>
      <c r="G1151" t="str">
        <f t="shared" si="209"/>
        <v>89312</v>
      </c>
      <c r="H1151">
        <v>3</v>
      </c>
      <c r="I1151">
        <v>936</v>
      </c>
      <c r="J1151">
        <v>0</v>
      </c>
      <c r="K1151" t="str">
        <f t="shared" si="210"/>
        <v>809</v>
      </c>
      <c r="L1151">
        <v>1020.24</v>
      </c>
    </row>
    <row r="1152" spans="1:12" x14ac:dyDescent="0.25">
      <c r="A1152" t="str">
        <f t="shared" si="194"/>
        <v>89301000</v>
      </c>
      <c r="B1152" t="str">
        <f t="shared" si="208"/>
        <v>89063000</v>
      </c>
      <c r="C1152" t="str">
        <f t="shared" si="208"/>
        <v>89063000</v>
      </c>
      <c r="D1152">
        <v>89301142</v>
      </c>
      <c r="E1152" t="str">
        <f>"7257195781"</f>
        <v>7257195781</v>
      </c>
      <c r="F1152" s="1">
        <v>44959</v>
      </c>
      <c r="G1152" t="str">
        <f t="shared" si="209"/>
        <v>89312</v>
      </c>
      <c r="H1152">
        <v>3</v>
      </c>
      <c r="I1152">
        <v>936</v>
      </c>
      <c r="J1152">
        <v>0</v>
      </c>
      <c r="K1152" t="str">
        <f t="shared" si="210"/>
        <v>809</v>
      </c>
      <c r="L1152">
        <v>1020.24</v>
      </c>
    </row>
    <row r="1153" spans="1:12" x14ac:dyDescent="0.25">
      <c r="A1153" t="str">
        <f t="shared" si="194"/>
        <v>89301000</v>
      </c>
      <c r="B1153" t="str">
        <f t="shared" si="208"/>
        <v>89063000</v>
      </c>
      <c r="C1153" t="str">
        <f t="shared" si="208"/>
        <v>89063000</v>
      </c>
      <c r="D1153">
        <v>89301202</v>
      </c>
      <c r="E1153" t="str">
        <f>"6201140165"</f>
        <v>6201140165</v>
      </c>
      <c r="F1153" s="1">
        <v>44960</v>
      </c>
      <c r="G1153" t="str">
        <f t="shared" si="209"/>
        <v>89312</v>
      </c>
      <c r="H1153">
        <v>3</v>
      </c>
      <c r="I1153">
        <v>936</v>
      </c>
      <c r="J1153">
        <v>0</v>
      </c>
      <c r="K1153" t="str">
        <f t="shared" si="210"/>
        <v>809</v>
      </c>
      <c r="L1153">
        <v>1020.24</v>
      </c>
    </row>
    <row r="1154" spans="1:12" x14ac:dyDescent="0.25">
      <c r="A1154" t="str">
        <f t="shared" ref="A1154:A1217" si="211">"89301000"</f>
        <v>89301000</v>
      </c>
      <c r="B1154" t="str">
        <f t="shared" si="208"/>
        <v>89063000</v>
      </c>
      <c r="C1154" t="str">
        <f t="shared" si="208"/>
        <v>89063000</v>
      </c>
      <c r="D1154">
        <v>89301037</v>
      </c>
      <c r="E1154" t="str">
        <f>"5708101432"</f>
        <v>5708101432</v>
      </c>
      <c r="F1154" s="1">
        <v>44960</v>
      </c>
      <c r="G1154" t="str">
        <f t="shared" si="209"/>
        <v>89312</v>
      </c>
      <c r="H1154">
        <v>3</v>
      </c>
      <c r="I1154">
        <v>936</v>
      </c>
      <c r="J1154">
        <v>0</v>
      </c>
      <c r="K1154" t="str">
        <f t="shared" si="210"/>
        <v>809</v>
      </c>
      <c r="L1154">
        <v>1020.24</v>
      </c>
    </row>
    <row r="1155" spans="1:12" x14ac:dyDescent="0.25">
      <c r="A1155" t="str">
        <f t="shared" si="211"/>
        <v>89301000</v>
      </c>
      <c r="B1155" t="str">
        <f t="shared" si="208"/>
        <v>89063000</v>
      </c>
      <c r="C1155" t="str">
        <f t="shared" si="208"/>
        <v>89063000</v>
      </c>
      <c r="D1155">
        <v>89301212</v>
      </c>
      <c r="E1155" t="str">
        <f>"7756215357"</f>
        <v>7756215357</v>
      </c>
      <c r="F1155" s="1">
        <v>44960</v>
      </c>
      <c r="G1155" t="str">
        <f t="shared" si="209"/>
        <v>89312</v>
      </c>
      <c r="H1155">
        <v>3</v>
      </c>
      <c r="I1155">
        <v>936</v>
      </c>
      <c r="J1155">
        <v>0</v>
      </c>
      <c r="K1155" t="str">
        <f t="shared" si="210"/>
        <v>809</v>
      </c>
      <c r="L1155">
        <v>1020.24</v>
      </c>
    </row>
    <row r="1156" spans="1:12" x14ac:dyDescent="0.25">
      <c r="A1156" t="str">
        <f t="shared" si="211"/>
        <v>89301000</v>
      </c>
      <c r="B1156" t="str">
        <f t="shared" si="208"/>
        <v>89063000</v>
      </c>
      <c r="C1156" t="str">
        <f t="shared" si="208"/>
        <v>89063000</v>
      </c>
      <c r="D1156">
        <v>89301322</v>
      </c>
      <c r="E1156" t="str">
        <f>"500814142"</f>
        <v>500814142</v>
      </c>
      <c r="F1156" s="1">
        <v>44960</v>
      </c>
      <c r="G1156" t="str">
        <f t="shared" si="209"/>
        <v>89312</v>
      </c>
      <c r="H1156">
        <v>3</v>
      </c>
      <c r="I1156">
        <v>936</v>
      </c>
      <c r="J1156">
        <v>0</v>
      </c>
      <c r="K1156" t="str">
        <f t="shared" si="210"/>
        <v>809</v>
      </c>
      <c r="L1156">
        <v>1020.24</v>
      </c>
    </row>
    <row r="1157" spans="1:12" x14ac:dyDescent="0.25">
      <c r="A1157" t="str">
        <f t="shared" si="211"/>
        <v>89301000</v>
      </c>
      <c r="B1157" t="str">
        <f t="shared" si="208"/>
        <v>89063000</v>
      </c>
      <c r="C1157" t="str">
        <f t="shared" si="208"/>
        <v>89063000</v>
      </c>
      <c r="D1157">
        <v>89301037</v>
      </c>
      <c r="E1157" t="str">
        <f>"5659111018"</f>
        <v>5659111018</v>
      </c>
      <c r="F1157" s="1">
        <v>44960</v>
      </c>
      <c r="G1157" t="str">
        <f t="shared" si="209"/>
        <v>89312</v>
      </c>
      <c r="H1157">
        <v>3</v>
      </c>
      <c r="I1157">
        <v>936</v>
      </c>
      <c r="J1157">
        <v>0</v>
      </c>
      <c r="K1157" t="str">
        <f t="shared" si="210"/>
        <v>809</v>
      </c>
      <c r="L1157">
        <v>1020.24</v>
      </c>
    </row>
    <row r="1158" spans="1:12" x14ac:dyDescent="0.25">
      <c r="A1158" t="str">
        <f t="shared" si="211"/>
        <v>89301000</v>
      </c>
      <c r="B1158" t="str">
        <f t="shared" si="208"/>
        <v>89063000</v>
      </c>
      <c r="C1158" t="str">
        <f t="shared" si="208"/>
        <v>89063000</v>
      </c>
      <c r="D1158">
        <v>89301037</v>
      </c>
      <c r="E1158" t="str">
        <f>"476129453"</f>
        <v>476129453</v>
      </c>
      <c r="F1158" s="1">
        <v>44963</v>
      </c>
      <c r="G1158" t="str">
        <f t="shared" si="209"/>
        <v>89312</v>
      </c>
      <c r="H1158">
        <v>3</v>
      </c>
      <c r="I1158">
        <v>936</v>
      </c>
      <c r="J1158">
        <v>0</v>
      </c>
      <c r="K1158" t="str">
        <f t="shared" si="210"/>
        <v>809</v>
      </c>
      <c r="L1158">
        <v>1020.24</v>
      </c>
    </row>
    <row r="1159" spans="1:12" x14ac:dyDescent="0.25">
      <c r="A1159" t="str">
        <f t="shared" si="211"/>
        <v>89301000</v>
      </c>
      <c r="B1159" t="str">
        <f t="shared" si="208"/>
        <v>89063000</v>
      </c>
      <c r="C1159" t="str">
        <f t="shared" si="208"/>
        <v>89063000</v>
      </c>
      <c r="D1159">
        <v>89301102</v>
      </c>
      <c r="E1159" t="str">
        <f>"0455243250"</f>
        <v>0455243250</v>
      </c>
      <c r="F1159" s="1">
        <v>44963</v>
      </c>
      <c r="G1159" t="str">
        <f t="shared" si="209"/>
        <v>89312</v>
      </c>
      <c r="H1159">
        <v>1</v>
      </c>
      <c r="I1159">
        <v>312</v>
      </c>
      <c r="J1159">
        <v>0</v>
      </c>
      <c r="K1159" t="str">
        <f t="shared" si="210"/>
        <v>809</v>
      </c>
      <c r="L1159">
        <v>340.08</v>
      </c>
    </row>
    <row r="1160" spans="1:12" x14ac:dyDescent="0.25">
      <c r="A1160" t="str">
        <f t="shared" si="211"/>
        <v>89301000</v>
      </c>
      <c r="B1160" t="str">
        <f t="shared" si="208"/>
        <v>89063000</v>
      </c>
      <c r="C1160" t="str">
        <f t="shared" si="208"/>
        <v>89063000</v>
      </c>
      <c r="D1160">
        <v>89301031</v>
      </c>
      <c r="E1160" t="str">
        <f>"5612061070"</f>
        <v>5612061070</v>
      </c>
      <c r="F1160" s="1">
        <v>44963</v>
      </c>
      <c r="G1160" t="str">
        <f t="shared" si="209"/>
        <v>89312</v>
      </c>
      <c r="H1160">
        <v>3</v>
      </c>
      <c r="I1160">
        <v>936</v>
      </c>
      <c r="J1160">
        <v>0</v>
      </c>
      <c r="K1160" t="str">
        <f t="shared" si="210"/>
        <v>809</v>
      </c>
      <c r="L1160">
        <v>1020.24</v>
      </c>
    </row>
    <row r="1161" spans="1:12" x14ac:dyDescent="0.25">
      <c r="A1161" t="str">
        <f t="shared" si="211"/>
        <v>89301000</v>
      </c>
      <c r="B1161" t="str">
        <f t="shared" si="208"/>
        <v>89063000</v>
      </c>
      <c r="C1161" t="str">
        <f t="shared" si="208"/>
        <v>89063000</v>
      </c>
      <c r="D1161">
        <v>89301037</v>
      </c>
      <c r="E1161" t="str">
        <f>"5656060399"</f>
        <v>5656060399</v>
      </c>
      <c r="F1161" s="1">
        <v>44960</v>
      </c>
      <c r="G1161" t="str">
        <f t="shared" si="209"/>
        <v>89312</v>
      </c>
      <c r="H1161">
        <v>3</v>
      </c>
      <c r="I1161">
        <v>936</v>
      </c>
      <c r="J1161">
        <v>0</v>
      </c>
      <c r="K1161" t="str">
        <f t="shared" si="210"/>
        <v>809</v>
      </c>
      <c r="L1161">
        <v>1020.24</v>
      </c>
    </row>
    <row r="1162" spans="1:12" x14ac:dyDescent="0.25">
      <c r="A1162" t="str">
        <f t="shared" si="211"/>
        <v>89301000</v>
      </c>
      <c r="B1162" t="str">
        <f t="shared" si="208"/>
        <v>89063000</v>
      </c>
      <c r="C1162" t="str">
        <f t="shared" si="208"/>
        <v>89063000</v>
      </c>
      <c r="D1162">
        <v>89301037</v>
      </c>
      <c r="E1162" t="str">
        <f>"525325193"</f>
        <v>525325193</v>
      </c>
      <c r="F1162" s="1">
        <v>44964</v>
      </c>
      <c r="G1162" t="str">
        <f t="shared" si="209"/>
        <v>89312</v>
      </c>
      <c r="H1162">
        <v>3</v>
      </c>
      <c r="I1162">
        <v>936</v>
      </c>
      <c r="J1162">
        <v>0</v>
      </c>
      <c r="K1162" t="str">
        <f t="shared" si="210"/>
        <v>809</v>
      </c>
      <c r="L1162">
        <v>1020.24</v>
      </c>
    </row>
    <row r="1163" spans="1:12" x14ac:dyDescent="0.25">
      <c r="A1163" t="str">
        <f t="shared" si="211"/>
        <v>89301000</v>
      </c>
      <c r="B1163" t="str">
        <f t="shared" si="208"/>
        <v>89063000</v>
      </c>
      <c r="C1163" t="str">
        <f t="shared" si="208"/>
        <v>89063000</v>
      </c>
      <c r="D1163">
        <v>89301036</v>
      </c>
      <c r="E1163" t="str">
        <f>"5710161545"</f>
        <v>5710161545</v>
      </c>
      <c r="F1163" s="1">
        <v>44964</v>
      </c>
      <c r="G1163" t="str">
        <f t="shared" si="209"/>
        <v>89312</v>
      </c>
      <c r="H1163">
        <v>3</v>
      </c>
      <c r="I1163">
        <v>936</v>
      </c>
      <c r="J1163">
        <v>0</v>
      </c>
      <c r="K1163" t="str">
        <f t="shared" si="210"/>
        <v>809</v>
      </c>
      <c r="L1163">
        <v>1020.24</v>
      </c>
    </row>
    <row r="1164" spans="1:12" x14ac:dyDescent="0.25">
      <c r="A1164" t="str">
        <f t="shared" si="211"/>
        <v>89301000</v>
      </c>
      <c r="B1164" t="str">
        <f t="shared" si="208"/>
        <v>89063000</v>
      </c>
      <c r="C1164" t="str">
        <f t="shared" si="208"/>
        <v>89063000</v>
      </c>
      <c r="D1164">
        <v>89301037</v>
      </c>
      <c r="E1164" t="str">
        <f>"6152141369"</f>
        <v>6152141369</v>
      </c>
      <c r="F1164" s="1">
        <v>44964</v>
      </c>
      <c r="G1164" t="str">
        <f t="shared" si="209"/>
        <v>89312</v>
      </c>
      <c r="H1164">
        <v>3</v>
      </c>
      <c r="I1164">
        <v>936</v>
      </c>
      <c r="J1164">
        <v>0</v>
      </c>
      <c r="K1164" t="str">
        <f t="shared" si="210"/>
        <v>809</v>
      </c>
      <c r="L1164">
        <v>1020.24</v>
      </c>
    </row>
    <row r="1165" spans="1:12" x14ac:dyDescent="0.25">
      <c r="A1165" t="str">
        <f t="shared" si="211"/>
        <v>89301000</v>
      </c>
      <c r="B1165" t="str">
        <f t="shared" si="208"/>
        <v>89063000</v>
      </c>
      <c r="C1165" t="str">
        <f t="shared" si="208"/>
        <v>89063000</v>
      </c>
      <c r="D1165">
        <v>89301162</v>
      </c>
      <c r="E1165" t="str">
        <f>"6160310673"</f>
        <v>6160310673</v>
      </c>
      <c r="F1165" s="1">
        <v>44966</v>
      </c>
      <c r="G1165" t="str">
        <f t="shared" si="209"/>
        <v>89312</v>
      </c>
      <c r="H1165">
        <v>3</v>
      </c>
      <c r="I1165">
        <v>936</v>
      </c>
      <c r="J1165">
        <v>0</v>
      </c>
      <c r="K1165" t="str">
        <f t="shared" si="210"/>
        <v>809</v>
      </c>
      <c r="L1165">
        <v>1020.24</v>
      </c>
    </row>
    <row r="1166" spans="1:12" x14ac:dyDescent="0.25">
      <c r="A1166" t="str">
        <f t="shared" si="211"/>
        <v>89301000</v>
      </c>
      <c r="B1166" t="str">
        <f t="shared" si="208"/>
        <v>89063000</v>
      </c>
      <c r="C1166" t="str">
        <f t="shared" si="208"/>
        <v>89063000</v>
      </c>
      <c r="D1166">
        <v>89301037</v>
      </c>
      <c r="E1166" t="str">
        <f>"5651131761"</f>
        <v>5651131761</v>
      </c>
      <c r="F1166" s="1">
        <v>44966</v>
      </c>
      <c r="G1166" t="str">
        <f t="shared" si="209"/>
        <v>89312</v>
      </c>
      <c r="H1166">
        <v>3</v>
      </c>
      <c r="I1166">
        <v>936</v>
      </c>
      <c r="J1166">
        <v>0</v>
      </c>
      <c r="K1166" t="str">
        <f t="shared" si="210"/>
        <v>809</v>
      </c>
      <c r="L1166">
        <v>1020.24</v>
      </c>
    </row>
    <row r="1167" spans="1:12" x14ac:dyDescent="0.25">
      <c r="A1167" t="str">
        <f t="shared" si="211"/>
        <v>89301000</v>
      </c>
      <c r="B1167" t="str">
        <f t="shared" si="208"/>
        <v>89063000</v>
      </c>
      <c r="C1167" t="str">
        <f t="shared" si="208"/>
        <v>89063000</v>
      </c>
      <c r="D1167">
        <v>89301702</v>
      </c>
      <c r="E1167" t="str">
        <f>"0862031390"</f>
        <v>0862031390</v>
      </c>
      <c r="F1167" s="1">
        <v>44966</v>
      </c>
      <c r="G1167" t="str">
        <f t="shared" si="209"/>
        <v>89312</v>
      </c>
      <c r="H1167">
        <v>1</v>
      </c>
      <c r="I1167">
        <v>312</v>
      </c>
      <c r="J1167">
        <v>0</v>
      </c>
      <c r="K1167" t="str">
        <f t="shared" si="210"/>
        <v>809</v>
      </c>
      <c r="L1167">
        <v>340.08</v>
      </c>
    </row>
    <row r="1168" spans="1:12" x14ac:dyDescent="0.25">
      <c r="A1168" t="str">
        <f t="shared" si="211"/>
        <v>89301000</v>
      </c>
      <c r="B1168" t="str">
        <f t="shared" ref="B1168:C1187" si="212">"89063000"</f>
        <v>89063000</v>
      </c>
      <c r="C1168" t="str">
        <f t="shared" si="212"/>
        <v>89063000</v>
      </c>
      <c r="D1168">
        <v>89301212</v>
      </c>
      <c r="E1168" t="str">
        <f>"5851040800"</f>
        <v>5851040800</v>
      </c>
      <c r="F1168" s="1">
        <v>44966</v>
      </c>
      <c r="G1168" t="str">
        <f t="shared" si="209"/>
        <v>89312</v>
      </c>
      <c r="H1168">
        <v>3</v>
      </c>
      <c r="I1168">
        <v>936</v>
      </c>
      <c r="J1168">
        <v>0</v>
      </c>
      <c r="K1168" t="str">
        <f t="shared" si="210"/>
        <v>809</v>
      </c>
      <c r="L1168">
        <v>1020.24</v>
      </c>
    </row>
    <row r="1169" spans="1:12" x14ac:dyDescent="0.25">
      <c r="A1169" t="str">
        <f t="shared" si="211"/>
        <v>89301000</v>
      </c>
      <c r="B1169" t="str">
        <f t="shared" si="212"/>
        <v>89063000</v>
      </c>
      <c r="C1169" t="str">
        <f t="shared" si="212"/>
        <v>89063000</v>
      </c>
      <c r="D1169">
        <v>89301036</v>
      </c>
      <c r="E1169" t="str">
        <f>"8707085772"</f>
        <v>8707085772</v>
      </c>
      <c r="F1169" s="1">
        <v>44970</v>
      </c>
      <c r="G1169" t="str">
        <f t="shared" si="209"/>
        <v>89312</v>
      </c>
      <c r="H1169">
        <v>3</v>
      </c>
      <c r="I1169">
        <v>936</v>
      </c>
      <c r="J1169">
        <v>0</v>
      </c>
      <c r="K1169" t="str">
        <f t="shared" si="210"/>
        <v>809</v>
      </c>
      <c r="L1169">
        <v>1020.24</v>
      </c>
    </row>
    <row r="1170" spans="1:12" x14ac:dyDescent="0.25">
      <c r="A1170" t="str">
        <f t="shared" si="211"/>
        <v>89301000</v>
      </c>
      <c r="B1170" t="str">
        <f t="shared" si="212"/>
        <v>89063000</v>
      </c>
      <c r="C1170" t="str">
        <f t="shared" si="212"/>
        <v>89063000</v>
      </c>
      <c r="D1170">
        <v>89301212</v>
      </c>
      <c r="E1170" t="str">
        <f>"5860010354"</f>
        <v>5860010354</v>
      </c>
      <c r="F1170" s="1">
        <v>44970</v>
      </c>
      <c r="G1170" t="str">
        <f t="shared" si="209"/>
        <v>89312</v>
      </c>
      <c r="H1170">
        <v>3</v>
      </c>
      <c r="I1170">
        <v>936</v>
      </c>
      <c r="J1170">
        <v>0</v>
      </c>
      <c r="K1170" t="str">
        <f t="shared" si="210"/>
        <v>809</v>
      </c>
      <c r="L1170">
        <v>1020.24</v>
      </c>
    </row>
    <row r="1171" spans="1:12" x14ac:dyDescent="0.25">
      <c r="A1171" t="str">
        <f t="shared" si="211"/>
        <v>89301000</v>
      </c>
      <c r="B1171" t="str">
        <f t="shared" si="212"/>
        <v>89063000</v>
      </c>
      <c r="C1171" t="str">
        <f t="shared" si="212"/>
        <v>89063000</v>
      </c>
      <c r="D1171">
        <v>89301730</v>
      </c>
      <c r="E1171" t="str">
        <f>"8760155789"</f>
        <v>8760155789</v>
      </c>
      <c r="F1171" s="1">
        <v>44970</v>
      </c>
      <c r="G1171" t="str">
        <f t="shared" si="209"/>
        <v>89312</v>
      </c>
      <c r="H1171">
        <v>3</v>
      </c>
      <c r="I1171">
        <v>936</v>
      </c>
      <c r="J1171">
        <v>0</v>
      </c>
      <c r="K1171" t="str">
        <f t="shared" si="210"/>
        <v>809</v>
      </c>
      <c r="L1171">
        <v>1020.24</v>
      </c>
    </row>
    <row r="1172" spans="1:12" x14ac:dyDescent="0.25">
      <c r="A1172" t="str">
        <f t="shared" si="211"/>
        <v>89301000</v>
      </c>
      <c r="B1172" t="str">
        <f t="shared" si="212"/>
        <v>89063000</v>
      </c>
      <c r="C1172" t="str">
        <f t="shared" si="212"/>
        <v>89063000</v>
      </c>
      <c r="D1172">
        <v>89301212</v>
      </c>
      <c r="E1172" t="str">
        <f>"7553205352"</f>
        <v>7553205352</v>
      </c>
      <c r="F1172" s="1">
        <v>44971</v>
      </c>
      <c r="G1172" t="str">
        <f t="shared" si="209"/>
        <v>89312</v>
      </c>
      <c r="H1172">
        <v>3</v>
      </c>
      <c r="I1172">
        <v>936</v>
      </c>
      <c r="J1172">
        <v>0</v>
      </c>
      <c r="K1172" t="str">
        <f t="shared" si="210"/>
        <v>809</v>
      </c>
      <c r="L1172">
        <v>1020.24</v>
      </c>
    </row>
    <row r="1173" spans="1:12" x14ac:dyDescent="0.25">
      <c r="A1173" t="str">
        <f t="shared" si="211"/>
        <v>89301000</v>
      </c>
      <c r="B1173" t="str">
        <f t="shared" si="212"/>
        <v>89063000</v>
      </c>
      <c r="C1173" t="str">
        <f t="shared" si="212"/>
        <v>89063000</v>
      </c>
      <c r="D1173">
        <v>89301037</v>
      </c>
      <c r="E1173" t="str">
        <f>"5961280105"</f>
        <v>5961280105</v>
      </c>
      <c r="F1173" s="1">
        <v>44972</v>
      </c>
      <c r="G1173" t="str">
        <f t="shared" si="209"/>
        <v>89312</v>
      </c>
      <c r="H1173">
        <v>3</v>
      </c>
      <c r="I1173">
        <v>936</v>
      </c>
      <c r="J1173">
        <v>0</v>
      </c>
      <c r="K1173" t="str">
        <f t="shared" si="210"/>
        <v>809</v>
      </c>
      <c r="L1173">
        <v>1020.24</v>
      </c>
    </row>
    <row r="1174" spans="1:12" x14ac:dyDescent="0.25">
      <c r="A1174" t="str">
        <f t="shared" si="211"/>
        <v>89301000</v>
      </c>
      <c r="B1174" t="str">
        <f t="shared" si="212"/>
        <v>89063000</v>
      </c>
      <c r="C1174" t="str">
        <f t="shared" si="212"/>
        <v>89063000</v>
      </c>
      <c r="D1174">
        <v>89301037</v>
      </c>
      <c r="E1174" t="str">
        <f>"6652201633"</f>
        <v>6652201633</v>
      </c>
      <c r="F1174" s="1">
        <v>44972</v>
      </c>
      <c r="G1174" t="str">
        <f t="shared" si="209"/>
        <v>89312</v>
      </c>
      <c r="H1174">
        <v>3</v>
      </c>
      <c r="I1174">
        <v>936</v>
      </c>
      <c r="J1174">
        <v>0</v>
      </c>
      <c r="K1174" t="str">
        <f t="shared" si="210"/>
        <v>809</v>
      </c>
      <c r="L1174">
        <v>1020.24</v>
      </c>
    </row>
    <row r="1175" spans="1:12" x14ac:dyDescent="0.25">
      <c r="A1175" t="str">
        <f t="shared" si="211"/>
        <v>89301000</v>
      </c>
      <c r="B1175" t="str">
        <f t="shared" si="212"/>
        <v>89063000</v>
      </c>
      <c r="C1175" t="str">
        <f t="shared" si="212"/>
        <v>89063000</v>
      </c>
      <c r="D1175">
        <v>89301037</v>
      </c>
      <c r="E1175" t="str">
        <f>"5659232249"</f>
        <v>5659232249</v>
      </c>
      <c r="F1175" s="1">
        <v>44972</v>
      </c>
      <c r="G1175" t="str">
        <f t="shared" si="209"/>
        <v>89312</v>
      </c>
      <c r="H1175">
        <v>3</v>
      </c>
      <c r="I1175">
        <v>936</v>
      </c>
      <c r="J1175">
        <v>0</v>
      </c>
      <c r="K1175" t="str">
        <f t="shared" si="210"/>
        <v>809</v>
      </c>
      <c r="L1175">
        <v>1020.24</v>
      </c>
    </row>
    <row r="1176" spans="1:12" x14ac:dyDescent="0.25">
      <c r="A1176" t="str">
        <f t="shared" si="211"/>
        <v>89301000</v>
      </c>
      <c r="B1176" t="str">
        <f t="shared" si="212"/>
        <v>89063000</v>
      </c>
      <c r="C1176" t="str">
        <f t="shared" si="212"/>
        <v>89063000</v>
      </c>
      <c r="D1176">
        <v>89301036</v>
      </c>
      <c r="E1176" t="str">
        <f>"6051081069"</f>
        <v>6051081069</v>
      </c>
      <c r="F1176" s="1">
        <v>44973</v>
      </c>
      <c r="G1176" t="str">
        <f t="shared" si="209"/>
        <v>89312</v>
      </c>
      <c r="H1176">
        <v>3</v>
      </c>
      <c r="I1176">
        <v>936</v>
      </c>
      <c r="J1176">
        <v>0</v>
      </c>
      <c r="K1176" t="str">
        <f t="shared" si="210"/>
        <v>809</v>
      </c>
      <c r="L1176">
        <v>1020.24</v>
      </c>
    </row>
    <row r="1177" spans="1:12" x14ac:dyDescent="0.25">
      <c r="A1177" t="str">
        <f t="shared" si="211"/>
        <v>89301000</v>
      </c>
      <c r="B1177" t="str">
        <f t="shared" si="212"/>
        <v>89063000</v>
      </c>
      <c r="C1177" t="str">
        <f t="shared" si="212"/>
        <v>89063000</v>
      </c>
      <c r="D1177">
        <v>89301212</v>
      </c>
      <c r="E1177" t="str">
        <f>"5956212141"</f>
        <v>5956212141</v>
      </c>
      <c r="F1177" s="1">
        <v>44973</v>
      </c>
      <c r="G1177" t="str">
        <f t="shared" si="209"/>
        <v>89312</v>
      </c>
      <c r="H1177">
        <v>3</v>
      </c>
      <c r="I1177">
        <v>936</v>
      </c>
      <c r="J1177">
        <v>0</v>
      </c>
      <c r="K1177" t="str">
        <f t="shared" si="210"/>
        <v>809</v>
      </c>
      <c r="L1177">
        <v>1020.24</v>
      </c>
    </row>
    <row r="1178" spans="1:12" x14ac:dyDescent="0.25">
      <c r="A1178" t="str">
        <f t="shared" si="211"/>
        <v>89301000</v>
      </c>
      <c r="B1178" t="str">
        <f t="shared" si="212"/>
        <v>89063000</v>
      </c>
      <c r="C1178" t="str">
        <f t="shared" si="212"/>
        <v>89063000</v>
      </c>
      <c r="D1178">
        <v>89301037</v>
      </c>
      <c r="E1178" t="str">
        <f>"6558290585"</f>
        <v>6558290585</v>
      </c>
      <c r="F1178" s="1">
        <v>44974</v>
      </c>
      <c r="G1178" t="str">
        <f t="shared" si="209"/>
        <v>89312</v>
      </c>
      <c r="H1178">
        <v>3</v>
      </c>
      <c r="I1178">
        <v>936</v>
      </c>
      <c r="J1178">
        <v>0</v>
      </c>
      <c r="K1178" t="str">
        <f t="shared" si="210"/>
        <v>809</v>
      </c>
      <c r="L1178">
        <v>1020.24</v>
      </c>
    </row>
    <row r="1179" spans="1:12" x14ac:dyDescent="0.25">
      <c r="A1179" t="str">
        <f t="shared" si="211"/>
        <v>89301000</v>
      </c>
      <c r="B1179" t="str">
        <f t="shared" si="212"/>
        <v>89063000</v>
      </c>
      <c r="C1179" t="str">
        <f t="shared" si="212"/>
        <v>89063000</v>
      </c>
      <c r="D1179">
        <v>89301212</v>
      </c>
      <c r="E1179" t="str">
        <f>"7362144471"</f>
        <v>7362144471</v>
      </c>
      <c r="F1179" s="1">
        <v>44974</v>
      </c>
      <c r="G1179" t="str">
        <f t="shared" si="209"/>
        <v>89312</v>
      </c>
      <c r="H1179">
        <v>3</v>
      </c>
      <c r="I1179">
        <v>936</v>
      </c>
      <c r="J1179">
        <v>0</v>
      </c>
      <c r="K1179" t="str">
        <f t="shared" si="210"/>
        <v>809</v>
      </c>
      <c r="L1179">
        <v>1020.24</v>
      </c>
    </row>
    <row r="1180" spans="1:12" x14ac:dyDescent="0.25">
      <c r="A1180" t="str">
        <f t="shared" si="211"/>
        <v>89301000</v>
      </c>
      <c r="B1180" t="str">
        <f t="shared" si="212"/>
        <v>89063000</v>
      </c>
      <c r="C1180" t="str">
        <f t="shared" si="212"/>
        <v>89063000</v>
      </c>
      <c r="D1180">
        <v>89301039</v>
      </c>
      <c r="E1180" t="str">
        <f>"525927146"</f>
        <v>525927146</v>
      </c>
      <c r="F1180" s="1">
        <v>44974</v>
      </c>
      <c r="G1180" t="str">
        <f t="shared" ref="G1180:G1200" si="213">"89312"</f>
        <v>89312</v>
      </c>
      <c r="H1180">
        <v>3</v>
      </c>
      <c r="I1180">
        <v>936</v>
      </c>
      <c r="J1180">
        <v>0</v>
      </c>
      <c r="K1180" t="str">
        <f t="shared" ref="K1180:K1200" si="214">"809"</f>
        <v>809</v>
      </c>
      <c r="L1180">
        <v>1020.24</v>
      </c>
    </row>
    <row r="1181" spans="1:12" x14ac:dyDescent="0.25">
      <c r="A1181" t="str">
        <f t="shared" si="211"/>
        <v>89301000</v>
      </c>
      <c r="B1181" t="str">
        <f t="shared" si="212"/>
        <v>89063000</v>
      </c>
      <c r="C1181" t="str">
        <f t="shared" si="212"/>
        <v>89063000</v>
      </c>
      <c r="D1181">
        <v>89301037</v>
      </c>
      <c r="E1181" t="str">
        <f>"7853299388"</f>
        <v>7853299388</v>
      </c>
      <c r="F1181" s="1">
        <v>44977</v>
      </c>
      <c r="G1181" t="str">
        <f t="shared" si="213"/>
        <v>89312</v>
      </c>
      <c r="H1181">
        <v>3</v>
      </c>
      <c r="I1181">
        <v>936</v>
      </c>
      <c r="J1181">
        <v>0</v>
      </c>
      <c r="K1181" t="str">
        <f t="shared" si="214"/>
        <v>809</v>
      </c>
      <c r="L1181">
        <v>1020.24</v>
      </c>
    </row>
    <row r="1182" spans="1:12" x14ac:dyDescent="0.25">
      <c r="A1182" t="str">
        <f t="shared" si="211"/>
        <v>89301000</v>
      </c>
      <c r="B1182" t="str">
        <f t="shared" si="212"/>
        <v>89063000</v>
      </c>
      <c r="C1182" t="str">
        <f t="shared" si="212"/>
        <v>89063000</v>
      </c>
      <c r="D1182">
        <v>89301037</v>
      </c>
      <c r="E1182" t="str">
        <f>"6452060824"</f>
        <v>6452060824</v>
      </c>
      <c r="F1182" s="1">
        <v>44971</v>
      </c>
      <c r="G1182" t="str">
        <f t="shared" si="213"/>
        <v>89312</v>
      </c>
      <c r="H1182">
        <v>3</v>
      </c>
      <c r="I1182">
        <v>936</v>
      </c>
      <c r="J1182">
        <v>0</v>
      </c>
      <c r="K1182" t="str">
        <f t="shared" si="214"/>
        <v>809</v>
      </c>
      <c r="L1182">
        <v>1020.24</v>
      </c>
    </row>
    <row r="1183" spans="1:12" x14ac:dyDescent="0.25">
      <c r="A1183" t="str">
        <f t="shared" si="211"/>
        <v>89301000</v>
      </c>
      <c r="B1183" t="str">
        <f t="shared" si="212"/>
        <v>89063000</v>
      </c>
      <c r="C1183" t="str">
        <f t="shared" si="212"/>
        <v>89063000</v>
      </c>
      <c r="D1183">
        <v>89301037</v>
      </c>
      <c r="E1183" t="str">
        <f>"6151120338"</f>
        <v>6151120338</v>
      </c>
      <c r="F1183" s="1">
        <v>44978</v>
      </c>
      <c r="G1183" t="str">
        <f t="shared" si="213"/>
        <v>89312</v>
      </c>
      <c r="H1183">
        <v>3</v>
      </c>
      <c r="I1183">
        <v>936</v>
      </c>
      <c r="J1183">
        <v>0</v>
      </c>
      <c r="K1183" t="str">
        <f t="shared" si="214"/>
        <v>809</v>
      </c>
      <c r="L1183">
        <v>1020.24</v>
      </c>
    </row>
    <row r="1184" spans="1:12" x14ac:dyDescent="0.25">
      <c r="A1184" t="str">
        <f t="shared" si="211"/>
        <v>89301000</v>
      </c>
      <c r="B1184" t="str">
        <f t="shared" si="212"/>
        <v>89063000</v>
      </c>
      <c r="C1184" t="str">
        <f t="shared" si="212"/>
        <v>89063000</v>
      </c>
      <c r="D1184">
        <v>89301034</v>
      </c>
      <c r="E1184" t="str">
        <f>"7106275242"</f>
        <v>7106275242</v>
      </c>
      <c r="F1184" s="1">
        <v>44978</v>
      </c>
      <c r="G1184" t="str">
        <f t="shared" si="213"/>
        <v>89312</v>
      </c>
      <c r="H1184">
        <v>3</v>
      </c>
      <c r="I1184">
        <v>936</v>
      </c>
      <c r="J1184">
        <v>0</v>
      </c>
      <c r="K1184" t="str">
        <f t="shared" si="214"/>
        <v>809</v>
      </c>
      <c r="L1184">
        <v>1020.24</v>
      </c>
    </row>
    <row r="1185" spans="1:12" x14ac:dyDescent="0.25">
      <c r="A1185" t="str">
        <f t="shared" si="211"/>
        <v>89301000</v>
      </c>
      <c r="B1185" t="str">
        <f t="shared" si="212"/>
        <v>89063000</v>
      </c>
      <c r="C1185" t="str">
        <f t="shared" si="212"/>
        <v>89063000</v>
      </c>
      <c r="D1185">
        <v>89301034</v>
      </c>
      <c r="E1185" t="str">
        <f>"8159115382"</f>
        <v>8159115382</v>
      </c>
      <c r="F1185" s="1">
        <v>44978</v>
      </c>
      <c r="G1185" t="str">
        <f t="shared" si="213"/>
        <v>89312</v>
      </c>
      <c r="H1185">
        <v>3</v>
      </c>
      <c r="I1185">
        <v>936</v>
      </c>
      <c r="J1185">
        <v>0</v>
      </c>
      <c r="K1185" t="str">
        <f t="shared" si="214"/>
        <v>809</v>
      </c>
      <c r="L1185">
        <v>1020.24</v>
      </c>
    </row>
    <row r="1186" spans="1:12" x14ac:dyDescent="0.25">
      <c r="A1186" t="str">
        <f t="shared" si="211"/>
        <v>89301000</v>
      </c>
      <c r="B1186" t="str">
        <f t="shared" si="212"/>
        <v>89063000</v>
      </c>
      <c r="C1186" t="str">
        <f t="shared" si="212"/>
        <v>89063000</v>
      </c>
      <c r="D1186">
        <v>89301037</v>
      </c>
      <c r="E1186" t="str">
        <f>"505901100"</f>
        <v>505901100</v>
      </c>
      <c r="F1186" s="1">
        <v>44978</v>
      </c>
      <c r="G1186" t="str">
        <f t="shared" si="213"/>
        <v>89312</v>
      </c>
      <c r="H1186">
        <v>3</v>
      </c>
      <c r="I1186">
        <v>936</v>
      </c>
      <c r="J1186">
        <v>0</v>
      </c>
      <c r="K1186" t="str">
        <f t="shared" si="214"/>
        <v>809</v>
      </c>
      <c r="L1186">
        <v>1020.24</v>
      </c>
    </row>
    <row r="1187" spans="1:12" x14ac:dyDescent="0.25">
      <c r="A1187" t="str">
        <f t="shared" si="211"/>
        <v>89301000</v>
      </c>
      <c r="B1187" t="str">
        <f t="shared" si="212"/>
        <v>89063000</v>
      </c>
      <c r="C1187" t="str">
        <f t="shared" si="212"/>
        <v>89063000</v>
      </c>
      <c r="D1187">
        <v>89301037</v>
      </c>
      <c r="E1187" t="str">
        <f>"7460085369"</f>
        <v>7460085369</v>
      </c>
      <c r="F1187" s="1">
        <v>44978</v>
      </c>
      <c r="G1187" t="str">
        <f t="shared" si="213"/>
        <v>89312</v>
      </c>
      <c r="H1187">
        <v>3</v>
      </c>
      <c r="I1187">
        <v>936</v>
      </c>
      <c r="J1187">
        <v>0</v>
      </c>
      <c r="K1187" t="str">
        <f t="shared" si="214"/>
        <v>809</v>
      </c>
      <c r="L1187">
        <v>1020.24</v>
      </c>
    </row>
    <row r="1188" spans="1:12" x14ac:dyDescent="0.25">
      <c r="A1188" t="str">
        <f t="shared" si="211"/>
        <v>89301000</v>
      </c>
      <c r="B1188" t="str">
        <f t="shared" ref="B1188:C1200" si="215">"89063000"</f>
        <v>89063000</v>
      </c>
      <c r="C1188" t="str">
        <f t="shared" si="215"/>
        <v>89063000</v>
      </c>
      <c r="D1188">
        <v>89301037</v>
      </c>
      <c r="E1188" t="str">
        <f>"515613022"</f>
        <v>515613022</v>
      </c>
      <c r="F1188" s="1">
        <v>44979</v>
      </c>
      <c r="G1188" t="str">
        <f t="shared" si="213"/>
        <v>89312</v>
      </c>
      <c r="H1188">
        <v>3</v>
      </c>
      <c r="I1188">
        <v>936</v>
      </c>
      <c r="J1188">
        <v>0</v>
      </c>
      <c r="K1188" t="str">
        <f t="shared" si="214"/>
        <v>809</v>
      </c>
      <c r="L1188">
        <v>1020.24</v>
      </c>
    </row>
    <row r="1189" spans="1:12" x14ac:dyDescent="0.25">
      <c r="A1189" t="str">
        <f t="shared" si="211"/>
        <v>89301000</v>
      </c>
      <c r="B1189" t="str">
        <f t="shared" si="215"/>
        <v>89063000</v>
      </c>
      <c r="C1189" t="str">
        <f t="shared" si="215"/>
        <v>89063000</v>
      </c>
      <c r="D1189">
        <v>89301162</v>
      </c>
      <c r="E1189" t="str">
        <f>"9912195634"</f>
        <v>9912195634</v>
      </c>
      <c r="F1189" s="1">
        <v>44979</v>
      </c>
      <c r="G1189" t="str">
        <f t="shared" si="213"/>
        <v>89312</v>
      </c>
      <c r="H1189">
        <v>3</v>
      </c>
      <c r="I1189">
        <v>936</v>
      </c>
      <c r="J1189">
        <v>0</v>
      </c>
      <c r="K1189" t="str">
        <f t="shared" si="214"/>
        <v>809</v>
      </c>
      <c r="L1189">
        <v>1020.24</v>
      </c>
    </row>
    <row r="1190" spans="1:12" x14ac:dyDescent="0.25">
      <c r="A1190" t="str">
        <f t="shared" si="211"/>
        <v>89301000</v>
      </c>
      <c r="B1190" t="str">
        <f t="shared" si="215"/>
        <v>89063000</v>
      </c>
      <c r="C1190" t="str">
        <f t="shared" si="215"/>
        <v>89063000</v>
      </c>
      <c r="D1190">
        <v>89301702</v>
      </c>
      <c r="E1190" t="str">
        <f>"1261110048"</f>
        <v>1261110048</v>
      </c>
      <c r="F1190" s="1">
        <v>44980</v>
      </c>
      <c r="G1190" t="str">
        <f t="shared" si="213"/>
        <v>89312</v>
      </c>
      <c r="H1190">
        <v>1</v>
      </c>
      <c r="I1190">
        <v>312</v>
      </c>
      <c r="J1190">
        <v>0</v>
      </c>
      <c r="K1190" t="str">
        <f t="shared" si="214"/>
        <v>809</v>
      </c>
      <c r="L1190">
        <v>340.08</v>
      </c>
    </row>
    <row r="1191" spans="1:12" x14ac:dyDescent="0.25">
      <c r="A1191" t="str">
        <f t="shared" si="211"/>
        <v>89301000</v>
      </c>
      <c r="B1191" t="str">
        <f t="shared" si="215"/>
        <v>89063000</v>
      </c>
      <c r="C1191" t="str">
        <f t="shared" si="215"/>
        <v>89063000</v>
      </c>
      <c r="D1191">
        <v>89301036</v>
      </c>
      <c r="E1191" t="str">
        <f>"7405074457"</f>
        <v>7405074457</v>
      </c>
      <c r="F1191" s="1">
        <v>44980</v>
      </c>
      <c r="G1191" t="str">
        <f t="shared" si="213"/>
        <v>89312</v>
      </c>
      <c r="H1191">
        <v>3</v>
      </c>
      <c r="I1191">
        <v>936</v>
      </c>
      <c r="J1191">
        <v>0</v>
      </c>
      <c r="K1191" t="str">
        <f t="shared" si="214"/>
        <v>809</v>
      </c>
      <c r="L1191">
        <v>1020.24</v>
      </c>
    </row>
    <row r="1192" spans="1:12" x14ac:dyDescent="0.25">
      <c r="A1192" t="str">
        <f t="shared" si="211"/>
        <v>89301000</v>
      </c>
      <c r="B1192" t="str">
        <f t="shared" si="215"/>
        <v>89063000</v>
      </c>
      <c r="C1192" t="str">
        <f t="shared" si="215"/>
        <v>89063000</v>
      </c>
      <c r="D1192">
        <v>89301702</v>
      </c>
      <c r="E1192" t="str">
        <f>"0952115274"</f>
        <v>0952115274</v>
      </c>
      <c r="F1192" s="1">
        <v>44981</v>
      </c>
      <c r="G1192" t="str">
        <f t="shared" si="213"/>
        <v>89312</v>
      </c>
      <c r="H1192">
        <v>1</v>
      </c>
      <c r="I1192">
        <v>312</v>
      </c>
      <c r="J1192">
        <v>0</v>
      </c>
      <c r="K1192" t="str">
        <f t="shared" si="214"/>
        <v>809</v>
      </c>
      <c r="L1192">
        <v>340.08</v>
      </c>
    </row>
    <row r="1193" spans="1:12" x14ac:dyDescent="0.25">
      <c r="A1193" t="str">
        <f t="shared" si="211"/>
        <v>89301000</v>
      </c>
      <c r="B1193" t="str">
        <f t="shared" si="215"/>
        <v>89063000</v>
      </c>
      <c r="C1193" t="str">
        <f t="shared" si="215"/>
        <v>89063000</v>
      </c>
      <c r="D1193">
        <v>89301031</v>
      </c>
      <c r="E1193" t="str">
        <f>"486001166"</f>
        <v>486001166</v>
      </c>
      <c r="F1193" s="1">
        <v>44984</v>
      </c>
      <c r="G1193" t="str">
        <f t="shared" si="213"/>
        <v>89312</v>
      </c>
      <c r="H1193">
        <v>3</v>
      </c>
      <c r="I1193">
        <v>936</v>
      </c>
      <c r="J1193">
        <v>0</v>
      </c>
      <c r="K1193" t="str">
        <f t="shared" si="214"/>
        <v>809</v>
      </c>
      <c r="L1193">
        <v>1020.24</v>
      </c>
    </row>
    <row r="1194" spans="1:12" x14ac:dyDescent="0.25">
      <c r="A1194" t="str">
        <f t="shared" si="211"/>
        <v>89301000</v>
      </c>
      <c r="B1194" t="str">
        <f t="shared" si="215"/>
        <v>89063000</v>
      </c>
      <c r="C1194" t="str">
        <f t="shared" si="215"/>
        <v>89063000</v>
      </c>
      <c r="D1194">
        <v>89301037</v>
      </c>
      <c r="E1194" t="str">
        <f>"6953035815"</f>
        <v>6953035815</v>
      </c>
      <c r="F1194" s="1">
        <v>44984</v>
      </c>
      <c r="G1194" t="str">
        <f t="shared" si="213"/>
        <v>89312</v>
      </c>
      <c r="H1194">
        <v>3</v>
      </c>
      <c r="I1194">
        <v>936</v>
      </c>
      <c r="J1194">
        <v>0</v>
      </c>
      <c r="K1194" t="str">
        <f t="shared" si="214"/>
        <v>809</v>
      </c>
      <c r="L1194">
        <v>1020.24</v>
      </c>
    </row>
    <row r="1195" spans="1:12" x14ac:dyDescent="0.25">
      <c r="A1195" t="str">
        <f t="shared" si="211"/>
        <v>89301000</v>
      </c>
      <c r="B1195" t="str">
        <f t="shared" si="215"/>
        <v>89063000</v>
      </c>
      <c r="C1195" t="str">
        <f t="shared" si="215"/>
        <v>89063000</v>
      </c>
      <c r="D1195">
        <v>89301036</v>
      </c>
      <c r="E1195" t="str">
        <f>"7407204475"</f>
        <v>7407204475</v>
      </c>
      <c r="F1195" s="1">
        <v>44984</v>
      </c>
      <c r="G1195" t="str">
        <f t="shared" si="213"/>
        <v>89312</v>
      </c>
      <c r="H1195">
        <v>3</v>
      </c>
      <c r="I1195">
        <v>936</v>
      </c>
      <c r="J1195">
        <v>0</v>
      </c>
      <c r="K1195" t="str">
        <f t="shared" si="214"/>
        <v>809</v>
      </c>
      <c r="L1195">
        <v>1020.24</v>
      </c>
    </row>
    <row r="1196" spans="1:12" x14ac:dyDescent="0.25">
      <c r="A1196" t="str">
        <f t="shared" si="211"/>
        <v>89301000</v>
      </c>
      <c r="B1196" t="str">
        <f t="shared" si="215"/>
        <v>89063000</v>
      </c>
      <c r="C1196" t="str">
        <f t="shared" si="215"/>
        <v>89063000</v>
      </c>
      <c r="D1196">
        <v>89301037</v>
      </c>
      <c r="E1196" t="str">
        <f>"6057186036"</f>
        <v>6057186036</v>
      </c>
      <c r="F1196" s="1">
        <v>44984</v>
      </c>
      <c r="G1196" t="str">
        <f t="shared" si="213"/>
        <v>89312</v>
      </c>
      <c r="H1196">
        <v>3</v>
      </c>
      <c r="I1196">
        <v>936</v>
      </c>
      <c r="J1196">
        <v>0</v>
      </c>
      <c r="K1196" t="str">
        <f t="shared" si="214"/>
        <v>809</v>
      </c>
      <c r="L1196">
        <v>1020.24</v>
      </c>
    </row>
    <row r="1197" spans="1:12" x14ac:dyDescent="0.25">
      <c r="A1197" t="str">
        <f t="shared" si="211"/>
        <v>89301000</v>
      </c>
      <c r="B1197" t="str">
        <f t="shared" si="215"/>
        <v>89063000</v>
      </c>
      <c r="C1197" t="str">
        <f t="shared" si="215"/>
        <v>89063000</v>
      </c>
      <c r="D1197">
        <v>89301037</v>
      </c>
      <c r="E1197" t="str">
        <f>"525425324"</f>
        <v>525425324</v>
      </c>
      <c r="F1197" s="1">
        <v>44985</v>
      </c>
      <c r="G1197" t="str">
        <f t="shared" si="213"/>
        <v>89312</v>
      </c>
      <c r="H1197">
        <v>3</v>
      </c>
      <c r="I1197">
        <v>936</v>
      </c>
      <c r="J1197">
        <v>0</v>
      </c>
      <c r="K1197" t="str">
        <f t="shared" si="214"/>
        <v>809</v>
      </c>
      <c r="L1197">
        <v>1020.24</v>
      </c>
    </row>
    <row r="1198" spans="1:12" x14ac:dyDescent="0.25">
      <c r="A1198" t="str">
        <f t="shared" si="211"/>
        <v>89301000</v>
      </c>
      <c r="B1198" t="str">
        <f t="shared" si="215"/>
        <v>89063000</v>
      </c>
      <c r="C1198" t="str">
        <f t="shared" si="215"/>
        <v>89063000</v>
      </c>
      <c r="D1198">
        <v>89301212</v>
      </c>
      <c r="E1198" t="str">
        <f>"7852105679"</f>
        <v>7852105679</v>
      </c>
      <c r="F1198" s="1">
        <v>44985</v>
      </c>
      <c r="G1198" t="str">
        <f t="shared" si="213"/>
        <v>89312</v>
      </c>
      <c r="H1198">
        <v>3</v>
      </c>
      <c r="I1198">
        <v>936</v>
      </c>
      <c r="J1198">
        <v>0</v>
      </c>
      <c r="K1198" t="str">
        <f t="shared" si="214"/>
        <v>809</v>
      </c>
      <c r="L1198">
        <v>1020.24</v>
      </c>
    </row>
    <row r="1199" spans="1:12" x14ac:dyDescent="0.25">
      <c r="A1199" t="str">
        <f t="shared" si="211"/>
        <v>89301000</v>
      </c>
      <c r="B1199" t="str">
        <f t="shared" si="215"/>
        <v>89063000</v>
      </c>
      <c r="C1199" t="str">
        <f t="shared" si="215"/>
        <v>89063000</v>
      </c>
      <c r="D1199">
        <v>89301109</v>
      </c>
      <c r="E1199" t="str">
        <f>"0612173232"</f>
        <v>0612173232</v>
      </c>
      <c r="F1199" s="1">
        <v>44985</v>
      </c>
      <c r="G1199" t="str">
        <f t="shared" si="213"/>
        <v>89312</v>
      </c>
      <c r="H1199">
        <v>1</v>
      </c>
      <c r="I1199">
        <v>312</v>
      </c>
      <c r="J1199">
        <v>0</v>
      </c>
      <c r="K1199" t="str">
        <f t="shared" si="214"/>
        <v>809</v>
      </c>
      <c r="L1199">
        <v>340.08</v>
      </c>
    </row>
    <row r="1200" spans="1:12" x14ac:dyDescent="0.25">
      <c r="A1200" t="str">
        <f t="shared" si="211"/>
        <v>89301000</v>
      </c>
      <c r="B1200" t="str">
        <f t="shared" si="215"/>
        <v>89063000</v>
      </c>
      <c r="C1200" t="str">
        <f t="shared" si="215"/>
        <v>89063000</v>
      </c>
      <c r="D1200">
        <v>89301037</v>
      </c>
      <c r="E1200" t="str">
        <f>"485214414"</f>
        <v>485214414</v>
      </c>
      <c r="F1200" s="1">
        <v>44985</v>
      </c>
      <c r="G1200" t="str">
        <f t="shared" si="213"/>
        <v>89312</v>
      </c>
      <c r="H1200">
        <v>3</v>
      </c>
      <c r="I1200">
        <v>936</v>
      </c>
      <c r="J1200">
        <v>0</v>
      </c>
      <c r="K1200" t="str">
        <f t="shared" si="214"/>
        <v>809</v>
      </c>
      <c r="L1200">
        <v>1020.24</v>
      </c>
    </row>
    <row r="1201" spans="1:12" x14ac:dyDescent="0.25">
      <c r="A1201" t="str">
        <f t="shared" si="211"/>
        <v>89301000</v>
      </c>
      <c r="B1201" t="str">
        <f>"87029000"</f>
        <v>87029000</v>
      </c>
      <c r="C1201" t="str">
        <f>"87029881"</f>
        <v>87029881</v>
      </c>
      <c r="D1201">
        <v>89301082</v>
      </c>
      <c r="E1201" t="str">
        <f>"9256045513"</f>
        <v>9256045513</v>
      </c>
      <c r="F1201" s="1">
        <v>44965</v>
      </c>
      <c r="G1201" t="str">
        <f>"09119"</f>
        <v>09119</v>
      </c>
      <c r="H1201">
        <v>1</v>
      </c>
      <c r="I1201">
        <v>43</v>
      </c>
      <c r="J1201">
        <v>0</v>
      </c>
      <c r="K1201" t="str">
        <f>"801"</f>
        <v>801</v>
      </c>
      <c r="L1201">
        <v>54.18</v>
      </c>
    </row>
    <row r="1202" spans="1:12" x14ac:dyDescent="0.25">
      <c r="A1202" t="str">
        <f t="shared" si="211"/>
        <v>89301000</v>
      </c>
      <c r="B1202" t="str">
        <f>"87029000"</f>
        <v>87029000</v>
      </c>
      <c r="C1202" t="str">
        <f>"87029881"</f>
        <v>87029881</v>
      </c>
      <c r="D1202">
        <v>89301082</v>
      </c>
      <c r="E1202" t="str">
        <f>"9256045513"</f>
        <v>9256045513</v>
      </c>
      <c r="F1202" s="1">
        <v>44965</v>
      </c>
      <c r="G1202" t="str">
        <f>"93159"</f>
        <v>93159</v>
      </c>
      <c r="H1202">
        <v>1</v>
      </c>
      <c r="I1202">
        <v>197</v>
      </c>
      <c r="J1202">
        <v>0</v>
      </c>
      <c r="K1202" t="str">
        <f>"801"</f>
        <v>801</v>
      </c>
      <c r="L1202">
        <v>165.48</v>
      </c>
    </row>
    <row r="1203" spans="1:12" x14ac:dyDescent="0.25">
      <c r="A1203" t="str">
        <f t="shared" si="211"/>
        <v>89301000</v>
      </c>
      <c r="B1203" t="str">
        <f>"87029000"</f>
        <v>87029000</v>
      </c>
      <c r="C1203" t="str">
        <f>"87029881"</f>
        <v>87029881</v>
      </c>
      <c r="D1203">
        <v>89301082</v>
      </c>
      <c r="E1203" t="str">
        <f>"9256045513"</f>
        <v>9256045513</v>
      </c>
      <c r="F1203" s="1">
        <v>44965</v>
      </c>
      <c r="G1203" t="str">
        <f>"97111"</f>
        <v>97111</v>
      </c>
      <c r="H1203">
        <v>1</v>
      </c>
      <c r="I1203">
        <v>19</v>
      </c>
      <c r="J1203">
        <v>0</v>
      </c>
      <c r="K1203" t="str">
        <f>"801"</f>
        <v>801</v>
      </c>
      <c r="L1203">
        <v>23.94</v>
      </c>
    </row>
    <row r="1204" spans="1:12" x14ac:dyDescent="0.25">
      <c r="A1204" t="str">
        <f t="shared" si="211"/>
        <v>89301000</v>
      </c>
      <c r="B1204" t="str">
        <f t="shared" ref="B1204:B1222" si="216">"91997900"</f>
        <v>91997900</v>
      </c>
      <c r="C1204" t="str">
        <f>"91997902"</f>
        <v>91997902</v>
      </c>
      <c r="D1204">
        <v>89301167</v>
      </c>
      <c r="E1204" t="str">
        <f t="shared" ref="E1204:E1222" si="217">"5753036355"</f>
        <v>5753036355</v>
      </c>
      <c r="F1204" s="1">
        <v>44980</v>
      </c>
      <c r="G1204" t="str">
        <f>"91153"</f>
        <v>91153</v>
      </c>
      <c r="H1204">
        <v>1</v>
      </c>
      <c r="I1204">
        <v>153</v>
      </c>
      <c r="J1204">
        <v>0</v>
      </c>
      <c r="K1204" t="str">
        <f>"813"</f>
        <v>813</v>
      </c>
      <c r="L1204">
        <v>128.52000000000001</v>
      </c>
    </row>
    <row r="1205" spans="1:12" x14ac:dyDescent="0.25">
      <c r="A1205" t="str">
        <f t="shared" si="211"/>
        <v>89301000</v>
      </c>
      <c r="B1205" t="str">
        <f t="shared" si="216"/>
        <v>91997900</v>
      </c>
      <c r="C1205" t="str">
        <f>"91997903"</f>
        <v>91997903</v>
      </c>
      <c r="D1205">
        <v>89301167</v>
      </c>
      <c r="E1205" t="str">
        <f t="shared" si="217"/>
        <v>5753036355</v>
      </c>
      <c r="F1205" s="1">
        <v>44980</v>
      </c>
      <c r="G1205" t="str">
        <f>"96167"</f>
        <v>96167</v>
      </c>
      <c r="H1205">
        <v>1</v>
      </c>
      <c r="I1205">
        <v>67</v>
      </c>
      <c r="J1205">
        <v>0</v>
      </c>
      <c r="K1205" t="str">
        <f>"818"</f>
        <v>818</v>
      </c>
      <c r="L1205">
        <v>64.989999999999995</v>
      </c>
    </row>
    <row r="1206" spans="1:12" x14ac:dyDescent="0.25">
      <c r="A1206" t="str">
        <f t="shared" si="211"/>
        <v>89301000</v>
      </c>
      <c r="B1206" t="str">
        <f t="shared" si="216"/>
        <v>91997900</v>
      </c>
      <c r="C1206" t="str">
        <f t="shared" ref="C1206:C1222" si="218">"91997901"</f>
        <v>91997901</v>
      </c>
      <c r="D1206">
        <v>89301167</v>
      </c>
      <c r="E1206" t="str">
        <f t="shared" si="217"/>
        <v>5753036355</v>
      </c>
      <c r="F1206" s="1">
        <v>44980</v>
      </c>
      <c r="G1206" t="str">
        <f>"81329"</f>
        <v>81329</v>
      </c>
      <c r="H1206">
        <v>1</v>
      </c>
      <c r="I1206">
        <v>17</v>
      </c>
      <c r="J1206">
        <v>0</v>
      </c>
      <c r="K1206" t="str">
        <f t="shared" ref="K1206:K1222" si="219">"801"</f>
        <v>801</v>
      </c>
      <c r="L1206">
        <v>14.28</v>
      </c>
    </row>
    <row r="1207" spans="1:12" x14ac:dyDescent="0.25">
      <c r="A1207" t="str">
        <f t="shared" si="211"/>
        <v>89301000</v>
      </c>
      <c r="B1207" t="str">
        <f t="shared" si="216"/>
        <v>91997900</v>
      </c>
      <c r="C1207" t="str">
        <f t="shared" si="218"/>
        <v>91997901</v>
      </c>
      <c r="D1207">
        <v>89301167</v>
      </c>
      <c r="E1207" t="str">
        <f t="shared" si="217"/>
        <v>5753036355</v>
      </c>
      <c r="F1207" s="1">
        <v>44980</v>
      </c>
      <c r="G1207" t="str">
        <f>"81337"</f>
        <v>81337</v>
      </c>
      <c r="H1207">
        <v>1</v>
      </c>
      <c r="I1207">
        <v>20</v>
      </c>
      <c r="J1207">
        <v>0</v>
      </c>
      <c r="K1207" t="str">
        <f t="shared" si="219"/>
        <v>801</v>
      </c>
      <c r="L1207">
        <v>16.8</v>
      </c>
    </row>
    <row r="1208" spans="1:12" x14ac:dyDescent="0.25">
      <c r="A1208" t="str">
        <f t="shared" si="211"/>
        <v>89301000</v>
      </c>
      <c r="B1208" t="str">
        <f t="shared" si="216"/>
        <v>91997900</v>
      </c>
      <c r="C1208" t="str">
        <f t="shared" si="218"/>
        <v>91997901</v>
      </c>
      <c r="D1208">
        <v>89301167</v>
      </c>
      <c r="E1208" t="str">
        <f t="shared" si="217"/>
        <v>5753036355</v>
      </c>
      <c r="F1208" s="1">
        <v>44980</v>
      </c>
      <c r="G1208" t="str">
        <f>"81357"</f>
        <v>81357</v>
      </c>
      <c r="H1208">
        <v>1</v>
      </c>
      <c r="I1208">
        <v>20</v>
      </c>
      <c r="J1208">
        <v>0</v>
      </c>
      <c r="K1208" t="str">
        <f t="shared" si="219"/>
        <v>801</v>
      </c>
      <c r="L1208">
        <v>16.8</v>
      </c>
    </row>
    <row r="1209" spans="1:12" x14ac:dyDescent="0.25">
      <c r="A1209" t="str">
        <f t="shared" si="211"/>
        <v>89301000</v>
      </c>
      <c r="B1209" t="str">
        <f t="shared" si="216"/>
        <v>91997900</v>
      </c>
      <c r="C1209" t="str">
        <f t="shared" si="218"/>
        <v>91997901</v>
      </c>
      <c r="D1209">
        <v>89301167</v>
      </c>
      <c r="E1209" t="str">
        <f t="shared" si="217"/>
        <v>5753036355</v>
      </c>
      <c r="F1209" s="1">
        <v>44980</v>
      </c>
      <c r="G1209" t="str">
        <f>"81361"</f>
        <v>81361</v>
      </c>
      <c r="H1209">
        <v>1</v>
      </c>
      <c r="I1209">
        <v>17</v>
      </c>
      <c r="J1209">
        <v>0</v>
      </c>
      <c r="K1209" t="str">
        <f t="shared" si="219"/>
        <v>801</v>
      </c>
      <c r="L1209">
        <v>14.28</v>
      </c>
    </row>
    <row r="1210" spans="1:12" x14ac:dyDescent="0.25">
      <c r="A1210" t="str">
        <f t="shared" si="211"/>
        <v>89301000</v>
      </c>
      <c r="B1210" t="str">
        <f t="shared" si="216"/>
        <v>91997900</v>
      </c>
      <c r="C1210" t="str">
        <f t="shared" si="218"/>
        <v>91997901</v>
      </c>
      <c r="D1210">
        <v>89301167</v>
      </c>
      <c r="E1210" t="str">
        <f t="shared" si="217"/>
        <v>5753036355</v>
      </c>
      <c r="F1210" s="1">
        <v>44980</v>
      </c>
      <c r="G1210" t="str">
        <f>"81365"</f>
        <v>81365</v>
      </c>
      <c r="H1210">
        <v>1</v>
      </c>
      <c r="I1210">
        <v>16</v>
      </c>
      <c r="J1210">
        <v>0</v>
      </c>
      <c r="K1210" t="str">
        <f t="shared" si="219"/>
        <v>801</v>
      </c>
      <c r="L1210">
        <v>13.44</v>
      </c>
    </row>
    <row r="1211" spans="1:12" x14ac:dyDescent="0.25">
      <c r="A1211" t="str">
        <f t="shared" si="211"/>
        <v>89301000</v>
      </c>
      <c r="B1211" t="str">
        <f t="shared" si="216"/>
        <v>91997900</v>
      </c>
      <c r="C1211" t="str">
        <f t="shared" si="218"/>
        <v>91997901</v>
      </c>
      <c r="D1211">
        <v>89301167</v>
      </c>
      <c r="E1211" t="str">
        <f t="shared" si="217"/>
        <v>5753036355</v>
      </c>
      <c r="F1211" s="1">
        <v>44980</v>
      </c>
      <c r="G1211" t="str">
        <f>"81383"</f>
        <v>81383</v>
      </c>
      <c r="H1211">
        <v>1</v>
      </c>
      <c r="I1211">
        <v>24</v>
      </c>
      <c r="J1211">
        <v>0</v>
      </c>
      <c r="K1211" t="str">
        <f t="shared" si="219"/>
        <v>801</v>
      </c>
      <c r="L1211">
        <v>20.16</v>
      </c>
    </row>
    <row r="1212" spans="1:12" x14ac:dyDescent="0.25">
      <c r="A1212" t="str">
        <f t="shared" si="211"/>
        <v>89301000</v>
      </c>
      <c r="B1212" t="str">
        <f t="shared" si="216"/>
        <v>91997900</v>
      </c>
      <c r="C1212" t="str">
        <f t="shared" si="218"/>
        <v>91997901</v>
      </c>
      <c r="D1212">
        <v>89301167</v>
      </c>
      <c r="E1212" t="str">
        <f t="shared" si="217"/>
        <v>5753036355</v>
      </c>
      <c r="F1212" s="1">
        <v>44980</v>
      </c>
      <c r="G1212" t="str">
        <f>"81393"</f>
        <v>81393</v>
      </c>
      <c r="H1212">
        <v>1</v>
      </c>
      <c r="I1212">
        <v>24</v>
      </c>
      <c r="J1212">
        <v>0</v>
      </c>
      <c r="K1212" t="str">
        <f t="shared" si="219"/>
        <v>801</v>
      </c>
      <c r="L1212">
        <v>20.16</v>
      </c>
    </row>
    <row r="1213" spans="1:12" x14ac:dyDescent="0.25">
      <c r="A1213" t="str">
        <f t="shared" si="211"/>
        <v>89301000</v>
      </c>
      <c r="B1213" t="str">
        <f t="shared" si="216"/>
        <v>91997900</v>
      </c>
      <c r="C1213" t="str">
        <f t="shared" si="218"/>
        <v>91997901</v>
      </c>
      <c r="D1213">
        <v>89301167</v>
      </c>
      <c r="E1213" t="str">
        <f t="shared" si="217"/>
        <v>5753036355</v>
      </c>
      <c r="F1213" s="1">
        <v>44980</v>
      </c>
      <c r="G1213" t="str">
        <f>"81421"</f>
        <v>81421</v>
      </c>
      <c r="H1213">
        <v>1</v>
      </c>
      <c r="I1213">
        <v>19</v>
      </c>
      <c r="J1213">
        <v>0</v>
      </c>
      <c r="K1213" t="str">
        <f t="shared" si="219"/>
        <v>801</v>
      </c>
      <c r="L1213">
        <v>15.96</v>
      </c>
    </row>
    <row r="1214" spans="1:12" x14ac:dyDescent="0.25">
      <c r="A1214" t="str">
        <f t="shared" si="211"/>
        <v>89301000</v>
      </c>
      <c r="B1214" t="str">
        <f t="shared" si="216"/>
        <v>91997900</v>
      </c>
      <c r="C1214" t="str">
        <f t="shared" si="218"/>
        <v>91997901</v>
      </c>
      <c r="D1214">
        <v>89301167</v>
      </c>
      <c r="E1214" t="str">
        <f t="shared" si="217"/>
        <v>5753036355</v>
      </c>
      <c r="F1214" s="1">
        <v>44980</v>
      </c>
      <c r="G1214" t="str">
        <f>"81435"</f>
        <v>81435</v>
      </c>
      <c r="H1214">
        <v>1</v>
      </c>
      <c r="I1214">
        <v>22</v>
      </c>
      <c r="J1214">
        <v>0</v>
      </c>
      <c r="K1214" t="str">
        <f t="shared" si="219"/>
        <v>801</v>
      </c>
      <c r="L1214">
        <v>18.48</v>
      </c>
    </row>
    <row r="1215" spans="1:12" x14ac:dyDescent="0.25">
      <c r="A1215" t="str">
        <f t="shared" si="211"/>
        <v>89301000</v>
      </c>
      <c r="B1215" t="str">
        <f t="shared" si="216"/>
        <v>91997900</v>
      </c>
      <c r="C1215" t="str">
        <f t="shared" si="218"/>
        <v>91997901</v>
      </c>
      <c r="D1215">
        <v>89301167</v>
      </c>
      <c r="E1215" t="str">
        <f t="shared" si="217"/>
        <v>5753036355</v>
      </c>
      <c r="F1215" s="1">
        <v>44980</v>
      </c>
      <c r="G1215" t="str">
        <f>"81439"</f>
        <v>81439</v>
      </c>
      <c r="H1215">
        <v>1</v>
      </c>
      <c r="I1215">
        <v>16</v>
      </c>
      <c r="J1215">
        <v>0</v>
      </c>
      <c r="K1215" t="str">
        <f t="shared" si="219"/>
        <v>801</v>
      </c>
      <c r="L1215">
        <v>13.44</v>
      </c>
    </row>
    <row r="1216" spans="1:12" x14ac:dyDescent="0.25">
      <c r="A1216" t="str">
        <f t="shared" si="211"/>
        <v>89301000</v>
      </c>
      <c r="B1216" t="str">
        <f t="shared" si="216"/>
        <v>91997900</v>
      </c>
      <c r="C1216" t="str">
        <f t="shared" si="218"/>
        <v>91997901</v>
      </c>
      <c r="D1216">
        <v>89301167</v>
      </c>
      <c r="E1216" t="str">
        <f t="shared" si="217"/>
        <v>5753036355</v>
      </c>
      <c r="F1216" s="1">
        <v>44980</v>
      </c>
      <c r="G1216" t="str">
        <f>"81469"</f>
        <v>81469</v>
      </c>
      <c r="H1216">
        <v>1</v>
      </c>
      <c r="I1216">
        <v>16</v>
      </c>
      <c r="J1216">
        <v>0</v>
      </c>
      <c r="K1216" t="str">
        <f t="shared" si="219"/>
        <v>801</v>
      </c>
      <c r="L1216">
        <v>13.44</v>
      </c>
    </row>
    <row r="1217" spans="1:12" x14ac:dyDescent="0.25">
      <c r="A1217" t="str">
        <f t="shared" si="211"/>
        <v>89301000</v>
      </c>
      <c r="B1217" t="str">
        <f t="shared" si="216"/>
        <v>91997900</v>
      </c>
      <c r="C1217" t="str">
        <f t="shared" si="218"/>
        <v>91997901</v>
      </c>
      <c r="D1217">
        <v>89301167</v>
      </c>
      <c r="E1217" t="str">
        <f t="shared" si="217"/>
        <v>5753036355</v>
      </c>
      <c r="F1217" s="1">
        <v>44980</v>
      </c>
      <c r="G1217" t="str">
        <f>"81499"</f>
        <v>81499</v>
      </c>
      <c r="H1217">
        <v>1</v>
      </c>
      <c r="I1217">
        <v>18</v>
      </c>
      <c r="J1217">
        <v>0</v>
      </c>
      <c r="K1217" t="str">
        <f t="shared" si="219"/>
        <v>801</v>
      </c>
      <c r="L1217">
        <v>15.12</v>
      </c>
    </row>
    <row r="1218" spans="1:12" x14ac:dyDescent="0.25">
      <c r="A1218" t="str">
        <f t="shared" ref="A1218:A1281" si="220">"89301000"</f>
        <v>89301000</v>
      </c>
      <c r="B1218" t="str">
        <f t="shared" si="216"/>
        <v>91997900</v>
      </c>
      <c r="C1218" t="str">
        <f t="shared" si="218"/>
        <v>91997901</v>
      </c>
      <c r="D1218">
        <v>89301167</v>
      </c>
      <c r="E1218" t="str">
        <f t="shared" si="217"/>
        <v>5753036355</v>
      </c>
      <c r="F1218" s="1">
        <v>44980</v>
      </c>
      <c r="G1218" t="str">
        <f>"81523"</f>
        <v>81523</v>
      </c>
      <c r="H1218">
        <v>1</v>
      </c>
      <c r="I1218">
        <v>23</v>
      </c>
      <c r="J1218">
        <v>0</v>
      </c>
      <c r="K1218" t="str">
        <f t="shared" si="219"/>
        <v>801</v>
      </c>
      <c r="L1218">
        <v>19.32</v>
      </c>
    </row>
    <row r="1219" spans="1:12" x14ac:dyDescent="0.25">
      <c r="A1219" t="str">
        <f t="shared" si="220"/>
        <v>89301000</v>
      </c>
      <c r="B1219" t="str">
        <f t="shared" si="216"/>
        <v>91997900</v>
      </c>
      <c r="C1219" t="str">
        <f t="shared" si="218"/>
        <v>91997901</v>
      </c>
      <c r="D1219">
        <v>89301167</v>
      </c>
      <c r="E1219" t="str">
        <f t="shared" si="217"/>
        <v>5753036355</v>
      </c>
      <c r="F1219" s="1">
        <v>44980</v>
      </c>
      <c r="G1219" t="str">
        <f>"81593"</f>
        <v>81593</v>
      </c>
      <c r="H1219">
        <v>1</v>
      </c>
      <c r="I1219">
        <v>22</v>
      </c>
      <c r="J1219">
        <v>0</v>
      </c>
      <c r="K1219" t="str">
        <f t="shared" si="219"/>
        <v>801</v>
      </c>
      <c r="L1219">
        <v>18.48</v>
      </c>
    </row>
    <row r="1220" spans="1:12" x14ac:dyDescent="0.25">
      <c r="A1220" t="str">
        <f t="shared" si="220"/>
        <v>89301000</v>
      </c>
      <c r="B1220" t="str">
        <f t="shared" si="216"/>
        <v>91997900</v>
      </c>
      <c r="C1220" t="str">
        <f t="shared" si="218"/>
        <v>91997901</v>
      </c>
      <c r="D1220">
        <v>89301167</v>
      </c>
      <c r="E1220" t="str">
        <f t="shared" si="217"/>
        <v>5753036355</v>
      </c>
      <c r="F1220" s="1">
        <v>44980</v>
      </c>
      <c r="G1220" t="str">
        <f>"81621"</f>
        <v>81621</v>
      </c>
      <c r="H1220">
        <v>1</v>
      </c>
      <c r="I1220">
        <v>19</v>
      </c>
      <c r="J1220">
        <v>0</v>
      </c>
      <c r="K1220" t="str">
        <f t="shared" si="219"/>
        <v>801</v>
      </c>
      <c r="L1220">
        <v>15.96</v>
      </c>
    </row>
    <row r="1221" spans="1:12" x14ac:dyDescent="0.25">
      <c r="A1221" t="str">
        <f t="shared" si="220"/>
        <v>89301000</v>
      </c>
      <c r="B1221" t="str">
        <f t="shared" si="216"/>
        <v>91997900</v>
      </c>
      <c r="C1221" t="str">
        <f t="shared" si="218"/>
        <v>91997901</v>
      </c>
      <c r="D1221">
        <v>89301167</v>
      </c>
      <c r="E1221" t="str">
        <f t="shared" si="217"/>
        <v>5753036355</v>
      </c>
      <c r="F1221" s="1">
        <v>44980</v>
      </c>
      <c r="G1221" t="str">
        <f>"81625"</f>
        <v>81625</v>
      </c>
      <c r="H1221">
        <v>1</v>
      </c>
      <c r="I1221">
        <v>21</v>
      </c>
      <c r="J1221">
        <v>0</v>
      </c>
      <c r="K1221" t="str">
        <f t="shared" si="219"/>
        <v>801</v>
      </c>
      <c r="L1221">
        <v>17.64</v>
      </c>
    </row>
    <row r="1222" spans="1:12" x14ac:dyDescent="0.25">
      <c r="A1222" t="str">
        <f t="shared" si="220"/>
        <v>89301000</v>
      </c>
      <c r="B1222" t="str">
        <f t="shared" si="216"/>
        <v>91997900</v>
      </c>
      <c r="C1222" t="str">
        <f t="shared" si="218"/>
        <v>91997901</v>
      </c>
      <c r="D1222">
        <v>89301167</v>
      </c>
      <c r="E1222" t="str">
        <f t="shared" si="217"/>
        <v>5753036355</v>
      </c>
      <c r="F1222" s="1">
        <v>44980</v>
      </c>
      <c r="G1222" t="str">
        <f>"97111"</f>
        <v>97111</v>
      </c>
      <c r="H1222">
        <v>1</v>
      </c>
      <c r="I1222">
        <v>19</v>
      </c>
      <c r="J1222">
        <v>0</v>
      </c>
      <c r="K1222" t="str">
        <f t="shared" si="219"/>
        <v>801</v>
      </c>
      <c r="L1222">
        <v>23.94</v>
      </c>
    </row>
    <row r="1223" spans="1:12" x14ac:dyDescent="0.25">
      <c r="A1223" t="str">
        <f t="shared" si="220"/>
        <v>89301000</v>
      </c>
      <c r="B1223" t="str">
        <f t="shared" ref="B1223:B1255" si="221">"89895000"</f>
        <v>89895000</v>
      </c>
      <c r="C1223" t="str">
        <f>"89895001"</f>
        <v>89895001</v>
      </c>
      <c r="D1223">
        <v>89301212</v>
      </c>
      <c r="E1223" t="str">
        <f>"5851150173"</f>
        <v>5851150173</v>
      </c>
      <c r="F1223" s="1">
        <v>44965</v>
      </c>
      <c r="G1223" t="str">
        <f>"0000502"</f>
        <v>0000502</v>
      </c>
      <c r="H1223">
        <v>0.1</v>
      </c>
      <c r="J1223">
        <v>6.97</v>
      </c>
      <c r="K1223" t="str">
        <f>"806"</f>
        <v>806</v>
      </c>
      <c r="L1223">
        <v>6.97</v>
      </c>
    </row>
    <row r="1224" spans="1:12" x14ac:dyDescent="0.25">
      <c r="A1224" t="str">
        <f t="shared" si="220"/>
        <v>89301000</v>
      </c>
      <c r="B1224" t="str">
        <f t="shared" si="221"/>
        <v>89895000</v>
      </c>
      <c r="C1224" t="str">
        <f>"89895001"</f>
        <v>89895001</v>
      </c>
      <c r="D1224">
        <v>89301212</v>
      </c>
      <c r="E1224" t="str">
        <f>"5851150173"</f>
        <v>5851150173</v>
      </c>
      <c r="F1224" s="1">
        <v>44965</v>
      </c>
      <c r="G1224" t="str">
        <f>"0082409"</f>
        <v>0082409</v>
      </c>
      <c r="H1224">
        <v>1</v>
      </c>
      <c r="J1224">
        <v>702</v>
      </c>
      <c r="K1224" t="str">
        <f>"806"</f>
        <v>806</v>
      </c>
      <c r="L1224">
        <v>702</v>
      </c>
    </row>
    <row r="1225" spans="1:12" x14ac:dyDescent="0.25">
      <c r="A1225" t="str">
        <f t="shared" si="220"/>
        <v>89301000</v>
      </c>
      <c r="B1225" t="str">
        <f t="shared" si="221"/>
        <v>89895000</v>
      </c>
      <c r="C1225" t="str">
        <f t="shared" ref="C1225:C1255" si="222">"89895002"</f>
        <v>89895002</v>
      </c>
      <c r="D1225">
        <v>89301212</v>
      </c>
      <c r="E1225" t="str">
        <f>"355105455"</f>
        <v>355105455</v>
      </c>
      <c r="F1225" s="1">
        <v>44963</v>
      </c>
      <c r="G1225" t="str">
        <f>"89180"</f>
        <v>89180</v>
      </c>
      <c r="H1225">
        <v>2</v>
      </c>
      <c r="I1225">
        <v>762</v>
      </c>
      <c r="J1225">
        <v>0</v>
      </c>
      <c r="K1225" t="str">
        <f t="shared" ref="K1225:K1255" si="223">"809"</f>
        <v>809</v>
      </c>
      <c r="L1225">
        <v>1120.1400000000001</v>
      </c>
    </row>
    <row r="1226" spans="1:12" x14ac:dyDescent="0.25">
      <c r="A1226" t="str">
        <f t="shared" si="220"/>
        <v>89301000</v>
      </c>
      <c r="B1226" t="str">
        <f t="shared" si="221"/>
        <v>89895000</v>
      </c>
      <c r="C1226" t="str">
        <f t="shared" si="222"/>
        <v>89895002</v>
      </c>
      <c r="D1226">
        <v>89301212</v>
      </c>
      <c r="E1226" t="str">
        <f>"355105455"</f>
        <v>355105455</v>
      </c>
      <c r="F1226" s="1">
        <v>44963</v>
      </c>
      <c r="G1226" t="str">
        <f>"89513"</f>
        <v>89513</v>
      </c>
      <c r="H1226">
        <v>1</v>
      </c>
      <c r="I1226">
        <v>378</v>
      </c>
      <c r="J1226">
        <v>0</v>
      </c>
      <c r="K1226" t="str">
        <f t="shared" si="223"/>
        <v>809</v>
      </c>
      <c r="L1226">
        <v>555.66</v>
      </c>
    </row>
    <row r="1227" spans="1:12" x14ac:dyDescent="0.25">
      <c r="A1227" t="str">
        <f t="shared" si="220"/>
        <v>89301000</v>
      </c>
      <c r="B1227" t="str">
        <f t="shared" si="221"/>
        <v>89895000</v>
      </c>
      <c r="C1227" t="str">
        <f t="shared" si="222"/>
        <v>89895002</v>
      </c>
      <c r="D1227">
        <v>89301212</v>
      </c>
      <c r="E1227" t="str">
        <f>"355105455"</f>
        <v>355105455</v>
      </c>
      <c r="F1227" s="1">
        <v>44963</v>
      </c>
      <c r="G1227" t="str">
        <f>"89514"</f>
        <v>89514</v>
      </c>
      <c r="H1227">
        <v>1</v>
      </c>
      <c r="I1227">
        <v>378</v>
      </c>
      <c r="J1227">
        <v>0</v>
      </c>
      <c r="K1227" t="str">
        <f t="shared" si="223"/>
        <v>809</v>
      </c>
      <c r="L1227">
        <v>555.66</v>
      </c>
    </row>
    <row r="1228" spans="1:12" x14ac:dyDescent="0.25">
      <c r="A1228" t="str">
        <f t="shared" si="220"/>
        <v>89301000</v>
      </c>
      <c r="B1228" t="str">
        <f t="shared" si="221"/>
        <v>89895000</v>
      </c>
      <c r="C1228" t="str">
        <f t="shared" si="222"/>
        <v>89895002</v>
      </c>
      <c r="D1228">
        <v>89301212</v>
      </c>
      <c r="E1228" t="str">
        <f>"465206448"</f>
        <v>465206448</v>
      </c>
      <c r="F1228" s="1">
        <v>44960</v>
      </c>
      <c r="G1228" t="str">
        <f>"89514"</f>
        <v>89514</v>
      </c>
      <c r="H1228">
        <v>1</v>
      </c>
      <c r="I1228">
        <v>378</v>
      </c>
      <c r="J1228">
        <v>0</v>
      </c>
      <c r="K1228" t="str">
        <f t="shared" si="223"/>
        <v>809</v>
      </c>
      <c r="L1228">
        <v>555.66</v>
      </c>
    </row>
    <row r="1229" spans="1:12" x14ac:dyDescent="0.25">
      <c r="A1229" t="str">
        <f t="shared" si="220"/>
        <v>89301000</v>
      </c>
      <c r="B1229" t="str">
        <f t="shared" si="221"/>
        <v>89895000</v>
      </c>
      <c r="C1229" t="str">
        <f t="shared" si="222"/>
        <v>89895002</v>
      </c>
      <c r="D1229">
        <v>89301212</v>
      </c>
      <c r="E1229" t="str">
        <f>"465206448"</f>
        <v>465206448</v>
      </c>
      <c r="F1229" s="1">
        <v>44960</v>
      </c>
      <c r="G1229" t="str">
        <f>"89513"</f>
        <v>89513</v>
      </c>
      <c r="H1229">
        <v>1</v>
      </c>
      <c r="I1229">
        <v>378</v>
      </c>
      <c r="J1229">
        <v>0</v>
      </c>
      <c r="K1229" t="str">
        <f t="shared" si="223"/>
        <v>809</v>
      </c>
      <c r="L1229">
        <v>555.66</v>
      </c>
    </row>
    <row r="1230" spans="1:12" x14ac:dyDescent="0.25">
      <c r="A1230" t="str">
        <f t="shared" si="220"/>
        <v>89301000</v>
      </c>
      <c r="B1230" t="str">
        <f t="shared" si="221"/>
        <v>89895000</v>
      </c>
      <c r="C1230" t="str">
        <f t="shared" si="222"/>
        <v>89895002</v>
      </c>
      <c r="D1230">
        <v>89301212</v>
      </c>
      <c r="E1230" t="str">
        <f>"475819437"</f>
        <v>475819437</v>
      </c>
      <c r="F1230" s="1">
        <v>44978</v>
      </c>
      <c r="G1230" t="str">
        <f>"89180"</f>
        <v>89180</v>
      </c>
      <c r="H1230">
        <v>1</v>
      </c>
      <c r="I1230">
        <v>381</v>
      </c>
      <c r="J1230">
        <v>0</v>
      </c>
      <c r="K1230" t="str">
        <f t="shared" si="223"/>
        <v>809</v>
      </c>
      <c r="L1230">
        <v>560.07000000000005</v>
      </c>
    </row>
    <row r="1231" spans="1:12" x14ac:dyDescent="0.25">
      <c r="A1231" t="str">
        <f t="shared" si="220"/>
        <v>89301000</v>
      </c>
      <c r="B1231" t="str">
        <f t="shared" si="221"/>
        <v>89895000</v>
      </c>
      <c r="C1231" t="str">
        <f t="shared" si="222"/>
        <v>89895002</v>
      </c>
      <c r="D1231">
        <v>89301212</v>
      </c>
      <c r="E1231" t="str">
        <f>"475819437"</f>
        <v>475819437</v>
      </c>
      <c r="F1231" s="1">
        <v>44978</v>
      </c>
      <c r="G1231" t="str">
        <f>"89512"</f>
        <v>89512</v>
      </c>
      <c r="H1231">
        <v>1</v>
      </c>
      <c r="I1231">
        <v>283</v>
      </c>
      <c r="J1231">
        <v>0</v>
      </c>
      <c r="K1231" t="str">
        <f t="shared" si="223"/>
        <v>809</v>
      </c>
      <c r="L1231">
        <v>416.01</v>
      </c>
    </row>
    <row r="1232" spans="1:12" x14ac:dyDescent="0.25">
      <c r="A1232" t="str">
        <f t="shared" si="220"/>
        <v>89301000</v>
      </c>
      <c r="B1232" t="str">
        <f t="shared" si="221"/>
        <v>89895000</v>
      </c>
      <c r="C1232" t="str">
        <f t="shared" si="222"/>
        <v>89895002</v>
      </c>
      <c r="D1232">
        <v>89301212</v>
      </c>
      <c r="E1232" t="str">
        <f>"495518284"</f>
        <v>495518284</v>
      </c>
      <c r="F1232" s="1">
        <v>44965</v>
      </c>
      <c r="G1232" t="str">
        <f>"89180"</f>
        <v>89180</v>
      </c>
      <c r="H1232">
        <v>1</v>
      </c>
      <c r="I1232">
        <v>381</v>
      </c>
      <c r="J1232">
        <v>0</v>
      </c>
      <c r="K1232" t="str">
        <f t="shared" si="223"/>
        <v>809</v>
      </c>
      <c r="L1232">
        <v>560.07000000000005</v>
      </c>
    </row>
    <row r="1233" spans="1:12" x14ac:dyDescent="0.25">
      <c r="A1233" t="str">
        <f t="shared" si="220"/>
        <v>89301000</v>
      </c>
      <c r="B1233" t="str">
        <f t="shared" si="221"/>
        <v>89895000</v>
      </c>
      <c r="C1233" t="str">
        <f t="shared" si="222"/>
        <v>89895002</v>
      </c>
      <c r="D1233">
        <v>89301212</v>
      </c>
      <c r="E1233" t="str">
        <f>"495518284"</f>
        <v>495518284</v>
      </c>
      <c r="F1233" s="1">
        <v>44965</v>
      </c>
      <c r="G1233" t="str">
        <f>"89335"</f>
        <v>89335</v>
      </c>
      <c r="H1233">
        <v>1</v>
      </c>
      <c r="I1233">
        <v>185</v>
      </c>
      <c r="J1233">
        <v>0</v>
      </c>
      <c r="K1233" t="str">
        <f t="shared" si="223"/>
        <v>809</v>
      </c>
      <c r="L1233">
        <v>271.95</v>
      </c>
    </row>
    <row r="1234" spans="1:12" x14ac:dyDescent="0.25">
      <c r="A1234" t="str">
        <f t="shared" si="220"/>
        <v>89301000</v>
      </c>
      <c r="B1234" t="str">
        <f t="shared" si="221"/>
        <v>89895000</v>
      </c>
      <c r="C1234" t="str">
        <f t="shared" si="222"/>
        <v>89895002</v>
      </c>
      <c r="D1234">
        <v>89301212</v>
      </c>
      <c r="E1234" t="str">
        <f>"495518284"</f>
        <v>495518284</v>
      </c>
      <c r="F1234" s="1">
        <v>44965</v>
      </c>
      <c r="G1234" t="str">
        <f>"89512"</f>
        <v>89512</v>
      </c>
      <c r="H1234">
        <v>1</v>
      </c>
      <c r="I1234">
        <v>283</v>
      </c>
      <c r="J1234">
        <v>0</v>
      </c>
      <c r="K1234" t="str">
        <f t="shared" si="223"/>
        <v>809</v>
      </c>
      <c r="L1234">
        <v>416.01</v>
      </c>
    </row>
    <row r="1235" spans="1:12" x14ac:dyDescent="0.25">
      <c r="A1235" t="str">
        <f t="shared" si="220"/>
        <v>89301000</v>
      </c>
      <c r="B1235" t="str">
        <f t="shared" si="221"/>
        <v>89895000</v>
      </c>
      <c r="C1235" t="str">
        <f t="shared" si="222"/>
        <v>89895002</v>
      </c>
      <c r="D1235">
        <v>89301212</v>
      </c>
      <c r="E1235" t="str">
        <f>"495518284"</f>
        <v>495518284</v>
      </c>
      <c r="F1235" s="1">
        <v>44965</v>
      </c>
      <c r="G1235" t="str">
        <f>"0000502"</f>
        <v>0000502</v>
      </c>
      <c r="H1235">
        <v>0.1</v>
      </c>
      <c r="J1235">
        <v>6.97</v>
      </c>
      <c r="K1235" t="str">
        <f t="shared" si="223"/>
        <v>809</v>
      </c>
      <c r="L1235">
        <v>6.97</v>
      </c>
    </row>
    <row r="1236" spans="1:12" x14ac:dyDescent="0.25">
      <c r="A1236" t="str">
        <f t="shared" si="220"/>
        <v>89301000</v>
      </c>
      <c r="B1236" t="str">
        <f t="shared" si="221"/>
        <v>89895000</v>
      </c>
      <c r="C1236" t="str">
        <f t="shared" si="222"/>
        <v>89895002</v>
      </c>
      <c r="D1236">
        <v>89301212</v>
      </c>
      <c r="E1236" t="str">
        <f>"495518284"</f>
        <v>495518284</v>
      </c>
      <c r="F1236" s="1">
        <v>44965</v>
      </c>
      <c r="G1236" t="str">
        <f>"0142906"</f>
        <v>0142906</v>
      </c>
      <c r="H1236">
        <v>1</v>
      </c>
      <c r="J1236">
        <v>6990</v>
      </c>
      <c r="K1236" t="str">
        <f t="shared" si="223"/>
        <v>809</v>
      </c>
      <c r="L1236">
        <v>6990</v>
      </c>
    </row>
    <row r="1237" spans="1:12" x14ac:dyDescent="0.25">
      <c r="A1237" t="str">
        <f t="shared" si="220"/>
        <v>89301000</v>
      </c>
      <c r="B1237" t="str">
        <f t="shared" si="221"/>
        <v>89895000</v>
      </c>
      <c r="C1237" t="str">
        <f t="shared" si="222"/>
        <v>89895002</v>
      </c>
      <c r="D1237">
        <v>89301215</v>
      </c>
      <c r="E1237" t="str">
        <f>"5652110904"</f>
        <v>5652110904</v>
      </c>
      <c r="F1237" s="1">
        <v>44979</v>
      </c>
      <c r="G1237" t="str">
        <f>"89180"</f>
        <v>89180</v>
      </c>
      <c r="H1237">
        <v>2</v>
      </c>
      <c r="I1237">
        <v>762</v>
      </c>
      <c r="J1237">
        <v>0</v>
      </c>
      <c r="K1237" t="str">
        <f t="shared" si="223"/>
        <v>809</v>
      </c>
      <c r="L1237">
        <v>1120.1400000000001</v>
      </c>
    </row>
    <row r="1238" spans="1:12" x14ac:dyDescent="0.25">
      <c r="A1238" t="str">
        <f t="shared" si="220"/>
        <v>89301000</v>
      </c>
      <c r="B1238" t="str">
        <f t="shared" si="221"/>
        <v>89895000</v>
      </c>
      <c r="C1238" t="str">
        <f t="shared" si="222"/>
        <v>89895002</v>
      </c>
      <c r="D1238">
        <v>89301212</v>
      </c>
      <c r="E1238" t="str">
        <f>"5851150173"</f>
        <v>5851150173</v>
      </c>
      <c r="F1238" s="1">
        <v>44964</v>
      </c>
      <c r="G1238" t="str">
        <f>"89513"</f>
        <v>89513</v>
      </c>
      <c r="H1238">
        <v>1</v>
      </c>
      <c r="I1238">
        <v>378</v>
      </c>
      <c r="J1238">
        <v>0</v>
      </c>
      <c r="K1238" t="str">
        <f t="shared" si="223"/>
        <v>809</v>
      </c>
      <c r="L1238">
        <v>555.66</v>
      </c>
    </row>
    <row r="1239" spans="1:12" x14ac:dyDescent="0.25">
      <c r="A1239" t="str">
        <f t="shared" si="220"/>
        <v>89301000</v>
      </c>
      <c r="B1239" t="str">
        <f t="shared" si="221"/>
        <v>89895000</v>
      </c>
      <c r="C1239" t="str">
        <f t="shared" si="222"/>
        <v>89895002</v>
      </c>
      <c r="D1239">
        <v>89301212</v>
      </c>
      <c r="E1239" t="str">
        <f>"5851150173"</f>
        <v>5851150173</v>
      </c>
      <c r="F1239" s="1">
        <v>44964</v>
      </c>
      <c r="G1239" t="str">
        <f>"89514"</f>
        <v>89514</v>
      </c>
      <c r="H1239">
        <v>1</v>
      </c>
      <c r="I1239">
        <v>378</v>
      </c>
      <c r="J1239">
        <v>0</v>
      </c>
      <c r="K1239" t="str">
        <f t="shared" si="223"/>
        <v>809</v>
      </c>
      <c r="L1239">
        <v>555.66</v>
      </c>
    </row>
    <row r="1240" spans="1:12" x14ac:dyDescent="0.25">
      <c r="A1240" t="str">
        <f t="shared" si="220"/>
        <v>89301000</v>
      </c>
      <c r="B1240" t="str">
        <f t="shared" si="221"/>
        <v>89895000</v>
      </c>
      <c r="C1240" t="str">
        <f t="shared" si="222"/>
        <v>89895002</v>
      </c>
      <c r="D1240">
        <v>89301212</v>
      </c>
      <c r="E1240" t="str">
        <f>"6451190713"</f>
        <v>6451190713</v>
      </c>
      <c r="F1240" s="1">
        <v>44972</v>
      </c>
      <c r="G1240" t="str">
        <f>"89513"</f>
        <v>89513</v>
      </c>
      <c r="H1240">
        <v>1</v>
      </c>
      <c r="I1240">
        <v>378</v>
      </c>
      <c r="J1240">
        <v>0</v>
      </c>
      <c r="K1240" t="str">
        <f t="shared" si="223"/>
        <v>809</v>
      </c>
      <c r="L1240">
        <v>555.66</v>
      </c>
    </row>
    <row r="1241" spans="1:12" x14ac:dyDescent="0.25">
      <c r="A1241" t="str">
        <f t="shared" si="220"/>
        <v>89301000</v>
      </c>
      <c r="B1241" t="str">
        <f t="shared" si="221"/>
        <v>89895000</v>
      </c>
      <c r="C1241" t="str">
        <f t="shared" si="222"/>
        <v>89895002</v>
      </c>
      <c r="D1241">
        <v>89301212</v>
      </c>
      <c r="E1241" t="str">
        <f>"6451190713"</f>
        <v>6451190713</v>
      </c>
      <c r="F1241" s="1">
        <v>44972</v>
      </c>
      <c r="G1241" t="str">
        <f>"89514"</f>
        <v>89514</v>
      </c>
      <c r="H1241">
        <v>1</v>
      </c>
      <c r="I1241">
        <v>378</v>
      </c>
      <c r="J1241">
        <v>0</v>
      </c>
      <c r="K1241" t="str">
        <f t="shared" si="223"/>
        <v>809</v>
      </c>
      <c r="L1241">
        <v>555.66</v>
      </c>
    </row>
    <row r="1242" spans="1:12" x14ac:dyDescent="0.25">
      <c r="A1242" t="str">
        <f t="shared" si="220"/>
        <v>89301000</v>
      </c>
      <c r="B1242" t="str">
        <f t="shared" si="221"/>
        <v>89895000</v>
      </c>
      <c r="C1242" t="str">
        <f t="shared" si="222"/>
        <v>89895002</v>
      </c>
      <c r="D1242">
        <v>89301292</v>
      </c>
      <c r="E1242" t="str">
        <f>"6458160852"</f>
        <v>6458160852</v>
      </c>
      <c r="F1242" s="1">
        <v>44959</v>
      </c>
      <c r="G1242" t="str">
        <f>"89512"</f>
        <v>89512</v>
      </c>
      <c r="H1242">
        <v>1</v>
      </c>
      <c r="I1242">
        <v>283</v>
      </c>
      <c r="J1242">
        <v>0</v>
      </c>
      <c r="K1242" t="str">
        <f t="shared" si="223"/>
        <v>809</v>
      </c>
      <c r="L1242">
        <v>416.01</v>
      </c>
    </row>
    <row r="1243" spans="1:12" x14ac:dyDescent="0.25">
      <c r="A1243" t="str">
        <f t="shared" si="220"/>
        <v>89301000</v>
      </c>
      <c r="B1243" t="str">
        <f t="shared" si="221"/>
        <v>89895000</v>
      </c>
      <c r="C1243" t="str">
        <f t="shared" si="222"/>
        <v>89895002</v>
      </c>
      <c r="D1243">
        <v>89301212</v>
      </c>
      <c r="E1243" t="str">
        <f>"6458241515"</f>
        <v>6458241515</v>
      </c>
      <c r="F1243" s="1">
        <v>44981</v>
      </c>
      <c r="G1243" t="str">
        <f>"89180"</f>
        <v>89180</v>
      </c>
      <c r="H1243">
        <v>1</v>
      </c>
      <c r="I1243">
        <v>381</v>
      </c>
      <c r="J1243">
        <v>0</v>
      </c>
      <c r="K1243" t="str">
        <f t="shared" si="223"/>
        <v>809</v>
      </c>
      <c r="L1243">
        <v>560.07000000000005</v>
      </c>
    </row>
    <row r="1244" spans="1:12" x14ac:dyDescent="0.25">
      <c r="A1244" t="str">
        <f t="shared" si="220"/>
        <v>89301000</v>
      </c>
      <c r="B1244" t="str">
        <f t="shared" si="221"/>
        <v>89895000</v>
      </c>
      <c r="C1244" t="str">
        <f t="shared" si="222"/>
        <v>89895002</v>
      </c>
      <c r="D1244">
        <v>89301212</v>
      </c>
      <c r="E1244" t="str">
        <f>"6458241515"</f>
        <v>6458241515</v>
      </c>
      <c r="F1244" s="1">
        <v>44981</v>
      </c>
      <c r="G1244" t="str">
        <f>"89514"</f>
        <v>89514</v>
      </c>
      <c r="H1244">
        <v>1</v>
      </c>
      <c r="I1244">
        <v>378</v>
      </c>
      <c r="J1244">
        <v>0</v>
      </c>
      <c r="K1244" t="str">
        <f t="shared" si="223"/>
        <v>809</v>
      </c>
      <c r="L1244">
        <v>555.66</v>
      </c>
    </row>
    <row r="1245" spans="1:12" x14ac:dyDescent="0.25">
      <c r="A1245" t="str">
        <f t="shared" si="220"/>
        <v>89301000</v>
      </c>
      <c r="B1245" t="str">
        <f t="shared" si="221"/>
        <v>89895000</v>
      </c>
      <c r="C1245" t="str">
        <f t="shared" si="222"/>
        <v>89895002</v>
      </c>
      <c r="D1245">
        <v>89301212</v>
      </c>
      <c r="E1245" t="str">
        <f>"6458241515"</f>
        <v>6458241515</v>
      </c>
      <c r="F1245" s="1">
        <v>44981</v>
      </c>
      <c r="G1245" t="str">
        <f>"89513"</f>
        <v>89513</v>
      </c>
      <c r="H1245">
        <v>1</v>
      </c>
      <c r="I1245">
        <v>378</v>
      </c>
      <c r="J1245">
        <v>0</v>
      </c>
      <c r="K1245" t="str">
        <f t="shared" si="223"/>
        <v>809</v>
      </c>
      <c r="L1245">
        <v>555.66</v>
      </c>
    </row>
    <row r="1246" spans="1:12" x14ac:dyDescent="0.25">
      <c r="A1246" t="str">
        <f t="shared" si="220"/>
        <v>89301000</v>
      </c>
      <c r="B1246" t="str">
        <f t="shared" si="221"/>
        <v>89895000</v>
      </c>
      <c r="C1246" t="str">
        <f t="shared" si="222"/>
        <v>89895002</v>
      </c>
      <c r="D1246">
        <v>89301212</v>
      </c>
      <c r="E1246" t="str">
        <f>"6553221708"</f>
        <v>6553221708</v>
      </c>
      <c r="F1246" s="1">
        <v>44984</v>
      </c>
      <c r="G1246" t="str">
        <f>"89514"</f>
        <v>89514</v>
      </c>
      <c r="H1246">
        <v>1</v>
      </c>
      <c r="I1246">
        <v>378</v>
      </c>
      <c r="J1246">
        <v>0</v>
      </c>
      <c r="K1246" t="str">
        <f t="shared" si="223"/>
        <v>809</v>
      </c>
      <c r="L1246">
        <v>555.66</v>
      </c>
    </row>
    <row r="1247" spans="1:12" x14ac:dyDescent="0.25">
      <c r="A1247" t="str">
        <f t="shared" si="220"/>
        <v>89301000</v>
      </c>
      <c r="B1247" t="str">
        <f t="shared" si="221"/>
        <v>89895000</v>
      </c>
      <c r="C1247" t="str">
        <f t="shared" si="222"/>
        <v>89895002</v>
      </c>
      <c r="D1247">
        <v>89301212</v>
      </c>
      <c r="E1247" t="str">
        <f>"6553221708"</f>
        <v>6553221708</v>
      </c>
      <c r="F1247" s="1">
        <v>44984</v>
      </c>
      <c r="G1247" t="str">
        <f>"89513"</f>
        <v>89513</v>
      </c>
      <c r="H1247">
        <v>1</v>
      </c>
      <c r="I1247">
        <v>378</v>
      </c>
      <c r="J1247">
        <v>0</v>
      </c>
      <c r="K1247" t="str">
        <f t="shared" si="223"/>
        <v>809</v>
      </c>
      <c r="L1247">
        <v>555.66</v>
      </c>
    </row>
    <row r="1248" spans="1:12" x14ac:dyDescent="0.25">
      <c r="A1248" t="str">
        <f t="shared" si="220"/>
        <v>89301000</v>
      </c>
      <c r="B1248" t="str">
        <f t="shared" si="221"/>
        <v>89895000</v>
      </c>
      <c r="C1248" t="str">
        <f t="shared" si="222"/>
        <v>89895002</v>
      </c>
      <c r="D1248">
        <v>89301212</v>
      </c>
      <c r="E1248" t="str">
        <f>"6555041625"</f>
        <v>6555041625</v>
      </c>
      <c r="F1248" s="1">
        <v>44965</v>
      </c>
      <c r="G1248" t="str">
        <f>"89180"</f>
        <v>89180</v>
      </c>
      <c r="H1248">
        <v>2</v>
      </c>
      <c r="I1248">
        <v>762</v>
      </c>
      <c r="J1248">
        <v>0</v>
      </c>
      <c r="K1248" t="str">
        <f t="shared" si="223"/>
        <v>809</v>
      </c>
      <c r="L1248">
        <v>1120.1400000000001</v>
      </c>
    </row>
    <row r="1249" spans="1:12" x14ac:dyDescent="0.25">
      <c r="A1249" t="str">
        <f t="shared" si="220"/>
        <v>89301000</v>
      </c>
      <c r="B1249" t="str">
        <f t="shared" si="221"/>
        <v>89895000</v>
      </c>
      <c r="C1249" t="str">
        <f t="shared" si="222"/>
        <v>89895002</v>
      </c>
      <c r="D1249">
        <v>89301212</v>
      </c>
      <c r="E1249" t="str">
        <f>"6555041625"</f>
        <v>6555041625</v>
      </c>
      <c r="F1249" s="1">
        <v>44965</v>
      </c>
      <c r="G1249" t="str">
        <f>"89512"</f>
        <v>89512</v>
      </c>
      <c r="H1249">
        <v>1</v>
      </c>
      <c r="I1249">
        <v>283</v>
      </c>
      <c r="J1249">
        <v>0</v>
      </c>
      <c r="K1249" t="str">
        <f t="shared" si="223"/>
        <v>809</v>
      </c>
      <c r="L1249">
        <v>416.01</v>
      </c>
    </row>
    <row r="1250" spans="1:12" x14ac:dyDescent="0.25">
      <c r="A1250" t="str">
        <f t="shared" si="220"/>
        <v>89301000</v>
      </c>
      <c r="B1250" t="str">
        <f t="shared" si="221"/>
        <v>89895000</v>
      </c>
      <c r="C1250" t="str">
        <f t="shared" si="222"/>
        <v>89895002</v>
      </c>
      <c r="D1250">
        <v>89301212</v>
      </c>
      <c r="E1250" t="str">
        <f>"6859140233"</f>
        <v>6859140233</v>
      </c>
      <c r="F1250" s="1">
        <v>44978</v>
      </c>
      <c r="G1250" t="str">
        <f>"89180"</f>
        <v>89180</v>
      </c>
      <c r="H1250">
        <v>2</v>
      </c>
      <c r="I1250">
        <v>762</v>
      </c>
      <c r="J1250">
        <v>0</v>
      </c>
      <c r="K1250" t="str">
        <f t="shared" si="223"/>
        <v>809</v>
      </c>
      <c r="L1250">
        <v>1120.1400000000001</v>
      </c>
    </row>
    <row r="1251" spans="1:12" x14ac:dyDescent="0.25">
      <c r="A1251" t="str">
        <f t="shared" si="220"/>
        <v>89301000</v>
      </c>
      <c r="B1251" t="str">
        <f t="shared" si="221"/>
        <v>89895000</v>
      </c>
      <c r="C1251" t="str">
        <f t="shared" si="222"/>
        <v>89895002</v>
      </c>
      <c r="D1251">
        <v>89301212</v>
      </c>
      <c r="E1251" t="str">
        <f>"6859140233"</f>
        <v>6859140233</v>
      </c>
      <c r="F1251" s="1">
        <v>44978</v>
      </c>
      <c r="G1251" t="str">
        <f>"89513"</f>
        <v>89513</v>
      </c>
      <c r="H1251">
        <v>1</v>
      </c>
      <c r="I1251">
        <v>378</v>
      </c>
      <c r="J1251">
        <v>0</v>
      </c>
      <c r="K1251" t="str">
        <f t="shared" si="223"/>
        <v>809</v>
      </c>
      <c r="L1251">
        <v>555.66</v>
      </c>
    </row>
    <row r="1252" spans="1:12" x14ac:dyDescent="0.25">
      <c r="A1252" t="str">
        <f t="shared" si="220"/>
        <v>89301000</v>
      </c>
      <c r="B1252" t="str">
        <f t="shared" si="221"/>
        <v>89895000</v>
      </c>
      <c r="C1252" t="str">
        <f t="shared" si="222"/>
        <v>89895002</v>
      </c>
      <c r="D1252">
        <v>89301212</v>
      </c>
      <c r="E1252" t="str">
        <f>"6859140233"</f>
        <v>6859140233</v>
      </c>
      <c r="F1252" s="1">
        <v>44978</v>
      </c>
      <c r="G1252" t="str">
        <f>"89514"</f>
        <v>89514</v>
      </c>
      <c r="H1252">
        <v>1</v>
      </c>
      <c r="I1252">
        <v>378</v>
      </c>
      <c r="J1252">
        <v>0</v>
      </c>
      <c r="K1252" t="str">
        <f t="shared" si="223"/>
        <v>809</v>
      </c>
      <c r="L1252">
        <v>555.66</v>
      </c>
    </row>
    <row r="1253" spans="1:12" x14ac:dyDescent="0.25">
      <c r="A1253" t="str">
        <f t="shared" si="220"/>
        <v>89301000</v>
      </c>
      <c r="B1253" t="str">
        <f t="shared" si="221"/>
        <v>89895000</v>
      </c>
      <c r="C1253" t="str">
        <f t="shared" si="222"/>
        <v>89895002</v>
      </c>
      <c r="D1253">
        <v>89301212</v>
      </c>
      <c r="E1253" t="str">
        <f>"6859140233"</f>
        <v>6859140233</v>
      </c>
      <c r="F1253" s="1">
        <v>44978</v>
      </c>
      <c r="G1253" t="str">
        <f>"89512"</f>
        <v>89512</v>
      </c>
      <c r="H1253">
        <v>1</v>
      </c>
      <c r="I1253">
        <v>283</v>
      </c>
      <c r="J1253">
        <v>0</v>
      </c>
      <c r="K1253" t="str">
        <f t="shared" si="223"/>
        <v>809</v>
      </c>
      <c r="L1253">
        <v>416.01</v>
      </c>
    </row>
    <row r="1254" spans="1:12" x14ac:dyDescent="0.25">
      <c r="A1254" t="str">
        <f t="shared" si="220"/>
        <v>89301000</v>
      </c>
      <c r="B1254" t="str">
        <f t="shared" si="221"/>
        <v>89895000</v>
      </c>
      <c r="C1254" t="str">
        <f t="shared" si="222"/>
        <v>89895002</v>
      </c>
      <c r="D1254">
        <v>89301212</v>
      </c>
      <c r="E1254" t="str">
        <f>"7552284685"</f>
        <v>7552284685</v>
      </c>
      <c r="F1254" s="1">
        <v>44965</v>
      </c>
      <c r="G1254" t="str">
        <f>"89180"</f>
        <v>89180</v>
      </c>
      <c r="H1254">
        <v>1</v>
      </c>
      <c r="I1254">
        <v>381</v>
      </c>
      <c r="J1254">
        <v>0</v>
      </c>
      <c r="K1254" t="str">
        <f t="shared" si="223"/>
        <v>809</v>
      </c>
      <c r="L1254">
        <v>560.07000000000005</v>
      </c>
    </row>
    <row r="1255" spans="1:12" x14ac:dyDescent="0.25">
      <c r="A1255" t="str">
        <f t="shared" si="220"/>
        <v>89301000</v>
      </c>
      <c r="B1255" t="str">
        <f t="shared" si="221"/>
        <v>89895000</v>
      </c>
      <c r="C1255" t="str">
        <f t="shared" si="222"/>
        <v>89895002</v>
      </c>
      <c r="D1255">
        <v>89301212</v>
      </c>
      <c r="E1255" t="str">
        <f>"7552284685"</f>
        <v>7552284685</v>
      </c>
      <c r="F1255" s="1">
        <v>44965</v>
      </c>
      <c r="G1255" t="str">
        <f>"89512"</f>
        <v>89512</v>
      </c>
      <c r="H1255">
        <v>1</v>
      </c>
      <c r="I1255">
        <v>283</v>
      </c>
      <c r="J1255">
        <v>0</v>
      </c>
      <c r="K1255" t="str">
        <f t="shared" si="223"/>
        <v>809</v>
      </c>
      <c r="L1255">
        <v>416.01</v>
      </c>
    </row>
    <row r="1256" spans="1:12" x14ac:dyDescent="0.25">
      <c r="A1256" t="str">
        <f t="shared" si="220"/>
        <v>89301000</v>
      </c>
      <c r="B1256" t="str">
        <f t="shared" ref="B1256:B1287" si="224">"72077000"</f>
        <v>72077000</v>
      </c>
      <c r="C1256" t="str">
        <f t="shared" ref="C1256:C1287" si="225">"72077001"</f>
        <v>72077001</v>
      </c>
      <c r="D1256">
        <v>89301152</v>
      </c>
      <c r="E1256" t="str">
        <f>"8555208057"</f>
        <v>8555208057</v>
      </c>
      <c r="F1256" s="1">
        <v>44978</v>
      </c>
      <c r="G1256" t="str">
        <f>"91197"</f>
        <v>91197</v>
      </c>
      <c r="H1256">
        <v>1</v>
      </c>
      <c r="I1256">
        <v>1048</v>
      </c>
      <c r="J1256">
        <v>0</v>
      </c>
      <c r="K1256" t="str">
        <f t="shared" ref="K1256:K1287" si="226">"813"</f>
        <v>813</v>
      </c>
      <c r="L1256">
        <v>880.32</v>
      </c>
    </row>
    <row r="1257" spans="1:12" x14ac:dyDescent="0.25">
      <c r="A1257" t="str">
        <f t="shared" si="220"/>
        <v>89301000</v>
      </c>
      <c r="B1257" t="str">
        <f t="shared" si="224"/>
        <v>72077000</v>
      </c>
      <c r="C1257" t="str">
        <f t="shared" si="225"/>
        <v>72077001</v>
      </c>
      <c r="D1257">
        <v>89301152</v>
      </c>
      <c r="E1257" t="str">
        <f>"8555208057"</f>
        <v>8555208057</v>
      </c>
      <c r="F1257" s="1">
        <v>44980</v>
      </c>
      <c r="G1257" t="str">
        <f>"91465"</f>
        <v>91465</v>
      </c>
      <c r="H1257">
        <v>1</v>
      </c>
      <c r="I1257">
        <v>1412</v>
      </c>
      <c r="J1257">
        <v>0</v>
      </c>
      <c r="K1257" t="str">
        <f t="shared" si="226"/>
        <v>813</v>
      </c>
      <c r="L1257">
        <v>1186.08</v>
      </c>
    </row>
    <row r="1258" spans="1:12" x14ac:dyDescent="0.25">
      <c r="A1258" t="str">
        <f t="shared" si="220"/>
        <v>89301000</v>
      </c>
      <c r="B1258" t="str">
        <f t="shared" si="224"/>
        <v>72077000</v>
      </c>
      <c r="C1258" t="str">
        <f t="shared" si="225"/>
        <v>72077001</v>
      </c>
      <c r="D1258">
        <v>89301152</v>
      </c>
      <c r="E1258" t="str">
        <f>"8860205783"</f>
        <v>8860205783</v>
      </c>
      <c r="F1258" s="1">
        <v>44973</v>
      </c>
      <c r="G1258" t="str">
        <f>"91197"</f>
        <v>91197</v>
      </c>
      <c r="H1258">
        <v>1</v>
      </c>
      <c r="I1258">
        <v>1048</v>
      </c>
      <c r="J1258">
        <v>0</v>
      </c>
      <c r="K1258" t="str">
        <f t="shared" si="226"/>
        <v>813</v>
      </c>
      <c r="L1258">
        <v>880.32</v>
      </c>
    </row>
    <row r="1259" spans="1:12" x14ac:dyDescent="0.25">
      <c r="A1259" t="str">
        <f t="shared" si="220"/>
        <v>89301000</v>
      </c>
      <c r="B1259" t="str">
        <f t="shared" si="224"/>
        <v>72077000</v>
      </c>
      <c r="C1259" t="str">
        <f t="shared" si="225"/>
        <v>72077001</v>
      </c>
      <c r="D1259">
        <v>89301152</v>
      </c>
      <c r="E1259" t="str">
        <f>"8860205783"</f>
        <v>8860205783</v>
      </c>
      <c r="F1259" s="1">
        <v>44974</v>
      </c>
      <c r="G1259" t="str">
        <f>"91465"</f>
        <v>91465</v>
      </c>
      <c r="H1259">
        <v>1</v>
      </c>
      <c r="I1259">
        <v>1412</v>
      </c>
      <c r="J1259">
        <v>0</v>
      </c>
      <c r="K1259" t="str">
        <f t="shared" si="226"/>
        <v>813</v>
      </c>
      <c r="L1259">
        <v>1186.08</v>
      </c>
    </row>
    <row r="1260" spans="1:12" x14ac:dyDescent="0.25">
      <c r="A1260" t="str">
        <f t="shared" si="220"/>
        <v>89301000</v>
      </c>
      <c r="B1260" t="str">
        <f t="shared" si="224"/>
        <v>72077000</v>
      </c>
      <c r="C1260" t="str">
        <f t="shared" si="225"/>
        <v>72077001</v>
      </c>
      <c r="D1260">
        <v>89301152</v>
      </c>
      <c r="E1260" t="str">
        <f t="shared" ref="E1260:E1266" si="227">"8356105340"</f>
        <v>8356105340</v>
      </c>
      <c r="F1260" s="1">
        <v>44965</v>
      </c>
      <c r="G1260" t="str">
        <f>"91485"</f>
        <v>91485</v>
      </c>
      <c r="H1260">
        <v>1</v>
      </c>
      <c r="I1260">
        <v>268</v>
      </c>
      <c r="J1260">
        <v>0</v>
      </c>
      <c r="K1260" t="str">
        <f t="shared" si="226"/>
        <v>813</v>
      </c>
      <c r="L1260">
        <v>225.12</v>
      </c>
    </row>
    <row r="1261" spans="1:12" x14ac:dyDescent="0.25">
      <c r="A1261" t="str">
        <f t="shared" si="220"/>
        <v>89301000</v>
      </c>
      <c r="B1261" t="str">
        <f t="shared" si="224"/>
        <v>72077000</v>
      </c>
      <c r="C1261" t="str">
        <f t="shared" si="225"/>
        <v>72077001</v>
      </c>
      <c r="D1261">
        <v>89301152</v>
      </c>
      <c r="E1261" t="str">
        <f t="shared" si="227"/>
        <v>8356105340</v>
      </c>
      <c r="F1261" s="1">
        <v>44965</v>
      </c>
      <c r="G1261" t="str">
        <f>"91361"</f>
        <v>91361</v>
      </c>
      <c r="H1261">
        <v>1</v>
      </c>
      <c r="I1261">
        <v>444</v>
      </c>
      <c r="J1261">
        <v>0</v>
      </c>
      <c r="K1261" t="str">
        <f t="shared" si="226"/>
        <v>813</v>
      </c>
      <c r="L1261">
        <v>372.96</v>
      </c>
    </row>
    <row r="1262" spans="1:12" x14ac:dyDescent="0.25">
      <c r="A1262" t="str">
        <f t="shared" si="220"/>
        <v>89301000</v>
      </c>
      <c r="B1262" t="str">
        <f t="shared" si="224"/>
        <v>72077000</v>
      </c>
      <c r="C1262" t="str">
        <f t="shared" si="225"/>
        <v>72077001</v>
      </c>
      <c r="D1262">
        <v>89301152</v>
      </c>
      <c r="E1262" t="str">
        <f t="shared" si="227"/>
        <v>8356105340</v>
      </c>
      <c r="F1262" s="1">
        <v>44965</v>
      </c>
      <c r="G1262" t="str">
        <f>"91359"</f>
        <v>91359</v>
      </c>
      <c r="H1262">
        <v>1</v>
      </c>
      <c r="I1262">
        <v>205</v>
      </c>
      <c r="J1262">
        <v>0</v>
      </c>
      <c r="K1262" t="str">
        <f t="shared" si="226"/>
        <v>813</v>
      </c>
      <c r="L1262">
        <v>172.2</v>
      </c>
    </row>
    <row r="1263" spans="1:12" x14ac:dyDescent="0.25">
      <c r="A1263" t="str">
        <f t="shared" si="220"/>
        <v>89301000</v>
      </c>
      <c r="B1263" t="str">
        <f t="shared" si="224"/>
        <v>72077000</v>
      </c>
      <c r="C1263" t="str">
        <f t="shared" si="225"/>
        <v>72077001</v>
      </c>
      <c r="D1263">
        <v>89301152</v>
      </c>
      <c r="E1263" t="str">
        <f t="shared" si="227"/>
        <v>8356105340</v>
      </c>
      <c r="F1263" s="1">
        <v>44965</v>
      </c>
      <c r="G1263" t="str">
        <f>"91577"</f>
        <v>91577</v>
      </c>
      <c r="H1263">
        <v>1</v>
      </c>
      <c r="I1263">
        <v>398</v>
      </c>
      <c r="J1263">
        <v>0</v>
      </c>
      <c r="K1263" t="str">
        <f t="shared" si="226"/>
        <v>813</v>
      </c>
      <c r="L1263">
        <v>334.32</v>
      </c>
    </row>
    <row r="1264" spans="1:12" x14ac:dyDescent="0.25">
      <c r="A1264" t="str">
        <f t="shared" si="220"/>
        <v>89301000</v>
      </c>
      <c r="B1264" t="str">
        <f t="shared" si="224"/>
        <v>72077000</v>
      </c>
      <c r="C1264" t="str">
        <f t="shared" si="225"/>
        <v>72077001</v>
      </c>
      <c r="D1264">
        <v>89301152</v>
      </c>
      <c r="E1264" t="str">
        <f t="shared" si="227"/>
        <v>8356105340</v>
      </c>
      <c r="F1264" s="1">
        <v>44966</v>
      </c>
      <c r="G1264" t="str">
        <f>"91171"</f>
        <v>91171</v>
      </c>
      <c r="H1264">
        <v>1</v>
      </c>
      <c r="I1264">
        <v>362</v>
      </c>
      <c r="J1264">
        <v>0</v>
      </c>
      <c r="K1264" t="str">
        <f t="shared" si="226"/>
        <v>813</v>
      </c>
      <c r="L1264">
        <v>304.08</v>
      </c>
    </row>
    <row r="1265" spans="1:12" x14ac:dyDescent="0.25">
      <c r="A1265" t="str">
        <f t="shared" si="220"/>
        <v>89301000</v>
      </c>
      <c r="B1265" t="str">
        <f t="shared" si="224"/>
        <v>72077000</v>
      </c>
      <c r="C1265" t="str">
        <f t="shared" si="225"/>
        <v>72077001</v>
      </c>
      <c r="D1265">
        <v>89301152</v>
      </c>
      <c r="E1265" t="str">
        <f t="shared" si="227"/>
        <v>8356105340</v>
      </c>
      <c r="F1265" s="1">
        <v>44966</v>
      </c>
      <c r="G1265" t="str">
        <f>"91171"</f>
        <v>91171</v>
      </c>
      <c r="H1265">
        <v>1</v>
      </c>
      <c r="I1265">
        <v>362</v>
      </c>
      <c r="J1265">
        <v>0</v>
      </c>
      <c r="K1265" t="str">
        <f t="shared" si="226"/>
        <v>813</v>
      </c>
      <c r="L1265">
        <v>304.08</v>
      </c>
    </row>
    <row r="1266" spans="1:12" x14ac:dyDescent="0.25">
      <c r="A1266" t="str">
        <f t="shared" si="220"/>
        <v>89301000</v>
      </c>
      <c r="B1266" t="str">
        <f t="shared" si="224"/>
        <v>72077000</v>
      </c>
      <c r="C1266" t="str">
        <f t="shared" si="225"/>
        <v>72077001</v>
      </c>
      <c r="D1266">
        <v>89301152</v>
      </c>
      <c r="E1266" t="str">
        <f t="shared" si="227"/>
        <v>8356105340</v>
      </c>
      <c r="F1266" s="1">
        <v>44966</v>
      </c>
      <c r="G1266" t="str">
        <f>"91171"</f>
        <v>91171</v>
      </c>
      <c r="H1266">
        <v>1</v>
      </c>
      <c r="I1266">
        <v>362</v>
      </c>
      <c r="J1266">
        <v>0</v>
      </c>
      <c r="K1266" t="str">
        <f t="shared" si="226"/>
        <v>813</v>
      </c>
      <c r="L1266">
        <v>304.08</v>
      </c>
    </row>
    <row r="1267" spans="1:12" x14ac:dyDescent="0.25">
      <c r="A1267" t="str">
        <f t="shared" si="220"/>
        <v>89301000</v>
      </c>
      <c r="B1267" t="str">
        <f t="shared" si="224"/>
        <v>72077000</v>
      </c>
      <c r="C1267" t="str">
        <f t="shared" si="225"/>
        <v>72077001</v>
      </c>
      <c r="D1267">
        <v>89301152</v>
      </c>
      <c r="E1267" t="str">
        <f>"0453096468"</f>
        <v>0453096468</v>
      </c>
      <c r="F1267" s="1">
        <v>44981</v>
      </c>
      <c r="G1267" t="str">
        <f>"91197"</f>
        <v>91197</v>
      </c>
      <c r="H1267">
        <v>1</v>
      </c>
      <c r="I1267">
        <v>1048</v>
      </c>
      <c r="J1267">
        <v>0</v>
      </c>
      <c r="K1267" t="str">
        <f t="shared" si="226"/>
        <v>813</v>
      </c>
      <c r="L1267">
        <v>880.32</v>
      </c>
    </row>
    <row r="1268" spans="1:12" x14ac:dyDescent="0.25">
      <c r="A1268" t="str">
        <f t="shared" si="220"/>
        <v>89301000</v>
      </c>
      <c r="B1268" t="str">
        <f t="shared" si="224"/>
        <v>72077000</v>
      </c>
      <c r="C1268" t="str">
        <f t="shared" si="225"/>
        <v>72077001</v>
      </c>
      <c r="D1268">
        <v>89301152</v>
      </c>
      <c r="E1268" t="str">
        <f>"0453096468"</f>
        <v>0453096468</v>
      </c>
      <c r="F1268" s="1">
        <v>44985</v>
      </c>
      <c r="G1268" t="str">
        <f>"91465"</f>
        <v>91465</v>
      </c>
      <c r="H1268">
        <v>1</v>
      </c>
      <c r="I1268">
        <v>1412</v>
      </c>
      <c r="J1268">
        <v>0</v>
      </c>
      <c r="K1268" t="str">
        <f t="shared" si="226"/>
        <v>813</v>
      </c>
      <c r="L1268">
        <v>1186.08</v>
      </c>
    </row>
    <row r="1269" spans="1:12" x14ac:dyDescent="0.25">
      <c r="A1269" t="str">
        <f t="shared" si="220"/>
        <v>89301000</v>
      </c>
      <c r="B1269" t="str">
        <f t="shared" si="224"/>
        <v>72077000</v>
      </c>
      <c r="C1269" t="str">
        <f t="shared" si="225"/>
        <v>72077001</v>
      </c>
      <c r="D1269">
        <v>89301152</v>
      </c>
      <c r="E1269" t="str">
        <f>"7456225546"</f>
        <v>7456225546</v>
      </c>
      <c r="F1269" s="1">
        <v>44959</v>
      </c>
      <c r="G1269" t="str">
        <f>"91465"</f>
        <v>91465</v>
      </c>
      <c r="H1269">
        <v>1</v>
      </c>
      <c r="I1269">
        <v>1412</v>
      </c>
      <c r="J1269">
        <v>0</v>
      </c>
      <c r="K1269" t="str">
        <f t="shared" si="226"/>
        <v>813</v>
      </c>
      <c r="L1269">
        <v>1186.08</v>
      </c>
    </row>
    <row r="1270" spans="1:12" x14ac:dyDescent="0.25">
      <c r="A1270" t="str">
        <f t="shared" si="220"/>
        <v>89301000</v>
      </c>
      <c r="B1270" t="str">
        <f t="shared" si="224"/>
        <v>72077000</v>
      </c>
      <c r="C1270" t="str">
        <f t="shared" si="225"/>
        <v>72077001</v>
      </c>
      <c r="D1270">
        <v>89301152</v>
      </c>
      <c r="E1270" t="str">
        <f>"7456225546"</f>
        <v>7456225546</v>
      </c>
      <c r="F1270" s="1">
        <v>44959</v>
      </c>
      <c r="G1270" t="str">
        <f>"91197"</f>
        <v>91197</v>
      </c>
      <c r="H1270">
        <v>1</v>
      </c>
      <c r="I1270">
        <v>1048</v>
      </c>
      <c r="J1270">
        <v>0</v>
      </c>
      <c r="K1270" t="str">
        <f t="shared" si="226"/>
        <v>813</v>
      </c>
      <c r="L1270">
        <v>880.32</v>
      </c>
    </row>
    <row r="1271" spans="1:12" x14ac:dyDescent="0.25">
      <c r="A1271" t="str">
        <f t="shared" si="220"/>
        <v>89301000</v>
      </c>
      <c r="B1271" t="str">
        <f t="shared" si="224"/>
        <v>72077000</v>
      </c>
      <c r="C1271" t="str">
        <f t="shared" si="225"/>
        <v>72077001</v>
      </c>
      <c r="D1271">
        <v>89301152</v>
      </c>
      <c r="E1271" t="str">
        <f>"8959013778"</f>
        <v>8959013778</v>
      </c>
      <c r="F1271" s="1">
        <v>44958</v>
      </c>
      <c r="G1271" t="str">
        <f>"91361"</f>
        <v>91361</v>
      </c>
      <c r="H1271">
        <v>1</v>
      </c>
      <c r="I1271">
        <v>444</v>
      </c>
      <c r="J1271">
        <v>0</v>
      </c>
      <c r="K1271" t="str">
        <f t="shared" si="226"/>
        <v>813</v>
      </c>
      <c r="L1271">
        <v>372.96</v>
      </c>
    </row>
    <row r="1272" spans="1:12" x14ac:dyDescent="0.25">
      <c r="A1272" t="str">
        <f t="shared" si="220"/>
        <v>89301000</v>
      </c>
      <c r="B1272" t="str">
        <f t="shared" si="224"/>
        <v>72077000</v>
      </c>
      <c r="C1272" t="str">
        <f t="shared" si="225"/>
        <v>72077001</v>
      </c>
      <c r="D1272">
        <v>89301152</v>
      </c>
      <c r="E1272" t="str">
        <f>"8959013778"</f>
        <v>8959013778</v>
      </c>
      <c r="F1272" s="1">
        <v>44958</v>
      </c>
      <c r="G1272" t="str">
        <f>"91359"</f>
        <v>91359</v>
      </c>
      <c r="H1272">
        <v>1</v>
      </c>
      <c r="I1272">
        <v>205</v>
      </c>
      <c r="J1272">
        <v>0</v>
      </c>
      <c r="K1272" t="str">
        <f t="shared" si="226"/>
        <v>813</v>
      </c>
      <c r="L1272">
        <v>172.2</v>
      </c>
    </row>
    <row r="1273" spans="1:12" x14ac:dyDescent="0.25">
      <c r="A1273" t="str">
        <f t="shared" si="220"/>
        <v>89301000</v>
      </c>
      <c r="B1273" t="str">
        <f t="shared" si="224"/>
        <v>72077000</v>
      </c>
      <c r="C1273" t="str">
        <f t="shared" si="225"/>
        <v>72077001</v>
      </c>
      <c r="D1273">
        <v>89301152</v>
      </c>
      <c r="E1273" t="str">
        <f>"8959013778"</f>
        <v>8959013778</v>
      </c>
      <c r="F1273" s="1">
        <v>44958</v>
      </c>
      <c r="G1273" t="str">
        <f>"91577"</f>
        <v>91577</v>
      </c>
      <c r="H1273">
        <v>1</v>
      </c>
      <c r="I1273">
        <v>398</v>
      </c>
      <c r="J1273">
        <v>0</v>
      </c>
      <c r="K1273" t="str">
        <f t="shared" si="226"/>
        <v>813</v>
      </c>
      <c r="L1273">
        <v>334.32</v>
      </c>
    </row>
    <row r="1274" spans="1:12" x14ac:dyDescent="0.25">
      <c r="A1274" t="str">
        <f t="shared" si="220"/>
        <v>89301000</v>
      </c>
      <c r="B1274" t="str">
        <f t="shared" si="224"/>
        <v>72077000</v>
      </c>
      <c r="C1274" t="str">
        <f t="shared" si="225"/>
        <v>72077001</v>
      </c>
      <c r="D1274">
        <v>89301152</v>
      </c>
      <c r="E1274" t="str">
        <f>"8956075733"</f>
        <v>8956075733</v>
      </c>
      <c r="F1274" s="1">
        <v>44958</v>
      </c>
      <c r="G1274" t="str">
        <f>"91465"</f>
        <v>91465</v>
      </c>
      <c r="H1274">
        <v>1</v>
      </c>
      <c r="I1274">
        <v>1412</v>
      </c>
      <c r="J1274">
        <v>0</v>
      </c>
      <c r="K1274" t="str">
        <f t="shared" si="226"/>
        <v>813</v>
      </c>
      <c r="L1274">
        <v>1186.08</v>
      </c>
    </row>
    <row r="1275" spans="1:12" x14ac:dyDescent="0.25">
      <c r="A1275" t="str">
        <f t="shared" si="220"/>
        <v>89301000</v>
      </c>
      <c r="B1275" t="str">
        <f t="shared" si="224"/>
        <v>72077000</v>
      </c>
      <c r="C1275" t="str">
        <f t="shared" si="225"/>
        <v>72077001</v>
      </c>
      <c r="D1275">
        <v>89301152</v>
      </c>
      <c r="E1275" t="str">
        <f>"7754095305"</f>
        <v>7754095305</v>
      </c>
      <c r="F1275" s="1">
        <v>44958</v>
      </c>
      <c r="G1275" t="str">
        <f>"91465"</f>
        <v>91465</v>
      </c>
      <c r="H1275">
        <v>1</v>
      </c>
      <c r="I1275">
        <v>1412</v>
      </c>
      <c r="J1275">
        <v>0</v>
      </c>
      <c r="K1275" t="str">
        <f t="shared" si="226"/>
        <v>813</v>
      </c>
      <c r="L1275">
        <v>1186.08</v>
      </c>
    </row>
    <row r="1276" spans="1:12" x14ac:dyDescent="0.25">
      <c r="A1276" t="str">
        <f t="shared" si="220"/>
        <v>89301000</v>
      </c>
      <c r="B1276" t="str">
        <f t="shared" si="224"/>
        <v>72077000</v>
      </c>
      <c r="C1276" t="str">
        <f t="shared" si="225"/>
        <v>72077001</v>
      </c>
      <c r="D1276">
        <v>89301152</v>
      </c>
      <c r="E1276" t="str">
        <f>"6958149550"</f>
        <v>6958149550</v>
      </c>
      <c r="F1276" s="1">
        <v>44958</v>
      </c>
      <c r="G1276" t="str">
        <f>"91465"</f>
        <v>91465</v>
      </c>
      <c r="H1276">
        <v>1</v>
      </c>
      <c r="I1276">
        <v>1412</v>
      </c>
      <c r="J1276">
        <v>0</v>
      </c>
      <c r="K1276" t="str">
        <f t="shared" si="226"/>
        <v>813</v>
      </c>
      <c r="L1276">
        <v>1186.08</v>
      </c>
    </row>
    <row r="1277" spans="1:12" x14ac:dyDescent="0.25">
      <c r="A1277" t="str">
        <f t="shared" si="220"/>
        <v>89301000</v>
      </c>
      <c r="B1277" t="str">
        <f t="shared" si="224"/>
        <v>72077000</v>
      </c>
      <c r="C1277" t="str">
        <f t="shared" si="225"/>
        <v>72077001</v>
      </c>
      <c r="D1277">
        <v>89301152</v>
      </c>
      <c r="E1277" t="str">
        <f>"6261210208"</f>
        <v>6261210208</v>
      </c>
      <c r="F1277" s="1">
        <v>44959</v>
      </c>
      <c r="G1277" t="str">
        <f>"91465"</f>
        <v>91465</v>
      </c>
      <c r="H1277">
        <v>1</v>
      </c>
      <c r="I1277">
        <v>1412</v>
      </c>
      <c r="J1277">
        <v>0</v>
      </c>
      <c r="K1277" t="str">
        <f t="shared" si="226"/>
        <v>813</v>
      </c>
      <c r="L1277">
        <v>1186.08</v>
      </c>
    </row>
    <row r="1278" spans="1:12" x14ac:dyDescent="0.25">
      <c r="A1278" t="str">
        <f t="shared" si="220"/>
        <v>89301000</v>
      </c>
      <c r="B1278" t="str">
        <f t="shared" si="224"/>
        <v>72077000</v>
      </c>
      <c r="C1278" t="str">
        <f t="shared" si="225"/>
        <v>72077001</v>
      </c>
      <c r="D1278">
        <v>89301152</v>
      </c>
      <c r="E1278" t="str">
        <f>"6261210208"</f>
        <v>6261210208</v>
      </c>
      <c r="F1278" s="1">
        <v>44959</v>
      </c>
      <c r="G1278" t="str">
        <f>"91197"</f>
        <v>91197</v>
      </c>
      <c r="H1278">
        <v>1</v>
      </c>
      <c r="I1278">
        <v>1048</v>
      </c>
      <c r="J1278">
        <v>0</v>
      </c>
      <c r="K1278" t="str">
        <f t="shared" si="226"/>
        <v>813</v>
      </c>
      <c r="L1278">
        <v>880.32</v>
      </c>
    </row>
    <row r="1279" spans="1:12" x14ac:dyDescent="0.25">
      <c r="A1279" t="str">
        <f t="shared" si="220"/>
        <v>89301000</v>
      </c>
      <c r="B1279" t="str">
        <f t="shared" si="224"/>
        <v>72077000</v>
      </c>
      <c r="C1279" t="str">
        <f t="shared" si="225"/>
        <v>72077001</v>
      </c>
      <c r="D1279">
        <v>89301152</v>
      </c>
      <c r="E1279" t="str">
        <f>"7806205693"</f>
        <v>7806205693</v>
      </c>
      <c r="F1279" s="1">
        <v>44959</v>
      </c>
      <c r="G1279" t="str">
        <f>"91465"</f>
        <v>91465</v>
      </c>
      <c r="H1279">
        <v>1</v>
      </c>
      <c r="I1279">
        <v>1412</v>
      </c>
      <c r="J1279">
        <v>0</v>
      </c>
      <c r="K1279" t="str">
        <f t="shared" si="226"/>
        <v>813</v>
      </c>
      <c r="L1279">
        <v>1186.08</v>
      </c>
    </row>
    <row r="1280" spans="1:12" x14ac:dyDescent="0.25">
      <c r="A1280" t="str">
        <f t="shared" si="220"/>
        <v>89301000</v>
      </c>
      <c r="B1280" t="str">
        <f t="shared" si="224"/>
        <v>72077000</v>
      </c>
      <c r="C1280" t="str">
        <f t="shared" si="225"/>
        <v>72077001</v>
      </c>
      <c r="D1280">
        <v>89301152</v>
      </c>
      <c r="E1280" t="str">
        <f>"7806205693"</f>
        <v>7806205693</v>
      </c>
      <c r="F1280" s="1">
        <v>44959</v>
      </c>
      <c r="G1280" t="str">
        <f>"91197"</f>
        <v>91197</v>
      </c>
      <c r="H1280">
        <v>1</v>
      </c>
      <c r="I1280">
        <v>1048</v>
      </c>
      <c r="J1280">
        <v>0</v>
      </c>
      <c r="K1280" t="str">
        <f t="shared" si="226"/>
        <v>813</v>
      </c>
      <c r="L1280">
        <v>880.32</v>
      </c>
    </row>
    <row r="1281" spans="1:12" x14ac:dyDescent="0.25">
      <c r="A1281" t="str">
        <f t="shared" si="220"/>
        <v>89301000</v>
      </c>
      <c r="B1281" t="str">
        <f t="shared" si="224"/>
        <v>72077000</v>
      </c>
      <c r="C1281" t="str">
        <f t="shared" si="225"/>
        <v>72077001</v>
      </c>
      <c r="D1281">
        <v>89301152</v>
      </c>
      <c r="E1281" t="str">
        <f t="shared" ref="E1281:E1288" si="228">"495414018"</f>
        <v>495414018</v>
      </c>
      <c r="F1281" s="1">
        <v>44959</v>
      </c>
      <c r="G1281" t="str">
        <f>"91465"</f>
        <v>91465</v>
      </c>
      <c r="H1281">
        <v>1</v>
      </c>
      <c r="I1281">
        <v>1412</v>
      </c>
      <c r="J1281">
        <v>0</v>
      </c>
      <c r="K1281" t="str">
        <f t="shared" si="226"/>
        <v>813</v>
      </c>
      <c r="L1281">
        <v>1186.08</v>
      </c>
    </row>
    <row r="1282" spans="1:12" x14ac:dyDescent="0.25">
      <c r="A1282" t="str">
        <f t="shared" ref="A1282:A1345" si="229">"89301000"</f>
        <v>89301000</v>
      </c>
      <c r="B1282" t="str">
        <f t="shared" si="224"/>
        <v>72077000</v>
      </c>
      <c r="C1282" t="str">
        <f t="shared" si="225"/>
        <v>72077001</v>
      </c>
      <c r="D1282">
        <v>89301152</v>
      </c>
      <c r="E1282" t="str">
        <f t="shared" si="228"/>
        <v>495414018</v>
      </c>
      <c r="F1282" s="1">
        <v>44959</v>
      </c>
      <c r="G1282" t="str">
        <f>"91197"</f>
        <v>91197</v>
      </c>
      <c r="H1282">
        <v>1</v>
      </c>
      <c r="I1282">
        <v>1048</v>
      </c>
      <c r="J1282">
        <v>0</v>
      </c>
      <c r="K1282" t="str">
        <f t="shared" si="226"/>
        <v>813</v>
      </c>
      <c r="L1282">
        <v>880.32</v>
      </c>
    </row>
    <row r="1283" spans="1:12" x14ac:dyDescent="0.25">
      <c r="A1283" t="str">
        <f t="shared" si="229"/>
        <v>89301000</v>
      </c>
      <c r="B1283" t="str">
        <f t="shared" si="224"/>
        <v>72077000</v>
      </c>
      <c r="C1283" t="str">
        <f t="shared" si="225"/>
        <v>72077001</v>
      </c>
      <c r="D1283">
        <v>89301152</v>
      </c>
      <c r="E1283" t="str">
        <f t="shared" si="228"/>
        <v>495414018</v>
      </c>
      <c r="F1283" s="1">
        <v>44960</v>
      </c>
      <c r="G1283" t="str">
        <f t="shared" ref="G1283:G1288" si="230">"91219"</f>
        <v>91219</v>
      </c>
      <c r="H1283">
        <v>1</v>
      </c>
      <c r="I1283">
        <v>343</v>
      </c>
      <c r="J1283">
        <v>0</v>
      </c>
      <c r="K1283" t="str">
        <f t="shared" si="226"/>
        <v>813</v>
      </c>
      <c r="L1283">
        <v>288.12</v>
      </c>
    </row>
    <row r="1284" spans="1:12" x14ac:dyDescent="0.25">
      <c r="A1284" t="str">
        <f t="shared" si="229"/>
        <v>89301000</v>
      </c>
      <c r="B1284" t="str">
        <f t="shared" si="224"/>
        <v>72077000</v>
      </c>
      <c r="C1284" t="str">
        <f t="shared" si="225"/>
        <v>72077001</v>
      </c>
      <c r="D1284">
        <v>89301152</v>
      </c>
      <c r="E1284" t="str">
        <f t="shared" si="228"/>
        <v>495414018</v>
      </c>
      <c r="F1284" s="1">
        <v>44960</v>
      </c>
      <c r="G1284" t="str">
        <f t="shared" si="230"/>
        <v>91219</v>
      </c>
      <c r="H1284">
        <v>1</v>
      </c>
      <c r="I1284">
        <v>343</v>
      </c>
      <c r="J1284">
        <v>0</v>
      </c>
      <c r="K1284" t="str">
        <f t="shared" si="226"/>
        <v>813</v>
      </c>
      <c r="L1284">
        <v>288.12</v>
      </c>
    </row>
    <row r="1285" spans="1:12" x14ac:dyDescent="0.25">
      <c r="A1285" t="str">
        <f t="shared" si="229"/>
        <v>89301000</v>
      </c>
      <c r="B1285" t="str">
        <f t="shared" si="224"/>
        <v>72077000</v>
      </c>
      <c r="C1285" t="str">
        <f t="shared" si="225"/>
        <v>72077001</v>
      </c>
      <c r="D1285">
        <v>89301152</v>
      </c>
      <c r="E1285" t="str">
        <f t="shared" si="228"/>
        <v>495414018</v>
      </c>
      <c r="F1285" s="1">
        <v>44960</v>
      </c>
      <c r="G1285" t="str">
        <f t="shared" si="230"/>
        <v>91219</v>
      </c>
      <c r="H1285">
        <v>1</v>
      </c>
      <c r="I1285">
        <v>343</v>
      </c>
      <c r="J1285">
        <v>0</v>
      </c>
      <c r="K1285" t="str">
        <f t="shared" si="226"/>
        <v>813</v>
      </c>
      <c r="L1285">
        <v>288.12</v>
      </c>
    </row>
    <row r="1286" spans="1:12" x14ac:dyDescent="0.25">
      <c r="A1286" t="str">
        <f t="shared" si="229"/>
        <v>89301000</v>
      </c>
      <c r="B1286" t="str">
        <f t="shared" si="224"/>
        <v>72077000</v>
      </c>
      <c r="C1286" t="str">
        <f t="shared" si="225"/>
        <v>72077001</v>
      </c>
      <c r="D1286">
        <v>89301152</v>
      </c>
      <c r="E1286" t="str">
        <f t="shared" si="228"/>
        <v>495414018</v>
      </c>
      <c r="F1286" s="1">
        <v>44960</v>
      </c>
      <c r="G1286" t="str">
        <f t="shared" si="230"/>
        <v>91219</v>
      </c>
      <c r="H1286">
        <v>1</v>
      </c>
      <c r="I1286">
        <v>343</v>
      </c>
      <c r="J1286">
        <v>0</v>
      </c>
      <c r="K1286" t="str">
        <f t="shared" si="226"/>
        <v>813</v>
      </c>
      <c r="L1286">
        <v>288.12</v>
      </c>
    </row>
    <row r="1287" spans="1:12" x14ac:dyDescent="0.25">
      <c r="A1287" t="str">
        <f t="shared" si="229"/>
        <v>89301000</v>
      </c>
      <c r="B1287" t="str">
        <f t="shared" si="224"/>
        <v>72077000</v>
      </c>
      <c r="C1287" t="str">
        <f t="shared" si="225"/>
        <v>72077001</v>
      </c>
      <c r="D1287">
        <v>89301152</v>
      </c>
      <c r="E1287" t="str">
        <f t="shared" si="228"/>
        <v>495414018</v>
      </c>
      <c r="F1287" s="1">
        <v>44960</v>
      </c>
      <c r="G1287" t="str">
        <f t="shared" si="230"/>
        <v>91219</v>
      </c>
      <c r="H1287">
        <v>1</v>
      </c>
      <c r="I1287">
        <v>343</v>
      </c>
      <c r="J1287">
        <v>0</v>
      </c>
      <c r="K1287" t="str">
        <f t="shared" si="226"/>
        <v>813</v>
      </c>
      <c r="L1287">
        <v>288.12</v>
      </c>
    </row>
    <row r="1288" spans="1:12" x14ac:dyDescent="0.25">
      <c r="A1288" t="str">
        <f t="shared" si="229"/>
        <v>89301000</v>
      </c>
      <c r="B1288" t="str">
        <f t="shared" ref="B1288:B1319" si="231">"72077000"</f>
        <v>72077000</v>
      </c>
      <c r="C1288" t="str">
        <f t="shared" ref="C1288:C1319" si="232">"72077001"</f>
        <v>72077001</v>
      </c>
      <c r="D1288">
        <v>89301152</v>
      </c>
      <c r="E1288" t="str">
        <f t="shared" si="228"/>
        <v>495414018</v>
      </c>
      <c r="F1288" s="1">
        <v>44960</v>
      </c>
      <c r="G1288" t="str">
        <f t="shared" si="230"/>
        <v>91219</v>
      </c>
      <c r="H1288">
        <v>1</v>
      </c>
      <c r="I1288">
        <v>343</v>
      </c>
      <c r="J1288">
        <v>0</v>
      </c>
      <c r="K1288" t="str">
        <f t="shared" ref="K1288:K1319" si="233">"813"</f>
        <v>813</v>
      </c>
      <c r="L1288">
        <v>288.12</v>
      </c>
    </row>
    <row r="1289" spans="1:12" x14ac:dyDescent="0.25">
      <c r="A1289" t="str">
        <f t="shared" si="229"/>
        <v>89301000</v>
      </c>
      <c r="B1289" t="str">
        <f t="shared" si="231"/>
        <v>72077000</v>
      </c>
      <c r="C1289" t="str">
        <f t="shared" si="232"/>
        <v>72077001</v>
      </c>
      <c r="D1289">
        <v>89301152</v>
      </c>
      <c r="E1289" t="str">
        <f>"9551055712"</f>
        <v>9551055712</v>
      </c>
      <c r="F1289" s="1">
        <v>44959</v>
      </c>
      <c r="G1289" t="str">
        <f>"91197"</f>
        <v>91197</v>
      </c>
      <c r="H1289">
        <v>1</v>
      </c>
      <c r="I1289">
        <v>1048</v>
      </c>
      <c r="J1289">
        <v>0</v>
      </c>
      <c r="K1289" t="str">
        <f t="shared" si="233"/>
        <v>813</v>
      </c>
      <c r="L1289">
        <v>880.32</v>
      </c>
    </row>
    <row r="1290" spans="1:12" x14ac:dyDescent="0.25">
      <c r="A1290" t="str">
        <f t="shared" si="229"/>
        <v>89301000</v>
      </c>
      <c r="B1290" t="str">
        <f t="shared" si="231"/>
        <v>72077000</v>
      </c>
      <c r="C1290" t="str">
        <f t="shared" si="232"/>
        <v>72077001</v>
      </c>
      <c r="D1290">
        <v>89301152</v>
      </c>
      <c r="E1290" t="str">
        <f>"9551055712"</f>
        <v>9551055712</v>
      </c>
      <c r="F1290" s="1">
        <v>44960</v>
      </c>
      <c r="G1290" t="str">
        <f>"91465"</f>
        <v>91465</v>
      </c>
      <c r="H1290">
        <v>1</v>
      </c>
      <c r="I1290">
        <v>1412</v>
      </c>
      <c r="J1290">
        <v>0</v>
      </c>
      <c r="K1290" t="str">
        <f t="shared" si="233"/>
        <v>813</v>
      </c>
      <c r="L1290">
        <v>1186.08</v>
      </c>
    </row>
    <row r="1291" spans="1:12" x14ac:dyDescent="0.25">
      <c r="A1291" t="str">
        <f t="shared" si="229"/>
        <v>89301000</v>
      </c>
      <c r="B1291" t="str">
        <f t="shared" si="231"/>
        <v>72077000</v>
      </c>
      <c r="C1291" t="str">
        <f t="shared" si="232"/>
        <v>72077001</v>
      </c>
      <c r="D1291">
        <v>89301152</v>
      </c>
      <c r="E1291" t="str">
        <f>"9651014846"</f>
        <v>9651014846</v>
      </c>
      <c r="F1291" s="1">
        <v>44959</v>
      </c>
      <c r="G1291" t="str">
        <f>"91465"</f>
        <v>91465</v>
      </c>
      <c r="H1291">
        <v>1</v>
      </c>
      <c r="I1291">
        <v>1412</v>
      </c>
      <c r="J1291">
        <v>0</v>
      </c>
      <c r="K1291" t="str">
        <f t="shared" si="233"/>
        <v>813</v>
      </c>
      <c r="L1291">
        <v>1186.08</v>
      </c>
    </row>
    <row r="1292" spans="1:12" x14ac:dyDescent="0.25">
      <c r="A1292" t="str">
        <f t="shared" si="229"/>
        <v>89301000</v>
      </c>
      <c r="B1292" t="str">
        <f t="shared" si="231"/>
        <v>72077000</v>
      </c>
      <c r="C1292" t="str">
        <f t="shared" si="232"/>
        <v>72077001</v>
      </c>
      <c r="D1292">
        <v>89301152</v>
      </c>
      <c r="E1292" t="str">
        <f>"9651014846"</f>
        <v>9651014846</v>
      </c>
      <c r="F1292" s="1">
        <v>44959</v>
      </c>
      <c r="G1292" t="str">
        <f>"91197"</f>
        <v>91197</v>
      </c>
      <c r="H1292">
        <v>1</v>
      </c>
      <c r="I1292">
        <v>1048</v>
      </c>
      <c r="J1292">
        <v>0</v>
      </c>
      <c r="K1292" t="str">
        <f t="shared" si="233"/>
        <v>813</v>
      </c>
      <c r="L1292">
        <v>880.32</v>
      </c>
    </row>
    <row r="1293" spans="1:12" x14ac:dyDescent="0.25">
      <c r="A1293" t="str">
        <f t="shared" si="229"/>
        <v>89301000</v>
      </c>
      <c r="B1293" t="str">
        <f t="shared" si="231"/>
        <v>72077000</v>
      </c>
      <c r="C1293" t="str">
        <f t="shared" si="232"/>
        <v>72077001</v>
      </c>
      <c r="D1293">
        <v>89301152</v>
      </c>
      <c r="E1293" t="str">
        <f t="shared" ref="E1293:E1305" si="234">"425122428"</f>
        <v>425122428</v>
      </c>
      <c r="F1293" s="1">
        <v>44959</v>
      </c>
      <c r="G1293" t="str">
        <f>"91197"</f>
        <v>91197</v>
      </c>
      <c r="H1293">
        <v>1</v>
      </c>
      <c r="I1293">
        <v>1048</v>
      </c>
      <c r="J1293">
        <v>0</v>
      </c>
      <c r="K1293" t="str">
        <f t="shared" si="233"/>
        <v>813</v>
      </c>
      <c r="L1293">
        <v>880.32</v>
      </c>
    </row>
    <row r="1294" spans="1:12" x14ac:dyDescent="0.25">
      <c r="A1294" t="str">
        <f t="shared" si="229"/>
        <v>89301000</v>
      </c>
      <c r="B1294" t="str">
        <f t="shared" si="231"/>
        <v>72077000</v>
      </c>
      <c r="C1294" t="str">
        <f t="shared" si="232"/>
        <v>72077001</v>
      </c>
      <c r="D1294">
        <v>89301152</v>
      </c>
      <c r="E1294" t="str">
        <f t="shared" si="234"/>
        <v>425122428</v>
      </c>
      <c r="F1294" s="1">
        <v>44960</v>
      </c>
      <c r="G1294" t="str">
        <f>"91465"</f>
        <v>91465</v>
      </c>
      <c r="H1294">
        <v>1</v>
      </c>
      <c r="I1294">
        <v>1412</v>
      </c>
      <c r="J1294">
        <v>0</v>
      </c>
      <c r="K1294" t="str">
        <f t="shared" si="233"/>
        <v>813</v>
      </c>
      <c r="L1294">
        <v>1186.08</v>
      </c>
    </row>
    <row r="1295" spans="1:12" x14ac:dyDescent="0.25">
      <c r="A1295" t="str">
        <f t="shared" si="229"/>
        <v>89301000</v>
      </c>
      <c r="B1295" t="str">
        <f t="shared" si="231"/>
        <v>72077000</v>
      </c>
      <c r="C1295" t="str">
        <f t="shared" si="232"/>
        <v>72077001</v>
      </c>
      <c r="D1295">
        <v>89301152</v>
      </c>
      <c r="E1295" t="str">
        <f t="shared" si="234"/>
        <v>425122428</v>
      </c>
      <c r="F1295" s="1">
        <v>44960</v>
      </c>
      <c r="G1295" t="str">
        <f t="shared" ref="G1295:G1305" si="235">"91219"</f>
        <v>91219</v>
      </c>
      <c r="H1295">
        <v>1</v>
      </c>
      <c r="I1295">
        <v>343</v>
      </c>
      <c r="J1295">
        <v>0</v>
      </c>
      <c r="K1295" t="str">
        <f t="shared" si="233"/>
        <v>813</v>
      </c>
      <c r="L1295">
        <v>288.12</v>
      </c>
    </row>
    <row r="1296" spans="1:12" x14ac:dyDescent="0.25">
      <c r="A1296" t="str">
        <f t="shared" si="229"/>
        <v>89301000</v>
      </c>
      <c r="B1296" t="str">
        <f t="shared" si="231"/>
        <v>72077000</v>
      </c>
      <c r="C1296" t="str">
        <f t="shared" si="232"/>
        <v>72077001</v>
      </c>
      <c r="D1296">
        <v>89301152</v>
      </c>
      <c r="E1296" t="str">
        <f t="shared" si="234"/>
        <v>425122428</v>
      </c>
      <c r="F1296" s="1">
        <v>44960</v>
      </c>
      <c r="G1296" t="str">
        <f t="shared" si="235"/>
        <v>91219</v>
      </c>
      <c r="H1296">
        <v>1</v>
      </c>
      <c r="I1296">
        <v>343</v>
      </c>
      <c r="J1296">
        <v>0</v>
      </c>
      <c r="K1296" t="str">
        <f t="shared" si="233"/>
        <v>813</v>
      </c>
      <c r="L1296">
        <v>288.12</v>
      </c>
    </row>
    <row r="1297" spans="1:12" x14ac:dyDescent="0.25">
      <c r="A1297" t="str">
        <f t="shared" si="229"/>
        <v>89301000</v>
      </c>
      <c r="B1297" t="str">
        <f t="shared" si="231"/>
        <v>72077000</v>
      </c>
      <c r="C1297" t="str">
        <f t="shared" si="232"/>
        <v>72077001</v>
      </c>
      <c r="D1297">
        <v>89301152</v>
      </c>
      <c r="E1297" t="str">
        <f t="shared" si="234"/>
        <v>425122428</v>
      </c>
      <c r="F1297" s="1">
        <v>44960</v>
      </c>
      <c r="G1297" t="str">
        <f t="shared" si="235"/>
        <v>91219</v>
      </c>
      <c r="H1297">
        <v>1</v>
      </c>
      <c r="I1297">
        <v>343</v>
      </c>
      <c r="J1297">
        <v>0</v>
      </c>
      <c r="K1297" t="str">
        <f t="shared" si="233"/>
        <v>813</v>
      </c>
      <c r="L1297">
        <v>288.12</v>
      </c>
    </row>
    <row r="1298" spans="1:12" x14ac:dyDescent="0.25">
      <c r="A1298" t="str">
        <f t="shared" si="229"/>
        <v>89301000</v>
      </c>
      <c r="B1298" t="str">
        <f t="shared" si="231"/>
        <v>72077000</v>
      </c>
      <c r="C1298" t="str">
        <f t="shared" si="232"/>
        <v>72077001</v>
      </c>
      <c r="D1298">
        <v>89301152</v>
      </c>
      <c r="E1298" t="str">
        <f t="shared" si="234"/>
        <v>425122428</v>
      </c>
      <c r="F1298" s="1">
        <v>44960</v>
      </c>
      <c r="G1298" t="str">
        <f t="shared" si="235"/>
        <v>91219</v>
      </c>
      <c r="H1298">
        <v>1</v>
      </c>
      <c r="I1298">
        <v>343</v>
      </c>
      <c r="J1298">
        <v>0</v>
      </c>
      <c r="K1298" t="str">
        <f t="shared" si="233"/>
        <v>813</v>
      </c>
      <c r="L1298">
        <v>288.12</v>
      </c>
    </row>
    <row r="1299" spans="1:12" x14ac:dyDescent="0.25">
      <c r="A1299" t="str">
        <f t="shared" si="229"/>
        <v>89301000</v>
      </c>
      <c r="B1299" t="str">
        <f t="shared" si="231"/>
        <v>72077000</v>
      </c>
      <c r="C1299" t="str">
        <f t="shared" si="232"/>
        <v>72077001</v>
      </c>
      <c r="D1299">
        <v>89301152</v>
      </c>
      <c r="E1299" t="str">
        <f t="shared" si="234"/>
        <v>425122428</v>
      </c>
      <c r="F1299" s="1">
        <v>44960</v>
      </c>
      <c r="G1299" t="str">
        <f t="shared" si="235"/>
        <v>91219</v>
      </c>
      <c r="H1299">
        <v>1</v>
      </c>
      <c r="I1299">
        <v>343</v>
      </c>
      <c r="J1299">
        <v>0</v>
      </c>
      <c r="K1299" t="str">
        <f t="shared" si="233"/>
        <v>813</v>
      </c>
      <c r="L1299">
        <v>288.12</v>
      </c>
    </row>
    <row r="1300" spans="1:12" x14ac:dyDescent="0.25">
      <c r="A1300" t="str">
        <f t="shared" si="229"/>
        <v>89301000</v>
      </c>
      <c r="B1300" t="str">
        <f t="shared" si="231"/>
        <v>72077000</v>
      </c>
      <c r="C1300" t="str">
        <f t="shared" si="232"/>
        <v>72077001</v>
      </c>
      <c r="D1300">
        <v>89301152</v>
      </c>
      <c r="E1300" t="str">
        <f t="shared" si="234"/>
        <v>425122428</v>
      </c>
      <c r="F1300" s="1">
        <v>44960</v>
      </c>
      <c r="G1300" t="str">
        <f t="shared" si="235"/>
        <v>91219</v>
      </c>
      <c r="H1300">
        <v>1</v>
      </c>
      <c r="I1300">
        <v>343</v>
      </c>
      <c r="J1300">
        <v>0</v>
      </c>
      <c r="K1300" t="str">
        <f t="shared" si="233"/>
        <v>813</v>
      </c>
      <c r="L1300">
        <v>288.12</v>
      </c>
    </row>
    <row r="1301" spans="1:12" x14ac:dyDescent="0.25">
      <c r="A1301" t="str">
        <f t="shared" si="229"/>
        <v>89301000</v>
      </c>
      <c r="B1301" t="str">
        <f t="shared" si="231"/>
        <v>72077000</v>
      </c>
      <c r="C1301" t="str">
        <f t="shared" si="232"/>
        <v>72077001</v>
      </c>
      <c r="D1301">
        <v>89301152</v>
      </c>
      <c r="E1301" t="str">
        <f t="shared" si="234"/>
        <v>425122428</v>
      </c>
      <c r="F1301" s="1">
        <v>44960</v>
      </c>
      <c r="G1301" t="str">
        <f t="shared" si="235"/>
        <v>91219</v>
      </c>
      <c r="H1301">
        <v>1</v>
      </c>
      <c r="I1301">
        <v>343</v>
      </c>
      <c r="J1301">
        <v>0</v>
      </c>
      <c r="K1301" t="str">
        <f t="shared" si="233"/>
        <v>813</v>
      </c>
      <c r="L1301">
        <v>288.12</v>
      </c>
    </row>
    <row r="1302" spans="1:12" x14ac:dyDescent="0.25">
      <c r="A1302" t="str">
        <f t="shared" si="229"/>
        <v>89301000</v>
      </c>
      <c r="B1302" t="str">
        <f t="shared" si="231"/>
        <v>72077000</v>
      </c>
      <c r="C1302" t="str">
        <f t="shared" si="232"/>
        <v>72077001</v>
      </c>
      <c r="D1302">
        <v>89301152</v>
      </c>
      <c r="E1302" t="str">
        <f t="shared" si="234"/>
        <v>425122428</v>
      </c>
      <c r="F1302" s="1">
        <v>44960</v>
      </c>
      <c r="G1302" t="str">
        <f t="shared" si="235"/>
        <v>91219</v>
      </c>
      <c r="H1302">
        <v>1</v>
      </c>
      <c r="I1302">
        <v>343</v>
      </c>
      <c r="J1302">
        <v>0</v>
      </c>
      <c r="K1302" t="str">
        <f t="shared" si="233"/>
        <v>813</v>
      </c>
      <c r="L1302">
        <v>288.12</v>
      </c>
    </row>
    <row r="1303" spans="1:12" x14ac:dyDescent="0.25">
      <c r="A1303" t="str">
        <f t="shared" si="229"/>
        <v>89301000</v>
      </c>
      <c r="B1303" t="str">
        <f t="shared" si="231"/>
        <v>72077000</v>
      </c>
      <c r="C1303" t="str">
        <f t="shared" si="232"/>
        <v>72077001</v>
      </c>
      <c r="D1303">
        <v>89301152</v>
      </c>
      <c r="E1303" t="str">
        <f t="shared" si="234"/>
        <v>425122428</v>
      </c>
      <c r="F1303" s="1">
        <v>44960</v>
      </c>
      <c r="G1303" t="str">
        <f t="shared" si="235"/>
        <v>91219</v>
      </c>
      <c r="H1303">
        <v>1</v>
      </c>
      <c r="I1303">
        <v>343</v>
      </c>
      <c r="J1303">
        <v>0</v>
      </c>
      <c r="K1303" t="str">
        <f t="shared" si="233"/>
        <v>813</v>
      </c>
      <c r="L1303">
        <v>288.12</v>
      </c>
    </row>
    <row r="1304" spans="1:12" x14ac:dyDescent="0.25">
      <c r="A1304" t="str">
        <f t="shared" si="229"/>
        <v>89301000</v>
      </c>
      <c r="B1304" t="str">
        <f t="shared" si="231"/>
        <v>72077000</v>
      </c>
      <c r="C1304" t="str">
        <f t="shared" si="232"/>
        <v>72077001</v>
      </c>
      <c r="D1304">
        <v>89301152</v>
      </c>
      <c r="E1304" t="str">
        <f t="shared" si="234"/>
        <v>425122428</v>
      </c>
      <c r="F1304" s="1">
        <v>44960</v>
      </c>
      <c r="G1304" t="str">
        <f t="shared" si="235"/>
        <v>91219</v>
      </c>
      <c r="H1304">
        <v>1</v>
      </c>
      <c r="I1304">
        <v>343</v>
      </c>
      <c r="J1304">
        <v>0</v>
      </c>
      <c r="K1304" t="str">
        <f t="shared" si="233"/>
        <v>813</v>
      </c>
      <c r="L1304">
        <v>288.12</v>
      </c>
    </row>
    <row r="1305" spans="1:12" x14ac:dyDescent="0.25">
      <c r="A1305" t="str">
        <f t="shared" si="229"/>
        <v>89301000</v>
      </c>
      <c r="B1305" t="str">
        <f t="shared" si="231"/>
        <v>72077000</v>
      </c>
      <c r="C1305" t="str">
        <f t="shared" si="232"/>
        <v>72077001</v>
      </c>
      <c r="D1305">
        <v>89301152</v>
      </c>
      <c r="E1305" t="str">
        <f t="shared" si="234"/>
        <v>425122428</v>
      </c>
      <c r="F1305" s="1">
        <v>44960</v>
      </c>
      <c r="G1305" t="str">
        <f t="shared" si="235"/>
        <v>91219</v>
      </c>
      <c r="H1305">
        <v>1</v>
      </c>
      <c r="I1305">
        <v>343</v>
      </c>
      <c r="J1305">
        <v>0</v>
      </c>
      <c r="K1305" t="str">
        <f t="shared" si="233"/>
        <v>813</v>
      </c>
      <c r="L1305">
        <v>288.12</v>
      </c>
    </row>
    <row r="1306" spans="1:12" x14ac:dyDescent="0.25">
      <c r="A1306" t="str">
        <f t="shared" si="229"/>
        <v>89301000</v>
      </c>
      <c r="B1306" t="str">
        <f t="shared" si="231"/>
        <v>72077000</v>
      </c>
      <c r="C1306" t="str">
        <f t="shared" si="232"/>
        <v>72077001</v>
      </c>
      <c r="D1306">
        <v>89301107</v>
      </c>
      <c r="E1306" t="str">
        <f>"0955216141"</f>
        <v>0955216141</v>
      </c>
      <c r="F1306" s="1">
        <v>44963</v>
      </c>
      <c r="G1306" t="str">
        <f>"91171"</f>
        <v>91171</v>
      </c>
      <c r="H1306">
        <v>1</v>
      </c>
      <c r="I1306">
        <v>362</v>
      </c>
      <c r="J1306">
        <v>0</v>
      </c>
      <c r="K1306" t="str">
        <f t="shared" si="233"/>
        <v>813</v>
      </c>
      <c r="L1306">
        <v>304.08</v>
      </c>
    </row>
    <row r="1307" spans="1:12" x14ac:dyDescent="0.25">
      <c r="A1307" t="str">
        <f t="shared" si="229"/>
        <v>89301000</v>
      </c>
      <c r="B1307" t="str">
        <f t="shared" si="231"/>
        <v>72077000</v>
      </c>
      <c r="C1307" t="str">
        <f t="shared" si="232"/>
        <v>72077001</v>
      </c>
      <c r="D1307">
        <v>89301107</v>
      </c>
      <c r="E1307" t="str">
        <f>"0955216141"</f>
        <v>0955216141</v>
      </c>
      <c r="F1307" s="1">
        <v>44963</v>
      </c>
      <c r="G1307" t="str">
        <f>"91171"</f>
        <v>91171</v>
      </c>
      <c r="H1307">
        <v>1</v>
      </c>
      <c r="I1307">
        <v>362</v>
      </c>
      <c r="J1307">
        <v>0</v>
      </c>
      <c r="K1307" t="str">
        <f t="shared" si="233"/>
        <v>813</v>
      </c>
      <c r="L1307">
        <v>304.08</v>
      </c>
    </row>
    <row r="1308" spans="1:12" x14ac:dyDescent="0.25">
      <c r="A1308" t="str">
        <f t="shared" si="229"/>
        <v>89301000</v>
      </c>
      <c r="B1308" t="str">
        <f t="shared" si="231"/>
        <v>72077000</v>
      </c>
      <c r="C1308" t="str">
        <f t="shared" si="232"/>
        <v>72077001</v>
      </c>
      <c r="D1308">
        <v>89301152</v>
      </c>
      <c r="E1308" t="str">
        <f>"9958035736"</f>
        <v>9958035736</v>
      </c>
      <c r="F1308" s="1">
        <v>44960</v>
      </c>
      <c r="G1308" t="str">
        <f>"91219"</f>
        <v>91219</v>
      </c>
      <c r="H1308">
        <v>1</v>
      </c>
      <c r="I1308">
        <v>343</v>
      </c>
      <c r="J1308">
        <v>0</v>
      </c>
      <c r="K1308" t="str">
        <f t="shared" si="233"/>
        <v>813</v>
      </c>
      <c r="L1308">
        <v>288.12</v>
      </c>
    </row>
    <row r="1309" spans="1:12" x14ac:dyDescent="0.25">
      <c r="A1309" t="str">
        <f t="shared" si="229"/>
        <v>89301000</v>
      </c>
      <c r="B1309" t="str">
        <f t="shared" si="231"/>
        <v>72077000</v>
      </c>
      <c r="C1309" t="str">
        <f t="shared" si="232"/>
        <v>72077001</v>
      </c>
      <c r="D1309">
        <v>89301152</v>
      </c>
      <c r="E1309" t="str">
        <f>"9958035736"</f>
        <v>9958035736</v>
      </c>
      <c r="F1309" s="1">
        <v>44960</v>
      </c>
      <c r="G1309" t="str">
        <f>"91219"</f>
        <v>91219</v>
      </c>
      <c r="H1309">
        <v>1</v>
      </c>
      <c r="I1309">
        <v>343</v>
      </c>
      <c r="J1309">
        <v>0</v>
      </c>
      <c r="K1309" t="str">
        <f t="shared" si="233"/>
        <v>813</v>
      </c>
      <c r="L1309">
        <v>288.12</v>
      </c>
    </row>
    <row r="1310" spans="1:12" x14ac:dyDescent="0.25">
      <c r="A1310" t="str">
        <f t="shared" si="229"/>
        <v>89301000</v>
      </c>
      <c r="B1310" t="str">
        <f t="shared" si="231"/>
        <v>72077000</v>
      </c>
      <c r="C1310" t="str">
        <f t="shared" si="232"/>
        <v>72077001</v>
      </c>
      <c r="D1310">
        <v>89301152</v>
      </c>
      <c r="E1310" t="str">
        <f>"9958035736"</f>
        <v>9958035736</v>
      </c>
      <c r="F1310" s="1">
        <v>44960</v>
      </c>
      <c r="G1310" t="str">
        <f>"91219"</f>
        <v>91219</v>
      </c>
      <c r="H1310">
        <v>1</v>
      </c>
      <c r="I1310">
        <v>343</v>
      </c>
      <c r="J1310">
        <v>0</v>
      </c>
      <c r="K1310" t="str">
        <f t="shared" si="233"/>
        <v>813</v>
      </c>
      <c r="L1310">
        <v>288.12</v>
      </c>
    </row>
    <row r="1311" spans="1:12" x14ac:dyDescent="0.25">
      <c r="A1311" t="str">
        <f t="shared" si="229"/>
        <v>89301000</v>
      </c>
      <c r="B1311" t="str">
        <f t="shared" si="231"/>
        <v>72077000</v>
      </c>
      <c r="C1311" t="str">
        <f t="shared" si="232"/>
        <v>72077001</v>
      </c>
      <c r="D1311">
        <v>89301152</v>
      </c>
      <c r="E1311" t="str">
        <f>"9958035736"</f>
        <v>9958035736</v>
      </c>
      <c r="F1311" s="1">
        <v>44960</v>
      </c>
      <c r="G1311" t="str">
        <f>"91219"</f>
        <v>91219</v>
      </c>
      <c r="H1311">
        <v>1</v>
      </c>
      <c r="I1311">
        <v>343</v>
      </c>
      <c r="J1311">
        <v>0</v>
      </c>
      <c r="K1311" t="str">
        <f t="shared" si="233"/>
        <v>813</v>
      </c>
      <c r="L1311">
        <v>288.12</v>
      </c>
    </row>
    <row r="1312" spans="1:12" x14ac:dyDescent="0.25">
      <c r="A1312" t="str">
        <f t="shared" si="229"/>
        <v>89301000</v>
      </c>
      <c r="B1312" t="str">
        <f t="shared" si="231"/>
        <v>72077000</v>
      </c>
      <c r="C1312" t="str">
        <f t="shared" si="232"/>
        <v>72077001</v>
      </c>
      <c r="D1312">
        <v>89301152</v>
      </c>
      <c r="E1312" t="str">
        <f>"9958035736"</f>
        <v>9958035736</v>
      </c>
      <c r="F1312" s="1">
        <v>44960</v>
      </c>
      <c r="G1312" t="str">
        <f>"91219"</f>
        <v>91219</v>
      </c>
      <c r="H1312">
        <v>1</v>
      </c>
      <c r="I1312">
        <v>343</v>
      </c>
      <c r="J1312">
        <v>0</v>
      </c>
      <c r="K1312" t="str">
        <f t="shared" si="233"/>
        <v>813</v>
      </c>
      <c r="L1312">
        <v>288.12</v>
      </c>
    </row>
    <row r="1313" spans="1:12" x14ac:dyDescent="0.25">
      <c r="A1313" t="str">
        <f t="shared" si="229"/>
        <v>89301000</v>
      </c>
      <c r="B1313" t="str">
        <f t="shared" si="231"/>
        <v>72077000</v>
      </c>
      <c r="C1313" t="str">
        <f t="shared" si="232"/>
        <v>72077001</v>
      </c>
      <c r="D1313">
        <v>89301152</v>
      </c>
      <c r="E1313" t="str">
        <f>"9356295707"</f>
        <v>9356295707</v>
      </c>
      <c r="F1313" s="1">
        <v>44960</v>
      </c>
      <c r="G1313" t="str">
        <f>"91485"</f>
        <v>91485</v>
      </c>
      <c r="H1313">
        <v>1</v>
      </c>
      <c r="I1313">
        <v>268</v>
      </c>
      <c r="J1313">
        <v>0</v>
      </c>
      <c r="K1313" t="str">
        <f t="shared" si="233"/>
        <v>813</v>
      </c>
      <c r="L1313">
        <v>225.12</v>
      </c>
    </row>
    <row r="1314" spans="1:12" x14ac:dyDescent="0.25">
      <c r="A1314" t="str">
        <f t="shared" si="229"/>
        <v>89301000</v>
      </c>
      <c r="B1314" t="str">
        <f t="shared" si="231"/>
        <v>72077000</v>
      </c>
      <c r="C1314" t="str">
        <f t="shared" si="232"/>
        <v>72077001</v>
      </c>
      <c r="D1314">
        <v>89301152</v>
      </c>
      <c r="E1314" t="str">
        <f>"9356295707"</f>
        <v>9356295707</v>
      </c>
      <c r="F1314" s="1">
        <v>44965</v>
      </c>
      <c r="G1314" t="str">
        <f>"91577"</f>
        <v>91577</v>
      </c>
      <c r="H1314">
        <v>1</v>
      </c>
      <c r="I1314">
        <v>398</v>
      </c>
      <c r="J1314">
        <v>0</v>
      </c>
      <c r="K1314" t="str">
        <f t="shared" si="233"/>
        <v>813</v>
      </c>
      <c r="L1314">
        <v>334.32</v>
      </c>
    </row>
    <row r="1315" spans="1:12" x14ac:dyDescent="0.25">
      <c r="A1315" t="str">
        <f t="shared" si="229"/>
        <v>89301000</v>
      </c>
      <c r="B1315" t="str">
        <f t="shared" si="231"/>
        <v>72077000</v>
      </c>
      <c r="C1315" t="str">
        <f t="shared" si="232"/>
        <v>72077001</v>
      </c>
      <c r="D1315">
        <v>89301152</v>
      </c>
      <c r="E1315" t="str">
        <f>"9059185729"</f>
        <v>9059185729</v>
      </c>
      <c r="F1315" s="1">
        <v>44960</v>
      </c>
      <c r="G1315" t="str">
        <f>"91485"</f>
        <v>91485</v>
      </c>
      <c r="H1315">
        <v>1</v>
      </c>
      <c r="I1315">
        <v>268</v>
      </c>
      <c r="J1315">
        <v>0</v>
      </c>
      <c r="K1315" t="str">
        <f t="shared" si="233"/>
        <v>813</v>
      </c>
      <c r="L1315">
        <v>225.12</v>
      </c>
    </row>
    <row r="1316" spans="1:12" x14ac:dyDescent="0.25">
      <c r="A1316" t="str">
        <f t="shared" si="229"/>
        <v>89301000</v>
      </c>
      <c r="B1316" t="str">
        <f t="shared" si="231"/>
        <v>72077000</v>
      </c>
      <c r="C1316" t="str">
        <f t="shared" si="232"/>
        <v>72077001</v>
      </c>
      <c r="D1316">
        <v>89301152</v>
      </c>
      <c r="E1316" t="str">
        <f>"9059185729"</f>
        <v>9059185729</v>
      </c>
      <c r="F1316" s="1">
        <v>44965</v>
      </c>
      <c r="G1316" t="str">
        <f>"91361"</f>
        <v>91361</v>
      </c>
      <c r="H1316">
        <v>1</v>
      </c>
      <c r="I1316">
        <v>444</v>
      </c>
      <c r="J1316">
        <v>0</v>
      </c>
      <c r="K1316" t="str">
        <f t="shared" si="233"/>
        <v>813</v>
      </c>
      <c r="L1316">
        <v>372.96</v>
      </c>
    </row>
    <row r="1317" spans="1:12" x14ac:dyDescent="0.25">
      <c r="A1317" t="str">
        <f t="shared" si="229"/>
        <v>89301000</v>
      </c>
      <c r="B1317" t="str">
        <f t="shared" si="231"/>
        <v>72077000</v>
      </c>
      <c r="C1317" t="str">
        <f t="shared" si="232"/>
        <v>72077001</v>
      </c>
      <c r="D1317">
        <v>89301152</v>
      </c>
      <c r="E1317" t="str">
        <f>"9059185729"</f>
        <v>9059185729</v>
      </c>
      <c r="F1317" s="1">
        <v>44965</v>
      </c>
      <c r="G1317" t="str">
        <f>"91359"</f>
        <v>91359</v>
      </c>
      <c r="H1317">
        <v>1</v>
      </c>
      <c r="I1317">
        <v>205</v>
      </c>
      <c r="J1317">
        <v>0</v>
      </c>
      <c r="K1317" t="str">
        <f t="shared" si="233"/>
        <v>813</v>
      </c>
      <c r="L1317">
        <v>172.2</v>
      </c>
    </row>
    <row r="1318" spans="1:12" x14ac:dyDescent="0.25">
      <c r="A1318" t="str">
        <f t="shared" si="229"/>
        <v>89301000</v>
      </c>
      <c r="B1318" t="str">
        <f t="shared" si="231"/>
        <v>72077000</v>
      </c>
      <c r="C1318" t="str">
        <f t="shared" si="232"/>
        <v>72077001</v>
      </c>
      <c r="D1318">
        <v>89301152</v>
      </c>
      <c r="E1318" t="str">
        <f>"9059185729"</f>
        <v>9059185729</v>
      </c>
      <c r="F1318" s="1">
        <v>44965</v>
      </c>
      <c r="G1318" t="str">
        <f>"91577"</f>
        <v>91577</v>
      </c>
      <c r="H1318">
        <v>1</v>
      </c>
      <c r="I1318">
        <v>398</v>
      </c>
      <c r="J1318">
        <v>0</v>
      </c>
      <c r="K1318" t="str">
        <f t="shared" si="233"/>
        <v>813</v>
      </c>
      <c r="L1318">
        <v>334.32</v>
      </c>
    </row>
    <row r="1319" spans="1:12" x14ac:dyDescent="0.25">
      <c r="A1319" t="str">
        <f t="shared" si="229"/>
        <v>89301000</v>
      </c>
      <c r="B1319" t="str">
        <f t="shared" si="231"/>
        <v>72077000</v>
      </c>
      <c r="C1319" t="str">
        <f t="shared" si="232"/>
        <v>72077001</v>
      </c>
      <c r="D1319">
        <v>89301152</v>
      </c>
      <c r="E1319" t="str">
        <f>"9561305721"</f>
        <v>9561305721</v>
      </c>
      <c r="F1319" s="1">
        <v>44964</v>
      </c>
      <c r="G1319" t="str">
        <f>"91175"</f>
        <v>91175</v>
      </c>
      <c r="H1319">
        <v>1</v>
      </c>
      <c r="I1319">
        <v>362</v>
      </c>
      <c r="J1319">
        <v>0</v>
      </c>
      <c r="K1319" t="str">
        <f t="shared" si="233"/>
        <v>813</v>
      </c>
      <c r="L1319">
        <v>304.08</v>
      </c>
    </row>
    <row r="1320" spans="1:12" x14ac:dyDescent="0.25">
      <c r="A1320" t="str">
        <f t="shared" si="229"/>
        <v>89301000</v>
      </c>
      <c r="B1320" t="str">
        <f t="shared" ref="B1320:B1351" si="236">"72077000"</f>
        <v>72077000</v>
      </c>
      <c r="C1320" t="str">
        <f t="shared" ref="C1320:C1351" si="237">"72077001"</f>
        <v>72077001</v>
      </c>
      <c r="D1320">
        <v>89301152</v>
      </c>
      <c r="E1320" t="str">
        <f>"9561305721"</f>
        <v>9561305721</v>
      </c>
      <c r="F1320" s="1">
        <v>44964</v>
      </c>
      <c r="G1320" t="str">
        <f>"91171"</f>
        <v>91171</v>
      </c>
      <c r="H1320">
        <v>1</v>
      </c>
      <c r="I1320">
        <v>362</v>
      </c>
      <c r="J1320">
        <v>0</v>
      </c>
      <c r="K1320" t="str">
        <f t="shared" ref="K1320:K1351" si="238">"813"</f>
        <v>813</v>
      </c>
      <c r="L1320">
        <v>304.08</v>
      </c>
    </row>
    <row r="1321" spans="1:12" x14ac:dyDescent="0.25">
      <c r="A1321" t="str">
        <f t="shared" si="229"/>
        <v>89301000</v>
      </c>
      <c r="B1321" t="str">
        <f t="shared" si="236"/>
        <v>72077000</v>
      </c>
      <c r="C1321" t="str">
        <f t="shared" si="237"/>
        <v>72077001</v>
      </c>
      <c r="D1321">
        <v>89301152</v>
      </c>
      <c r="E1321" t="str">
        <f>"8755135576"</f>
        <v>8755135576</v>
      </c>
      <c r="F1321" s="1">
        <v>44964</v>
      </c>
      <c r="G1321" t="str">
        <f>"91171"</f>
        <v>91171</v>
      </c>
      <c r="H1321">
        <v>1</v>
      </c>
      <c r="I1321">
        <v>362</v>
      </c>
      <c r="J1321">
        <v>0</v>
      </c>
      <c r="K1321" t="str">
        <f t="shared" si="238"/>
        <v>813</v>
      </c>
      <c r="L1321">
        <v>304.08</v>
      </c>
    </row>
    <row r="1322" spans="1:12" x14ac:dyDescent="0.25">
      <c r="A1322" t="str">
        <f t="shared" si="229"/>
        <v>89301000</v>
      </c>
      <c r="B1322" t="str">
        <f t="shared" si="236"/>
        <v>72077000</v>
      </c>
      <c r="C1322" t="str">
        <f t="shared" si="237"/>
        <v>72077001</v>
      </c>
      <c r="D1322">
        <v>89301152</v>
      </c>
      <c r="E1322" t="str">
        <f>"8755135576"</f>
        <v>8755135576</v>
      </c>
      <c r="F1322" s="1">
        <v>44964</v>
      </c>
      <c r="G1322" t="str">
        <f>"91175"</f>
        <v>91175</v>
      </c>
      <c r="H1322">
        <v>1</v>
      </c>
      <c r="I1322">
        <v>362</v>
      </c>
      <c r="J1322">
        <v>0</v>
      </c>
      <c r="K1322" t="str">
        <f t="shared" si="238"/>
        <v>813</v>
      </c>
      <c r="L1322">
        <v>304.08</v>
      </c>
    </row>
    <row r="1323" spans="1:12" x14ac:dyDescent="0.25">
      <c r="A1323" t="str">
        <f t="shared" si="229"/>
        <v>89301000</v>
      </c>
      <c r="B1323" t="str">
        <f t="shared" si="236"/>
        <v>72077000</v>
      </c>
      <c r="C1323" t="str">
        <f t="shared" si="237"/>
        <v>72077001</v>
      </c>
      <c r="D1323">
        <v>89301152</v>
      </c>
      <c r="E1323" t="str">
        <f>"0454173247"</f>
        <v>0454173247</v>
      </c>
      <c r="F1323" s="1">
        <v>44964</v>
      </c>
      <c r="G1323" t="str">
        <f>"91465"</f>
        <v>91465</v>
      </c>
      <c r="H1323">
        <v>1</v>
      </c>
      <c r="I1323">
        <v>1412</v>
      </c>
      <c r="J1323">
        <v>0</v>
      </c>
      <c r="K1323" t="str">
        <f t="shared" si="238"/>
        <v>813</v>
      </c>
      <c r="L1323">
        <v>1186.08</v>
      </c>
    </row>
    <row r="1324" spans="1:12" x14ac:dyDescent="0.25">
      <c r="A1324" t="str">
        <f t="shared" si="229"/>
        <v>89301000</v>
      </c>
      <c r="B1324" t="str">
        <f t="shared" si="236"/>
        <v>72077000</v>
      </c>
      <c r="C1324" t="str">
        <f t="shared" si="237"/>
        <v>72077001</v>
      </c>
      <c r="D1324">
        <v>89301152</v>
      </c>
      <c r="E1324" t="str">
        <f>"0454173247"</f>
        <v>0454173247</v>
      </c>
      <c r="F1324" s="1">
        <v>44965</v>
      </c>
      <c r="G1324" t="str">
        <f>"91197"</f>
        <v>91197</v>
      </c>
      <c r="H1324">
        <v>1</v>
      </c>
      <c r="I1324">
        <v>1048</v>
      </c>
      <c r="J1324">
        <v>0</v>
      </c>
      <c r="K1324" t="str">
        <f t="shared" si="238"/>
        <v>813</v>
      </c>
      <c r="L1324">
        <v>880.32</v>
      </c>
    </row>
    <row r="1325" spans="1:12" x14ac:dyDescent="0.25">
      <c r="A1325" t="str">
        <f t="shared" si="229"/>
        <v>89301000</v>
      </c>
      <c r="B1325" t="str">
        <f t="shared" si="236"/>
        <v>72077000</v>
      </c>
      <c r="C1325" t="str">
        <f t="shared" si="237"/>
        <v>72077001</v>
      </c>
      <c r="D1325">
        <v>89301152</v>
      </c>
      <c r="E1325" t="str">
        <f>"7855155759"</f>
        <v>7855155759</v>
      </c>
      <c r="F1325" s="1">
        <v>44965</v>
      </c>
      <c r="G1325" t="str">
        <f>"91197"</f>
        <v>91197</v>
      </c>
      <c r="H1325">
        <v>1</v>
      </c>
      <c r="I1325">
        <v>1048</v>
      </c>
      <c r="J1325">
        <v>0</v>
      </c>
      <c r="K1325" t="str">
        <f t="shared" si="238"/>
        <v>813</v>
      </c>
      <c r="L1325">
        <v>880.32</v>
      </c>
    </row>
    <row r="1326" spans="1:12" x14ac:dyDescent="0.25">
      <c r="A1326" t="str">
        <f t="shared" si="229"/>
        <v>89301000</v>
      </c>
      <c r="B1326" t="str">
        <f t="shared" si="236"/>
        <v>72077000</v>
      </c>
      <c r="C1326" t="str">
        <f t="shared" si="237"/>
        <v>72077001</v>
      </c>
      <c r="D1326">
        <v>89301152</v>
      </c>
      <c r="E1326" t="str">
        <f>"7855155759"</f>
        <v>7855155759</v>
      </c>
      <c r="F1326" s="1">
        <v>44966</v>
      </c>
      <c r="G1326" t="str">
        <f>"91465"</f>
        <v>91465</v>
      </c>
      <c r="H1326">
        <v>1</v>
      </c>
      <c r="I1326">
        <v>1412</v>
      </c>
      <c r="J1326">
        <v>0</v>
      </c>
      <c r="K1326" t="str">
        <f t="shared" si="238"/>
        <v>813</v>
      </c>
      <c r="L1326">
        <v>1186.08</v>
      </c>
    </row>
    <row r="1327" spans="1:12" x14ac:dyDescent="0.25">
      <c r="A1327" t="str">
        <f t="shared" si="229"/>
        <v>89301000</v>
      </c>
      <c r="B1327" t="str">
        <f t="shared" si="236"/>
        <v>72077000</v>
      </c>
      <c r="C1327" t="str">
        <f t="shared" si="237"/>
        <v>72077001</v>
      </c>
      <c r="D1327">
        <v>89301152</v>
      </c>
      <c r="E1327" t="str">
        <f>"0257246143"</f>
        <v>0257246143</v>
      </c>
      <c r="F1327" s="1">
        <v>44971</v>
      </c>
      <c r="G1327" t="str">
        <f>"91465"</f>
        <v>91465</v>
      </c>
      <c r="H1327">
        <v>1</v>
      </c>
      <c r="I1327">
        <v>1412</v>
      </c>
      <c r="J1327">
        <v>0</v>
      </c>
      <c r="K1327" t="str">
        <f t="shared" si="238"/>
        <v>813</v>
      </c>
      <c r="L1327">
        <v>1186.08</v>
      </c>
    </row>
    <row r="1328" spans="1:12" x14ac:dyDescent="0.25">
      <c r="A1328" t="str">
        <f t="shared" si="229"/>
        <v>89301000</v>
      </c>
      <c r="B1328" t="str">
        <f t="shared" si="236"/>
        <v>72077000</v>
      </c>
      <c r="C1328" t="str">
        <f t="shared" si="237"/>
        <v>72077001</v>
      </c>
      <c r="D1328">
        <v>89301152</v>
      </c>
      <c r="E1328" t="str">
        <f>"0257246143"</f>
        <v>0257246143</v>
      </c>
      <c r="F1328" s="1">
        <v>44971</v>
      </c>
      <c r="G1328" t="str">
        <f>"91197"</f>
        <v>91197</v>
      </c>
      <c r="H1328">
        <v>1</v>
      </c>
      <c r="I1328">
        <v>1048</v>
      </c>
      <c r="J1328">
        <v>0</v>
      </c>
      <c r="K1328" t="str">
        <f t="shared" si="238"/>
        <v>813</v>
      </c>
      <c r="L1328">
        <v>880.32</v>
      </c>
    </row>
    <row r="1329" spans="1:12" x14ac:dyDescent="0.25">
      <c r="A1329" t="str">
        <f t="shared" si="229"/>
        <v>89301000</v>
      </c>
      <c r="B1329" t="str">
        <f t="shared" si="236"/>
        <v>72077000</v>
      </c>
      <c r="C1329" t="str">
        <f t="shared" si="237"/>
        <v>72077001</v>
      </c>
      <c r="D1329">
        <v>89301152</v>
      </c>
      <c r="E1329" t="str">
        <f t="shared" ref="E1329:E1334" si="239">"9112295302"</f>
        <v>9112295302</v>
      </c>
      <c r="F1329" s="1">
        <v>44970</v>
      </c>
      <c r="G1329" t="str">
        <f>"91485"</f>
        <v>91485</v>
      </c>
      <c r="H1329">
        <v>1</v>
      </c>
      <c r="I1329">
        <v>268</v>
      </c>
      <c r="J1329">
        <v>0</v>
      </c>
      <c r="K1329" t="str">
        <f t="shared" si="238"/>
        <v>813</v>
      </c>
      <c r="L1329">
        <v>225.12</v>
      </c>
    </row>
    <row r="1330" spans="1:12" x14ac:dyDescent="0.25">
      <c r="A1330" t="str">
        <f t="shared" si="229"/>
        <v>89301000</v>
      </c>
      <c r="B1330" t="str">
        <f t="shared" si="236"/>
        <v>72077000</v>
      </c>
      <c r="C1330" t="str">
        <f t="shared" si="237"/>
        <v>72077001</v>
      </c>
      <c r="D1330">
        <v>89301152</v>
      </c>
      <c r="E1330" t="str">
        <f t="shared" si="239"/>
        <v>9112295302</v>
      </c>
      <c r="F1330" s="1">
        <v>44971</v>
      </c>
      <c r="G1330" t="str">
        <f>"91465"</f>
        <v>91465</v>
      </c>
      <c r="H1330">
        <v>1</v>
      </c>
      <c r="I1330">
        <v>1412</v>
      </c>
      <c r="J1330">
        <v>0</v>
      </c>
      <c r="K1330" t="str">
        <f t="shared" si="238"/>
        <v>813</v>
      </c>
      <c r="L1330">
        <v>1186.08</v>
      </c>
    </row>
    <row r="1331" spans="1:12" x14ac:dyDescent="0.25">
      <c r="A1331" t="str">
        <f t="shared" si="229"/>
        <v>89301000</v>
      </c>
      <c r="B1331" t="str">
        <f t="shared" si="236"/>
        <v>72077000</v>
      </c>
      <c r="C1331" t="str">
        <f t="shared" si="237"/>
        <v>72077001</v>
      </c>
      <c r="D1331">
        <v>89301152</v>
      </c>
      <c r="E1331" t="str">
        <f t="shared" si="239"/>
        <v>9112295302</v>
      </c>
      <c r="F1331" s="1">
        <v>44971</v>
      </c>
      <c r="G1331" t="str">
        <f>"91197"</f>
        <v>91197</v>
      </c>
      <c r="H1331">
        <v>1</v>
      </c>
      <c r="I1331">
        <v>1048</v>
      </c>
      <c r="J1331">
        <v>0</v>
      </c>
      <c r="K1331" t="str">
        <f t="shared" si="238"/>
        <v>813</v>
      </c>
      <c r="L1331">
        <v>880.32</v>
      </c>
    </row>
    <row r="1332" spans="1:12" x14ac:dyDescent="0.25">
      <c r="A1332" t="str">
        <f t="shared" si="229"/>
        <v>89301000</v>
      </c>
      <c r="B1332" t="str">
        <f t="shared" si="236"/>
        <v>72077000</v>
      </c>
      <c r="C1332" t="str">
        <f t="shared" si="237"/>
        <v>72077001</v>
      </c>
      <c r="D1332">
        <v>89301152</v>
      </c>
      <c r="E1332" t="str">
        <f t="shared" si="239"/>
        <v>9112295302</v>
      </c>
      <c r="F1332" s="1">
        <v>44972</v>
      </c>
      <c r="G1332" t="str">
        <f>"91361"</f>
        <v>91361</v>
      </c>
      <c r="H1332">
        <v>1</v>
      </c>
      <c r="I1332">
        <v>444</v>
      </c>
      <c r="J1332">
        <v>0</v>
      </c>
      <c r="K1332" t="str">
        <f t="shared" si="238"/>
        <v>813</v>
      </c>
      <c r="L1332">
        <v>372.96</v>
      </c>
    </row>
    <row r="1333" spans="1:12" x14ac:dyDescent="0.25">
      <c r="A1333" t="str">
        <f t="shared" si="229"/>
        <v>89301000</v>
      </c>
      <c r="B1333" t="str">
        <f t="shared" si="236"/>
        <v>72077000</v>
      </c>
      <c r="C1333" t="str">
        <f t="shared" si="237"/>
        <v>72077001</v>
      </c>
      <c r="D1333">
        <v>89301152</v>
      </c>
      <c r="E1333" t="str">
        <f t="shared" si="239"/>
        <v>9112295302</v>
      </c>
      <c r="F1333" s="1">
        <v>44972</v>
      </c>
      <c r="G1333" t="str">
        <f>"91359"</f>
        <v>91359</v>
      </c>
      <c r="H1333">
        <v>1</v>
      </c>
      <c r="I1333">
        <v>205</v>
      </c>
      <c r="J1333">
        <v>0</v>
      </c>
      <c r="K1333" t="str">
        <f t="shared" si="238"/>
        <v>813</v>
      </c>
      <c r="L1333">
        <v>172.2</v>
      </c>
    </row>
    <row r="1334" spans="1:12" x14ac:dyDescent="0.25">
      <c r="A1334" t="str">
        <f t="shared" si="229"/>
        <v>89301000</v>
      </c>
      <c r="B1334" t="str">
        <f t="shared" si="236"/>
        <v>72077000</v>
      </c>
      <c r="C1334" t="str">
        <f t="shared" si="237"/>
        <v>72077001</v>
      </c>
      <c r="D1334">
        <v>89301152</v>
      </c>
      <c r="E1334" t="str">
        <f t="shared" si="239"/>
        <v>9112295302</v>
      </c>
      <c r="F1334" s="1">
        <v>44972</v>
      </c>
      <c r="G1334" t="str">
        <f>"91577"</f>
        <v>91577</v>
      </c>
      <c r="H1334">
        <v>1</v>
      </c>
      <c r="I1334">
        <v>398</v>
      </c>
      <c r="J1334">
        <v>0</v>
      </c>
      <c r="K1334" t="str">
        <f t="shared" si="238"/>
        <v>813</v>
      </c>
      <c r="L1334">
        <v>334.32</v>
      </c>
    </row>
    <row r="1335" spans="1:12" x14ac:dyDescent="0.25">
      <c r="A1335" t="str">
        <f t="shared" si="229"/>
        <v>89301000</v>
      </c>
      <c r="B1335" t="str">
        <f t="shared" si="236"/>
        <v>72077000</v>
      </c>
      <c r="C1335" t="str">
        <f t="shared" si="237"/>
        <v>72077001</v>
      </c>
      <c r="D1335">
        <v>89301152</v>
      </c>
      <c r="E1335" t="str">
        <f>"7962044475"</f>
        <v>7962044475</v>
      </c>
      <c r="F1335" s="1">
        <v>44974</v>
      </c>
      <c r="G1335" t="str">
        <f>"91219"</f>
        <v>91219</v>
      </c>
      <c r="H1335">
        <v>1</v>
      </c>
      <c r="I1335">
        <v>343</v>
      </c>
      <c r="J1335">
        <v>0</v>
      </c>
      <c r="K1335" t="str">
        <f t="shared" si="238"/>
        <v>813</v>
      </c>
      <c r="L1335">
        <v>288.12</v>
      </c>
    </row>
    <row r="1336" spans="1:12" x14ac:dyDescent="0.25">
      <c r="A1336" t="str">
        <f t="shared" si="229"/>
        <v>89301000</v>
      </c>
      <c r="B1336" t="str">
        <f t="shared" si="236"/>
        <v>72077000</v>
      </c>
      <c r="C1336" t="str">
        <f t="shared" si="237"/>
        <v>72077001</v>
      </c>
      <c r="D1336">
        <v>89301152</v>
      </c>
      <c r="E1336" t="str">
        <f>"7962044475"</f>
        <v>7962044475</v>
      </c>
      <c r="F1336" s="1">
        <v>44974</v>
      </c>
      <c r="G1336" t="str">
        <f>"91219"</f>
        <v>91219</v>
      </c>
      <c r="H1336">
        <v>1</v>
      </c>
      <c r="I1336">
        <v>343</v>
      </c>
      <c r="J1336">
        <v>0</v>
      </c>
      <c r="K1336" t="str">
        <f t="shared" si="238"/>
        <v>813</v>
      </c>
      <c r="L1336">
        <v>288.12</v>
      </c>
    </row>
    <row r="1337" spans="1:12" x14ac:dyDescent="0.25">
      <c r="A1337" t="str">
        <f t="shared" si="229"/>
        <v>89301000</v>
      </c>
      <c r="B1337" t="str">
        <f t="shared" si="236"/>
        <v>72077000</v>
      </c>
      <c r="C1337" t="str">
        <f t="shared" si="237"/>
        <v>72077001</v>
      </c>
      <c r="D1337">
        <v>89301152</v>
      </c>
      <c r="E1337" t="str">
        <f>"7962044475"</f>
        <v>7962044475</v>
      </c>
      <c r="F1337" s="1">
        <v>44974</v>
      </c>
      <c r="G1337" t="str">
        <f>"91219"</f>
        <v>91219</v>
      </c>
      <c r="H1337">
        <v>1</v>
      </c>
      <c r="I1337">
        <v>343</v>
      </c>
      <c r="J1337">
        <v>0</v>
      </c>
      <c r="K1337" t="str">
        <f t="shared" si="238"/>
        <v>813</v>
      </c>
      <c r="L1337">
        <v>288.12</v>
      </c>
    </row>
    <row r="1338" spans="1:12" x14ac:dyDescent="0.25">
      <c r="A1338" t="str">
        <f t="shared" si="229"/>
        <v>89301000</v>
      </c>
      <c r="B1338" t="str">
        <f t="shared" si="236"/>
        <v>72077000</v>
      </c>
      <c r="C1338" t="str">
        <f t="shared" si="237"/>
        <v>72077001</v>
      </c>
      <c r="D1338">
        <v>89301152</v>
      </c>
      <c r="E1338" t="str">
        <f>"7962044475"</f>
        <v>7962044475</v>
      </c>
      <c r="F1338" s="1">
        <v>44974</v>
      </c>
      <c r="G1338" t="str">
        <f>"91219"</f>
        <v>91219</v>
      </c>
      <c r="H1338">
        <v>1</v>
      </c>
      <c r="I1338">
        <v>343</v>
      </c>
      <c r="J1338">
        <v>0</v>
      </c>
      <c r="K1338" t="str">
        <f t="shared" si="238"/>
        <v>813</v>
      </c>
      <c r="L1338">
        <v>288.12</v>
      </c>
    </row>
    <row r="1339" spans="1:12" x14ac:dyDescent="0.25">
      <c r="A1339" t="str">
        <f t="shared" si="229"/>
        <v>89301000</v>
      </c>
      <c r="B1339" t="str">
        <f t="shared" si="236"/>
        <v>72077000</v>
      </c>
      <c r="C1339" t="str">
        <f t="shared" si="237"/>
        <v>72077001</v>
      </c>
      <c r="D1339">
        <v>89301152</v>
      </c>
      <c r="E1339" t="str">
        <f>"9257296147"</f>
        <v>9257296147</v>
      </c>
      <c r="F1339" s="1">
        <v>44967</v>
      </c>
      <c r="G1339" t="str">
        <f>"91171"</f>
        <v>91171</v>
      </c>
      <c r="H1339">
        <v>1</v>
      </c>
      <c r="I1339">
        <v>362</v>
      </c>
      <c r="J1339">
        <v>0</v>
      </c>
      <c r="K1339" t="str">
        <f t="shared" si="238"/>
        <v>813</v>
      </c>
      <c r="L1339">
        <v>304.08</v>
      </c>
    </row>
    <row r="1340" spans="1:12" x14ac:dyDescent="0.25">
      <c r="A1340" t="str">
        <f t="shared" si="229"/>
        <v>89301000</v>
      </c>
      <c r="B1340" t="str">
        <f t="shared" si="236"/>
        <v>72077000</v>
      </c>
      <c r="C1340" t="str">
        <f t="shared" si="237"/>
        <v>72077001</v>
      </c>
      <c r="D1340">
        <v>89301152</v>
      </c>
      <c r="E1340" t="str">
        <f>"9257296147"</f>
        <v>9257296147</v>
      </c>
      <c r="F1340" s="1">
        <v>44967</v>
      </c>
      <c r="G1340" t="str">
        <f>"91175"</f>
        <v>91175</v>
      </c>
      <c r="H1340">
        <v>1</v>
      </c>
      <c r="I1340">
        <v>362</v>
      </c>
      <c r="J1340">
        <v>0</v>
      </c>
      <c r="K1340" t="str">
        <f t="shared" si="238"/>
        <v>813</v>
      </c>
      <c r="L1340">
        <v>304.08</v>
      </c>
    </row>
    <row r="1341" spans="1:12" x14ac:dyDescent="0.25">
      <c r="A1341" t="str">
        <f t="shared" si="229"/>
        <v>89301000</v>
      </c>
      <c r="B1341" t="str">
        <f t="shared" si="236"/>
        <v>72077000</v>
      </c>
      <c r="C1341" t="str">
        <f t="shared" si="237"/>
        <v>72077001</v>
      </c>
      <c r="D1341">
        <v>89301152</v>
      </c>
      <c r="E1341" t="str">
        <f t="shared" ref="E1341:E1348" si="240">"6057241784"</f>
        <v>6057241784</v>
      </c>
      <c r="F1341" s="1">
        <v>44973</v>
      </c>
      <c r="G1341" t="str">
        <f>"91197"</f>
        <v>91197</v>
      </c>
      <c r="H1341">
        <v>1</v>
      </c>
      <c r="I1341">
        <v>1048</v>
      </c>
      <c r="J1341">
        <v>0</v>
      </c>
      <c r="K1341" t="str">
        <f t="shared" si="238"/>
        <v>813</v>
      </c>
      <c r="L1341">
        <v>880.32</v>
      </c>
    </row>
    <row r="1342" spans="1:12" x14ac:dyDescent="0.25">
      <c r="A1342" t="str">
        <f t="shared" si="229"/>
        <v>89301000</v>
      </c>
      <c r="B1342" t="str">
        <f t="shared" si="236"/>
        <v>72077000</v>
      </c>
      <c r="C1342" t="str">
        <f t="shared" si="237"/>
        <v>72077001</v>
      </c>
      <c r="D1342">
        <v>89301152</v>
      </c>
      <c r="E1342" t="str">
        <f t="shared" si="240"/>
        <v>6057241784</v>
      </c>
      <c r="F1342" s="1">
        <v>44974</v>
      </c>
      <c r="G1342" t="str">
        <f>"91465"</f>
        <v>91465</v>
      </c>
      <c r="H1342">
        <v>1</v>
      </c>
      <c r="I1342">
        <v>1412</v>
      </c>
      <c r="J1342">
        <v>0</v>
      </c>
      <c r="K1342" t="str">
        <f t="shared" si="238"/>
        <v>813</v>
      </c>
      <c r="L1342">
        <v>1186.08</v>
      </c>
    </row>
    <row r="1343" spans="1:12" x14ac:dyDescent="0.25">
      <c r="A1343" t="str">
        <f t="shared" si="229"/>
        <v>89301000</v>
      </c>
      <c r="B1343" t="str">
        <f t="shared" si="236"/>
        <v>72077000</v>
      </c>
      <c r="C1343" t="str">
        <f t="shared" si="237"/>
        <v>72077001</v>
      </c>
      <c r="D1343">
        <v>89301152</v>
      </c>
      <c r="E1343" t="str">
        <f t="shared" si="240"/>
        <v>6057241784</v>
      </c>
      <c r="F1343" s="1">
        <v>44977</v>
      </c>
      <c r="G1343" t="str">
        <f t="shared" ref="G1343:G1348" si="241">"91219"</f>
        <v>91219</v>
      </c>
      <c r="H1343">
        <v>1</v>
      </c>
      <c r="I1343">
        <v>343</v>
      </c>
      <c r="J1343">
        <v>0</v>
      </c>
      <c r="K1343" t="str">
        <f t="shared" si="238"/>
        <v>813</v>
      </c>
      <c r="L1343">
        <v>288.12</v>
      </c>
    </row>
    <row r="1344" spans="1:12" x14ac:dyDescent="0.25">
      <c r="A1344" t="str">
        <f t="shared" si="229"/>
        <v>89301000</v>
      </c>
      <c r="B1344" t="str">
        <f t="shared" si="236"/>
        <v>72077000</v>
      </c>
      <c r="C1344" t="str">
        <f t="shared" si="237"/>
        <v>72077001</v>
      </c>
      <c r="D1344">
        <v>89301152</v>
      </c>
      <c r="E1344" t="str">
        <f t="shared" si="240"/>
        <v>6057241784</v>
      </c>
      <c r="F1344" s="1">
        <v>44977</v>
      </c>
      <c r="G1344" t="str">
        <f t="shared" si="241"/>
        <v>91219</v>
      </c>
      <c r="H1344">
        <v>1</v>
      </c>
      <c r="I1344">
        <v>343</v>
      </c>
      <c r="J1344">
        <v>0</v>
      </c>
      <c r="K1344" t="str">
        <f t="shared" si="238"/>
        <v>813</v>
      </c>
      <c r="L1344">
        <v>288.12</v>
      </c>
    </row>
    <row r="1345" spans="1:12" x14ac:dyDescent="0.25">
      <c r="A1345" t="str">
        <f t="shared" si="229"/>
        <v>89301000</v>
      </c>
      <c r="B1345" t="str">
        <f t="shared" si="236"/>
        <v>72077000</v>
      </c>
      <c r="C1345" t="str">
        <f t="shared" si="237"/>
        <v>72077001</v>
      </c>
      <c r="D1345">
        <v>89301152</v>
      </c>
      <c r="E1345" t="str">
        <f t="shared" si="240"/>
        <v>6057241784</v>
      </c>
      <c r="F1345" s="1">
        <v>44977</v>
      </c>
      <c r="G1345" t="str">
        <f t="shared" si="241"/>
        <v>91219</v>
      </c>
      <c r="H1345">
        <v>1</v>
      </c>
      <c r="I1345">
        <v>343</v>
      </c>
      <c r="J1345">
        <v>0</v>
      </c>
      <c r="K1345" t="str">
        <f t="shared" si="238"/>
        <v>813</v>
      </c>
      <c r="L1345">
        <v>288.12</v>
      </c>
    </row>
    <row r="1346" spans="1:12" x14ac:dyDescent="0.25">
      <c r="A1346" t="str">
        <f t="shared" ref="A1346:A1409" si="242">"89301000"</f>
        <v>89301000</v>
      </c>
      <c r="B1346" t="str">
        <f t="shared" si="236"/>
        <v>72077000</v>
      </c>
      <c r="C1346" t="str">
        <f t="shared" si="237"/>
        <v>72077001</v>
      </c>
      <c r="D1346">
        <v>89301152</v>
      </c>
      <c r="E1346" t="str">
        <f t="shared" si="240"/>
        <v>6057241784</v>
      </c>
      <c r="F1346" s="1">
        <v>44977</v>
      </c>
      <c r="G1346" t="str">
        <f t="shared" si="241"/>
        <v>91219</v>
      </c>
      <c r="H1346">
        <v>1</v>
      </c>
      <c r="I1346">
        <v>343</v>
      </c>
      <c r="J1346">
        <v>0</v>
      </c>
      <c r="K1346" t="str">
        <f t="shared" si="238"/>
        <v>813</v>
      </c>
      <c r="L1346">
        <v>288.12</v>
      </c>
    </row>
    <row r="1347" spans="1:12" x14ac:dyDescent="0.25">
      <c r="A1347" t="str">
        <f t="shared" si="242"/>
        <v>89301000</v>
      </c>
      <c r="B1347" t="str">
        <f t="shared" si="236"/>
        <v>72077000</v>
      </c>
      <c r="C1347" t="str">
        <f t="shared" si="237"/>
        <v>72077001</v>
      </c>
      <c r="D1347">
        <v>89301152</v>
      </c>
      <c r="E1347" t="str">
        <f t="shared" si="240"/>
        <v>6057241784</v>
      </c>
      <c r="F1347" s="1">
        <v>44977</v>
      </c>
      <c r="G1347" t="str">
        <f t="shared" si="241"/>
        <v>91219</v>
      </c>
      <c r="H1347">
        <v>1</v>
      </c>
      <c r="I1347">
        <v>343</v>
      </c>
      <c r="J1347">
        <v>0</v>
      </c>
      <c r="K1347" t="str">
        <f t="shared" si="238"/>
        <v>813</v>
      </c>
      <c r="L1347">
        <v>288.12</v>
      </c>
    </row>
    <row r="1348" spans="1:12" x14ac:dyDescent="0.25">
      <c r="A1348" t="str">
        <f t="shared" si="242"/>
        <v>89301000</v>
      </c>
      <c r="B1348" t="str">
        <f t="shared" si="236"/>
        <v>72077000</v>
      </c>
      <c r="C1348" t="str">
        <f t="shared" si="237"/>
        <v>72077001</v>
      </c>
      <c r="D1348">
        <v>89301152</v>
      </c>
      <c r="E1348" t="str">
        <f t="shared" si="240"/>
        <v>6057241784</v>
      </c>
      <c r="F1348" s="1">
        <v>44977</v>
      </c>
      <c r="G1348" t="str">
        <f t="shared" si="241"/>
        <v>91219</v>
      </c>
      <c r="H1348">
        <v>1</v>
      </c>
      <c r="I1348">
        <v>343</v>
      </c>
      <c r="J1348">
        <v>0</v>
      </c>
      <c r="K1348" t="str">
        <f t="shared" si="238"/>
        <v>813</v>
      </c>
      <c r="L1348">
        <v>288.12</v>
      </c>
    </row>
    <row r="1349" spans="1:12" x14ac:dyDescent="0.25">
      <c r="A1349" t="str">
        <f t="shared" si="242"/>
        <v>89301000</v>
      </c>
      <c r="B1349" t="str">
        <f t="shared" si="236"/>
        <v>72077000</v>
      </c>
      <c r="C1349" t="str">
        <f t="shared" si="237"/>
        <v>72077001</v>
      </c>
      <c r="D1349">
        <v>89301152</v>
      </c>
      <c r="E1349" t="str">
        <f>"8805275798"</f>
        <v>8805275798</v>
      </c>
      <c r="F1349" s="1">
        <v>44973</v>
      </c>
      <c r="G1349" t="str">
        <f>"91197"</f>
        <v>91197</v>
      </c>
      <c r="H1349">
        <v>1</v>
      </c>
      <c r="I1349">
        <v>1048</v>
      </c>
      <c r="J1349">
        <v>0</v>
      </c>
      <c r="K1349" t="str">
        <f t="shared" si="238"/>
        <v>813</v>
      </c>
      <c r="L1349">
        <v>880.32</v>
      </c>
    </row>
    <row r="1350" spans="1:12" x14ac:dyDescent="0.25">
      <c r="A1350" t="str">
        <f t="shared" si="242"/>
        <v>89301000</v>
      </c>
      <c r="B1350" t="str">
        <f t="shared" si="236"/>
        <v>72077000</v>
      </c>
      <c r="C1350" t="str">
        <f t="shared" si="237"/>
        <v>72077001</v>
      </c>
      <c r="D1350">
        <v>89301152</v>
      </c>
      <c r="E1350" t="str">
        <f>"8805275798"</f>
        <v>8805275798</v>
      </c>
      <c r="F1350" s="1">
        <v>44978</v>
      </c>
      <c r="G1350" t="str">
        <f>"91465"</f>
        <v>91465</v>
      </c>
      <c r="H1350">
        <v>1</v>
      </c>
      <c r="I1350">
        <v>1412</v>
      </c>
      <c r="J1350">
        <v>0</v>
      </c>
      <c r="K1350" t="str">
        <f t="shared" si="238"/>
        <v>813</v>
      </c>
      <c r="L1350">
        <v>1186.08</v>
      </c>
    </row>
    <row r="1351" spans="1:12" x14ac:dyDescent="0.25">
      <c r="A1351" t="str">
        <f t="shared" si="242"/>
        <v>89301000</v>
      </c>
      <c r="B1351" t="str">
        <f t="shared" si="236"/>
        <v>72077000</v>
      </c>
      <c r="C1351" t="str">
        <f t="shared" si="237"/>
        <v>72077001</v>
      </c>
      <c r="D1351">
        <v>89301152</v>
      </c>
      <c r="E1351" t="str">
        <f>"8162015312"</f>
        <v>8162015312</v>
      </c>
      <c r="F1351" s="1">
        <v>44978</v>
      </c>
      <c r="G1351" t="str">
        <f>"91171"</f>
        <v>91171</v>
      </c>
      <c r="H1351">
        <v>1</v>
      </c>
      <c r="I1351">
        <v>362</v>
      </c>
      <c r="J1351">
        <v>0</v>
      </c>
      <c r="K1351" t="str">
        <f t="shared" si="238"/>
        <v>813</v>
      </c>
      <c r="L1351">
        <v>304.08</v>
      </c>
    </row>
    <row r="1352" spans="1:12" x14ac:dyDescent="0.25">
      <c r="A1352" t="str">
        <f t="shared" si="242"/>
        <v>89301000</v>
      </c>
      <c r="B1352" t="str">
        <f t="shared" ref="B1352:B1358" si="243">"72077000"</f>
        <v>72077000</v>
      </c>
      <c r="C1352" t="str">
        <f t="shared" ref="C1352:C1358" si="244">"72077001"</f>
        <v>72077001</v>
      </c>
      <c r="D1352">
        <v>89301152</v>
      </c>
      <c r="E1352" t="str">
        <f>"8162015312"</f>
        <v>8162015312</v>
      </c>
      <c r="F1352" s="1">
        <v>44978</v>
      </c>
      <c r="G1352" t="str">
        <f>"91175"</f>
        <v>91175</v>
      </c>
      <c r="H1352">
        <v>1</v>
      </c>
      <c r="I1352">
        <v>362</v>
      </c>
      <c r="J1352">
        <v>0</v>
      </c>
      <c r="K1352" t="str">
        <f t="shared" ref="K1352:K1358" si="245">"813"</f>
        <v>813</v>
      </c>
      <c r="L1352">
        <v>304.08</v>
      </c>
    </row>
    <row r="1353" spans="1:12" x14ac:dyDescent="0.25">
      <c r="A1353" t="str">
        <f t="shared" si="242"/>
        <v>89301000</v>
      </c>
      <c r="B1353" t="str">
        <f t="shared" si="243"/>
        <v>72077000</v>
      </c>
      <c r="C1353" t="str">
        <f t="shared" si="244"/>
        <v>72077001</v>
      </c>
      <c r="D1353">
        <v>89301152</v>
      </c>
      <c r="E1353" t="str">
        <f>"9753145710"</f>
        <v>9753145710</v>
      </c>
      <c r="F1353" s="1">
        <v>44981</v>
      </c>
      <c r="G1353" t="str">
        <f>"91197"</f>
        <v>91197</v>
      </c>
      <c r="H1353">
        <v>1</v>
      </c>
      <c r="I1353">
        <v>1048</v>
      </c>
      <c r="J1353">
        <v>0</v>
      </c>
      <c r="K1353" t="str">
        <f t="shared" si="245"/>
        <v>813</v>
      </c>
      <c r="L1353">
        <v>880.32</v>
      </c>
    </row>
    <row r="1354" spans="1:12" x14ac:dyDescent="0.25">
      <c r="A1354" t="str">
        <f t="shared" si="242"/>
        <v>89301000</v>
      </c>
      <c r="B1354" t="str">
        <f t="shared" si="243"/>
        <v>72077000</v>
      </c>
      <c r="C1354" t="str">
        <f t="shared" si="244"/>
        <v>72077001</v>
      </c>
      <c r="D1354">
        <v>89301152</v>
      </c>
      <c r="E1354" t="str">
        <f>"9753145710"</f>
        <v>9753145710</v>
      </c>
      <c r="F1354" s="1">
        <v>44985</v>
      </c>
      <c r="G1354" t="str">
        <f>"91465"</f>
        <v>91465</v>
      </c>
      <c r="H1354">
        <v>1</v>
      </c>
      <c r="I1354">
        <v>1412</v>
      </c>
      <c r="J1354">
        <v>0</v>
      </c>
      <c r="K1354" t="str">
        <f t="shared" si="245"/>
        <v>813</v>
      </c>
      <c r="L1354">
        <v>1186.08</v>
      </c>
    </row>
    <row r="1355" spans="1:12" x14ac:dyDescent="0.25">
      <c r="A1355" t="str">
        <f t="shared" si="242"/>
        <v>89301000</v>
      </c>
      <c r="B1355" t="str">
        <f t="shared" si="243"/>
        <v>72077000</v>
      </c>
      <c r="C1355" t="str">
        <f t="shared" si="244"/>
        <v>72077001</v>
      </c>
      <c r="D1355">
        <v>89301152</v>
      </c>
      <c r="E1355" t="str">
        <f>"7859175764"</f>
        <v>7859175764</v>
      </c>
      <c r="F1355" s="1">
        <v>44981</v>
      </c>
      <c r="G1355" t="str">
        <f>"91197"</f>
        <v>91197</v>
      </c>
      <c r="H1355">
        <v>1</v>
      </c>
      <c r="I1355">
        <v>1048</v>
      </c>
      <c r="J1355">
        <v>0</v>
      </c>
      <c r="K1355" t="str">
        <f t="shared" si="245"/>
        <v>813</v>
      </c>
      <c r="L1355">
        <v>880.32</v>
      </c>
    </row>
    <row r="1356" spans="1:12" x14ac:dyDescent="0.25">
      <c r="A1356" t="str">
        <f t="shared" si="242"/>
        <v>89301000</v>
      </c>
      <c r="B1356" t="str">
        <f t="shared" si="243"/>
        <v>72077000</v>
      </c>
      <c r="C1356" t="str">
        <f t="shared" si="244"/>
        <v>72077001</v>
      </c>
      <c r="D1356">
        <v>89301152</v>
      </c>
      <c r="E1356" t="str">
        <f>"7859175764"</f>
        <v>7859175764</v>
      </c>
      <c r="F1356" s="1">
        <v>44985</v>
      </c>
      <c r="G1356" t="str">
        <f>"91465"</f>
        <v>91465</v>
      </c>
      <c r="H1356">
        <v>1</v>
      </c>
      <c r="I1356">
        <v>1412</v>
      </c>
      <c r="J1356">
        <v>0</v>
      </c>
      <c r="K1356" t="str">
        <f t="shared" si="245"/>
        <v>813</v>
      </c>
      <c r="L1356">
        <v>1186.08</v>
      </c>
    </row>
    <row r="1357" spans="1:12" x14ac:dyDescent="0.25">
      <c r="A1357" t="str">
        <f t="shared" si="242"/>
        <v>89301000</v>
      </c>
      <c r="B1357" t="str">
        <f t="shared" si="243"/>
        <v>72077000</v>
      </c>
      <c r="C1357" t="str">
        <f t="shared" si="244"/>
        <v>72077001</v>
      </c>
      <c r="D1357">
        <v>89301152</v>
      </c>
      <c r="E1357" t="str">
        <f>"7157064398"</f>
        <v>7157064398</v>
      </c>
      <c r="F1357" s="1">
        <v>44981</v>
      </c>
      <c r="G1357" t="str">
        <f>"91197"</f>
        <v>91197</v>
      </c>
      <c r="H1357">
        <v>1</v>
      </c>
      <c r="I1357">
        <v>1048</v>
      </c>
      <c r="J1357">
        <v>0</v>
      </c>
      <c r="K1357" t="str">
        <f t="shared" si="245"/>
        <v>813</v>
      </c>
      <c r="L1357">
        <v>880.32</v>
      </c>
    </row>
    <row r="1358" spans="1:12" x14ac:dyDescent="0.25">
      <c r="A1358" t="str">
        <f t="shared" si="242"/>
        <v>89301000</v>
      </c>
      <c r="B1358" t="str">
        <f t="shared" si="243"/>
        <v>72077000</v>
      </c>
      <c r="C1358" t="str">
        <f t="shared" si="244"/>
        <v>72077001</v>
      </c>
      <c r="D1358">
        <v>89301152</v>
      </c>
      <c r="E1358" t="str">
        <f>"7157064398"</f>
        <v>7157064398</v>
      </c>
      <c r="F1358" s="1">
        <v>44985</v>
      </c>
      <c r="G1358" t="str">
        <f>"91465"</f>
        <v>91465</v>
      </c>
      <c r="H1358">
        <v>1</v>
      </c>
      <c r="I1358">
        <v>1412</v>
      </c>
      <c r="J1358">
        <v>0</v>
      </c>
      <c r="K1358" t="str">
        <f t="shared" si="245"/>
        <v>813</v>
      </c>
      <c r="L1358">
        <v>1186.08</v>
      </c>
    </row>
    <row r="1359" spans="1:12" x14ac:dyDescent="0.25">
      <c r="A1359" t="str">
        <f t="shared" si="242"/>
        <v>89301000</v>
      </c>
      <c r="B1359" t="str">
        <f>"89345401"</f>
        <v>89345401</v>
      </c>
      <c r="C1359" t="str">
        <f>"89345401"</f>
        <v>89345401</v>
      </c>
      <c r="D1359">
        <v>89301106</v>
      </c>
      <c r="E1359" t="str">
        <f>"0854046105"</f>
        <v>0854046105</v>
      </c>
      <c r="F1359" s="1">
        <v>44960</v>
      </c>
      <c r="G1359" t="str">
        <f>"89117"</f>
        <v>89117</v>
      </c>
      <c r="H1359">
        <v>1</v>
      </c>
      <c r="I1359">
        <v>172</v>
      </c>
      <c r="J1359">
        <v>0</v>
      </c>
      <c r="K1359" t="str">
        <f t="shared" ref="K1359:K1368" si="246">"809"</f>
        <v>809</v>
      </c>
      <c r="L1359">
        <v>252.84</v>
      </c>
    </row>
    <row r="1360" spans="1:12" x14ac:dyDescent="0.25">
      <c r="A1360" t="str">
        <f t="shared" si="242"/>
        <v>89301000</v>
      </c>
      <c r="B1360" t="str">
        <f t="shared" ref="B1360:C1365" si="247">"89632000"</f>
        <v>89632000</v>
      </c>
      <c r="C1360" t="str">
        <f t="shared" si="247"/>
        <v>89632000</v>
      </c>
      <c r="D1360">
        <v>89301062</v>
      </c>
      <c r="E1360" t="str">
        <f>"455113410"</f>
        <v>455113410</v>
      </c>
      <c r="F1360" s="1">
        <v>44966</v>
      </c>
      <c r="G1360" t="str">
        <f>"89119"</f>
        <v>89119</v>
      </c>
      <c r="H1360">
        <v>1</v>
      </c>
      <c r="I1360">
        <v>204</v>
      </c>
      <c r="J1360">
        <v>0</v>
      </c>
      <c r="K1360" t="str">
        <f t="shared" si="246"/>
        <v>809</v>
      </c>
      <c r="L1360">
        <v>299.88</v>
      </c>
    </row>
    <row r="1361" spans="1:12" x14ac:dyDescent="0.25">
      <c r="A1361" t="str">
        <f t="shared" si="242"/>
        <v>89301000</v>
      </c>
      <c r="B1361" t="str">
        <f t="shared" si="247"/>
        <v>89632000</v>
      </c>
      <c r="C1361" t="str">
        <f t="shared" si="247"/>
        <v>89632000</v>
      </c>
      <c r="D1361">
        <v>89301322</v>
      </c>
      <c r="E1361" t="str">
        <f>"6952255365"</f>
        <v>6952255365</v>
      </c>
      <c r="F1361" s="1">
        <v>44963</v>
      </c>
      <c r="G1361" t="str">
        <f>"89513"</f>
        <v>89513</v>
      </c>
      <c r="H1361">
        <v>1</v>
      </c>
      <c r="I1361">
        <v>378</v>
      </c>
      <c r="J1361">
        <v>0</v>
      </c>
      <c r="K1361" t="str">
        <f t="shared" si="246"/>
        <v>809</v>
      </c>
      <c r="L1361">
        <v>555.66</v>
      </c>
    </row>
    <row r="1362" spans="1:12" x14ac:dyDescent="0.25">
      <c r="A1362" t="str">
        <f t="shared" si="242"/>
        <v>89301000</v>
      </c>
      <c r="B1362" t="str">
        <f t="shared" si="247"/>
        <v>89632000</v>
      </c>
      <c r="C1362" t="str">
        <f t="shared" si="247"/>
        <v>89632000</v>
      </c>
      <c r="D1362">
        <v>89301322</v>
      </c>
      <c r="E1362" t="str">
        <f>"6952255365"</f>
        <v>6952255365</v>
      </c>
      <c r="F1362" s="1">
        <v>44963</v>
      </c>
      <c r="G1362" t="str">
        <f>"89514"</f>
        <v>89514</v>
      </c>
      <c r="H1362">
        <v>1</v>
      </c>
      <c r="I1362">
        <v>378</v>
      </c>
      <c r="J1362">
        <v>0</v>
      </c>
      <c r="K1362" t="str">
        <f t="shared" si="246"/>
        <v>809</v>
      </c>
      <c r="L1362">
        <v>555.66</v>
      </c>
    </row>
    <row r="1363" spans="1:12" x14ac:dyDescent="0.25">
      <c r="A1363" t="str">
        <f t="shared" si="242"/>
        <v>89301000</v>
      </c>
      <c r="B1363" t="str">
        <f t="shared" si="247"/>
        <v>89632000</v>
      </c>
      <c r="C1363" t="str">
        <f t="shared" si="247"/>
        <v>89632000</v>
      </c>
      <c r="D1363">
        <v>89301212</v>
      </c>
      <c r="E1363" t="str">
        <f>"7852105679"</f>
        <v>7852105679</v>
      </c>
      <c r="F1363" s="1">
        <v>44959</v>
      </c>
      <c r="G1363" t="str">
        <f>"89513"</f>
        <v>89513</v>
      </c>
      <c r="H1363">
        <v>1</v>
      </c>
      <c r="I1363">
        <v>378</v>
      </c>
      <c r="J1363">
        <v>0</v>
      </c>
      <c r="K1363" t="str">
        <f t="shared" si="246"/>
        <v>809</v>
      </c>
      <c r="L1363">
        <v>555.66</v>
      </c>
    </row>
    <row r="1364" spans="1:12" x14ac:dyDescent="0.25">
      <c r="A1364" t="str">
        <f t="shared" si="242"/>
        <v>89301000</v>
      </c>
      <c r="B1364" t="str">
        <f t="shared" si="247"/>
        <v>89632000</v>
      </c>
      <c r="C1364" t="str">
        <f t="shared" si="247"/>
        <v>89632000</v>
      </c>
      <c r="D1364">
        <v>89301212</v>
      </c>
      <c r="E1364" t="str">
        <f>"7852105679"</f>
        <v>7852105679</v>
      </c>
      <c r="F1364" s="1">
        <v>44959</v>
      </c>
      <c r="G1364" t="str">
        <f>"89514"</f>
        <v>89514</v>
      </c>
      <c r="H1364">
        <v>1</v>
      </c>
      <c r="I1364">
        <v>378</v>
      </c>
      <c r="J1364">
        <v>0</v>
      </c>
      <c r="K1364" t="str">
        <f t="shared" si="246"/>
        <v>809</v>
      </c>
      <c r="L1364">
        <v>555.66</v>
      </c>
    </row>
    <row r="1365" spans="1:12" x14ac:dyDescent="0.25">
      <c r="A1365" t="str">
        <f t="shared" si="242"/>
        <v>89301000</v>
      </c>
      <c r="B1365" t="str">
        <f t="shared" si="247"/>
        <v>89632000</v>
      </c>
      <c r="C1365" t="str">
        <f t="shared" si="247"/>
        <v>89632000</v>
      </c>
      <c r="D1365">
        <v>89301212</v>
      </c>
      <c r="E1365" t="str">
        <f>"7852105679"</f>
        <v>7852105679</v>
      </c>
      <c r="F1365" s="1">
        <v>44959</v>
      </c>
      <c r="G1365" t="str">
        <f>"89131"</f>
        <v>89131</v>
      </c>
      <c r="H1365">
        <v>1</v>
      </c>
      <c r="I1365">
        <v>190</v>
      </c>
      <c r="J1365">
        <v>0</v>
      </c>
      <c r="K1365" t="str">
        <f t="shared" si="246"/>
        <v>809</v>
      </c>
      <c r="L1365">
        <v>279.3</v>
      </c>
    </row>
    <row r="1366" spans="1:12" x14ac:dyDescent="0.25">
      <c r="A1366" t="str">
        <f t="shared" si="242"/>
        <v>89301000</v>
      </c>
      <c r="B1366" t="str">
        <f>"93507000"</f>
        <v>93507000</v>
      </c>
      <c r="C1366" t="str">
        <f>"93507001"</f>
        <v>93507001</v>
      </c>
      <c r="D1366">
        <v>89301212</v>
      </c>
      <c r="E1366" t="str">
        <f>"485720450"</f>
        <v>485720450</v>
      </c>
      <c r="F1366" s="1">
        <v>44979</v>
      </c>
      <c r="G1366" t="str">
        <f>"89131"</f>
        <v>89131</v>
      </c>
      <c r="H1366">
        <v>1</v>
      </c>
      <c r="I1366">
        <v>190</v>
      </c>
      <c r="J1366">
        <v>0</v>
      </c>
      <c r="K1366" t="str">
        <f t="shared" si="246"/>
        <v>809</v>
      </c>
      <c r="L1366">
        <v>279.3</v>
      </c>
    </row>
    <row r="1367" spans="1:12" x14ac:dyDescent="0.25">
      <c r="A1367" t="str">
        <f t="shared" si="242"/>
        <v>89301000</v>
      </c>
      <c r="B1367" t="str">
        <f>"93507000"</f>
        <v>93507000</v>
      </c>
      <c r="C1367" t="str">
        <f>"93507001"</f>
        <v>93507001</v>
      </c>
      <c r="D1367">
        <v>89301212</v>
      </c>
      <c r="E1367" t="str">
        <f>"485720450"</f>
        <v>485720450</v>
      </c>
      <c r="F1367" s="1">
        <v>44979</v>
      </c>
      <c r="G1367" t="str">
        <f>"89514"</f>
        <v>89514</v>
      </c>
      <c r="H1367">
        <v>1</v>
      </c>
      <c r="I1367">
        <v>378</v>
      </c>
      <c r="J1367">
        <v>0</v>
      </c>
      <c r="K1367" t="str">
        <f t="shared" si="246"/>
        <v>809</v>
      </c>
      <c r="L1367">
        <v>555.66</v>
      </c>
    </row>
    <row r="1368" spans="1:12" x14ac:dyDescent="0.25">
      <c r="A1368" t="str">
        <f t="shared" si="242"/>
        <v>89301000</v>
      </c>
      <c r="B1368" t="str">
        <f>"93507000"</f>
        <v>93507000</v>
      </c>
      <c r="C1368" t="str">
        <f>"93507001"</f>
        <v>93507001</v>
      </c>
      <c r="D1368">
        <v>89301212</v>
      </c>
      <c r="E1368" t="str">
        <f>"485720450"</f>
        <v>485720450</v>
      </c>
      <c r="F1368" s="1">
        <v>44979</v>
      </c>
      <c r="G1368" t="str">
        <f>"89513"</f>
        <v>89513</v>
      </c>
      <c r="H1368">
        <v>1</v>
      </c>
      <c r="I1368">
        <v>378</v>
      </c>
      <c r="J1368">
        <v>0</v>
      </c>
      <c r="K1368" t="str">
        <f t="shared" si="246"/>
        <v>809</v>
      </c>
      <c r="L1368">
        <v>555.66</v>
      </c>
    </row>
    <row r="1369" spans="1:12" x14ac:dyDescent="0.25">
      <c r="A1369" t="str">
        <f t="shared" si="242"/>
        <v>89301000</v>
      </c>
      <c r="B1369" t="str">
        <f t="shared" ref="B1369:B1407" si="248">"93501000"</f>
        <v>93501000</v>
      </c>
      <c r="C1369" t="str">
        <f t="shared" ref="C1369:C1405" si="249">"93501001"</f>
        <v>93501001</v>
      </c>
      <c r="D1369">
        <v>89301167</v>
      </c>
      <c r="E1369" t="str">
        <f t="shared" ref="E1369:E1407" si="250">"470127462"</f>
        <v>470127462</v>
      </c>
      <c r="F1369" s="1">
        <v>44960</v>
      </c>
      <c r="G1369" t="str">
        <f>"09119"</f>
        <v>09119</v>
      </c>
      <c r="H1369">
        <v>1</v>
      </c>
      <c r="I1369">
        <v>43</v>
      </c>
      <c r="J1369">
        <v>0</v>
      </c>
      <c r="K1369" t="str">
        <f t="shared" ref="K1369:K1405" si="251">"801"</f>
        <v>801</v>
      </c>
      <c r="L1369">
        <v>54.18</v>
      </c>
    </row>
    <row r="1370" spans="1:12" x14ac:dyDescent="0.25">
      <c r="A1370" t="str">
        <f t="shared" si="242"/>
        <v>89301000</v>
      </c>
      <c r="B1370" t="str">
        <f t="shared" si="248"/>
        <v>93501000</v>
      </c>
      <c r="C1370" t="str">
        <f t="shared" si="249"/>
        <v>93501001</v>
      </c>
      <c r="D1370">
        <v>89301167</v>
      </c>
      <c r="E1370" t="str">
        <f t="shared" si="250"/>
        <v>470127462</v>
      </c>
      <c r="F1370" s="1">
        <v>44960</v>
      </c>
      <c r="G1370" t="str">
        <f>"81329"</f>
        <v>81329</v>
      </c>
      <c r="H1370">
        <v>1</v>
      </c>
      <c r="I1370">
        <v>17</v>
      </c>
      <c r="J1370">
        <v>0</v>
      </c>
      <c r="K1370" t="str">
        <f t="shared" si="251"/>
        <v>801</v>
      </c>
      <c r="L1370">
        <v>14.28</v>
      </c>
    </row>
    <row r="1371" spans="1:12" x14ac:dyDescent="0.25">
      <c r="A1371" t="str">
        <f t="shared" si="242"/>
        <v>89301000</v>
      </c>
      <c r="B1371" t="str">
        <f t="shared" si="248"/>
        <v>93501000</v>
      </c>
      <c r="C1371" t="str">
        <f t="shared" si="249"/>
        <v>93501001</v>
      </c>
      <c r="D1371">
        <v>89301167</v>
      </c>
      <c r="E1371" t="str">
        <f t="shared" si="250"/>
        <v>470127462</v>
      </c>
      <c r="F1371" s="1">
        <v>44960</v>
      </c>
      <c r="G1371" t="str">
        <f>"81337"</f>
        <v>81337</v>
      </c>
      <c r="H1371">
        <v>1</v>
      </c>
      <c r="I1371">
        <v>20</v>
      </c>
      <c r="J1371">
        <v>0</v>
      </c>
      <c r="K1371" t="str">
        <f t="shared" si="251"/>
        <v>801</v>
      </c>
      <c r="L1371">
        <v>16.8</v>
      </c>
    </row>
    <row r="1372" spans="1:12" x14ac:dyDescent="0.25">
      <c r="A1372" t="str">
        <f t="shared" si="242"/>
        <v>89301000</v>
      </c>
      <c r="B1372" t="str">
        <f t="shared" si="248"/>
        <v>93501000</v>
      </c>
      <c r="C1372" t="str">
        <f t="shared" si="249"/>
        <v>93501001</v>
      </c>
      <c r="D1372">
        <v>89301167</v>
      </c>
      <c r="E1372" t="str">
        <f t="shared" si="250"/>
        <v>470127462</v>
      </c>
      <c r="F1372" s="1">
        <v>44960</v>
      </c>
      <c r="G1372" t="str">
        <f>"81357"</f>
        <v>81357</v>
      </c>
      <c r="H1372">
        <v>1</v>
      </c>
      <c r="I1372">
        <v>20</v>
      </c>
      <c r="J1372">
        <v>0</v>
      </c>
      <c r="K1372" t="str">
        <f t="shared" si="251"/>
        <v>801</v>
      </c>
      <c r="L1372">
        <v>16.8</v>
      </c>
    </row>
    <row r="1373" spans="1:12" x14ac:dyDescent="0.25">
      <c r="A1373" t="str">
        <f t="shared" si="242"/>
        <v>89301000</v>
      </c>
      <c r="B1373" t="str">
        <f t="shared" si="248"/>
        <v>93501000</v>
      </c>
      <c r="C1373" t="str">
        <f t="shared" si="249"/>
        <v>93501001</v>
      </c>
      <c r="D1373">
        <v>89301167</v>
      </c>
      <c r="E1373" t="str">
        <f t="shared" si="250"/>
        <v>470127462</v>
      </c>
      <c r="F1373" s="1">
        <v>44960</v>
      </c>
      <c r="G1373" t="str">
        <f>"81361"</f>
        <v>81361</v>
      </c>
      <c r="H1373">
        <v>1</v>
      </c>
      <c r="I1373">
        <v>17</v>
      </c>
      <c r="J1373">
        <v>0</v>
      </c>
      <c r="K1373" t="str">
        <f t="shared" si="251"/>
        <v>801</v>
      </c>
      <c r="L1373">
        <v>14.28</v>
      </c>
    </row>
    <row r="1374" spans="1:12" x14ac:dyDescent="0.25">
      <c r="A1374" t="str">
        <f t="shared" si="242"/>
        <v>89301000</v>
      </c>
      <c r="B1374" t="str">
        <f t="shared" si="248"/>
        <v>93501000</v>
      </c>
      <c r="C1374" t="str">
        <f t="shared" si="249"/>
        <v>93501001</v>
      </c>
      <c r="D1374">
        <v>89301167</v>
      </c>
      <c r="E1374" t="str">
        <f t="shared" si="250"/>
        <v>470127462</v>
      </c>
      <c r="F1374" s="1">
        <v>44960</v>
      </c>
      <c r="G1374" t="str">
        <f>"81365"</f>
        <v>81365</v>
      </c>
      <c r="H1374">
        <v>1</v>
      </c>
      <c r="I1374">
        <v>16</v>
      </c>
      <c r="J1374">
        <v>0</v>
      </c>
      <c r="K1374" t="str">
        <f t="shared" si="251"/>
        <v>801</v>
      </c>
      <c r="L1374">
        <v>13.44</v>
      </c>
    </row>
    <row r="1375" spans="1:12" x14ac:dyDescent="0.25">
      <c r="A1375" t="str">
        <f t="shared" si="242"/>
        <v>89301000</v>
      </c>
      <c r="B1375" t="str">
        <f t="shared" si="248"/>
        <v>93501000</v>
      </c>
      <c r="C1375" t="str">
        <f t="shared" si="249"/>
        <v>93501001</v>
      </c>
      <c r="D1375">
        <v>89301167</v>
      </c>
      <c r="E1375" t="str">
        <f t="shared" si="250"/>
        <v>470127462</v>
      </c>
      <c r="F1375" s="1">
        <v>44960</v>
      </c>
      <c r="G1375" t="str">
        <f>"81383"</f>
        <v>81383</v>
      </c>
      <c r="H1375">
        <v>1</v>
      </c>
      <c r="I1375">
        <v>24</v>
      </c>
      <c r="J1375">
        <v>0</v>
      </c>
      <c r="K1375" t="str">
        <f t="shared" si="251"/>
        <v>801</v>
      </c>
      <c r="L1375">
        <v>20.16</v>
      </c>
    </row>
    <row r="1376" spans="1:12" x14ac:dyDescent="0.25">
      <c r="A1376" t="str">
        <f t="shared" si="242"/>
        <v>89301000</v>
      </c>
      <c r="B1376" t="str">
        <f t="shared" si="248"/>
        <v>93501000</v>
      </c>
      <c r="C1376" t="str">
        <f t="shared" si="249"/>
        <v>93501001</v>
      </c>
      <c r="D1376">
        <v>89301167</v>
      </c>
      <c r="E1376" t="str">
        <f t="shared" si="250"/>
        <v>470127462</v>
      </c>
      <c r="F1376" s="1">
        <v>44960</v>
      </c>
      <c r="G1376" t="str">
        <f>"81393"</f>
        <v>81393</v>
      </c>
      <c r="H1376">
        <v>1</v>
      </c>
      <c r="I1376">
        <v>24</v>
      </c>
      <c r="J1376">
        <v>0</v>
      </c>
      <c r="K1376" t="str">
        <f t="shared" si="251"/>
        <v>801</v>
      </c>
      <c r="L1376">
        <v>20.16</v>
      </c>
    </row>
    <row r="1377" spans="1:12" x14ac:dyDescent="0.25">
      <c r="A1377" t="str">
        <f t="shared" si="242"/>
        <v>89301000</v>
      </c>
      <c r="B1377" t="str">
        <f t="shared" si="248"/>
        <v>93501000</v>
      </c>
      <c r="C1377" t="str">
        <f t="shared" si="249"/>
        <v>93501001</v>
      </c>
      <c r="D1377">
        <v>89301167</v>
      </c>
      <c r="E1377" t="str">
        <f t="shared" si="250"/>
        <v>470127462</v>
      </c>
      <c r="F1377" s="1">
        <v>44960</v>
      </c>
      <c r="G1377" t="str">
        <f>"81421"</f>
        <v>81421</v>
      </c>
      <c r="H1377">
        <v>1</v>
      </c>
      <c r="I1377">
        <v>19</v>
      </c>
      <c r="J1377">
        <v>0</v>
      </c>
      <c r="K1377" t="str">
        <f t="shared" si="251"/>
        <v>801</v>
      </c>
      <c r="L1377">
        <v>15.96</v>
      </c>
    </row>
    <row r="1378" spans="1:12" x14ac:dyDescent="0.25">
      <c r="A1378" t="str">
        <f t="shared" si="242"/>
        <v>89301000</v>
      </c>
      <c r="B1378" t="str">
        <f t="shared" si="248"/>
        <v>93501000</v>
      </c>
      <c r="C1378" t="str">
        <f t="shared" si="249"/>
        <v>93501001</v>
      </c>
      <c r="D1378">
        <v>89301167</v>
      </c>
      <c r="E1378" t="str">
        <f t="shared" si="250"/>
        <v>470127462</v>
      </c>
      <c r="F1378" s="1">
        <v>44960</v>
      </c>
      <c r="G1378" t="str">
        <f>"81435"</f>
        <v>81435</v>
      </c>
      <c r="H1378">
        <v>1</v>
      </c>
      <c r="I1378">
        <v>22</v>
      </c>
      <c r="J1378">
        <v>0</v>
      </c>
      <c r="K1378" t="str">
        <f t="shared" si="251"/>
        <v>801</v>
      </c>
      <c r="L1378">
        <v>18.48</v>
      </c>
    </row>
    <row r="1379" spans="1:12" x14ac:dyDescent="0.25">
      <c r="A1379" t="str">
        <f t="shared" si="242"/>
        <v>89301000</v>
      </c>
      <c r="B1379" t="str">
        <f t="shared" si="248"/>
        <v>93501000</v>
      </c>
      <c r="C1379" t="str">
        <f t="shared" si="249"/>
        <v>93501001</v>
      </c>
      <c r="D1379">
        <v>89301167</v>
      </c>
      <c r="E1379" t="str">
        <f t="shared" si="250"/>
        <v>470127462</v>
      </c>
      <c r="F1379" s="1">
        <v>44960</v>
      </c>
      <c r="G1379" t="str">
        <f>"81439"</f>
        <v>81439</v>
      </c>
      <c r="H1379">
        <v>1</v>
      </c>
      <c r="I1379">
        <v>16</v>
      </c>
      <c r="J1379">
        <v>0</v>
      </c>
      <c r="K1379" t="str">
        <f t="shared" si="251"/>
        <v>801</v>
      </c>
      <c r="L1379">
        <v>13.44</v>
      </c>
    </row>
    <row r="1380" spans="1:12" x14ac:dyDescent="0.25">
      <c r="A1380" t="str">
        <f t="shared" si="242"/>
        <v>89301000</v>
      </c>
      <c r="B1380" t="str">
        <f t="shared" si="248"/>
        <v>93501000</v>
      </c>
      <c r="C1380" t="str">
        <f t="shared" si="249"/>
        <v>93501001</v>
      </c>
      <c r="D1380">
        <v>89301167</v>
      </c>
      <c r="E1380" t="str">
        <f t="shared" si="250"/>
        <v>470127462</v>
      </c>
      <c r="F1380" s="1">
        <v>44960</v>
      </c>
      <c r="G1380" t="str">
        <f>"81469"</f>
        <v>81469</v>
      </c>
      <c r="H1380">
        <v>1</v>
      </c>
      <c r="I1380">
        <v>16</v>
      </c>
      <c r="J1380">
        <v>0</v>
      </c>
      <c r="K1380" t="str">
        <f t="shared" si="251"/>
        <v>801</v>
      </c>
      <c r="L1380">
        <v>13.44</v>
      </c>
    </row>
    <row r="1381" spans="1:12" x14ac:dyDescent="0.25">
      <c r="A1381" t="str">
        <f t="shared" si="242"/>
        <v>89301000</v>
      </c>
      <c r="B1381" t="str">
        <f t="shared" si="248"/>
        <v>93501000</v>
      </c>
      <c r="C1381" t="str">
        <f t="shared" si="249"/>
        <v>93501001</v>
      </c>
      <c r="D1381">
        <v>89301167</v>
      </c>
      <c r="E1381" t="str">
        <f t="shared" si="250"/>
        <v>470127462</v>
      </c>
      <c r="F1381" s="1">
        <v>44960</v>
      </c>
      <c r="G1381" t="str">
        <f>"81499"</f>
        <v>81499</v>
      </c>
      <c r="H1381">
        <v>1</v>
      </c>
      <c r="I1381">
        <v>18</v>
      </c>
      <c r="J1381">
        <v>0</v>
      </c>
      <c r="K1381" t="str">
        <f t="shared" si="251"/>
        <v>801</v>
      </c>
      <c r="L1381">
        <v>15.12</v>
      </c>
    </row>
    <row r="1382" spans="1:12" x14ac:dyDescent="0.25">
      <c r="A1382" t="str">
        <f t="shared" si="242"/>
        <v>89301000</v>
      </c>
      <c r="B1382" t="str">
        <f t="shared" si="248"/>
        <v>93501000</v>
      </c>
      <c r="C1382" t="str">
        <f t="shared" si="249"/>
        <v>93501001</v>
      </c>
      <c r="D1382">
        <v>89301167</v>
      </c>
      <c r="E1382" t="str">
        <f t="shared" si="250"/>
        <v>470127462</v>
      </c>
      <c r="F1382" s="1">
        <v>44960</v>
      </c>
      <c r="G1382" t="str">
        <f>"81593"</f>
        <v>81593</v>
      </c>
      <c r="H1382">
        <v>1</v>
      </c>
      <c r="I1382">
        <v>22</v>
      </c>
      <c r="J1382">
        <v>0</v>
      </c>
      <c r="K1382" t="str">
        <f t="shared" si="251"/>
        <v>801</v>
      </c>
      <c r="L1382">
        <v>18.48</v>
      </c>
    </row>
    <row r="1383" spans="1:12" x14ac:dyDescent="0.25">
      <c r="A1383" t="str">
        <f t="shared" si="242"/>
        <v>89301000</v>
      </c>
      <c r="B1383" t="str">
        <f t="shared" si="248"/>
        <v>93501000</v>
      </c>
      <c r="C1383" t="str">
        <f t="shared" si="249"/>
        <v>93501001</v>
      </c>
      <c r="D1383">
        <v>89301167</v>
      </c>
      <c r="E1383" t="str">
        <f t="shared" si="250"/>
        <v>470127462</v>
      </c>
      <c r="F1383" s="1">
        <v>44960</v>
      </c>
      <c r="G1383" t="str">
        <f>"81621"</f>
        <v>81621</v>
      </c>
      <c r="H1383">
        <v>1</v>
      </c>
      <c r="I1383">
        <v>19</v>
      </c>
      <c r="J1383">
        <v>0</v>
      </c>
      <c r="K1383" t="str">
        <f t="shared" si="251"/>
        <v>801</v>
      </c>
      <c r="L1383">
        <v>15.96</v>
      </c>
    </row>
    <row r="1384" spans="1:12" x14ac:dyDescent="0.25">
      <c r="A1384" t="str">
        <f t="shared" si="242"/>
        <v>89301000</v>
      </c>
      <c r="B1384" t="str">
        <f t="shared" si="248"/>
        <v>93501000</v>
      </c>
      <c r="C1384" t="str">
        <f t="shared" si="249"/>
        <v>93501001</v>
      </c>
      <c r="D1384">
        <v>89301167</v>
      </c>
      <c r="E1384" t="str">
        <f t="shared" si="250"/>
        <v>470127462</v>
      </c>
      <c r="F1384" s="1">
        <v>44960</v>
      </c>
      <c r="G1384" t="str">
        <f>"81625"</f>
        <v>81625</v>
      </c>
      <c r="H1384">
        <v>1</v>
      </c>
      <c r="I1384">
        <v>21</v>
      </c>
      <c r="J1384">
        <v>0</v>
      </c>
      <c r="K1384" t="str">
        <f t="shared" si="251"/>
        <v>801</v>
      </c>
      <c r="L1384">
        <v>17.64</v>
      </c>
    </row>
    <row r="1385" spans="1:12" x14ac:dyDescent="0.25">
      <c r="A1385" t="str">
        <f t="shared" si="242"/>
        <v>89301000</v>
      </c>
      <c r="B1385" t="str">
        <f t="shared" si="248"/>
        <v>93501000</v>
      </c>
      <c r="C1385" t="str">
        <f t="shared" si="249"/>
        <v>93501001</v>
      </c>
      <c r="D1385">
        <v>89301167</v>
      </c>
      <c r="E1385" t="str">
        <f t="shared" si="250"/>
        <v>470127462</v>
      </c>
      <c r="F1385" s="1">
        <v>44960</v>
      </c>
      <c r="G1385" t="str">
        <f>"91153"</f>
        <v>91153</v>
      </c>
      <c r="H1385">
        <v>1</v>
      </c>
      <c r="I1385">
        <v>153</v>
      </c>
      <c r="J1385">
        <v>0</v>
      </c>
      <c r="K1385" t="str">
        <f t="shared" si="251"/>
        <v>801</v>
      </c>
      <c r="L1385">
        <v>128.52000000000001</v>
      </c>
    </row>
    <row r="1386" spans="1:12" x14ac:dyDescent="0.25">
      <c r="A1386" t="str">
        <f t="shared" si="242"/>
        <v>89301000</v>
      </c>
      <c r="B1386" t="str">
        <f t="shared" si="248"/>
        <v>93501000</v>
      </c>
      <c r="C1386" t="str">
        <f t="shared" si="249"/>
        <v>93501001</v>
      </c>
      <c r="D1386">
        <v>89301167</v>
      </c>
      <c r="E1386" t="str">
        <f t="shared" si="250"/>
        <v>470127462</v>
      </c>
      <c r="F1386" s="1">
        <v>44960</v>
      </c>
      <c r="G1386" t="str">
        <f>"97111"</f>
        <v>97111</v>
      </c>
      <c r="H1386">
        <v>1</v>
      </c>
      <c r="I1386">
        <v>19</v>
      </c>
      <c r="J1386">
        <v>0</v>
      </c>
      <c r="K1386" t="str">
        <f t="shared" si="251"/>
        <v>801</v>
      </c>
      <c r="L1386">
        <v>23.94</v>
      </c>
    </row>
    <row r="1387" spans="1:12" x14ac:dyDescent="0.25">
      <c r="A1387" t="str">
        <f t="shared" si="242"/>
        <v>89301000</v>
      </c>
      <c r="B1387" t="str">
        <f t="shared" si="248"/>
        <v>93501000</v>
      </c>
      <c r="C1387" t="str">
        <f t="shared" si="249"/>
        <v>93501001</v>
      </c>
      <c r="D1387">
        <v>89301167</v>
      </c>
      <c r="E1387" t="str">
        <f t="shared" si="250"/>
        <v>470127462</v>
      </c>
      <c r="F1387" s="1">
        <v>44981</v>
      </c>
      <c r="G1387" t="str">
        <f>"09119"</f>
        <v>09119</v>
      </c>
      <c r="H1387">
        <v>1</v>
      </c>
      <c r="I1387">
        <v>43</v>
      </c>
      <c r="J1387">
        <v>0</v>
      </c>
      <c r="K1387" t="str">
        <f t="shared" si="251"/>
        <v>801</v>
      </c>
      <c r="L1387">
        <v>54.18</v>
      </c>
    </row>
    <row r="1388" spans="1:12" x14ac:dyDescent="0.25">
      <c r="A1388" t="str">
        <f t="shared" si="242"/>
        <v>89301000</v>
      </c>
      <c r="B1388" t="str">
        <f t="shared" si="248"/>
        <v>93501000</v>
      </c>
      <c r="C1388" t="str">
        <f t="shared" si="249"/>
        <v>93501001</v>
      </c>
      <c r="D1388">
        <v>89301167</v>
      </c>
      <c r="E1388" t="str">
        <f t="shared" si="250"/>
        <v>470127462</v>
      </c>
      <c r="F1388" s="1">
        <v>44981</v>
      </c>
      <c r="G1388" t="str">
        <f>"81329"</f>
        <v>81329</v>
      </c>
      <c r="H1388">
        <v>1</v>
      </c>
      <c r="I1388">
        <v>17</v>
      </c>
      <c r="J1388">
        <v>0</v>
      </c>
      <c r="K1388" t="str">
        <f t="shared" si="251"/>
        <v>801</v>
      </c>
      <c r="L1388">
        <v>14.28</v>
      </c>
    </row>
    <row r="1389" spans="1:12" x14ac:dyDescent="0.25">
      <c r="A1389" t="str">
        <f t="shared" si="242"/>
        <v>89301000</v>
      </c>
      <c r="B1389" t="str">
        <f t="shared" si="248"/>
        <v>93501000</v>
      </c>
      <c r="C1389" t="str">
        <f t="shared" si="249"/>
        <v>93501001</v>
      </c>
      <c r="D1389">
        <v>89301167</v>
      </c>
      <c r="E1389" t="str">
        <f t="shared" si="250"/>
        <v>470127462</v>
      </c>
      <c r="F1389" s="1">
        <v>44981</v>
      </c>
      <c r="G1389" t="str">
        <f>"81337"</f>
        <v>81337</v>
      </c>
      <c r="H1389">
        <v>1</v>
      </c>
      <c r="I1389">
        <v>20</v>
      </c>
      <c r="J1389">
        <v>0</v>
      </c>
      <c r="K1389" t="str">
        <f t="shared" si="251"/>
        <v>801</v>
      </c>
      <c r="L1389">
        <v>16.8</v>
      </c>
    </row>
    <row r="1390" spans="1:12" x14ac:dyDescent="0.25">
      <c r="A1390" t="str">
        <f t="shared" si="242"/>
        <v>89301000</v>
      </c>
      <c r="B1390" t="str">
        <f t="shared" si="248"/>
        <v>93501000</v>
      </c>
      <c r="C1390" t="str">
        <f t="shared" si="249"/>
        <v>93501001</v>
      </c>
      <c r="D1390">
        <v>89301167</v>
      </c>
      <c r="E1390" t="str">
        <f t="shared" si="250"/>
        <v>470127462</v>
      </c>
      <c r="F1390" s="1">
        <v>44981</v>
      </c>
      <c r="G1390" t="str">
        <f>"81357"</f>
        <v>81357</v>
      </c>
      <c r="H1390">
        <v>1</v>
      </c>
      <c r="I1390">
        <v>20</v>
      </c>
      <c r="J1390">
        <v>0</v>
      </c>
      <c r="K1390" t="str">
        <f t="shared" si="251"/>
        <v>801</v>
      </c>
      <c r="L1390">
        <v>16.8</v>
      </c>
    </row>
    <row r="1391" spans="1:12" x14ac:dyDescent="0.25">
      <c r="A1391" t="str">
        <f t="shared" si="242"/>
        <v>89301000</v>
      </c>
      <c r="B1391" t="str">
        <f t="shared" si="248"/>
        <v>93501000</v>
      </c>
      <c r="C1391" t="str">
        <f t="shared" si="249"/>
        <v>93501001</v>
      </c>
      <c r="D1391">
        <v>89301167</v>
      </c>
      <c r="E1391" t="str">
        <f t="shared" si="250"/>
        <v>470127462</v>
      </c>
      <c r="F1391" s="1">
        <v>44981</v>
      </c>
      <c r="G1391" t="str">
        <f>"81361"</f>
        <v>81361</v>
      </c>
      <c r="H1391">
        <v>1</v>
      </c>
      <c r="I1391">
        <v>17</v>
      </c>
      <c r="J1391">
        <v>0</v>
      </c>
      <c r="K1391" t="str">
        <f t="shared" si="251"/>
        <v>801</v>
      </c>
      <c r="L1391">
        <v>14.28</v>
      </c>
    </row>
    <row r="1392" spans="1:12" x14ac:dyDescent="0.25">
      <c r="A1392" t="str">
        <f t="shared" si="242"/>
        <v>89301000</v>
      </c>
      <c r="B1392" t="str">
        <f t="shared" si="248"/>
        <v>93501000</v>
      </c>
      <c r="C1392" t="str">
        <f t="shared" si="249"/>
        <v>93501001</v>
      </c>
      <c r="D1392">
        <v>89301167</v>
      </c>
      <c r="E1392" t="str">
        <f t="shared" si="250"/>
        <v>470127462</v>
      </c>
      <c r="F1392" s="1">
        <v>44981</v>
      </c>
      <c r="G1392" t="str">
        <f>"81365"</f>
        <v>81365</v>
      </c>
      <c r="H1392">
        <v>1</v>
      </c>
      <c r="I1392">
        <v>16</v>
      </c>
      <c r="J1392">
        <v>0</v>
      </c>
      <c r="K1392" t="str">
        <f t="shared" si="251"/>
        <v>801</v>
      </c>
      <c r="L1392">
        <v>13.44</v>
      </c>
    </row>
    <row r="1393" spans="1:12" x14ac:dyDescent="0.25">
      <c r="A1393" t="str">
        <f t="shared" si="242"/>
        <v>89301000</v>
      </c>
      <c r="B1393" t="str">
        <f t="shared" si="248"/>
        <v>93501000</v>
      </c>
      <c r="C1393" t="str">
        <f t="shared" si="249"/>
        <v>93501001</v>
      </c>
      <c r="D1393">
        <v>89301167</v>
      </c>
      <c r="E1393" t="str">
        <f t="shared" si="250"/>
        <v>470127462</v>
      </c>
      <c r="F1393" s="1">
        <v>44981</v>
      </c>
      <c r="G1393" t="str">
        <f>"81383"</f>
        <v>81383</v>
      </c>
      <c r="H1393">
        <v>1</v>
      </c>
      <c r="I1393">
        <v>24</v>
      </c>
      <c r="J1393">
        <v>0</v>
      </c>
      <c r="K1393" t="str">
        <f t="shared" si="251"/>
        <v>801</v>
      </c>
      <c r="L1393">
        <v>20.16</v>
      </c>
    </row>
    <row r="1394" spans="1:12" x14ac:dyDescent="0.25">
      <c r="A1394" t="str">
        <f t="shared" si="242"/>
        <v>89301000</v>
      </c>
      <c r="B1394" t="str">
        <f t="shared" si="248"/>
        <v>93501000</v>
      </c>
      <c r="C1394" t="str">
        <f t="shared" si="249"/>
        <v>93501001</v>
      </c>
      <c r="D1394">
        <v>89301167</v>
      </c>
      <c r="E1394" t="str">
        <f t="shared" si="250"/>
        <v>470127462</v>
      </c>
      <c r="F1394" s="1">
        <v>44981</v>
      </c>
      <c r="G1394" t="str">
        <f>"81393"</f>
        <v>81393</v>
      </c>
      <c r="H1394">
        <v>1</v>
      </c>
      <c r="I1394">
        <v>24</v>
      </c>
      <c r="J1394">
        <v>0</v>
      </c>
      <c r="K1394" t="str">
        <f t="shared" si="251"/>
        <v>801</v>
      </c>
      <c r="L1394">
        <v>20.16</v>
      </c>
    </row>
    <row r="1395" spans="1:12" x14ac:dyDescent="0.25">
      <c r="A1395" t="str">
        <f t="shared" si="242"/>
        <v>89301000</v>
      </c>
      <c r="B1395" t="str">
        <f t="shared" si="248"/>
        <v>93501000</v>
      </c>
      <c r="C1395" t="str">
        <f t="shared" si="249"/>
        <v>93501001</v>
      </c>
      <c r="D1395">
        <v>89301167</v>
      </c>
      <c r="E1395" t="str">
        <f t="shared" si="250"/>
        <v>470127462</v>
      </c>
      <c r="F1395" s="1">
        <v>44981</v>
      </c>
      <c r="G1395" t="str">
        <f>"81421"</f>
        <v>81421</v>
      </c>
      <c r="H1395">
        <v>1</v>
      </c>
      <c r="I1395">
        <v>19</v>
      </c>
      <c r="J1395">
        <v>0</v>
      </c>
      <c r="K1395" t="str">
        <f t="shared" si="251"/>
        <v>801</v>
      </c>
      <c r="L1395">
        <v>15.96</v>
      </c>
    </row>
    <row r="1396" spans="1:12" x14ac:dyDescent="0.25">
      <c r="A1396" t="str">
        <f t="shared" si="242"/>
        <v>89301000</v>
      </c>
      <c r="B1396" t="str">
        <f t="shared" si="248"/>
        <v>93501000</v>
      </c>
      <c r="C1396" t="str">
        <f t="shared" si="249"/>
        <v>93501001</v>
      </c>
      <c r="D1396">
        <v>89301167</v>
      </c>
      <c r="E1396" t="str">
        <f t="shared" si="250"/>
        <v>470127462</v>
      </c>
      <c r="F1396" s="1">
        <v>44981</v>
      </c>
      <c r="G1396" t="str">
        <f>"81435"</f>
        <v>81435</v>
      </c>
      <c r="H1396">
        <v>1</v>
      </c>
      <c r="I1396">
        <v>22</v>
      </c>
      <c r="J1396">
        <v>0</v>
      </c>
      <c r="K1396" t="str">
        <f t="shared" si="251"/>
        <v>801</v>
      </c>
      <c r="L1396">
        <v>18.48</v>
      </c>
    </row>
    <row r="1397" spans="1:12" x14ac:dyDescent="0.25">
      <c r="A1397" t="str">
        <f t="shared" si="242"/>
        <v>89301000</v>
      </c>
      <c r="B1397" t="str">
        <f t="shared" si="248"/>
        <v>93501000</v>
      </c>
      <c r="C1397" t="str">
        <f t="shared" si="249"/>
        <v>93501001</v>
      </c>
      <c r="D1397">
        <v>89301167</v>
      </c>
      <c r="E1397" t="str">
        <f t="shared" si="250"/>
        <v>470127462</v>
      </c>
      <c r="F1397" s="1">
        <v>44981</v>
      </c>
      <c r="G1397" t="str">
        <f>"81439"</f>
        <v>81439</v>
      </c>
      <c r="H1397">
        <v>1</v>
      </c>
      <c r="I1397">
        <v>16</v>
      </c>
      <c r="J1397">
        <v>0</v>
      </c>
      <c r="K1397" t="str">
        <f t="shared" si="251"/>
        <v>801</v>
      </c>
      <c r="L1397">
        <v>13.44</v>
      </c>
    </row>
    <row r="1398" spans="1:12" x14ac:dyDescent="0.25">
      <c r="A1398" t="str">
        <f t="shared" si="242"/>
        <v>89301000</v>
      </c>
      <c r="B1398" t="str">
        <f t="shared" si="248"/>
        <v>93501000</v>
      </c>
      <c r="C1398" t="str">
        <f t="shared" si="249"/>
        <v>93501001</v>
      </c>
      <c r="D1398">
        <v>89301167</v>
      </c>
      <c r="E1398" t="str">
        <f t="shared" si="250"/>
        <v>470127462</v>
      </c>
      <c r="F1398" s="1">
        <v>44981</v>
      </c>
      <c r="G1398" t="str">
        <f>"81469"</f>
        <v>81469</v>
      </c>
      <c r="H1398">
        <v>1</v>
      </c>
      <c r="I1398">
        <v>16</v>
      </c>
      <c r="J1398">
        <v>0</v>
      </c>
      <c r="K1398" t="str">
        <f t="shared" si="251"/>
        <v>801</v>
      </c>
      <c r="L1398">
        <v>13.44</v>
      </c>
    </row>
    <row r="1399" spans="1:12" x14ac:dyDescent="0.25">
      <c r="A1399" t="str">
        <f t="shared" si="242"/>
        <v>89301000</v>
      </c>
      <c r="B1399" t="str">
        <f t="shared" si="248"/>
        <v>93501000</v>
      </c>
      <c r="C1399" t="str">
        <f t="shared" si="249"/>
        <v>93501001</v>
      </c>
      <c r="D1399">
        <v>89301167</v>
      </c>
      <c r="E1399" t="str">
        <f t="shared" si="250"/>
        <v>470127462</v>
      </c>
      <c r="F1399" s="1">
        <v>44981</v>
      </c>
      <c r="G1399" t="str">
        <f>"81499"</f>
        <v>81499</v>
      </c>
      <c r="H1399">
        <v>1</v>
      </c>
      <c r="I1399">
        <v>18</v>
      </c>
      <c r="J1399">
        <v>0</v>
      </c>
      <c r="K1399" t="str">
        <f t="shared" si="251"/>
        <v>801</v>
      </c>
      <c r="L1399">
        <v>15.12</v>
      </c>
    </row>
    <row r="1400" spans="1:12" x14ac:dyDescent="0.25">
      <c r="A1400" t="str">
        <f t="shared" si="242"/>
        <v>89301000</v>
      </c>
      <c r="B1400" t="str">
        <f t="shared" si="248"/>
        <v>93501000</v>
      </c>
      <c r="C1400" t="str">
        <f t="shared" si="249"/>
        <v>93501001</v>
      </c>
      <c r="D1400">
        <v>89301167</v>
      </c>
      <c r="E1400" t="str">
        <f t="shared" si="250"/>
        <v>470127462</v>
      </c>
      <c r="F1400" s="1">
        <v>44981</v>
      </c>
      <c r="G1400" t="str">
        <f>"81523"</f>
        <v>81523</v>
      </c>
      <c r="H1400">
        <v>1</v>
      </c>
      <c r="I1400">
        <v>23</v>
      </c>
      <c r="J1400">
        <v>0</v>
      </c>
      <c r="K1400" t="str">
        <f t="shared" si="251"/>
        <v>801</v>
      </c>
      <c r="L1400">
        <v>19.32</v>
      </c>
    </row>
    <row r="1401" spans="1:12" x14ac:dyDescent="0.25">
      <c r="A1401" t="str">
        <f t="shared" si="242"/>
        <v>89301000</v>
      </c>
      <c r="B1401" t="str">
        <f t="shared" si="248"/>
        <v>93501000</v>
      </c>
      <c r="C1401" t="str">
        <f t="shared" si="249"/>
        <v>93501001</v>
      </c>
      <c r="D1401">
        <v>89301167</v>
      </c>
      <c r="E1401" t="str">
        <f t="shared" si="250"/>
        <v>470127462</v>
      </c>
      <c r="F1401" s="1">
        <v>44981</v>
      </c>
      <c r="G1401" t="str">
        <f>"81593"</f>
        <v>81593</v>
      </c>
      <c r="H1401">
        <v>1</v>
      </c>
      <c r="I1401">
        <v>22</v>
      </c>
      <c r="J1401">
        <v>0</v>
      </c>
      <c r="K1401" t="str">
        <f t="shared" si="251"/>
        <v>801</v>
      </c>
      <c r="L1401">
        <v>18.48</v>
      </c>
    </row>
    <row r="1402" spans="1:12" x14ac:dyDescent="0.25">
      <c r="A1402" t="str">
        <f t="shared" si="242"/>
        <v>89301000</v>
      </c>
      <c r="B1402" t="str">
        <f t="shared" si="248"/>
        <v>93501000</v>
      </c>
      <c r="C1402" t="str">
        <f t="shared" si="249"/>
        <v>93501001</v>
      </c>
      <c r="D1402">
        <v>89301167</v>
      </c>
      <c r="E1402" t="str">
        <f t="shared" si="250"/>
        <v>470127462</v>
      </c>
      <c r="F1402" s="1">
        <v>44981</v>
      </c>
      <c r="G1402" t="str">
        <f>"81621"</f>
        <v>81621</v>
      </c>
      <c r="H1402">
        <v>1</v>
      </c>
      <c r="I1402">
        <v>19</v>
      </c>
      <c r="J1402">
        <v>0</v>
      </c>
      <c r="K1402" t="str">
        <f t="shared" si="251"/>
        <v>801</v>
      </c>
      <c r="L1402">
        <v>15.96</v>
      </c>
    </row>
    <row r="1403" spans="1:12" x14ac:dyDescent="0.25">
      <c r="A1403" t="str">
        <f t="shared" si="242"/>
        <v>89301000</v>
      </c>
      <c r="B1403" t="str">
        <f t="shared" si="248"/>
        <v>93501000</v>
      </c>
      <c r="C1403" t="str">
        <f t="shared" si="249"/>
        <v>93501001</v>
      </c>
      <c r="D1403">
        <v>89301167</v>
      </c>
      <c r="E1403" t="str">
        <f t="shared" si="250"/>
        <v>470127462</v>
      </c>
      <c r="F1403" s="1">
        <v>44981</v>
      </c>
      <c r="G1403" t="str">
        <f>"81625"</f>
        <v>81625</v>
      </c>
      <c r="H1403">
        <v>1</v>
      </c>
      <c r="I1403">
        <v>21</v>
      </c>
      <c r="J1403">
        <v>0</v>
      </c>
      <c r="K1403" t="str">
        <f t="shared" si="251"/>
        <v>801</v>
      </c>
      <c r="L1403">
        <v>17.64</v>
      </c>
    </row>
    <row r="1404" spans="1:12" x14ac:dyDescent="0.25">
      <c r="A1404" t="str">
        <f t="shared" si="242"/>
        <v>89301000</v>
      </c>
      <c r="B1404" t="str">
        <f t="shared" si="248"/>
        <v>93501000</v>
      </c>
      <c r="C1404" t="str">
        <f t="shared" si="249"/>
        <v>93501001</v>
      </c>
      <c r="D1404">
        <v>89301167</v>
      </c>
      <c r="E1404" t="str">
        <f t="shared" si="250"/>
        <v>470127462</v>
      </c>
      <c r="F1404" s="1">
        <v>44981</v>
      </c>
      <c r="G1404" t="str">
        <f>"91153"</f>
        <v>91153</v>
      </c>
      <c r="H1404">
        <v>1</v>
      </c>
      <c r="I1404">
        <v>153</v>
      </c>
      <c r="J1404">
        <v>0</v>
      </c>
      <c r="K1404" t="str">
        <f t="shared" si="251"/>
        <v>801</v>
      </c>
      <c r="L1404">
        <v>128.52000000000001</v>
      </c>
    </row>
    <row r="1405" spans="1:12" x14ac:dyDescent="0.25">
      <c r="A1405" t="str">
        <f t="shared" si="242"/>
        <v>89301000</v>
      </c>
      <c r="B1405" t="str">
        <f t="shared" si="248"/>
        <v>93501000</v>
      </c>
      <c r="C1405" t="str">
        <f t="shared" si="249"/>
        <v>93501001</v>
      </c>
      <c r="D1405">
        <v>89301167</v>
      </c>
      <c r="E1405" t="str">
        <f t="shared" si="250"/>
        <v>470127462</v>
      </c>
      <c r="F1405" s="1">
        <v>44981</v>
      </c>
      <c r="G1405" t="str">
        <f>"97111"</f>
        <v>97111</v>
      </c>
      <c r="H1405">
        <v>1</v>
      </c>
      <c r="I1405">
        <v>19</v>
      </c>
      <c r="J1405">
        <v>0</v>
      </c>
      <c r="K1405" t="str">
        <f t="shared" si="251"/>
        <v>801</v>
      </c>
      <c r="L1405">
        <v>23.94</v>
      </c>
    </row>
    <row r="1406" spans="1:12" x14ac:dyDescent="0.25">
      <c r="A1406" t="str">
        <f t="shared" si="242"/>
        <v>89301000</v>
      </c>
      <c r="B1406" t="str">
        <f t="shared" si="248"/>
        <v>93501000</v>
      </c>
      <c r="C1406" t="str">
        <f>"93501005"</f>
        <v>93501005</v>
      </c>
      <c r="D1406">
        <v>89301167</v>
      </c>
      <c r="E1406" t="str">
        <f t="shared" si="250"/>
        <v>470127462</v>
      </c>
      <c r="F1406" s="1">
        <v>44960</v>
      </c>
      <c r="G1406" t="str">
        <f>"96167"</f>
        <v>96167</v>
      </c>
      <c r="H1406">
        <v>1</v>
      </c>
      <c r="I1406">
        <v>67</v>
      </c>
      <c r="J1406">
        <v>0</v>
      </c>
      <c r="K1406" t="str">
        <f>"818"</f>
        <v>818</v>
      </c>
      <c r="L1406">
        <v>64.989999999999995</v>
      </c>
    </row>
    <row r="1407" spans="1:12" x14ac:dyDescent="0.25">
      <c r="A1407" t="str">
        <f t="shared" si="242"/>
        <v>89301000</v>
      </c>
      <c r="B1407" t="str">
        <f t="shared" si="248"/>
        <v>93501000</v>
      </c>
      <c r="C1407" t="str">
        <f>"93501005"</f>
        <v>93501005</v>
      </c>
      <c r="D1407">
        <v>89301167</v>
      </c>
      <c r="E1407" t="str">
        <f t="shared" si="250"/>
        <v>470127462</v>
      </c>
      <c r="F1407" s="1">
        <v>44981</v>
      </c>
      <c r="G1407" t="str">
        <f>"96167"</f>
        <v>96167</v>
      </c>
      <c r="H1407">
        <v>1</v>
      </c>
      <c r="I1407">
        <v>67</v>
      </c>
      <c r="J1407">
        <v>0</v>
      </c>
      <c r="K1407" t="str">
        <f>"818"</f>
        <v>818</v>
      </c>
      <c r="L1407">
        <v>64.989999999999995</v>
      </c>
    </row>
    <row r="1408" spans="1:12" x14ac:dyDescent="0.25">
      <c r="A1408" t="str">
        <f t="shared" si="242"/>
        <v>89301000</v>
      </c>
      <c r="B1408" t="str">
        <f t="shared" ref="B1408:C1429" si="252">"91970116"</f>
        <v>91970116</v>
      </c>
      <c r="C1408" t="str">
        <f t="shared" si="252"/>
        <v>91970116</v>
      </c>
      <c r="D1408">
        <v>89301167</v>
      </c>
      <c r="E1408" t="str">
        <f t="shared" ref="E1408:E1434" si="253">"530220073"</f>
        <v>530220073</v>
      </c>
      <c r="F1408" s="1">
        <v>44960</v>
      </c>
      <c r="G1408" t="str">
        <f>"97111"</f>
        <v>97111</v>
      </c>
      <c r="H1408">
        <v>1</v>
      </c>
      <c r="I1408">
        <v>19</v>
      </c>
      <c r="J1408">
        <v>0</v>
      </c>
      <c r="K1408" t="str">
        <f t="shared" ref="K1408:K1429" si="254">"801"</f>
        <v>801</v>
      </c>
      <c r="L1408">
        <v>23.94</v>
      </c>
    </row>
    <row r="1409" spans="1:12" x14ac:dyDescent="0.25">
      <c r="A1409" t="str">
        <f t="shared" si="242"/>
        <v>89301000</v>
      </c>
      <c r="B1409" t="str">
        <f t="shared" si="252"/>
        <v>91970116</v>
      </c>
      <c r="C1409" t="str">
        <f t="shared" si="252"/>
        <v>91970116</v>
      </c>
      <c r="D1409">
        <v>89301167</v>
      </c>
      <c r="E1409" t="str">
        <f t="shared" si="253"/>
        <v>530220073</v>
      </c>
      <c r="F1409" s="1">
        <v>44960</v>
      </c>
      <c r="G1409" t="str">
        <f>"81621"</f>
        <v>81621</v>
      </c>
      <c r="H1409">
        <v>1</v>
      </c>
      <c r="I1409">
        <v>19</v>
      </c>
      <c r="J1409">
        <v>0</v>
      </c>
      <c r="K1409" t="str">
        <f t="shared" si="254"/>
        <v>801</v>
      </c>
      <c r="L1409">
        <v>15.96</v>
      </c>
    </row>
    <row r="1410" spans="1:12" x14ac:dyDescent="0.25">
      <c r="A1410" t="str">
        <f t="shared" ref="A1410:A1473" si="255">"89301000"</f>
        <v>89301000</v>
      </c>
      <c r="B1410" t="str">
        <f t="shared" si="252"/>
        <v>91970116</v>
      </c>
      <c r="C1410" t="str">
        <f t="shared" si="252"/>
        <v>91970116</v>
      </c>
      <c r="D1410">
        <v>89301167</v>
      </c>
      <c r="E1410" t="str">
        <f t="shared" si="253"/>
        <v>530220073</v>
      </c>
      <c r="F1410" s="1">
        <v>44960</v>
      </c>
      <c r="G1410" t="str">
        <f>"81499"</f>
        <v>81499</v>
      </c>
      <c r="H1410">
        <v>1</v>
      </c>
      <c r="I1410">
        <v>18</v>
      </c>
      <c r="J1410">
        <v>0</v>
      </c>
      <c r="K1410" t="str">
        <f t="shared" si="254"/>
        <v>801</v>
      </c>
      <c r="L1410">
        <v>15.12</v>
      </c>
    </row>
    <row r="1411" spans="1:12" x14ac:dyDescent="0.25">
      <c r="A1411" t="str">
        <f t="shared" si="255"/>
        <v>89301000</v>
      </c>
      <c r="B1411" t="str">
        <f t="shared" si="252"/>
        <v>91970116</v>
      </c>
      <c r="C1411" t="str">
        <f t="shared" si="252"/>
        <v>91970116</v>
      </c>
      <c r="D1411">
        <v>89301167</v>
      </c>
      <c r="E1411" t="str">
        <f t="shared" si="253"/>
        <v>530220073</v>
      </c>
      <c r="F1411" s="1">
        <v>44960</v>
      </c>
      <c r="G1411" t="str">
        <f>"81523"</f>
        <v>81523</v>
      </c>
      <c r="H1411">
        <v>1</v>
      </c>
      <c r="I1411">
        <v>23</v>
      </c>
      <c r="J1411">
        <v>0</v>
      </c>
      <c r="K1411" t="str">
        <f t="shared" si="254"/>
        <v>801</v>
      </c>
      <c r="L1411">
        <v>19.32</v>
      </c>
    </row>
    <row r="1412" spans="1:12" x14ac:dyDescent="0.25">
      <c r="A1412" t="str">
        <f t="shared" si="255"/>
        <v>89301000</v>
      </c>
      <c r="B1412" t="str">
        <f t="shared" si="252"/>
        <v>91970116</v>
      </c>
      <c r="C1412" t="str">
        <f t="shared" si="252"/>
        <v>91970116</v>
      </c>
      <c r="D1412">
        <v>89301167</v>
      </c>
      <c r="E1412" t="str">
        <f t="shared" si="253"/>
        <v>530220073</v>
      </c>
      <c r="F1412" s="1">
        <v>44960</v>
      </c>
      <c r="G1412" t="str">
        <f>"81365"</f>
        <v>81365</v>
      </c>
      <c r="H1412">
        <v>1</v>
      </c>
      <c r="I1412">
        <v>16</v>
      </c>
      <c r="J1412">
        <v>0</v>
      </c>
      <c r="K1412" t="str">
        <f t="shared" si="254"/>
        <v>801</v>
      </c>
      <c r="L1412">
        <v>13.44</v>
      </c>
    </row>
    <row r="1413" spans="1:12" x14ac:dyDescent="0.25">
      <c r="A1413" t="str">
        <f t="shared" si="255"/>
        <v>89301000</v>
      </c>
      <c r="B1413" t="str">
        <f t="shared" si="252"/>
        <v>91970116</v>
      </c>
      <c r="C1413" t="str">
        <f t="shared" si="252"/>
        <v>91970116</v>
      </c>
      <c r="D1413">
        <v>89301167</v>
      </c>
      <c r="E1413" t="str">
        <f t="shared" si="253"/>
        <v>530220073</v>
      </c>
      <c r="F1413" s="1">
        <v>44960</v>
      </c>
      <c r="G1413" t="str">
        <f>"81329"</f>
        <v>81329</v>
      </c>
      <c r="H1413">
        <v>1</v>
      </c>
      <c r="I1413">
        <v>17</v>
      </c>
      <c r="J1413">
        <v>0</v>
      </c>
      <c r="K1413" t="str">
        <f t="shared" si="254"/>
        <v>801</v>
      </c>
      <c r="L1413">
        <v>14.28</v>
      </c>
    </row>
    <row r="1414" spans="1:12" x14ac:dyDescent="0.25">
      <c r="A1414" t="str">
        <f t="shared" si="255"/>
        <v>89301000</v>
      </c>
      <c r="B1414" t="str">
        <f t="shared" si="252"/>
        <v>91970116</v>
      </c>
      <c r="C1414" t="str">
        <f t="shared" si="252"/>
        <v>91970116</v>
      </c>
      <c r="D1414">
        <v>89301167</v>
      </c>
      <c r="E1414" t="str">
        <f t="shared" si="253"/>
        <v>530220073</v>
      </c>
      <c r="F1414" s="1">
        <v>44960</v>
      </c>
      <c r="G1414" t="str">
        <f>"81361"</f>
        <v>81361</v>
      </c>
      <c r="H1414">
        <v>1</v>
      </c>
      <c r="I1414">
        <v>17</v>
      </c>
      <c r="J1414">
        <v>0</v>
      </c>
      <c r="K1414" t="str">
        <f t="shared" si="254"/>
        <v>801</v>
      </c>
      <c r="L1414">
        <v>14.28</v>
      </c>
    </row>
    <row r="1415" spans="1:12" x14ac:dyDescent="0.25">
      <c r="A1415" t="str">
        <f t="shared" si="255"/>
        <v>89301000</v>
      </c>
      <c r="B1415" t="str">
        <f t="shared" si="252"/>
        <v>91970116</v>
      </c>
      <c r="C1415" t="str">
        <f t="shared" si="252"/>
        <v>91970116</v>
      </c>
      <c r="D1415">
        <v>89301167</v>
      </c>
      <c r="E1415" t="str">
        <f t="shared" si="253"/>
        <v>530220073</v>
      </c>
      <c r="F1415" s="1">
        <v>44960</v>
      </c>
      <c r="G1415" t="str">
        <f>"81337"</f>
        <v>81337</v>
      </c>
      <c r="H1415">
        <v>1</v>
      </c>
      <c r="I1415">
        <v>20</v>
      </c>
      <c r="J1415">
        <v>0</v>
      </c>
      <c r="K1415" t="str">
        <f t="shared" si="254"/>
        <v>801</v>
      </c>
      <c r="L1415">
        <v>16.8</v>
      </c>
    </row>
    <row r="1416" spans="1:12" x14ac:dyDescent="0.25">
      <c r="A1416" t="str">
        <f t="shared" si="255"/>
        <v>89301000</v>
      </c>
      <c r="B1416" t="str">
        <f t="shared" si="252"/>
        <v>91970116</v>
      </c>
      <c r="C1416" t="str">
        <f t="shared" si="252"/>
        <v>91970116</v>
      </c>
      <c r="D1416">
        <v>89301167</v>
      </c>
      <c r="E1416" t="str">
        <f t="shared" si="253"/>
        <v>530220073</v>
      </c>
      <c r="F1416" s="1">
        <v>44960</v>
      </c>
      <c r="G1416" t="str">
        <f>"81357"</f>
        <v>81357</v>
      </c>
      <c r="H1416">
        <v>1</v>
      </c>
      <c r="I1416">
        <v>20</v>
      </c>
      <c r="J1416">
        <v>0</v>
      </c>
      <c r="K1416" t="str">
        <f t="shared" si="254"/>
        <v>801</v>
      </c>
      <c r="L1416">
        <v>16.8</v>
      </c>
    </row>
    <row r="1417" spans="1:12" x14ac:dyDescent="0.25">
      <c r="A1417" t="str">
        <f t="shared" si="255"/>
        <v>89301000</v>
      </c>
      <c r="B1417" t="str">
        <f t="shared" si="252"/>
        <v>91970116</v>
      </c>
      <c r="C1417" t="str">
        <f t="shared" si="252"/>
        <v>91970116</v>
      </c>
      <c r="D1417">
        <v>89301167</v>
      </c>
      <c r="E1417" t="str">
        <f t="shared" si="253"/>
        <v>530220073</v>
      </c>
      <c r="F1417" s="1">
        <v>44960</v>
      </c>
      <c r="G1417" t="str">
        <f>"81421"</f>
        <v>81421</v>
      </c>
      <c r="H1417">
        <v>1</v>
      </c>
      <c r="I1417">
        <v>19</v>
      </c>
      <c r="J1417">
        <v>0</v>
      </c>
      <c r="K1417" t="str">
        <f t="shared" si="254"/>
        <v>801</v>
      </c>
      <c r="L1417">
        <v>15.96</v>
      </c>
    </row>
    <row r="1418" spans="1:12" x14ac:dyDescent="0.25">
      <c r="A1418" t="str">
        <f t="shared" si="255"/>
        <v>89301000</v>
      </c>
      <c r="B1418" t="str">
        <f t="shared" si="252"/>
        <v>91970116</v>
      </c>
      <c r="C1418" t="str">
        <f t="shared" si="252"/>
        <v>91970116</v>
      </c>
      <c r="D1418">
        <v>89301167</v>
      </c>
      <c r="E1418" t="str">
        <f t="shared" si="253"/>
        <v>530220073</v>
      </c>
      <c r="F1418" s="1">
        <v>44960</v>
      </c>
      <c r="G1418" t="str">
        <f>"81435"</f>
        <v>81435</v>
      </c>
      <c r="H1418">
        <v>1</v>
      </c>
      <c r="I1418">
        <v>22</v>
      </c>
      <c r="J1418">
        <v>0</v>
      </c>
      <c r="K1418" t="str">
        <f t="shared" si="254"/>
        <v>801</v>
      </c>
      <c r="L1418">
        <v>18.48</v>
      </c>
    </row>
    <row r="1419" spans="1:12" x14ac:dyDescent="0.25">
      <c r="A1419" t="str">
        <f t="shared" si="255"/>
        <v>89301000</v>
      </c>
      <c r="B1419" t="str">
        <f t="shared" si="252"/>
        <v>91970116</v>
      </c>
      <c r="C1419" t="str">
        <f t="shared" si="252"/>
        <v>91970116</v>
      </c>
      <c r="D1419">
        <v>89301167</v>
      </c>
      <c r="E1419" t="str">
        <f t="shared" si="253"/>
        <v>530220073</v>
      </c>
      <c r="F1419" s="1">
        <v>44960</v>
      </c>
      <c r="G1419" t="str">
        <f>"81439"</f>
        <v>81439</v>
      </c>
      <c r="H1419">
        <v>1</v>
      </c>
      <c r="I1419">
        <v>16</v>
      </c>
      <c r="J1419">
        <v>0</v>
      </c>
      <c r="K1419" t="str">
        <f t="shared" si="254"/>
        <v>801</v>
      </c>
      <c r="L1419">
        <v>13.44</v>
      </c>
    </row>
    <row r="1420" spans="1:12" x14ac:dyDescent="0.25">
      <c r="A1420" t="str">
        <f t="shared" si="255"/>
        <v>89301000</v>
      </c>
      <c r="B1420" t="str">
        <f t="shared" si="252"/>
        <v>91970116</v>
      </c>
      <c r="C1420" t="str">
        <f t="shared" si="252"/>
        <v>91970116</v>
      </c>
      <c r="D1420">
        <v>89301167</v>
      </c>
      <c r="E1420" t="str">
        <f t="shared" si="253"/>
        <v>530220073</v>
      </c>
      <c r="F1420" s="1">
        <v>44960</v>
      </c>
      <c r="G1420" t="str">
        <f>"81471"</f>
        <v>81471</v>
      </c>
      <c r="H1420">
        <v>1</v>
      </c>
      <c r="I1420">
        <v>24</v>
      </c>
      <c r="J1420">
        <v>0</v>
      </c>
      <c r="K1420" t="str">
        <f t="shared" si="254"/>
        <v>801</v>
      </c>
      <c r="L1420">
        <v>20.16</v>
      </c>
    </row>
    <row r="1421" spans="1:12" x14ac:dyDescent="0.25">
      <c r="A1421" t="str">
        <f t="shared" si="255"/>
        <v>89301000</v>
      </c>
      <c r="B1421" t="str">
        <f t="shared" si="252"/>
        <v>91970116</v>
      </c>
      <c r="C1421" t="str">
        <f t="shared" si="252"/>
        <v>91970116</v>
      </c>
      <c r="D1421">
        <v>89301167</v>
      </c>
      <c r="E1421" t="str">
        <f t="shared" si="253"/>
        <v>530220073</v>
      </c>
      <c r="F1421" s="1">
        <v>44960</v>
      </c>
      <c r="G1421" t="str">
        <f>"81611"</f>
        <v>81611</v>
      </c>
      <c r="H1421">
        <v>1</v>
      </c>
      <c r="I1421">
        <v>30</v>
      </c>
      <c r="J1421">
        <v>0</v>
      </c>
      <c r="K1421" t="str">
        <f t="shared" si="254"/>
        <v>801</v>
      </c>
      <c r="L1421">
        <v>25.2</v>
      </c>
    </row>
    <row r="1422" spans="1:12" x14ac:dyDescent="0.25">
      <c r="A1422" t="str">
        <f t="shared" si="255"/>
        <v>89301000</v>
      </c>
      <c r="B1422" t="str">
        <f t="shared" si="252"/>
        <v>91970116</v>
      </c>
      <c r="C1422" t="str">
        <f t="shared" si="252"/>
        <v>91970116</v>
      </c>
      <c r="D1422">
        <v>89301167</v>
      </c>
      <c r="E1422" t="str">
        <f t="shared" si="253"/>
        <v>530220073</v>
      </c>
      <c r="F1422" s="1">
        <v>44960</v>
      </c>
      <c r="G1422" t="str">
        <f>"81473"</f>
        <v>81473</v>
      </c>
      <c r="H1422">
        <v>1</v>
      </c>
      <c r="I1422">
        <v>52</v>
      </c>
      <c r="J1422">
        <v>0</v>
      </c>
      <c r="K1422" t="str">
        <f t="shared" si="254"/>
        <v>801</v>
      </c>
      <c r="L1422">
        <v>43.68</v>
      </c>
    </row>
    <row r="1423" spans="1:12" x14ac:dyDescent="0.25">
      <c r="A1423" t="str">
        <f t="shared" si="255"/>
        <v>89301000</v>
      </c>
      <c r="B1423" t="str">
        <f t="shared" si="252"/>
        <v>91970116</v>
      </c>
      <c r="C1423" t="str">
        <f t="shared" si="252"/>
        <v>91970116</v>
      </c>
      <c r="D1423">
        <v>89301167</v>
      </c>
      <c r="E1423" t="str">
        <f t="shared" si="253"/>
        <v>530220073</v>
      </c>
      <c r="F1423" s="1">
        <v>44960</v>
      </c>
      <c r="G1423" t="str">
        <f>"81527"</f>
        <v>81527</v>
      </c>
      <c r="H1423">
        <v>1</v>
      </c>
      <c r="I1423">
        <v>62</v>
      </c>
      <c r="J1423">
        <v>0</v>
      </c>
      <c r="K1423" t="str">
        <f t="shared" si="254"/>
        <v>801</v>
      </c>
      <c r="L1423">
        <v>52.08</v>
      </c>
    </row>
    <row r="1424" spans="1:12" x14ac:dyDescent="0.25">
      <c r="A1424" t="str">
        <f t="shared" si="255"/>
        <v>89301000</v>
      </c>
      <c r="B1424" t="str">
        <f t="shared" si="252"/>
        <v>91970116</v>
      </c>
      <c r="C1424" t="str">
        <f t="shared" si="252"/>
        <v>91970116</v>
      </c>
      <c r="D1424">
        <v>89301167</v>
      </c>
      <c r="E1424" t="str">
        <f t="shared" si="253"/>
        <v>530220073</v>
      </c>
      <c r="F1424" s="1">
        <v>44960</v>
      </c>
      <c r="G1424" t="str">
        <f>"91153"</f>
        <v>91153</v>
      </c>
      <c r="H1424">
        <v>1</v>
      </c>
      <c r="I1424">
        <v>153</v>
      </c>
      <c r="J1424">
        <v>0</v>
      </c>
      <c r="K1424" t="str">
        <f t="shared" si="254"/>
        <v>801</v>
      </c>
      <c r="L1424">
        <v>128.52000000000001</v>
      </c>
    </row>
    <row r="1425" spans="1:12" x14ac:dyDescent="0.25">
      <c r="A1425" t="str">
        <f t="shared" si="255"/>
        <v>89301000</v>
      </c>
      <c r="B1425" t="str">
        <f t="shared" si="252"/>
        <v>91970116</v>
      </c>
      <c r="C1425" t="str">
        <f t="shared" si="252"/>
        <v>91970116</v>
      </c>
      <c r="D1425">
        <v>89301167</v>
      </c>
      <c r="E1425" t="str">
        <f t="shared" si="253"/>
        <v>530220073</v>
      </c>
      <c r="F1425" s="1">
        <v>44960</v>
      </c>
      <c r="G1425" t="str">
        <f>"81511"</f>
        <v>81511</v>
      </c>
      <c r="H1425">
        <v>1</v>
      </c>
      <c r="I1425">
        <v>10</v>
      </c>
      <c r="J1425">
        <v>0</v>
      </c>
      <c r="K1425" t="str">
        <f t="shared" si="254"/>
        <v>801</v>
      </c>
      <c r="L1425">
        <v>8.4</v>
      </c>
    </row>
    <row r="1426" spans="1:12" x14ac:dyDescent="0.25">
      <c r="A1426" t="str">
        <f t="shared" si="255"/>
        <v>89301000</v>
      </c>
      <c r="B1426" t="str">
        <f t="shared" si="252"/>
        <v>91970116</v>
      </c>
      <c r="C1426" t="str">
        <f t="shared" si="252"/>
        <v>91970116</v>
      </c>
      <c r="D1426">
        <v>89301167</v>
      </c>
      <c r="E1426" t="str">
        <f t="shared" si="253"/>
        <v>530220073</v>
      </c>
      <c r="F1426" s="1">
        <v>44960</v>
      </c>
      <c r="G1426" t="str">
        <f>"81593"</f>
        <v>81593</v>
      </c>
      <c r="H1426">
        <v>1</v>
      </c>
      <c r="I1426">
        <v>22</v>
      </c>
      <c r="J1426">
        <v>0</v>
      </c>
      <c r="K1426" t="str">
        <f t="shared" si="254"/>
        <v>801</v>
      </c>
      <c r="L1426">
        <v>18.48</v>
      </c>
    </row>
    <row r="1427" spans="1:12" x14ac:dyDescent="0.25">
      <c r="A1427" t="str">
        <f t="shared" si="255"/>
        <v>89301000</v>
      </c>
      <c r="B1427" t="str">
        <f t="shared" si="252"/>
        <v>91970116</v>
      </c>
      <c r="C1427" t="str">
        <f t="shared" si="252"/>
        <v>91970116</v>
      </c>
      <c r="D1427">
        <v>89301167</v>
      </c>
      <c r="E1427" t="str">
        <f t="shared" si="253"/>
        <v>530220073</v>
      </c>
      <c r="F1427" s="1">
        <v>44960</v>
      </c>
      <c r="G1427" t="str">
        <f>"81393"</f>
        <v>81393</v>
      </c>
      <c r="H1427">
        <v>1</v>
      </c>
      <c r="I1427">
        <v>24</v>
      </c>
      <c r="J1427">
        <v>0</v>
      </c>
      <c r="K1427" t="str">
        <f t="shared" si="254"/>
        <v>801</v>
      </c>
      <c r="L1427">
        <v>20.16</v>
      </c>
    </row>
    <row r="1428" spans="1:12" x14ac:dyDescent="0.25">
      <c r="A1428" t="str">
        <f t="shared" si="255"/>
        <v>89301000</v>
      </c>
      <c r="B1428" t="str">
        <f t="shared" si="252"/>
        <v>91970116</v>
      </c>
      <c r="C1428" t="str">
        <f t="shared" si="252"/>
        <v>91970116</v>
      </c>
      <c r="D1428">
        <v>89301167</v>
      </c>
      <c r="E1428" t="str">
        <f t="shared" si="253"/>
        <v>530220073</v>
      </c>
      <c r="F1428" s="1">
        <v>44960</v>
      </c>
      <c r="G1428" t="str">
        <f>"81469"</f>
        <v>81469</v>
      </c>
      <c r="H1428">
        <v>1</v>
      </c>
      <c r="I1428">
        <v>16</v>
      </c>
      <c r="J1428">
        <v>0</v>
      </c>
      <c r="K1428" t="str">
        <f t="shared" si="254"/>
        <v>801</v>
      </c>
      <c r="L1428">
        <v>13.44</v>
      </c>
    </row>
    <row r="1429" spans="1:12" x14ac:dyDescent="0.25">
      <c r="A1429" t="str">
        <f t="shared" si="255"/>
        <v>89301000</v>
      </c>
      <c r="B1429" t="str">
        <f t="shared" si="252"/>
        <v>91970116</v>
      </c>
      <c r="C1429" t="str">
        <f t="shared" si="252"/>
        <v>91970116</v>
      </c>
      <c r="D1429">
        <v>89301167</v>
      </c>
      <c r="E1429" t="str">
        <f t="shared" si="253"/>
        <v>530220073</v>
      </c>
      <c r="F1429" s="1">
        <v>44960</v>
      </c>
      <c r="G1429" t="str">
        <f>"81249"</f>
        <v>81249</v>
      </c>
      <c r="H1429">
        <v>1</v>
      </c>
      <c r="I1429">
        <v>334</v>
      </c>
      <c r="J1429">
        <v>0</v>
      </c>
      <c r="K1429" t="str">
        <f t="shared" si="254"/>
        <v>801</v>
      </c>
      <c r="L1429">
        <v>280.56</v>
      </c>
    </row>
    <row r="1430" spans="1:12" x14ac:dyDescent="0.25">
      <c r="A1430" t="str">
        <f t="shared" si="255"/>
        <v>89301000</v>
      </c>
      <c r="B1430" t="str">
        <f>"91970116"</f>
        <v>91970116</v>
      </c>
      <c r="C1430" t="str">
        <f>"91970115"</f>
        <v>91970115</v>
      </c>
      <c r="D1430">
        <v>89301167</v>
      </c>
      <c r="E1430" t="str">
        <f t="shared" si="253"/>
        <v>530220073</v>
      </c>
      <c r="F1430" s="1">
        <v>44960</v>
      </c>
      <c r="G1430" t="str">
        <f>"09119"</f>
        <v>09119</v>
      </c>
      <c r="H1430">
        <v>1</v>
      </c>
      <c r="I1430">
        <v>43</v>
      </c>
      <c r="J1430">
        <v>0</v>
      </c>
      <c r="K1430" t="str">
        <f>"818"</f>
        <v>818</v>
      </c>
      <c r="L1430">
        <v>54.18</v>
      </c>
    </row>
    <row r="1431" spans="1:12" x14ac:dyDescent="0.25">
      <c r="A1431" t="str">
        <f t="shared" si="255"/>
        <v>89301000</v>
      </c>
      <c r="B1431" t="str">
        <f>"91970116"</f>
        <v>91970116</v>
      </c>
      <c r="C1431" t="str">
        <f>"91970115"</f>
        <v>91970115</v>
      </c>
      <c r="D1431">
        <v>89301167</v>
      </c>
      <c r="E1431" t="str">
        <f t="shared" si="253"/>
        <v>530220073</v>
      </c>
      <c r="F1431" s="1">
        <v>44960</v>
      </c>
      <c r="G1431" t="str">
        <f>"96163"</f>
        <v>96163</v>
      </c>
      <c r="H1431">
        <v>1</v>
      </c>
      <c r="I1431">
        <v>28</v>
      </c>
      <c r="J1431">
        <v>0</v>
      </c>
      <c r="K1431" t="str">
        <f>"818"</f>
        <v>818</v>
      </c>
      <c r="L1431">
        <v>27.16</v>
      </c>
    </row>
    <row r="1432" spans="1:12" x14ac:dyDescent="0.25">
      <c r="A1432" t="str">
        <f t="shared" si="255"/>
        <v>89301000</v>
      </c>
      <c r="B1432" t="str">
        <f>"91970116"</f>
        <v>91970116</v>
      </c>
      <c r="C1432" t="str">
        <f>"91970115"</f>
        <v>91970115</v>
      </c>
      <c r="D1432">
        <v>89301167</v>
      </c>
      <c r="E1432" t="str">
        <f t="shared" si="253"/>
        <v>530220073</v>
      </c>
      <c r="F1432" s="1">
        <v>44960</v>
      </c>
      <c r="G1432" t="str">
        <f>"96315"</f>
        <v>96315</v>
      </c>
      <c r="H1432">
        <v>1</v>
      </c>
      <c r="I1432">
        <v>30</v>
      </c>
      <c r="J1432">
        <v>0</v>
      </c>
      <c r="K1432" t="str">
        <f>"818"</f>
        <v>818</v>
      </c>
      <c r="L1432">
        <v>29.1</v>
      </c>
    </row>
    <row r="1433" spans="1:12" x14ac:dyDescent="0.25">
      <c r="A1433" t="str">
        <f t="shared" si="255"/>
        <v>89301000</v>
      </c>
      <c r="B1433" t="str">
        <f>"91970116"</f>
        <v>91970116</v>
      </c>
      <c r="C1433" t="str">
        <f>"91970115"</f>
        <v>91970115</v>
      </c>
      <c r="D1433">
        <v>89301167</v>
      </c>
      <c r="E1433" t="str">
        <f t="shared" si="253"/>
        <v>530220073</v>
      </c>
      <c r="F1433" s="1">
        <v>44960</v>
      </c>
      <c r="G1433" t="str">
        <f>"96711"</f>
        <v>96711</v>
      </c>
      <c r="H1433">
        <v>1</v>
      </c>
      <c r="I1433">
        <v>28</v>
      </c>
      <c r="J1433">
        <v>0</v>
      </c>
      <c r="K1433" t="str">
        <f>"818"</f>
        <v>818</v>
      </c>
      <c r="L1433">
        <v>27.16</v>
      </c>
    </row>
    <row r="1434" spans="1:12" x14ac:dyDescent="0.25">
      <c r="A1434" t="str">
        <f t="shared" si="255"/>
        <v>89301000</v>
      </c>
      <c r="B1434" t="str">
        <f>"91970116"</f>
        <v>91970116</v>
      </c>
      <c r="C1434" t="str">
        <f>"91970115"</f>
        <v>91970115</v>
      </c>
      <c r="D1434">
        <v>89301167</v>
      </c>
      <c r="E1434" t="str">
        <f t="shared" si="253"/>
        <v>530220073</v>
      </c>
      <c r="F1434" s="1">
        <v>44960</v>
      </c>
      <c r="G1434" t="str">
        <f>"96713"</f>
        <v>96713</v>
      </c>
      <c r="H1434">
        <v>1</v>
      </c>
      <c r="I1434">
        <v>14</v>
      </c>
      <c r="J1434">
        <v>0</v>
      </c>
      <c r="K1434" t="str">
        <f>"818"</f>
        <v>818</v>
      </c>
      <c r="L1434">
        <v>13.58</v>
      </c>
    </row>
    <row r="1435" spans="1:12" x14ac:dyDescent="0.25">
      <c r="A1435" t="str">
        <f t="shared" si="255"/>
        <v>89301000</v>
      </c>
      <c r="B1435" t="str">
        <f>"91970117"</f>
        <v>91970117</v>
      </c>
      <c r="C1435" t="str">
        <f>"91970117"</f>
        <v>91970117</v>
      </c>
      <c r="D1435">
        <v>89301045</v>
      </c>
      <c r="E1435" t="str">
        <f>"9455075949"</f>
        <v>9455075949</v>
      </c>
      <c r="F1435" s="1">
        <v>44964</v>
      </c>
      <c r="G1435" t="str">
        <f>"89513"</f>
        <v>89513</v>
      </c>
      <c r="H1435">
        <v>1</v>
      </c>
      <c r="I1435">
        <v>378</v>
      </c>
      <c r="J1435">
        <v>0</v>
      </c>
      <c r="K1435" t="str">
        <f t="shared" ref="K1435:K1466" si="256">"809"</f>
        <v>809</v>
      </c>
      <c r="L1435">
        <v>555.66</v>
      </c>
    </row>
    <row r="1436" spans="1:12" x14ac:dyDescent="0.25">
      <c r="A1436" t="str">
        <f t="shared" si="255"/>
        <v>89301000</v>
      </c>
      <c r="B1436" t="str">
        <f>"91970117"</f>
        <v>91970117</v>
      </c>
      <c r="C1436" t="str">
        <f>"91970117"</f>
        <v>91970117</v>
      </c>
      <c r="D1436">
        <v>89301045</v>
      </c>
      <c r="E1436" t="str">
        <f>"9455075949"</f>
        <v>9455075949</v>
      </c>
      <c r="F1436" s="1">
        <v>44964</v>
      </c>
      <c r="G1436" t="str">
        <f>"89514"</f>
        <v>89514</v>
      </c>
      <c r="H1436">
        <v>1</v>
      </c>
      <c r="I1436">
        <v>378</v>
      </c>
      <c r="J1436">
        <v>0</v>
      </c>
      <c r="K1436" t="str">
        <f t="shared" si="256"/>
        <v>809</v>
      </c>
      <c r="L1436">
        <v>555.66</v>
      </c>
    </row>
    <row r="1437" spans="1:12" x14ac:dyDescent="0.25">
      <c r="A1437" t="str">
        <f t="shared" si="255"/>
        <v>89301000</v>
      </c>
      <c r="B1437" t="str">
        <f>"02384000"</f>
        <v>02384000</v>
      </c>
      <c r="C1437" t="str">
        <f>"02384007"</f>
        <v>02384007</v>
      </c>
      <c r="D1437">
        <v>89301212</v>
      </c>
      <c r="E1437" t="str">
        <f>"406127437"</f>
        <v>406127437</v>
      </c>
      <c r="F1437" s="1">
        <v>44959</v>
      </c>
      <c r="G1437" t="str">
        <f>"89131"</f>
        <v>89131</v>
      </c>
      <c r="H1437">
        <v>1</v>
      </c>
      <c r="I1437">
        <v>190</v>
      </c>
      <c r="J1437">
        <v>0</v>
      </c>
      <c r="K1437" t="str">
        <f t="shared" si="256"/>
        <v>809</v>
      </c>
      <c r="L1437">
        <v>279.3</v>
      </c>
    </row>
    <row r="1438" spans="1:12" x14ac:dyDescent="0.25">
      <c r="A1438" t="str">
        <f t="shared" si="255"/>
        <v>89301000</v>
      </c>
      <c r="B1438" t="str">
        <f>"02384000"</f>
        <v>02384000</v>
      </c>
      <c r="C1438" t="str">
        <f>"02384007"</f>
        <v>02384007</v>
      </c>
      <c r="D1438">
        <v>89301212</v>
      </c>
      <c r="E1438" t="str">
        <f>"406127437"</f>
        <v>406127437</v>
      </c>
      <c r="F1438" s="1">
        <v>44959</v>
      </c>
      <c r="G1438" t="str">
        <f>"89513"</f>
        <v>89513</v>
      </c>
      <c r="H1438">
        <v>1</v>
      </c>
      <c r="I1438">
        <v>378</v>
      </c>
      <c r="J1438">
        <v>0</v>
      </c>
      <c r="K1438" t="str">
        <f t="shared" si="256"/>
        <v>809</v>
      </c>
      <c r="L1438">
        <v>555.66</v>
      </c>
    </row>
    <row r="1439" spans="1:12" x14ac:dyDescent="0.25">
      <c r="A1439" t="str">
        <f t="shared" si="255"/>
        <v>89301000</v>
      </c>
      <c r="B1439" t="str">
        <f>"02384000"</f>
        <v>02384000</v>
      </c>
      <c r="C1439" t="str">
        <f>"02384007"</f>
        <v>02384007</v>
      </c>
      <c r="D1439">
        <v>89301212</v>
      </c>
      <c r="E1439" t="str">
        <f>"406127437"</f>
        <v>406127437</v>
      </c>
      <c r="F1439" s="1">
        <v>44959</v>
      </c>
      <c r="G1439" t="str">
        <f>"89514"</f>
        <v>89514</v>
      </c>
      <c r="H1439">
        <v>1</v>
      </c>
      <c r="I1439">
        <v>378</v>
      </c>
      <c r="J1439">
        <v>0</v>
      </c>
      <c r="K1439" t="str">
        <f t="shared" si="256"/>
        <v>809</v>
      </c>
      <c r="L1439">
        <v>555.66</v>
      </c>
    </row>
    <row r="1440" spans="1:12" x14ac:dyDescent="0.25">
      <c r="A1440" t="str">
        <f t="shared" si="255"/>
        <v>89301000</v>
      </c>
      <c r="B1440" t="str">
        <f>"88631000"</f>
        <v>88631000</v>
      </c>
      <c r="C1440" t="str">
        <f>"88631002"</f>
        <v>88631002</v>
      </c>
      <c r="D1440">
        <v>89301212</v>
      </c>
      <c r="E1440" t="str">
        <f>"7558225290"</f>
        <v>7558225290</v>
      </c>
      <c r="F1440" s="1">
        <v>44979</v>
      </c>
      <c r="G1440" t="str">
        <f>"89512"</f>
        <v>89512</v>
      </c>
      <c r="H1440">
        <v>1</v>
      </c>
      <c r="I1440">
        <v>283</v>
      </c>
      <c r="J1440">
        <v>0</v>
      </c>
      <c r="K1440" t="str">
        <f t="shared" si="256"/>
        <v>809</v>
      </c>
      <c r="L1440">
        <v>416.01</v>
      </c>
    </row>
    <row r="1441" spans="1:12" x14ac:dyDescent="0.25">
      <c r="A1441" t="str">
        <f t="shared" si="255"/>
        <v>89301000</v>
      </c>
      <c r="B1441" t="str">
        <f>"88631000"</f>
        <v>88631000</v>
      </c>
      <c r="C1441" t="str">
        <f>"88631002"</f>
        <v>88631002</v>
      </c>
      <c r="D1441">
        <v>89301212</v>
      </c>
      <c r="E1441" t="str">
        <f>"7558225290"</f>
        <v>7558225290</v>
      </c>
      <c r="F1441" s="1">
        <v>44979</v>
      </c>
      <c r="G1441" t="str">
        <f>"89180"</f>
        <v>89180</v>
      </c>
      <c r="H1441">
        <v>2</v>
      </c>
      <c r="I1441">
        <v>762</v>
      </c>
      <c r="J1441">
        <v>0</v>
      </c>
      <c r="K1441" t="str">
        <f t="shared" si="256"/>
        <v>809</v>
      </c>
      <c r="L1441">
        <v>1120.1400000000001</v>
      </c>
    </row>
    <row r="1442" spans="1:12" x14ac:dyDescent="0.25">
      <c r="A1442" t="str">
        <f t="shared" si="255"/>
        <v>89301000</v>
      </c>
      <c r="B1442" t="str">
        <f t="shared" ref="B1442:B1473" si="257">"78051000"</f>
        <v>78051000</v>
      </c>
      <c r="C1442" t="str">
        <f t="shared" ref="C1442:C1486" si="258">"78051004"</f>
        <v>78051004</v>
      </c>
      <c r="D1442">
        <v>89301062</v>
      </c>
      <c r="E1442" t="str">
        <f>"8552145778"</f>
        <v>8552145778</v>
      </c>
      <c r="F1442" s="1">
        <v>44965</v>
      </c>
      <c r="G1442" t="str">
        <f>"89311"</f>
        <v>89311</v>
      </c>
      <c r="H1442">
        <v>1</v>
      </c>
      <c r="I1442">
        <v>970</v>
      </c>
      <c r="J1442">
        <v>0</v>
      </c>
      <c r="K1442" t="str">
        <f t="shared" si="256"/>
        <v>809</v>
      </c>
      <c r="L1442">
        <v>1425.9</v>
      </c>
    </row>
    <row r="1443" spans="1:12" x14ac:dyDescent="0.25">
      <c r="A1443" t="str">
        <f t="shared" si="255"/>
        <v>89301000</v>
      </c>
      <c r="B1443" t="str">
        <f t="shared" si="257"/>
        <v>78051000</v>
      </c>
      <c r="C1443" t="str">
        <f t="shared" si="258"/>
        <v>78051004</v>
      </c>
      <c r="D1443">
        <v>89301062</v>
      </c>
      <c r="E1443" t="str">
        <f>"8552145778"</f>
        <v>8552145778</v>
      </c>
      <c r="F1443" s="1">
        <v>44965</v>
      </c>
      <c r="G1443" t="str">
        <f>"0090044"</f>
        <v>0090044</v>
      </c>
      <c r="H1443">
        <v>1</v>
      </c>
      <c r="J1443">
        <v>16.8</v>
      </c>
      <c r="K1443" t="str">
        <f t="shared" si="256"/>
        <v>809</v>
      </c>
      <c r="L1443">
        <v>16.8</v>
      </c>
    </row>
    <row r="1444" spans="1:12" x14ac:dyDescent="0.25">
      <c r="A1444" t="str">
        <f t="shared" si="255"/>
        <v>89301000</v>
      </c>
      <c r="B1444" t="str">
        <f t="shared" si="257"/>
        <v>78051000</v>
      </c>
      <c r="C1444" t="str">
        <f t="shared" si="258"/>
        <v>78051004</v>
      </c>
      <c r="D1444">
        <v>89301062</v>
      </c>
      <c r="E1444" t="str">
        <f>"8552145778"</f>
        <v>8552145778</v>
      </c>
      <c r="F1444" s="1">
        <v>44965</v>
      </c>
      <c r="G1444" t="str">
        <f>"0225891"</f>
        <v>0225891</v>
      </c>
      <c r="H1444">
        <v>0.2</v>
      </c>
      <c r="J1444">
        <v>73.540000000000006</v>
      </c>
      <c r="K1444" t="str">
        <f t="shared" si="256"/>
        <v>809</v>
      </c>
      <c r="L1444">
        <v>73.540000000000006</v>
      </c>
    </row>
    <row r="1445" spans="1:12" x14ac:dyDescent="0.25">
      <c r="A1445" t="str">
        <f t="shared" si="255"/>
        <v>89301000</v>
      </c>
      <c r="B1445" t="str">
        <f t="shared" si="257"/>
        <v>78051000</v>
      </c>
      <c r="C1445" t="str">
        <f t="shared" si="258"/>
        <v>78051004</v>
      </c>
      <c r="D1445">
        <v>89301062</v>
      </c>
      <c r="E1445" t="str">
        <f>"8552145778"</f>
        <v>8552145778</v>
      </c>
      <c r="F1445" s="1">
        <v>44965</v>
      </c>
      <c r="G1445" t="str">
        <f>"0096251"</f>
        <v>0096251</v>
      </c>
      <c r="H1445">
        <v>0.17</v>
      </c>
      <c r="J1445">
        <v>198.83</v>
      </c>
      <c r="K1445" t="str">
        <f t="shared" si="256"/>
        <v>809</v>
      </c>
      <c r="L1445">
        <v>198.83</v>
      </c>
    </row>
    <row r="1446" spans="1:12" x14ac:dyDescent="0.25">
      <c r="A1446" t="str">
        <f t="shared" si="255"/>
        <v>89301000</v>
      </c>
      <c r="B1446" t="str">
        <f t="shared" si="257"/>
        <v>78051000</v>
      </c>
      <c r="C1446" t="str">
        <f t="shared" si="258"/>
        <v>78051004</v>
      </c>
      <c r="D1446">
        <v>89301062</v>
      </c>
      <c r="E1446" t="str">
        <f>"8552145778"</f>
        <v>8552145778</v>
      </c>
      <c r="F1446" s="1">
        <v>44965</v>
      </c>
      <c r="G1446" t="str">
        <f>"0098943"</f>
        <v>0098943</v>
      </c>
      <c r="H1446">
        <v>1</v>
      </c>
      <c r="J1446">
        <v>293.81</v>
      </c>
      <c r="K1446" t="str">
        <f t="shared" si="256"/>
        <v>809</v>
      </c>
      <c r="L1446">
        <v>293.81</v>
      </c>
    </row>
    <row r="1447" spans="1:12" x14ac:dyDescent="0.25">
      <c r="A1447" t="str">
        <f t="shared" si="255"/>
        <v>89301000</v>
      </c>
      <c r="B1447" t="str">
        <f t="shared" si="257"/>
        <v>78051000</v>
      </c>
      <c r="C1447" t="str">
        <f t="shared" si="258"/>
        <v>78051004</v>
      </c>
      <c r="D1447">
        <v>89301062</v>
      </c>
      <c r="E1447" t="str">
        <f>"6811031084"</f>
        <v>6811031084</v>
      </c>
      <c r="F1447" s="1">
        <v>44965</v>
      </c>
      <c r="G1447" t="str">
        <f>"89311"</f>
        <v>89311</v>
      </c>
      <c r="H1447">
        <v>1</v>
      </c>
      <c r="I1447">
        <v>970</v>
      </c>
      <c r="J1447">
        <v>0</v>
      </c>
      <c r="K1447" t="str">
        <f t="shared" si="256"/>
        <v>809</v>
      </c>
      <c r="L1447">
        <v>1425.9</v>
      </c>
    </row>
    <row r="1448" spans="1:12" x14ac:dyDescent="0.25">
      <c r="A1448" t="str">
        <f t="shared" si="255"/>
        <v>89301000</v>
      </c>
      <c r="B1448" t="str">
        <f t="shared" si="257"/>
        <v>78051000</v>
      </c>
      <c r="C1448" t="str">
        <f t="shared" si="258"/>
        <v>78051004</v>
      </c>
      <c r="D1448">
        <v>89301062</v>
      </c>
      <c r="E1448" t="str">
        <f>"6811031084"</f>
        <v>6811031084</v>
      </c>
      <c r="F1448" s="1">
        <v>44965</v>
      </c>
      <c r="G1448" t="str">
        <f>"0090044"</f>
        <v>0090044</v>
      </c>
      <c r="H1448">
        <v>1</v>
      </c>
      <c r="J1448">
        <v>16.8</v>
      </c>
      <c r="K1448" t="str">
        <f t="shared" si="256"/>
        <v>809</v>
      </c>
      <c r="L1448">
        <v>16.8</v>
      </c>
    </row>
    <row r="1449" spans="1:12" x14ac:dyDescent="0.25">
      <c r="A1449" t="str">
        <f t="shared" si="255"/>
        <v>89301000</v>
      </c>
      <c r="B1449" t="str">
        <f t="shared" si="257"/>
        <v>78051000</v>
      </c>
      <c r="C1449" t="str">
        <f t="shared" si="258"/>
        <v>78051004</v>
      </c>
      <c r="D1449">
        <v>89301062</v>
      </c>
      <c r="E1449" t="str">
        <f>"6811031084"</f>
        <v>6811031084</v>
      </c>
      <c r="F1449" s="1">
        <v>44965</v>
      </c>
      <c r="G1449" t="str">
        <f>"0225891"</f>
        <v>0225891</v>
      </c>
      <c r="H1449">
        <v>0.2</v>
      </c>
      <c r="J1449">
        <v>73.540000000000006</v>
      </c>
      <c r="K1449" t="str">
        <f t="shared" si="256"/>
        <v>809</v>
      </c>
      <c r="L1449">
        <v>73.540000000000006</v>
      </c>
    </row>
    <row r="1450" spans="1:12" x14ac:dyDescent="0.25">
      <c r="A1450" t="str">
        <f t="shared" si="255"/>
        <v>89301000</v>
      </c>
      <c r="B1450" t="str">
        <f t="shared" si="257"/>
        <v>78051000</v>
      </c>
      <c r="C1450" t="str">
        <f t="shared" si="258"/>
        <v>78051004</v>
      </c>
      <c r="D1450">
        <v>89301062</v>
      </c>
      <c r="E1450" t="str">
        <f>"6811031084"</f>
        <v>6811031084</v>
      </c>
      <c r="F1450" s="1">
        <v>44965</v>
      </c>
      <c r="G1450" t="str">
        <f>"0096251"</f>
        <v>0096251</v>
      </c>
      <c r="H1450">
        <v>0.17</v>
      </c>
      <c r="J1450">
        <v>198.83</v>
      </c>
      <c r="K1450" t="str">
        <f t="shared" si="256"/>
        <v>809</v>
      </c>
      <c r="L1450">
        <v>198.83</v>
      </c>
    </row>
    <row r="1451" spans="1:12" x14ac:dyDescent="0.25">
      <c r="A1451" t="str">
        <f t="shared" si="255"/>
        <v>89301000</v>
      </c>
      <c r="B1451" t="str">
        <f t="shared" si="257"/>
        <v>78051000</v>
      </c>
      <c r="C1451" t="str">
        <f t="shared" si="258"/>
        <v>78051004</v>
      </c>
      <c r="D1451">
        <v>89301062</v>
      </c>
      <c r="E1451" t="str">
        <f>"6811031084"</f>
        <v>6811031084</v>
      </c>
      <c r="F1451" s="1">
        <v>44965</v>
      </c>
      <c r="G1451" t="str">
        <f>"0098943"</f>
        <v>0098943</v>
      </c>
      <c r="H1451">
        <v>1</v>
      </c>
      <c r="J1451">
        <v>293.81</v>
      </c>
      <c r="K1451" t="str">
        <f t="shared" si="256"/>
        <v>809</v>
      </c>
      <c r="L1451">
        <v>293.81</v>
      </c>
    </row>
    <row r="1452" spans="1:12" x14ac:dyDescent="0.25">
      <c r="A1452" t="str">
        <f t="shared" si="255"/>
        <v>89301000</v>
      </c>
      <c r="B1452" t="str">
        <f t="shared" si="257"/>
        <v>78051000</v>
      </c>
      <c r="C1452" t="str">
        <f t="shared" si="258"/>
        <v>78051004</v>
      </c>
      <c r="D1452">
        <v>89301062</v>
      </c>
      <c r="E1452" t="str">
        <f>"6411270789"</f>
        <v>6411270789</v>
      </c>
      <c r="F1452" s="1">
        <v>44965</v>
      </c>
      <c r="G1452" t="str">
        <f>"89311"</f>
        <v>89311</v>
      </c>
      <c r="H1452">
        <v>1</v>
      </c>
      <c r="I1452">
        <v>970</v>
      </c>
      <c r="J1452">
        <v>0</v>
      </c>
      <c r="K1452" t="str">
        <f t="shared" si="256"/>
        <v>809</v>
      </c>
      <c r="L1452">
        <v>1425.9</v>
      </c>
    </row>
    <row r="1453" spans="1:12" x14ac:dyDescent="0.25">
      <c r="A1453" t="str">
        <f t="shared" si="255"/>
        <v>89301000</v>
      </c>
      <c r="B1453" t="str">
        <f t="shared" si="257"/>
        <v>78051000</v>
      </c>
      <c r="C1453" t="str">
        <f t="shared" si="258"/>
        <v>78051004</v>
      </c>
      <c r="D1453">
        <v>89301062</v>
      </c>
      <c r="E1453" t="str">
        <f>"6411270789"</f>
        <v>6411270789</v>
      </c>
      <c r="F1453" s="1">
        <v>44965</v>
      </c>
      <c r="G1453" t="str">
        <f>"0090044"</f>
        <v>0090044</v>
      </c>
      <c r="H1453">
        <v>1</v>
      </c>
      <c r="J1453">
        <v>16.8</v>
      </c>
      <c r="K1453" t="str">
        <f t="shared" si="256"/>
        <v>809</v>
      </c>
      <c r="L1453">
        <v>16.8</v>
      </c>
    </row>
    <row r="1454" spans="1:12" x14ac:dyDescent="0.25">
      <c r="A1454" t="str">
        <f t="shared" si="255"/>
        <v>89301000</v>
      </c>
      <c r="B1454" t="str">
        <f t="shared" si="257"/>
        <v>78051000</v>
      </c>
      <c r="C1454" t="str">
        <f t="shared" si="258"/>
        <v>78051004</v>
      </c>
      <c r="D1454">
        <v>89301062</v>
      </c>
      <c r="E1454" t="str">
        <f>"6411270789"</f>
        <v>6411270789</v>
      </c>
      <c r="F1454" s="1">
        <v>44965</v>
      </c>
      <c r="G1454" t="str">
        <f>"0225891"</f>
        <v>0225891</v>
      </c>
      <c r="H1454">
        <v>0.2</v>
      </c>
      <c r="J1454">
        <v>73.540000000000006</v>
      </c>
      <c r="K1454" t="str">
        <f t="shared" si="256"/>
        <v>809</v>
      </c>
      <c r="L1454">
        <v>73.540000000000006</v>
      </c>
    </row>
    <row r="1455" spans="1:12" x14ac:dyDescent="0.25">
      <c r="A1455" t="str">
        <f t="shared" si="255"/>
        <v>89301000</v>
      </c>
      <c r="B1455" t="str">
        <f t="shared" si="257"/>
        <v>78051000</v>
      </c>
      <c r="C1455" t="str">
        <f t="shared" si="258"/>
        <v>78051004</v>
      </c>
      <c r="D1455">
        <v>89301062</v>
      </c>
      <c r="E1455" t="str">
        <f>"6411270789"</f>
        <v>6411270789</v>
      </c>
      <c r="F1455" s="1">
        <v>44965</v>
      </c>
      <c r="G1455" t="str">
        <f>"0096251"</f>
        <v>0096251</v>
      </c>
      <c r="H1455">
        <v>0.17</v>
      </c>
      <c r="J1455">
        <v>198.83</v>
      </c>
      <c r="K1455" t="str">
        <f t="shared" si="256"/>
        <v>809</v>
      </c>
      <c r="L1455">
        <v>198.83</v>
      </c>
    </row>
    <row r="1456" spans="1:12" x14ac:dyDescent="0.25">
      <c r="A1456" t="str">
        <f t="shared" si="255"/>
        <v>89301000</v>
      </c>
      <c r="B1456" t="str">
        <f t="shared" si="257"/>
        <v>78051000</v>
      </c>
      <c r="C1456" t="str">
        <f t="shared" si="258"/>
        <v>78051004</v>
      </c>
      <c r="D1456">
        <v>89301062</v>
      </c>
      <c r="E1456" t="str">
        <f>"6411270789"</f>
        <v>6411270789</v>
      </c>
      <c r="F1456" s="1">
        <v>44965</v>
      </c>
      <c r="G1456" t="str">
        <f>"0098943"</f>
        <v>0098943</v>
      </c>
      <c r="H1456">
        <v>1</v>
      </c>
      <c r="J1456">
        <v>293.81</v>
      </c>
      <c r="K1456" t="str">
        <f t="shared" si="256"/>
        <v>809</v>
      </c>
      <c r="L1456">
        <v>293.81</v>
      </c>
    </row>
    <row r="1457" spans="1:12" x14ac:dyDescent="0.25">
      <c r="A1457" t="str">
        <f t="shared" si="255"/>
        <v>89301000</v>
      </c>
      <c r="B1457" t="str">
        <f t="shared" si="257"/>
        <v>78051000</v>
      </c>
      <c r="C1457" t="str">
        <f t="shared" si="258"/>
        <v>78051004</v>
      </c>
      <c r="D1457">
        <v>89301062</v>
      </c>
      <c r="E1457" t="str">
        <f>"5602171223"</f>
        <v>5602171223</v>
      </c>
      <c r="F1457" s="1">
        <v>44972</v>
      </c>
      <c r="G1457" t="str">
        <f>"89311"</f>
        <v>89311</v>
      </c>
      <c r="H1457">
        <v>1</v>
      </c>
      <c r="I1457">
        <v>970</v>
      </c>
      <c r="J1457">
        <v>0</v>
      </c>
      <c r="K1457" t="str">
        <f t="shared" si="256"/>
        <v>809</v>
      </c>
      <c r="L1457">
        <v>1425.9</v>
      </c>
    </row>
    <row r="1458" spans="1:12" x14ac:dyDescent="0.25">
      <c r="A1458" t="str">
        <f t="shared" si="255"/>
        <v>89301000</v>
      </c>
      <c r="B1458" t="str">
        <f t="shared" si="257"/>
        <v>78051000</v>
      </c>
      <c r="C1458" t="str">
        <f t="shared" si="258"/>
        <v>78051004</v>
      </c>
      <c r="D1458">
        <v>89301062</v>
      </c>
      <c r="E1458" t="str">
        <f>"5602171223"</f>
        <v>5602171223</v>
      </c>
      <c r="F1458" s="1">
        <v>44972</v>
      </c>
      <c r="G1458" t="str">
        <f>"0090044"</f>
        <v>0090044</v>
      </c>
      <c r="H1458">
        <v>1</v>
      </c>
      <c r="J1458">
        <v>16.8</v>
      </c>
      <c r="K1458" t="str">
        <f t="shared" si="256"/>
        <v>809</v>
      </c>
      <c r="L1458">
        <v>16.8</v>
      </c>
    </row>
    <row r="1459" spans="1:12" x14ac:dyDescent="0.25">
      <c r="A1459" t="str">
        <f t="shared" si="255"/>
        <v>89301000</v>
      </c>
      <c r="B1459" t="str">
        <f t="shared" si="257"/>
        <v>78051000</v>
      </c>
      <c r="C1459" t="str">
        <f t="shared" si="258"/>
        <v>78051004</v>
      </c>
      <c r="D1459">
        <v>89301062</v>
      </c>
      <c r="E1459" t="str">
        <f>"5602171223"</f>
        <v>5602171223</v>
      </c>
      <c r="F1459" s="1">
        <v>44972</v>
      </c>
      <c r="G1459" t="str">
        <f>"0225891"</f>
        <v>0225891</v>
      </c>
      <c r="H1459">
        <v>0.2</v>
      </c>
      <c r="J1459">
        <v>73.540000000000006</v>
      </c>
      <c r="K1459" t="str">
        <f t="shared" si="256"/>
        <v>809</v>
      </c>
      <c r="L1459">
        <v>73.540000000000006</v>
      </c>
    </row>
    <row r="1460" spans="1:12" x14ac:dyDescent="0.25">
      <c r="A1460" t="str">
        <f t="shared" si="255"/>
        <v>89301000</v>
      </c>
      <c r="B1460" t="str">
        <f t="shared" si="257"/>
        <v>78051000</v>
      </c>
      <c r="C1460" t="str">
        <f t="shared" si="258"/>
        <v>78051004</v>
      </c>
      <c r="D1460">
        <v>89301062</v>
      </c>
      <c r="E1460" t="str">
        <f>"5602171223"</f>
        <v>5602171223</v>
      </c>
      <c r="F1460" s="1">
        <v>44972</v>
      </c>
      <c r="G1460" t="str">
        <f>"0096251"</f>
        <v>0096251</v>
      </c>
      <c r="H1460">
        <v>0.17</v>
      </c>
      <c r="J1460">
        <v>198.83</v>
      </c>
      <c r="K1460" t="str">
        <f t="shared" si="256"/>
        <v>809</v>
      </c>
      <c r="L1460">
        <v>198.83</v>
      </c>
    </row>
    <row r="1461" spans="1:12" x14ac:dyDescent="0.25">
      <c r="A1461" t="str">
        <f t="shared" si="255"/>
        <v>89301000</v>
      </c>
      <c r="B1461" t="str">
        <f t="shared" si="257"/>
        <v>78051000</v>
      </c>
      <c r="C1461" t="str">
        <f t="shared" si="258"/>
        <v>78051004</v>
      </c>
      <c r="D1461">
        <v>89301062</v>
      </c>
      <c r="E1461" t="str">
        <f>"5602171223"</f>
        <v>5602171223</v>
      </c>
      <c r="F1461" s="1">
        <v>44972</v>
      </c>
      <c r="G1461" t="str">
        <f>"0098943"</f>
        <v>0098943</v>
      </c>
      <c r="H1461">
        <v>1</v>
      </c>
      <c r="J1461">
        <v>293.81</v>
      </c>
      <c r="K1461" t="str">
        <f t="shared" si="256"/>
        <v>809</v>
      </c>
      <c r="L1461">
        <v>293.81</v>
      </c>
    </row>
    <row r="1462" spans="1:12" x14ac:dyDescent="0.25">
      <c r="A1462" t="str">
        <f t="shared" si="255"/>
        <v>89301000</v>
      </c>
      <c r="B1462" t="str">
        <f t="shared" si="257"/>
        <v>78051000</v>
      </c>
      <c r="C1462" t="str">
        <f t="shared" si="258"/>
        <v>78051004</v>
      </c>
      <c r="D1462">
        <v>89301062</v>
      </c>
      <c r="E1462" t="str">
        <f>"7551154479"</f>
        <v>7551154479</v>
      </c>
      <c r="F1462" s="1">
        <v>44972</v>
      </c>
      <c r="G1462" t="str">
        <f>"89311"</f>
        <v>89311</v>
      </c>
      <c r="H1462">
        <v>1</v>
      </c>
      <c r="I1462">
        <v>970</v>
      </c>
      <c r="J1462">
        <v>0</v>
      </c>
      <c r="K1462" t="str">
        <f t="shared" si="256"/>
        <v>809</v>
      </c>
      <c r="L1462">
        <v>1425.9</v>
      </c>
    </row>
    <row r="1463" spans="1:12" x14ac:dyDescent="0.25">
      <c r="A1463" t="str">
        <f t="shared" si="255"/>
        <v>89301000</v>
      </c>
      <c r="B1463" t="str">
        <f t="shared" si="257"/>
        <v>78051000</v>
      </c>
      <c r="C1463" t="str">
        <f t="shared" si="258"/>
        <v>78051004</v>
      </c>
      <c r="D1463">
        <v>89301062</v>
      </c>
      <c r="E1463" t="str">
        <f>"7551154479"</f>
        <v>7551154479</v>
      </c>
      <c r="F1463" s="1">
        <v>44972</v>
      </c>
      <c r="G1463" t="str">
        <f>"0090044"</f>
        <v>0090044</v>
      </c>
      <c r="H1463">
        <v>1</v>
      </c>
      <c r="J1463">
        <v>16.8</v>
      </c>
      <c r="K1463" t="str">
        <f t="shared" si="256"/>
        <v>809</v>
      </c>
      <c r="L1463">
        <v>16.8</v>
      </c>
    </row>
    <row r="1464" spans="1:12" x14ac:dyDescent="0.25">
      <c r="A1464" t="str">
        <f t="shared" si="255"/>
        <v>89301000</v>
      </c>
      <c r="B1464" t="str">
        <f t="shared" si="257"/>
        <v>78051000</v>
      </c>
      <c r="C1464" t="str">
        <f t="shared" si="258"/>
        <v>78051004</v>
      </c>
      <c r="D1464">
        <v>89301062</v>
      </c>
      <c r="E1464" t="str">
        <f>"7551154479"</f>
        <v>7551154479</v>
      </c>
      <c r="F1464" s="1">
        <v>44972</v>
      </c>
      <c r="G1464" t="str">
        <f>"0225891"</f>
        <v>0225891</v>
      </c>
      <c r="H1464">
        <v>0.2</v>
      </c>
      <c r="J1464">
        <v>73.540000000000006</v>
      </c>
      <c r="K1464" t="str">
        <f t="shared" si="256"/>
        <v>809</v>
      </c>
      <c r="L1464">
        <v>73.540000000000006</v>
      </c>
    </row>
    <row r="1465" spans="1:12" x14ac:dyDescent="0.25">
      <c r="A1465" t="str">
        <f t="shared" si="255"/>
        <v>89301000</v>
      </c>
      <c r="B1465" t="str">
        <f t="shared" si="257"/>
        <v>78051000</v>
      </c>
      <c r="C1465" t="str">
        <f t="shared" si="258"/>
        <v>78051004</v>
      </c>
      <c r="D1465">
        <v>89301062</v>
      </c>
      <c r="E1465" t="str">
        <f>"7551154479"</f>
        <v>7551154479</v>
      </c>
      <c r="F1465" s="1">
        <v>44972</v>
      </c>
      <c r="G1465" t="str">
        <f>"0096251"</f>
        <v>0096251</v>
      </c>
      <c r="H1465">
        <v>0.17</v>
      </c>
      <c r="J1465">
        <v>198.83</v>
      </c>
      <c r="K1465" t="str">
        <f t="shared" si="256"/>
        <v>809</v>
      </c>
      <c r="L1465">
        <v>198.83</v>
      </c>
    </row>
    <row r="1466" spans="1:12" x14ac:dyDescent="0.25">
      <c r="A1466" t="str">
        <f t="shared" si="255"/>
        <v>89301000</v>
      </c>
      <c r="B1466" t="str">
        <f t="shared" si="257"/>
        <v>78051000</v>
      </c>
      <c r="C1466" t="str">
        <f t="shared" si="258"/>
        <v>78051004</v>
      </c>
      <c r="D1466">
        <v>89301062</v>
      </c>
      <c r="E1466" t="str">
        <f>"7551154479"</f>
        <v>7551154479</v>
      </c>
      <c r="F1466" s="1">
        <v>44972</v>
      </c>
      <c r="G1466" t="str">
        <f>"0098943"</f>
        <v>0098943</v>
      </c>
      <c r="H1466">
        <v>1</v>
      </c>
      <c r="J1466">
        <v>293.81</v>
      </c>
      <c r="K1466" t="str">
        <f t="shared" si="256"/>
        <v>809</v>
      </c>
      <c r="L1466">
        <v>293.81</v>
      </c>
    </row>
    <row r="1467" spans="1:12" x14ac:dyDescent="0.25">
      <c r="A1467" t="str">
        <f t="shared" si="255"/>
        <v>89301000</v>
      </c>
      <c r="B1467" t="str">
        <f t="shared" si="257"/>
        <v>78051000</v>
      </c>
      <c r="C1467" t="str">
        <f t="shared" si="258"/>
        <v>78051004</v>
      </c>
      <c r="D1467">
        <v>89301062</v>
      </c>
      <c r="E1467" t="str">
        <f>"465530478"</f>
        <v>465530478</v>
      </c>
      <c r="F1467" s="1">
        <v>44972</v>
      </c>
      <c r="G1467" t="str">
        <f>"89311"</f>
        <v>89311</v>
      </c>
      <c r="H1467">
        <v>1</v>
      </c>
      <c r="I1467">
        <v>970</v>
      </c>
      <c r="J1467">
        <v>0</v>
      </c>
      <c r="K1467" t="str">
        <f t="shared" ref="K1467:K1486" si="259">"809"</f>
        <v>809</v>
      </c>
      <c r="L1467">
        <v>1425.9</v>
      </c>
    </row>
    <row r="1468" spans="1:12" x14ac:dyDescent="0.25">
      <c r="A1468" t="str">
        <f t="shared" si="255"/>
        <v>89301000</v>
      </c>
      <c r="B1468" t="str">
        <f t="shared" si="257"/>
        <v>78051000</v>
      </c>
      <c r="C1468" t="str">
        <f t="shared" si="258"/>
        <v>78051004</v>
      </c>
      <c r="D1468">
        <v>89301062</v>
      </c>
      <c r="E1468" t="str">
        <f>"465530478"</f>
        <v>465530478</v>
      </c>
      <c r="F1468" s="1">
        <v>44972</v>
      </c>
      <c r="G1468" t="str">
        <f>"0090044"</f>
        <v>0090044</v>
      </c>
      <c r="H1468">
        <v>1</v>
      </c>
      <c r="J1468">
        <v>16.8</v>
      </c>
      <c r="K1468" t="str">
        <f t="shared" si="259"/>
        <v>809</v>
      </c>
      <c r="L1468">
        <v>16.8</v>
      </c>
    </row>
    <row r="1469" spans="1:12" x14ac:dyDescent="0.25">
      <c r="A1469" t="str">
        <f t="shared" si="255"/>
        <v>89301000</v>
      </c>
      <c r="B1469" t="str">
        <f t="shared" si="257"/>
        <v>78051000</v>
      </c>
      <c r="C1469" t="str">
        <f t="shared" si="258"/>
        <v>78051004</v>
      </c>
      <c r="D1469">
        <v>89301062</v>
      </c>
      <c r="E1469" t="str">
        <f>"465530478"</f>
        <v>465530478</v>
      </c>
      <c r="F1469" s="1">
        <v>44972</v>
      </c>
      <c r="G1469" t="str">
        <f>"0225891"</f>
        <v>0225891</v>
      </c>
      <c r="H1469">
        <v>0.2</v>
      </c>
      <c r="J1469">
        <v>73.540000000000006</v>
      </c>
      <c r="K1469" t="str">
        <f t="shared" si="259"/>
        <v>809</v>
      </c>
      <c r="L1469">
        <v>73.540000000000006</v>
      </c>
    </row>
    <row r="1470" spans="1:12" x14ac:dyDescent="0.25">
      <c r="A1470" t="str">
        <f t="shared" si="255"/>
        <v>89301000</v>
      </c>
      <c r="B1470" t="str">
        <f t="shared" si="257"/>
        <v>78051000</v>
      </c>
      <c r="C1470" t="str">
        <f t="shared" si="258"/>
        <v>78051004</v>
      </c>
      <c r="D1470">
        <v>89301062</v>
      </c>
      <c r="E1470" t="str">
        <f>"465530478"</f>
        <v>465530478</v>
      </c>
      <c r="F1470" s="1">
        <v>44972</v>
      </c>
      <c r="G1470" t="str">
        <f>"0096251"</f>
        <v>0096251</v>
      </c>
      <c r="H1470">
        <v>0.17</v>
      </c>
      <c r="J1470">
        <v>198.83</v>
      </c>
      <c r="K1470" t="str">
        <f t="shared" si="259"/>
        <v>809</v>
      </c>
      <c r="L1470">
        <v>198.83</v>
      </c>
    </row>
    <row r="1471" spans="1:12" x14ac:dyDescent="0.25">
      <c r="A1471" t="str">
        <f t="shared" si="255"/>
        <v>89301000</v>
      </c>
      <c r="B1471" t="str">
        <f t="shared" si="257"/>
        <v>78051000</v>
      </c>
      <c r="C1471" t="str">
        <f t="shared" si="258"/>
        <v>78051004</v>
      </c>
      <c r="D1471">
        <v>89301062</v>
      </c>
      <c r="E1471" t="str">
        <f>"465530478"</f>
        <v>465530478</v>
      </c>
      <c r="F1471" s="1">
        <v>44972</v>
      </c>
      <c r="G1471" t="str">
        <f>"0098943"</f>
        <v>0098943</v>
      </c>
      <c r="H1471">
        <v>1</v>
      </c>
      <c r="J1471">
        <v>293.81</v>
      </c>
      <c r="K1471" t="str">
        <f t="shared" si="259"/>
        <v>809</v>
      </c>
      <c r="L1471">
        <v>293.81</v>
      </c>
    </row>
    <row r="1472" spans="1:12" x14ac:dyDescent="0.25">
      <c r="A1472" t="str">
        <f t="shared" si="255"/>
        <v>89301000</v>
      </c>
      <c r="B1472" t="str">
        <f t="shared" si="257"/>
        <v>78051000</v>
      </c>
      <c r="C1472" t="str">
        <f t="shared" si="258"/>
        <v>78051004</v>
      </c>
      <c r="D1472">
        <v>89301062</v>
      </c>
      <c r="E1472" t="str">
        <f>"7405215785"</f>
        <v>7405215785</v>
      </c>
      <c r="F1472" s="1">
        <v>44979</v>
      </c>
      <c r="G1472" t="str">
        <f>"89311"</f>
        <v>89311</v>
      </c>
      <c r="H1472">
        <v>1</v>
      </c>
      <c r="I1472">
        <v>970</v>
      </c>
      <c r="J1472">
        <v>0</v>
      </c>
      <c r="K1472" t="str">
        <f t="shared" si="259"/>
        <v>809</v>
      </c>
      <c r="L1472">
        <v>1425.9</v>
      </c>
    </row>
    <row r="1473" spans="1:12" x14ac:dyDescent="0.25">
      <c r="A1473" t="str">
        <f t="shared" si="255"/>
        <v>89301000</v>
      </c>
      <c r="B1473" t="str">
        <f t="shared" si="257"/>
        <v>78051000</v>
      </c>
      <c r="C1473" t="str">
        <f t="shared" si="258"/>
        <v>78051004</v>
      </c>
      <c r="D1473">
        <v>89301062</v>
      </c>
      <c r="E1473" t="str">
        <f>"7405215785"</f>
        <v>7405215785</v>
      </c>
      <c r="F1473" s="1">
        <v>44979</v>
      </c>
      <c r="G1473" t="str">
        <f>"0090044"</f>
        <v>0090044</v>
      </c>
      <c r="H1473">
        <v>1</v>
      </c>
      <c r="J1473">
        <v>16.8</v>
      </c>
      <c r="K1473" t="str">
        <f t="shared" si="259"/>
        <v>809</v>
      </c>
      <c r="L1473">
        <v>16.8</v>
      </c>
    </row>
    <row r="1474" spans="1:12" x14ac:dyDescent="0.25">
      <c r="A1474" t="str">
        <f t="shared" ref="A1474:A1537" si="260">"89301000"</f>
        <v>89301000</v>
      </c>
      <c r="B1474" t="str">
        <f t="shared" ref="B1474:B1495" si="261">"78051000"</f>
        <v>78051000</v>
      </c>
      <c r="C1474" t="str">
        <f t="shared" si="258"/>
        <v>78051004</v>
      </c>
      <c r="D1474">
        <v>89301062</v>
      </c>
      <c r="E1474" t="str">
        <f>"7405215785"</f>
        <v>7405215785</v>
      </c>
      <c r="F1474" s="1">
        <v>44979</v>
      </c>
      <c r="G1474" t="str">
        <f>"0225891"</f>
        <v>0225891</v>
      </c>
      <c r="H1474">
        <v>0.2</v>
      </c>
      <c r="J1474">
        <v>73.540000000000006</v>
      </c>
      <c r="K1474" t="str">
        <f t="shared" si="259"/>
        <v>809</v>
      </c>
      <c r="L1474">
        <v>73.540000000000006</v>
      </c>
    </row>
    <row r="1475" spans="1:12" x14ac:dyDescent="0.25">
      <c r="A1475" t="str">
        <f t="shared" si="260"/>
        <v>89301000</v>
      </c>
      <c r="B1475" t="str">
        <f t="shared" si="261"/>
        <v>78051000</v>
      </c>
      <c r="C1475" t="str">
        <f t="shared" si="258"/>
        <v>78051004</v>
      </c>
      <c r="D1475">
        <v>89301062</v>
      </c>
      <c r="E1475" t="str">
        <f>"7405215785"</f>
        <v>7405215785</v>
      </c>
      <c r="F1475" s="1">
        <v>44979</v>
      </c>
      <c r="G1475" t="str">
        <f>"0096251"</f>
        <v>0096251</v>
      </c>
      <c r="H1475">
        <v>0.17</v>
      </c>
      <c r="J1475">
        <v>198.83</v>
      </c>
      <c r="K1475" t="str">
        <f t="shared" si="259"/>
        <v>809</v>
      </c>
      <c r="L1475">
        <v>198.83</v>
      </c>
    </row>
    <row r="1476" spans="1:12" x14ac:dyDescent="0.25">
      <c r="A1476" t="str">
        <f t="shared" si="260"/>
        <v>89301000</v>
      </c>
      <c r="B1476" t="str">
        <f t="shared" si="261"/>
        <v>78051000</v>
      </c>
      <c r="C1476" t="str">
        <f t="shared" si="258"/>
        <v>78051004</v>
      </c>
      <c r="D1476">
        <v>89301062</v>
      </c>
      <c r="E1476" t="str">
        <f>"7405215785"</f>
        <v>7405215785</v>
      </c>
      <c r="F1476" s="1">
        <v>44979</v>
      </c>
      <c r="G1476" t="str">
        <f>"0098943"</f>
        <v>0098943</v>
      </c>
      <c r="H1476">
        <v>1</v>
      </c>
      <c r="J1476">
        <v>293.81</v>
      </c>
      <c r="K1476" t="str">
        <f t="shared" si="259"/>
        <v>809</v>
      </c>
      <c r="L1476">
        <v>293.81</v>
      </c>
    </row>
    <row r="1477" spans="1:12" x14ac:dyDescent="0.25">
      <c r="A1477" t="str">
        <f t="shared" si="260"/>
        <v>89301000</v>
      </c>
      <c r="B1477" t="str">
        <f t="shared" si="261"/>
        <v>78051000</v>
      </c>
      <c r="C1477" t="str">
        <f t="shared" si="258"/>
        <v>78051004</v>
      </c>
      <c r="D1477">
        <v>89301062</v>
      </c>
      <c r="E1477" t="str">
        <f>"5808261426"</f>
        <v>5808261426</v>
      </c>
      <c r="F1477" s="1">
        <v>44979</v>
      </c>
      <c r="G1477" t="str">
        <f>"89311"</f>
        <v>89311</v>
      </c>
      <c r="H1477">
        <v>1</v>
      </c>
      <c r="I1477">
        <v>970</v>
      </c>
      <c r="J1477">
        <v>0</v>
      </c>
      <c r="K1477" t="str">
        <f t="shared" si="259"/>
        <v>809</v>
      </c>
      <c r="L1477">
        <v>1425.9</v>
      </c>
    </row>
    <row r="1478" spans="1:12" x14ac:dyDescent="0.25">
      <c r="A1478" t="str">
        <f t="shared" si="260"/>
        <v>89301000</v>
      </c>
      <c r="B1478" t="str">
        <f t="shared" si="261"/>
        <v>78051000</v>
      </c>
      <c r="C1478" t="str">
        <f t="shared" si="258"/>
        <v>78051004</v>
      </c>
      <c r="D1478">
        <v>89301062</v>
      </c>
      <c r="E1478" t="str">
        <f>"5808261426"</f>
        <v>5808261426</v>
      </c>
      <c r="F1478" s="1">
        <v>44979</v>
      </c>
      <c r="G1478" t="str">
        <f>"0090044"</f>
        <v>0090044</v>
      </c>
      <c r="H1478">
        <v>1</v>
      </c>
      <c r="J1478">
        <v>16.8</v>
      </c>
      <c r="K1478" t="str">
        <f t="shared" si="259"/>
        <v>809</v>
      </c>
      <c r="L1478">
        <v>16.8</v>
      </c>
    </row>
    <row r="1479" spans="1:12" x14ac:dyDescent="0.25">
      <c r="A1479" t="str">
        <f t="shared" si="260"/>
        <v>89301000</v>
      </c>
      <c r="B1479" t="str">
        <f t="shared" si="261"/>
        <v>78051000</v>
      </c>
      <c r="C1479" t="str">
        <f t="shared" si="258"/>
        <v>78051004</v>
      </c>
      <c r="D1479">
        <v>89301062</v>
      </c>
      <c r="E1479" t="str">
        <f>"5808261426"</f>
        <v>5808261426</v>
      </c>
      <c r="F1479" s="1">
        <v>44979</v>
      </c>
      <c r="G1479" t="str">
        <f>"0225891"</f>
        <v>0225891</v>
      </c>
      <c r="H1479">
        <v>0.2</v>
      </c>
      <c r="J1479">
        <v>73.540000000000006</v>
      </c>
      <c r="K1479" t="str">
        <f t="shared" si="259"/>
        <v>809</v>
      </c>
      <c r="L1479">
        <v>73.540000000000006</v>
      </c>
    </row>
    <row r="1480" spans="1:12" x14ac:dyDescent="0.25">
      <c r="A1480" t="str">
        <f t="shared" si="260"/>
        <v>89301000</v>
      </c>
      <c r="B1480" t="str">
        <f t="shared" si="261"/>
        <v>78051000</v>
      </c>
      <c r="C1480" t="str">
        <f t="shared" si="258"/>
        <v>78051004</v>
      </c>
      <c r="D1480">
        <v>89301062</v>
      </c>
      <c r="E1480" t="str">
        <f>"5808261426"</f>
        <v>5808261426</v>
      </c>
      <c r="F1480" s="1">
        <v>44979</v>
      </c>
      <c r="G1480" t="str">
        <f>"0096251"</f>
        <v>0096251</v>
      </c>
      <c r="H1480">
        <v>0.17</v>
      </c>
      <c r="J1480">
        <v>198.83</v>
      </c>
      <c r="K1480" t="str">
        <f t="shared" si="259"/>
        <v>809</v>
      </c>
      <c r="L1480">
        <v>198.83</v>
      </c>
    </row>
    <row r="1481" spans="1:12" x14ac:dyDescent="0.25">
      <c r="A1481" t="str">
        <f t="shared" si="260"/>
        <v>89301000</v>
      </c>
      <c r="B1481" t="str">
        <f t="shared" si="261"/>
        <v>78051000</v>
      </c>
      <c r="C1481" t="str">
        <f t="shared" si="258"/>
        <v>78051004</v>
      </c>
      <c r="D1481">
        <v>89301062</v>
      </c>
      <c r="E1481" t="str">
        <f>"5808261426"</f>
        <v>5808261426</v>
      </c>
      <c r="F1481" s="1">
        <v>44979</v>
      </c>
      <c r="G1481" t="str">
        <f>"0098943"</f>
        <v>0098943</v>
      </c>
      <c r="H1481">
        <v>1</v>
      </c>
      <c r="J1481">
        <v>293.81</v>
      </c>
      <c r="K1481" t="str">
        <f t="shared" si="259"/>
        <v>809</v>
      </c>
      <c r="L1481">
        <v>293.81</v>
      </c>
    </row>
    <row r="1482" spans="1:12" x14ac:dyDescent="0.25">
      <c r="A1482" t="str">
        <f t="shared" si="260"/>
        <v>89301000</v>
      </c>
      <c r="B1482" t="str">
        <f t="shared" si="261"/>
        <v>78051000</v>
      </c>
      <c r="C1482" t="str">
        <f t="shared" si="258"/>
        <v>78051004</v>
      </c>
      <c r="D1482">
        <v>89301062</v>
      </c>
      <c r="E1482" t="str">
        <f>"7411254466"</f>
        <v>7411254466</v>
      </c>
      <c r="F1482" s="1">
        <v>44979</v>
      </c>
      <c r="G1482" t="str">
        <f>"89311"</f>
        <v>89311</v>
      </c>
      <c r="H1482">
        <v>1</v>
      </c>
      <c r="I1482">
        <v>970</v>
      </c>
      <c r="J1482">
        <v>0</v>
      </c>
      <c r="K1482" t="str">
        <f t="shared" si="259"/>
        <v>809</v>
      </c>
      <c r="L1482">
        <v>1425.9</v>
      </c>
    </row>
    <row r="1483" spans="1:12" x14ac:dyDescent="0.25">
      <c r="A1483" t="str">
        <f t="shared" si="260"/>
        <v>89301000</v>
      </c>
      <c r="B1483" t="str">
        <f t="shared" si="261"/>
        <v>78051000</v>
      </c>
      <c r="C1483" t="str">
        <f t="shared" si="258"/>
        <v>78051004</v>
      </c>
      <c r="D1483">
        <v>89301062</v>
      </c>
      <c r="E1483" t="str">
        <f>"7411254466"</f>
        <v>7411254466</v>
      </c>
      <c r="F1483" s="1">
        <v>44979</v>
      </c>
      <c r="G1483" t="str">
        <f>"0090044"</f>
        <v>0090044</v>
      </c>
      <c r="H1483">
        <v>1</v>
      </c>
      <c r="J1483">
        <v>16.8</v>
      </c>
      <c r="K1483" t="str">
        <f t="shared" si="259"/>
        <v>809</v>
      </c>
      <c r="L1483">
        <v>16.8</v>
      </c>
    </row>
    <row r="1484" spans="1:12" x14ac:dyDescent="0.25">
      <c r="A1484" t="str">
        <f t="shared" si="260"/>
        <v>89301000</v>
      </c>
      <c r="B1484" t="str">
        <f t="shared" si="261"/>
        <v>78051000</v>
      </c>
      <c r="C1484" t="str">
        <f t="shared" si="258"/>
        <v>78051004</v>
      </c>
      <c r="D1484">
        <v>89301062</v>
      </c>
      <c r="E1484" t="str">
        <f>"7411254466"</f>
        <v>7411254466</v>
      </c>
      <c r="F1484" s="1">
        <v>44979</v>
      </c>
      <c r="G1484" t="str">
        <f>"0225891"</f>
        <v>0225891</v>
      </c>
      <c r="H1484">
        <v>0.2</v>
      </c>
      <c r="J1484">
        <v>73.540000000000006</v>
      </c>
      <c r="K1484" t="str">
        <f t="shared" si="259"/>
        <v>809</v>
      </c>
      <c r="L1484">
        <v>73.540000000000006</v>
      </c>
    </row>
    <row r="1485" spans="1:12" x14ac:dyDescent="0.25">
      <c r="A1485" t="str">
        <f t="shared" si="260"/>
        <v>89301000</v>
      </c>
      <c r="B1485" t="str">
        <f t="shared" si="261"/>
        <v>78051000</v>
      </c>
      <c r="C1485" t="str">
        <f t="shared" si="258"/>
        <v>78051004</v>
      </c>
      <c r="D1485">
        <v>89301062</v>
      </c>
      <c r="E1485" t="str">
        <f>"7411254466"</f>
        <v>7411254466</v>
      </c>
      <c r="F1485" s="1">
        <v>44979</v>
      </c>
      <c r="G1485" t="str">
        <f>"0096251"</f>
        <v>0096251</v>
      </c>
      <c r="H1485">
        <v>0.17</v>
      </c>
      <c r="J1485">
        <v>198.83</v>
      </c>
      <c r="K1485" t="str">
        <f t="shared" si="259"/>
        <v>809</v>
      </c>
      <c r="L1485">
        <v>198.83</v>
      </c>
    </row>
    <row r="1486" spans="1:12" x14ac:dyDescent="0.25">
      <c r="A1486" t="str">
        <f t="shared" si="260"/>
        <v>89301000</v>
      </c>
      <c r="B1486" t="str">
        <f t="shared" si="261"/>
        <v>78051000</v>
      </c>
      <c r="C1486" t="str">
        <f t="shared" si="258"/>
        <v>78051004</v>
      </c>
      <c r="D1486">
        <v>89301062</v>
      </c>
      <c r="E1486" t="str">
        <f>"7411254466"</f>
        <v>7411254466</v>
      </c>
      <c r="F1486" s="1">
        <v>44979</v>
      </c>
      <c r="G1486" t="str">
        <f>"0098943"</f>
        <v>0098943</v>
      </c>
      <c r="H1486">
        <v>1</v>
      </c>
      <c r="J1486">
        <v>293.81</v>
      </c>
      <c r="K1486" t="str">
        <f t="shared" si="259"/>
        <v>809</v>
      </c>
      <c r="L1486">
        <v>293.81</v>
      </c>
    </row>
    <row r="1487" spans="1:12" x14ac:dyDescent="0.25">
      <c r="A1487" t="str">
        <f t="shared" si="260"/>
        <v>89301000</v>
      </c>
      <c r="B1487" t="str">
        <f t="shared" si="261"/>
        <v>78051000</v>
      </c>
      <c r="C1487" t="str">
        <f t="shared" ref="C1487:C1495" si="262">"78051017"</f>
        <v>78051017</v>
      </c>
      <c r="D1487">
        <v>89301062</v>
      </c>
      <c r="E1487" t="str">
        <f>"8552145778"</f>
        <v>8552145778</v>
      </c>
      <c r="F1487" s="1">
        <v>44965</v>
      </c>
      <c r="G1487" t="str">
        <f t="shared" ref="G1487:G1495" si="263">"89615"</f>
        <v>89615</v>
      </c>
      <c r="H1487">
        <v>1</v>
      </c>
      <c r="I1487">
        <v>2199</v>
      </c>
      <c r="J1487">
        <v>0</v>
      </c>
      <c r="K1487" t="str">
        <f t="shared" ref="K1487:K1495" si="264">"810"</f>
        <v>810</v>
      </c>
      <c r="L1487">
        <v>1429.35</v>
      </c>
    </row>
    <row r="1488" spans="1:12" x14ac:dyDescent="0.25">
      <c r="A1488" t="str">
        <f t="shared" si="260"/>
        <v>89301000</v>
      </c>
      <c r="B1488" t="str">
        <f t="shared" si="261"/>
        <v>78051000</v>
      </c>
      <c r="C1488" t="str">
        <f t="shared" si="262"/>
        <v>78051017</v>
      </c>
      <c r="D1488">
        <v>89301062</v>
      </c>
      <c r="E1488" t="str">
        <f>"6811031084"</f>
        <v>6811031084</v>
      </c>
      <c r="F1488" s="1">
        <v>44965</v>
      </c>
      <c r="G1488" t="str">
        <f t="shared" si="263"/>
        <v>89615</v>
      </c>
      <c r="H1488">
        <v>1</v>
      </c>
      <c r="I1488">
        <v>2199</v>
      </c>
      <c r="J1488">
        <v>0</v>
      </c>
      <c r="K1488" t="str">
        <f t="shared" si="264"/>
        <v>810</v>
      </c>
      <c r="L1488">
        <v>1429.35</v>
      </c>
    </row>
    <row r="1489" spans="1:12" x14ac:dyDescent="0.25">
      <c r="A1489" t="str">
        <f t="shared" si="260"/>
        <v>89301000</v>
      </c>
      <c r="B1489" t="str">
        <f t="shared" si="261"/>
        <v>78051000</v>
      </c>
      <c r="C1489" t="str">
        <f t="shared" si="262"/>
        <v>78051017</v>
      </c>
      <c r="D1489">
        <v>89301062</v>
      </c>
      <c r="E1489" t="str">
        <f>"6411270789"</f>
        <v>6411270789</v>
      </c>
      <c r="F1489" s="1">
        <v>44965</v>
      </c>
      <c r="G1489" t="str">
        <f t="shared" si="263"/>
        <v>89615</v>
      </c>
      <c r="H1489">
        <v>1</v>
      </c>
      <c r="I1489">
        <v>2199</v>
      </c>
      <c r="J1489">
        <v>0</v>
      </c>
      <c r="K1489" t="str">
        <f t="shared" si="264"/>
        <v>810</v>
      </c>
      <c r="L1489">
        <v>1429.35</v>
      </c>
    </row>
    <row r="1490" spans="1:12" x14ac:dyDescent="0.25">
      <c r="A1490" t="str">
        <f t="shared" si="260"/>
        <v>89301000</v>
      </c>
      <c r="B1490" t="str">
        <f t="shared" si="261"/>
        <v>78051000</v>
      </c>
      <c r="C1490" t="str">
        <f t="shared" si="262"/>
        <v>78051017</v>
      </c>
      <c r="D1490">
        <v>89301062</v>
      </c>
      <c r="E1490" t="str">
        <f>"5602171223"</f>
        <v>5602171223</v>
      </c>
      <c r="F1490" s="1">
        <v>44972</v>
      </c>
      <c r="G1490" t="str">
        <f t="shared" si="263"/>
        <v>89615</v>
      </c>
      <c r="H1490">
        <v>1</v>
      </c>
      <c r="I1490">
        <v>2199</v>
      </c>
      <c r="J1490">
        <v>0</v>
      </c>
      <c r="K1490" t="str">
        <f t="shared" si="264"/>
        <v>810</v>
      </c>
      <c r="L1490">
        <v>1429.35</v>
      </c>
    </row>
    <row r="1491" spans="1:12" x14ac:dyDescent="0.25">
      <c r="A1491" t="str">
        <f t="shared" si="260"/>
        <v>89301000</v>
      </c>
      <c r="B1491" t="str">
        <f t="shared" si="261"/>
        <v>78051000</v>
      </c>
      <c r="C1491" t="str">
        <f t="shared" si="262"/>
        <v>78051017</v>
      </c>
      <c r="D1491">
        <v>89301062</v>
      </c>
      <c r="E1491" t="str">
        <f>"7551154479"</f>
        <v>7551154479</v>
      </c>
      <c r="F1491" s="1">
        <v>44972</v>
      </c>
      <c r="G1491" t="str">
        <f t="shared" si="263"/>
        <v>89615</v>
      </c>
      <c r="H1491">
        <v>1</v>
      </c>
      <c r="I1491">
        <v>2199</v>
      </c>
      <c r="J1491">
        <v>0</v>
      </c>
      <c r="K1491" t="str">
        <f t="shared" si="264"/>
        <v>810</v>
      </c>
      <c r="L1491">
        <v>1429.35</v>
      </c>
    </row>
    <row r="1492" spans="1:12" x14ac:dyDescent="0.25">
      <c r="A1492" t="str">
        <f t="shared" si="260"/>
        <v>89301000</v>
      </c>
      <c r="B1492" t="str">
        <f t="shared" si="261"/>
        <v>78051000</v>
      </c>
      <c r="C1492" t="str">
        <f t="shared" si="262"/>
        <v>78051017</v>
      </c>
      <c r="D1492">
        <v>89301062</v>
      </c>
      <c r="E1492" t="str">
        <f>"465530478"</f>
        <v>465530478</v>
      </c>
      <c r="F1492" s="1">
        <v>44972</v>
      </c>
      <c r="G1492" t="str">
        <f t="shared" si="263"/>
        <v>89615</v>
      </c>
      <c r="H1492">
        <v>1</v>
      </c>
      <c r="I1492">
        <v>2199</v>
      </c>
      <c r="J1492">
        <v>0</v>
      </c>
      <c r="K1492" t="str">
        <f t="shared" si="264"/>
        <v>810</v>
      </c>
      <c r="L1492">
        <v>1429.35</v>
      </c>
    </row>
    <row r="1493" spans="1:12" x14ac:dyDescent="0.25">
      <c r="A1493" t="str">
        <f t="shared" si="260"/>
        <v>89301000</v>
      </c>
      <c r="B1493" t="str">
        <f t="shared" si="261"/>
        <v>78051000</v>
      </c>
      <c r="C1493" t="str">
        <f t="shared" si="262"/>
        <v>78051017</v>
      </c>
      <c r="D1493">
        <v>89301062</v>
      </c>
      <c r="E1493" t="str">
        <f>"7405215785"</f>
        <v>7405215785</v>
      </c>
      <c r="F1493" s="1">
        <v>44979</v>
      </c>
      <c r="G1493" t="str">
        <f t="shared" si="263"/>
        <v>89615</v>
      </c>
      <c r="H1493">
        <v>1</v>
      </c>
      <c r="I1493">
        <v>2199</v>
      </c>
      <c r="J1493">
        <v>0</v>
      </c>
      <c r="K1493" t="str">
        <f t="shared" si="264"/>
        <v>810</v>
      </c>
      <c r="L1493">
        <v>1429.35</v>
      </c>
    </row>
    <row r="1494" spans="1:12" x14ac:dyDescent="0.25">
      <c r="A1494" t="str">
        <f t="shared" si="260"/>
        <v>89301000</v>
      </c>
      <c r="B1494" t="str">
        <f t="shared" si="261"/>
        <v>78051000</v>
      </c>
      <c r="C1494" t="str">
        <f t="shared" si="262"/>
        <v>78051017</v>
      </c>
      <c r="D1494">
        <v>89301062</v>
      </c>
      <c r="E1494" t="str">
        <f>"5808261426"</f>
        <v>5808261426</v>
      </c>
      <c r="F1494" s="1">
        <v>44979</v>
      </c>
      <c r="G1494" t="str">
        <f t="shared" si="263"/>
        <v>89615</v>
      </c>
      <c r="H1494">
        <v>1</v>
      </c>
      <c r="I1494">
        <v>2199</v>
      </c>
      <c r="J1494">
        <v>0</v>
      </c>
      <c r="K1494" t="str">
        <f t="shared" si="264"/>
        <v>810</v>
      </c>
      <c r="L1494">
        <v>1429.35</v>
      </c>
    </row>
    <row r="1495" spans="1:12" x14ac:dyDescent="0.25">
      <c r="A1495" t="str">
        <f t="shared" si="260"/>
        <v>89301000</v>
      </c>
      <c r="B1495" t="str">
        <f t="shared" si="261"/>
        <v>78051000</v>
      </c>
      <c r="C1495" t="str">
        <f t="shared" si="262"/>
        <v>78051017</v>
      </c>
      <c r="D1495">
        <v>89301062</v>
      </c>
      <c r="E1495" t="str">
        <f>"7411254466"</f>
        <v>7411254466</v>
      </c>
      <c r="F1495" s="1">
        <v>44979</v>
      </c>
      <c r="G1495" t="str">
        <f t="shared" si="263"/>
        <v>89615</v>
      </c>
      <c r="H1495">
        <v>1</v>
      </c>
      <c r="I1495">
        <v>2199</v>
      </c>
      <c r="J1495">
        <v>0</v>
      </c>
      <c r="K1495" t="str">
        <f t="shared" si="264"/>
        <v>810</v>
      </c>
      <c r="L1495">
        <v>1429.35</v>
      </c>
    </row>
    <row r="1496" spans="1:12" x14ac:dyDescent="0.25">
      <c r="A1496" t="str">
        <f t="shared" si="260"/>
        <v>89301000</v>
      </c>
      <c r="B1496" t="str">
        <f t="shared" ref="B1496:B1503" si="265">"92401000"</f>
        <v>92401000</v>
      </c>
      <c r="C1496" t="str">
        <f t="shared" ref="C1496:C1503" si="266">"92401001"</f>
        <v>92401001</v>
      </c>
      <c r="D1496">
        <v>89301212</v>
      </c>
      <c r="E1496" t="str">
        <f t="shared" ref="E1496:E1503" si="267">"7754600535"</f>
        <v>7754600535</v>
      </c>
      <c r="F1496" s="1">
        <v>44971</v>
      </c>
      <c r="G1496" t="str">
        <f>"09111"</f>
        <v>09111</v>
      </c>
      <c r="H1496">
        <v>1</v>
      </c>
      <c r="I1496">
        <v>36</v>
      </c>
      <c r="J1496">
        <v>0</v>
      </c>
      <c r="K1496" t="str">
        <f t="shared" ref="K1496:K1503" si="268">"818"</f>
        <v>818</v>
      </c>
      <c r="L1496">
        <v>45.36</v>
      </c>
    </row>
    <row r="1497" spans="1:12" x14ac:dyDescent="0.25">
      <c r="A1497" t="str">
        <f t="shared" si="260"/>
        <v>89301000</v>
      </c>
      <c r="B1497" t="str">
        <f t="shared" si="265"/>
        <v>92401000</v>
      </c>
      <c r="C1497" t="str">
        <f t="shared" si="266"/>
        <v>92401001</v>
      </c>
      <c r="D1497">
        <v>89301212</v>
      </c>
      <c r="E1497" t="str">
        <f t="shared" si="267"/>
        <v>7754600535</v>
      </c>
      <c r="F1497" s="1">
        <v>44971</v>
      </c>
      <c r="G1497" t="str">
        <f>"96163"</f>
        <v>96163</v>
      </c>
      <c r="H1497">
        <v>1</v>
      </c>
      <c r="I1497">
        <v>28</v>
      </c>
      <c r="J1497">
        <v>0</v>
      </c>
      <c r="K1497" t="str">
        <f t="shared" si="268"/>
        <v>818</v>
      </c>
      <c r="L1497">
        <v>27.16</v>
      </c>
    </row>
    <row r="1498" spans="1:12" x14ac:dyDescent="0.25">
      <c r="A1498" t="str">
        <f t="shared" si="260"/>
        <v>89301000</v>
      </c>
      <c r="B1498" t="str">
        <f t="shared" si="265"/>
        <v>92401000</v>
      </c>
      <c r="C1498" t="str">
        <f t="shared" si="266"/>
        <v>92401001</v>
      </c>
      <c r="D1498">
        <v>89301212</v>
      </c>
      <c r="E1498" t="str">
        <f t="shared" si="267"/>
        <v>7754600535</v>
      </c>
      <c r="F1498" s="1">
        <v>44978</v>
      </c>
      <c r="G1498" t="str">
        <f>"09111"</f>
        <v>09111</v>
      </c>
      <c r="H1498">
        <v>1</v>
      </c>
      <c r="I1498">
        <v>36</v>
      </c>
      <c r="J1498">
        <v>0</v>
      </c>
      <c r="K1498" t="str">
        <f t="shared" si="268"/>
        <v>818</v>
      </c>
      <c r="L1498">
        <v>45.36</v>
      </c>
    </row>
    <row r="1499" spans="1:12" x14ac:dyDescent="0.25">
      <c r="A1499" t="str">
        <f t="shared" si="260"/>
        <v>89301000</v>
      </c>
      <c r="B1499" t="str">
        <f t="shared" si="265"/>
        <v>92401000</v>
      </c>
      <c r="C1499" t="str">
        <f t="shared" si="266"/>
        <v>92401001</v>
      </c>
      <c r="D1499">
        <v>89301212</v>
      </c>
      <c r="E1499" t="str">
        <f t="shared" si="267"/>
        <v>7754600535</v>
      </c>
      <c r="F1499" s="1">
        <v>44978</v>
      </c>
      <c r="G1499" t="str">
        <f>"96163"</f>
        <v>96163</v>
      </c>
      <c r="H1499">
        <v>1</v>
      </c>
      <c r="I1499">
        <v>28</v>
      </c>
      <c r="J1499">
        <v>0</v>
      </c>
      <c r="K1499" t="str">
        <f t="shared" si="268"/>
        <v>818</v>
      </c>
      <c r="L1499">
        <v>27.16</v>
      </c>
    </row>
    <row r="1500" spans="1:12" x14ac:dyDescent="0.25">
      <c r="A1500" t="str">
        <f t="shared" si="260"/>
        <v>89301000</v>
      </c>
      <c r="B1500" t="str">
        <f t="shared" si="265"/>
        <v>92401000</v>
      </c>
      <c r="C1500" t="str">
        <f t="shared" si="266"/>
        <v>92401001</v>
      </c>
      <c r="D1500">
        <v>89301212</v>
      </c>
      <c r="E1500" t="str">
        <f t="shared" si="267"/>
        <v>7754600535</v>
      </c>
      <c r="F1500" s="1">
        <v>44978</v>
      </c>
      <c r="G1500" t="str">
        <f>"96167"</f>
        <v>96167</v>
      </c>
      <c r="H1500">
        <v>1</v>
      </c>
      <c r="I1500">
        <v>67</v>
      </c>
      <c r="J1500">
        <v>0</v>
      </c>
      <c r="K1500" t="str">
        <f t="shared" si="268"/>
        <v>818</v>
      </c>
      <c r="L1500">
        <v>64.989999999999995</v>
      </c>
    </row>
    <row r="1501" spans="1:12" x14ac:dyDescent="0.25">
      <c r="A1501" t="str">
        <f t="shared" si="260"/>
        <v>89301000</v>
      </c>
      <c r="B1501" t="str">
        <f t="shared" si="265"/>
        <v>92401000</v>
      </c>
      <c r="C1501" t="str">
        <f t="shared" si="266"/>
        <v>92401001</v>
      </c>
      <c r="D1501">
        <v>89301212</v>
      </c>
      <c r="E1501" t="str">
        <f t="shared" si="267"/>
        <v>7754600535</v>
      </c>
      <c r="F1501" s="1">
        <v>44985</v>
      </c>
      <c r="G1501" t="str">
        <f>"09111"</f>
        <v>09111</v>
      </c>
      <c r="H1501">
        <v>1</v>
      </c>
      <c r="I1501">
        <v>36</v>
      </c>
      <c r="J1501">
        <v>0</v>
      </c>
      <c r="K1501" t="str">
        <f t="shared" si="268"/>
        <v>818</v>
      </c>
      <c r="L1501">
        <v>45.36</v>
      </c>
    </row>
    <row r="1502" spans="1:12" x14ac:dyDescent="0.25">
      <c r="A1502" t="str">
        <f t="shared" si="260"/>
        <v>89301000</v>
      </c>
      <c r="B1502" t="str">
        <f t="shared" si="265"/>
        <v>92401000</v>
      </c>
      <c r="C1502" t="str">
        <f t="shared" si="266"/>
        <v>92401001</v>
      </c>
      <c r="D1502">
        <v>89301212</v>
      </c>
      <c r="E1502" t="str">
        <f t="shared" si="267"/>
        <v>7754600535</v>
      </c>
      <c r="F1502" s="1">
        <v>44985</v>
      </c>
      <c r="G1502" t="str">
        <f>"96163"</f>
        <v>96163</v>
      </c>
      <c r="H1502">
        <v>1</v>
      </c>
      <c r="I1502">
        <v>28</v>
      </c>
      <c r="J1502">
        <v>0</v>
      </c>
      <c r="K1502" t="str">
        <f t="shared" si="268"/>
        <v>818</v>
      </c>
      <c r="L1502">
        <v>27.16</v>
      </c>
    </row>
    <row r="1503" spans="1:12" x14ac:dyDescent="0.25">
      <c r="A1503" t="str">
        <f t="shared" si="260"/>
        <v>89301000</v>
      </c>
      <c r="B1503" t="str">
        <f t="shared" si="265"/>
        <v>92401000</v>
      </c>
      <c r="C1503" t="str">
        <f t="shared" si="266"/>
        <v>92401001</v>
      </c>
      <c r="D1503">
        <v>89301212</v>
      </c>
      <c r="E1503" t="str">
        <f t="shared" si="267"/>
        <v>7754600535</v>
      </c>
      <c r="F1503" s="1">
        <v>44985</v>
      </c>
      <c r="G1503" t="str">
        <f>"96167"</f>
        <v>96167</v>
      </c>
      <c r="H1503">
        <v>1</v>
      </c>
      <c r="I1503">
        <v>67</v>
      </c>
      <c r="J1503">
        <v>0</v>
      </c>
      <c r="K1503" t="str">
        <f t="shared" si="268"/>
        <v>818</v>
      </c>
      <c r="L1503">
        <v>64.989999999999995</v>
      </c>
    </row>
    <row r="1504" spans="1:12" x14ac:dyDescent="0.25">
      <c r="A1504" t="str">
        <f t="shared" si="260"/>
        <v>89301000</v>
      </c>
      <c r="B1504" t="str">
        <f>"94102000"</f>
        <v>94102000</v>
      </c>
      <c r="C1504" t="str">
        <f>"94102834"</f>
        <v>94102834</v>
      </c>
      <c r="D1504">
        <v>89301172</v>
      </c>
      <c r="E1504" t="str">
        <f>"8453225891"</f>
        <v>8453225891</v>
      </c>
      <c r="F1504" s="1">
        <v>44963</v>
      </c>
      <c r="G1504" t="str">
        <f>"89713"</f>
        <v>89713</v>
      </c>
      <c r="H1504">
        <v>1</v>
      </c>
      <c r="I1504">
        <v>5411</v>
      </c>
      <c r="J1504">
        <v>0</v>
      </c>
      <c r="K1504" t="str">
        <f>"810"</f>
        <v>810</v>
      </c>
      <c r="L1504">
        <v>3517.15</v>
      </c>
    </row>
    <row r="1505" spans="1:12" x14ac:dyDescent="0.25">
      <c r="A1505" t="str">
        <f t="shared" si="260"/>
        <v>89301000</v>
      </c>
      <c r="B1505" t="str">
        <f>"94102000"</f>
        <v>94102000</v>
      </c>
      <c r="C1505" t="str">
        <f>"94102834"</f>
        <v>94102834</v>
      </c>
      <c r="D1505">
        <v>89301172</v>
      </c>
      <c r="E1505" t="str">
        <f>"8453225891"</f>
        <v>8453225891</v>
      </c>
      <c r="F1505" s="1">
        <v>44963</v>
      </c>
      <c r="G1505" t="str">
        <f>"89725"</f>
        <v>89725</v>
      </c>
      <c r="H1505">
        <v>1</v>
      </c>
      <c r="I1505">
        <v>2863</v>
      </c>
      <c r="J1505">
        <v>0</v>
      </c>
      <c r="K1505" t="str">
        <f>"810"</f>
        <v>810</v>
      </c>
      <c r="L1505">
        <v>1860.95</v>
      </c>
    </row>
    <row r="1506" spans="1:12" x14ac:dyDescent="0.25">
      <c r="A1506" t="str">
        <f t="shared" si="260"/>
        <v>89301000</v>
      </c>
      <c r="B1506" t="str">
        <f>"94102000"</f>
        <v>94102000</v>
      </c>
      <c r="C1506" t="str">
        <f>"94102834"</f>
        <v>94102834</v>
      </c>
      <c r="D1506">
        <v>89301172</v>
      </c>
      <c r="E1506" t="str">
        <f>"8453225891"</f>
        <v>8453225891</v>
      </c>
      <c r="F1506" s="1">
        <v>44963</v>
      </c>
      <c r="G1506" t="str">
        <f>"89713"</f>
        <v>89713</v>
      </c>
      <c r="H1506">
        <v>1</v>
      </c>
      <c r="I1506">
        <v>5411</v>
      </c>
      <c r="J1506">
        <v>0</v>
      </c>
      <c r="K1506" t="str">
        <f>"810"</f>
        <v>810</v>
      </c>
      <c r="L1506">
        <v>3517.15</v>
      </c>
    </row>
    <row r="1507" spans="1:12" x14ac:dyDescent="0.25">
      <c r="A1507" t="str">
        <f t="shared" si="260"/>
        <v>89301000</v>
      </c>
      <c r="B1507" t="str">
        <f>"94102000"</f>
        <v>94102000</v>
      </c>
      <c r="C1507" t="str">
        <f>"94102834"</f>
        <v>94102834</v>
      </c>
      <c r="D1507">
        <v>89301172</v>
      </c>
      <c r="E1507" t="str">
        <f>"8453225891"</f>
        <v>8453225891</v>
      </c>
      <c r="F1507" s="1">
        <v>44963</v>
      </c>
      <c r="G1507" t="str">
        <f>"0207746"</f>
        <v>0207746</v>
      </c>
      <c r="H1507">
        <v>0.2</v>
      </c>
      <c r="J1507">
        <v>1727.02</v>
      </c>
      <c r="K1507" t="str">
        <f>"810"</f>
        <v>810</v>
      </c>
      <c r="L1507">
        <v>1727.02</v>
      </c>
    </row>
    <row r="1508" spans="1:12" x14ac:dyDescent="0.25">
      <c r="A1508" t="str">
        <f t="shared" si="260"/>
        <v>89301000</v>
      </c>
      <c r="B1508" t="str">
        <f>"85600000"</f>
        <v>85600000</v>
      </c>
      <c r="C1508" t="str">
        <f>"85600421"</f>
        <v>85600421</v>
      </c>
      <c r="D1508">
        <v>89301212</v>
      </c>
      <c r="E1508" t="str">
        <f>"9757234091"</f>
        <v>9757234091</v>
      </c>
      <c r="F1508" s="1">
        <v>44971</v>
      </c>
      <c r="G1508" t="str">
        <f>"89517"</f>
        <v>89517</v>
      </c>
      <c r="H1508">
        <v>1</v>
      </c>
      <c r="I1508">
        <v>994</v>
      </c>
      <c r="J1508">
        <v>0</v>
      </c>
      <c r="K1508" t="str">
        <f t="shared" ref="K1508:K1517" si="269">"809"</f>
        <v>809</v>
      </c>
      <c r="L1508">
        <v>1461.18</v>
      </c>
    </row>
    <row r="1509" spans="1:12" x14ac:dyDescent="0.25">
      <c r="A1509" t="str">
        <f t="shared" si="260"/>
        <v>89301000</v>
      </c>
      <c r="B1509" t="str">
        <f>"85600000"</f>
        <v>85600000</v>
      </c>
      <c r="C1509" t="str">
        <f>"85600421"</f>
        <v>85600421</v>
      </c>
      <c r="D1509">
        <v>89301212</v>
      </c>
      <c r="E1509" t="str">
        <f>"9757234091"</f>
        <v>9757234091</v>
      </c>
      <c r="F1509" s="1">
        <v>44971</v>
      </c>
      <c r="G1509" t="str">
        <f>"89514"</f>
        <v>89514</v>
      </c>
      <c r="H1509">
        <v>1</v>
      </c>
      <c r="I1509">
        <v>378</v>
      </c>
      <c r="J1509">
        <v>0</v>
      </c>
      <c r="K1509" t="str">
        <f t="shared" si="269"/>
        <v>809</v>
      </c>
      <c r="L1509">
        <v>555.66</v>
      </c>
    </row>
    <row r="1510" spans="1:12" x14ac:dyDescent="0.25">
      <c r="A1510" t="str">
        <f t="shared" si="260"/>
        <v>89301000</v>
      </c>
      <c r="B1510" t="str">
        <f>"85600000"</f>
        <v>85600000</v>
      </c>
      <c r="C1510" t="str">
        <f>"85600421"</f>
        <v>85600421</v>
      </c>
      <c r="D1510">
        <v>89301212</v>
      </c>
      <c r="E1510" t="str">
        <f>"9757234091"</f>
        <v>9757234091</v>
      </c>
      <c r="F1510" s="1">
        <v>44971</v>
      </c>
      <c r="G1510" t="str">
        <f>"89513"</f>
        <v>89513</v>
      </c>
      <c r="H1510">
        <v>1</v>
      </c>
      <c r="I1510">
        <v>378</v>
      </c>
      <c r="J1510">
        <v>0</v>
      </c>
      <c r="K1510" t="str">
        <f t="shared" si="269"/>
        <v>809</v>
      </c>
      <c r="L1510">
        <v>555.66</v>
      </c>
    </row>
    <row r="1511" spans="1:12" x14ac:dyDescent="0.25">
      <c r="A1511" t="str">
        <f t="shared" si="260"/>
        <v>89301000</v>
      </c>
      <c r="B1511" t="str">
        <f t="shared" ref="B1511:B1556" si="270">"95202000"</f>
        <v>95202000</v>
      </c>
      <c r="C1511" t="str">
        <f t="shared" ref="C1511:C1517" si="271">"95202511"</f>
        <v>95202511</v>
      </c>
      <c r="D1511">
        <v>89301036</v>
      </c>
      <c r="E1511" t="str">
        <f>"6753040404"</f>
        <v>6753040404</v>
      </c>
      <c r="F1511" s="1">
        <v>44971</v>
      </c>
      <c r="G1511" t="str">
        <f>"89131"</f>
        <v>89131</v>
      </c>
      <c r="H1511">
        <v>1</v>
      </c>
      <c r="I1511">
        <v>190</v>
      </c>
      <c r="J1511">
        <v>0</v>
      </c>
      <c r="K1511" t="str">
        <f t="shared" si="269"/>
        <v>809</v>
      </c>
      <c r="L1511">
        <v>279.3</v>
      </c>
    </row>
    <row r="1512" spans="1:12" x14ac:dyDescent="0.25">
      <c r="A1512" t="str">
        <f t="shared" si="260"/>
        <v>89301000</v>
      </c>
      <c r="B1512" t="str">
        <f t="shared" si="270"/>
        <v>95202000</v>
      </c>
      <c r="C1512" t="str">
        <f t="shared" si="271"/>
        <v>95202511</v>
      </c>
      <c r="D1512">
        <v>89301036</v>
      </c>
      <c r="E1512" t="str">
        <f>"6753040404"</f>
        <v>6753040404</v>
      </c>
      <c r="F1512" s="1">
        <v>44971</v>
      </c>
      <c r="G1512" t="str">
        <f>"09572"</f>
        <v>09572</v>
      </c>
      <c r="H1512">
        <v>1</v>
      </c>
      <c r="I1512">
        <v>0</v>
      </c>
      <c r="J1512">
        <v>0</v>
      </c>
      <c r="K1512" t="str">
        <f t="shared" si="269"/>
        <v>809</v>
      </c>
      <c r="L1512">
        <v>0</v>
      </c>
    </row>
    <row r="1513" spans="1:12" x14ac:dyDescent="0.25">
      <c r="A1513" t="str">
        <f t="shared" si="260"/>
        <v>89301000</v>
      </c>
      <c r="B1513" t="str">
        <f t="shared" si="270"/>
        <v>95202000</v>
      </c>
      <c r="C1513" t="str">
        <f t="shared" si="271"/>
        <v>95202511</v>
      </c>
      <c r="D1513">
        <v>89301042</v>
      </c>
      <c r="E1513" t="str">
        <f>"6559300990"</f>
        <v>6559300990</v>
      </c>
      <c r="F1513" s="1">
        <v>44970</v>
      </c>
      <c r="G1513" t="str">
        <f>"09135"</f>
        <v>09135</v>
      </c>
      <c r="H1513">
        <v>1</v>
      </c>
      <c r="I1513">
        <v>179</v>
      </c>
      <c r="J1513">
        <v>0</v>
      </c>
      <c r="K1513" t="str">
        <f t="shared" si="269"/>
        <v>809</v>
      </c>
      <c r="L1513">
        <v>263.13</v>
      </c>
    </row>
    <row r="1514" spans="1:12" x14ac:dyDescent="0.25">
      <c r="A1514" t="str">
        <f t="shared" si="260"/>
        <v>89301000</v>
      </c>
      <c r="B1514" t="str">
        <f t="shared" si="270"/>
        <v>95202000</v>
      </c>
      <c r="C1514" t="str">
        <f t="shared" si="271"/>
        <v>95202511</v>
      </c>
      <c r="D1514">
        <v>89301036</v>
      </c>
      <c r="E1514" t="str">
        <f>"6753040404"</f>
        <v>6753040404</v>
      </c>
      <c r="F1514" s="1">
        <v>44971</v>
      </c>
      <c r="G1514" t="str">
        <f>"89513"</f>
        <v>89513</v>
      </c>
      <c r="H1514">
        <v>1</v>
      </c>
      <c r="I1514">
        <v>378</v>
      </c>
      <c r="J1514">
        <v>0</v>
      </c>
      <c r="K1514" t="str">
        <f t="shared" si="269"/>
        <v>809</v>
      </c>
      <c r="L1514">
        <v>555.66</v>
      </c>
    </row>
    <row r="1515" spans="1:12" x14ac:dyDescent="0.25">
      <c r="A1515" t="str">
        <f t="shared" si="260"/>
        <v>89301000</v>
      </c>
      <c r="B1515" t="str">
        <f t="shared" si="270"/>
        <v>95202000</v>
      </c>
      <c r="C1515" t="str">
        <f t="shared" si="271"/>
        <v>95202511</v>
      </c>
      <c r="D1515">
        <v>89301036</v>
      </c>
      <c r="E1515" t="str">
        <f>"6753040404"</f>
        <v>6753040404</v>
      </c>
      <c r="F1515" s="1">
        <v>44971</v>
      </c>
      <c r="G1515" t="str">
        <f>"89514"</f>
        <v>89514</v>
      </c>
      <c r="H1515">
        <v>1</v>
      </c>
      <c r="I1515">
        <v>378</v>
      </c>
      <c r="J1515">
        <v>0</v>
      </c>
      <c r="K1515" t="str">
        <f t="shared" si="269"/>
        <v>809</v>
      </c>
      <c r="L1515">
        <v>555.66</v>
      </c>
    </row>
    <row r="1516" spans="1:12" x14ac:dyDescent="0.25">
      <c r="A1516" t="str">
        <f t="shared" si="260"/>
        <v>89301000</v>
      </c>
      <c r="B1516" t="str">
        <f t="shared" si="270"/>
        <v>95202000</v>
      </c>
      <c r="C1516" t="str">
        <f t="shared" si="271"/>
        <v>95202511</v>
      </c>
      <c r="D1516">
        <v>89301062</v>
      </c>
      <c r="E1516" t="str">
        <f>"505827069"</f>
        <v>505827069</v>
      </c>
      <c r="F1516" s="1">
        <v>44971</v>
      </c>
      <c r="G1516" t="str">
        <f>"89615"</f>
        <v>89615</v>
      </c>
      <c r="H1516">
        <v>1</v>
      </c>
      <c r="I1516">
        <v>2199</v>
      </c>
      <c r="J1516">
        <v>0</v>
      </c>
      <c r="K1516" t="str">
        <f t="shared" si="269"/>
        <v>809</v>
      </c>
      <c r="L1516">
        <v>1429.35</v>
      </c>
    </row>
    <row r="1517" spans="1:12" x14ac:dyDescent="0.25">
      <c r="A1517" t="str">
        <f t="shared" si="260"/>
        <v>89301000</v>
      </c>
      <c r="B1517" t="str">
        <f t="shared" si="270"/>
        <v>95202000</v>
      </c>
      <c r="C1517" t="str">
        <f t="shared" si="271"/>
        <v>95202511</v>
      </c>
      <c r="D1517">
        <v>89301132</v>
      </c>
      <c r="E1517" t="str">
        <f>"7757235783"</f>
        <v>7757235783</v>
      </c>
      <c r="F1517" s="1">
        <v>44977</v>
      </c>
      <c r="G1517" t="str">
        <f>"89615"</f>
        <v>89615</v>
      </c>
      <c r="H1517">
        <v>1</v>
      </c>
      <c r="I1517">
        <v>2199</v>
      </c>
      <c r="J1517">
        <v>0</v>
      </c>
      <c r="K1517" t="str">
        <f t="shared" si="269"/>
        <v>809</v>
      </c>
      <c r="L1517">
        <v>1429.35</v>
      </c>
    </row>
    <row r="1518" spans="1:12" x14ac:dyDescent="0.25">
      <c r="A1518" t="str">
        <f t="shared" si="260"/>
        <v>89301000</v>
      </c>
      <c r="B1518" t="str">
        <f t="shared" si="270"/>
        <v>95202000</v>
      </c>
      <c r="C1518" t="str">
        <f t="shared" ref="C1518:C1553" si="272">"95202096"</f>
        <v>95202096</v>
      </c>
      <c r="D1518">
        <v>89301167</v>
      </c>
      <c r="E1518" t="str">
        <f t="shared" ref="E1518:E1534" si="273">"5707200807"</f>
        <v>5707200807</v>
      </c>
      <c r="F1518" s="1">
        <v>44970</v>
      </c>
      <c r="G1518" t="str">
        <f>"81329"</f>
        <v>81329</v>
      </c>
      <c r="H1518">
        <v>1</v>
      </c>
      <c r="I1518">
        <v>17</v>
      </c>
      <c r="J1518">
        <v>0</v>
      </c>
      <c r="K1518" t="str">
        <f t="shared" ref="K1518:K1553" si="274">"801"</f>
        <v>801</v>
      </c>
      <c r="L1518">
        <v>14.28</v>
      </c>
    </row>
    <row r="1519" spans="1:12" x14ac:dyDescent="0.25">
      <c r="A1519" t="str">
        <f t="shared" si="260"/>
        <v>89301000</v>
      </c>
      <c r="B1519" t="str">
        <f t="shared" si="270"/>
        <v>95202000</v>
      </c>
      <c r="C1519" t="str">
        <f t="shared" si="272"/>
        <v>95202096</v>
      </c>
      <c r="D1519">
        <v>89301167</v>
      </c>
      <c r="E1519" t="str">
        <f t="shared" si="273"/>
        <v>5707200807</v>
      </c>
      <c r="F1519" s="1">
        <v>44970</v>
      </c>
      <c r="G1519" t="str">
        <f>"81337"</f>
        <v>81337</v>
      </c>
      <c r="H1519">
        <v>1</v>
      </c>
      <c r="I1519">
        <v>20</v>
      </c>
      <c r="J1519">
        <v>0</v>
      </c>
      <c r="K1519" t="str">
        <f t="shared" si="274"/>
        <v>801</v>
      </c>
      <c r="L1519">
        <v>16.8</v>
      </c>
    </row>
    <row r="1520" spans="1:12" x14ac:dyDescent="0.25">
      <c r="A1520" t="str">
        <f t="shared" si="260"/>
        <v>89301000</v>
      </c>
      <c r="B1520" t="str">
        <f t="shared" si="270"/>
        <v>95202000</v>
      </c>
      <c r="C1520" t="str">
        <f t="shared" si="272"/>
        <v>95202096</v>
      </c>
      <c r="D1520">
        <v>89301167</v>
      </c>
      <c r="E1520" t="str">
        <f t="shared" si="273"/>
        <v>5707200807</v>
      </c>
      <c r="F1520" s="1">
        <v>44970</v>
      </c>
      <c r="G1520" t="str">
        <f>"81357"</f>
        <v>81357</v>
      </c>
      <c r="H1520">
        <v>1</v>
      </c>
      <c r="I1520">
        <v>20</v>
      </c>
      <c r="J1520">
        <v>0</v>
      </c>
      <c r="K1520" t="str">
        <f t="shared" si="274"/>
        <v>801</v>
      </c>
      <c r="L1520">
        <v>16.8</v>
      </c>
    </row>
    <row r="1521" spans="1:12" x14ac:dyDescent="0.25">
      <c r="A1521" t="str">
        <f t="shared" si="260"/>
        <v>89301000</v>
      </c>
      <c r="B1521" t="str">
        <f t="shared" si="270"/>
        <v>95202000</v>
      </c>
      <c r="C1521" t="str">
        <f t="shared" si="272"/>
        <v>95202096</v>
      </c>
      <c r="D1521">
        <v>89301167</v>
      </c>
      <c r="E1521" t="str">
        <f t="shared" si="273"/>
        <v>5707200807</v>
      </c>
      <c r="F1521" s="1">
        <v>44970</v>
      </c>
      <c r="G1521" t="str">
        <f>"81365"</f>
        <v>81365</v>
      </c>
      <c r="H1521">
        <v>1</v>
      </c>
      <c r="I1521">
        <v>16</v>
      </c>
      <c r="J1521">
        <v>0</v>
      </c>
      <c r="K1521" t="str">
        <f t="shared" si="274"/>
        <v>801</v>
      </c>
      <c r="L1521">
        <v>13.44</v>
      </c>
    </row>
    <row r="1522" spans="1:12" x14ac:dyDescent="0.25">
      <c r="A1522" t="str">
        <f t="shared" si="260"/>
        <v>89301000</v>
      </c>
      <c r="B1522" t="str">
        <f t="shared" si="270"/>
        <v>95202000</v>
      </c>
      <c r="C1522" t="str">
        <f t="shared" si="272"/>
        <v>95202096</v>
      </c>
      <c r="D1522">
        <v>89301167</v>
      </c>
      <c r="E1522" t="str">
        <f t="shared" si="273"/>
        <v>5707200807</v>
      </c>
      <c r="F1522" s="1">
        <v>44970</v>
      </c>
      <c r="G1522" t="str">
        <f>"81383"</f>
        <v>81383</v>
      </c>
      <c r="H1522">
        <v>1</v>
      </c>
      <c r="I1522">
        <v>24</v>
      </c>
      <c r="J1522">
        <v>0</v>
      </c>
      <c r="K1522" t="str">
        <f t="shared" si="274"/>
        <v>801</v>
      </c>
      <c r="L1522">
        <v>20.16</v>
      </c>
    </row>
    <row r="1523" spans="1:12" x14ac:dyDescent="0.25">
      <c r="A1523" t="str">
        <f t="shared" si="260"/>
        <v>89301000</v>
      </c>
      <c r="B1523" t="str">
        <f t="shared" si="270"/>
        <v>95202000</v>
      </c>
      <c r="C1523" t="str">
        <f t="shared" si="272"/>
        <v>95202096</v>
      </c>
      <c r="D1523">
        <v>89301167</v>
      </c>
      <c r="E1523" t="str">
        <f t="shared" si="273"/>
        <v>5707200807</v>
      </c>
      <c r="F1523" s="1">
        <v>44970</v>
      </c>
      <c r="G1523" t="str">
        <f>"81393"</f>
        <v>81393</v>
      </c>
      <c r="H1523">
        <v>1</v>
      </c>
      <c r="I1523">
        <v>24</v>
      </c>
      <c r="J1523">
        <v>0</v>
      </c>
      <c r="K1523" t="str">
        <f t="shared" si="274"/>
        <v>801</v>
      </c>
      <c r="L1523">
        <v>20.16</v>
      </c>
    </row>
    <row r="1524" spans="1:12" x14ac:dyDescent="0.25">
      <c r="A1524" t="str">
        <f t="shared" si="260"/>
        <v>89301000</v>
      </c>
      <c r="B1524" t="str">
        <f t="shared" si="270"/>
        <v>95202000</v>
      </c>
      <c r="C1524" t="str">
        <f t="shared" si="272"/>
        <v>95202096</v>
      </c>
      <c r="D1524">
        <v>89301167</v>
      </c>
      <c r="E1524" t="str">
        <f t="shared" si="273"/>
        <v>5707200807</v>
      </c>
      <c r="F1524" s="1">
        <v>44970</v>
      </c>
      <c r="G1524" t="str">
        <f>"81421"</f>
        <v>81421</v>
      </c>
      <c r="H1524">
        <v>1</v>
      </c>
      <c r="I1524">
        <v>19</v>
      </c>
      <c r="J1524">
        <v>0</v>
      </c>
      <c r="K1524" t="str">
        <f t="shared" si="274"/>
        <v>801</v>
      </c>
      <c r="L1524">
        <v>15.96</v>
      </c>
    </row>
    <row r="1525" spans="1:12" x14ac:dyDescent="0.25">
      <c r="A1525" t="str">
        <f t="shared" si="260"/>
        <v>89301000</v>
      </c>
      <c r="B1525" t="str">
        <f t="shared" si="270"/>
        <v>95202000</v>
      </c>
      <c r="C1525" t="str">
        <f t="shared" si="272"/>
        <v>95202096</v>
      </c>
      <c r="D1525">
        <v>89301167</v>
      </c>
      <c r="E1525" t="str">
        <f t="shared" si="273"/>
        <v>5707200807</v>
      </c>
      <c r="F1525" s="1">
        <v>44970</v>
      </c>
      <c r="G1525" t="str">
        <f>"81435"</f>
        <v>81435</v>
      </c>
      <c r="H1525">
        <v>1</v>
      </c>
      <c r="I1525">
        <v>22</v>
      </c>
      <c r="J1525">
        <v>0</v>
      </c>
      <c r="K1525" t="str">
        <f t="shared" si="274"/>
        <v>801</v>
      </c>
      <c r="L1525">
        <v>18.48</v>
      </c>
    </row>
    <row r="1526" spans="1:12" x14ac:dyDescent="0.25">
      <c r="A1526" t="str">
        <f t="shared" si="260"/>
        <v>89301000</v>
      </c>
      <c r="B1526" t="str">
        <f t="shared" si="270"/>
        <v>95202000</v>
      </c>
      <c r="C1526" t="str">
        <f t="shared" si="272"/>
        <v>95202096</v>
      </c>
      <c r="D1526">
        <v>89301167</v>
      </c>
      <c r="E1526" t="str">
        <f t="shared" si="273"/>
        <v>5707200807</v>
      </c>
      <c r="F1526" s="1">
        <v>44970</v>
      </c>
      <c r="G1526" t="str">
        <f>"81469"</f>
        <v>81469</v>
      </c>
      <c r="H1526">
        <v>1</v>
      </c>
      <c r="I1526">
        <v>16</v>
      </c>
      <c r="J1526">
        <v>0</v>
      </c>
      <c r="K1526" t="str">
        <f t="shared" si="274"/>
        <v>801</v>
      </c>
      <c r="L1526">
        <v>13.44</v>
      </c>
    </row>
    <row r="1527" spans="1:12" x14ac:dyDescent="0.25">
      <c r="A1527" t="str">
        <f t="shared" si="260"/>
        <v>89301000</v>
      </c>
      <c r="B1527" t="str">
        <f t="shared" si="270"/>
        <v>95202000</v>
      </c>
      <c r="C1527" t="str">
        <f t="shared" si="272"/>
        <v>95202096</v>
      </c>
      <c r="D1527">
        <v>89301167</v>
      </c>
      <c r="E1527" t="str">
        <f t="shared" si="273"/>
        <v>5707200807</v>
      </c>
      <c r="F1527" s="1">
        <v>44970</v>
      </c>
      <c r="G1527" t="str">
        <f>"81499"</f>
        <v>81499</v>
      </c>
      <c r="H1527">
        <v>1</v>
      </c>
      <c r="I1527">
        <v>18</v>
      </c>
      <c r="J1527">
        <v>0</v>
      </c>
      <c r="K1527" t="str">
        <f t="shared" si="274"/>
        <v>801</v>
      </c>
      <c r="L1527">
        <v>15.12</v>
      </c>
    </row>
    <row r="1528" spans="1:12" x14ac:dyDescent="0.25">
      <c r="A1528" t="str">
        <f t="shared" si="260"/>
        <v>89301000</v>
      </c>
      <c r="B1528" t="str">
        <f t="shared" si="270"/>
        <v>95202000</v>
      </c>
      <c r="C1528" t="str">
        <f t="shared" si="272"/>
        <v>95202096</v>
      </c>
      <c r="D1528">
        <v>89301167</v>
      </c>
      <c r="E1528" t="str">
        <f t="shared" si="273"/>
        <v>5707200807</v>
      </c>
      <c r="F1528" s="1">
        <v>44970</v>
      </c>
      <c r="G1528" t="str">
        <f>"81593"</f>
        <v>81593</v>
      </c>
      <c r="H1528">
        <v>1</v>
      </c>
      <c r="I1528">
        <v>22</v>
      </c>
      <c r="J1528">
        <v>0</v>
      </c>
      <c r="K1528" t="str">
        <f t="shared" si="274"/>
        <v>801</v>
      </c>
      <c r="L1528">
        <v>18.48</v>
      </c>
    </row>
    <row r="1529" spans="1:12" x14ac:dyDescent="0.25">
      <c r="A1529" t="str">
        <f t="shared" si="260"/>
        <v>89301000</v>
      </c>
      <c r="B1529" t="str">
        <f t="shared" si="270"/>
        <v>95202000</v>
      </c>
      <c r="C1529" t="str">
        <f t="shared" si="272"/>
        <v>95202096</v>
      </c>
      <c r="D1529">
        <v>89301167</v>
      </c>
      <c r="E1529" t="str">
        <f t="shared" si="273"/>
        <v>5707200807</v>
      </c>
      <c r="F1529" s="1">
        <v>44970</v>
      </c>
      <c r="G1529" t="str">
        <f>"81621"</f>
        <v>81621</v>
      </c>
      <c r="H1529">
        <v>1</v>
      </c>
      <c r="I1529">
        <v>19</v>
      </c>
      <c r="J1529">
        <v>0</v>
      </c>
      <c r="K1529" t="str">
        <f t="shared" si="274"/>
        <v>801</v>
      </c>
      <c r="L1529">
        <v>15.96</v>
      </c>
    </row>
    <row r="1530" spans="1:12" x14ac:dyDescent="0.25">
      <c r="A1530" t="str">
        <f t="shared" si="260"/>
        <v>89301000</v>
      </c>
      <c r="B1530" t="str">
        <f t="shared" si="270"/>
        <v>95202000</v>
      </c>
      <c r="C1530" t="str">
        <f t="shared" si="272"/>
        <v>95202096</v>
      </c>
      <c r="D1530">
        <v>89301167</v>
      </c>
      <c r="E1530" t="str">
        <f t="shared" si="273"/>
        <v>5707200807</v>
      </c>
      <c r="F1530" s="1">
        <v>44970</v>
      </c>
      <c r="G1530" t="str">
        <f>"81625"</f>
        <v>81625</v>
      </c>
      <c r="H1530">
        <v>1</v>
      </c>
      <c r="I1530">
        <v>21</v>
      </c>
      <c r="J1530">
        <v>0</v>
      </c>
      <c r="K1530" t="str">
        <f t="shared" si="274"/>
        <v>801</v>
      </c>
      <c r="L1530">
        <v>17.64</v>
      </c>
    </row>
    <row r="1531" spans="1:12" x14ac:dyDescent="0.25">
      <c r="A1531" t="str">
        <f t="shared" si="260"/>
        <v>89301000</v>
      </c>
      <c r="B1531" t="str">
        <f t="shared" si="270"/>
        <v>95202000</v>
      </c>
      <c r="C1531" t="str">
        <f t="shared" si="272"/>
        <v>95202096</v>
      </c>
      <c r="D1531">
        <v>89301167</v>
      </c>
      <c r="E1531" t="str">
        <f t="shared" si="273"/>
        <v>5707200807</v>
      </c>
      <c r="F1531" s="1">
        <v>44970</v>
      </c>
      <c r="G1531" t="str">
        <f>"91153"</f>
        <v>91153</v>
      </c>
      <c r="H1531">
        <v>1</v>
      </c>
      <c r="I1531">
        <v>153</v>
      </c>
      <c r="J1531">
        <v>0</v>
      </c>
      <c r="K1531" t="str">
        <f t="shared" si="274"/>
        <v>801</v>
      </c>
      <c r="L1531">
        <v>128.52000000000001</v>
      </c>
    </row>
    <row r="1532" spans="1:12" x14ac:dyDescent="0.25">
      <c r="A1532" t="str">
        <f t="shared" si="260"/>
        <v>89301000</v>
      </c>
      <c r="B1532" t="str">
        <f t="shared" si="270"/>
        <v>95202000</v>
      </c>
      <c r="C1532" t="str">
        <f t="shared" si="272"/>
        <v>95202096</v>
      </c>
      <c r="D1532">
        <v>89301167</v>
      </c>
      <c r="E1532" t="str">
        <f t="shared" si="273"/>
        <v>5707200807</v>
      </c>
      <c r="F1532" s="1">
        <v>44970</v>
      </c>
      <c r="G1532" t="str">
        <f>"93189"</f>
        <v>93189</v>
      </c>
      <c r="H1532">
        <v>1</v>
      </c>
      <c r="I1532">
        <v>191</v>
      </c>
      <c r="J1532">
        <v>0</v>
      </c>
      <c r="K1532" t="str">
        <f t="shared" si="274"/>
        <v>801</v>
      </c>
      <c r="L1532">
        <v>160.44</v>
      </c>
    </row>
    <row r="1533" spans="1:12" x14ac:dyDescent="0.25">
      <c r="A1533" t="str">
        <f t="shared" si="260"/>
        <v>89301000</v>
      </c>
      <c r="B1533" t="str">
        <f t="shared" si="270"/>
        <v>95202000</v>
      </c>
      <c r="C1533" t="str">
        <f t="shared" si="272"/>
        <v>95202096</v>
      </c>
      <c r="D1533">
        <v>89301167</v>
      </c>
      <c r="E1533" t="str">
        <f t="shared" si="273"/>
        <v>5707200807</v>
      </c>
      <c r="F1533" s="1">
        <v>44970</v>
      </c>
      <c r="G1533" t="str">
        <f>"93195"</f>
        <v>93195</v>
      </c>
      <c r="H1533">
        <v>1</v>
      </c>
      <c r="I1533">
        <v>183</v>
      </c>
      <c r="J1533">
        <v>0</v>
      </c>
      <c r="K1533" t="str">
        <f t="shared" si="274"/>
        <v>801</v>
      </c>
      <c r="L1533">
        <v>153.72</v>
      </c>
    </row>
    <row r="1534" spans="1:12" x14ac:dyDescent="0.25">
      <c r="A1534" t="str">
        <f t="shared" si="260"/>
        <v>89301000</v>
      </c>
      <c r="B1534" t="str">
        <f t="shared" si="270"/>
        <v>95202000</v>
      </c>
      <c r="C1534" t="str">
        <f t="shared" si="272"/>
        <v>95202096</v>
      </c>
      <c r="D1534">
        <v>89301167</v>
      </c>
      <c r="E1534" t="str">
        <f t="shared" si="273"/>
        <v>5707200807</v>
      </c>
      <c r="F1534" s="1">
        <v>44970</v>
      </c>
      <c r="G1534" t="str">
        <f>"97111"</f>
        <v>97111</v>
      </c>
      <c r="H1534">
        <v>1</v>
      </c>
      <c r="I1534">
        <v>19</v>
      </c>
      <c r="J1534">
        <v>0</v>
      </c>
      <c r="K1534" t="str">
        <f t="shared" si="274"/>
        <v>801</v>
      </c>
      <c r="L1534">
        <v>23.94</v>
      </c>
    </row>
    <row r="1535" spans="1:12" x14ac:dyDescent="0.25">
      <c r="A1535" t="str">
        <f t="shared" si="260"/>
        <v>89301000</v>
      </c>
      <c r="B1535" t="str">
        <f t="shared" si="270"/>
        <v>95202000</v>
      </c>
      <c r="C1535" t="str">
        <f t="shared" si="272"/>
        <v>95202096</v>
      </c>
      <c r="D1535">
        <v>89301082</v>
      </c>
      <c r="E1535" t="str">
        <f>"7955105785"</f>
        <v>7955105785</v>
      </c>
      <c r="F1535" s="1">
        <v>44965</v>
      </c>
      <c r="G1535" t="str">
        <f>"93159"</f>
        <v>93159</v>
      </c>
      <c r="H1535">
        <v>1</v>
      </c>
      <c r="I1535">
        <v>197</v>
      </c>
      <c r="J1535">
        <v>0</v>
      </c>
      <c r="K1535" t="str">
        <f t="shared" si="274"/>
        <v>801</v>
      </c>
      <c r="L1535">
        <v>165.48</v>
      </c>
    </row>
    <row r="1536" spans="1:12" x14ac:dyDescent="0.25">
      <c r="A1536" t="str">
        <f t="shared" si="260"/>
        <v>89301000</v>
      </c>
      <c r="B1536" t="str">
        <f t="shared" si="270"/>
        <v>95202000</v>
      </c>
      <c r="C1536" t="str">
        <f t="shared" si="272"/>
        <v>95202096</v>
      </c>
      <c r="D1536">
        <v>89301082</v>
      </c>
      <c r="E1536" t="str">
        <f>"7955105785"</f>
        <v>7955105785</v>
      </c>
      <c r="F1536" s="1">
        <v>44965</v>
      </c>
      <c r="G1536" t="str">
        <f>"97111"</f>
        <v>97111</v>
      </c>
      <c r="H1536">
        <v>1</v>
      </c>
      <c r="I1536">
        <v>19</v>
      </c>
      <c r="J1536">
        <v>0</v>
      </c>
      <c r="K1536" t="str">
        <f t="shared" si="274"/>
        <v>801</v>
      </c>
      <c r="L1536">
        <v>23.94</v>
      </c>
    </row>
    <row r="1537" spans="1:12" x14ac:dyDescent="0.25">
      <c r="A1537" t="str">
        <f t="shared" si="260"/>
        <v>89301000</v>
      </c>
      <c r="B1537" t="str">
        <f t="shared" si="270"/>
        <v>95202000</v>
      </c>
      <c r="C1537" t="str">
        <f t="shared" si="272"/>
        <v>95202096</v>
      </c>
      <c r="D1537">
        <v>89301167</v>
      </c>
      <c r="E1537" t="str">
        <f t="shared" ref="E1537:E1553" si="275">"520517127"</f>
        <v>520517127</v>
      </c>
      <c r="F1537" s="1">
        <v>44973</v>
      </c>
      <c r="G1537" t="str">
        <f>"81329"</f>
        <v>81329</v>
      </c>
      <c r="H1537">
        <v>1</v>
      </c>
      <c r="I1537">
        <v>17</v>
      </c>
      <c r="J1537">
        <v>0</v>
      </c>
      <c r="K1537" t="str">
        <f t="shared" si="274"/>
        <v>801</v>
      </c>
      <c r="L1537">
        <v>14.28</v>
      </c>
    </row>
    <row r="1538" spans="1:12" x14ac:dyDescent="0.25">
      <c r="A1538" t="str">
        <f t="shared" ref="A1538:A1601" si="276">"89301000"</f>
        <v>89301000</v>
      </c>
      <c r="B1538" t="str">
        <f t="shared" si="270"/>
        <v>95202000</v>
      </c>
      <c r="C1538" t="str">
        <f t="shared" si="272"/>
        <v>95202096</v>
      </c>
      <c r="D1538">
        <v>89301167</v>
      </c>
      <c r="E1538" t="str">
        <f t="shared" si="275"/>
        <v>520517127</v>
      </c>
      <c r="F1538" s="1">
        <v>44973</v>
      </c>
      <c r="G1538" t="str">
        <f>"81337"</f>
        <v>81337</v>
      </c>
      <c r="H1538">
        <v>1</v>
      </c>
      <c r="I1538">
        <v>20</v>
      </c>
      <c r="J1538">
        <v>0</v>
      </c>
      <c r="K1538" t="str">
        <f t="shared" si="274"/>
        <v>801</v>
      </c>
      <c r="L1538">
        <v>16.8</v>
      </c>
    </row>
    <row r="1539" spans="1:12" x14ac:dyDescent="0.25">
      <c r="A1539" t="str">
        <f t="shared" si="276"/>
        <v>89301000</v>
      </c>
      <c r="B1539" t="str">
        <f t="shared" si="270"/>
        <v>95202000</v>
      </c>
      <c r="C1539" t="str">
        <f t="shared" si="272"/>
        <v>95202096</v>
      </c>
      <c r="D1539">
        <v>89301167</v>
      </c>
      <c r="E1539" t="str">
        <f t="shared" si="275"/>
        <v>520517127</v>
      </c>
      <c r="F1539" s="1">
        <v>44973</v>
      </c>
      <c r="G1539" t="str">
        <f>"81357"</f>
        <v>81357</v>
      </c>
      <c r="H1539">
        <v>1</v>
      </c>
      <c r="I1539">
        <v>20</v>
      </c>
      <c r="J1539">
        <v>0</v>
      </c>
      <c r="K1539" t="str">
        <f t="shared" si="274"/>
        <v>801</v>
      </c>
      <c r="L1539">
        <v>16.8</v>
      </c>
    </row>
    <row r="1540" spans="1:12" x14ac:dyDescent="0.25">
      <c r="A1540" t="str">
        <f t="shared" si="276"/>
        <v>89301000</v>
      </c>
      <c r="B1540" t="str">
        <f t="shared" si="270"/>
        <v>95202000</v>
      </c>
      <c r="C1540" t="str">
        <f t="shared" si="272"/>
        <v>95202096</v>
      </c>
      <c r="D1540">
        <v>89301167</v>
      </c>
      <c r="E1540" t="str">
        <f t="shared" si="275"/>
        <v>520517127</v>
      </c>
      <c r="F1540" s="1">
        <v>44973</v>
      </c>
      <c r="G1540" t="str">
        <f>"81361"</f>
        <v>81361</v>
      </c>
      <c r="H1540">
        <v>1</v>
      </c>
      <c r="I1540">
        <v>17</v>
      </c>
      <c r="J1540">
        <v>0</v>
      </c>
      <c r="K1540" t="str">
        <f t="shared" si="274"/>
        <v>801</v>
      </c>
      <c r="L1540">
        <v>14.28</v>
      </c>
    </row>
    <row r="1541" spans="1:12" x14ac:dyDescent="0.25">
      <c r="A1541" t="str">
        <f t="shared" si="276"/>
        <v>89301000</v>
      </c>
      <c r="B1541" t="str">
        <f t="shared" si="270"/>
        <v>95202000</v>
      </c>
      <c r="C1541" t="str">
        <f t="shared" si="272"/>
        <v>95202096</v>
      </c>
      <c r="D1541">
        <v>89301167</v>
      </c>
      <c r="E1541" t="str">
        <f t="shared" si="275"/>
        <v>520517127</v>
      </c>
      <c r="F1541" s="1">
        <v>44973</v>
      </c>
      <c r="G1541" t="str">
        <f>"81383"</f>
        <v>81383</v>
      </c>
      <c r="H1541">
        <v>1</v>
      </c>
      <c r="I1541">
        <v>24</v>
      </c>
      <c r="J1541">
        <v>0</v>
      </c>
      <c r="K1541" t="str">
        <f t="shared" si="274"/>
        <v>801</v>
      </c>
      <c r="L1541">
        <v>20.16</v>
      </c>
    </row>
    <row r="1542" spans="1:12" x14ac:dyDescent="0.25">
      <c r="A1542" t="str">
        <f t="shared" si="276"/>
        <v>89301000</v>
      </c>
      <c r="B1542" t="str">
        <f t="shared" si="270"/>
        <v>95202000</v>
      </c>
      <c r="C1542" t="str">
        <f t="shared" si="272"/>
        <v>95202096</v>
      </c>
      <c r="D1542">
        <v>89301167</v>
      </c>
      <c r="E1542" t="str">
        <f t="shared" si="275"/>
        <v>520517127</v>
      </c>
      <c r="F1542" s="1">
        <v>44973</v>
      </c>
      <c r="G1542" t="str">
        <f>"81393"</f>
        <v>81393</v>
      </c>
      <c r="H1542">
        <v>1</v>
      </c>
      <c r="I1542">
        <v>24</v>
      </c>
      <c r="J1542">
        <v>0</v>
      </c>
      <c r="K1542" t="str">
        <f t="shared" si="274"/>
        <v>801</v>
      </c>
      <c r="L1542">
        <v>20.16</v>
      </c>
    </row>
    <row r="1543" spans="1:12" x14ac:dyDescent="0.25">
      <c r="A1543" t="str">
        <f t="shared" si="276"/>
        <v>89301000</v>
      </c>
      <c r="B1543" t="str">
        <f t="shared" si="270"/>
        <v>95202000</v>
      </c>
      <c r="C1543" t="str">
        <f t="shared" si="272"/>
        <v>95202096</v>
      </c>
      <c r="D1543">
        <v>89301167</v>
      </c>
      <c r="E1543" t="str">
        <f t="shared" si="275"/>
        <v>520517127</v>
      </c>
      <c r="F1543" s="1">
        <v>44973</v>
      </c>
      <c r="G1543" t="str">
        <f>"81421"</f>
        <v>81421</v>
      </c>
      <c r="H1543">
        <v>1</v>
      </c>
      <c r="I1543">
        <v>19</v>
      </c>
      <c r="J1543">
        <v>0</v>
      </c>
      <c r="K1543" t="str">
        <f t="shared" si="274"/>
        <v>801</v>
      </c>
      <c r="L1543">
        <v>15.96</v>
      </c>
    </row>
    <row r="1544" spans="1:12" x14ac:dyDescent="0.25">
      <c r="A1544" t="str">
        <f t="shared" si="276"/>
        <v>89301000</v>
      </c>
      <c r="B1544" t="str">
        <f t="shared" si="270"/>
        <v>95202000</v>
      </c>
      <c r="C1544" t="str">
        <f t="shared" si="272"/>
        <v>95202096</v>
      </c>
      <c r="D1544">
        <v>89301167</v>
      </c>
      <c r="E1544" t="str">
        <f t="shared" si="275"/>
        <v>520517127</v>
      </c>
      <c r="F1544" s="1">
        <v>44973</v>
      </c>
      <c r="G1544" t="str">
        <f>"81435"</f>
        <v>81435</v>
      </c>
      <c r="H1544">
        <v>1</v>
      </c>
      <c r="I1544">
        <v>22</v>
      </c>
      <c r="J1544">
        <v>0</v>
      </c>
      <c r="K1544" t="str">
        <f t="shared" si="274"/>
        <v>801</v>
      </c>
      <c r="L1544">
        <v>18.48</v>
      </c>
    </row>
    <row r="1545" spans="1:12" x14ac:dyDescent="0.25">
      <c r="A1545" t="str">
        <f t="shared" si="276"/>
        <v>89301000</v>
      </c>
      <c r="B1545" t="str">
        <f t="shared" si="270"/>
        <v>95202000</v>
      </c>
      <c r="C1545" t="str">
        <f t="shared" si="272"/>
        <v>95202096</v>
      </c>
      <c r="D1545">
        <v>89301167</v>
      </c>
      <c r="E1545" t="str">
        <f t="shared" si="275"/>
        <v>520517127</v>
      </c>
      <c r="F1545" s="1">
        <v>44973</v>
      </c>
      <c r="G1545" t="str">
        <f>"81439"</f>
        <v>81439</v>
      </c>
      <c r="H1545">
        <v>1</v>
      </c>
      <c r="I1545">
        <v>16</v>
      </c>
      <c r="J1545">
        <v>0</v>
      </c>
      <c r="K1545" t="str">
        <f t="shared" si="274"/>
        <v>801</v>
      </c>
      <c r="L1545">
        <v>13.44</v>
      </c>
    </row>
    <row r="1546" spans="1:12" x14ac:dyDescent="0.25">
      <c r="A1546" t="str">
        <f t="shared" si="276"/>
        <v>89301000</v>
      </c>
      <c r="B1546" t="str">
        <f t="shared" si="270"/>
        <v>95202000</v>
      </c>
      <c r="C1546" t="str">
        <f t="shared" si="272"/>
        <v>95202096</v>
      </c>
      <c r="D1546">
        <v>89301167</v>
      </c>
      <c r="E1546" t="str">
        <f t="shared" si="275"/>
        <v>520517127</v>
      </c>
      <c r="F1546" s="1">
        <v>44973</v>
      </c>
      <c r="G1546" t="str">
        <f>"81469"</f>
        <v>81469</v>
      </c>
      <c r="H1546">
        <v>1</v>
      </c>
      <c r="I1546">
        <v>16</v>
      </c>
      <c r="J1546">
        <v>0</v>
      </c>
      <c r="K1546" t="str">
        <f t="shared" si="274"/>
        <v>801</v>
      </c>
      <c r="L1546">
        <v>13.44</v>
      </c>
    </row>
    <row r="1547" spans="1:12" x14ac:dyDescent="0.25">
      <c r="A1547" t="str">
        <f t="shared" si="276"/>
        <v>89301000</v>
      </c>
      <c r="B1547" t="str">
        <f t="shared" si="270"/>
        <v>95202000</v>
      </c>
      <c r="C1547" t="str">
        <f t="shared" si="272"/>
        <v>95202096</v>
      </c>
      <c r="D1547">
        <v>89301167</v>
      </c>
      <c r="E1547" t="str">
        <f t="shared" si="275"/>
        <v>520517127</v>
      </c>
      <c r="F1547" s="1">
        <v>44973</v>
      </c>
      <c r="G1547" t="str">
        <f>"81499"</f>
        <v>81499</v>
      </c>
      <c r="H1547">
        <v>1</v>
      </c>
      <c r="I1547">
        <v>18</v>
      </c>
      <c r="J1547">
        <v>0</v>
      </c>
      <c r="K1547" t="str">
        <f t="shared" si="274"/>
        <v>801</v>
      </c>
      <c r="L1547">
        <v>15.12</v>
      </c>
    </row>
    <row r="1548" spans="1:12" x14ac:dyDescent="0.25">
      <c r="A1548" t="str">
        <f t="shared" si="276"/>
        <v>89301000</v>
      </c>
      <c r="B1548" t="str">
        <f t="shared" si="270"/>
        <v>95202000</v>
      </c>
      <c r="C1548" t="str">
        <f t="shared" si="272"/>
        <v>95202096</v>
      </c>
      <c r="D1548">
        <v>89301167</v>
      </c>
      <c r="E1548" t="str">
        <f t="shared" si="275"/>
        <v>520517127</v>
      </c>
      <c r="F1548" s="1">
        <v>44973</v>
      </c>
      <c r="G1548" t="str">
        <f>"81523"</f>
        <v>81523</v>
      </c>
      <c r="H1548">
        <v>1</v>
      </c>
      <c r="I1548">
        <v>23</v>
      </c>
      <c r="J1548">
        <v>0</v>
      </c>
      <c r="K1548" t="str">
        <f t="shared" si="274"/>
        <v>801</v>
      </c>
      <c r="L1548">
        <v>19.32</v>
      </c>
    </row>
    <row r="1549" spans="1:12" x14ac:dyDescent="0.25">
      <c r="A1549" t="str">
        <f t="shared" si="276"/>
        <v>89301000</v>
      </c>
      <c r="B1549" t="str">
        <f t="shared" si="270"/>
        <v>95202000</v>
      </c>
      <c r="C1549" t="str">
        <f t="shared" si="272"/>
        <v>95202096</v>
      </c>
      <c r="D1549">
        <v>89301167</v>
      </c>
      <c r="E1549" t="str">
        <f t="shared" si="275"/>
        <v>520517127</v>
      </c>
      <c r="F1549" s="1">
        <v>44973</v>
      </c>
      <c r="G1549" t="str">
        <f>"81593"</f>
        <v>81593</v>
      </c>
      <c r="H1549">
        <v>1</v>
      </c>
      <c r="I1549">
        <v>22</v>
      </c>
      <c r="J1549">
        <v>0</v>
      </c>
      <c r="K1549" t="str">
        <f t="shared" si="274"/>
        <v>801</v>
      </c>
      <c r="L1549">
        <v>18.48</v>
      </c>
    </row>
    <row r="1550" spans="1:12" x14ac:dyDescent="0.25">
      <c r="A1550" t="str">
        <f t="shared" si="276"/>
        <v>89301000</v>
      </c>
      <c r="B1550" t="str">
        <f t="shared" si="270"/>
        <v>95202000</v>
      </c>
      <c r="C1550" t="str">
        <f t="shared" si="272"/>
        <v>95202096</v>
      </c>
      <c r="D1550">
        <v>89301167</v>
      </c>
      <c r="E1550" t="str">
        <f t="shared" si="275"/>
        <v>520517127</v>
      </c>
      <c r="F1550" s="1">
        <v>44973</v>
      </c>
      <c r="G1550" t="str">
        <f>"81621"</f>
        <v>81621</v>
      </c>
      <c r="H1550">
        <v>1</v>
      </c>
      <c r="I1550">
        <v>19</v>
      </c>
      <c r="J1550">
        <v>0</v>
      </c>
      <c r="K1550" t="str">
        <f t="shared" si="274"/>
        <v>801</v>
      </c>
      <c r="L1550">
        <v>15.96</v>
      </c>
    </row>
    <row r="1551" spans="1:12" x14ac:dyDescent="0.25">
      <c r="A1551" t="str">
        <f t="shared" si="276"/>
        <v>89301000</v>
      </c>
      <c r="B1551" t="str">
        <f t="shared" si="270"/>
        <v>95202000</v>
      </c>
      <c r="C1551" t="str">
        <f t="shared" si="272"/>
        <v>95202096</v>
      </c>
      <c r="D1551">
        <v>89301167</v>
      </c>
      <c r="E1551" t="str">
        <f t="shared" si="275"/>
        <v>520517127</v>
      </c>
      <c r="F1551" s="1">
        <v>44973</v>
      </c>
      <c r="G1551" t="str">
        <f>"81625"</f>
        <v>81625</v>
      </c>
      <c r="H1551">
        <v>1</v>
      </c>
      <c r="I1551">
        <v>21</v>
      </c>
      <c r="J1551">
        <v>0</v>
      </c>
      <c r="K1551" t="str">
        <f t="shared" si="274"/>
        <v>801</v>
      </c>
      <c r="L1551">
        <v>17.64</v>
      </c>
    </row>
    <row r="1552" spans="1:12" x14ac:dyDescent="0.25">
      <c r="A1552" t="str">
        <f t="shared" si="276"/>
        <v>89301000</v>
      </c>
      <c r="B1552" t="str">
        <f t="shared" si="270"/>
        <v>95202000</v>
      </c>
      <c r="C1552" t="str">
        <f t="shared" si="272"/>
        <v>95202096</v>
      </c>
      <c r="D1552">
        <v>89301167</v>
      </c>
      <c r="E1552" t="str">
        <f t="shared" si="275"/>
        <v>520517127</v>
      </c>
      <c r="F1552" s="1">
        <v>44973</v>
      </c>
      <c r="G1552" t="str">
        <f>"91153"</f>
        <v>91153</v>
      </c>
      <c r="H1552">
        <v>1</v>
      </c>
      <c r="I1552">
        <v>153</v>
      </c>
      <c r="J1552">
        <v>0</v>
      </c>
      <c r="K1552" t="str">
        <f t="shared" si="274"/>
        <v>801</v>
      </c>
      <c r="L1552">
        <v>128.52000000000001</v>
      </c>
    </row>
    <row r="1553" spans="1:12" x14ac:dyDescent="0.25">
      <c r="A1553" t="str">
        <f t="shared" si="276"/>
        <v>89301000</v>
      </c>
      <c r="B1553" t="str">
        <f t="shared" si="270"/>
        <v>95202000</v>
      </c>
      <c r="C1553" t="str">
        <f t="shared" si="272"/>
        <v>95202096</v>
      </c>
      <c r="D1553">
        <v>89301167</v>
      </c>
      <c r="E1553" t="str">
        <f t="shared" si="275"/>
        <v>520517127</v>
      </c>
      <c r="F1553" s="1">
        <v>44973</v>
      </c>
      <c r="G1553" t="str">
        <f>"97111"</f>
        <v>97111</v>
      </c>
      <c r="H1553">
        <v>1</v>
      </c>
      <c r="I1553">
        <v>19</v>
      </c>
      <c r="J1553">
        <v>0</v>
      </c>
      <c r="K1553" t="str">
        <f t="shared" si="274"/>
        <v>801</v>
      </c>
      <c r="L1553">
        <v>23.94</v>
      </c>
    </row>
    <row r="1554" spans="1:12" x14ac:dyDescent="0.25">
      <c r="A1554" t="str">
        <f t="shared" si="276"/>
        <v>89301000</v>
      </c>
      <c r="B1554" t="str">
        <f t="shared" si="270"/>
        <v>95202000</v>
      </c>
      <c r="C1554" t="str">
        <f>"95202818"</f>
        <v>95202818</v>
      </c>
      <c r="D1554">
        <v>89301167</v>
      </c>
      <c r="E1554" t="str">
        <f>"5707200807"</f>
        <v>5707200807</v>
      </c>
      <c r="F1554" s="1">
        <v>44970</v>
      </c>
      <c r="G1554" t="str">
        <f>"96167"</f>
        <v>96167</v>
      </c>
      <c r="H1554">
        <v>1</v>
      </c>
      <c r="I1554">
        <v>67</v>
      </c>
      <c r="J1554">
        <v>0</v>
      </c>
      <c r="K1554" t="str">
        <f>"818"</f>
        <v>818</v>
      </c>
      <c r="L1554">
        <v>64.989999999999995</v>
      </c>
    </row>
    <row r="1555" spans="1:12" x14ac:dyDescent="0.25">
      <c r="A1555" t="str">
        <f t="shared" si="276"/>
        <v>89301000</v>
      </c>
      <c r="B1555" t="str">
        <f t="shared" si="270"/>
        <v>95202000</v>
      </c>
      <c r="C1555" t="str">
        <f>"95202818"</f>
        <v>95202818</v>
      </c>
      <c r="D1555">
        <v>89301167</v>
      </c>
      <c r="E1555" t="str">
        <f>"520517127"</f>
        <v>520517127</v>
      </c>
      <c r="F1555" s="1">
        <v>44973</v>
      </c>
      <c r="G1555" t="str">
        <f>"96167"</f>
        <v>96167</v>
      </c>
      <c r="H1555">
        <v>1</v>
      </c>
      <c r="I1555">
        <v>67</v>
      </c>
      <c r="J1555">
        <v>0</v>
      </c>
      <c r="K1555" t="str">
        <f>"818"</f>
        <v>818</v>
      </c>
      <c r="L1555">
        <v>64.989999999999995</v>
      </c>
    </row>
    <row r="1556" spans="1:12" x14ac:dyDescent="0.25">
      <c r="A1556" t="str">
        <f t="shared" si="276"/>
        <v>89301000</v>
      </c>
      <c r="B1556" t="str">
        <f t="shared" si="270"/>
        <v>95202000</v>
      </c>
      <c r="C1556" t="str">
        <f>"95202818"</f>
        <v>95202818</v>
      </c>
      <c r="D1556">
        <v>89301167</v>
      </c>
      <c r="E1556" t="str">
        <f>"5707200807"</f>
        <v>5707200807</v>
      </c>
      <c r="F1556" s="1">
        <v>44977</v>
      </c>
      <c r="G1556" t="str">
        <f>"96167"</f>
        <v>96167</v>
      </c>
      <c r="H1556">
        <v>1</v>
      </c>
      <c r="I1556">
        <v>67</v>
      </c>
      <c r="J1556">
        <v>0</v>
      </c>
      <c r="K1556" t="str">
        <f>"818"</f>
        <v>818</v>
      </c>
      <c r="L1556">
        <v>64.989999999999995</v>
      </c>
    </row>
    <row r="1557" spans="1:12" x14ac:dyDescent="0.25">
      <c r="A1557" t="str">
        <f t="shared" si="276"/>
        <v>89301000</v>
      </c>
      <c r="B1557" t="str">
        <f t="shared" ref="B1557:B1592" si="277">"88805000"</f>
        <v>88805000</v>
      </c>
      <c r="C1557" t="str">
        <f>"88805014"</f>
        <v>88805014</v>
      </c>
      <c r="D1557">
        <v>89301282</v>
      </c>
      <c r="E1557" t="str">
        <f>"1212281686"</f>
        <v>1212281686</v>
      </c>
      <c r="F1557" s="1">
        <v>44957</v>
      </c>
      <c r="G1557" t="str">
        <f>"94345"</f>
        <v>94345</v>
      </c>
      <c r="H1557">
        <v>2</v>
      </c>
      <c r="I1557">
        <v>9324</v>
      </c>
      <c r="J1557">
        <v>0</v>
      </c>
      <c r="K1557" t="str">
        <f>"816"</f>
        <v>816</v>
      </c>
      <c r="L1557">
        <v>8391.6</v>
      </c>
    </row>
    <row r="1558" spans="1:12" x14ac:dyDescent="0.25">
      <c r="A1558" t="str">
        <f t="shared" si="276"/>
        <v>89301000</v>
      </c>
      <c r="B1558" t="str">
        <f t="shared" si="277"/>
        <v>88805000</v>
      </c>
      <c r="C1558" t="str">
        <f>"88805014"</f>
        <v>88805014</v>
      </c>
      <c r="D1558">
        <v>89301282</v>
      </c>
      <c r="E1558" t="str">
        <f>"1212281686"</f>
        <v>1212281686</v>
      </c>
      <c r="F1558" s="1">
        <v>44957</v>
      </c>
      <c r="G1558" t="str">
        <f>"94948"</f>
        <v>94948</v>
      </c>
      <c r="H1558">
        <v>1</v>
      </c>
      <c r="I1558">
        <v>0</v>
      </c>
      <c r="J1558">
        <v>0</v>
      </c>
      <c r="K1558" t="str">
        <f>"816"</f>
        <v>816</v>
      </c>
      <c r="L1558">
        <v>0</v>
      </c>
    </row>
    <row r="1559" spans="1:12" x14ac:dyDescent="0.25">
      <c r="A1559" t="str">
        <f t="shared" si="276"/>
        <v>89301000</v>
      </c>
      <c r="B1559" t="str">
        <f t="shared" si="277"/>
        <v>88805000</v>
      </c>
      <c r="C1559" t="str">
        <f>"88805014"</f>
        <v>88805014</v>
      </c>
      <c r="D1559">
        <v>89301282</v>
      </c>
      <c r="E1559" t="str">
        <f>"6704260431"</f>
        <v>6704260431</v>
      </c>
      <c r="F1559" s="1">
        <v>44957</v>
      </c>
      <c r="G1559" t="str">
        <f>"94345"</f>
        <v>94345</v>
      </c>
      <c r="H1559">
        <v>2</v>
      </c>
      <c r="I1559">
        <v>9324</v>
      </c>
      <c r="J1559">
        <v>0</v>
      </c>
      <c r="K1559" t="str">
        <f>"816"</f>
        <v>816</v>
      </c>
      <c r="L1559">
        <v>8391.6</v>
      </c>
    </row>
    <row r="1560" spans="1:12" x14ac:dyDescent="0.25">
      <c r="A1560" t="str">
        <f t="shared" si="276"/>
        <v>89301000</v>
      </c>
      <c r="B1560" t="str">
        <f t="shared" si="277"/>
        <v>88805000</v>
      </c>
      <c r="C1560" t="str">
        <f>"88805014"</f>
        <v>88805014</v>
      </c>
      <c r="D1560">
        <v>89301282</v>
      </c>
      <c r="E1560" t="str">
        <f>"6704260431"</f>
        <v>6704260431</v>
      </c>
      <c r="F1560" s="1">
        <v>44957</v>
      </c>
      <c r="G1560" t="str">
        <f>"94948"</f>
        <v>94948</v>
      </c>
      <c r="H1560">
        <v>1</v>
      </c>
      <c r="I1560">
        <v>0</v>
      </c>
      <c r="J1560">
        <v>0</v>
      </c>
      <c r="K1560" t="str">
        <f>"816"</f>
        <v>816</v>
      </c>
      <c r="L1560">
        <v>0</v>
      </c>
    </row>
    <row r="1561" spans="1:12" x14ac:dyDescent="0.25">
      <c r="A1561" t="str">
        <f t="shared" si="276"/>
        <v>89301000</v>
      </c>
      <c r="B1561" t="str">
        <f t="shared" si="277"/>
        <v>88805000</v>
      </c>
      <c r="C1561" t="str">
        <f t="shared" ref="C1561:C1580" si="278">"88805001"</f>
        <v>88805001</v>
      </c>
      <c r="D1561">
        <v>89301102</v>
      </c>
      <c r="E1561" t="str">
        <f>"2157022043"</f>
        <v>2157022043</v>
      </c>
      <c r="F1561" s="1">
        <v>44978</v>
      </c>
      <c r="G1561" t="str">
        <f>"81681"</f>
        <v>81681</v>
      </c>
      <c r="H1561">
        <v>1</v>
      </c>
      <c r="I1561">
        <v>1516</v>
      </c>
      <c r="J1561">
        <v>0</v>
      </c>
      <c r="K1561" t="str">
        <f t="shared" ref="K1561:K1580" si="279">"801"</f>
        <v>801</v>
      </c>
      <c r="L1561">
        <v>1273.44</v>
      </c>
    </row>
    <row r="1562" spans="1:12" x14ac:dyDescent="0.25">
      <c r="A1562" t="str">
        <f t="shared" si="276"/>
        <v>89301000</v>
      </c>
      <c r="B1562" t="str">
        <f t="shared" si="277"/>
        <v>88805000</v>
      </c>
      <c r="C1562" t="str">
        <f t="shared" si="278"/>
        <v>88805001</v>
      </c>
      <c r="D1562">
        <v>89301211</v>
      </c>
      <c r="E1562" t="str">
        <f>"9307126147"</f>
        <v>9307126147</v>
      </c>
      <c r="F1562" s="1">
        <v>44985</v>
      </c>
      <c r="G1562" t="str">
        <f t="shared" ref="G1562:G1569" si="280">"97111"</f>
        <v>97111</v>
      </c>
      <c r="H1562">
        <v>1</v>
      </c>
      <c r="I1562">
        <v>19</v>
      </c>
      <c r="J1562">
        <v>0</v>
      </c>
      <c r="K1562" t="str">
        <f t="shared" si="279"/>
        <v>801</v>
      </c>
      <c r="L1562">
        <v>23.94</v>
      </c>
    </row>
    <row r="1563" spans="1:12" x14ac:dyDescent="0.25">
      <c r="A1563" t="str">
        <f t="shared" si="276"/>
        <v>89301000</v>
      </c>
      <c r="B1563" t="str">
        <f t="shared" si="277"/>
        <v>88805000</v>
      </c>
      <c r="C1563" t="str">
        <f t="shared" si="278"/>
        <v>88805001</v>
      </c>
      <c r="D1563">
        <v>89301202</v>
      </c>
      <c r="E1563" t="str">
        <f>"436015452"</f>
        <v>436015452</v>
      </c>
      <c r="F1563" s="1">
        <v>44966</v>
      </c>
      <c r="G1563" t="str">
        <f t="shared" si="280"/>
        <v>97111</v>
      </c>
      <c r="H1563">
        <v>1</v>
      </c>
      <c r="I1563">
        <v>19</v>
      </c>
      <c r="J1563">
        <v>0</v>
      </c>
      <c r="K1563" t="str">
        <f t="shared" si="279"/>
        <v>801</v>
      </c>
      <c r="L1563">
        <v>23.94</v>
      </c>
    </row>
    <row r="1564" spans="1:12" x14ac:dyDescent="0.25">
      <c r="A1564" t="str">
        <f t="shared" si="276"/>
        <v>89301000</v>
      </c>
      <c r="B1564" t="str">
        <f t="shared" si="277"/>
        <v>88805000</v>
      </c>
      <c r="C1564" t="str">
        <f t="shared" si="278"/>
        <v>88805001</v>
      </c>
      <c r="D1564">
        <v>89301202</v>
      </c>
      <c r="E1564" t="str">
        <f>"5557162149"</f>
        <v>5557162149</v>
      </c>
      <c r="F1564" s="1">
        <v>44959</v>
      </c>
      <c r="G1564" t="str">
        <f t="shared" si="280"/>
        <v>97111</v>
      </c>
      <c r="H1564">
        <v>1</v>
      </c>
      <c r="I1564">
        <v>19</v>
      </c>
      <c r="J1564">
        <v>0</v>
      </c>
      <c r="K1564" t="str">
        <f t="shared" si="279"/>
        <v>801</v>
      </c>
      <c r="L1564">
        <v>23.94</v>
      </c>
    </row>
    <row r="1565" spans="1:12" x14ac:dyDescent="0.25">
      <c r="A1565" t="str">
        <f t="shared" si="276"/>
        <v>89301000</v>
      </c>
      <c r="B1565" t="str">
        <f t="shared" si="277"/>
        <v>88805000</v>
      </c>
      <c r="C1565" t="str">
        <f t="shared" si="278"/>
        <v>88805001</v>
      </c>
      <c r="D1565">
        <v>89301202</v>
      </c>
      <c r="E1565" t="str">
        <f>"6907224489"</f>
        <v>6907224489</v>
      </c>
      <c r="F1565" s="1">
        <v>44959</v>
      </c>
      <c r="G1565" t="str">
        <f t="shared" si="280"/>
        <v>97111</v>
      </c>
      <c r="H1565">
        <v>1</v>
      </c>
      <c r="I1565">
        <v>19</v>
      </c>
      <c r="J1565">
        <v>0</v>
      </c>
      <c r="K1565" t="str">
        <f t="shared" si="279"/>
        <v>801</v>
      </c>
      <c r="L1565">
        <v>23.94</v>
      </c>
    </row>
    <row r="1566" spans="1:12" x14ac:dyDescent="0.25">
      <c r="A1566" t="str">
        <f t="shared" si="276"/>
        <v>89301000</v>
      </c>
      <c r="B1566" t="str">
        <f t="shared" si="277"/>
        <v>88805000</v>
      </c>
      <c r="C1566" t="str">
        <f t="shared" si="278"/>
        <v>88805001</v>
      </c>
      <c r="D1566">
        <v>89301702</v>
      </c>
      <c r="E1566" t="str">
        <f>"1753210096"</f>
        <v>1753210096</v>
      </c>
      <c r="F1566" s="1">
        <v>44967</v>
      </c>
      <c r="G1566" t="str">
        <f t="shared" si="280"/>
        <v>97111</v>
      </c>
      <c r="H1566">
        <v>1</v>
      </c>
      <c r="I1566">
        <v>19</v>
      </c>
      <c r="J1566">
        <v>0</v>
      </c>
      <c r="K1566" t="str">
        <f t="shared" si="279"/>
        <v>801</v>
      </c>
      <c r="L1566">
        <v>23.94</v>
      </c>
    </row>
    <row r="1567" spans="1:12" x14ac:dyDescent="0.25">
      <c r="A1567" t="str">
        <f t="shared" si="276"/>
        <v>89301000</v>
      </c>
      <c r="B1567" t="str">
        <f t="shared" si="277"/>
        <v>88805000</v>
      </c>
      <c r="C1567" t="str">
        <f t="shared" si="278"/>
        <v>88805001</v>
      </c>
      <c r="D1567">
        <v>89301202</v>
      </c>
      <c r="E1567" t="str">
        <f>"7856205357"</f>
        <v>7856205357</v>
      </c>
      <c r="F1567" s="1">
        <v>44959</v>
      </c>
      <c r="G1567" t="str">
        <f t="shared" si="280"/>
        <v>97111</v>
      </c>
      <c r="H1567">
        <v>1</v>
      </c>
      <c r="I1567">
        <v>19</v>
      </c>
      <c r="J1567">
        <v>0</v>
      </c>
      <c r="K1567" t="str">
        <f t="shared" si="279"/>
        <v>801</v>
      </c>
      <c r="L1567">
        <v>23.94</v>
      </c>
    </row>
    <row r="1568" spans="1:12" x14ac:dyDescent="0.25">
      <c r="A1568" t="str">
        <f t="shared" si="276"/>
        <v>89301000</v>
      </c>
      <c r="B1568" t="str">
        <f t="shared" si="277"/>
        <v>88805000</v>
      </c>
      <c r="C1568" t="str">
        <f t="shared" si="278"/>
        <v>88805001</v>
      </c>
      <c r="D1568">
        <v>89301202</v>
      </c>
      <c r="E1568" t="str">
        <f>"9206215711"</f>
        <v>9206215711</v>
      </c>
      <c r="F1568" s="1">
        <v>44959</v>
      </c>
      <c r="G1568" t="str">
        <f t="shared" si="280"/>
        <v>97111</v>
      </c>
      <c r="H1568">
        <v>1</v>
      </c>
      <c r="I1568">
        <v>19</v>
      </c>
      <c r="J1568">
        <v>0</v>
      </c>
      <c r="K1568" t="str">
        <f t="shared" si="279"/>
        <v>801</v>
      </c>
      <c r="L1568">
        <v>23.94</v>
      </c>
    </row>
    <row r="1569" spans="1:12" x14ac:dyDescent="0.25">
      <c r="A1569" t="str">
        <f t="shared" si="276"/>
        <v>89301000</v>
      </c>
      <c r="B1569" t="str">
        <f t="shared" si="277"/>
        <v>88805000</v>
      </c>
      <c r="C1569" t="str">
        <f t="shared" si="278"/>
        <v>88805001</v>
      </c>
      <c r="D1569">
        <v>89301702</v>
      </c>
      <c r="E1569" t="str">
        <f>"1356201627"</f>
        <v>1356201627</v>
      </c>
      <c r="F1569" s="1">
        <v>44960</v>
      </c>
      <c r="G1569" t="str">
        <f t="shared" si="280"/>
        <v>97111</v>
      </c>
      <c r="H1569">
        <v>1</v>
      </c>
      <c r="I1569">
        <v>19</v>
      </c>
      <c r="J1569">
        <v>0</v>
      </c>
      <c r="K1569" t="str">
        <f t="shared" si="279"/>
        <v>801</v>
      </c>
      <c r="L1569">
        <v>23.94</v>
      </c>
    </row>
    <row r="1570" spans="1:12" x14ac:dyDescent="0.25">
      <c r="A1570" t="str">
        <f t="shared" si="276"/>
        <v>89301000</v>
      </c>
      <c r="B1570" t="str">
        <f t="shared" si="277"/>
        <v>88805000</v>
      </c>
      <c r="C1570" t="str">
        <f t="shared" si="278"/>
        <v>88805001</v>
      </c>
      <c r="D1570">
        <v>89301202</v>
      </c>
      <c r="E1570" t="str">
        <f>"436015452"</f>
        <v>436015452</v>
      </c>
      <c r="F1570" s="1">
        <v>44966</v>
      </c>
      <c r="G1570" t="str">
        <f t="shared" ref="G1570:G1577" si="281">"81643"</f>
        <v>81643</v>
      </c>
      <c r="H1570">
        <v>1</v>
      </c>
      <c r="I1570">
        <v>104</v>
      </c>
      <c r="J1570">
        <v>0</v>
      </c>
      <c r="K1570" t="str">
        <f t="shared" si="279"/>
        <v>801</v>
      </c>
      <c r="L1570">
        <v>87.36</v>
      </c>
    </row>
    <row r="1571" spans="1:12" x14ac:dyDescent="0.25">
      <c r="A1571" t="str">
        <f t="shared" si="276"/>
        <v>89301000</v>
      </c>
      <c r="B1571" t="str">
        <f t="shared" si="277"/>
        <v>88805000</v>
      </c>
      <c r="C1571" t="str">
        <f t="shared" si="278"/>
        <v>88805001</v>
      </c>
      <c r="D1571">
        <v>89301202</v>
      </c>
      <c r="E1571" t="str">
        <f>"6907224489"</f>
        <v>6907224489</v>
      </c>
      <c r="F1571" s="1">
        <v>44959</v>
      </c>
      <c r="G1571" t="str">
        <f t="shared" si="281"/>
        <v>81643</v>
      </c>
      <c r="H1571">
        <v>1</v>
      </c>
      <c r="I1571">
        <v>104</v>
      </c>
      <c r="J1571">
        <v>0</v>
      </c>
      <c r="K1571" t="str">
        <f t="shared" si="279"/>
        <v>801</v>
      </c>
      <c r="L1571">
        <v>87.36</v>
      </c>
    </row>
    <row r="1572" spans="1:12" x14ac:dyDescent="0.25">
      <c r="A1572" t="str">
        <f t="shared" si="276"/>
        <v>89301000</v>
      </c>
      <c r="B1572" t="str">
        <f t="shared" si="277"/>
        <v>88805000</v>
      </c>
      <c r="C1572" t="str">
        <f t="shared" si="278"/>
        <v>88805001</v>
      </c>
      <c r="D1572">
        <v>89301202</v>
      </c>
      <c r="E1572" t="str">
        <f>"5557162149"</f>
        <v>5557162149</v>
      </c>
      <c r="F1572" s="1">
        <v>44959</v>
      </c>
      <c r="G1572" t="str">
        <f t="shared" si="281"/>
        <v>81643</v>
      </c>
      <c r="H1572">
        <v>1</v>
      </c>
      <c r="I1572">
        <v>104</v>
      </c>
      <c r="J1572">
        <v>0</v>
      </c>
      <c r="K1572" t="str">
        <f t="shared" si="279"/>
        <v>801</v>
      </c>
      <c r="L1572">
        <v>87.36</v>
      </c>
    </row>
    <row r="1573" spans="1:12" x14ac:dyDescent="0.25">
      <c r="A1573" t="str">
        <f t="shared" si="276"/>
        <v>89301000</v>
      </c>
      <c r="B1573" t="str">
        <f t="shared" si="277"/>
        <v>88805000</v>
      </c>
      <c r="C1573" t="str">
        <f t="shared" si="278"/>
        <v>88805001</v>
      </c>
      <c r="D1573">
        <v>89301211</v>
      </c>
      <c r="E1573" t="str">
        <f>"9307126147"</f>
        <v>9307126147</v>
      </c>
      <c r="F1573" s="1">
        <v>44985</v>
      </c>
      <c r="G1573" t="str">
        <f t="shared" si="281"/>
        <v>81643</v>
      </c>
      <c r="H1573">
        <v>1</v>
      </c>
      <c r="I1573">
        <v>104</v>
      </c>
      <c r="J1573">
        <v>0</v>
      </c>
      <c r="K1573" t="str">
        <f t="shared" si="279"/>
        <v>801</v>
      </c>
      <c r="L1573">
        <v>87.36</v>
      </c>
    </row>
    <row r="1574" spans="1:12" x14ac:dyDescent="0.25">
      <c r="A1574" t="str">
        <f t="shared" si="276"/>
        <v>89301000</v>
      </c>
      <c r="B1574" t="str">
        <f t="shared" si="277"/>
        <v>88805000</v>
      </c>
      <c r="C1574" t="str">
        <f t="shared" si="278"/>
        <v>88805001</v>
      </c>
      <c r="D1574">
        <v>89301702</v>
      </c>
      <c r="E1574" t="str">
        <f>"1753210096"</f>
        <v>1753210096</v>
      </c>
      <c r="F1574" s="1">
        <v>44967</v>
      </c>
      <c r="G1574" t="str">
        <f t="shared" si="281"/>
        <v>81643</v>
      </c>
      <c r="H1574">
        <v>1</v>
      </c>
      <c r="I1574">
        <v>104</v>
      </c>
      <c r="J1574">
        <v>0</v>
      </c>
      <c r="K1574" t="str">
        <f t="shared" si="279"/>
        <v>801</v>
      </c>
      <c r="L1574">
        <v>87.36</v>
      </c>
    </row>
    <row r="1575" spans="1:12" x14ac:dyDescent="0.25">
      <c r="A1575" t="str">
        <f t="shared" si="276"/>
        <v>89301000</v>
      </c>
      <c r="B1575" t="str">
        <f t="shared" si="277"/>
        <v>88805000</v>
      </c>
      <c r="C1575" t="str">
        <f t="shared" si="278"/>
        <v>88805001</v>
      </c>
      <c r="D1575">
        <v>89301702</v>
      </c>
      <c r="E1575" t="str">
        <f>"1356201627"</f>
        <v>1356201627</v>
      </c>
      <c r="F1575" s="1">
        <v>44960</v>
      </c>
      <c r="G1575" t="str">
        <f t="shared" si="281"/>
        <v>81643</v>
      </c>
      <c r="H1575">
        <v>1</v>
      </c>
      <c r="I1575">
        <v>104</v>
      </c>
      <c r="J1575">
        <v>0</v>
      </c>
      <c r="K1575" t="str">
        <f t="shared" si="279"/>
        <v>801</v>
      </c>
      <c r="L1575">
        <v>87.36</v>
      </c>
    </row>
    <row r="1576" spans="1:12" x14ac:dyDescent="0.25">
      <c r="A1576" t="str">
        <f t="shared" si="276"/>
        <v>89301000</v>
      </c>
      <c r="B1576" t="str">
        <f t="shared" si="277"/>
        <v>88805000</v>
      </c>
      <c r="C1576" t="str">
        <f t="shared" si="278"/>
        <v>88805001</v>
      </c>
      <c r="D1576">
        <v>89301202</v>
      </c>
      <c r="E1576" t="str">
        <f>"7856205357"</f>
        <v>7856205357</v>
      </c>
      <c r="F1576" s="1">
        <v>44959</v>
      </c>
      <c r="G1576" t="str">
        <f t="shared" si="281"/>
        <v>81643</v>
      </c>
      <c r="H1576">
        <v>1</v>
      </c>
      <c r="I1576">
        <v>104</v>
      </c>
      <c r="J1576">
        <v>0</v>
      </c>
      <c r="K1576" t="str">
        <f t="shared" si="279"/>
        <v>801</v>
      </c>
      <c r="L1576">
        <v>87.36</v>
      </c>
    </row>
    <row r="1577" spans="1:12" x14ac:dyDescent="0.25">
      <c r="A1577" t="str">
        <f t="shared" si="276"/>
        <v>89301000</v>
      </c>
      <c r="B1577" t="str">
        <f t="shared" si="277"/>
        <v>88805000</v>
      </c>
      <c r="C1577" t="str">
        <f t="shared" si="278"/>
        <v>88805001</v>
      </c>
      <c r="D1577">
        <v>89301202</v>
      </c>
      <c r="E1577" t="str">
        <f>"9206215711"</f>
        <v>9206215711</v>
      </c>
      <c r="F1577" s="1">
        <v>44959</v>
      </c>
      <c r="G1577" t="str">
        <f t="shared" si="281"/>
        <v>81643</v>
      </c>
      <c r="H1577">
        <v>1</v>
      </c>
      <c r="I1577">
        <v>104</v>
      </c>
      <c r="J1577">
        <v>0</v>
      </c>
      <c r="K1577" t="str">
        <f t="shared" si="279"/>
        <v>801</v>
      </c>
      <c r="L1577">
        <v>87.36</v>
      </c>
    </row>
    <row r="1578" spans="1:12" x14ac:dyDescent="0.25">
      <c r="A1578" t="str">
        <f t="shared" si="276"/>
        <v>89301000</v>
      </c>
      <c r="B1578" t="str">
        <f t="shared" si="277"/>
        <v>88805000</v>
      </c>
      <c r="C1578" t="str">
        <f t="shared" si="278"/>
        <v>88805001</v>
      </c>
      <c r="D1578">
        <v>89301167</v>
      </c>
      <c r="E1578" t="str">
        <f>"5707200807"</f>
        <v>5707200807</v>
      </c>
      <c r="F1578" s="1">
        <v>44977</v>
      </c>
      <c r="G1578" t="str">
        <f>"09119"</f>
        <v>09119</v>
      </c>
      <c r="H1578">
        <v>1</v>
      </c>
      <c r="I1578">
        <v>43</v>
      </c>
      <c r="J1578">
        <v>0</v>
      </c>
      <c r="K1578" t="str">
        <f t="shared" si="279"/>
        <v>801</v>
      </c>
      <c r="L1578">
        <v>54.18</v>
      </c>
    </row>
    <row r="1579" spans="1:12" x14ac:dyDescent="0.25">
      <c r="A1579" t="str">
        <f t="shared" si="276"/>
        <v>89301000</v>
      </c>
      <c r="B1579" t="str">
        <f t="shared" si="277"/>
        <v>88805000</v>
      </c>
      <c r="C1579" t="str">
        <f t="shared" si="278"/>
        <v>88805001</v>
      </c>
      <c r="D1579">
        <v>89301167</v>
      </c>
      <c r="E1579" t="str">
        <f>"5707200807"</f>
        <v>5707200807</v>
      </c>
      <c r="F1579" s="1">
        <v>44970</v>
      </c>
      <c r="G1579" t="str">
        <f>"81439"</f>
        <v>81439</v>
      </c>
      <c r="H1579">
        <v>1</v>
      </c>
      <c r="I1579">
        <v>16</v>
      </c>
      <c r="J1579">
        <v>0</v>
      </c>
      <c r="K1579" t="str">
        <f t="shared" si="279"/>
        <v>801</v>
      </c>
      <c r="L1579">
        <v>13.44</v>
      </c>
    </row>
    <row r="1580" spans="1:12" x14ac:dyDescent="0.25">
      <c r="A1580" t="str">
        <f t="shared" si="276"/>
        <v>89301000</v>
      </c>
      <c r="B1580" t="str">
        <f t="shared" si="277"/>
        <v>88805000</v>
      </c>
      <c r="C1580" t="str">
        <f t="shared" si="278"/>
        <v>88805001</v>
      </c>
      <c r="D1580">
        <v>89301167</v>
      </c>
      <c r="E1580" t="str">
        <f>"5707200807"</f>
        <v>5707200807</v>
      </c>
      <c r="F1580" s="1">
        <v>44970</v>
      </c>
      <c r="G1580" t="str">
        <f>"09119"</f>
        <v>09119</v>
      </c>
      <c r="H1580">
        <v>1</v>
      </c>
      <c r="I1580">
        <v>43</v>
      </c>
      <c r="J1580">
        <v>0</v>
      </c>
      <c r="K1580" t="str">
        <f t="shared" si="279"/>
        <v>801</v>
      </c>
      <c r="L1580">
        <v>54.18</v>
      </c>
    </row>
    <row r="1581" spans="1:12" x14ac:dyDescent="0.25">
      <c r="A1581" t="str">
        <f t="shared" si="276"/>
        <v>89301000</v>
      </c>
      <c r="B1581" t="str">
        <f t="shared" si="277"/>
        <v>88805000</v>
      </c>
      <c r="C1581" t="str">
        <f t="shared" ref="C1581:C1592" si="282">"88805014"</f>
        <v>88805014</v>
      </c>
      <c r="D1581">
        <v>89301282</v>
      </c>
      <c r="E1581" t="str">
        <f>"7701153779"</f>
        <v>7701153779</v>
      </c>
      <c r="F1581" s="1">
        <v>44980</v>
      </c>
      <c r="G1581" t="str">
        <f>"94331"</f>
        <v>94331</v>
      </c>
      <c r="H1581">
        <v>1</v>
      </c>
      <c r="I1581">
        <v>7866</v>
      </c>
      <c r="J1581">
        <v>0</v>
      </c>
      <c r="K1581" t="str">
        <f t="shared" ref="K1581:K1592" si="283">"816"</f>
        <v>816</v>
      </c>
      <c r="L1581">
        <v>7079.4</v>
      </c>
    </row>
    <row r="1582" spans="1:12" x14ac:dyDescent="0.25">
      <c r="A1582" t="str">
        <f t="shared" si="276"/>
        <v>89301000</v>
      </c>
      <c r="B1582" t="str">
        <f t="shared" si="277"/>
        <v>88805000</v>
      </c>
      <c r="C1582" t="str">
        <f t="shared" si="282"/>
        <v>88805014</v>
      </c>
      <c r="D1582">
        <v>89301282</v>
      </c>
      <c r="E1582" t="str">
        <f>"7701153779"</f>
        <v>7701153779</v>
      </c>
      <c r="F1582" s="1">
        <v>44980</v>
      </c>
      <c r="G1582" t="str">
        <f>"94948"</f>
        <v>94948</v>
      </c>
      <c r="H1582">
        <v>1</v>
      </c>
      <c r="I1582">
        <v>0</v>
      </c>
      <c r="J1582">
        <v>0</v>
      </c>
      <c r="K1582" t="str">
        <f t="shared" si="283"/>
        <v>816</v>
      </c>
      <c r="L1582">
        <v>0</v>
      </c>
    </row>
    <row r="1583" spans="1:12" x14ac:dyDescent="0.25">
      <c r="A1583" t="str">
        <f t="shared" si="276"/>
        <v>89301000</v>
      </c>
      <c r="B1583" t="str">
        <f t="shared" si="277"/>
        <v>88805000</v>
      </c>
      <c r="C1583" t="str">
        <f t="shared" si="282"/>
        <v>88805014</v>
      </c>
      <c r="D1583">
        <v>89301282</v>
      </c>
      <c r="E1583" t="str">
        <f>"0352284119"</f>
        <v>0352284119</v>
      </c>
      <c r="F1583" s="1">
        <v>44985</v>
      </c>
      <c r="G1583" t="str">
        <f>"94982"</f>
        <v>94982</v>
      </c>
      <c r="H1583">
        <v>1</v>
      </c>
      <c r="I1583">
        <v>0</v>
      </c>
      <c r="J1583">
        <v>27500</v>
      </c>
      <c r="K1583" t="str">
        <f t="shared" si="283"/>
        <v>816</v>
      </c>
      <c r="L1583">
        <v>27500</v>
      </c>
    </row>
    <row r="1584" spans="1:12" x14ac:dyDescent="0.25">
      <c r="A1584" t="str">
        <f t="shared" si="276"/>
        <v>89301000</v>
      </c>
      <c r="B1584" t="str">
        <f t="shared" si="277"/>
        <v>88805000</v>
      </c>
      <c r="C1584" t="str">
        <f t="shared" si="282"/>
        <v>88805014</v>
      </c>
      <c r="D1584">
        <v>89301282</v>
      </c>
      <c r="E1584" t="str">
        <f>"0352284119"</f>
        <v>0352284119</v>
      </c>
      <c r="F1584" s="1">
        <v>44985</v>
      </c>
      <c r="G1584" t="str">
        <f>"94996"</f>
        <v>94996</v>
      </c>
      <c r="H1584">
        <v>1</v>
      </c>
      <c r="I1584">
        <v>0</v>
      </c>
      <c r="J1584">
        <v>0</v>
      </c>
      <c r="K1584" t="str">
        <f t="shared" si="283"/>
        <v>816</v>
      </c>
      <c r="L1584">
        <v>0</v>
      </c>
    </row>
    <row r="1585" spans="1:12" x14ac:dyDescent="0.25">
      <c r="A1585" t="str">
        <f t="shared" si="276"/>
        <v>89301000</v>
      </c>
      <c r="B1585" t="str">
        <f t="shared" si="277"/>
        <v>88805000</v>
      </c>
      <c r="C1585" t="str">
        <f t="shared" si="282"/>
        <v>88805014</v>
      </c>
      <c r="D1585">
        <v>89301282</v>
      </c>
      <c r="E1585" t="str">
        <f>"7905315319"</f>
        <v>7905315319</v>
      </c>
      <c r="F1585" s="1">
        <v>44985</v>
      </c>
      <c r="G1585" t="str">
        <f>"94982"</f>
        <v>94982</v>
      </c>
      <c r="H1585">
        <v>1</v>
      </c>
      <c r="I1585">
        <v>0</v>
      </c>
      <c r="J1585">
        <v>27500</v>
      </c>
      <c r="K1585" t="str">
        <f t="shared" si="283"/>
        <v>816</v>
      </c>
      <c r="L1585">
        <v>27500</v>
      </c>
    </row>
    <row r="1586" spans="1:12" x14ac:dyDescent="0.25">
      <c r="A1586" t="str">
        <f t="shared" si="276"/>
        <v>89301000</v>
      </c>
      <c r="B1586" t="str">
        <f t="shared" si="277"/>
        <v>88805000</v>
      </c>
      <c r="C1586" t="str">
        <f t="shared" si="282"/>
        <v>88805014</v>
      </c>
      <c r="D1586">
        <v>89301282</v>
      </c>
      <c r="E1586" t="str">
        <f>"7905315319"</f>
        <v>7905315319</v>
      </c>
      <c r="F1586" s="1">
        <v>44985</v>
      </c>
      <c r="G1586" t="str">
        <f>"94996"</f>
        <v>94996</v>
      </c>
      <c r="H1586">
        <v>1</v>
      </c>
      <c r="I1586">
        <v>0</v>
      </c>
      <c r="J1586">
        <v>0</v>
      </c>
      <c r="K1586" t="str">
        <f t="shared" si="283"/>
        <v>816</v>
      </c>
      <c r="L1586">
        <v>0</v>
      </c>
    </row>
    <row r="1587" spans="1:12" x14ac:dyDescent="0.25">
      <c r="A1587" t="str">
        <f t="shared" si="276"/>
        <v>89301000</v>
      </c>
      <c r="B1587" t="str">
        <f t="shared" si="277"/>
        <v>88805000</v>
      </c>
      <c r="C1587" t="str">
        <f t="shared" si="282"/>
        <v>88805014</v>
      </c>
      <c r="D1587">
        <v>89301282</v>
      </c>
      <c r="E1587" t="str">
        <f>"9254285722"</f>
        <v>9254285722</v>
      </c>
      <c r="F1587" s="1">
        <v>44963</v>
      </c>
      <c r="G1587" t="str">
        <f>"94982"</f>
        <v>94982</v>
      </c>
      <c r="H1587">
        <v>1</v>
      </c>
      <c r="I1587">
        <v>0</v>
      </c>
      <c r="J1587">
        <v>27500</v>
      </c>
      <c r="K1587" t="str">
        <f t="shared" si="283"/>
        <v>816</v>
      </c>
      <c r="L1587">
        <v>27500</v>
      </c>
    </row>
    <row r="1588" spans="1:12" x14ac:dyDescent="0.25">
      <c r="A1588" t="str">
        <f t="shared" si="276"/>
        <v>89301000</v>
      </c>
      <c r="B1588" t="str">
        <f t="shared" si="277"/>
        <v>88805000</v>
      </c>
      <c r="C1588" t="str">
        <f t="shared" si="282"/>
        <v>88805014</v>
      </c>
      <c r="D1588">
        <v>89301282</v>
      </c>
      <c r="E1588" t="str">
        <f>"9254285722"</f>
        <v>9254285722</v>
      </c>
      <c r="F1588" s="1">
        <v>44963</v>
      </c>
      <c r="G1588" t="str">
        <f>"94996"</f>
        <v>94996</v>
      </c>
      <c r="H1588">
        <v>1</v>
      </c>
      <c r="I1588">
        <v>0</v>
      </c>
      <c r="J1588">
        <v>0</v>
      </c>
      <c r="K1588" t="str">
        <f t="shared" si="283"/>
        <v>816</v>
      </c>
      <c r="L1588">
        <v>0</v>
      </c>
    </row>
    <row r="1589" spans="1:12" x14ac:dyDescent="0.25">
      <c r="A1589" t="str">
        <f t="shared" si="276"/>
        <v>89301000</v>
      </c>
      <c r="B1589" t="str">
        <f t="shared" si="277"/>
        <v>88805000</v>
      </c>
      <c r="C1589" t="str">
        <f t="shared" si="282"/>
        <v>88805014</v>
      </c>
      <c r="D1589">
        <v>89301282</v>
      </c>
      <c r="E1589" t="str">
        <f>"6112231719"</f>
        <v>6112231719</v>
      </c>
      <c r="F1589" s="1">
        <v>44958</v>
      </c>
      <c r="G1589" t="str">
        <f>"94983"</f>
        <v>94983</v>
      </c>
      <c r="H1589">
        <v>1</v>
      </c>
      <c r="I1589">
        <v>0</v>
      </c>
      <c r="J1589">
        <v>39600</v>
      </c>
      <c r="K1589" t="str">
        <f t="shared" si="283"/>
        <v>816</v>
      </c>
      <c r="L1589">
        <v>39600</v>
      </c>
    </row>
    <row r="1590" spans="1:12" x14ac:dyDescent="0.25">
      <c r="A1590" t="str">
        <f t="shared" si="276"/>
        <v>89301000</v>
      </c>
      <c r="B1590" t="str">
        <f t="shared" si="277"/>
        <v>88805000</v>
      </c>
      <c r="C1590" t="str">
        <f t="shared" si="282"/>
        <v>88805014</v>
      </c>
      <c r="D1590">
        <v>89301282</v>
      </c>
      <c r="E1590" t="str">
        <f>"6112231719"</f>
        <v>6112231719</v>
      </c>
      <c r="F1590" s="1">
        <v>44958</v>
      </c>
      <c r="G1590" t="str">
        <f>"94996"</f>
        <v>94996</v>
      </c>
      <c r="H1590">
        <v>1</v>
      </c>
      <c r="I1590">
        <v>0</v>
      </c>
      <c r="J1590">
        <v>0</v>
      </c>
      <c r="K1590" t="str">
        <f t="shared" si="283"/>
        <v>816</v>
      </c>
      <c r="L1590">
        <v>0</v>
      </c>
    </row>
    <row r="1591" spans="1:12" x14ac:dyDescent="0.25">
      <c r="A1591" t="str">
        <f t="shared" si="276"/>
        <v>89301000</v>
      </c>
      <c r="B1591" t="str">
        <f t="shared" si="277"/>
        <v>88805000</v>
      </c>
      <c r="C1591" t="str">
        <f t="shared" si="282"/>
        <v>88805014</v>
      </c>
      <c r="D1591">
        <v>89301282</v>
      </c>
      <c r="E1591" t="str">
        <f>"7654274463"</f>
        <v>7654274463</v>
      </c>
      <c r="F1591" s="1">
        <v>44963</v>
      </c>
      <c r="G1591" t="str">
        <f>"94983"</f>
        <v>94983</v>
      </c>
      <c r="H1591">
        <v>1</v>
      </c>
      <c r="I1591">
        <v>0</v>
      </c>
      <c r="J1591">
        <v>39600</v>
      </c>
      <c r="K1591" t="str">
        <f t="shared" si="283"/>
        <v>816</v>
      </c>
      <c r="L1591">
        <v>39600</v>
      </c>
    </row>
    <row r="1592" spans="1:12" x14ac:dyDescent="0.25">
      <c r="A1592" t="str">
        <f t="shared" si="276"/>
        <v>89301000</v>
      </c>
      <c r="B1592" t="str">
        <f t="shared" si="277"/>
        <v>88805000</v>
      </c>
      <c r="C1592" t="str">
        <f t="shared" si="282"/>
        <v>88805014</v>
      </c>
      <c r="D1592">
        <v>89301282</v>
      </c>
      <c r="E1592" t="str">
        <f>"7654274463"</f>
        <v>7654274463</v>
      </c>
      <c r="F1592" s="1">
        <v>44963</v>
      </c>
      <c r="G1592" t="str">
        <f>"94996"</f>
        <v>94996</v>
      </c>
      <c r="H1592">
        <v>1</v>
      </c>
      <c r="I1592">
        <v>0</v>
      </c>
      <c r="J1592">
        <v>0</v>
      </c>
      <c r="K1592" t="str">
        <f t="shared" si="283"/>
        <v>816</v>
      </c>
      <c r="L1592">
        <v>0</v>
      </c>
    </row>
    <row r="1593" spans="1:12" x14ac:dyDescent="0.25">
      <c r="A1593" t="str">
        <f t="shared" si="276"/>
        <v>89301000</v>
      </c>
      <c r="B1593" t="str">
        <f t="shared" ref="B1593:B1624" si="284">"93201000"</f>
        <v>93201000</v>
      </c>
      <c r="C1593" t="str">
        <f t="shared" ref="C1593:C1627" si="285">"93201250"</f>
        <v>93201250</v>
      </c>
      <c r="D1593">
        <v>89301167</v>
      </c>
      <c r="E1593" t="str">
        <f t="shared" ref="E1593:E1608" si="286">"7657065790"</f>
        <v>7657065790</v>
      </c>
      <c r="F1593" s="1">
        <v>44974</v>
      </c>
      <c r="G1593" t="str">
        <f>"97111"</f>
        <v>97111</v>
      </c>
      <c r="H1593">
        <v>1</v>
      </c>
      <c r="I1593">
        <v>19</v>
      </c>
      <c r="J1593">
        <v>0</v>
      </c>
      <c r="K1593" t="str">
        <f t="shared" ref="K1593:K1627" si="287">"801"</f>
        <v>801</v>
      </c>
      <c r="L1593">
        <v>23.94</v>
      </c>
    </row>
    <row r="1594" spans="1:12" x14ac:dyDescent="0.25">
      <c r="A1594" t="str">
        <f t="shared" si="276"/>
        <v>89301000</v>
      </c>
      <c r="B1594" t="str">
        <f t="shared" si="284"/>
        <v>93201000</v>
      </c>
      <c r="C1594" t="str">
        <f t="shared" si="285"/>
        <v>93201250</v>
      </c>
      <c r="D1594">
        <v>89301167</v>
      </c>
      <c r="E1594" t="str">
        <f t="shared" si="286"/>
        <v>7657065790</v>
      </c>
      <c r="F1594" s="1">
        <v>44974</v>
      </c>
      <c r="G1594" t="str">
        <f>"81421"</f>
        <v>81421</v>
      </c>
      <c r="H1594">
        <v>1</v>
      </c>
      <c r="I1594">
        <v>19</v>
      </c>
      <c r="J1594">
        <v>0</v>
      </c>
      <c r="K1594" t="str">
        <f t="shared" si="287"/>
        <v>801</v>
      </c>
      <c r="L1594">
        <v>15.96</v>
      </c>
    </row>
    <row r="1595" spans="1:12" x14ac:dyDescent="0.25">
      <c r="A1595" t="str">
        <f t="shared" si="276"/>
        <v>89301000</v>
      </c>
      <c r="B1595" t="str">
        <f t="shared" si="284"/>
        <v>93201000</v>
      </c>
      <c r="C1595" t="str">
        <f t="shared" si="285"/>
        <v>93201250</v>
      </c>
      <c r="D1595">
        <v>89301167</v>
      </c>
      <c r="E1595" t="str">
        <f t="shared" si="286"/>
        <v>7657065790</v>
      </c>
      <c r="F1595" s="1">
        <v>44974</v>
      </c>
      <c r="G1595" t="str">
        <f>"81361"</f>
        <v>81361</v>
      </c>
      <c r="H1595">
        <v>1</v>
      </c>
      <c r="I1595">
        <v>17</v>
      </c>
      <c r="J1595">
        <v>0</v>
      </c>
      <c r="K1595" t="str">
        <f t="shared" si="287"/>
        <v>801</v>
      </c>
      <c r="L1595">
        <v>14.28</v>
      </c>
    </row>
    <row r="1596" spans="1:12" x14ac:dyDescent="0.25">
      <c r="A1596" t="str">
        <f t="shared" si="276"/>
        <v>89301000</v>
      </c>
      <c r="B1596" t="str">
        <f t="shared" si="284"/>
        <v>93201000</v>
      </c>
      <c r="C1596" t="str">
        <f t="shared" si="285"/>
        <v>93201250</v>
      </c>
      <c r="D1596">
        <v>89301167</v>
      </c>
      <c r="E1596" t="str">
        <f t="shared" si="286"/>
        <v>7657065790</v>
      </c>
      <c r="F1596" s="1">
        <v>44974</v>
      </c>
      <c r="G1596" t="str">
        <f>"81337"</f>
        <v>81337</v>
      </c>
      <c r="H1596">
        <v>1</v>
      </c>
      <c r="I1596">
        <v>20</v>
      </c>
      <c r="J1596">
        <v>0</v>
      </c>
      <c r="K1596" t="str">
        <f t="shared" si="287"/>
        <v>801</v>
      </c>
      <c r="L1596">
        <v>16.8</v>
      </c>
    </row>
    <row r="1597" spans="1:12" x14ac:dyDescent="0.25">
      <c r="A1597" t="str">
        <f t="shared" si="276"/>
        <v>89301000</v>
      </c>
      <c r="B1597" t="str">
        <f t="shared" si="284"/>
        <v>93201000</v>
      </c>
      <c r="C1597" t="str">
        <f t="shared" si="285"/>
        <v>93201250</v>
      </c>
      <c r="D1597">
        <v>89301167</v>
      </c>
      <c r="E1597" t="str">
        <f t="shared" si="286"/>
        <v>7657065790</v>
      </c>
      <c r="F1597" s="1">
        <v>44974</v>
      </c>
      <c r="G1597" t="str">
        <f>"81357"</f>
        <v>81357</v>
      </c>
      <c r="H1597">
        <v>1</v>
      </c>
      <c r="I1597">
        <v>20</v>
      </c>
      <c r="J1597">
        <v>0</v>
      </c>
      <c r="K1597" t="str">
        <f t="shared" si="287"/>
        <v>801</v>
      </c>
      <c r="L1597">
        <v>16.8</v>
      </c>
    </row>
    <row r="1598" spans="1:12" x14ac:dyDescent="0.25">
      <c r="A1598" t="str">
        <f t="shared" si="276"/>
        <v>89301000</v>
      </c>
      <c r="B1598" t="str">
        <f t="shared" si="284"/>
        <v>93201000</v>
      </c>
      <c r="C1598" t="str">
        <f t="shared" si="285"/>
        <v>93201250</v>
      </c>
      <c r="D1598">
        <v>89301167</v>
      </c>
      <c r="E1598" t="str">
        <f t="shared" si="286"/>
        <v>7657065790</v>
      </c>
      <c r="F1598" s="1">
        <v>44974</v>
      </c>
      <c r="G1598" t="str">
        <f>"81439"</f>
        <v>81439</v>
      </c>
      <c r="H1598">
        <v>1</v>
      </c>
      <c r="I1598">
        <v>16</v>
      </c>
      <c r="J1598">
        <v>0</v>
      </c>
      <c r="K1598" t="str">
        <f t="shared" si="287"/>
        <v>801</v>
      </c>
      <c r="L1598">
        <v>13.44</v>
      </c>
    </row>
    <row r="1599" spans="1:12" x14ac:dyDescent="0.25">
      <c r="A1599" t="str">
        <f t="shared" si="276"/>
        <v>89301000</v>
      </c>
      <c r="B1599" t="str">
        <f t="shared" si="284"/>
        <v>93201000</v>
      </c>
      <c r="C1599" t="str">
        <f t="shared" si="285"/>
        <v>93201250</v>
      </c>
      <c r="D1599">
        <v>89301167</v>
      </c>
      <c r="E1599" t="str">
        <f t="shared" si="286"/>
        <v>7657065790</v>
      </c>
      <c r="F1599" s="1">
        <v>44974</v>
      </c>
      <c r="G1599" t="str">
        <f>"81435"</f>
        <v>81435</v>
      </c>
      <c r="H1599">
        <v>1</v>
      </c>
      <c r="I1599">
        <v>22</v>
      </c>
      <c r="J1599">
        <v>0</v>
      </c>
      <c r="K1599" t="str">
        <f t="shared" si="287"/>
        <v>801</v>
      </c>
      <c r="L1599">
        <v>18.48</v>
      </c>
    </row>
    <row r="1600" spans="1:12" x14ac:dyDescent="0.25">
      <c r="A1600" t="str">
        <f t="shared" si="276"/>
        <v>89301000</v>
      </c>
      <c r="B1600" t="str">
        <f t="shared" si="284"/>
        <v>93201000</v>
      </c>
      <c r="C1600" t="str">
        <f t="shared" si="285"/>
        <v>93201250</v>
      </c>
      <c r="D1600">
        <v>89301167</v>
      </c>
      <c r="E1600" t="str">
        <f t="shared" si="286"/>
        <v>7657065790</v>
      </c>
      <c r="F1600" s="1">
        <v>44974</v>
      </c>
      <c r="G1600" t="str">
        <f>"81499"</f>
        <v>81499</v>
      </c>
      <c r="H1600">
        <v>1</v>
      </c>
      <c r="I1600">
        <v>18</v>
      </c>
      <c r="J1600">
        <v>0</v>
      </c>
      <c r="K1600" t="str">
        <f t="shared" si="287"/>
        <v>801</v>
      </c>
      <c r="L1600">
        <v>15.12</v>
      </c>
    </row>
    <row r="1601" spans="1:12" x14ac:dyDescent="0.25">
      <c r="A1601" t="str">
        <f t="shared" si="276"/>
        <v>89301000</v>
      </c>
      <c r="B1601" t="str">
        <f t="shared" si="284"/>
        <v>93201000</v>
      </c>
      <c r="C1601" t="str">
        <f t="shared" si="285"/>
        <v>93201250</v>
      </c>
      <c r="D1601">
        <v>89301167</v>
      </c>
      <c r="E1601" t="str">
        <f t="shared" si="286"/>
        <v>7657065790</v>
      </c>
      <c r="F1601" s="1">
        <v>44974</v>
      </c>
      <c r="G1601" t="str">
        <f>"81621"</f>
        <v>81621</v>
      </c>
      <c r="H1601">
        <v>1</v>
      </c>
      <c r="I1601">
        <v>19</v>
      </c>
      <c r="J1601">
        <v>0</v>
      </c>
      <c r="K1601" t="str">
        <f t="shared" si="287"/>
        <v>801</v>
      </c>
      <c r="L1601">
        <v>15.96</v>
      </c>
    </row>
    <row r="1602" spans="1:12" x14ac:dyDescent="0.25">
      <c r="A1602" t="str">
        <f t="shared" ref="A1602:A1665" si="288">"89301000"</f>
        <v>89301000</v>
      </c>
      <c r="B1602" t="str">
        <f t="shared" si="284"/>
        <v>93201000</v>
      </c>
      <c r="C1602" t="str">
        <f t="shared" si="285"/>
        <v>93201250</v>
      </c>
      <c r="D1602">
        <v>89301167</v>
      </c>
      <c r="E1602" t="str">
        <f t="shared" si="286"/>
        <v>7657065790</v>
      </c>
      <c r="F1602" s="1">
        <v>44974</v>
      </c>
      <c r="G1602" t="str">
        <f>"81329"</f>
        <v>81329</v>
      </c>
      <c r="H1602">
        <v>1</v>
      </c>
      <c r="I1602">
        <v>17</v>
      </c>
      <c r="J1602">
        <v>0</v>
      </c>
      <c r="K1602" t="str">
        <f t="shared" si="287"/>
        <v>801</v>
      </c>
      <c r="L1602">
        <v>14.28</v>
      </c>
    </row>
    <row r="1603" spans="1:12" x14ac:dyDescent="0.25">
      <c r="A1603" t="str">
        <f t="shared" si="288"/>
        <v>89301000</v>
      </c>
      <c r="B1603" t="str">
        <f t="shared" si="284"/>
        <v>93201000</v>
      </c>
      <c r="C1603" t="str">
        <f t="shared" si="285"/>
        <v>93201250</v>
      </c>
      <c r="D1603">
        <v>89301167</v>
      </c>
      <c r="E1603" t="str">
        <f t="shared" si="286"/>
        <v>7657065790</v>
      </c>
      <c r="F1603" s="1">
        <v>44974</v>
      </c>
      <c r="G1603" t="str">
        <f>"81625"</f>
        <v>81625</v>
      </c>
      <c r="H1603">
        <v>1</v>
      </c>
      <c r="I1603">
        <v>21</v>
      </c>
      <c r="J1603">
        <v>0</v>
      </c>
      <c r="K1603" t="str">
        <f t="shared" si="287"/>
        <v>801</v>
      </c>
      <c r="L1603">
        <v>17.64</v>
      </c>
    </row>
    <row r="1604" spans="1:12" x14ac:dyDescent="0.25">
      <c r="A1604" t="str">
        <f t="shared" si="288"/>
        <v>89301000</v>
      </c>
      <c r="B1604" t="str">
        <f t="shared" si="284"/>
        <v>93201000</v>
      </c>
      <c r="C1604" t="str">
        <f t="shared" si="285"/>
        <v>93201250</v>
      </c>
      <c r="D1604">
        <v>89301167</v>
      </c>
      <c r="E1604" t="str">
        <f t="shared" si="286"/>
        <v>7657065790</v>
      </c>
      <c r="F1604" s="1">
        <v>44974</v>
      </c>
      <c r="G1604" t="str">
        <f>"81249"</f>
        <v>81249</v>
      </c>
      <c r="H1604">
        <v>1</v>
      </c>
      <c r="I1604">
        <v>334</v>
      </c>
      <c r="J1604">
        <v>0</v>
      </c>
      <c r="K1604" t="str">
        <f t="shared" si="287"/>
        <v>801</v>
      </c>
      <c r="L1604">
        <v>280.56</v>
      </c>
    </row>
    <row r="1605" spans="1:12" x14ac:dyDescent="0.25">
      <c r="A1605" t="str">
        <f t="shared" si="288"/>
        <v>89301000</v>
      </c>
      <c r="B1605" t="str">
        <f t="shared" si="284"/>
        <v>93201000</v>
      </c>
      <c r="C1605" t="str">
        <f t="shared" si="285"/>
        <v>93201250</v>
      </c>
      <c r="D1605">
        <v>89301167</v>
      </c>
      <c r="E1605" t="str">
        <f t="shared" si="286"/>
        <v>7657065790</v>
      </c>
      <c r="F1605" s="1">
        <v>44974</v>
      </c>
      <c r="G1605" t="str">
        <f>"81383"</f>
        <v>81383</v>
      </c>
      <c r="H1605">
        <v>1</v>
      </c>
      <c r="I1605">
        <v>24</v>
      </c>
      <c r="J1605">
        <v>0</v>
      </c>
      <c r="K1605" t="str">
        <f t="shared" si="287"/>
        <v>801</v>
      </c>
      <c r="L1605">
        <v>20.16</v>
      </c>
    </row>
    <row r="1606" spans="1:12" x14ac:dyDescent="0.25">
      <c r="A1606" t="str">
        <f t="shared" si="288"/>
        <v>89301000</v>
      </c>
      <c r="B1606" t="str">
        <f t="shared" si="284"/>
        <v>93201000</v>
      </c>
      <c r="C1606" t="str">
        <f t="shared" si="285"/>
        <v>93201250</v>
      </c>
      <c r="D1606">
        <v>89301167</v>
      </c>
      <c r="E1606" t="str">
        <f t="shared" si="286"/>
        <v>7657065790</v>
      </c>
      <c r="F1606" s="1">
        <v>44974</v>
      </c>
      <c r="G1606" t="str">
        <f>"81469"</f>
        <v>81469</v>
      </c>
      <c r="H1606">
        <v>1</v>
      </c>
      <c r="I1606">
        <v>16</v>
      </c>
      <c r="J1606">
        <v>0</v>
      </c>
      <c r="K1606" t="str">
        <f t="shared" si="287"/>
        <v>801</v>
      </c>
      <c r="L1606">
        <v>13.44</v>
      </c>
    </row>
    <row r="1607" spans="1:12" x14ac:dyDescent="0.25">
      <c r="A1607" t="str">
        <f t="shared" si="288"/>
        <v>89301000</v>
      </c>
      <c r="B1607" t="str">
        <f t="shared" si="284"/>
        <v>93201000</v>
      </c>
      <c r="C1607" t="str">
        <f t="shared" si="285"/>
        <v>93201250</v>
      </c>
      <c r="D1607">
        <v>89301167</v>
      </c>
      <c r="E1607" t="str">
        <f t="shared" si="286"/>
        <v>7657065790</v>
      </c>
      <c r="F1607" s="1">
        <v>44974</v>
      </c>
      <c r="G1607" t="str">
        <f>"81593"</f>
        <v>81593</v>
      </c>
      <c r="H1607">
        <v>1</v>
      </c>
      <c r="I1607">
        <v>22</v>
      </c>
      <c r="J1607">
        <v>0</v>
      </c>
      <c r="K1607" t="str">
        <f t="shared" si="287"/>
        <v>801</v>
      </c>
      <c r="L1607">
        <v>18.48</v>
      </c>
    </row>
    <row r="1608" spans="1:12" x14ac:dyDescent="0.25">
      <c r="A1608" t="str">
        <f t="shared" si="288"/>
        <v>89301000</v>
      </c>
      <c r="B1608" t="str">
        <f t="shared" si="284"/>
        <v>93201000</v>
      </c>
      <c r="C1608" t="str">
        <f t="shared" si="285"/>
        <v>93201250</v>
      </c>
      <c r="D1608">
        <v>89301167</v>
      </c>
      <c r="E1608" t="str">
        <f t="shared" si="286"/>
        <v>7657065790</v>
      </c>
      <c r="F1608" s="1">
        <v>44974</v>
      </c>
      <c r="G1608" t="str">
        <f>"81393"</f>
        <v>81393</v>
      </c>
      <c r="H1608">
        <v>1</v>
      </c>
      <c r="I1608">
        <v>24</v>
      </c>
      <c r="J1608">
        <v>0</v>
      </c>
      <c r="K1608" t="str">
        <f t="shared" si="287"/>
        <v>801</v>
      </c>
      <c r="L1608">
        <v>20.16</v>
      </c>
    </row>
    <row r="1609" spans="1:12" x14ac:dyDescent="0.25">
      <c r="A1609" t="str">
        <f t="shared" si="288"/>
        <v>89301000</v>
      </c>
      <c r="B1609" t="str">
        <f t="shared" si="284"/>
        <v>93201000</v>
      </c>
      <c r="C1609" t="str">
        <f t="shared" si="285"/>
        <v>93201250</v>
      </c>
      <c r="D1609">
        <v>89301167</v>
      </c>
      <c r="E1609" t="str">
        <f t="shared" ref="E1609:E1628" si="289">"511221028"</f>
        <v>511221028</v>
      </c>
      <c r="F1609" s="1">
        <v>44971</v>
      </c>
      <c r="G1609" t="str">
        <f>"97111"</f>
        <v>97111</v>
      </c>
      <c r="H1609">
        <v>1</v>
      </c>
      <c r="I1609">
        <v>19</v>
      </c>
      <c r="J1609">
        <v>0</v>
      </c>
      <c r="K1609" t="str">
        <f t="shared" si="287"/>
        <v>801</v>
      </c>
      <c r="L1609">
        <v>23.94</v>
      </c>
    </row>
    <row r="1610" spans="1:12" x14ac:dyDescent="0.25">
      <c r="A1610" t="str">
        <f t="shared" si="288"/>
        <v>89301000</v>
      </c>
      <c r="B1610" t="str">
        <f t="shared" si="284"/>
        <v>93201000</v>
      </c>
      <c r="C1610" t="str">
        <f t="shared" si="285"/>
        <v>93201250</v>
      </c>
      <c r="D1610">
        <v>89301167</v>
      </c>
      <c r="E1610" t="str">
        <f t="shared" si="289"/>
        <v>511221028</v>
      </c>
      <c r="F1610" s="1">
        <v>44971</v>
      </c>
      <c r="G1610" t="str">
        <f>"81329"</f>
        <v>81329</v>
      </c>
      <c r="H1610">
        <v>1</v>
      </c>
      <c r="I1610">
        <v>17</v>
      </c>
      <c r="J1610">
        <v>0</v>
      </c>
      <c r="K1610" t="str">
        <f t="shared" si="287"/>
        <v>801</v>
      </c>
      <c r="L1610">
        <v>14.28</v>
      </c>
    </row>
    <row r="1611" spans="1:12" x14ac:dyDescent="0.25">
      <c r="A1611" t="str">
        <f t="shared" si="288"/>
        <v>89301000</v>
      </c>
      <c r="B1611" t="str">
        <f t="shared" si="284"/>
        <v>93201000</v>
      </c>
      <c r="C1611" t="str">
        <f t="shared" si="285"/>
        <v>93201250</v>
      </c>
      <c r="D1611">
        <v>89301167</v>
      </c>
      <c r="E1611" t="str">
        <f t="shared" si="289"/>
        <v>511221028</v>
      </c>
      <c r="F1611" s="1">
        <v>44971</v>
      </c>
      <c r="G1611" t="str">
        <f>"81421"</f>
        <v>81421</v>
      </c>
      <c r="H1611">
        <v>1</v>
      </c>
      <c r="I1611">
        <v>19</v>
      </c>
      <c r="J1611">
        <v>0</v>
      </c>
      <c r="K1611" t="str">
        <f t="shared" si="287"/>
        <v>801</v>
      </c>
      <c r="L1611">
        <v>15.96</v>
      </c>
    </row>
    <row r="1612" spans="1:12" x14ac:dyDescent="0.25">
      <c r="A1612" t="str">
        <f t="shared" si="288"/>
        <v>89301000</v>
      </c>
      <c r="B1612" t="str">
        <f t="shared" si="284"/>
        <v>93201000</v>
      </c>
      <c r="C1612" t="str">
        <f t="shared" si="285"/>
        <v>93201250</v>
      </c>
      <c r="D1612">
        <v>89301167</v>
      </c>
      <c r="E1612" t="str">
        <f t="shared" si="289"/>
        <v>511221028</v>
      </c>
      <c r="F1612" s="1">
        <v>44971</v>
      </c>
      <c r="G1612" t="str">
        <f>"81337"</f>
        <v>81337</v>
      </c>
      <c r="H1612">
        <v>1</v>
      </c>
      <c r="I1612">
        <v>20</v>
      </c>
      <c r="J1612">
        <v>0</v>
      </c>
      <c r="K1612" t="str">
        <f t="shared" si="287"/>
        <v>801</v>
      </c>
      <c r="L1612">
        <v>16.8</v>
      </c>
    </row>
    <row r="1613" spans="1:12" x14ac:dyDescent="0.25">
      <c r="A1613" t="str">
        <f t="shared" si="288"/>
        <v>89301000</v>
      </c>
      <c r="B1613" t="str">
        <f t="shared" si="284"/>
        <v>93201000</v>
      </c>
      <c r="C1613" t="str">
        <f t="shared" si="285"/>
        <v>93201250</v>
      </c>
      <c r="D1613">
        <v>89301167</v>
      </c>
      <c r="E1613" t="str">
        <f t="shared" si="289"/>
        <v>511221028</v>
      </c>
      <c r="F1613" s="1">
        <v>44971</v>
      </c>
      <c r="G1613" t="str">
        <f>"81469"</f>
        <v>81469</v>
      </c>
      <c r="H1613">
        <v>1</v>
      </c>
      <c r="I1613">
        <v>16</v>
      </c>
      <c r="J1613">
        <v>0</v>
      </c>
      <c r="K1613" t="str">
        <f t="shared" si="287"/>
        <v>801</v>
      </c>
      <c r="L1613">
        <v>13.44</v>
      </c>
    </row>
    <row r="1614" spans="1:12" x14ac:dyDescent="0.25">
      <c r="A1614" t="str">
        <f t="shared" si="288"/>
        <v>89301000</v>
      </c>
      <c r="B1614" t="str">
        <f t="shared" si="284"/>
        <v>93201000</v>
      </c>
      <c r="C1614" t="str">
        <f t="shared" si="285"/>
        <v>93201250</v>
      </c>
      <c r="D1614">
        <v>89301167</v>
      </c>
      <c r="E1614" t="str">
        <f t="shared" si="289"/>
        <v>511221028</v>
      </c>
      <c r="F1614" s="1">
        <v>44971</v>
      </c>
      <c r="G1614" t="str">
        <f>"81625"</f>
        <v>81625</v>
      </c>
      <c r="H1614">
        <v>1</v>
      </c>
      <c r="I1614">
        <v>21</v>
      </c>
      <c r="J1614">
        <v>0</v>
      </c>
      <c r="K1614" t="str">
        <f t="shared" si="287"/>
        <v>801</v>
      </c>
      <c r="L1614">
        <v>17.64</v>
      </c>
    </row>
    <row r="1615" spans="1:12" x14ac:dyDescent="0.25">
      <c r="A1615" t="str">
        <f t="shared" si="288"/>
        <v>89301000</v>
      </c>
      <c r="B1615" t="str">
        <f t="shared" si="284"/>
        <v>93201000</v>
      </c>
      <c r="C1615" t="str">
        <f t="shared" si="285"/>
        <v>93201250</v>
      </c>
      <c r="D1615">
        <v>89301167</v>
      </c>
      <c r="E1615" t="str">
        <f t="shared" si="289"/>
        <v>511221028</v>
      </c>
      <c r="F1615" s="1">
        <v>44971</v>
      </c>
      <c r="G1615" t="str">
        <f>"81361"</f>
        <v>81361</v>
      </c>
      <c r="H1615">
        <v>1</v>
      </c>
      <c r="I1615">
        <v>17</v>
      </c>
      <c r="J1615">
        <v>0</v>
      </c>
      <c r="K1615" t="str">
        <f t="shared" si="287"/>
        <v>801</v>
      </c>
      <c r="L1615">
        <v>14.28</v>
      </c>
    </row>
    <row r="1616" spans="1:12" x14ac:dyDescent="0.25">
      <c r="A1616" t="str">
        <f t="shared" si="288"/>
        <v>89301000</v>
      </c>
      <c r="B1616" t="str">
        <f t="shared" si="284"/>
        <v>93201000</v>
      </c>
      <c r="C1616" t="str">
        <f t="shared" si="285"/>
        <v>93201250</v>
      </c>
      <c r="D1616">
        <v>89301167</v>
      </c>
      <c r="E1616" t="str">
        <f t="shared" si="289"/>
        <v>511221028</v>
      </c>
      <c r="F1616" s="1">
        <v>44971</v>
      </c>
      <c r="G1616" t="str">
        <f>"81357"</f>
        <v>81357</v>
      </c>
      <c r="H1616">
        <v>1</v>
      </c>
      <c r="I1616">
        <v>20</v>
      </c>
      <c r="J1616">
        <v>0</v>
      </c>
      <c r="K1616" t="str">
        <f t="shared" si="287"/>
        <v>801</v>
      </c>
      <c r="L1616">
        <v>16.8</v>
      </c>
    </row>
    <row r="1617" spans="1:12" x14ac:dyDescent="0.25">
      <c r="A1617" t="str">
        <f t="shared" si="288"/>
        <v>89301000</v>
      </c>
      <c r="B1617" t="str">
        <f t="shared" si="284"/>
        <v>93201000</v>
      </c>
      <c r="C1617" t="str">
        <f t="shared" si="285"/>
        <v>93201250</v>
      </c>
      <c r="D1617">
        <v>89301167</v>
      </c>
      <c r="E1617" t="str">
        <f t="shared" si="289"/>
        <v>511221028</v>
      </c>
      <c r="F1617" s="1">
        <v>44971</v>
      </c>
      <c r="G1617" t="str">
        <f>"81439"</f>
        <v>81439</v>
      </c>
      <c r="H1617">
        <v>1</v>
      </c>
      <c r="I1617">
        <v>16</v>
      </c>
      <c r="J1617">
        <v>0</v>
      </c>
      <c r="K1617" t="str">
        <f t="shared" si="287"/>
        <v>801</v>
      </c>
      <c r="L1617">
        <v>13.44</v>
      </c>
    </row>
    <row r="1618" spans="1:12" x14ac:dyDescent="0.25">
      <c r="A1618" t="str">
        <f t="shared" si="288"/>
        <v>89301000</v>
      </c>
      <c r="B1618" t="str">
        <f t="shared" si="284"/>
        <v>93201000</v>
      </c>
      <c r="C1618" t="str">
        <f t="shared" si="285"/>
        <v>93201250</v>
      </c>
      <c r="D1618">
        <v>89301167</v>
      </c>
      <c r="E1618" t="str">
        <f t="shared" si="289"/>
        <v>511221028</v>
      </c>
      <c r="F1618" s="1">
        <v>44971</v>
      </c>
      <c r="G1618" t="str">
        <f>"81435"</f>
        <v>81435</v>
      </c>
      <c r="H1618">
        <v>1</v>
      </c>
      <c r="I1618">
        <v>22</v>
      </c>
      <c r="J1618">
        <v>0</v>
      </c>
      <c r="K1618" t="str">
        <f t="shared" si="287"/>
        <v>801</v>
      </c>
      <c r="L1618">
        <v>18.48</v>
      </c>
    </row>
    <row r="1619" spans="1:12" x14ac:dyDescent="0.25">
      <c r="A1619" t="str">
        <f t="shared" si="288"/>
        <v>89301000</v>
      </c>
      <c r="B1619" t="str">
        <f t="shared" si="284"/>
        <v>93201000</v>
      </c>
      <c r="C1619" t="str">
        <f t="shared" si="285"/>
        <v>93201250</v>
      </c>
      <c r="D1619">
        <v>89301167</v>
      </c>
      <c r="E1619" t="str">
        <f t="shared" si="289"/>
        <v>511221028</v>
      </c>
      <c r="F1619" s="1">
        <v>44971</v>
      </c>
      <c r="G1619" t="str">
        <f>"81393"</f>
        <v>81393</v>
      </c>
      <c r="H1619">
        <v>1</v>
      </c>
      <c r="I1619">
        <v>24</v>
      </c>
      <c r="J1619">
        <v>0</v>
      </c>
      <c r="K1619" t="str">
        <f t="shared" si="287"/>
        <v>801</v>
      </c>
      <c r="L1619">
        <v>20.16</v>
      </c>
    </row>
    <row r="1620" spans="1:12" x14ac:dyDescent="0.25">
      <c r="A1620" t="str">
        <f t="shared" si="288"/>
        <v>89301000</v>
      </c>
      <c r="B1620" t="str">
        <f t="shared" si="284"/>
        <v>93201000</v>
      </c>
      <c r="C1620" t="str">
        <f t="shared" si="285"/>
        <v>93201250</v>
      </c>
      <c r="D1620">
        <v>89301167</v>
      </c>
      <c r="E1620" t="str">
        <f t="shared" si="289"/>
        <v>511221028</v>
      </c>
      <c r="F1620" s="1">
        <v>44971</v>
      </c>
      <c r="G1620" t="str">
        <f>"81499"</f>
        <v>81499</v>
      </c>
      <c r="H1620">
        <v>1</v>
      </c>
      <c r="I1620">
        <v>18</v>
      </c>
      <c r="J1620">
        <v>0</v>
      </c>
      <c r="K1620" t="str">
        <f t="shared" si="287"/>
        <v>801</v>
      </c>
      <c r="L1620">
        <v>15.12</v>
      </c>
    </row>
    <row r="1621" spans="1:12" x14ac:dyDescent="0.25">
      <c r="A1621" t="str">
        <f t="shared" si="288"/>
        <v>89301000</v>
      </c>
      <c r="B1621" t="str">
        <f t="shared" si="284"/>
        <v>93201000</v>
      </c>
      <c r="C1621" t="str">
        <f t="shared" si="285"/>
        <v>93201250</v>
      </c>
      <c r="D1621">
        <v>89301167</v>
      </c>
      <c r="E1621" t="str">
        <f t="shared" si="289"/>
        <v>511221028</v>
      </c>
      <c r="F1621" s="1">
        <v>44971</v>
      </c>
      <c r="G1621" t="str">
        <f>"81523"</f>
        <v>81523</v>
      </c>
      <c r="H1621">
        <v>1</v>
      </c>
      <c r="I1621">
        <v>23</v>
      </c>
      <c r="J1621">
        <v>0</v>
      </c>
      <c r="K1621" t="str">
        <f t="shared" si="287"/>
        <v>801</v>
      </c>
      <c r="L1621">
        <v>19.32</v>
      </c>
    </row>
    <row r="1622" spans="1:12" x14ac:dyDescent="0.25">
      <c r="A1622" t="str">
        <f t="shared" si="288"/>
        <v>89301000</v>
      </c>
      <c r="B1622" t="str">
        <f t="shared" si="284"/>
        <v>93201000</v>
      </c>
      <c r="C1622" t="str">
        <f t="shared" si="285"/>
        <v>93201250</v>
      </c>
      <c r="D1622">
        <v>89301167</v>
      </c>
      <c r="E1622" t="str">
        <f t="shared" si="289"/>
        <v>511221028</v>
      </c>
      <c r="F1622" s="1">
        <v>44971</v>
      </c>
      <c r="G1622" t="str">
        <f>"81383"</f>
        <v>81383</v>
      </c>
      <c r="H1622">
        <v>1</v>
      </c>
      <c r="I1622">
        <v>24</v>
      </c>
      <c r="J1622">
        <v>0</v>
      </c>
      <c r="K1622" t="str">
        <f t="shared" si="287"/>
        <v>801</v>
      </c>
      <c r="L1622">
        <v>20.16</v>
      </c>
    </row>
    <row r="1623" spans="1:12" x14ac:dyDescent="0.25">
      <c r="A1623" t="str">
        <f t="shared" si="288"/>
        <v>89301000</v>
      </c>
      <c r="B1623" t="str">
        <f t="shared" si="284"/>
        <v>93201000</v>
      </c>
      <c r="C1623" t="str">
        <f t="shared" si="285"/>
        <v>93201250</v>
      </c>
      <c r="D1623">
        <v>89301167</v>
      </c>
      <c r="E1623" t="str">
        <f t="shared" si="289"/>
        <v>511221028</v>
      </c>
      <c r="F1623" s="1">
        <v>44971</v>
      </c>
      <c r="G1623" t="str">
        <f>"81593"</f>
        <v>81593</v>
      </c>
      <c r="H1623">
        <v>1</v>
      </c>
      <c r="I1623">
        <v>22</v>
      </c>
      <c r="J1623">
        <v>0</v>
      </c>
      <c r="K1623" t="str">
        <f t="shared" si="287"/>
        <v>801</v>
      </c>
      <c r="L1623">
        <v>18.48</v>
      </c>
    </row>
    <row r="1624" spans="1:12" x14ac:dyDescent="0.25">
      <c r="A1624" t="str">
        <f t="shared" si="288"/>
        <v>89301000</v>
      </c>
      <c r="B1624" t="str">
        <f t="shared" si="284"/>
        <v>93201000</v>
      </c>
      <c r="C1624" t="str">
        <f t="shared" si="285"/>
        <v>93201250</v>
      </c>
      <c r="D1624">
        <v>89301167</v>
      </c>
      <c r="E1624" t="str">
        <f t="shared" si="289"/>
        <v>511221028</v>
      </c>
      <c r="F1624" s="1">
        <v>44971</v>
      </c>
      <c r="G1624" t="str">
        <f>"81365"</f>
        <v>81365</v>
      </c>
      <c r="H1624">
        <v>1</v>
      </c>
      <c r="I1624">
        <v>16</v>
      </c>
      <c r="J1624">
        <v>0</v>
      </c>
      <c r="K1624" t="str">
        <f t="shared" si="287"/>
        <v>801</v>
      </c>
      <c r="L1624">
        <v>13.44</v>
      </c>
    </row>
    <row r="1625" spans="1:12" x14ac:dyDescent="0.25">
      <c r="A1625" t="str">
        <f t="shared" si="288"/>
        <v>89301000</v>
      </c>
      <c r="B1625" t="str">
        <f t="shared" ref="B1625:B1650" si="290">"93201000"</f>
        <v>93201000</v>
      </c>
      <c r="C1625" t="str">
        <f t="shared" si="285"/>
        <v>93201250</v>
      </c>
      <c r="D1625">
        <v>89301167</v>
      </c>
      <c r="E1625" t="str">
        <f t="shared" si="289"/>
        <v>511221028</v>
      </c>
      <c r="F1625" s="1">
        <v>44971</v>
      </c>
      <c r="G1625" t="str">
        <f>"93195"</f>
        <v>93195</v>
      </c>
      <c r="H1625">
        <v>1</v>
      </c>
      <c r="I1625">
        <v>183</v>
      </c>
      <c r="J1625">
        <v>0</v>
      </c>
      <c r="K1625" t="str">
        <f t="shared" si="287"/>
        <v>801</v>
      </c>
      <c r="L1625">
        <v>153.72</v>
      </c>
    </row>
    <row r="1626" spans="1:12" x14ac:dyDescent="0.25">
      <c r="A1626" t="str">
        <f t="shared" si="288"/>
        <v>89301000</v>
      </c>
      <c r="B1626" t="str">
        <f t="shared" si="290"/>
        <v>93201000</v>
      </c>
      <c r="C1626" t="str">
        <f t="shared" si="285"/>
        <v>93201250</v>
      </c>
      <c r="D1626">
        <v>89301167</v>
      </c>
      <c r="E1626" t="str">
        <f t="shared" si="289"/>
        <v>511221028</v>
      </c>
      <c r="F1626" s="1">
        <v>44971</v>
      </c>
      <c r="G1626" t="str">
        <f>"93189"</f>
        <v>93189</v>
      </c>
      <c r="H1626">
        <v>1</v>
      </c>
      <c r="I1626">
        <v>191</v>
      </c>
      <c r="J1626">
        <v>0</v>
      </c>
      <c r="K1626" t="str">
        <f t="shared" si="287"/>
        <v>801</v>
      </c>
      <c r="L1626">
        <v>160.44</v>
      </c>
    </row>
    <row r="1627" spans="1:12" x14ac:dyDescent="0.25">
      <c r="A1627" t="str">
        <f t="shared" si="288"/>
        <v>89301000</v>
      </c>
      <c r="B1627" t="str">
        <f t="shared" si="290"/>
        <v>93201000</v>
      </c>
      <c r="C1627" t="str">
        <f t="shared" si="285"/>
        <v>93201250</v>
      </c>
      <c r="D1627">
        <v>89301167</v>
      </c>
      <c r="E1627" t="str">
        <f t="shared" si="289"/>
        <v>511221028</v>
      </c>
      <c r="F1627" s="1">
        <v>44971</v>
      </c>
      <c r="G1627" t="str">
        <f>"81621"</f>
        <v>81621</v>
      </c>
      <c r="H1627">
        <v>1</v>
      </c>
      <c r="I1627">
        <v>19</v>
      </c>
      <c r="J1627">
        <v>0</v>
      </c>
      <c r="K1627" t="str">
        <f t="shared" si="287"/>
        <v>801</v>
      </c>
      <c r="L1627">
        <v>15.96</v>
      </c>
    </row>
    <row r="1628" spans="1:12" x14ac:dyDescent="0.25">
      <c r="A1628" t="str">
        <f t="shared" si="288"/>
        <v>89301000</v>
      </c>
      <c r="B1628" t="str">
        <f t="shared" si="290"/>
        <v>93201000</v>
      </c>
      <c r="C1628" t="str">
        <f>"93201130"</f>
        <v>93201130</v>
      </c>
      <c r="D1628">
        <v>89301167</v>
      </c>
      <c r="E1628" t="str">
        <f t="shared" si="289"/>
        <v>511221028</v>
      </c>
      <c r="F1628" s="1">
        <v>44971</v>
      </c>
      <c r="G1628" t="str">
        <f>"96167"</f>
        <v>96167</v>
      </c>
      <c r="H1628">
        <v>1</v>
      </c>
      <c r="I1628">
        <v>67</v>
      </c>
      <c r="J1628">
        <v>0</v>
      </c>
      <c r="K1628" t="str">
        <f>"818"</f>
        <v>818</v>
      </c>
      <c r="L1628">
        <v>64.989999999999995</v>
      </c>
    </row>
    <row r="1629" spans="1:12" x14ac:dyDescent="0.25">
      <c r="A1629" t="str">
        <f t="shared" si="288"/>
        <v>89301000</v>
      </c>
      <c r="B1629" t="str">
        <f t="shared" si="290"/>
        <v>93201000</v>
      </c>
      <c r="C1629" t="str">
        <f>"93201130"</f>
        <v>93201130</v>
      </c>
      <c r="D1629">
        <v>89301167</v>
      </c>
      <c r="E1629" t="str">
        <f>"7657065790"</f>
        <v>7657065790</v>
      </c>
      <c r="F1629" s="1">
        <v>44974</v>
      </c>
      <c r="G1629" t="str">
        <f>"96167"</f>
        <v>96167</v>
      </c>
      <c r="H1629">
        <v>1</v>
      </c>
      <c r="I1629">
        <v>67</v>
      </c>
      <c r="J1629">
        <v>0</v>
      </c>
      <c r="K1629" t="str">
        <f>"818"</f>
        <v>818</v>
      </c>
      <c r="L1629">
        <v>64.989999999999995</v>
      </c>
    </row>
    <row r="1630" spans="1:12" x14ac:dyDescent="0.25">
      <c r="A1630" t="str">
        <f t="shared" si="288"/>
        <v>89301000</v>
      </c>
      <c r="B1630" t="str">
        <f t="shared" si="290"/>
        <v>93201000</v>
      </c>
      <c r="C1630" t="str">
        <f>"93201012"</f>
        <v>93201012</v>
      </c>
      <c r="D1630">
        <v>89301167</v>
      </c>
      <c r="E1630" t="str">
        <f>"7657065790"</f>
        <v>7657065790</v>
      </c>
      <c r="F1630" s="1">
        <v>44974</v>
      </c>
      <c r="G1630" t="str">
        <f>"91153"</f>
        <v>91153</v>
      </c>
      <c r="H1630">
        <v>1</v>
      </c>
      <c r="I1630">
        <v>153</v>
      </c>
      <c r="J1630">
        <v>0</v>
      </c>
      <c r="K1630" t="str">
        <f>"813"</f>
        <v>813</v>
      </c>
      <c r="L1630">
        <v>128.52000000000001</v>
      </c>
    </row>
    <row r="1631" spans="1:12" x14ac:dyDescent="0.25">
      <c r="A1631" t="str">
        <f t="shared" si="288"/>
        <v>89301000</v>
      </c>
      <c r="B1631" t="str">
        <f t="shared" si="290"/>
        <v>93201000</v>
      </c>
      <c r="C1631" t="str">
        <f>"93201012"</f>
        <v>93201012</v>
      </c>
      <c r="D1631">
        <v>89301167</v>
      </c>
      <c r="E1631" t="str">
        <f>"511221028"</f>
        <v>511221028</v>
      </c>
      <c r="F1631" s="1">
        <v>44971</v>
      </c>
      <c r="G1631" t="str">
        <f>"91153"</f>
        <v>91153</v>
      </c>
      <c r="H1631">
        <v>1</v>
      </c>
      <c r="I1631">
        <v>153</v>
      </c>
      <c r="J1631">
        <v>0</v>
      </c>
      <c r="K1631" t="str">
        <f>"813"</f>
        <v>813</v>
      </c>
      <c r="L1631">
        <v>128.52000000000001</v>
      </c>
    </row>
    <row r="1632" spans="1:12" x14ac:dyDescent="0.25">
      <c r="A1632" t="str">
        <f t="shared" si="288"/>
        <v>89301000</v>
      </c>
      <c r="B1632" t="str">
        <f t="shared" si="290"/>
        <v>93201000</v>
      </c>
      <c r="C1632" t="str">
        <f t="shared" ref="C1632:C1649" si="291">"93201350"</f>
        <v>93201350</v>
      </c>
      <c r="D1632">
        <v>89301212</v>
      </c>
      <c r="E1632" t="str">
        <f>"495801257"</f>
        <v>495801257</v>
      </c>
      <c r="F1632" s="1">
        <v>44981</v>
      </c>
      <c r="G1632" t="str">
        <f>"89131"</f>
        <v>89131</v>
      </c>
      <c r="H1632">
        <v>1</v>
      </c>
      <c r="I1632">
        <v>190</v>
      </c>
      <c r="J1632">
        <v>0</v>
      </c>
      <c r="K1632" t="str">
        <f t="shared" ref="K1632:K1649" si="292">"809"</f>
        <v>809</v>
      </c>
      <c r="L1632">
        <v>279.3</v>
      </c>
    </row>
    <row r="1633" spans="1:12" x14ac:dyDescent="0.25">
      <c r="A1633" t="str">
        <f t="shared" si="288"/>
        <v>89301000</v>
      </c>
      <c r="B1633" t="str">
        <f t="shared" si="290"/>
        <v>93201000</v>
      </c>
      <c r="C1633" t="str">
        <f t="shared" si="291"/>
        <v>93201350</v>
      </c>
      <c r="D1633">
        <v>89301212</v>
      </c>
      <c r="E1633" t="str">
        <f>"6307302012"</f>
        <v>6307302012</v>
      </c>
      <c r="F1633" s="1">
        <v>44978</v>
      </c>
      <c r="G1633" t="str">
        <f>"89513"</f>
        <v>89513</v>
      </c>
      <c r="H1633">
        <v>1</v>
      </c>
      <c r="I1633">
        <v>378</v>
      </c>
      <c r="J1633">
        <v>0</v>
      </c>
      <c r="K1633" t="str">
        <f t="shared" si="292"/>
        <v>809</v>
      </c>
      <c r="L1633">
        <v>555.66</v>
      </c>
    </row>
    <row r="1634" spans="1:12" x14ac:dyDescent="0.25">
      <c r="A1634" t="str">
        <f t="shared" si="288"/>
        <v>89301000</v>
      </c>
      <c r="B1634" t="str">
        <f t="shared" si="290"/>
        <v>93201000</v>
      </c>
      <c r="C1634" t="str">
        <f t="shared" si="291"/>
        <v>93201350</v>
      </c>
      <c r="D1634">
        <v>89301212</v>
      </c>
      <c r="E1634" t="str">
        <f>"6307302012"</f>
        <v>6307302012</v>
      </c>
      <c r="F1634" s="1">
        <v>44978</v>
      </c>
      <c r="G1634" t="str">
        <f>"89514"</f>
        <v>89514</v>
      </c>
      <c r="H1634">
        <v>1</v>
      </c>
      <c r="I1634">
        <v>378</v>
      </c>
      <c r="J1634">
        <v>0</v>
      </c>
      <c r="K1634" t="str">
        <f t="shared" si="292"/>
        <v>809</v>
      </c>
      <c r="L1634">
        <v>555.66</v>
      </c>
    </row>
    <row r="1635" spans="1:12" x14ac:dyDescent="0.25">
      <c r="A1635" t="str">
        <f t="shared" si="288"/>
        <v>89301000</v>
      </c>
      <c r="B1635" t="str">
        <f t="shared" si="290"/>
        <v>93201000</v>
      </c>
      <c r="C1635" t="str">
        <f t="shared" si="291"/>
        <v>93201350</v>
      </c>
      <c r="D1635">
        <v>89301212</v>
      </c>
      <c r="E1635" t="str">
        <f>"0210196140"</f>
        <v>0210196140</v>
      </c>
      <c r="F1635" s="1">
        <v>44980</v>
      </c>
      <c r="G1635" t="str">
        <f>"89513"</f>
        <v>89513</v>
      </c>
      <c r="H1635">
        <v>1</v>
      </c>
      <c r="I1635">
        <v>378</v>
      </c>
      <c r="J1635">
        <v>0</v>
      </c>
      <c r="K1635" t="str">
        <f t="shared" si="292"/>
        <v>809</v>
      </c>
      <c r="L1635">
        <v>555.66</v>
      </c>
    </row>
    <row r="1636" spans="1:12" x14ac:dyDescent="0.25">
      <c r="A1636" t="str">
        <f t="shared" si="288"/>
        <v>89301000</v>
      </c>
      <c r="B1636" t="str">
        <f t="shared" si="290"/>
        <v>93201000</v>
      </c>
      <c r="C1636" t="str">
        <f t="shared" si="291"/>
        <v>93201350</v>
      </c>
      <c r="D1636">
        <v>89301212</v>
      </c>
      <c r="E1636" t="str">
        <f>"0210196140"</f>
        <v>0210196140</v>
      </c>
      <c r="F1636" s="1">
        <v>44980</v>
      </c>
      <c r="G1636" t="str">
        <f>"89514"</f>
        <v>89514</v>
      </c>
      <c r="H1636">
        <v>1</v>
      </c>
      <c r="I1636">
        <v>378</v>
      </c>
      <c r="J1636">
        <v>0</v>
      </c>
      <c r="K1636" t="str">
        <f t="shared" si="292"/>
        <v>809</v>
      </c>
      <c r="L1636">
        <v>555.66</v>
      </c>
    </row>
    <row r="1637" spans="1:12" x14ac:dyDescent="0.25">
      <c r="A1637" t="str">
        <f t="shared" si="288"/>
        <v>89301000</v>
      </c>
      <c r="B1637" t="str">
        <f t="shared" si="290"/>
        <v>93201000</v>
      </c>
      <c r="C1637" t="str">
        <f t="shared" si="291"/>
        <v>93201350</v>
      </c>
      <c r="D1637">
        <v>89301212</v>
      </c>
      <c r="E1637" t="str">
        <f>"495801257"</f>
        <v>495801257</v>
      </c>
      <c r="F1637" s="1">
        <v>44981</v>
      </c>
      <c r="G1637" t="str">
        <f>"89513"</f>
        <v>89513</v>
      </c>
      <c r="H1637">
        <v>1</v>
      </c>
      <c r="I1637">
        <v>378</v>
      </c>
      <c r="J1637">
        <v>0</v>
      </c>
      <c r="K1637" t="str">
        <f t="shared" si="292"/>
        <v>809</v>
      </c>
      <c r="L1637">
        <v>555.66</v>
      </c>
    </row>
    <row r="1638" spans="1:12" x14ac:dyDescent="0.25">
      <c r="A1638" t="str">
        <f t="shared" si="288"/>
        <v>89301000</v>
      </c>
      <c r="B1638" t="str">
        <f t="shared" si="290"/>
        <v>93201000</v>
      </c>
      <c r="C1638" t="str">
        <f t="shared" si="291"/>
        <v>93201350</v>
      </c>
      <c r="D1638">
        <v>89301212</v>
      </c>
      <c r="E1638" t="str">
        <f>"495801257"</f>
        <v>495801257</v>
      </c>
      <c r="F1638" s="1">
        <v>44981</v>
      </c>
      <c r="G1638" t="str">
        <f>"89514"</f>
        <v>89514</v>
      </c>
      <c r="H1638">
        <v>1</v>
      </c>
      <c r="I1638">
        <v>378</v>
      </c>
      <c r="J1638">
        <v>0</v>
      </c>
      <c r="K1638" t="str">
        <f t="shared" si="292"/>
        <v>809</v>
      </c>
      <c r="L1638">
        <v>555.66</v>
      </c>
    </row>
    <row r="1639" spans="1:12" x14ac:dyDescent="0.25">
      <c r="A1639" t="str">
        <f t="shared" si="288"/>
        <v>89301000</v>
      </c>
      <c r="B1639" t="str">
        <f t="shared" si="290"/>
        <v>93201000</v>
      </c>
      <c r="C1639" t="str">
        <f t="shared" si="291"/>
        <v>93201350</v>
      </c>
      <c r="D1639">
        <v>89301032</v>
      </c>
      <c r="E1639" t="str">
        <f>"7358135774"</f>
        <v>7358135774</v>
      </c>
      <c r="F1639" s="1">
        <v>44979</v>
      </c>
      <c r="G1639" t="str">
        <f>"89513"</f>
        <v>89513</v>
      </c>
      <c r="H1639">
        <v>1</v>
      </c>
      <c r="I1639">
        <v>378</v>
      </c>
      <c r="J1639">
        <v>0</v>
      </c>
      <c r="K1639" t="str">
        <f t="shared" si="292"/>
        <v>809</v>
      </c>
      <c r="L1639">
        <v>555.66</v>
      </c>
    </row>
    <row r="1640" spans="1:12" x14ac:dyDescent="0.25">
      <c r="A1640" t="str">
        <f t="shared" si="288"/>
        <v>89301000</v>
      </c>
      <c r="B1640" t="str">
        <f t="shared" si="290"/>
        <v>93201000</v>
      </c>
      <c r="C1640" t="str">
        <f t="shared" si="291"/>
        <v>93201350</v>
      </c>
      <c r="D1640">
        <v>89301032</v>
      </c>
      <c r="E1640" t="str">
        <f>"7358135774"</f>
        <v>7358135774</v>
      </c>
      <c r="F1640" s="1">
        <v>44979</v>
      </c>
      <c r="G1640" t="str">
        <f>"89514"</f>
        <v>89514</v>
      </c>
      <c r="H1640">
        <v>1</v>
      </c>
      <c r="I1640">
        <v>378</v>
      </c>
      <c r="J1640">
        <v>0</v>
      </c>
      <c r="K1640" t="str">
        <f t="shared" si="292"/>
        <v>809</v>
      </c>
      <c r="L1640">
        <v>555.66</v>
      </c>
    </row>
    <row r="1641" spans="1:12" x14ac:dyDescent="0.25">
      <c r="A1641" t="str">
        <f t="shared" si="288"/>
        <v>89301000</v>
      </c>
      <c r="B1641" t="str">
        <f t="shared" si="290"/>
        <v>93201000</v>
      </c>
      <c r="C1641" t="str">
        <f t="shared" si="291"/>
        <v>93201350</v>
      </c>
      <c r="D1641">
        <v>89301212</v>
      </c>
      <c r="E1641" t="str">
        <f>"5953090660"</f>
        <v>5953090660</v>
      </c>
      <c r="F1641" s="1">
        <v>44984</v>
      </c>
      <c r="G1641" t="str">
        <f>"89513"</f>
        <v>89513</v>
      </c>
      <c r="H1641">
        <v>1</v>
      </c>
      <c r="I1641">
        <v>378</v>
      </c>
      <c r="J1641">
        <v>0</v>
      </c>
      <c r="K1641" t="str">
        <f t="shared" si="292"/>
        <v>809</v>
      </c>
      <c r="L1641">
        <v>555.66</v>
      </c>
    </row>
    <row r="1642" spans="1:12" x14ac:dyDescent="0.25">
      <c r="A1642" t="str">
        <f t="shared" si="288"/>
        <v>89301000</v>
      </c>
      <c r="B1642" t="str">
        <f t="shared" si="290"/>
        <v>93201000</v>
      </c>
      <c r="C1642" t="str">
        <f t="shared" si="291"/>
        <v>93201350</v>
      </c>
      <c r="D1642">
        <v>89301212</v>
      </c>
      <c r="E1642" t="str">
        <f>"5953090660"</f>
        <v>5953090660</v>
      </c>
      <c r="F1642" s="1">
        <v>44984</v>
      </c>
      <c r="G1642" t="str">
        <f>"89514"</f>
        <v>89514</v>
      </c>
      <c r="H1642">
        <v>1</v>
      </c>
      <c r="I1642">
        <v>378</v>
      </c>
      <c r="J1642">
        <v>0</v>
      </c>
      <c r="K1642" t="str">
        <f t="shared" si="292"/>
        <v>809</v>
      </c>
      <c r="L1642">
        <v>555.66</v>
      </c>
    </row>
    <row r="1643" spans="1:12" x14ac:dyDescent="0.25">
      <c r="A1643" t="str">
        <f t="shared" si="288"/>
        <v>89301000</v>
      </c>
      <c r="B1643" t="str">
        <f t="shared" si="290"/>
        <v>93201000</v>
      </c>
      <c r="C1643" t="str">
        <f t="shared" si="291"/>
        <v>93201350</v>
      </c>
      <c r="D1643">
        <v>89301215</v>
      </c>
      <c r="E1643" t="str">
        <f>"6851010496"</f>
        <v>6851010496</v>
      </c>
      <c r="F1643" s="1">
        <v>44973</v>
      </c>
      <c r="G1643" t="str">
        <f>"89512"</f>
        <v>89512</v>
      </c>
      <c r="H1643">
        <v>1</v>
      </c>
      <c r="I1643">
        <v>283</v>
      </c>
      <c r="J1643">
        <v>0</v>
      </c>
      <c r="K1643" t="str">
        <f t="shared" si="292"/>
        <v>809</v>
      </c>
      <c r="L1643">
        <v>416.01</v>
      </c>
    </row>
    <row r="1644" spans="1:12" x14ac:dyDescent="0.25">
      <c r="A1644" t="str">
        <f t="shared" si="288"/>
        <v>89301000</v>
      </c>
      <c r="B1644" t="str">
        <f t="shared" si="290"/>
        <v>93201000</v>
      </c>
      <c r="C1644" t="str">
        <f t="shared" si="291"/>
        <v>93201350</v>
      </c>
      <c r="D1644">
        <v>89301215</v>
      </c>
      <c r="E1644" t="str">
        <f>"6851010496"</f>
        <v>6851010496</v>
      </c>
      <c r="F1644" s="1">
        <v>44973</v>
      </c>
      <c r="G1644" t="str">
        <f>"89180"</f>
        <v>89180</v>
      </c>
      <c r="H1644">
        <v>2</v>
      </c>
      <c r="I1644">
        <v>762</v>
      </c>
      <c r="J1644">
        <v>0</v>
      </c>
      <c r="K1644" t="str">
        <f t="shared" si="292"/>
        <v>809</v>
      </c>
      <c r="L1644">
        <v>1120.1400000000001</v>
      </c>
    </row>
    <row r="1645" spans="1:12" x14ac:dyDescent="0.25">
      <c r="A1645" t="str">
        <f t="shared" si="288"/>
        <v>89301000</v>
      </c>
      <c r="B1645" t="str">
        <f t="shared" si="290"/>
        <v>93201000</v>
      </c>
      <c r="C1645" t="str">
        <f t="shared" si="291"/>
        <v>93201350</v>
      </c>
      <c r="D1645">
        <v>89301604</v>
      </c>
      <c r="E1645" t="str">
        <f>"8051104424"</f>
        <v>8051104424</v>
      </c>
      <c r="F1645" s="1">
        <v>44960</v>
      </c>
      <c r="G1645" t="str">
        <f>"89512"</f>
        <v>89512</v>
      </c>
      <c r="H1645">
        <v>1</v>
      </c>
      <c r="I1645">
        <v>283</v>
      </c>
      <c r="J1645">
        <v>0</v>
      </c>
      <c r="K1645" t="str">
        <f t="shared" si="292"/>
        <v>809</v>
      </c>
      <c r="L1645">
        <v>416.01</v>
      </c>
    </row>
    <row r="1646" spans="1:12" x14ac:dyDescent="0.25">
      <c r="A1646" t="str">
        <f t="shared" si="288"/>
        <v>89301000</v>
      </c>
      <c r="B1646" t="str">
        <f t="shared" si="290"/>
        <v>93201000</v>
      </c>
      <c r="C1646" t="str">
        <f t="shared" si="291"/>
        <v>93201350</v>
      </c>
      <c r="D1646">
        <v>89301212</v>
      </c>
      <c r="E1646" t="str">
        <f>"6561210733"</f>
        <v>6561210733</v>
      </c>
      <c r="F1646" s="1">
        <v>44960</v>
      </c>
      <c r="G1646" t="str">
        <f>"89512"</f>
        <v>89512</v>
      </c>
      <c r="H1646">
        <v>1</v>
      </c>
      <c r="I1646">
        <v>283</v>
      </c>
      <c r="J1646">
        <v>0</v>
      </c>
      <c r="K1646" t="str">
        <f t="shared" si="292"/>
        <v>809</v>
      </c>
      <c r="L1646">
        <v>416.01</v>
      </c>
    </row>
    <row r="1647" spans="1:12" x14ac:dyDescent="0.25">
      <c r="A1647" t="str">
        <f t="shared" si="288"/>
        <v>89301000</v>
      </c>
      <c r="B1647" t="str">
        <f t="shared" si="290"/>
        <v>93201000</v>
      </c>
      <c r="C1647" t="str">
        <f t="shared" si="291"/>
        <v>93201350</v>
      </c>
      <c r="D1647">
        <v>89301212</v>
      </c>
      <c r="E1647" t="str">
        <f>"6561210733"</f>
        <v>6561210733</v>
      </c>
      <c r="F1647" s="1">
        <v>44960</v>
      </c>
      <c r="G1647" t="str">
        <f>"89180"</f>
        <v>89180</v>
      </c>
      <c r="H1647">
        <v>2</v>
      </c>
      <c r="I1647">
        <v>762</v>
      </c>
      <c r="J1647">
        <v>0</v>
      </c>
      <c r="K1647" t="str">
        <f t="shared" si="292"/>
        <v>809</v>
      </c>
      <c r="L1647">
        <v>1120.1400000000001</v>
      </c>
    </row>
    <row r="1648" spans="1:12" x14ac:dyDescent="0.25">
      <c r="A1648" t="str">
        <f t="shared" si="288"/>
        <v>89301000</v>
      </c>
      <c r="B1648" t="str">
        <f t="shared" si="290"/>
        <v>93201000</v>
      </c>
      <c r="C1648" t="str">
        <f t="shared" si="291"/>
        <v>93201350</v>
      </c>
      <c r="D1648">
        <v>89301212</v>
      </c>
      <c r="E1648" t="str">
        <f>"5953090660"</f>
        <v>5953090660</v>
      </c>
      <c r="F1648" s="1">
        <v>44966</v>
      </c>
      <c r="G1648" t="str">
        <f>"89512"</f>
        <v>89512</v>
      </c>
      <c r="H1648">
        <v>1</v>
      </c>
      <c r="I1648">
        <v>283</v>
      </c>
      <c r="J1648">
        <v>0</v>
      </c>
      <c r="K1648" t="str">
        <f t="shared" si="292"/>
        <v>809</v>
      </c>
      <c r="L1648">
        <v>416.01</v>
      </c>
    </row>
    <row r="1649" spans="1:12" x14ac:dyDescent="0.25">
      <c r="A1649" t="str">
        <f t="shared" si="288"/>
        <v>89301000</v>
      </c>
      <c r="B1649" t="str">
        <f t="shared" si="290"/>
        <v>93201000</v>
      </c>
      <c r="C1649" t="str">
        <f t="shared" si="291"/>
        <v>93201350</v>
      </c>
      <c r="D1649">
        <v>89301212</v>
      </c>
      <c r="E1649" t="str">
        <f>"5953090660"</f>
        <v>5953090660</v>
      </c>
      <c r="F1649" s="1">
        <v>44966</v>
      </c>
      <c r="G1649" t="str">
        <f>"89180"</f>
        <v>89180</v>
      </c>
      <c r="H1649">
        <v>2</v>
      </c>
      <c r="I1649">
        <v>762</v>
      </c>
      <c r="J1649">
        <v>0</v>
      </c>
      <c r="K1649" t="str">
        <f t="shared" si="292"/>
        <v>809</v>
      </c>
      <c r="L1649">
        <v>1120.1400000000001</v>
      </c>
    </row>
    <row r="1650" spans="1:12" x14ac:dyDescent="0.25">
      <c r="A1650" t="str">
        <f t="shared" si="288"/>
        <v>89301000</v>
      </c>
      <c r="B1650" t="str">
        <f t="shared" si="290"/>
        <v>93201000</v>
      </c>
      <c r="C1650" t="str">
        <f>"93201355"</f>
        <v>93201355</v>
      </c>
      <c r="D1650">
        <v>89301062</v>
      </c>
      <c r="E1650" t="str">
        <f>"8809144916"</f>
        <v>8809144916</v>
      </c>
      <c r="F1650" s="1">
        <v>44964</v>
      </c>
      <c r="G1650" t="str">
        <f>"89713"</f>
        <v>89713</v>
      </c>
      <c r="H1650">
        <v>1</v>
      </c>
      <c r="I1650">
        <v>5411</v>
      </c>
      <c r="J1650">
        <v>0</v>
      </c>
      <c r="K1650" t="str">
        <f>"810"</f>
        <v>810</v>
      </c>
      <c r="L1650">
        <v>3517.15</v>
      </c>
    </row>
    <row r="1651" spans="1:12" x14ac:dyDescent="0.25">
      <c r="A1651" t="str">
        <f t="shared" si="288"/>
        <v>89301000</v>
      </c>
      <c r="B1651" t="str">
        <f>"85200000"</f>
        <v>85200000</v>
      </c>
      <c r="C1651" t="str">
        <f>"85200048"</f>
        <v>85200048</v>
      </c>
      <c r="D1651">
        <v>89301082</v>
      </c>
      <c r="E1651" t="str">
        <f>"9352115300"</f>
        <v>9352115300</v>
      </c>
      <c r="F1651" s="1">
        <v>44960</v>
      </c>
      <c r="G1651" t="str">
        <f>"91153"</f>
        <v>91153</v>
      </c>
      <c r="H1651">
        <v>1</v>
      </c>
      <c r="I1651">
        <v>153</v>
      </c>
      <c r="J1651">
        <v>0</v>
      </c>
      <c r="K1651" t="str">
        <f>"801"</f>
        <v>801</v>
      </c>
      <c r="L1651">
        <v>128.52000000000001</v>
      </c>
    </row>
    <row r="1652" spans="1:12" x14ac:dyDescent="0.25">
      <c r="A1652" t="str">
        <f t="shared" si="288"/>
        <v>89301000</v>
      </c>
      <c r="B1652" t="str">
        <f>"85200000"</f>
        <v>85200000</v>
      </c>
      <c r="C1652" t="str">
        <f>"85200048"</f>
        <v>85200048</v>
      </c>
      <c r="D1652">
        <v>89301082</v>
      </c>
      <c r="E1652" t="str">
        <f>"9352115300"</f>
        <v>9352115300</v>
      </c>
      <c r="F1652" s="1">
        <v>44960</v>
      </c>
      <c r="G1652" t="str">
        <f>"96163"</f>
        <v>96163</v>
      </c>
      <c r="H1652">
        <v>1</v>
      </c>
      <c r="I1652">
        <v>28</v>
      </c>
      <c r="J1652">
        <v>0</v>
      </c>
      <c r="K1652" t="str">
        <f>"801"</f>
        <v>801</v>
      </c>
      <c r="L1652">
        <v>23.52</v>
      </c>
    </row>
    <row r="1653" spans="1:12" x14ac:dyDescent="0.25">
      <c r="A1653" t="str">
        <f t="shared" si="288"/>
        <v>89301000</v>
      </c>
      <c r="B1653" t="str">
        <f>"85200000"</f>
        <v>85200000</v>
      </c>
      <c r="C1653" t="str">
        <f>"85200048"</f>
        <v>85200048</v>
      </c>
      <c r="D1653">
        <v>89301082</v>
      </c>
      <c r="E1653" t="str">
        <f>"9352115300"</f>
        <v>9352115300</v>
      </c>
      <c r="F1653" s="1">
        <v>44960</v>
      </c>
      <c r="G1653" t="str">
        <f>"97111"</f>
        <v>97111</v>
      </c>
      <c r="H1653">
        <v>1</v>
      </c>
      <c r="I1653">
        <v>19</v>
      </c>
      <c r="J1653">
        <v>0</v>
      </c>
      <c r="K1653" t="str">
        <f>"801"</f>
        <v>801</v>
      </c>
      <c r="L1653">
        <v>23.94</v>
      </c>
    </row>
    <row r="1654" spans="1:12" x14ac:dyDescent="0.25">
      <c r="A1654" t="str">
        <f t="shared" si="288"/>
        <v>89301000</v>
      </c>
      <c r="B1654" t="str">
        <f>"82001000"</f>
        <v>82001000</v>
      </c>
      <c r="C1654" t="str">
        <f>"82001180"</f>
        <v>82001180</v>
      </c>
      <c r="D1654">
        <v>89301132</v>
      </c>
      <c r="E1654" t="str">
        <f>"530629005"</f>
        <v>530629005</v>
      </c>
      <c r="F1654" s="1">
        <v>44970</v>
      </c>
      <c r="G1654" t="str">
        <f>"89615"</f>
        <v>89615</v>
      </c>
      <c r="H1654">
        <v>1</v>
      </c>
      <c r="I1654">
        <v>2199</v>
      </c>
      <c r="J1654">
        <v>0</v>
      </c>
      <c r="K1654" t="str">
        <f>"809"</f>
        <v>809</v>
      </c>
      <c r="L1654">
        <v>1429.35</v>
      </c>
    </row>
    <row r="1655" spans="1:12" x14ac:dyDescent="0.25">
      <c r="A1655" t="str">
        <f t="shared" si="288"/>
        <v>89301000</v>
      </c>
      <c r="B1655" t="str">
        <f>"89100260"</f>
        <v>89100260</v>
      </c>
      <c r="C1655" t="str">
        <f>"89100261"</f>
        <v>89100261</v>
      </c>
      <c r="D1655">
        <v>89301212</v>
      </c>
      <c r="E1655" t="str">
        <f>"5851150173"</f>
        <v>5851150173</v>
      </c>
      <c r="F1655" s="1">
        <v>44964</v>
      </c>
      <c r="G1655" t="str">
        <f>"89131"</f>
        <v>89131</v>
      </c>
      <c r="H1655">
        <v>1</v>
      </c>
      <c r="I1655">
        <v>190</v>
      </c>
      <c r="J1655">
        <v>0</v>
      </c>
      <c r="K1655" t="str">
        <f>"809"</f>
        <v>809</v>
      </c>
      <c r="L1655">
        <v>279.3</v>
      </c>
    </row>
    <row r="1656" spans="1:12" x14ac:dyDescent="0.25">
      <c r="A1656" t="str">
        <f t="shared" si="288"/>
        <v>89301000</v>
      </c>
      <c r="B1656" t="str">
        <f>"89148000"</f>
        <v>89148000</v>
      </c>
      <c r="C1656" t="str">
        <f>"89148212"</f>
        <v>89148212</v>
      </c>
      <c r="D1656">
        <v>89301122</v>
      </c>
      <c r="E1656" t="str">
        <f>"531003240"</f>
        <v>531003240</v>
      </c>
      <c r="F1656" s="1">
        <v>44958</v>
      </c>
      <c r="G1656" t="str">
        <f>"09119"</f>
        <v>09119</v>
      </c>
      <c r="H1656">
        <v>1</v>
      </c>
      <c r="I1656">
        <v>43</v>
      </c>
      <c r="J1656">
        <v>0</v>
      </c>
      <c r="K1656" t="str">
        <f>"801"</f>
        <v>801</v>
      </c>
      <c r="L1656">
        <v>54.18</v>
      </c>
    </row>
    <row r="1657" spans="1:12" x14ac:dyDescent="0.25">
      <c r="A1657" t="str">
        <f t="shared" si="288"/>
        <v>89301000</v>
      </c>
      <c r="B1657" t="str">
        <f>"89148000"</f>
        <v>89148000</v>
      </c>
      <c r="C1657" t="str">
        <f>"89148212"</f>
        <v>89148212</v>
      </c>
      <c r="D1657">
        <v>89301122</v>
      </c>
      <c r="E1657" t="str">
        <f>"531003240"</f>
        <v>531003240</v>
      </c>
      <c r="F1657" s="1">
        <v>44958</v>
      </c>
      <c r="G1657" t="str">
        <f>"93225"</f>
        <v>93225</v>
      </c>
      <c r="H1657">
        <v>1</v>
      </c>
      <c r="I1657">
        <v>265</v>
      </c>
      <c r="J1657">
        <v>0</v>
      </c>
      <c r="K1657" t="str">
        <f>"801"</f>
        <v>801</v>
      </c>
      <c r="L1657">
        <v>222.6</v>
      </c>
    </row>
    <row r="1658" spans="1:12" x14ac:dyDescent="0.25">
      <c r="A1658" t="str">
        <f t="shared" si="288"/>
        <v>89301000</v>
      </c>
      <c r="B1658" t="str">
        <f>"89148000"</f>
        <v>89148000</v>
      </c>
      <c r="C1658" t="str">
        <f>"89148212"</f>
        <v>89148212</v>
      </c>
      <c r="D1658">
        <v>89301122</v>
      </c>
      <c r="E1658" t="str">
        <f>"531003240"</f>
        <v>531003240</v>
      </c>
      <c r="F1658" s="1">
        <v>44958</v>
      </c>
      <c r="G1658" t="str">
        <f>"97111"</f>
        <v>97111</v>
      </c>
      <c r="H1658">
        <v>1</v>
      </c>
      <c r="I1658">
        <v>19</v>
      </c>
      <c r="J1658">
        <v>0</v>
      </c>
      <c r="K1658" t="str">
        <f>"801"</f>
        <v>801</v>
      </c>
      <c r="L1658">
        <v>23.94</v>
      </c>
    </row>
    <row r="1659" spans="1:12" x14ac:dyDescent="0.25">
      <c r="A1659" t="str">
        <f t="shared" si="288"/>
        <v>89301000</v>
      </c>
      <c r="B1659" t="str">
        <f>"26001000"</f>
        <v>26001000</v>
      </c>
      <c r="C1659" t="str">
        <f>"26001875"</f>
        <v>26001875</v>
      </c>
      <c r="D1659">
        <v>89301112</v>
      </c>
      <c r="E1659" t="str">
        <f>"0252011111"</f>
        <v>0252011111</v>
      </c>
      <c r="F1659" s="1">
        <v>44963</v>
      </c>
      <c r="G1659" t="str">
        <f>"89713"</f>
        <v>89713</v>
      </c>
      <c r="H1659">
        <v>1</v>
      </c>
      <c r="I1659">
        <v>5411</v>
      </c>
      <c r="J1659">
        <v>0</v>
      </c>
      <c r="K1659" t="str">
        <f>"810"</f>
        <v>810</v>
      </c>
      <c r="L1659">
        <v>3517.15</v>
      </c>
    </row>
    <row r="1660" spans="1:12" x14ac:dyDescent="0.25">
      <c r="A1660" t="str">
        <f t="shared" si="288"/>
        <v>89301000</v>
      </c>
      <c r="B1660" t="str">
        <f>"26001000"</f>
        <v>26001000</v>
      </c>
      <c r="C1660" t="str">
        <f>"26001875"</f>
        <v>26001875</v>
      </c>
      <c r="D1660">
        <v>89301112</v>
      </c>
      <c r="E1660" t="str">
        <f>"0252011111"</f>
        <v>0252011111</v>
      </c>
      <c r="F1660" s="1">
        <v>44963</v>
      </c>
      <c r="G1660" t="str">
        <f>"89725"</f>
        <v>89725</v>
      </c>
      <c r="H1660">
        <v>1</v>
      </c>
      <c r="I1660">
        <v>2863</v>
      </c>
      <c r="J1660">
        <v>0</v>
      </c>
      <c r="K1660" t="str">
        <f>"810"</f>
        <v>810</v>
      </c>
      <c r="L1660">
        <v>1860.95</v>
      </c>
    </row>
    <row r="1661" spans="1:12" x14ac:dyDescent="0.25">
      <c r="A1661" t="str">
        <f t="shared" si="288"/>
        <v>89301000</v>
      </c>
      <c r="B1661" t="str">
        <f t="shared" ref="B1661:B1692" si="293">"72100000"</f>
        <v>72100000</v>
      </c>
      <c r="C1661" t="str">
        <f t="shared" ref="C1661:C1692" si="294">"72100632"</f>
        <v>72100632</v>
      </c>
      <c r="D1661">
        <v>89301282</v>
      </c>
      <c r="E1661" t="str">
        <f>"5760191239"</f>
        <v>5760191239</v>
      </c>
      <c r="F1661" s="1">
        <v>44959</v>
      </c>
      <c r="G1661" t="str">
        <f>"94980"</f>
        <v>94980</v>
      </c>
      <c r="H1661">
        <v>1</v>
      </c>
      <c r="I1661">
        <v>0</v>
      </c>
      <c r="J1661">
        <v>11502</v>
      </c>
      <c r="K1661" t="str">
        <f t="shared" ref="K1661:K1692" si="295">"816"</f>
        <v>816</v>
      </c>
      <c r="L1661">
        <v>11502</v>
      </c>
    </row>
    <row r="1662" spans="1:12" x14ac:dyDescent="0.25">
      <c r="A1662" t="str">
        <f t="shared" si="288"/>
        <v>89301000</v>
      </c>
      <c r="B1662" t="str">
        <f t="shared" si="293"/>
        <v>72100000</v>
      </c>
      <c r="C1662" t="str">
        <f t="shared" si="294"/>
        <v>72100632</v>
      </c>
      <c r="D1662">
        <v>89301091</v>
      </c>
      <c r="E1662" t="str">
        <f>"2212270324"</f>
        <v>2212270324</v>
      </c>
      <c r="F1662" s="1">
        <v>44929</v>
      </c>
      <c r="G1662" t="str">
        <f t="shared" ref="G1662:G1689" si="296">"94297"</f>
        <v>94297</v>
      </c>
      <c r="H1662">
        <v>1</v>
      </c>
      <c r="I1662">
        <v>304</v>
      </c>
      <c r="J1662">
        <v>0</v>
      </c>
      <c r="K1662" t="str">
        <f t="shared" si="295"/>
        <v>816</v>
      </c>
      <c r="L1662">
        <v>304</v>
      </c>
    </row>
    <row r="1663" spans="1:12" x14ac:dyDescent="0.25">
      <c r="A1663" t="str">
        <f t="shared" si="288"/>
        <v>89301000</v>
      </c>
      <c r="B1663" t="str">
        <f t="shared" si="293"/>
        <v>72100000</v>
      </c>
      <c r="C1663" t="str">
        <f t="shared" si="294"/>
        <v>72100632</v>
      </c>
      <c r="D1663">
        <v>89301091</v>
      </c>
      <c r="E1663" t="str">
        <f>"2262280339"</f>
        <v>2262280339</v>
      </c>
      <c r="F1663" s="1">
        <v>44930</v>
      </c>
      <c r="G1663" t="str">
        <f t="shared" si="296"/>
        <v>94297</v>
      </c>
      <c r="H1663">
        <v>1</v>
      </c>
      <c r="I1663">
        <v>304</v>
      </c>
      <c r="J1663">
        <v>0</v>
      </c>
      <c r="K1663" t="str">
        <f t="shared" si="295"/>
        <v>816</v>
      </c>
      <c r="L1663">
        <v>304</v>
      </c>
    </row>
    <row r="1664" spans="1:12" x14ac:dyDescent="0.25">
      <c r="A1664" t="str">
        <f t="shared" si="288"/>
        <v>89301000</v>
      </c>
      <c r="B1664" t="str">
        <f t="shared" si="293"/>
        <v>72100000</v>
      </c>
      <c r="C1664" t="str">
        <f t="shared" si="294"/>
        <v>72100632</v>
      </c>
      <c r="D1664">
        <v>89301091</v>
      </c>
      <c r="E1664" t="str">
        <f>"2262280361"</f>
        <v>2262280361</v>
      </c>
      <c r="F1664" s="1">
        <v>44930</v>
      </c>
      <c r="G1664" t="str">
        <f t="shared" si="296"/>
        <v>94297</v>
      </c>
      <c r="H1664">
        <v>1</v>
      </c>
      <c r="I1664">
        <v>304</v>
      </c>
      <c r="J1664">
        <v>0</v>
      </c>
      <c r="K1664" t="str">
        <f t="shared" si="295"/>
        <v>816</v>
      </c>
      <c r="L1664">
        <v>304</v>
      </c>
    </row>
    <row r="1665" spans="1:12" x14ac:dyDescent="0.25">
      <c r="A1665" t="str">
        <f t="shared" si="288"/>
        <v>89301000</v>
      </c>
      <c r="B1665" t="str">
        <f t="shared" si="293"/>
        <v>72100000</v>
      </c>
      <c r="C1665" t="str">
        <f t="shared" si="294"/>
        <v>72100632</v>
      </c>
      <c r="D1665">
        <v>89301091</v>
      </c>
      <c r="E1665" t="str">
        <f>"2212280521"</f>
        <v>2212280521</v>
      </c>
      <c r="F1665" s="1">
        <v>44930</v>
      </c>
      <c r="G1665" t="str">
        <f t="shared" si="296"/>
        <v>94297</v>
      </c>
      <c r="H1665">
        <v>1</v>
      </c>
      <c r="I1665">
        <v>304</v>
      </c>
      <c r="J1665">
        <v>0</v>
      </c>
      <c r="K1665" t="str">
        <f t="shared" si="295"/>
        <v>816</v>
      </c>
      <c r="L1665">
        <v>304</v>
      </c>
    </row>
    <row r="1666" spans="1:12" x14ac:dyDescent="0.25">
      <c r="A1666" t="str">
        <f t="shared" ref="A1666:A1729" si="297">"89301000"</f>
        <v>89301000</v>
      </c>
      <c r="B1666" t="str">
        <f t="shared" si="293"/>
        <v>72100000</v>
      </c>
      <c r="C1666" t="str">
        <f t="shared" si="294"/>
        <v>72100632</v>
      </c>
      <c r="D1666">
        <v>89301091</v>
      </c>
      <c r="E1666" t="str">
        <f>"2212280543"</f>
        <v>2212280543</v>
      </c>
      <c r="F1666" s="1">
        <v>44930</v>
      </c>
      <c r="G1666" t="str">
        <f t="shared" si="296"/>
        <v>94297</v>
      </c>
      <c r="H1666">
        <v>1</v>
      </c>
      <c r="I1666">
        <v>304</v>
      </c>
      <c r="J1666">
        <v>0</v>
      </c>
      <c r="K1666" t="str">
        <f t="shared" si="295"/>
        <v>816</v>
      </c>
      <c r="L1666">
        <v>304</v>
      </c>
    </row>
    <row r="1667" spans="1:12" x14ac:dyDescent="0.25">
      <c r="A1667" t="str">
        <f t="shared" si="297"/>
        <v>89301000</v>
      </c>
      <c r="B1667" t="str">
        <f t="shared" si="293"/>
        <v>72100000</v>
      </c>
      <c r="C1667" t="str">
        <f t="shared" si="294"/>
        <v>72100632</v>
      </c>
      <c r="D1667">
        <v>89301091</v>
      </c>
      <c r="E1667" t="str">
        <f>"2262290404"</f>
        <v>2262290404</v>
      </c>
      <c r="F1667" s="1">
        <v>44930</v>
      </c>
      <c r="G1667" t="str">
        <f t="shared" si="296"/>
        <v>94297</v>
      </c>
      <c r="H1667">
        <v>1</v>
      </c>
      <c r="I1667">
        <v>304</v>
      </c>
      <c r="J1667">
        <v>0</v>
      </c>
      <c r="K1667" t="str">
        <f t="shared" si="295"/>
        <v>816</v>
      </c>
      <c r="L1667">
        <v>304</v>
      </c>
    </row>
    <row r="1668" spans="1:12" x14ac:dyDescent="0.25">
      <c r="A1668" t="str">
        <f t="shared" si="297"/>
        <v>89301000</v>
      </c>
      <c r="B1668" t="str">
        <f t="shared" si="293"/>
        <v>72100000</v>
      </c>
      <c r="C1668" t="str">
        <f t="shared" si="294"/>
        <v>72100632</v>
      </c>
      <c r="D1668">
        <v>89301091</v>
      </c>
      <c r="E1668" t="str">
        <f>"2262290415"</f>
        <v>2262290415</v>
      </c>
      <c r="F1668" s="1">
        <v>44930</v>
      </c>
      <c r="G1668" t="str">
        <f t="shared" si="296"/>
        <v>94297</v>
      </c>
      <c r="H1668">
        <v>1</v>
      </c>
      <c r="I1668">
        <v>304</v>
      </c>
      <c r="J1668">
        <v>0</v>
      </c>
      <c r="K1668" t="str">
        <f t="shared" si="295"/>
        <v>816</v>
      </c>
      <c r="L1668">
        <v>304</v>
      </c>
    </row>
    <row r="1669" spans="1:12" x14ac:dyDescent="0.25">
      <c r="A1669" t="str">
        <f t="shared" si="297"/>
        <v>89301000</v>
      </c>
      <c r="B1669" t="str">
        <f t="shared" si="293"/>
        <v>72100000</v>
      </c>
      <c r="C1669" t="str">
        <f t="shared" si="294"/>
        <v>72100632</v>
      </c>
      <c r="D1669">
        <v>89301091</v>
      </c>
      <c r="E1669" t="str">
        <f>"2212290421"</f>
        <v>2212290421</v>
      </c>
      <c r="F1669" s="1">
        <v>44930</v>
      </c>
      <c r="G1669" t="str">
        <f t="shared" si="296"/>
        <v>94297</v>
      </c>
      <c r="H1669">
        <v>1</v>
      </c>
      <c r="I1669">
        <v>304</v>
      </c>
      <c r="J1669">
        <v>0</v>
      </c>
      <c r="K1669" t="str">
        <f t="shared" si="295"/>
        <v>816</v>
      </c>
      <c r="L1669">
        <v>304</v>
      </c>
    </row>
    <row r="1670" spans="1:12" x14ac:dyDescent="0.25">
      <c r="A1670" t="str">
        <f t="shared" si="297"/>
        <v>89301000</v>
      </c>
      <c r="B1670" t="str">
        <f t="shared" si="293"/>
        <v>72100000</v>
      </c>
      <c r="C1670" t="str">
        <f t="shared" si="294"/>
        <v>72100632</v>
      </c>
      <c r="D1670">
        <v>89301091</v>
      </c>
      <c r="E1670" t="str">
        <f>"2212290443"</f>
        <v>2212290443</v>
      </c>
      <c r="F1670" s="1">
        <v>44930</v>
      </c>
      <c r="G1670" t="str">
        <f t="shared" si="296"/>
        <v>94297</v>
      </c>
      <c r="H1670">
        <v>1</v>
      </c>
      <c r="I1670">
        <v>304</v>
      </c>
      <c r="J1670">
        <v>0</v>
      </c>
      <c r="K1670" t="str">
        <f t="shared" si="295"/>
        <v>816</v>
      </c>
      <c r="L1670">
        <v>304</v>
      </c>
    </row>
    <row r="1671" spans="1:12" x14ac:dyDescent="0.25">
      <c r="A1671" t="str">
        <f t="shared" si="297"/>
        <v>89301000</v>
      </c>
      <c r="B1671" t="str">
        <f t="shared" si="293"/>
        <v>72100000</v>
      </c>
      <c r="C1671" t="str">
        <f t="shared" si="294"/>
        <v>72100632</v>
      </c>
      <c r="D1671">
        <v>89301091</v>
      </c>
      <c r="E1671" t="str">
        <f>"8753245765"</f>
        <v>8753245765</v>
      </c>
      <c r="F1671" s="1">
        <v>44930</v>
      </c>
      <c r="G1671" t="str">
        <f t="shared" si="296"/>
        <v>94297</v>
      </c>
      <c r="H1671">
        <v>1</v>
      </c>
      <c r="I1671">
        <v>304</v>
      </c>
      <c r="J1671">
        <v>0</v>
      </c>
      <c r="K1671" t="str">
        <f t="shared" si="295"/>
        <v>816</v>
      </c>
      <c r="L1671">
        <v>304</v>
      </c>
    </row>
    <row r="1672" spans="1:12" x14ac:dyDescent="0.25">
      <c r="A1672" t="str">
        <f t="shared" si="297"/>
        <v>89301000</v>
      </c>
      <c r="B1672" t="str">
        <f t="shared" si="293"/>
        <v>72100000</v>
      </c>
      <c r="C1672" t="str">
        <f t="shared" si="294"/>
        <v>72100632</v>
      </c>
      <c r="D1672">
        <v>89301091</v>
      </c>
      <c r="E1672" t="str">
        <f>"2262280405"</f>
        <v>2262280405</v>
      </c>
      <c r="F1672" s="1">
        <v>44931</v>
      </c>
      <c r="G1672" t="str">
        <f t="shared" si="296"/>
        <v>94297</v>
      </c>
      <c r="H1672">
        <v>1</v>
      </c>
      <c r="I1672">
        <v>304</v>
      </c>
      <c r="J1672">
        <v>0</v>
      </c>
      <c r="K1672" t="str">
        <f t="shared" si="295"/>
        <v>816</v>
      </c>
      <c r="L1672">
        <v>304</v>
      </c>
    </row>
    <row r="1673" spans="1:12" x14ac:dyDescent="0.25">
      <c r="A1673" t="str">
        <f t="shared" si="297"/>
        <v>89301000</v>
      </c>
      <c r="B1673" t="str">
        <f t="shared" si="293"/>
        <v>72100000</v>
      </c>
      <c r="C1673" t="str">
        <f t="shared" si="294"/>
        <v>72100632</v>
      </c>
      <c r="D1673">
        <v>89301091</v>
      </c>
      <c r="E1673" t="str">
        <f>"9359255741"</f>
        <v>9359255741</v>
      </c>
      <c r="F1673" s="1">
        <v>44932</v>
      </c>
      <c r="G1673" t="str">
        <f t="shared" si="296"/>
        <v>94297</v>
      </c>
      <c r="H1673">
        <v>1</v>
      </c>
      <c r="I1673">
        <v>304</v>
      </c>
      <c r="J1673">
        <v>0</v>
      </c>
      <c r="K1673" t="str">
        <f t="shared" si="295"/>
        <v>816</v>
      </c>
      <c r="L1673">
        <v>304</v>
      </c>
    </row>
    <row r="1674" spans="1:12" x14ac:dyDescent="0.25">
      <c r="A1674" t="str">
        <f t="shared" si="297"/>
        <v>89301000</v>
      </c>
      <c r="B1674" t="str">
        <f t="shared" si="293"/>
        <v>72100000</v>
      </c>
      <c r="C1674" t="str">
        <f t="shared" si="294"/>
        <v>72100632</v>
      </c>
      <c r="D1674">
        <v>89301091</v>
      </c>
      <c r="E1674" t="str">
        <f>"2351020012"</f>
        <v>2351020012</v>
      </c>
      <c r="F1674" s="1">
        <v>44935</v>
      </c>
      <c r="G1674" t="str">
        <f t="shared" si="296"/>
        <v>94297</v>
      </c>
      <c r="H1674">
        <v>1</v>
      </c>
      <c r="I1674">
        <v>304</v>
      </c>
      <c r="J1674">
        <v>0</v>
      </c>
      <c r="K1674" t="str">
        <f t="shared" si="295"/>
        <v>816</v>
      </c>
      <c r="L1674">
        <v>304</v>
      </c>
    </row>
    <row r="1675" spans="1:12" x14ac:dyDescent="0.25">
      <c r="A1675" t="str">
        <f t="shared" si="297"/>
        <v>89301000</v>
      </c>
      <c r="B1675" t="str">
        <f t="shared" si="293"/>
        <v>72100000</v>
      </c>
      <c r="C1675" t="str">
        <f t="shared" si="294"/>
        <v>72100632</v>
      </c>
      <c r="D1675">
        <v>89301091</v>
      </c>
      <c r="E1675" t="str">
        <f>"2301020546"</f>
        <v>2301020546</v>
      </c>
      <c r="F1675" s="1">
        <v>44935</v>
      </c>
      <c r="G1675" t="str">
        <f t="shared" si="296"/>
        <v>94297</v>
      </c>
      <c r="H1675">
        <v>1</v>
      </c>
      <c r="I1675">
        <v>304</v>
      </c>
      <c r="J1675">
        <v>0</v>
      </c>
      <c r="K1675" t="str">
        <f t="shared" si="295"/>
        <v>816</v>
      </c>
      <c r="L1675">
        <v>304</v>
      </c>
    </row>
    <row r="1676" spans="1:12" x14ac:dyDescent="0.25">
      <c r="A1676" t="str">
        <f t="shared" si="297"/>
        <v>89301000</v>
      </c>
      <c r="B1676" t="str">
        <f t="shared" si="293"/>
        <v>72100000</v>
      </c>
      <c r="C1676" t="str">
        <f t="shared" si="294"/>
        <v>72100632</v>
      </c>
      <c r="D1676">
        <v>89301091</v>
      </c>
      <c r="E1676" t="str">
        <f>"2351020441"</f>
        <v>2351020441</v>
      </c>
      <c r="F1676" s="1">
        <v>44935</v>
      </c>
      <c r="G1676" t="str">
        <f t="shared" si="296"/>
        <v>94297</v>
      </c>
      <c r="H1676">
        <v>1</v>
      </c>
      <c r="I1676">
        <v>304</v>
      </c>
      <c r="J1676">
        <v>0</v>
      </c>
      <c r="K1676" t="str">
        <f t="shared" si="295"/>
        <v>816</v>
      </c>
      <c r="L1676">
        <v>304</v>
      </c>
    </row>
    <row r="1677" spans="1:12" x14ac:dyDescent="0.25">
      <c r="A1677" t="str">
        <f t="shared" si="297"/>
        <v>89301000</v>
      </c>
      <c r="B1677" t="str">
        <f t="shared" si="293"/>
        <v>72100000</v>
      </c>
      <c r="C1677" t="str">
        <f t="shared" si="294"/>
        <v>72100632</v>
      </c>
      <c r="D1677">
        <v>89301091</v>
      </c>
      <c r="E1677" t="str">
        <f>"2351020452"</f>
        <v>2351020452</v>
      </c>
      <c r="F1677" s="1">
        <v>44935</v>
      </c>
      <c r="G1677" t="str">
        <f t="shared" si="296"/>
        <v>94297</v>
      </c>
      <c r="H1677">
        <v>1</v>
      </c>
      <c r="I1677">
        <v>304</v>
      </c>
      <c r="J1677">
        <v>0</v>
      </c>
      <c r="K1677" t="str">
        <f t="shared" si="295"/>
        <v>816</v>
      </c>
      <c r="L1677">
        <v>304</v>
      </c>
    </row>
    <row r="1678" spans="1:12" x14ac:dyDescent="0.25">
      <c r="A1678" t="str">
        <f t="shared" si="297"/>
        <v>89301000</v>
      </c>
      <c r="B1678" t="str">
        <f t="shared" si="293"/>
        <v>72100000</v>
      </c>
      <c r="C1678" t="str">
        <f t="shared" si="294"/>
        <v>72100632</v>
      </c>
      <c r="D1678">
        <v>89301091</v>
      </c>
      <c r="E1678" t="str">
        <f>"9360286078"</f>
        <v>9360286078</v>
      </c>
      <c r="F1678" s="1">
        <v>44936</v>
      </c>
      <c r="G1678" t="str">
        <f t="shared" si="296"/>
        <v>94297</v>
      </c>
      <c r="H1678">
        <v>1</v>
      </c>
      <c r="I1678">
        <v>304</v>
      </c>
      <c r="J1678">
        <v>0</v>
      </c>
      <c r="K1678" t="str">
        <f t="shared" si="295"/>
        <v>816</v>
      </c>
      <c r="L1678">
        <v>304</v>
      </c>
    </row>
    <row r="1679" spans="1:12" x14ac:dyDescent="0.25">
      <c r="A1679" t="str">
        <f t="shared" si="297"/>
        <v>89301000</v>
      </c>
      <c r="B1679" t="str">
        <f t="shared" si="293"/>
        <v>72100000</v>
      </c>
      <c r="C1679" t="str">
        <f t="shared" si="294"/>
        <v>72100632</v>
      </c>
      <c r="D1679">
        <v>89301091</v>
      </c>
      <c r="E1679" t="str">
        <f>"2351030484"</f>
        <v>2351030484</v>
      </c>
      <c r="F1679" s="1">
        <v>44936</v>
      </c>
      <c r="G1679" t="str">
        <f t="shared" si="296"/>
        <v>94297</v>
      </c>
      <c r="H1679">
        <v>1</v>
      </c>
      <c r="I1679">
        <v>304</v>
      </c>
      <c r="J1679">
        <v>0</v>
      </c>
      <c r="K1679" t="str">
        <f t="shared" si="295"/>
        <v>816</v>
      </c>
      <c r="L1679">
        <v>304</v>
      </c>
    </row>
    <row r="1680" spans="1:12" x14ac:dyDescent="0.25">
      <c r="A1680" t="str">
        <f t="shared" si="297"/>
        <v>89301000</v>
      </c>
      <c r="B1680" t="str">
        <f t="shared" si="293"/>
        <v>72100000</v>
      </c>
      <c r="C1680" t="str">
        <f t="shared" si="294"/>
        <v>72100632</v>
      </c>
      <c r="D1680">
        <v>89301091</v>
      </c>
      <c r="E1680" t="str">
        <f>"2301030380"</f>
        <v>2301030380</v>
      </c>
      <c r="F1680" s="1">
        <v>44936</v>
      </c>
      <c r="G1680" t="str">
        <f t="shared" si="296"/>
        <v>94297</v>
      </c>
      <c r="H1680">
        <v>1</v>
      </c>
      <c r="I1680">
        <v>304</v>
      </c>
      <c r="J1680">
        <v>0</v>
      </c>
      <c r="K1680" t="str">
        <f t="shared" si="295"/>
        <v>816</v>
      </c>
      <c r="L1680">
        <v>304</v>
      </c>
    </row>
    <row r="1681" spans="1:12" x14ac:dyDescent="0.25">
      <c r="A1681" t="str">
        <f t="shared" si="297"/>
        <v>89301000</v>
      </c>
      <c r="B1681" t="str">
        <f t="shared" si="293"/>
        <v>72100000</v>
      </c>
      <c r="C1681" t="str">
        <f t="shared" si="294"/>
        <v>72100632</v>
      </c>
      <c r="D1681">
        <v>89301091</v>
      </c>
      <c r="E1681" t="str">
        <f>"2301040533"</f>
        <v>2301040533</v>
      </c>
      <c r="F1681" s="1">
        <v>44936</v>
      </c>
      <c r="G1681" t="str">
        <f t="shared" si="296"/>
        <v>94297</v>
      </c>
      <c r="H1681">
        <v>1</v>
      </c>
      <c r="I1681">
        <v>304</v>
      </c>
      <c r="J1681">
        <v>0</v>
      </c>
      <c r="K1681" t="str">
        <f t="shared" si="295"/>
        <v>816</v>
      </c>
      <c r="L1681">
        <v>304</v>
      </c>
    </row>
    <row r="1682" spans="1:12" x14ac:dyDescent="0.25">
      <c r="A1682" t="str">
        <f t="shared" si="297"/>
        <v>89301000</v>
      </c>
      <c r="B1682" t="str">
        <f t="shared" si="293"/>
        <v>72100000</v>
      </c>
      <c r="C1682" t="str">
        <f t="shared" si="294"/>
        <v>72100632</v>
      </c>
      <c r="D1682">
        <v>89301091</v>
      </c>
      <c r="E1682" t="str">
        <f>"2301050708"</f>
        <v>2301050708</v>
      </c>
      <c r="F1682" s="1">
        <v>44937</v>
      </c>
      <c r="G1682" t="str">
        <f t="shared" si="296"/>
        <v>94297</v>
      </c>
      <c r="H1682">
        <v>1</v>
      </c>
      <c r="I1682">
        <v>304</v>
      </c>
      <c r="J1682">
        <v>0</v>
      </c>
      <c r="K1682" t="str">
        <f t="shared" si="295"/>
        <v>816</v>
      </c>
      <c r="L1682">
        <v>304</v>
      </c>
    </row>
    <row r="1683" spans="1:12" x14ac:dyDescent="0.25">
      <c r="A1683" t="str">
        <f t="shared" si="297"/>
        <v>89301000</v>
      </c>
      <c r="B1683" t="str">
        <f t="shared" si="293"/>
        <v>72100000</v>
      </c>
      <c r="C1683" t="str">
        <f t="shared" si="294"/>
        <v>72100632</v>
      </c>
      <c r="D1683">
        <v>89301091</v>
      </c>
      <c r="E1683" t="str">
        <f>"2351050537"</f>
        <v>2351050537</v>
      </c>
      <c r="F1683" s="1">
        <v>44937</v>
      </c>
      <c r="G1683" t="str">
        <f t="shared" si="296"/>
        <v>94297</v>
      </c>
      <c r="H1683">
        <v>1</v>
      </c>
      <c r="I1683">
        <v>304</v>
      </c>
      <c r="J1683">
        <v>0</v>
      </c>
      <c r="K1683" t="str">
        <f t="shared" si="295"/>
        <v>816</v>
      </c>
      <c r="L1683">
        <v>304</v>
      </c>
    </row>
    <row r="1684" spans="1:12" x14ac:dyDescent="0.25">
      <c r="A1684" t="str">
        <f t="shared" si="297"/>
        <v>89301000</v>
      </c>
      <c r="B1684" t="str">
        <f t="shared" si="293"/>
        <v>72100000</v>
      </c>
      <c r="C1684" t="str">
        <f t="shared" si="294"/>
        <v>72100632</v>
      </c>
      <c r="D1684">
        <v>89301091</v>
      </c>
      <c r="E1684" t="str">
        <f>"2351050570"</f>
        <v>2351050570</v>
      </c>
      <c r="F1684" s="1">
        <v>44937</v>
      </c>
      <c r="G1684" t="str">
        <f t="shared" si="296"/>
        <v>94297</v>
      </c>
      <c r="H1684">
        <v>1</v>
      </c>
      <c r="I1684">
        <v>304</v>
      </c>
      <c r="J1684">
        <v>0</v>
      </c>
      <c r="K1684" t="str">
        <f t="shared" si="295"/>
        <v>816</v>
      </c>
      <c r="L1684">
        <v>304</v>
      </c>
    </row>
    <row r="1685" spans="1:12" x14ac:dyDescent="0.25">
      <c r="A1685" t="str">
        <f t="shared" si="297"/>
        <v>89301000</v>
      </c>
      <c r="B1685" t="str">
        <f t="shared" si="293"/>
        <v>72100000</v>
      </c>
      <c r="C1685" t="str">
        <f t="shared" si="294"/>
        <v>72100632</v>
      </c>
      <c r="D1685">
        <v>89301091</v>
      </c>
      <c r="E1685" t="str">
        <f>"9153091332"</f>
        <v>9153091332</v>
      </c>
      <c r="F1685" s="1">
        <v>44937</v>
      </c>
      <c r="G1685" t="str">
        <f t="shared" si="296"/>
        <v>94297</v>
      </c>
      <c r="H1685">
        <v>1</v>
      </c>
      <c r="I1685">
        <v>304</v>
      </c>
      <c r="J1685">
        <v>0</v>
      </c>
      <c r="K1685" t="str">
        <f t="shared" si="295"/>
        <v>816</v>
      </c>
      <c r="L1685">
        <v>304</v>
      </c>
    </row>
    <row r="1686" spans="1:12" x14ac:dyDescent="0.25">
      <c r="A1686" t="str">
        <f t="shared" si="297"/>
        <v>89301000</v>
      </c>
      <c r="B1686" t="str">
        <f t="shared" si="293"/>
        <v>72100000</v>
      </c>
      <c r="C1686" t="str">
        <f t="shared" si="294"/>
        <v>72100632</v>
      </c>
      <c r="D1686">
        <v>89301091</v>
      </c>
      <c r="E1686" t="str">
        <f>"2351090588"</f>
        <v>2351090588</v>
      </c>
      <c r="F1686" s="1">
        <v>44942</v>
      </c>
      <c r="G1686" t="str">
        <f t="shared" si="296"/>
        <v>94297</v>
      </c>
      <c r="H1686">
        <v>1</v>
      </c>
      <c r="I1686">
        <v>304</v>
      </c>
      <c r="J1686">
        <v>0</v>
      </c>
      <c r="K1686" t="str">
        <f t="shared" si="295"/>
        <v>816</v>
      </c>
      <c r="L1686">
        <v>304</v>
      </c>
    </row>
    <row r="1687" spans="1:12" x14ac:dyDescent="0.25">
      <c r="A1687" t="str">
        <f t="shared" si="297"/>
        <v>89301000</v>
      </c>
      <c r="B1687" t="str">
        <f t="shared" si="293"/>
        <v>72100000</v>
      </c>
      <c r="C1687" t="str">
        <f t="shared" si="294"/>
        <v>72100632</v>
      </c>
      <c r="D1687">
        <v>89301091</v>
      </c>
      <c r="E1687" t="str">
        <f>"2351090599"</f>
        <v>2351090599</v>
      </c>
      <c r="F1687" s="1">
        <v>44942</v>
      </c>
      <c r="G1687" t="str">
        <f t="shared" si="296"/>
        <v>94297</v>
      </c>
      <c r="H1687">
        <v>1</v>
      </c>
      <c r="I1687">
        <v>304</v>
      </c>
      <c r="J1687">
        <v>0</v>
      </c>
      <c r="K1687" t="str">
        <f t="shared" si="295"/>
        <v>816</v>
      </c>
      <c r="L1687">
        <v>304</v>
      </c>
    </row>
    <row r="1688" spans="1:12" x14ac:dyDescent="0.25">
      <c r="A1688" t="str">
        <f t="shared" si="297"/>
        <v>89301000</v>
      </c>
      <c r="B1688" t="str">
        <f t="shared" si="293"/>
        <v>72100000</v>
      </c>
      <c r="C1688" t="str">
        <f t="shared" si="294"/>
        <v>72100632</v>
      </c>
      <c r="D1688">
        <v>89301091</v>
      </c>
      <c r="E1688" t="str">
        <f>"9458096153"</f>
        <v>9458096153</v>
      </c>
      <c r="F1688" s="1">
        <v>44943</v>
      </c>
      <c r="G1688" t="str">
        <f t="shared" si="296"/>
        <v>94297</v>
      </c>
      <c r="H1688">
        <v>1</v>
      </c>
      <c r="I1688">
        <v>304</v>
      </c>
      <c r="J1688">
        <v>0</v>
      </c>
      <c r="K1688" t="str">
        <f t="shared" si="295"/>
        <v>816</v>
      </c>
      <c r="L1688">
        <v>304</v>
      </c>
    </row>
    <row r="1689" spans="1:12" x14ac:dyDescent="0.25">
      <c r="A1689" t="str">
        <f t="shared" si="297"/>
        <v>89301000</v>
      </c>
      <c r="B1689" t="str">
        <f t="shared" si="293"/>
        <v>72100000</v>
      </c>
      <c r="C1689" t="str">
        <f t="shared" si="294"/>
        <v>72100632</v>
      </c>
      <c r="D1689">
        <v>89301091</v>
      </c>
      <c r="E1689" t="str">
        <f>"9754235733"</f>
        <v>9754235733</v>
      </c>
      <c r="F1689" s="1">
        <v>44943</v>
      </c>
      <c r="G1689" t="str">
        <f t="shared" si="296"/>
        <v>94297</v>
      </c>
      <c r="H1689">
        <v>1</v>
      </c>
      <c r="I1689">
        <v>304</v>
      </c>
      <c r="J1689">
        <v>0</v>
      </c>
      <c r="K1689" t="str">
        <f t="shared" si="295"/>
        <v>816</v>
      </c>
      <c r="L1689">
        <v>304</v>
      </c>
    </row>
    <row r="1690" spans="1:12" x14ac:dyDescent="0.25">
      <c r="A1690" t="str">
        <f t="shared" si="297"/>
        <v>89301000</v>
      </c>
      <c r="B1690" t="str">
        <f t="shared" si="293"/>
        <v>72100000</v>
      </c>
      <c r="C1690" t="str">
        <f t="shared" si="294"/>
        <v>72100632</v>
      </c>
      <c r="D1690">
        <v>89301282</v>
      </c>
      <c r="E1690" t="str">
        <f>"7103054508"</f>
        <v>7103054508</v>
      </c>
      <c r="F1690" s="1">
        <v>44938</v>
      </c>
      <c r="G1690" t="str">
        <f>"94996"</f>
        <v>94996</v>
      </c>
      <c r="H1690">
        <v>1</v>
      </c>
      <c r="I1690">
        <v>0</v>
      </c>
      <c r="J1690">
        <v>0</v>
      </c>
      <c r="K1690" t="str">
        <f t="shared" si="295"/>
        <v>816</v>
      </c>
      <c r="L1690">
        <v>0</v>
      </c>
    </row>
    <row r="1691" spans="1:12" x14ac:dyDescent="0.25">
      <c r="A1691" t="str">
        <f t="shared" si="297"/>
        <v>89301000</v>
      </c>
      <c r="B1691" t="str">
        <f t="shared" si="293"/>
        <v>72100000</v>
      </c>
      <c r="C1691" t="str">
        <f t="shared" si="294"/>
        <v>72100632</v>
      </c>
      <c r="D1691">
        <v>89301282</v>
      </c>
      <c r="E1691" t="str">
        <f>"7103054508"</f>
        <v>7103054508</v>
      </c>
      <c r="F1691" s="1">
        <v>44938</v>
      </c>
      <c r="G1691" t="str">
        <f>"94982"</f>
        <v>94982</v>
      </c>
      <c r="H1691">
        <v>1</v>
      </c>
      <c r="I1691">
        <v>0</v>
      </c>
      <c r="J1691">
        <v>27500</v>
      </c>
      <c r="K1691" t="str">
        <f t="shared" si="295"/>
        <v>816</v>
      </c>
      <c r="L1691">
        <v>27500</v>
      </c>
    </row>
    <row r="1692" spans="1:12" x14ac:dyDescent="0.25">
      <c r="A1692" t="str">
        <f t="shared" si="297"/>
        <v>89301000</v>
      </c>
      <c r="B1692" t="str">
        <f t="shared" si="293"/>
        <v>72100000</v>
      </c>
      <c r="C1692" t="str">
        <f t="shared" si="294"/>
        <v>72100632</v>
      </c>
      <c r="D1692">
        <v>89301091</v>
      </c>
      <c r="E1692" t="str">
        <f>"2351100521"</f>
        <v>2351100521</v>
      </c>
      <c r="F1692" s="1">
        <v>44944</v>
      </c>
      <c r="G1692" t="str">
        <f t="shared" ref="G1692:G1719" si="298">"94297"</f>
        <v>94297</v>
      </c>
      <c r="H1692">
        <v>1</v>
      </c>
      <c r="I1692">
        <v>304</v>
      </c>
      <c r="J1692">
        <v>0</v>
      </c>
      <c r="K1692" t="str">
        <f t="shared" si="295"/>
        <v>816</v>
      </c>
      <c r="L1692">
        <v>304</v>
      </c>
    </row>
    <row r="1693" spans="1:12" x14ac:dyDescent="0.25">
      <c r="A1693" t="str">
        <f t="shared" si="297"/>
        <v>89301000</v>
      </c>
      <c r="B1693" t="str">
        <f t="shared" ref="B1693:B1722" si="299">"72100000"</f>
        <v>72100000</v>
      </c>
      <c r="C1693" t="str">
        <f t="shared" ref="C1693:C1722" si="300">"72100632"</f>
        <v>72100632</v>
      </c>
      <c r="D1693">
        <v>89301091</v>
      </c>
      <c r="E1693" t="str">
        <f>"2301110625"</f>
        <v>2301110625</v>
      </c>
      <c r="F1693" s="1">
        <v>44944</v>
      </c>
      <c r="G1693" t="str">
        <f t="shared" si="298"/>
        <v>94297</v>
      </c>
      <c r="H1693">
        <v>1</v>
      </c>
      <c r="I1693">
        <v>304</v>
      </c>
      <c r="J1693">
        <v>0</v>
      </c>
      <c r="K1693" t="str">
        <f t="shared" ref="K1693:K1722" si="301">"816"</f>
        <v>816</v>
      </c>
      <c r="L1693">
        <v>304</v>
      </c>
    </row>
    <row r="1694" spans="1:12" x14ac:dyDescent="0.25">
      <c r="A1694" t="str">
        <f t="shared" si="297"/>
        <v>89301000</v>
      </c>
      <c r="B1694" t="str">
        <f t="shared" si="299"/>
        <v>72100000</v>
      </c>
      <c r="C1694" t="str">
        <f t="shared" si="300"/>
        <v>72100632</v>
      </c>
      <c r="D1694">
        <v>89301091</v>
      </c>
      <c r="E1694" t="str">
        <f>"2301110636"</f>
        <v>2301110636</v>
      </c>
      <c r="F1694" s="1">
        <v>44944</v>
      </c>
      <c r="G1694" t="str">
        <f t="shared" si="298"/>
        <v>94297</v>
      </c>
      <c r="H1694">
        <v>1</v>
      </c>
      <c r="I1694">
        <v>304</v>
      </c>
      <c r="J1694">
        <v>0</v>
      </c>
      <c r="K1694" t="str">
        <f t="shared" si="301"/>
        <v>816</v>
      </c>
      <c r="L1694">
        <v>304</v>
      </c>
    </row>
    <row r="1695" spans="1:12" x14ac:dyDescent="0.25">
      <c r="A1695" t="str">
        <f t="shared" si="297"/>
        <v>89301000</v>
      </c>
      <c r="B1695" t="str">
        <f t="shared" si="299"/>
        <v>72100000</v>
      </c>
      <c r="C1695" t="str">
        <f t="shared" si="300"/>
        <v>72100632</v>
      </c>
      <c r="D1695">
        <v>89301091</v>
      </c>
      <c r="E1695" t="str">
        <f>"2301120096"</f>
        <v>2301120096</v>
      </c>
      <c r="F1695" s="1">
        <v>44944</v>
      </c>
      <c r="G1695" t="str">
        <f t="shared" si="298"/>
        <v>94297</v>
      </c>
      <c r="H1695">
        <v>1</v>
      </c>
      <c r="I1695">
        <v>304</v>
      </c>
      <c r="J1695">
        <v>0</v>
      </c>
      <c r="K1695" t="str">
        <f t="shared" si="301"/>
        <v>816</v>
      </c>
      <c r="L1695">
        <v>304</v>
      </c>
    </row>
    <row r="1696" spans="1:12" x14ac:dyDescent="0.25">
      <c r="A1696" t="str">
        <f t="shared" si="297"/>
        <v>89301000</v>
      </c>
      <c r="B1696" t="str">
        <f t="shared" si="299"/>
        <v>72100000</v>
      </c>
      <c r="C1696" t="str">
        <f t="shared" si="300"/>
        <v>72100632</v>
      </c>
      <c r="D1696">
        <v>89301091</v>
      </c>
      <c r="E1696" t="str">
        <f>"2351120717"</f>
        <v>2351120717</v>
      </c>
      <c r="F1696" s="1">
        <v>44944</v>
      </c>
      <c r="G1696" t="str">
        <f t="shared" si="298"/>
        <v>94297</v>
      </c>
      <c r="H1696">
        <v>1</v>
      </c>
      <c r="I1696">
        <v>304</v>
      </c>
      <c r="J1696">
        <v>0</v>
      </c>
      <c r="K1696" t="str">
        <f t="shared" si="301"/>
        <v>816</v>
      </c>
      <c r="L1696">
        <v>304</v>
      </c>
    </row>
    <row r="1697" spans="1:12" x14ac:dyDescent="0.25">
      <c r="A1697" t="str">
        <f t="shared" si="297"/>
        <v>89301000</v>
      </c>
      <c r="B1697" t="str">
        <f t="shared" si="299"/>
        <v>72100000</v>
      </c>
      <c r="C1697" t="str">
        <f t="shared" si="300"/>
        <v>72100632</v>
      </c>
      <c r="D1697">
        <v>89301091</v>
      </c>
      <c r="E1697" t="str">
        <f>"2301120580"</f>
        <v>2301120580</v>
      </c>
      <c r="F1697" s="1">
        <v>44944</v>
      </c>
      <c r="G1697" t="str">
        <f t="shared" si="298"/>
        <v>94297</v>
      </c>
      <c r="H1697">
        <v>1</v>
      </c>
      <c r="I1697">
        <v>304</v>
      </c>
      <c r="J1697">
        <v>0</v>
      </c>
      <c r="K1697" t="str">
        <f t="shared" si="301"/>
        <v>816</v>
      </c>
      <c r="L1697">
        <v>304</v>
      </c>
    </row>
    <row r="1698" spans="1:12" x14ac:dyDescent="0.25">
      <c r="A1698" t="str">
        <f t="shared" si="297"/>
        <v>89301000</v>
      </c>
      <c r="B1698" t="str">
        <f t="shared" si="299"/>
        <v>72100000</v>
      </c>
      <c r="C1698" t="str">
        <f t="shared" si="300"/>
        <v>72100632</v>
      </c>
      <c r="D1698">
        <v>89301091</v>
      </c>
      <c r="E1698" t="str">
        <f>"2301120591"</f>
        <v>2301120591</v>
      </c>
      <c r="F1698" s="1">
        <v>44944</v>
      </c>
      <c r="G1698" t="str">
        <f t="shared" si="298"/>
        <v>94297</v>
      </c>
      <c r="H1698">
        <v>1</v>
      </c>
      <c r="I1698">
        <v>304</v>
      </c>
      <c r="J1698">
        <v>0</v>
      </c>
      <c r="K1698" t="str">
        <f t="shared" si="301"/>
        <v>816</v>
      </c>
      <c r="L1698">
        <v>304</v>
      </c>
    </row>
    <row r="1699" spans="1:12" x14ac:dyDescent="0.25">
      <c r="A1699" t="str">
        <f t="shared" si="297"/>
        <v>89301000</v>
      </c>
      <c r="B1699" t="str">
        <f t="shared" si="299"/>
        <v>72100000</v>
      </c>
      <c r="C1699" t="str">
        <f t="shared" si="300"/>
        <v>72100632</v>
      </c>
      <c r="D1699">
        <v>89301091</v>
      </c>
      <c r="E1699" t="str">
        <f>"2301120602"</f>
        <v>2301120602</v>
      </c>
      <c r="F1699" s="1">
        <v>44944</v>
      </c>
      <c r="G1699" t="str">
        <f t="shared" si="298"/>
        <v>94297</v>
      </c>
      <c r="H1699">
        <v>1</v>
      </c>
      <c r="I1699">
        <v>304</v>
      </c>
      <c r="J1699">
        <v>0</v>
      </c>
      <c r="K1699" t="str">
        <f t="shared" si="301"/>
        <v>816</v>
      </c>
      <c r="L1699">
        <v>304</v>
      </c>
    </row>
    <row r="1700" spans="1:12" x14ac:dyDescent="0.25">
      <c r="A1700" t="str">
        <f t="shared" si="297"/>
        <v>89301000</v>
      </c>
      <c r="B1700" t="str">
        <f t="shared" si="299"/>
        <v>72100000</v>
      </c>
      <c r="C1700" t="str">
        <f t="shared" si="300"/>
        <v>72100632</v>
      </c>
      <c r="D1700">
        <v>89301091</v>
      </c>
      <c r="E1700" t="str">
        <f>"2351120728"</f>
        <v>2351120728</v>
      </c>
      <c r="F1700" s="1">
        <v>44944</v>
      </c>
      <c r="G1700" t="str">
        <f t="shared" si="298"/>
        <v>94297</v>
      </c>
      <c r="H1700">
        <v>1</v>
      </c>
      <c r="I1700">
        <v>304</v>
      </c>
      <c r="J1700">
        <v>0</v>
      </c>
      <c r="K1700" t="str">
        <f t="shared" si="301"/>
        <v>816</v>
      </c>
      <c r="L1700">
        <v>304</v>
      </c>
    </row>
    <row r="1701" spans="1:12" x14ac:dyDescent="0.25">
      <c r="A1701" t="str">
        <f t="shared" si="297"/>
        <v>89301000</v>
      </c>
      <c r="B1701" t="str">
        <f t="shared" si="299"/>
        <v>72100000</v>
      </c>
      <c r="C1701" t="str">
        <f t="shared" si="300"/>
        <v>72100632</v>
      </c>
      <c r="D1701">
        <v>89301091</v>
      </c>
      <c r="E1701" t="str">
        <f>"2351120739"</f>
        <v>2351120739</v>
      </c>
      <c r="F1701" s="1">
        <v>44944</v>
      </c>
      <c r="G1701" t="str">
        <f t="shared" si="298"/>
        <v>94297</v>
      </c>
      <c r="H1701">
        <v>1</v>
      </c>
      <c r="I1701">
        <v>304</v>
      </c>
      <c r="J1701">
        <v>0</v>
      </c>
      <c r="K1701" t="str">
        <f t="shared" si="301"/>
        <v>816</v>
      </c>
      <c r="L1701">
        <v>304</v>
      </c>
    </row>
    <row r="1702" spans="1:12" x14ac:dyDescent="0.25">
      <c r="A1702" t="str">
        <f t="shared" si="297"/>
        <v>89301000</v>
      </c>
      <c r="B1702" t="str">
        <f t="shared" si="299"/>
        <v>72100000</v>
      </c>
      <c r="C1702" t="str">
        <f t="shared" si="300"/>
        <v>72100632</v>
      </c>
      <c r="D1702">
        <v>89301091</v>
      </c>
      <c r="E1702" t="str">
        <f>"9453295720"</f>
        <v>9453295720</v>
      </c>
      <c r="F1702" s="1">
        <v>44945</v>
      </c>
      <c r="G1702" t="str">
        <f t="shared" si="298"/>
        <v>94297</v>
      </c>
      <c r="H1702">
        <v>1</v>
      </c>
      <c r="I1702">
        <v>304</v>
      </c>
      <c r="J1702">
        <v>0</v>
      </c>
      <c r="K1702" t="str">
        <f t="shared" si="301"/>
        <v>816</v>
      </c>
      <c r="L1702">
        <v>304</v>
      </c>
    </row>
    <row r="1703" spans="1:12" x14ac:dyDescent="0.25">
      <c r="A1703" t="str">
        <f t="shared" si="297"/>
        <v>89301000</v>
      </c>
      <c r="B1703" t="str">
        <f t="shared" si="299"/>
        <v>72100000</v>
      </c>
      <c r="C1703" t="str">
        <f t="shared" si="300"/>
        <v>72100632</v>
      </c>
      <c r="D1703">
        <v>89301091</v>
      </c>
      <c r="E1703" t="str">
        <f>"9860025736"</f>
        <v>9860025736</v>
      </c>
      <c r="F1703" s="1">
        <v>44945</v>
      </c>
      <c r="G1703" t="str">
        <f t="shared" si="298"/>
        <v>94297</v>
      </c>
      <c r="H1703">
        <v>1</v>
      </c>
      <c r="I1703">
        <v>304</v>
      </c>
      <c r="J1703">
        <v>0</v>
      </c>
      <c r="K1703" t="str">
        <f t="shared" si="301"/>
        <v>816</v>
      </c>
      <c r="L1703">
        <v>304</v>
      </c>
    </row>
    <row r="1704" spans="1:12" x14ac:dyDescent="0.25">
      <c r="A1704" t="str">
        <f t="shared" si="297"/>
        <v>89301000</v>
      </c>
      <c r="B1704" t="str">
        <f t="shared" si="299"/>
        <v>72100000</v>
      </c>
      <c r="C1704" t="str">
        <f t="shared" si="300"/>
        <v>72100632</v>
      </c>
      <c r="D1704">
        <v>89301091</v>
      </c>
      <c r="E1704" t="str">
        <f>"2301150269"</f>
        <v>2301150269</v>
      </c>
      <c r="F1704" s="1">
        <v>44946</v>
      </c>
      <c r="G1704" t="str">
        <f t="shared" si="298"/>
        <v>94297</v>
      </c>
      <c r="H1704">
        <v>1</v>
      </c>
      <c r="I1704">
        <v>304</v>
      </c>
      <c r="J1704">
        <v>0</v>
      </c>
      <c r="K1704" t="str">
        <f t="shared" si="301"/>
        <v>816</v>
      </c>
      <c r="L1704">
        <v>304</v>
      </c>
    </row>
    <row r="1705" spans="1:12" x14ac:dyDescent="0.25">
      <c r="A1705" t="str">
        <f t="shared" si="297"/>
        <v>89301000</v>
      </c>
      <c r="B1705" t="str">
        <f t="shared" si="299"/>
        <v>72100000</v>
      </c>
      <c r="C1705" t="str">
        <f t="shared" si="300"/>
        <v>72100632</v>
      </c>
      <c r="D1705">
        <v>89301091</v>
      </c>
      <c r="E1705" t="str">
        <f>"2301160510"</f>
        <v>2301160510</v>
      </c>
      <c r="F1705" s="1">
        <v>44949</v>
      </c>
      <c r="G1705" t="str">
        <f t="shared" si="298"/>
        <v>94297</v>
      </c>
      <c r="H1705">
        <v>1</v>
      </c>
      <c r="I1705">
        <v>304</v>
      </c>
      <c r="J1705">
        <v>0</v>
      </c>
      <c r="K1705" t="str">
        <f t="shared" si="301"/>
        <v>816</v>
      </c>
      <c r="L1705">
        <v>304</v>
      </c>
    </row>
    <row r="1706" spans="1:12" x14ac:dyDescent="0.25">
      <c r="A1706" t="str">
        <f t="shared" si="297"/>
        <v>89301000</v>
      </c>
      <c r="B1706" t="str">
        <f t="shared" si="299"/>
        <v>72100000</v>
      </c>
      <c r="C1706" t="str">
        <f t="shared" si="300"/>
        <v>72100632</v>
      </c>
      <c r="D1706">
        <v>89301091</v>
      </c>
      <c r="E1706" t="str">
        <f>"9555075926"</f>
        <v>9555075926</v>
      </c>
      <c r="F1706" s="1">
        <v>44949</v>
      </c>
      <c r="G1706" t="str">
        <f t="shared" si="298"/>
        <v>94297</v>
      </c>
      <c r="H1706">
        <v>1</v>
      </c>
      <c r="I1706">
        <v>304</v>
      </c>
      <c r="J1706">
        <v>0</v>
      </c>
      <c r="K1706" t="str">
        <f t="shared" si="301"/>
        <v>816</v>
      </c>
      <c r="L1706">
        <v>304</v>
      </c>
    </row>
    <row r="1707" spans="1:12" x14ac:dyDescent="0.25">
      <c r="A1707" t="str">
        <f t="shared" si="297"/>
        <v>89301000</v>
      </c>
      <c r="B1707" t="str">
        <f t="shared" si="299"/>
        <v>72100000</v>
      </c>
      <c r="C1707" t="str">
        <f t="shared" si="300"/>
        <v>72100632</v>
      </c>
      <c r="D1707">
        <v>89301091</v>
      </c>
      <c r="E1707" t="str">
        <f>"2301170553"</f>
        <v>2301170553</v>
      </c>
      <c r="F1707" s="1">
        <v>44950</v>
      </c>
      <c r="G1707" t="str">
        <f t="shared" si="298"/>
        <v>94297</v>
      </c>
      <c r="H1707">
        <v>1</v>
      </c>
      <c r="I1707">
        <v>304</v>
      </c>
      <c r="J1707">
        <v>0</v>
      </c>
      <c r="K1707" t="str">
        <f t="shared" si="301"/>
        <v>816</v>
      </c>
      <c r="L1707">
        <v>304</v>
      </c>
    </row>
    <row r="1708" spans="1:12" x14ac:dyDescent="0.25">
      <c r="A1708" t="str">
        <f t="shared" si="297"/>
        <v>89301000</v>
      </c>
      <c r="B1708" t="str">
        <f t="shared" si="299"/>
        <v>72100000</v>
      </c>
      <c r="C1708" t="str">
        <f t="shared" si="300"/>
        <v>72100632</v>
      </c>
      <c r="D1708">
        <v>89301091</v>
      </c>
      <c r="E1708" t="str">
        <f>"2351170723"</f>
        <v>2351170723</v>
      </c>
      <c r="F1708" s="1">
        <v>44950</v>
      </c>
      <c r="G1708" t="str">
        <f t="shared" si="298"/>
        <v>94297</v>
      </c>
      <c r="H1708">
        <v>1</v>
      </c>
      <c r="I1708">
        <v>304</v>
      </c>
      <c r="J1708">
        <v>0</v>
      </c>
      <c r="K1708" t="str">
        <f t="shared" si="301"/>
        <v>816</v>
      </c>
      <c r="L1708">
        <v>304</v>
      </c>
    </row>
    <row r="1709" spans="1:12" x14ac:dyDescent="0.25">
      <c r="A1709" t="str">
        <f t="shared" si="297"/>
        <v>89301000</v>
      </c>
      <c r="B1709" t="str">
        <f t="shared" si="299"/>
        <v>72100000</v>
      </c>
      <c r="C1709" t="str">
        <f t="shared" si="300"/>
        <v>72100632</v>
      </c>
      <c r="D1709">
        <v>89301091</v>
      </c>
      <c r="E1709" t="str">
        <f>"2301180475"</f>
        <v>2301180475</v>
      </c>
      <c r="F1709" s="1">
        <v>44951</v>
      </c>
      <c r="G1709" t="str">
        <f t="shared" si="298"/>
        <v>94297</v>
      </c>
      <c r="H1709">
        <v>1</v>
      </c>
      <c r="I1709">
        <v>304</v>
      </c>
      <c r="J1709">
        <v>0</v>
      </c>
      <c r="K1709" t="str">
        <f t="shared" si="301"/>
        <v>816</v>
      </c>
      <c r="L1709">
        <v>304</v>
      </c>
    </row>
    <row r="1710" spans="1:12" x14ac:dyDescent="0.25">
      <c r="A1710" t="str">
        <f t="shared" si="297"/>
        <v>89301000</v>
      </c>
      <c r="B1710" t="str">
        <f t="shared" si="299"/>
        <v>72100000</v>
      </c>
      <c r="C1710" t="str">
        <f t="shared" si="300"/>
        <v>72100632</v>
      </c>
      <c r="D1710">
        <v>89301091</v>
      </c>
      <c r="E1710" t="str">
        <f>"2301180486"</f>
        <v>2301180486</v>
      </c>
      <c r="F1710" s="1">
        <v>44951</v>
      </c>
      <c r="G1710" t="str">
        <f t="shared" si="298"/>
        <v>94297</v>
      </c>
      <c r="H1710">
        <v>1</v>
      </c>
      <c r="I1710">
        <v>304</v>
      </c>
      <c r="J1710">
        <v>0</v>
      </c>
      <c r="K1710" t="str">
        <f t="shared" si="301"/>
        <v>816</v>
      </c>
      <c r="L1710">
        <v>304</v>
      </c>
    </row>
    <row r="1711" spans="1:12" x14ac:dyDescent="0.25">
      <c r="A1711" t="str">
        <f t="shared" si="297"/>
        <v>89301000</v>
      </c>
      <c r="B1711" t="str">
        <f t="shared" si="299"/>
        <v>72100000</v>
      </c>
      <c r="C1711" t="str">
        <f t="shared" si="300"/>
        <v>72100632</v>
      </c>
      <c r="D1711">
        <v>89301091</v>
      </c>
      <c r="E1711" t="str">
        <f>"2301180497"</f>
        <v>2301180497</v>
      </c>
      <c r="F1711" s="1">
        <v>44951</v>
      </c>
      <c r="G1711" t="str">
        <f t="shared" si="298"/>
        <v>94297</v>
      </c>
      <c r="H1711">
        <v>1</v>
      </c>
      <c r="I1711">
        <v>304</v>
      </c>
      <c r="J1711">
        <v>0</v>
      </c>
      <c r="K1711" t="str">
        <f t="shared" si="301"/>
        <v>816</v>
      </c>
      <c r="L1711">
        <v>304</v>
      </c>
    </row>
    <row r="1712" spans="1:12" x14ac:dyDescent="0.25">
      <c r="A1712" t="str">
        <f t="shared" si="297"/>
        <v>89301000</v>
      </c>
      <c r="B1712" t="str">
        <f t="shared" si="299"/>
        <v>72100000</v>
      </c>
      <c r="C1712" t="str">
        <f t="shared" si="300"/>
        <v>72100632</v>
      </c>
      <c r="D1712">
        <v>89301091</v>
      </c>
      <c r="E1712" t="str">
        <f>"2301190078"</f>
        <v>2301190078</v>
      </c>
      <c r="F1712" s="1">
        <v>44951</v>
      </c>
      <c r="G1712" t="str">
        <f t="shared" si="298"/>
        <v>94297</v>
      </c>
      <c r="H1712">
        <v>1</v>
      </c>
      <c r="I1712">
        <v>304</v>
      </c>
      <c r="J1712">
        <v>0</v>
      </c>
      <c r="K1712" t="str">
        <f t="shared" si="301"/>
        <v>816</v>
      </c>
      <c r="L1712">
        <v>304</v>
      </c>
    </row>
    <row r="1713" spans="1:12" x14ac:dyDescent="0.25">
      <c r="A1713" t="str">
        <f t="shared" si="297"/>
        <v>89301000</v>
      </c>
      <c r="B1713" t="str">
        <f t="shared" si="299"/>
        <v>72100000</v>
      </c>
      <c r="C1713" t="str">
        <f t="shared" si="300"/>
        <v>72100632</v>
      </c>
      <c r="D1713">
        <v>89301091</v>
      </c>
      <c r="E1713" t="str">
        <f>"2301190837"</f>
        <v>2301190837</v>
      </c>
      <c r="F1713" s="1">
        <v>44951</v>
      </c>
      <c r="G1713" t="str">
        <f t="shared" si="298"/>
        <v>94297</v>
      </c>
      <c r="H1713">
        <v>1</v>
      </c>
      <c r="I1713">
        <v>304</v>
      </c>
      <c r="J1713">
        <v>0</v>
      </c>
      <c r="K1713" t="str">
        <f t="shared" si="301"/>
        <v>816</v>
      </c>
      <c r="L1713">
        <v>304</v>
      </c>
    </row>
    <row r="1714" spans="1:12" x14ac:dyDescent="0.25">
      <c r="A1714" t="str">
        <f t="shared" si="297"/>
        <v>89301000</v>
      </c>
      <c r="B1714" t="str">
        <f t="shared" si="299"/>
        <v>72100000</v>
      </c>
      <c r="C1714" t="str">
        <f t="shared" si="300"/>
        <v>72100632</v>
      </c>
      <c r="D1714">
        <v>89301091</v>
      </c>
      <c r="E1714" t="str">
        <f>"2351190754"</f>
        <v>2351190754</v>
      </c>
      <c r="F1714" s="1">
        <v>44951</v>
      </c>
      <c r="G1714" t="str">
        <f t="shared" si="298"/>
        <v>94297</v>
      </c>
      <c r="H1714">
        <v>1</v>
      </c>
      <c r="I1714">
        <v>304</v>
      </c>
      <c r="J1714">
        <v>0</v>
      </c>
      <c r="K1714" t="str">
        <f t="shared" si="301"/>
        <v>816</v>
      </c>
      <c r="L1714">
        <v>304</v>
      </c>
    </row>
    <row r="1715" spans="1:12" x14ac:dyDescent="0.25">
      <c r="A1715" t="str">
        <f t="shared" si="297"/>
        <v>89301000</v>
      </c>
      <c r="B1715" t="str">
        <f t="shared" si="299"/>
        <v>72100000</v>
      </c>
      <c r="C1715" t="str">
        <f t="shared" si="300"/>
        <v>72100632</v>
      </c>
      <c r="D1715">
        <v>89301091</v>
      </c>
      <c r="E1715" t="str">
        <f>"2351200082"</f>
        <v>2351200082</v>
      </c>
      <c r="F1715" s="1">
        <v>44951</v>
      </c>
      <c r="G1715" t="str">
        <f t="shared" si="298"/>
        <v>94297</v>
      </c>
      <c r="H1715">
        <v>1</v>
      </c>
      <c r="I1715">
        <v>304</v>
      </c>
      <c r="J1715">
        <v>0</v>
      </c>
      <c r="K1715" t="str">
        <f t="shared" si="301"/>
        <v>816</v>
      </c>
      <c r="L1715">
        <v>304</v>
      </c>
    </row>
    <row r="1716" spans="1:12" x14ac:dyDescent="0.25">
      <c r="A1716" t="str">
        <f t="shared" si="297"/>
        <v>89301000</v>
      </c>
      <c r="B1716" t="str">
        <f t="shared" si="299"/>
        <v>72100000</v>
      </c>
      <c r="C1716" t="str">
        <f t="shared" si="300"/>
        <v>72100632</v>
      </c>
      <c r="D1716">
        <v>89301091</v>
      </c>
      <c r="E1716" t="str">
        <f>"9462281356"</f>
        <v>9462281356</v>
      </c>
      <c r="F1716" s="1">
        <v>44951</v>
      </c>
      <c r="G1716" t="str">
        <f t="shared" si="298"/>
        <v>94297</v>
      </c>
      <c r="H1716">
        <v>1</v>
      </c>
      <c r="I1716">
        <v>304</v>
      </c>
      <c r="J1716">
        <v>0</v>
      </c>
      <c r="K1716" t="str">
        <f t="shared" si="301"/>
        <v>816</v>
      </c>
      <c r="L1716">
        <v>304</v>
      </c>
    </row>
    <row r="1717" spans="1:12" x14ac:dyDescent="0.25">
      <c r="A1717" t="str">
        <f t="shared" si="297"/>
        <v>89301000</v>
      </c>
      <c r="B1717" t="str">
        <f t="shared" si="299"/>
        <v>72100000</v>
      </c>
      <c r="C1717" t="str">
        <f t="shared" si="300"/>
        <v>72100632</v>
      </c>
      <c r="D1717">
        <v>89301091</v>
      </c>
      <c r="E1717" t="str">
        <f>"9460164285"</f>
        <v>9460164285</v>
      </c>
      <c r="F1717" s="1">
        <v>44952</v>
      </c>
      <c r="G1717" t="str">
        <f t="shared" si="298"/>
        <v>94297</v>
      </c>
      <c r="H1717">
        <v>1</v>
      </c>
      <c r="I1717">
        <v>304</v>
      </c>
      <c r="J1717">
        <v>0</v>
      </c>
      <c r="K1717" t="str">
        <f t="shared" si="301"/>
        <v>816</v>
      </c>
      <c r="L1717">
        <v>304</v>
      </c>
    </row>
    <row r="1718" spans="1:12" x14ac:dyDescent="0.25">
      <c r="A1718" t="str">
        <f t="shared" si="297"/>
        <v>89301000</v>
      </c>
      <c r="B1718" t="str">
        <f t="shared" si="299"/>
        <v>72100000</v>
      </c>
      <c r="C1718" t="str">
        <f t="shared" si="300"/>
        <v>72100632</v>
      </c>
      <c r="D1718">
        <v>89301091</v>
      </c>
      <c r="E1718" t="str">
        <f>"9753074386"</f>
        <v>9753074386</v>
      </c>
      <c r="F1718" s="1">
        <v>44952</v>
      </c>
      <c r="G1718" t="str">
        <f t="shared" si="298"/>
        <v>94297</v>
      </c>
      <c r="H1718">
        <v>1</v>
      </c>
      <c r="I1718">
        <v>304</v>
      </c>
      <c r="J1718">
        <v>0</v>
      </c>
      <c r="K1718" t="str">
        <f t="shared" si="301"/>
        <v>816</v>
      </c>
      <c r="L1718">
        <v>304</v>
      </c>
    </row>
    <row r="1719" spans="1:12" x14ac:dyDescent="0.25">
      <c r="A1719" t="str">
        <f t="shared" si="297"/>
        <v>89301000</v>
      </c>
      <c r="B1719" t="str">
        <f t="shared" si="299"/>
        <v>72100000</v>
      </c>
      <c r="C1719" t="str">
        <f t="shared" si="300"/>
        <v>72100632</v>
      </c>
      <c r="D1719">
        <v>89301091</v>
      </c>
      <c r="E1719" t="str">
        <f>"2301220229"</f>
        <v>2301220229</v>
      </c>
      <c r="F1719" s="1">
        <v>44953</v>
      </c>
      <c r="G1719" t="str">
        <f t="shared" si="298"/>
        <v>94297</v>
      </c>
      <c r="H1719">
        <v>1</v>
      </c>
      <c r="I1719">
        <v>304</v>
      </c>
      <c r="J1719">
        <v>0</v>
      </c>
      <c r="K1719" t="str">
        <f t="shared" si="301"/>
        <v>816</v>
      </c>
      <c r="L1719">
        <v>304</v>
      </c>
    </row>
    <row r="1720" spans="1:12" x14ac:dyDescent="0.25">
      <c r="A1720" t="str">
        <f t="shared" si="297"/>
        <v>89301000</v>
      </c>
      <c r="B1720" t="str">
        <f t="shared" si="299"/>
        <v>72100000</v>
      </c>
      <c r="C1720" t="str">
        <f t="shared" si="300"/>
        <v>72100632</v>
      </c>
      <c r="D1720">
        <v>89301282</v>
      </c>
      <c r="E1720" t="str">
        <f>"7558174492"</f>
        <v>7558174492</v>
      </c>
      <c r="F1720" s="1">
        <v>44957</v>
      </c>
      <c r="G1720" t="str">
        <f>"94221"</f>
        <v>94221</v>
      </c>
      <c r="H1720">
        <v>9</v>
      </c>
      <c r="I1720">
        <v>22203</v>
      </c>
      <c r="J1720">
        <v>0</v>
      </c>
      <c r="K1720" t="str">
        <f t="shared" si="301"/>
        <v>816</v>
      </c>
      <c r="L1720">
        <v>19982.7</v>
      </c>
    </row>
    <row r="1721" spans="1:12" x14ac:dyDescent="0.25">
      <c r="A1721" t="str">
        <f t="shared" si="297"/>
        <v>89301000</v>
      </c>
      <c r="B1721" t="str">
        <f t="shared" si="299"/>
        <v>72100000</v>
      </c>
      <c r="C1721" t="str">
        <f t="shared" si="300"/>
        <v>72100632</v>
      </c>
      <c r="D1721">
        <v>89301282</v>
      </c>
      <c r="E1721" t="str">
        <f>"7558174492"</f>
        <v>7558174492</v>
      </c>
      <c r="F1721" s="1">
        <v>44957</v>
      </c>
      <c r="G1721" t="str">
        <f>"94221"</f>
        <v>94221</v>
      </c>
      <c r="H1721">
        <v>9</v>
      </c>
      <c r="I1721">
        <v>22203</v>
      </c>
      <c r="J1721">
        <v>0</v>
      </c>
      <c r="K1721" t="str">
        <f t="shared" si="301"/>
        <v>816</v>
      </c>
      <c r="L1721">
        <v>19982.7</v>
      </c>
    </row>
    <row r="1722" spans="1:12" x14ac:dyDescent="0.25">
      <c r="A1722" t="str">
        <f t="shared" si="297"/>
        <v>89301000</v>
      </c>
      <c r="B1722" t="str">
        <f t="shared" si="299"/>
        <v>72100000</v>
      </c>
      <c r="C1722" t="str">
        <f t="shared" si="300"/>
        <v>72100632</v>
      </c>
      <c r="D1722">
        <v>89301282</v>
      </c>
      <c r="E1722" t="str">
        <f>"7558174492"</f>
        <v>7558174492</v>
      </c>
      <c r="F1722" s="1">
        <v>44957</v>
      </c>
      <c r="G1722" t="str">
        <f>"94221"</f>
        <v>94221</v>
      </c>
      <c r="H1722">
        <v>9</v>
      </c>
      <c r="I1722">
        <v>22203</v>
      </c>
      <c r="J1722">
        <v>0</v>
      </c>
      <c r="K1722" t="str">
        <f t="shared" si="301"/>
        <v>816</v>
      </c>
      <c r="L1722">
        <v>19982.7</v>
      </c>
    </row>
    <row r="1723" spans="1:12" x14ac:dyDescent="0.25">
      <c r="A1723" t="str">
        <f t="shared" si="297"/>
        <v>89301000</v>
      </c>
      <c r="B1723" t="str">
        <f>"86101000"</f>
        <v>86101000</v>
      </c>
      <c r="C1723" t="str">
        <f>"86101915"</f>
        <v>86101915</v>
      </c>
      <c r="D1723">
        <v>89301112</v>
      </c>
      <c r="E1723" t="str">
        <f>"6602161137"</f>
        <v>6602161137</v>
      </c>
      <c r="F1723" s="1">
        <v>44971</v>
      </c>
      <c r="G1723" t="str">
        <f>"89517"</f>
        <v>89517</v>
      </c>
      <c r="H1723">
        <v>1</v>
      </c>
      <c r="I1723">
        <v>994</v>
      </c>
      <c r="J1723">
        <v>0</v>
      </c>
      <c r="K1723" t="str">
        <f>"809"</f>
        <v>809</v>
      </c>
      <c r="L1723">
        <v>1461.18</v>
      </c>
    </row>
    <row r="1724" spans="1:12" x14ac:dyDescent="0.25">
      <c r="A1724" t="str">
        <f t="shared" si="297"/>
        <v>89301000</v>
      </c>
      <c r="B1724" t="str">
        <f>"86101000"</f>
        <v>86101000</v>
      </c>
      <c r="C1724" t="str">
        <f>"86101920"</f>
        <v>86101920</v>
      </c>
      <c r="D1724">
        <v>89301062</v>
      </c>
      <c r="E1724" t="str">
        <f>"8861155490"</f>
        <v>8861155490</v>
      </c>
      <c r="F1724" s="1">
        <v>44973</v>
      </c>
      <c r="G1724" t="str">
        <f>"89725"</f>
        <v>89725</v>
      </c>
      <c r="H1724">
        <v>1</v>
      </c>
      <c r="I1724">
        <v>2863</v>
      </c>
      <c r="J1724">
        <v>0</v>
      </c>
      <c r="K1724" t="str">
        <f>"810"</f>
        <v>810</v>
      </c>
      <c r="L1724">
        <v>1860.95</v>
      </c>
    </row>
    <row r="1725" spans="1:12" x14ac:dyDescent="0.25">
      <c r="A1725" t="str">
        <f t="shared" si="297"/>
        <v>89301000</v>
      </c>
      <c r="B1725" t="str">
        <f>"86101000"</f>
        <v>86101000</v>
      </c>
      <c r="C1725" t="str">
        <f>"86101920"</f>
        <v>86101920</v>
      </c>
      <c r="D1725">
        <v>89301062</v>
      </c>
      <c r="E1725" t="str">
        <f>"8861155490"</f>
        <v>8861155490</v>
      </c>
      <c r="F1725" s="1">
        <v>44973</v>
      </c>
      <c r="G1725" t="str">
        <f>"89713"</f>
        <v>89713</v>
      </c>
      <c r="H1725">
        <v>1</v>
      </c>
      <c r="I1725">
        <v>5411</v>
      </c>
      <c r="J1725">
        <v>0</v>
      </c>
      <c r="K1725" t="str">
        <f>"810"</f>
        <v>810</v>
      </c>
      <c r="L1725">
        <v>3517.15</v>
      </c>
    </row>
    <row r="1726" spans="1:12" x14ac:dyDescent="0.25">
      <c r="A1726" t="str">
        <f t="shared" si="297"/>
        <v>89301000</v>
      </c>
      <c r="B1726" t="str">
        <f>"86102000"</f>
        <v>86102000</v>
      </c>
      <c r="C1726" t="str">
        <f>"86102476"</f>
        <v>86102476</v>
      </c>
      <c r="D1726">
        <v>89301082</v>
      </c>
      <c r="E1726" t="str">
        <f>"9360255410"</f>
        <v>9360255410</v>
      </c>
      <c r="F1726" s="1">
        <v>44970</v>
      </c>
      <c r="G1726" t="str">
        <f>"09119"</f>
        <v>09119</v>
      </c>
      <c r="H1726">
        <v>1</v>
      </c>
      <c r="I1726">
        <v>43</v>
      </c>
      <c r="J1726">
        <v>0</v>
      </c>
      <c r="K1726" t="str">
        <f>"801"</f>
        <v>801</v>
      </c>
      <c r="L1726">
        <v>54.18</v>
      </c>
    </row>
    <row r="1727" spans="1:12" x14ac:dyDescent="0.25">
      <c r="A1727" t="str">
        <f t="shared" si="297"/>
        <v>89301000</v>
      </c>
      <c r="B1727" t="str">
        <f>"86102000"</f>
        <v>86102000</v>
      </c>
      <c r="C1727" t="str">
        <f>"86102476"</f>
        <v>86102476</v>
      </c>
      <c r="D1727">
        <v>89301082</v>
      </c>
      <c r="E1727" t="str">
        <f>"9360255410"</f>
        <v>9360255410</v>
      </c>
      <c r="F1727" s="1">
        <v>44970</v>
      </c>
      <c r="G1727" t="str">
        <f>"93159"</f>
        <v>93159</v>
      </c>
      <c r="H1727">
        <v>1</v>
      </c>
      <c r="I1727">
        <v>197</v>
      </c>
      <c r="J1727">
        <v>0</v>
      </c>
      <c r="K1727" t="str">
        <f>"801"</f>
        <v>801</v>
      </c>
      <c r="L1727">
        <v>165.48</v>
      </c>
    </row>
    <row r="1728" spans="1:12" x14ac:dyDescent="0.25">
      <c r="A1728" t="str">
        <f t="shared" si="297"/>
        <v>89301000</v>
      </c>
      <c r="B1728" t="str">
        <f>"86102000"</f>
        <v>86102000</v>
      </c>
      <c r="C1728" t="str">
        <f>"86102476"</f>
        <v>86102476</v>
      </c>
      <c r="D1728">
        <v>89301082</v>
      </c>
      <c r="E1728" t="str">
        <f>"9360255410"</f>
        <v>9360255410</v>
      </c>
      <c r="F1728" s="1">
        <v>44970</v>
      </c>
      <c r="G1728" t="str">
        <f>"97111"</f>
        <v>97111</v>
      </c>
      <c r="H1728">
        <v>1</v>
      </c>
      <c r="I1728">
        <v>19</v>
      </c>
      <c r="J1728">
        <v>0</v>
      </c>
      <c r="K1728" t="str">
        <f>"801"</f>
        <v>801</v>
      </c>
      <c r="L1728">
        <v>23.94</v>
      </c>
    </row>
    <row r="1729" spans="1:12" x14ac:dyDescent="0.25">
      <c r="A1729" t="str">
        <f t="shared" si="297"/>
        <v>89301000</v>
      </c>
      <c r="B1729" t="str">
        <f t="shared" ref="B1729:B1792" si="302">"06539000"</f>
        <v>06539000</v>
      </c>
      <c r="C1729" t="str">
        <f>"06539001"</f>
        <v>06539001</v>
      </c>
      <c r="D1729">
        <v>89301171</v>
      </c>
      <c r="E1729" t="str">
        <f t="shared" ref="E1729:E1770" si="303">"6454220575"</f>
        <v>6454220575</v>
      </c>
      <c r="F1729" s="1">
        <v>44939</v>
      </c>
      <c r="G1729" t="str">
        <f>"81329"</f>
        <v>81329</v>
      </c>
      <c r="H1729">
        <v>1</v>
      </c>
      <c r="I1729">
        <v>17</v>
      </c>
      <c r="J1729">
        <v>0</v>
      </c>
      <c r="K1729" t="str">
        <f>"801"</f>
        <v>801</v>
      </c>
      <c r="L1729">
        <v>14.28</v>
      </c>
    </row>
    <row r="1730" spans="1:12" x14ac:dyDescent="0.25">
      <c r="A1730" t="str">
        <f t="shared" ref="A1730:A1793" si="304">"89301000"</f>
        <v>89301000</v>
      </c>
      <c r="B1730" t="str">
        <f t="shared" si="302"/>
        <v>06539000</v>
      </c>
      <c r="C1730" t="str">
        <f>"06539001"</f>
        <v>06539001</v>
      </c>
      <c r="D1730">
        <v>89301171</v>
      </c>
      <c r="E1730" t="str">
        <f t="shared" si="303"/>
        <v>6454220575</v>
      </c>
      <c r="F1730" s="1">
        <v>44939</v>
      </c>
      <c r="G1730" t="str">
        <f>"81331"</f>
        <v>81331</v>
      </c>
      <c r="H1730">
        <v>1</v>
      </c>
      <c r="I1730">
        <v>193</v>
      </c>
      <c r="J1730">
        <v>0</v>
      </c>
      <c r="K1730" t="str">
        <f>"801"</f>
        <v>801</v>
      </c>
      <c r="L1730">
        <v>162.12</v>
      </c>
    </row>
    <row r="1731" spans="1:12" x14ac:dyDescent="0.25">
      <c r="A1731" t="str">
        <f t="shared" si="304"/>
        <v>89301000</v>
      </c>
      <c r="B1731" t="str">
        <f t="shared" si="302"/>
        <v>06539000</v>
      </c>
      <c r="C1731" t="str">
        <f t="shared" ref="C1731:C1738" si="305">"06539002"</f>
        <v>06539002</v>
      </c>
      <c r="D1731">
        <v>89301171</v>
      </c>
      <c r="E1731" t="str">
        <f t="shared" si="303"/>
        <v>6454220575</v>
      </c>
      <c r="F1731" s="1">
        <v>44939</v>
      </c>
      <c r="G1731" t="str">
        <f t="shared" ref="G1731:G1738" si="306">"82097"</f>
        <v>82097</v>
      </c>
      <c r="H1731">
        <v>1</v>
      </c>
      <c r="I1731">
        <v>381</v>
      </c>
      <c r="J1731">
        <v>0</v>
      </c>
      <c r="K1731" t="str">
        <f t="shared" ref="K1731:K1738" si="307">"802"</f>
        <v>802</v>
      </c>
      <c r="L1731">
        <v>369.57</v>
      </c>
    </row>
    <row r="1732" spans="1:12" x14ac:dyDescent="0.25">
      <c r="A1732" t="str">
        <f t="shared" si="304"/>
        <v>89301000</v>
      </c>
      <c r="B1732" t="str">
        <f t="shared" si="302"/>
        <v>06539000</v>
      </c>
      <c r="C1732" t="str">
        <f t="shared" si="305"/>
        <v>06539002</v>
      </c>
      <c r="D1732">
        <v>89301171</v>
      </c>
      <c r="E1732" t="str">
        <f t="shared" si="303"/>
        <v>6454220575</v>
      </c>
      <c r="F1732" s="1">
        <v>44939</v>
      </c>
      <c r="G1732" t="str">
        <f t="shared" si="306"/>
        <v>82097</v>
      </c>
      <c r="H1732">
        <v>1</v>
      </c>
      <c r="I1732">
        <v>381</v>
      </c>
      <c r="J1732">
        <v>0</v>
      </c>
      <c r="K1732" t="str">
        <f t="shared" si="307"/>
        <v>802</v>
      </c>
      <c r="L1732">
        <v>369.57</v>
      </c>
    </row>
    <row r="1733" spans="1:12" x14ac:dyDescent="0.25">
      <c r="A1733" t="str">
        <f t="shared" si="304"/>
        <v>89301000</v>
      </c>
      <c r="B1733" t="str">
        <f t="shared" si="302"/>
        <v>06539000</v>
      </c>
      <c r="C1733" t="str">
        <f t="shared" si="305"/>
        <v>06539002</v>
      </c>
      <c r="D1733">
        <v>89301171</v>
      </c>
      <c r="E1733" t="str">
        <f t="shared" si="303"/>
        <v>6454220575</v>
      </c>
      <c r="F1733" s="1">
        <v>44939</v>
      </c>
      <c r="G1733" t="str">
        <f t="shared" si="306"/>
        <v>82097</v>
      </c>
      <c r="H1733">
        <v>2</v>
      </c>
      <c r="I1733">
        <v>762</v>
      </c>
      <c r="J1733">
        <v>0</v>
      </c>
      <c r="K1733" t="str">
        <f t="shared" si="307"/>
        <v>802</v>
      </c>
      <c r="L1733">
        <v>739.14</v>
      </c>
    </row>
    <row r="1734" spans="1:12" x14ac:dyDescent="0.25">
      <c r="A1734" t="str">
        <f t="shared" si="304"/>
        <v>89301000</v>
      </c>
      <c r="B1734" t="str">
        <f t="shared" si="302"/>
        <v>06539000</v>
      </c>
      <c r="C1734" t="str">
        <f t="shared" si="305"/>
        <v>06539002</v>
      </c>
      <c r="D1734">
        <v>89301171</v>
      </c>
      <c r="E1734" t="str">
        <f t="shared" si="303"/>
        <v>6454220575</v>
      </c>
      <c r="F1734" s="1">
        <v>44939</v>
      </c>
      <c r="G1734" t="str">
        <f t="shared" si="306"/>
        <v>82097</v>
      </c>
      <c r="H1734">
        <v>2</v>
      </c>
      <c r="I1734">
        <v>762</v>
      </c>
      <c r="J1734">
        <v>0</v>
      </c>
      <c r="K1734" t="str">
        <f t="shared" si="307"/>
        <v>802</v>
      </c>
      <c r="L1734">
        <v>739.14</v>
      </c>
    </row>
    <row r="1735" spans="1:12" x14ac:dyDescent="0.25">
      <c r="A1735" t="str">
        <f t="shared" si="304"/>
        <v>89301000</v>
      </c>
      <c r="B1735" t="str">
        <f t="shared" si="302"/>
        <v>06539000</v>
      </c>
      <c r="C1735" t="str">
        <f t="shared" si="305"/>
        <v>06539002</v>
      </c>
      <c r="D1735">
        <v>89301171</v>
      </c>
      <c r="E1735" t="str">
        <f t="shared" si="303"/>
        <v>6454220575</v>
      </c>
      <c r="F1735" s="1">
        <v>44939</v>
      </c>
      <c r="G1735" t="str">
        <f t="shared" si="306"/>
        <v>82097</v>
      </c>
      <c r="H1735">
        <v>1</v>
      </c>
      <c r="I1735">
        <v>381</v>
      </c>
      <c r="J1735">
        <v>0</v>
      </c>
      <c r="K1735" t="str">
        <f t="shared" si="307"/>
        <v>802</v>
      </c>
      <c r="L1735">
        <v>369.57</v>
      </c>
    </row>
    <row r="1736" spans="1:12" x14ac:dyDescent="0.25">
      <c r="A1736" t="str">
        <f t="shared" si="304"/>
        <v>89301000</v>
      </c>
      <c r="B1736" t="str">
        <f t="shared" si="302"/>
        <v>06539000</v>
      </c>
      <c r="C1736" t="str">
        <f t="shared" si="305"/>
        <v>06539002</v>
      </c>
      <c r="D1736">
        <v>89301171</v>
      </c>
      <c r="E1736" t="str">
        <f t="shared" si="303"/>
        <v>6454220575</v>
      </c>
      <c r="F1736" s="1">
        <v>44939</v>
      </c>
      <c r="G1736" t="str">
        <f t="shared" si="306"/>
        <v>82097</v>
      </c>
      <c r="H1736">
        <v>1</v>
      </c>
      <c r="I1736">
        <v>381</v>
      </c>
      <c r="J1736">
        <v>0</v>
      </c>
      <c r="K1736" t="str">
        <f t="shared" si="307"/>
        <v>802</v>
      </c>
      <c r="L1736">
        <v>369.57</v>
      </c>
    </row>
    <row r="1737" spans="1:12" x14ac:dyDescent="0.25">
      <c r="A1737" t="str">
        <f t="shared" si="304"/>
        <v>89301000</v>
      </c>
      <c r="B1737" t="str">
        <f t="shared" si="302"/>
        <v>06539000</v>
      </c>
      <c r="C1737" t="str">
        <f t="shared" si="305"/>
        <v>06539002</v>
      </c>
      <c r="D1737">
        <v>89301171</v>
      </c>
      <c r="E1737" t="str">
        <f t="shared" si="303"/>
        <v>6454220575</v>
      </c>
      <c r="F1737" s="1">
        <v>44939</v>
      </c>
      <c r="G1737" t="str">
        <f t="shared" si="306"/>
        <v>82097</v>
      </c>
      <c r="H1737">
        <v>1</v>
      </c>
      <c r="I1737">
        <v>381</v>
      </c>
      <c r="J1737">
        <v>0</v>
      </c>
      <c r="K1737" t="str">
        <f t="shared" si="307"/>
        <v>802</v>
      </c>
      <c r="L1737">
        <v>369.57</v>
      </c>
    </row>
    <row r="1738" spans="1:12" x14ac:dyDescent="0.25">
      <c r="A1738" t="str">
        <f t="shared" si="304"/>
        <v>89301000</v>
      </c>
      <c r="B1738" t="str">
        <f t="shared" si="302"/>
        <v>06539000</v>
      </c>
      <c r="C1738" t="str">
        <f t="shared" si="305"/>
        <v>06539002</v>
      </c>
      <c r="D1738">
        <v>89301171</v>
      </c>
      <c r="E1738" t="str">
        <f t="shared" si="303"/>
        <v>6454220575</v>
      </c>
      <c r="F1738" s="1">
        <v>44939</v>
      </c>
      <c r="G1738" t="str">
        <f t="shared" si="306"/>
        <v>82097</v>
      </c>
      <c r="H1738">
        <v>1</v>
      </c>
      <c r="I1738">
        <v>381</v>
      </c>
      <c r="J1738">
        <v>0</v>
      </c>
      <c r="K1738" t="str">
        <f t="shared" si="307"/>
        <v>802</v>
      </c>
      <c r="L1738">
        <v>369.57</v>
      </c>
    </row>
    <row r="1739" spans="1:12" x14ac:dyDescent="0.25">
      <c r="A1739" t="str">
        <f t="shared" si="304"/>
        <v>89301000</v>
      </c>
      <c r="B1739" t="str">
        <f t="shared" si="302"/>
        <v>06539000</v>
      </c>
      <c r="C1739" t="str">
        <f t="shared" ref="C1739:C1770" si="308">"06539003"</f>
        <v>06539003</v>
      </c>
      <c r="D1739">
        <v>89301171</v>
      </c>
      <c r="E1739" t="str">
        <f t="shared" si="303"/>
        <v>6454220575</v>
      </c>
      <c r="F1739" s="1">
        <v>44942</v>
      </c>
      <c r="G1739" t="str">
        <f t="shared" ref="G1739:G1748" si="309">"91413"</f>
        <v>91413</v>
      </c>
      <c r="H1739">
        <v>1</v>
      </c>
      <c r="I1739">
        <v>868</v>
      </c>
      <c r="J1739">
        <v>0</v>
      </c>
      <c r="K1739" t="str">
        <f t="shared" ref="K1739:K1770" si="310">"813"</f>
        <v>813</v>
      </c>
      <c r="L1739">
        <v>729.12</v>
      </c>
    </row>
    <row r="1740" spans="1:12" x14ac:dyDescent="0.25">
      <c r="A1740" t="str">
        <f t="shared" si="304"/>
        <v>89301000</v>
      </c>
      <c r="B1740" t="str">
        <f t="shared" si="302"/>
        <v>06539000</v>
      </c>
      <c r="C1740" t="str">
        <f t="shared" si="308"/>
        <v>06539003</v>
      </c>
      <c r="D1740">
        <v>89301171</v>
      </c>
      <c r="E1740" t="str">
        <f t="shared" si="303"/>
        <v>6454220575</v>
      </c>
      <c r="F1740" s="1">
        <v>44942</v>
      </c>
      <c r="G1740" t="str">
        <f t="shared" si="309"/>
        <v>91413</v>
      </c>
      <c r="H1740">
        <v>1</v>
      </c>
      <c r="I1740">
        <v>868</v>
      </c>
      <c r="J1740">
        <v>0</v>
      </c>
      <c r="K1740" t="str">
        <f t="shared" si="310"/>
        <v>813</v>
      </c>
      <c r="L1740">
        <v>729.12</v>
      </c>
    </row>
    <row r="1741" spans="1:12" x14ac:dyDescent="0.25">
      <c r="A1741" t="str">
        <f t="shared" si="304"/>
        <v>89301000</v>
      </c>
      <c r="B1741" t="str">
        <f t="shared" si="302"/>
        <v>06539000</v>
      </c>
      <c r="C1741" t="str">
        <f t="shared" si="308"/>
        <v>06539003</v>
      </c>
      <c r="D1741">
        <v>89301171</v>
      </c>
      <c r="E1741" t="str">
        <f t="shared" si="303"/>
        <v>6454220575</v>
      </c>
      <c r="F1741" s="1">
        <v>44946</v>
      </c>
      <c r="G1741" t="str">
        <f t="shared" si="309"/>
        <v>91413</v>
      </c>
      <c r="H1741">
        <v>1</v>
      </c>
      <c r="I1741">
        <v>868</v>
      </c>
      <c r="J1741">
        <v>0</v>
      </c>
      <c r="K1741" t="str">
        <f t="shared" si="310"/>
        <v>813</v>
      </c>
      <c r="L1741">
        <v>729.12</v>
      </c>
    </row>
    <row r="1742" spans="1:12" x14ac:dyDescent="0.25">
      <c r="A1742" t="str">
        <f t="shared" si="304"/>
        <v>89301000</v>
      </c>
      <c r="B1742" t="str">
        <f t="shared" si="302"/>
        <v>06539000</v>
      </c>
      <c r="C1742" t="str">
        <f t="shared" si="308"/>
        <v>06539003</v>
      </c>
      <c r="D1742">
        <v>89301171</v>
      </c>
      <c r="E1742" t="str">
        <f t="shared" si="303"/>
        <v>6454220575</v>
      </c>
      <c r="F1742" s="1">
        <v>44946</v>
      </c>
      <c r="G1742" t="str">
        <f t="shared" si="309"/>
        <v>91413</v>
      </c>
      <c r="H1742">
        <v>1</v>
      </c>
      <c r="I1742">
        <v>868</v>
      </c>
      <c r="J1742">
        <v>0</v>
      </c>
      <c r="K1742" t="str">
        <f t="shared" si="310"/>
        <v>813</v>
      </c>
      <c r="L1742">
        <v>729.12</v>
      </c>
    </row>
    <row r="1743" spans="1:12" x14ac:dyDescent="0.25">
      <c r="A1743" t="str">
        <f t="shared" si="304"/>
        <v>89301000</v>
      </c>
      <c r="B1743" t="str">
        <f t="shared" si="302"/>
        <v>06539000</v>
      </c>
      <c r="C1743" t="str">
        <f t="shared" si="308"/>
        <v>06539003</v>
      </c>
      <c r="D1743">
        <v>89301171</v>
      </c>
      <c r="E1743" t="str">
        <f t="shared" si="303"/>
        <v>6454220575</v>
      </c>
      <c r="F1743" s="1">
        <v>44945</v>
      </c>
      <c r="G1743" t="str">
        <f t="shared" si="309"/>
        <v>91413</v>
      </c>
      <c r="H1743">
        <v>1</v>
      </c>
      <c r="I1743">
        <v>868</v>
      </c>
      <c r="J1743">
        <v>0</v>
      </c>
      <c r="K1743" t="str">
        <f t="shared" si="310"/>
        <v>813</v>
      </c>
      <c r="L1743">
        <v>729.12</v>
      </c>
    </row>
    <row r="1744" spans="1:12" x14ac:dyDescent="0.25">
      <c r="A1744" t="str">
        <f t="shared" si="304"/>
        <v>89301000</v>
      </c>
      <c r="B1744" t="str">
        <f t="shared" si="302"/>
        <v>06539000</v>
      </c>
      <c r="C1744" t="str">
        <f t="shared" si="308"/>
        <v>06539003</v>
      </c>
      <c r="D1744">
        <v>89301171</v>
      </c>
      <c r="E1744" t="str">
        <f t="shared" si="303"/>
        <v>6454220575</v>
      </c>
      <c r="F1744" s="1">
        <v>44945</v>
      </c>
      <c r="G1744" t="str">
        <f t="shared" si="309"/>
        <v>91413</v>
      </c>
      <c r="H1744">
        <v>1</v>
      </c>
      <c r="I1744">
        <v>868</v>
      </c>
      <c r="J1744">
        <v>0</v>
      </c>
      <c r="K1744" t="str">
        <f t="shared" si="310"/>
        <v>813</v>
      </c>
      <c r="L1744">
        <v>729.12</v>
      </c>
    </row>
    <row r="1745" spans="1:12" x14ac:dyDescent="0.25">
      <c r="A1745" t="str">
        <f t="shared" si="304"/>
        <v>89301000</v>
      </c>
      <c r="B1745" t="str">
        <f t="shared" si="302"/>
        <v>06539000</v>
      </c>
      <c r="C1745" t="str">
        <f t="shared" si="308"/>
        <v>06539003</v>
      </c>
      <c r="D1745">
        <v>89301171</v>
      </c>
      <c r="E1745" t="str">
        <f t="shared" si="303"/>
        <v>6454220575</v>
      </c>
      <c r="F1745" s="1">
        <v>44946</v>
      </c>
      <c r="G1745" t="str">
        <f t="shared" si="309"/>
        <v>91413</v>
      </c>
      <c r="H1745">
        <v>1</v>
      </c>
      <c r="I1745">
        <v>868</v>
      </c>
      <c r="J1745">
        <v>0</v>
      </c>
      <c r="K1745" t="str">
        <f t="shared" si="310"/>
        <v>813</v>
      </c>
      <c r="L1745">
        <v>729.12</v>
      </c>
    </row>
    <row r="1746" spans="1:12" x14ac:dyDescent="0.25">
      <c r="A1746" t="str">
        <f t="shared" si="304"/>
        <v>89301000</v>
      </c>
      <c r="B1746" t="str">
        <f t="shared" si="302"/>
        <v>06539000</v>
      </c>
      <c r="C1746" t="str">
        <f t="shared" si="308"/>
        <v>06539003</v>
      </c>
      <c r="D1746">
        <v>89301171</v>
      </c>
      <c r="E1746" t="str">
        <f t="shared" si="303"/>
        <v>6454220575</v>
      </c>
      <c r="F1746" s="1">
        <v>44946</v>
      </c>
      <c r="G1746" t="str">
        <f t="shared" si="309"/>
        <v>91413</v>
      </c>
      <c r="H1746">
        <v>1</v>
      </c>
      <c r="I1746">
        <v>868</v>
      </c>
      <c r="J1746">
        <v>0</v>
      </c>
      <c r="K1746" t="str">
        <f t="shared" si="310"/>
        <v>813</v>
      </c>
      <c r="L1746">
        <v>729.12</v>
      </c>
    </row>
    <row r="1747" spans="1:12" x14ac:dyDescent="0.25">
      <c r="A1747" t="str">
        <f t="shared" si="304"/>
        <v>89301000</v>
      </c>
      <c r="B1747" t="str">
        <f t="shared" si="302"/>
        <v>06539000</v>
      </c>
      <c r="C1747" t="str">
        <f t="shared" si="308"/>
        <v>06539003</v>
      </c>
      <c r="D1747">
        <v>89301171</v>
      </c>
      <c r="E1747" t="str">
        <f t="shared" si="303"/>
        <v>6454220575</v>
      </c>
      <c r="F1747" s="1">
        <v>44946</v>
      </c>
      <c r="G1747" t="str">
        <f t="shared" si="309"/>
        <v>91413</v>
      </c>
      <c r="H1747">
        <v>1</v>
      </c>
      <c r="I1747">
        <v>868</v>
      </c>
      <c r="J1747">
        <v>0</v>
      </c>
      <c r="K1747" t="str">
        <f t="shared" si="310"/>
        <v>813</v>
      </c>
      <c r="L1747">
        <v>729.12</v>
      </c>
    </row>
    <row r="1748" spans="1:12" x14ac:dyDescent="0.25">
      <c r="A1748" t="str">
        <f t="shared" si="304"/>
        <v>89301000</v>
      </c>
      <c r="B1748" t="str">
        <f t="shared" si="302"/>
        <v>06539000</v>
      </c>
      <c r="C1748" t="str">
        <f t="shared" si="308"/>
        <v>06539003</v>
      </c>
      <c r="D1748">
        <v>89301171</v>
      </c>
      <c r="E1748" t="str">
        <f t="shared" si="303"/>
        <v>6454220575</v>
      </c>
      <c r="F1748" s="1">
        <v>44946</v>
      </c>
      <c r="G1748" t="str">
        <f t="shared" si="309"/>
        <v>91413</v>
      </c>
      <c r="H1748">
        <v>1</v>
      </c>
      <c r="I1748">
        <v>868</v>
      </c>
      <c r="J1748">
        <v>0</v>
      </c>
      <c r="K1748" t="str">
        <f t="shared" si="310"/>
        <v>813</v>
      </c>
      <c r="L1748">
        <v>729.12</v>
      </c>
    </row>
    <row r="1749" spans="1:12" x14ac:dyDescent="0.25">
      <c r="A1749" t="str">
        <f t="shared" si="304"/>
        <v>89301000</v>
      </c>
      <c r="B1749" t="str">
        <f t="shared" si="302"/>
        <v>06539000</v>
      </c>
      <c r="C1749" t="str">
        <f t="shared" si="308"/>
        <v>06539003</v>
      </c>
      <c r="D1749">
        <v>89301171</v>
      </c>
      <c r="E1749" t="str">
        <f t="shared" si="303"/>
        <v>6454220575</v>
      </c>
      <c r="F1749" s="1">
        <v>44939</v>
      </c>
      <c r="G1749" t="str">
        <f t="shared" ref="G1749:G1755" si="311">"91197"</f>
        <v>91197</v>
      </c>
      <c r="H1749">
        <v>1</v>
      </c>
      <c r="I1749">
        <v>1048</v>
      </c>
      <c r="J1749">
        <v>0</v>
      </c>
      <c r="K1749" t="str">
        <f t="shared" si="310"/>
        <v>813</v>
      </c>
      <c r="L1749">
        <v>880.32</v>
      </c>
    </row>
    <row r="1750" spans="1:12" x14ac:dyDescent="0.25">
      <c r="A1750" t="str">
        <f t="shared" si="304"/>
        <v>89301000</v>
      </c>
      <c r="B1750" t="str">
        <f t="shared" si="302"/>
        <v>06539000</v>
      </c>
      <c r="C1750" t="str">
        <f t="shared" si="308"/>
        <v>06539003</v>
      </c>
      <c r="D1750">
        <v>89301171</v>
      </c>
      <c r="E1750" t="str">
        <f t="shared" si="303"/>
        <v>6454220575</v>
      </c>
      <c r="F1750" s="1">
        <v>44942</v>
      </c>
      <c r="G1750" t="str">
        <f t="shared" si="311"/>
        <v>91197</v>
      </c>
      <c r="H1750">
        <v>1</v>
      </c>
      <c r="I1750">
        <v>1048</v>
      </c>
      <c r="J1750">
        <v>0</v>
      </c>
      <c r="K1750" t="str">
        <f t="shared" si="310"/>
        <v>813</v>
      </c>
      <c r="L1750">
        <v>880.32</v>
      </c>
    </row>
    <row r="1751" spans="1:12" x14ac:dyDescent="0.25">
      <c r="A1751" t="str">
        <f t="shared" si="304"/>
        <v>89301000</v>
      </c>
      <c r="B1751" t="str">
        <f t="shared" si="302"/>
        <v>06539000</v>
      </c>
      <c r="C1751" t="str">
        <f t="shared" si="308"/>
        <v>06539003</v>
      </c>
      <c r="D1751">
        <v>89301171</v>
      </c>
      <c r="E1751" t="str">
        <f t="shared" si="303"/>
        <v>6454220575</v>
      </c>
      <c r="F1751" s="1">
        <v>44942</v>
      </c>
      <c r="G1751" t="str">
        <f t="shared" si="311"/>
        <v>91197</v>
      </c>
      <c r="H1751">
        <v>1</v>
      </c>
      <c r="I1751">
        <v>1048</v>
      </c>
      <c r="J1751">
        <v>0</v>
      </c>
      <c r="K1751" t="str">
        <f t="shared" si="310"/>
        <v>813</v>
      </c>
      <c r="L1751">
        <v>880.32</v>
      </c>
    </row>
    <row r="1752" spans="1:12" x14ac:dyDescent="0.25">
      <c r="A1752" t="str">
        <f t="shared" si="304"/>
        <v>89301000</v>
      </c>
      <c r="B1752" t="str">
        <f t="shared" si="302"/>
        <v>06539000</v>
      </c>
      <c r="C1752" t="str">
        <f t="shared" si="308"/>
        <v>06539003</v>
      </c>
      <c r="D1752">
        <v>89301171</v>
      </c>
      <c r="E1752" t="str">
        <f t="shared" si="303"/>
        <v>6454220575</v>
      </c>
      <c r="F1752" s="1">
        <v>44941</v>
      </c>
      <c r="G1752" t="str">
        <f t="shared" si="311"/>
        <v>91197</v>
      </c>
      <c r="H1752">
        <v>1</v>
      </c>
      <c r="I1752">
        <v>1048</v>
      </c>
      <c r="J1752">
        <v>0</v>
      </c>
      <c r="K1752" t="str">
        <f t="shared" si="310"/>
        <v>813</v>
      </c>
      <c r="L1752">
        <v>880.32</v>
      </c>
    </row>
    <row r="1753" spans="1:12" x14ac:dyDescent="0.25">
      <c r="A1753" t="str">
        <f t="shared" si="304"/>
        <v>89301000</v>
      </c>
      <c r="B1753" t="str">
        <f t="shared" si="302"/>
        <v>06539000</v>
      </c>
      <c r="C1753" t="str">
        <f t="shared" si="308"/>
        <v>06539003</v>
      </c>
      <c r="D1753">
        <v>89301171</v>
      </c>
      <c r="E1753" t="str">
        <f t="shared" si="303"/>
        <v>6454220575</v>
      </c>
      <c r="F1753" s="1">
        <v>44941</v>
      </c>
      <c r="G1753" t="str">
        <f t="shared" si="311"/>
        <v>91197</v>
      </c>
      <c r="H1753">
        <v>1</v>
      </c>
      <c r="I1753">
        <v>1048</v>
      </c>
      <c r="J1753">
        <v>0</v>
      </c>
      <c r="K1753" t="str">
        <f t="shared" si="310"/>
        <v>813</v>
      </c>
      <c r="L1753">
        <v>880.32</v>
      </c>
    </row>
    <row r="1754" spans="1:12" x14ac:dyDescent="0.25">
      <c r="A1754" t="str">
        <f t="shared" si="304"/>
        <v>89301000</v>
      </c>
      <c r="B1754" t="str">
        <f t="shared" si="302"/>
        <v>06539000</v>
      </c>
      <c r="C1754" t="str">
        <f t="shared" si="308"/>
        <v>06539003</v>
      </c>
      <c r="D1754">
        <v>89301171</v>
      </c>
      <c r="E1754" t="str">
        <f t="shared" si="303"/>
        <v>6454220575</v>
      </c>
      <c r="F1754" s="1">
        <v>44940</v>
      </c>
      <c r="G1754" t="str">
        <f t="shared" si="311"/>
        <v>91197</v>
      </c>
      <c r="H1754">
        <v>1</v>
      </c>
      <c r="I1754">
        <v>1048</v>
      </c>
      <c r="J1754">
        <v>0</v>
      </c>
      <c r="K1754" t="str">
        <f t="shared" si="310"/>
        <v>813</v>
      </c>
      <c r="L1754">
        <v>880.32</v>
      </c>
    </row>
    <row r="1755" spans="1:12" x14ac:dyDescent="0.25">
      <c r="A1755" t="str">
        <f t="shared" si="304"/>
        <v>89301000</v>
      </c>
      <c r="B1755" t="str">
        <f t="shared" si="302"/>
        <v>06539000</v>
      </c>
      <c r="C1755" t="str">
        <f t="shared" si="308"/>
        <v>06539003</v>
      </c>
      <c r="D1755">
        <v>89301171</v>
      </c>
      <c r="E1755" t="str">
        <f t="shared" si="303"/>
        <v>6454220575</v>
      </c>
      <c r="F1755" s="1">
        <v>44940</v>
      </c>
      <c r="G1755" t="str">
        <f t="shared" si="311"/>
        <v>91197</v>
      </c>
      <c r="H1755">
        <v>1</v>
      </c>
      <c r="I1755">
        <v>1048</v>
      </c>
      <c r="J1755">
        <v>0</v>
      </c>
      <c r="K1755" t="str">
        <f t="shared" si="310"/>
        <v>813</v>
      </c>
      <c r="L1755">
        <v>880.32</v>
      </c>
    </row>
    <row r="1756" spans="1:12" x14ac:dyDescent="0.25">
      <c r="A1756" t="str">
        <f t="shared" si="304"/>
        <v>89301000</v>
      </c>
      <c r="B1756" t="str">
        <f t="shared" si="302"/>
        <v>06539000</v>
      </c>
      <c r="C1756" t="str">
        <f t="shared" si="308"/>
        <v>06539003</v>
      </c>
      <c r="D1756">
        <v>89301171</v>
      </c>
      <c r="E1756" t="str">
        <f t="shared" si="303"/>
        <v>6454220575</v>
      </c>
      <c r="F1756" s="1">
        <v>44946</v>
      </c>
      <c r="G1756" t="str">
        <f>"91329"</f>
        <v>91329</v>
      </c>
      <c r="H1756">
        <v>2</v>
      </c>
      <c r="I1756">
        <v>436</v>
      </c>
      <c r="J1756">
        <v>0</v>
      </c>
      <c r="K1756" t="str">
        <f t="shared" si="310"/>
        <v>813</v>
      </c>
      <c r="L1756">
        <v>366.24</v>
      </c>
    </row>
    <row r="1757" spans="1:12" x14ac:dyDescent="0.25">
      <c r="A1757" t="str">
        <f t="shared" si="304"/>
        <v>89301000</v>
      </c>
      <c r="B1757" t="str">
        <f t="shared" si="302"/>
        <v>06539000</v>
      </c>
      <c r="C1757" t="str">
        <f t="shared" si="308"/>
        <v>06539003</v>
      </c>
      <c r="D1757">
        <v>89301171</v>
      </c>
      <c r="E1757" t="str">
        <f t="shared" si="303"/>
        <v>6454220575</v>
      </c>
      <c r="F1757" s="1">
        <v>44946</v>
      </c>
      <c r="G1757" t="str">
        <f>"91329"</f>
        <v>91329</v>
      </c>
      <c r="H1757">
        <v>2</v>
      </c>
      <c r="I1757">
        <v>436</v>
      </c>
      <c r="J1757">
        <v>0</v>
      </c>
      <c r="K1757" t="str">
        <f t="shared" si="310"/>
        <v>813</v>
      </c>
      <c r="L1757">
        <v>366.24</v>
      </c>
    </row>
    <row r="1758" spans="1:12" x14ac:dyDescent="0.25">
      <c r="A1758" t="str">
        <f t="shared" si="304"/>
        <v>89301000</v>
      </c>
      <c r="B1758" t="str">
        <f t="shared" si="302"/>
        <v>06539000</v>
      </c>
      <c r="C1758" t="str">
        <f t="shared" si="308"/>
        <v>06539003</v>
      </c>
      <c r="D1758">
        <v>89301171</v>
      </c>
      <c r="E1758" t="str">
        <f t="shared" si="303"/>
        <v>6454220575</v>
      </c>
      <c r="F1758" s="1">
        <v>44946</v>
      </c>
      <c r="G1758" t="str">
        <f>"91329"</f>
        <v>91329</v>
      </c>
      <c r="H1758">
        <v>2</v>
      </c>
      <c r="I1758">
        <v>436</v>
      </c>
      <c r="J1758">
        <v>0</v>
      </c>
      <c r="K1758" t="str">
        <f t="shared" si="310"/>
        <v>813</v>
      </c>
      <c r="L1758">
        <v>366.24</v>
      </c>
    </row>
    <row r="1759" spans="1:12" x14ac:dyDescent="0.25">
      <c r="A1759" t="str">
        <f t="shared" si="304"/>
        <v>89301000</v>
      </c>
      <c r="B1759" t="str">
        <f t="shared" si="302"/>
        <v>06539000</v>
      </c>
      <c r="C1759" t="str">
        <f t="shared" si="308"/>
        <v>06539003</v>
      </c>
      <c r="D1759">
        <v>89301171</v>
      </c>
      <c r="E1759" t="str">
        <f t="shared" si="303"/>
        <v>6454220575</v>
      </c>
      <c r="F1759" s="1">
        <v>44946</v>
      </c>
      <c r="G1759" t="str">
        <f>"91329"</f>
        <v>91329</v>
      </c>
      <c r="H1759">
        <v>2</v>
      </c>
      <c r="I1759">
        <v>436</v>
      </c>
      <c r="J1759">
        <v>0</v>
      </c>
      <c r="K1759" t="str">
        <f t="shared" si="310"/>
        <v>813</v>
      </c>
      <c r="L1759">
        <v>366.24</v>
      </c>
    </row>
    <row r="1760" spans="1:12" x14ac:dyDescent="0.25">
      <c r="A1760" t="str">
        <f t="shared" si="304"/>
        <v>89301000</v>
      </c>
      <c r="B1760" t="str">
        <f t="shared" si="302"/>
        <v>06539000</v>
      </c>
      <c r="C1760" t="str">
        <f t="shared" si="308"/>
        <v>06539003</v>
      </c>
      <c r="D1760">
        <v>89301171</v>
      </c>
      <c r="E1760" t="str">
        <f t="shared" si="303"/>
        <v>6454220575</v>
      </c>
      <c r="F1760" s="1">
        <v>44939</v>
      </c>
      <c r="G1760" t="str">
        <f>"91129"</f>
        <v>91129</v>
      </c>
      <c r="H1760">
        <v>1</v>
      </c>
      <c r="I1760">
        <v>175</v>
      </c>
      <c r="J1760">
        <v>0</v>
      </c>
      <c r="K1760" t="str">
        <f t="shared" si="310"/>
        <v>813</v>
      </c>
      <c r="L1760">
        <v>147</v>
      </c>
    </row>
    <row r="1761" spans="1:12" x14ac:dyDescent="0.25">
      <c r="A1761" t="str">
        <f t="shared" si="304"/>
        <v>89301000</v>
      </c>
      <c r="B1761" t="str">
        <f t="shared" si="302"/>
        <v>06539000</v>
      </c>
      <c r="C1761" t="str">
        <f t="shared" si="308"/>
        <v>06539003</v>
      </c>
      <c r="D1761">
        <v>89301171</v>
      </c>
      <c r="E1761" t="str">
        <f t="shared" si="303"/>
        <v>6454220575</v>
      </c>
      <c r="F1761" s="1">
        <v>44939</v>
      </c>
      <c r="G1761" t="str">
        <f>"91131"</f>
        <v>91131</v>
      </c>
      <c r="H1761">
        <v>1</v>
      </c>
      <c r="I1761">
        <v>171</v>
      </c>
      <c r="J1761">
        <v>0</v>
      </c>
      <c r="K1761" t="str">
        <f t="shared" si="310"/>
        <v>813</v>
      </c>
      <c r="L1761">
        <v>143.63999999999999</v>
      </c>
    </row>
    <row r="1762" spans="1:12" x14ac:dyDescent="0.25">
      <c r="A1762" t="str">
        <f t="shared" si="304"/>
        <v>89301000</v>
      </c>
      <c r="B1762" t="str">
        <f t="shared" si="302"/>
        <v>06539000</v>
      </c>
      <c r="C1762" t="str">
        <f t="shared" si="308"/>
        <v>06539003</v>
      </c>
      <c r="D1762">
        <v>89301171</v>
      </c>
      <c r="E1762" t="str">
        <f t="shared" si="303"/>
        <v>6454220575</v>
      </c>
      <c r="F1762" s="1">
        <v>44939</v>
      </c>
      <c r="G1762" t="str">
        <f>"91133"</f>
        <v>91133</v>
      </c>
      <c r="H1762">
        <v>1</v>
      </c>
      <c r="I1762">
        <v>177</v>
      </c>
      <c r="J1762">
        <v>0</v>
      </c>
      <c r="K1762" t="str">
        <f t="shared" si="310"/>
        <v>813</v>
      </c>
      <c r="L1762">
        <v>148.68</v>
      </c>
    </row>
    <row r="1763" spans="1:12" x14ac:dyDescent="0.25">
      <c r="A1763" t="str">
        <f t="shared" si="304"/>
        <v>89301000</v>
      </c>
      <c r="B1763" t="str">
        <f t="shared" si="302"/>
        <v>06539000</v>
      </c>
      <c r="C1763" t="str">
        <f t="shared" si="308"/>
        <v>06539003</v>
      </c>
      <c r="D1763">
        <v>89301171</v>
      </c>
      <c r="E1763" t="str">
        <f t="shared" si="303"/>
        <v>6454220575</v>
      </c>
      <c r="F1763" s="1">
        <v>44939</v>
      </c>
      <c r="G1763" t="str">
        <f>"91171"</f>
        <v>91171</v>
      </c>
      <c r="H1763">
        <v>1</v>
      </c>
      <c r="I1763">
        <v>362</v>
      </c>
      <c r="J1763">
        <v>0</v>
      </c>
      <c r="K1763" t="str">
        <f t="shared" si="310"/>
        <v>813</v>
      </c>
      <c r="L1763">
        <v>304.08</v>
      </c>
    </row>
    <row r="1764" spans="1:12" x14ac:dyDescent="0.25">
      <c r="A1764" t="str">
        <f t="shared" si="304"/>
        <v>89301000</v>
      </c>
      <c r="B1764" t="str">
        <f t="shared" si="302"/>
        <v>06539000</v>
      </c>
      <c r="C1764" t="str">
        <f t="shared" si="308"/>
        <v>06539003</v>
      </c>
      <c r="D1764">
        <v>89301171</v>
      </c>
      <c r="E1764" t="str">
        <f t="shared" si="303"/>
        <v>6454220575</v>
      </c>
      <c r="F1764" s="1">
        <v>44939</v>
      </c>
      <c r="G1764" t="str">
        <f>"91173"</f>
        <v>91173</v>
      </c>
      <c r="H1764">
        <v>1</v>
      </c>
      <c r="I1764">
        <v>337</v>
      </c>
      <c r="J1764">
        <v>0</v>
      </c>
      <c r="K1764" t="str">
        <f t="shared" si="310"/>
        <v>813</v>
      </c>
      <c r="L1764">
        <v>283.08</v>
      </c>
    </row>
    <row r="1765" spans="1:12" x14ac:dyDescent="0.25">
      <c r="A1765" t="str">
        <f t="shared" si="304"/>
        <v>89301000</v>
      </c>
      <c r="B1765" t="str">
        <f t="shared" si="302"/>
        <v>06539000</v>
      </c>
      <c r="C1765" t="str">
        <f t="shared" si="308"/>
        <v>06539003</v>
      </c>
      <c r="D1765">
        <v>89301171</v>
      </c>
      <c r="E1765" t="str">
        <f t="shared" si="303"/>
        <v>6454220575</v>
      </c>
      <c r="F1765" s="1">
        <v>44939</v>
      </c>
      <c r="G1765" t="str">
        <f>"91175"</f>
        <v>91175</v>
      </c>
      <c r="H1765">
        <v>1</v>
      </c>
      <c r="I1765">
        <v>362</v>
      </c>
      <c r="J1765">
        <v>0</v>
      </c>
      <c r="K1765" t="str">
        <f t="shared" si="310"/>
        <v>813</v>
      </c>
      <c r="L1765">
        <v>304.08</v>
      </c>
    </row>
    <row r="1766" spans="1:12" x14ac:dyDescent="0.25">
      <c r="A1766" t="str">
        <f t="shared" si="304"/>
        <v>89301000</v>
      </c>
      <c r="B1766" t="str">
        <f t="shared" si="302"/>
        <v>06539000</v>
      </c>
      <c r="C1766" t="str">
        <f t="shared" si="308"/>
        <v>06539003</v>
      </c>
      <c r="D1766">
        <v>89301171</v>
      </c>
      <c r="E1766" t="str">
        <f t="shared" si="303"/>
        <v>6454220575</v>
      </c>
      <c r="F1766" s="1">
        <v>44940</v>
      </c>
      <c r="G1766" t="str">
        <f>"91167"</f>
        <v>91167</v>
      </c>
      <c r="H1766">
        <v>1</v>
      </c>
      <c r="I1766">
        <v>426</v>
      </c>
      <c r="J1766">
        <v>0</v>
      </c>
      <c r="K1766" t="str">
        <f t="shared" si="310"/>
        <v>813</v>
      </c>
      <c r="L1766">
        <v>357.84</v>
      </c>
    </row>
    <row r="1767" spans="1:12" x14ac:dyDescent="0.25">
      <c r="A1767" t="str">
        <f t="shared" si="304"/>
        <v>89301000</v>
      </c>
      <c r="B1767" t="str">
        <f t="shared" si="302"/>
        <v>06539000</v>
      </c>
      <c r="C1767" t="str">
        <f t="shared" si="308"/>
        <v>06539003</v>
      </c>
      <c r="D1767">
        <v>89301171</v>
      </c>
      <c r="E1767" t="str">
        <f t="shared" si="303"/>
        <v>6454220575</v>
      </c>
      <c r="F1767" s="1">
        <v>44940</v>
      </c>
      <c r="G1767" t="str">
        <f>"91169"</f>
        <v>91169</v>
      </c>
      <c r="H1767">
        <v>1</v>
      </c>
      <c r="I1767">
        <v>426</v>
      </c>
      <c r="J1767">
        <v>0</v>
      </c>
      <c r="K1767" t="str">
        <f t="shared" si="310"/>
        <v>813</v>
      </c>
      <c r="L1767">
        <v>357.84</v>
      </c>
    </row>
    <row r="1768" spans="1:12" x14ac:dyDescent="0.25">
      <c r="A1768" t="str">
        <f t="shared" si="304"/>
        <v>89301000</v>
      </c>
      <c r="B1768" t="str">
        <f t="shared" si="302"/>
        <v>06539000</v>
      </c>
      <c r="C1768" t="str">
        <f t="shared" si="308"/>
        <v>06539003</v>
      </c>
      <c r="D1768">
        <v>89301171</v>
      </c>
      <c r="E1768" t="str">
        <f t="shared" si="303"/>
        <v>6454220575</v>
      </c>
      <c r="F1768" s="1">
        <v>44939</v>
      </c>
      <c r="G1768" t="str">
        <f>"91167"</f>
        <v>91167</v>
      </c>
      <c r="H1768">
        <v>1</v>
      </c>
      <c r="I1768">
        <v>426</v>
      </c>
      <c r="J1768">
        <v>0</v>
      </c>
      <c r="K1768" t="str">
        <f t="shared" si="310"/>
        <v>813</v>
      </c>
      <c r="L1768">
        <v>357.84</v>
      </c>
    </row>
    <row r="1769" spans="1:12" x14ac:dyDescent="0.25">
      <c r="A1769" t="str">
        <f t="shared" si="304"/>
        <v>89301000</v>
      </c>
      <c r="B1769" t="str">
        <f t="shared" si="302"/>
        <v>06539000</v>
      </c>
      <c r="C1769" t="str">
        <f t="shared" si="308"/>
        <v>06539003</v>
      </c>
      <c r="D1769">
        <v>89301171</v>
      </c>
      <c r="E1769" t="str">
        <f t="shared" si="303"/>
        <v>6454220575</v>
      </c>
      <c r="F1769" s="1">
        <v>44939</v>
      </c>
      <c r="G1769" t="str">
        <f>"91169"</f>
        <v>91169</v>
      </c>
      <c r="H1769">
        <v>1</v>
      </c>
      <c r="I1769">
        <v>426</v>
      </c>
      <c r="J1769">
        <v>0</v>
      </c>
      <c r="K1769" t="str">
        <f t="shared" si="310"/>
        <v>813</v>
      </c>
      <c r="L1769">
        <v>357.84</v>
      </c>
    </row>
    <row r="1770" spans="1:12" x14ac:dyDescent="0.25">
      <c r="A1770" t="str">
        <f t="shared" si="304"/>
        <v>89301000</v>
      </c>
      <c r="B1770" t="str">
        <f t="shared" si="302"/>
        <v>06539000</v>
      </c>
      <c r="C1770" t="str">
        <f t="shared" si="308"/>
        <v>06539003</v>
      </c>
      <c r="D1770">
        <v>89301171</v>
      </c>
      <c r="E1770" t="str">
        <f t="shared" si="303"/>
        <v>6454220575</v>
      </c>
      <c r="F1770" s="1">
        <v>44943</v>
      </c>
      <c r="G1770" t="str">
        <f>"91475"</f>
        <v>91475</v>
      </c>
      <c r="H1770">
        <v>1</v>
      </c>
      <c r="I1770">
        <v>213</v>
      </c>
      <c r="J1770">
        <v>0</v>
      </c>
      <c r="K1770" t="str">
        <f t="shared" si="310"/>
        <v>813</v>
      </c>
      <c r="L1770">
        <v>178.92</v>
      </c>
    </row>
    <row r="1771" spans="1:12" x14ac:dyDescent="0.25">
      <c r="A1771" t="str">
        <f t="shared" si="304"/>
        <v>89301000</v>
      </c>
      <c r="B1771" t="str">
        <f t="shared" si="302"/>
        <v>06539000</v>
      </c>
      <c r="C1771" t="str">
        <f t="shared" ref="C1771:C1802" si="312">"06539003"</f>
        <v>06539003</v>
      </c>
      <c r="D1771">
        <v>89301171</v>
      </c>
      <c r="E1771" t="str">
        <f t="shared" ref="E1771:E1798" si="313">"7210055358"</f>
        <v>7210055358</v>
      </c>
      <c r="F1771" s="1">
        <v>44949</v>
      </c>
      <c r="G1771" t="str">
        <f t="shared" ref="G1771:G1780" si="314">"91413"</f>
        <v>91413</v>
      </c>
      <c r="H1771">
        <v>1</v>
      </c>
      <c r="I1771">
        <v>868</v>
      </c>
      <c r="J1771">
        <v>0</v>
      </c>
      <c r="K1771" t="str">
        <f t="shared" ref="K1771:K1802" si="315">"813"</f>
        <v>813</v>
      </c>
      <c r="L1771">
        <v>729.12</v>
      </c>
    </row>
    <row r="1772" spans="1:12" x14ac:dyDescent="0.25">
      <c r="A1772" t="str">
        <f t="shared" si="304"/>
        <v>89301000</v>
      </c>
      <c r="B1772" t="str">
        <f t="shared" si="302"/>
        <v>06539000</v>
      </c>
      <c r="C1772" t="str">
        <f t="shared" si="312"/>
        <v>06539003</v>
      </c>
      <c r="D1772">
        <v>89301171</v>
      </c>
      <c r="E1772" t="str">
        <f t="shared" si="313"/>
        <v>7210055358</v>
      </c>
      <c r="F1772" s="1">
        <v>44949</v>
      </c>
      <c r="G1772" t="str">
        <f t="shared" si="314"/>
        <v>91413</v>
      </c>
      <c r="H1772">
        <v>1</v>
      </c>
      <c r="I1772">
        <v>868</v>
      </c>
      <c r="J1772">
        <v>0</v>
      </c>
      <c r="K1772" t="str">
        <f t="shared" si="315"/>
        <v>813</v>
      </c>
      <c r="L1772">
        <v>729.12</v>
      </c>
    </row>
    <row r="1773" spans="1:12" x14ac:dyDescent="0.25">
      <c r="A1773" t="str">
        <f t="shared" si="304"/>
        <v>89301000</v>
      </c>
      <c r="B1773" t="str">
        <f t="shared" si="302"/>
        <v>06539000</v>
      </c>
      <c r="C1773" t="str">
        <f t="shared" si="312"/>
        <v>06539003</v>
      </c>
      <c r="D1773">
        <v>89301171</v>
      </c>
      <c r="E1773" t="str">
        <f t="shared" si="313"/>
        <v>7210055358</v>
      </c>
      <c r="F1773" s="1">
        <v>44957</v>
      </c>
      <c r="G1773" t="str">
        <f t="shared" si="314"/>
        <v>91413</v>
      </c>
      <c r="H1773">
        <v>1</v>
      </c>
      <c r="I1773">
        <v>868</v>
      </c>
      <c r="J1773">
        <v>0</v>
      </c>
      <c r="K1773" t="str">
        <f t="shared" si="315"/>
        <v>813</v>
      </c>
      <c r="L1773">
        <v>729.12</v>
      </c>
    </row>
    <row r="1774" spans="1:12" x14ac:dyDescent="0.25">
      <c r="A1774" t="str">
        <f t="shared" si="304"/>
        <v>89301000</v>
      </c>
      <c r="B1774" t="str">
        <f t="shared" si="302"/>
        <v>06539000</v>
      </c>
      <c r="C1774" t="str">
        <f t="shared" si="312"/>
        <v>06539003</v>
      </c>
      <c r="D1774">
        <v>89301171</v>
      </c>
      <c r="E1774" t="str">
        <f t="shared" si="313"/>
        <v>7210055358</v>
      </c>
      <c r="F1774" s="1">
        <v>44957</v>
      </c>
      <c r="G1774" t="str">
        <f t="shared" si="314"/>
        <v>91413</v>
      </c>
      <c r="H1774">
        <v>1</v>
      </c>
      <c r="I1774">
        <v>868</v>
      </c>
      <c r="J1774">
        <v>0</v>
      </c>
      <c r="K1774" t="str">
        <f t="shared" si="315"/>
        <v>813</v>
      </c>
      <c r="L1774">
        <v>729.12</v>
      </c>
    </row>
    <row r="1775" spans="1:12" x14ac:dyDescent="0.25">
      <c r="A1775" t="str">
        <f t="shared" si="304"/>
        <v>89301000</v>
      </c>
      <c r="B1775" t="str">
        <f t="shared" si="302"/>
        <v>06539000</v>
      </c>
      <c r="C1775" t="str">
        <f t="shared" si="312"/>
        <v>06539003</v>
      </c>
      <c r="D1775">
        <v>89301171</v>
      </c>
      <c r="E1775" t="str">
        <f t="shared" si="313"/>
        <v>7210055358</v>
      </c>
      <c r="F1775" s="1">
        <v>44958</v>
      </c>
      <c r="G1775" t="str">
        <f t="shared" si="314"/>
        <v>91413</v>
      </c>
      <c r="H1775">
        <v>1</v>
      </c>
      <c r="I1775">
        <v>868</v>
      </c>
      <c r="J1775">
        <v>0</v>
      </c>
      <c r="K1775" t="str">
        <f t="shared" si="315"/>
        <v>813</v>
      </c>
      <c r="L1775">
        <v>729.12</v>
      </c>
    </row>
    <row r="1776" spans="1:12" x14ac:dyDescent="0.25">
      <c r="A1776" t="str">
        <f t="shared" si="304"/>
        <v>89301000</v>
      </c>
      <c r="B1776" t="str">
        <f t="shared" si="302"/>
        <v>06539000</v>
      </c>
      <c r="C1776" t="str">
        <f t="shared" si="312"/>
        <v>06539003</v>
      </c>
      <c r="D1776">
        <v>89301171</v>
      </c>
      <c r="E1776" t="str">
        <f t="shared" si="313"/>
        <v>7210055358</v>
      </c>
      <c r="F1776" s="1">
        <v>44958</v>
      </c>
      <c r="G1776" t="str">
        <f t="shared" si="314"/>
        <v>91413</v>
      </c>
      <c r="H1776">
        <v>1</v>
      </c>
      <c r="I1776">
        <v>868</v>
      </c>
      <c r="J1776">
        <v>0</v>
      </c>
      <c r="K1776" t="str">
        <f t="shared" si="315"/>
        <v>813</v>
      </c>
      <c r="L1776">
        <v>729.12</v>
      </c>
    </row>
    <row r="1777" spans="1:12" x14ac:dyDescent="0.25">
      <c r="A1777" t="str">
        <f t="shared" si="304"/>
        <v>89301000</v>
      </c>
      <c r="B1777" t="str">
        <f t="shared" si="302"/>
        <v>06539000</v>
      </c>
      <c r="C1777" t="str">
        <f t="shared" si="312"/>
        <v>06539003</v>
      </c>
      <c r="D1777">
        <v>89301171</v>
      </c>
      <c r="E1777" t="str">
        <f t="shared" si="313"/>
        <v>7210055358</v>
      </c>
      <c r="F1777" s="1">
        <v>44957</v>
      </c>
      <c r="G1777" t="str">
        <f t="shared" si="314"/>
        <v>91413</v>
      </c>
      <c r="H1777">
        <v>1</v>
      </c>
      <c r="I1777">
        <v>868</v>
      </c>
      <c r="J1777">
        <v>0</v>
      </c>
      <c r="K1777" t="str">
        <f t="shared" si="315"/>
        <v>813</v>
      </c>
      <c r="L1777">
        <v>729.12</v>
      </c>
    </row>
    <row r="1778" spans="1:12" x14ac:dyDescent="0.25">
      <c r="A1778" t="str">
        <f t="shared" si="304"/>
        <v>89301000</v>
      </c>
      <c r="B1778" t="str">
        <f t="shared" si="302"/>
        <v>06539000</v>
      </c>
      <c r="C1778" t="str">
        <f t="shared" si="312"/>
        <v>06539003</v>
      </c>
      <c r="D1778">
        <v>89301171</v>
      </c>
      <c r="E1778" t="str">
        <f t="shared" si="313"/>
        <v>7210055358</v>
      </c>
      <c r="F1778" s="1">
        <v>44957</v>
      </c>
      <c r="G1778" t="str">
        <f t="shared" si="314"/>
        <v>91413</v>
      </c>
      <c r="H1778">
        <v>1</v>
      </c>
      <c r="I1778">
        <v>868</v>
      </c>
      <c r="J1778">
        <v>0</v>
      </c>
      <c r="K1778" t="str">
        <f t="shared" si="315"/>
        <v>813</v>
      </c>
      <c r="L1778">
        <v>729.12</v>
      </c>
    </row>
    <row r="1779" spans="1:12" x14ac:dyDescent="0.25">
      <c r="A1779" t="str">
        <f t="shared" si="304"/>
        <v>89301000</v>
      </c>
      <c r="B1779" t="str">
        <f t="shared" si="302"/>
        <v>06539000</v>
      </c>
      <c r="C1779" t="str">
        <f t="shared" si="312"/>
        <v>06539003</v>
      </c>
      <c r="D1779">
        <v>89301171</v>
      </c>
      <c r="E1779" t="str">
        <f t="shared" si="313"/>
        <v>7210055358</v>
      </c>
      <c r="F1779" s="1">
        <v>44957</v>
      </c>
      <c r="G1779" t="str">
        <f t="shared" si="314"/>
        <v>91413</v>
      </c>
      <c r="H1779">
        <v>1</v>
      </c>
      <c r="I1779">
        <v>868</v>
      </c>
      <c r="J1779">
        <v>0</v>
      </c>
      <c r="K1779" t="str">
        <f t="shared" si="315"/>
        <v>813</v>
      </c>
      <c r="L1779">
        <v>729.12</v>
      </c>
    </row>
    <row r="1780" spans="1:12" x14ac:dyDescent="0.25">
      <c r="A1780" t="str">
        <f t="shared" si="304"/>
        <v>89301000</v>
      </c>
      <c r="B1780" t="str">
        <f t="shared" si="302"/>
        <v>06539000</v>
      </c>
      <c r="C1780" t="str">
        <f t="shared" si="312"/>
        <v>06539003</v>
      </c>
      <c r="D1780">
        <v>89301171</v>
      </c>
      <c r="E1780" t="str">
        <f t="shared" si="313"/>
        <v>7210055358</v>
      </c>
      <c r="F1780" s="1">
        <v>44957</v>
      </c>
      <c r="G1780" t="str">
        <f t="shared" si="314"/>
        <v>91413</v>
      </c>
      <c r="H1780">
        <v>1</v>
      </c>
      <c r="I1780">
        <v>868</v>
      </c>
      <c r="J1780">
        <v>0</v>
      </c>
      <c r="K1780" t="str">
        <f t="shared" si="315"/>
        <v>813</v>
      </c>
      <c r="L1780">
        <v>729.12</v>
      </c>
    </row>
    <row r="1781" spans="1:12" x14ac:dyDescent="0.25">
      <c r="A1781" t="str">
        <f t="shared" si="304"/>
        <v>89301000</v>
      </c>
      <c r="B1781" t="str">
        <f t="shared" si="302"/>
        <v>06539000</v>
      </c>
      <c r="C1781" t="str">
        <f t="shared" si="312"/>
        <v>06539003</v>
      </c>
      <c r="D1781">
        <v>89301171</v>
      </c>
      <c r="E1781" t="str">
        <f t="shared" si="313"/>
        <v>7210055358</v>
      </c>
      <c r="F1781" s="1">
        <v>44949</v>
      </c>
      <c r="G1781" t="str">
        <f t="shared" ref="G1781:G1786" si="316">"91197"</f>
        <v>91197</v>
      </c>
      <c r="H1781">
        <v>1</v>
      </c>
      <c r="I1781">
        <v>1048</v>
      </c>
      <c r="J1781">
        <v>0</v>
      </c>
      <c r="K1781" t="str">
        <f t="shared" si="315"/>
        <v>813</v>
      </c>
      <c r="L1781">
        <v>880.32</v>
      </c>
    </row>
    <row r="1782" spans="1:12" x14ac:dyDescent="0.25">
      <c r="A1782" t="str">
        <f t="shared" si="304"/>
        <v>89301000</v>
      </c>
      <c r="B1782" t="str">
        <f t="shared" si="302"/>
        <v>06539000</v>
      </c>
      <c r="C1782" t="str">
        <f t="shared" si="312"/>
        <v>06539003</v>
      </c>
      <c r="D1782">
        <v>89301171</v>
      </c>
      <c r="E1782" t="str">
        <f t="shared" si="313"/>
        <v>7210055358</v>
      </c>
      <c r="F1782" s="1">
        <v>44949</v>
      </c>
      <c r="G1782" t="str">
        <f t="shared" si="316"/>
        <v>91197</v>
      </c>
      <c r="H1782">
        <v>1</v>
      </c>
      <c r="I1782">
        <v>1048</v>
      </c>
      <c r="J1782">
        <v>0</v>
      </c>
      <c r="K1782" t="str">
        <f t="shared" si="315"/>
        <v>813</v>
      </c>
      <c r="L1782">
        <v>880.32</v>
      </c>
    </row>
    <row r="1783" spans="1:12" x14ac:dyDescent="0.25">
      <c r="A1783" t="str">
        <f t="shared" si="304"/>
        <v>89301000</v>
      </c>
      <c r="B1783" t="str">
        <f t="shared" si="302"/>
        <v>06539000</v>
      </c>
      <c r="C1783" t="str">
        <f t="shared" si="312"/>
        <v>06539003</v>
      </c>
      <c r="D1783">
        <v>89301171</v>
      </c>
      <c r="E1783" t="str">
        <f t="shared" si="313"/>
        <v>7210055358</v>
      </c>
      <c r="F1783" s="1">
        <v>44948</v>
      </c>
      <c r="G1783" t="str">
        <f t="shared" si="316"/>
        <v>91197</v>
      </c>
      <c r="H1783">
        <v>1</v>
      </c>
      <c r="I1783">
        <v>1048</v>
      </c>
      <c r="J1783">
        <v>0</v>
      </c>
      <c r="K1783" t="str">
        <f t="shared" si="315"/>
        <v>813</v>
      </c>
      <c r="L1783">
        <v>880.32</v>
      </c>
    </row>
    <row r="1784" spans="1:12" x14ac:dyDescent="0.25">
      <c r="A1784" t="str">
        <f t="shared" si="304"/>
        <v>89301000</v>
      </c>
      <c r="B1784" t="str">
        <f t="shared" si="302"/>
        <v>06539000</v>
      </c>
      <c r="C1784" t="str">
        <f t="shared" si="312"/>
        <v>06539003</v>
      </c>
      <c r="D1784">
        <v>89301171</v>
      </c>
      <c r="E1784" t="str">
        <f t="shared" si="313"/>
        <v>7210055358</v>
      </c>
      <c r="F1784" s="1">
        <v>44948</v>
      </c>
      <c r="G1784" t="str">
        <f t="shared" si="316"/>
        <v>91197</v>
      </c>
      <c r="H1784">
        <v>1</v>
      </c>
      <c r="I1784">
        <v>1048</v>
      </c>
      <c r="J1784">
        <v>0</v>
      </c>
      <c r="K1784" t="str">
        <f t="shared" si="315"/>
        <v>813</v>
      </c>
      <c r="L1784">
        <v>880.32</v>
      </c>
    </row>
    <row r="1785" spans="1:12" x14ac:dyDescent="0.25">
      <c r="A1785" t="str">
        <f t="shared" si="304"/>
        <v>89301000</v>
      </c>
      <c r="B1785" t="str">
        <f t="shared" si="302"/>
        <v>06539000</v>
      </c>
      <c r="C1785" t="str">
        <f t="shared" si="312"/>
        <v>06539003</v>
      </c>
      <c r="D1785">
        <v>89301171</v>
      </c>
      <c r="E1785" t="str">
        <f t="shared" si="313"/>
        <v>7210055358</v>
      </c>
      <c r="F1785" s="1">
        <v>44947</v>
      </c>
      <c r="G1785" t="str">
        <f t="shared" si="316"/>
        <v>91197</v>
      </c>
      <c r="H1785">
        <v>1</v>
      </c>
      <c r="I1785">
        <v>1048</v>
      </c>
      <c r="J1785">
        <v>0</v>
      </c>
      <c r="K1785" t="str">
        <f t="shared" si="315"/>
        <v>813</v>
      </c>
      <c r="L1785">
        <v>880.32</v>
      </c>
    </row>
    <row r="1786" spans="1:12" x14ac:dyDescent="0.25">
      <c r="A1786" t="str">
        <f t="shared" si="304"/>
        <v>89301000</v>
      </c>
      <c r="B1786" t="str">
        <f t="shared" si="302"/>
        <v>06539000</v>
      </c>
      <c r="C1786" t="str">
        <f t="shared" si="312"/>
        <v>06539003</v>
      </c>
      <c r="D1786">
        <v>89301171</v>
      </c>
      <c r="E1786" t="str">
        <f t="shared" si="313"/>
        <v>7210055358</v>
      </c>
      <c r="F1786" s="1">
        <v>44947</v>
      </c>
      <c r="G1786" t="str">
        <f t="shared" si="316"/>
        <v>91197</v>
      </c>
      <c r="H1786">
        <v>1</v>
      </c>
      <c r="I1786">
        <v>1048</v>
      </c>
      <c r="J1786">
        <v>0</v>
      </c>
      <c r="K1786" t="str">
        <f t="shared" si="315"/>
        <v>813</v>
      </c>
      <c r="L1786">
        <v>880.32</v>
      </c>
    </row>
    <row r="1787" spans="1:12" x14ac:dyDescent="0.25">
      <c r="A1787" t="str">
        <f t="shared" si="304"/>
        <v>89301000</v>
      </c>
      <c r="B1787" t="str">
        <f t="shared" si="302"/>
        <v>06539000</v>
      </c>
      <c r="C1787" t="str">
        <f t="shared" si="312"/>
        <v>06539003</v>
      </c>
      <c r="D1787">
        <v>89301171</v>
      </c>
      <c r="E1787" t="str">
        <f t="shared" si="313"/>
        <v>7210055358</v>
      </c>
      <c r="F1787" s="1">
        <v>44957</v>
      </c>
      <c r="G1787" t="str">
        <f>"91329"</f>
        <v>91329</v>
      </c>
      <c r="H1787">
        <v>2</v>
      </c>
      <c r="I1787">
        <v>436</v>
      </c>
      <c r="J1787">
        <v>0</v>
      </c>
      <c r="K1787" t="str">
        <f t="shared" si="315"/>
        <v>813</v>
      </c>
      <c r="L1787">
        <v>366.24</v>
      </c>
    </row>
    <row r="1788" spans="1:12" x14ac:dyDescent="0.25">
      <c r="A1788" t="str">
        <f t="shared" si="304"/>
        <v>89301000</v>
      </c>
      <c r="B1788" t="str">
        <f t="shared" si="302"/>
        <v>06539000</v>
      </c>
      <c r="C1788" t="str">
        <f t="shared" si="312"/>
        <v>06539003</v>
      </c>
      <c r="D1788">
        <v>89301171</v>
      </c>
      <c r="E1788" t="str">
        <f t="shared" si="313"/>
        <v>7210055358</v>
      </c>
      <c r="F1788" s="1">
        <v>44957</v>
      </c>
      <c r="G1788" t="str">
        <f>"91329"</f>
        <v>91329</v>
      </c>
      <c r="H1788">
        <v>2</v>
      </c>
      <c r="I1788">
        <v>436</v>
      </c>
      <c r="J1788">
        <v>0</v>
      </c>
      <c r="K1788" t="str">
        <f t="shared" si="315"/>
        <v>813</v>
      </c>
      <c r="L1788">
        <v>366.24</v>
      </c>
    </row>
    <row r="1789" spans="1:12" x14ac:dyDescent="0.25">
      <c r="A1789" t="str">
        <f t="shared" si="304"/>
        <v>89301000</v>
      </c>
      <c r="B1789" t="str">
        <f t="shared" si="302"/>
        <v>06539000</v>
      </c>
      <c r="C1789" t="str">
        <f t="shared" si="312"/>
        <v>06539003</v>
      </c>
      <c r="D1789">
        <v>89301171</v>
      </c>
      <c r="E1789" t="str">
        <f t="shared" si="313"/>
        <v>7210055358</v>
      </c>
      <c r="F1789" s="1">
        <v>44957</v>
      </c>
      <c r="G1789" t="str">
        <f>"91329"</f>
        <v>91329</v>
      </c>
      <c r="H1789">
        <v>2</v>
      </c>
      <c r="I1789">
        <v>436</v>
      </c>
      <c r="J1789">
        <v>0</v>
      </c>
      <c r="K1789" t="str">
        <f t="shared" si="315"/>
        <v>813</v>
      </c>
      <c r="L1789">
        <v>366.24</v>
      </c>
    </row>
    <row r="1790" spans="1:12" x14ac:dyDescent="0.25">
      <c r="A1790" t="str">
        <f t="shared" si="304"/>
        <v>89301000</v>
      </c>
      <c r="B1790" t="str">
        <f t="shared" si="302"/>
        <v>06539000</v>
      </c>
      <c r="C1790" t="str">
        <f t="shared" si="312"/>
        <v>06539003</v>
      </c>
      <c r="D1790">
        <v>89301171</v>
      </c>
      <c r="E1790" t="str">
        <f t="shared" si="313"/>
        <v>7210055358</v>
      </c>
      <c r="F1790" s="1">
        <v>44957</v>
      </c>
      <c r="G1790" t="str">
        <f>"91329"</f>
        <v>91329</v>
      </c>
      <c r="H1790">
        <v>2</v>
      </c>
      <c r="I1790">
        <v>436</v>
      </c>
      <c r="J1790">
        <v>0</v>
      </c>
      <c r="K1790" t="str">
        <f t="shared" si="315"/>
        <v>813</v>
      </c>
      <c r="L1790">
        <v>366.24</v>
      </c>
    </row>
    <row r="1791" spans="1:12" x14ac:dyDescent="0.25">
      <c r="A1791" t="str">
        <f t="shared" si="304"/>
        <v>89301000</v>
      </c>
      <c r="B1791" t="str">
        <f t="shared" si="302"/>
        <v>06539000</v>
      </c>
      <c r="C1791" t="str">
        <f t="shared" si="312"/>
        <v>06539003</v>
      </c>
      <c r="D1791">
        <v>89301171</v>
      </c>
      <c r="E1791" t="str">
        <f t="shared" si="313"/>
        <v>7210055358</v>
      </c>
      <c r="F1791" s="1">
        <v>44948</v>
      </c>
      <c r="G1791" t="str">
        <f>"91129"</f>
        <v>91129</v>
      </c>
      <c r="H1791">
        <v>1</v>
      </c>
      <c r="I1791">
        <v>175</v>
      </c>
      <c r="J1791">
        <v>0</v>
      </c>
      <c r="K1791" t="str">
        <f t="shared" si="315"/>
        <v>813</v>
      </c>
      <c r="L1791">
        <v>147</v>
      </c>
    </row>
    <row r="1792" spans="1:12" x14ac:dyDescent="0.25">
      <c r="A1792" t="str">
        <f t="shared" si="304"/>
        <v>89301000</v>
      </c>
      <c r="B1792" t="str">
        <f t="shared" si="302"/>
        <v>06539000</v>
      </c>
      <c r="C1792" t="str">
        <f t="shared" si="312"/>
        <v>06539003</v>
      </c>
      <c r="D1792">
        <v>89301171</v>
      </c>
      <c r="E1792" t="str">
        <f t="shared" si="313"/>
        <v>7210055358</v>
      </c>
      <c r="F1792" s="1">
        <v>44948</v>
      </c>
      <c r="G1792" t="str">
        <f>"91131"</f>
        <v>91131</v>
      </c>
      <c r="H1792">
        <v>1</v>
      </c>
      <c r="I1792">
        <v>171</v>
      </c>
      <c r="J1792">
        <v>0</v>
      </c>
      <c r="K1792" t="str">
        <f t="shared" si="315"/>
        <v>813</v>
      </c>
      <c r="L1792">
        <v>143.63999999999999</v>
      </c>
    </row>
    <row r="1793" spans="1:12" x14ac:dyDescent="0.25">
      <c r="A1793" t="str">
        <f t="shared" si="304"/>
        <v>89301000</v>
      </c>
      <c r="B1793" t="str">
        <f t="shared" ref="B1793:B1856" si="317">"06539000"</f>
        <v>06539000</v>
      </c>
      <c r="C1793" t="str">
        <f t="shared" si="312"/>
        <v>06539003</v>
      </c>
      <c r="D1793">
        <v>89301171</v>
      </c>
      <c r="E1793" t="str">
        <f t="shared" si="313"/>
        <v>7210055358</v>
      </c>
      <c r="F1793" s="1">
        <v>44948</v>
      </c>
      <c r="G1793" t="str">
        <f>"91133"</f>
        <v>91133</v>
      </c>
      <c r="H1793">
        <v>1</v>
      </c>
      <c r="I1793">
        <v>177</v>
      </c>
      <c r="J1793">
        <v>0</v>
      </c>
      <c r="K1793" t="str">
        <f t="shared" si="315"/>
        <v>813</v>
      </c>
      <c r="L1793">
        <v>148.68</v>
      </c>
    </row>
    <row r="1794" spans="1:12" x14ac:dyDescent="0.25">
      <c r="A1794" t="str">
        <f t="shared" ref="A1794:A1857" si="318">"89301000"</f>
        <v>89301000</v>
      </c>
      <c r="B1794" t="str">
        <f t="shared" si="317"/>
        <v>06539000</v>
      </c>
      <c r="C1794" t="str">
        <f t="shared" si="312"/>
        <v>06539003</v>
      </c>
      <c r="D1794">
        <v>89301171</v>
      </c>
      <c r="E1794" t="str">
        <f t="shared" si="313"/>
        <v>7210055358</v>
      </c>
      <c r="F1794" s="1">
        <v>44948</v>
      </c>
      <c r="G1794" t="str">
        <f>"91171"</f>
        <v>91171</v>
      </c>
      <c r="H1794">
        <v>1</v>
      </c>
      <c r="I1794">
        <v>362</v>
      </c>
      <c r="J1794">
        <v>0</v>
      </c>
      <c r="K1794" t="str">
        <f t="shared" si="315"/>
        <v>813</v>
      </c>
      <c r="L1794">
        <v>304.08</v>
      </c>
    </row>
    <row r="1795" spans="1:12" x14ac:dyDescent="0.25">
      <c r="A1795" t="str">
        <f t="shared" si="318"/>
        <v>89301000</v>
      </c>
      <c r="B1795" t="str">
        <f t="shared" si="317"/>
        <v>06539000</v>
      </c>
      <c r="C1795" t="str">
        <f t="shared" si="312"/>
        <v>06539003</v>
      </c>
      <c r="D1795">
        <v>89301171</v>
      </c>
      <c r="E1795" t="str">
        <f t="shared" si="313"/>
        <v>7210055358</v>
      </c>
      <c r="F1795" s="1">
        <v>44948</v>
      </c>
      <c r="G1795" t="str">
        <f>"91175"</f>
        <v>91175</v>
      </c>
      <c r="H1795">
        <v>1</v>
      </c>
      <c r="I1795">
        <v>362</v>
      </c>
      <c r="J1795">
        <v>0</v>
      </c>
      <c r="K1795" t="str">
        <f t="shared" si="315"/>
        <v>813</v>
      </c>
      <c r="L1795">
        <v>304.08</v>
      </c>
    </row>
    <row r="1796" spans="1:12" x14ac:dyDescent="0.25">
      <c r="A1796" t="str">
        <f t="shared" si="318"/>
        <v>89301000</v>
      </c>
      <c r="B1796" t="str">
        <f t="shared" si="317"/>
        <v>06539000</v>
      </c>
      <c r="C1796" t="str">
        <f t="shared" si="312"/>
        <v>06539003</v>
      </c>
      <c r="D1796">
        <v>89301171</v>
      </c>
      <c r="E1796" t="str">
        <f t="shared" si="313"/>
        <v>7210055358</v>
      </c>
      <c r="F1796" s="1">
        <v>44947</v>
      </c>
      <c r="G1796" t="str">
        <f>"91167"</f>
        <v>91167</v>
      </c>
      <c r="H1796">
        <v>1</v>
      </c>
      <c r="I1796">
        <v>426</v>
      </c>
      <c r="J1796">
        <v>0</v>
      </c>
      <c r="K1796" t="str">
        <f t="shared" si="315"/>
        <v>813</v>
      </c>
      <c r="L1796">
        <v>357.84</v>
      </c>
    </row>
    <row r="1797" spans="1:12" x14ac:dyDescent="0.25">
      <c r="A1797" t="str">
        <f t="shared" si="318"/>
        <v>89301000</v>
      </c>
      <c r="B1797" t="str">
        <f t="shared" si="317"/>
        <v>06539000</v>
      </c>
      <c r="C1797" t="str">
        <f t="shared" si="312"/>
        <v>06539003</v>
      </c>
      <c r="D1797">
        <v>89301171</v>
      </c>
      <c r="E1797" t="str">
        <f t="shared" si="313"/>
        <v>7210055358</v>
      </c>
      <c r="F1797" s="1">
        <v>44947</v>
      </c>
      <c r="G1797" t="str">
        <f>"91169"</f>
        <v>91169</v>
      </c>
      <c r="H1797">
        <v>1</v>
      </c>
      <c r="I1797">
        <v>426</v>
      </c>
      <c r="J1797">
        <v>0</v>
      </c>
      <c r="K1797" t="str">
        <f t="shared" si="315"/>
        <v>813</v>
      </c>
      <c r="L1797">
        <v>357.84</v>
      </c>
    </row>
    <row r="1798" spans="1:12" x14ac:dyDescent="0.25">
      <c r="A1798" t="str">
        <f t="shared" si="318"/>
        <v>89301000</v>
      </c>
      <c r="B1798" t="str">
        <f t="shared" si="317"/>
        <v>06539000</v>
      </c>
      <c r="C1798" t="str">
        <f t="shared" si="312"/>
        <v>06539003</v>
      </c>
      <c r="D1798">
        <v>89301171</v>
      </c>
      <c r="E1798" t="str">
        <f t="shared" si="313"/>
        <v>7210055358</v>
      </c>
      <c r="F1798" s="1">
        <v>44957</v>
      </c>
      <c r="G1798" t="str">
        <f>"91475"</f>
        <v>91475</v>
      </c>
      <c r="H1798">
        <v>1</v>
      </c>
      <c r="I1798">
        <v>213</v>
      </c>
      <c r="J1798">
        <v>0</v>
      </c>
      <c r="K1798" t="str">
        <f t="shared" si="315"/>
        <v>813</v>
      </c>
      <c r="L1798">
        <v>178.92</v>
      </c>
    </row>
    <row r="1799" spans="1:12" x14ac:dyDescent="0.25">
      <c r="A1799" t="str">
        <f t="shared" si="318"/>
        <v>89301000</v>
      </c>
      <c r="B1799" t="str">
        <f t="shared" si="317"/>
        <v>06539000</v>
      </c>
      <c r="C1799" t="str">
        <f t="shared" si="312"/>
        <v>06539003</v>
      </c>
      <c r="D1799">
        <v>89301171</v>
      </c>
      <c r="E1799" t="str">
        <f t="shared" ref="E1799:E1807" si="319">"6812231580"</f>
        <v>6812231580</v>
      </c>
      <c r="F1799" s="1">
        <v>44957</v>
      </c>
      <c r="G1799" t="str">
        <f t="shared" ref="G1799:G1806" si="320">"91413"</f>
        <v>91413</v>
      </c>
      <c r="H1799">
        <v>1</v>
      </c>
      <c r="I1799">
        <v>868</v>
      </c>
      <c r="J1799">
        <v>0</v>
      </c>
      <c r="K1799" t="str">
        <f t="shared" si="315"/>
        <v>813</v>
      </c>
      <c r="L1799">
        <v>729.12</v>
      </c>
    </row>
    <row r="1800" spans="1:12" x14ac:dyDescent="0.25">
      <c r="A1800" t="str">
        <f t="shared" si="318"/>
        <v>89301000</v>
      </c>
      <c r="B1800" t="str">
        <f t="shared" si="317"/>
        <v>06539000</v>
      </c>
      <c r="C1800" t="str">
        <f t="shared" si="312"/>
        <v>06539003</v>
      </c>
      <c r="D1800">
        <v>89301171</v>
      </c>
      <c r="E1800" t="str">
        <f t="shared" si="319"/>
        <v>6812231580</v>
      </c>
      <c r="F1800" s="1">
        <v>44957</v>
      </c>
      <c r="G1800" t="str">
        <f t="shared" si="320"/>
        <v>91413</v>
      </c>
      <c r="H1800">
        <v>1</v>
      </c>
      <c r="I1800">
        <v>868</v>
      </c>
      <c r="J1800">
        <v>0</v>
      </c>
      <c r="K1800" t="str">
        <f t="shared" si="315"/>
        <v>813</v>
      </c>
      <c r="L1800">
        <v>729.12</v>
      </c>
    </row>
    <row r="1801" spans="1:12" x14ac:dyDescent="0.25">
      <c r="A1801" t="str">
        <f t="shared" si="318"/>
        <v>89301000</v>
      </c>
      <c r="B1801" t="str">
        <f t="shared" si="317"/>
        <v>06539000</v>
      </c>
      <c r="C1801" t="str">
        <f t="shared" si="312"/>
        <v>06539003</v>
      </c>
      <c r="D1801">
        <v>89301171</v>
      </c>
      <c r="E1801" t="str">
        <f t="shared" si="319"/>
        <v>6812231580</v>
      </c>
      <c r="F1801" s="1">
        <v>44958</v>
      </c>
      <c r="G1801" t="str">
        <f t="shared" si="320"/>
        <v>91413</v>
      </c>
      <c r="H1801">
        <v>1</v>
      </c>
      <c r="I1801">
        <v>868</v>
      </c>
      <c r="J1801">
        <v>0</v>
      </c>
      <c r="K1801" t="str">
        <f t="shared" si="315"/>
        <v>813</v>
      </c>
      <c r="L1801">
        <v>729.12</v>
      </c>
    </row>
    <row r="1802" spans="1:12" x14ac:dyDescent="0.25">
      <c r="A1802" t="str">
        <f t="shared" si="318"/>
        <v>89301000</v>
      </c>
      <c r="B1802" t="str">
        <f t="shared" si="317"/>
        <v>06539000</v>
      </c>
      <c r="C1802" t="str">
        <f t="shared" si="312"/>
        <v>06539003</v>
      </c>
      <c r="D1802">
        <v>89301171</v>
      </c>
      <c r="E1802" t="str">
        <f t="shared" si="319"/>
        <v>6812231580</v>
      </c>
      <c r="F1802" s="1">
        <v>44958</v>
      </c>
      <c r="G1802" t="str">
        <f t="shared" si="320"/>
        <v>91413</v>
      </c>
      <c r="H1802">
        <v>1</v>
      </c>
      <c r="I1802">
        <v>868</v>
      </c>
      <c r="J1802">
        <v>0</v>
      </c>
      <c r="K1802" t="str">
        <f t="shared" si="315"/>
        <v>813</v>
      </c>
      <c r="L1802">
        <v>729.12</v>
      </c>
    </row>
    <row r="1803" spans="1:12" x14ac:dyDescent="0.25">
      <c r="A1803" t="str">
        <f t="shared" si="318"/>
        <v>89301000</v>
      </c>
      <c r="B1803" t="str">
        <f t="shared" si="317"/>
        <v>06539000</v>
      </c>
      <c r="C1803" t="str">
        <f t="shared" ref="C1803:C1835" si="321">"06539003"</f>
        <v>06539003</v>
      </c>
      <c r="D1803">
        <v>89301171</v>
      </c>
      <c r="E1803" t="str">
        <f t="shared" si="319"/>
        <v>6812231580</v>
      </c>
      <c r="F1803" s="1">
        <v>44957</v>
      </c>
      <c r="G1803" t="str">
        <f t="shared" si="320"/>
        <v>91413</v>
      </c>
      <c r="H1803">
        <v>1</v>
      </c>
      <c r="I1803">
        <v>868</v>
      </c>
      <c r="J1803">
        <v>0</v>
      </c>
      <c r="K1803" t="str">
        <f t="shared" ref="K1803:K1835" si="322">"813"</f>
        <v>813</v>
      </c>
      <c r="L1803">
        <v>729.12</v>
      </c>
    </row>
    <row r="1804" spans="1:12" x14ac:dyDescent="0.25">
      <c r="A1804" t="str">
        <f t="shared" si="318"/>
        <v>89301000</v>
      </c>
      <c r="B1804" t="str">
        <f t="shared" si="317"/>
        <v>06539000</v>
      </c>
      <c r="C1804" t="str">
        <f t="shared" si="321"/>
        <v>06539003</v>
      </c>
      <c r="D1804">
        <v>89301171</v>
      </c>
      <c r="E1804" t="str">
        <f t="shared" si="319"/>
        <v>6812231580</v>
      </c>
      <c r="F1804" s="1">
        <v>44957</v>
      </c>
      <c r="G1804" t="str">
        <f t="shared" si="320"/>
        <v>91413</v>
      </c>
      <c r="H1804">
        <v>1</v>
      </c>
      <c r="I1804">
        <v>868</v>
      </c>
      <c r="J1804">
        <v>0</v>
      </c>
      <c r="K1804" t="str">
        <f t="shared" si="322"/>
        <v>813</v>
      </c>
      <c r="L1804">
        <v>729.12</v>
      </c>
    </row>
    <row r="1805" spans="1:12" x14ac:dyDescent="0.25">
      <c r="A1805" t="str">
        <f t="shared" si="318"/>
        <v>89301000</v>
      </c>
      <c r="B1805" t="str">
        <f t="shared" si="317"/>
        <v>06539000</v>
      </c>
      <c r="C1805" t="str">
        <f t="shared" si="321"/>
        <v>06539003</v>
      </c>
      <c r="D1805">
        <v>89301171</v>
      </c>
      <c r="E1805" t="str">
        <f t="shared" si="319"/>
        <v>6812231580</v>
      </c>
      <c r="F1805" s="1">
        <v>44957</v>
      </c>
      <c r="G1805" t="str">
        <f t="shared" si="320"/>
        <v>91413</v>
      </c>
      <c r="H1805">
        <v>1</v>
      </c>
      <c r="I1805">
        <v>868</v>
      </c>
      <c r="J1805">
        <v>0</v>
      </c>
      <c r="K1805" t="str">
        <f t="shared" si="322"/>
        <v>813</v>
      </c>
      <c r="L1805">
        <v>729.12</v>
      </c>
    </row>
    <row r="1806" spans="1:12" x14ac:dyDescent="0.25">
      <c r="A1806" t="str">
        <f t="shared" si="318"/>
        <v>89301000</v>
      </c>
      <c r="B1806" t="str">
        <f t="shared" si="317"/>
        <v>06539000</v>
      </c>
      <c r="C1806" t="str">
        <f t="shared" si="321"/>
        <v>06539003</v>
      </c>
      <c r="D1806">
        <v>89301171</v>
      </c>
      <c r="E1806" t="str">
        <f t="shared" si="319"/>
        <v>6812231580</v>
      </c>
      <c r="F1806" s="1">
        <v>44957</v>
      </c>
      <c r="G1806" t="str">
        <f t="shared" si="320"/>
        <v>91413</v>
      </c>
      <c r="H1806">
        <v>1</v>
      </c>
      <c r="I1806">
        <v>868</v>
      </c>
      <c r="J1806">
        <v>0</v>
      </c>
      <c r="K1806" t="str">
        <f t="shared" si="322"/>
        <v>813</v>
      </c>
      <c r="L1806">
        <v>729.12</v>
      </c>
    </row>
    <row r="1807" spans="1:12" x14ac:dyDescent="0.25">
      <c r="A1807" t="str">
        <f t="shared" si="318"/>
        <v>89301000</v>
      </c>
      <c r="B1807" t="str">
        <f t="shared" si="317"/>
        <v>06539000</v>
      </c>
      <c r="C1807" t="str">
        <f t="shared" si="321"/>
        <v>06539003</v>
      </c>
      <c r="D1807">
        <v>89301171</v>
      </c>
      <c r="E1807" t="str">
        <f t="shared" si="319"/>
        <v>6812231580</v>
      </c>
      <c r="F1807" s="1">
        <v>44951</v>
      </c>
      <c r="G1807" t="str">
        <f>"91475"</f>
        <v>91475</v>
      </c>
      <c r="H1807">
        <v>1</v>
      </c>
      <c r="I1807">
        <v>213</v>
      </c>
      <c r="J1807">
        <v>0</v>
      </c>
      <c r="K1807" t="str">
        <f t="shared" si="322"/>
        <v>813</v>
      </c>
      <c r="L1807">
        <v>178.92</v>
      </c>
    </row>
    <row r="1808" spans="1:12" x14ac:dyDescent="0.25">
      <c r="A1808" t="str">
        <f t="shared" si="318"/>
        <v>89301000</v>
      </c>
      <c r="B1808" t="str">
        <f t="shared" si="317"/>
        <v>06539000</v>
      </c>
      <c r="C1808" t="str">
        <f t="shared" si="321"/>
        <v>06539003</v>
      </c>
      <c r="D1808">
        <v>89301171</v>
      </c>
      <c r="E1808" t="str">
        <f t="shared" ref="E1808:E1835" si="323">"6856081650"</f>
        <v>6856081650</v>
      </c>
      <c r="F1808" s="1">
        <v>44949</v>
      </c>
      <c r="G1808" t="str">
        <f t="shared" ref="G1808:G1817" si="324">"91413"</f>
        <v>91413</v>
      </c>
      <c r="H1808">
        <v>1</v>
      </c>
      <c r="I1808">
        <v>868</v>
      </c>
      <c r="J1808">
        <v>0</v>
      </c>
      <c r="K1808" t="str">
        <f t="shared" si="322"/>
        <v>813</v>
      </c>
      <c r="L1808">
        <v>729.12</v>
      </c>
    </row>
    <row r="1809" spans="1:12" x14ac:dyDescent="0.25">
      <c r="A1809" t="str">
        <f t="shared" si="318"/>
        <v>89301000</v>
      </c>
      <c r="B1809" t="str">
        <f t="shared" si="317"/>
        <v>06539000</v>
      </c>
      <c r="C1809" t="str">
        <f t="shared" si="321"/>
        <v>06539003</v>
      </c>
      <c r="D1809">
        <v>89301171</v>
      </c>
      <c r="E1809" t="str">
        <f t="shared" si="323"/>
        <v>6856081650</v>
      </c>
      <c r="F1809" s="1">
        <v>44949</v>
      </c>
      <c r="G1809" t="str">
        <f t="shared" si="324"/>
        <v>91413</v>
      </c>
      <c r="H1809">
        <v>1</v>
      </c>
      <c r="I1809">
        <v>868</v>
      </c>
      <c r="J1809">
        <v>0</v>
      </c>
      <c r="K1809" t="str">
        <f t="shared" si="322"/>
        <v>813</v>
      </c>
      <c r="L1809">
        <v>729.12</v>
      </c>
    </row>
    <row r="1810" spans="1:12" x14ac:dyDescent="0.25">
      <c r="A1810" t="str">
        <f t="shared" si="318"/>
        <v>89301000</v>
      </c>
      <c r="B1810" t="str">
        <f t="shared" si="317"/>
        <v>06539000</v>
      </c>
      <c r="C1810" t="str">
        <f t="shared" si="321"/>
        <v>06539003</v>
      </c>
      <c r="D1810">
        <v>89301171</v>
      </c>
      <c r="E1810" t="str">
        <f t="shared" si="323"/>
        <v>6856081650</v>
      </c>
      <c r="F1810" s="1">
        <v>44957</v>
      </c>
      <c r="G1810" t="str">
        <f t="shared" si="324"/>
        <v>91413</v>
      </c>
      <c r="H1810">
        <v>1</v>
      </c>
      <c r="I1810">
        <v>868</v>
      </c>
      <c r="J1810">
        <v>0</v>
      </c>
      <c r="K1810" t="str">
        <f t="shared" si="322"/>
        <v>813</v>
      </c>
      <c r="L1810">
        <v>729.12</v>
      </c>
    </row>
    <row r="1811" spans="1:12" x14ac:dyDescent="0.25">
      <c r="A1811" t="str">
        <f t="shared" si="318"/>
        <v>89301000</v>
      </c>
      <c r="B1811" t="str">
        <f t="shared" si="317"/>
        <v>06539000</v>
      </c>
      <c r="C1811" t="str">
        <f t="shared" si="321"/>
        <v>06539003</v>
      </c>
      <c r="D1811">
        <v>89301171</v>
      </c>
      <c r="E1811" t="str">
        <f t="shared" si="323"/>
        <v>6856081650</v>
      </c>
      <c r="F1811" s="1">
        <v>44957</v>
      </c>
      <c r="G1811" t="str">
        <f t="shared" si="324"/>
        <v>91413</v>
      </c>
      <c r="H1811">
        <v>1</v>
      </c>
      <c r="I1811">
        <v>868</v>
      </c>
      <c r="J1811">
        <v>0</v>
      </c>
      <c r="K1811" t="str">
        <f t="shared" si="322"/>
        <v>813</v>
      </c>
      <c r="L1811">
        <v>729.12</v>
      </c>
    </row>
    <row r="1812" spans="1:12" x14ac:dyDescent="0.25">
      <c r="A1812" t="str">
        <f t="shared" si="318"/>
        <v>89301000</v>
      </c>
      <c r="B1812" t="str">
        <f t="shared" si="317"/>
        <v>06539000</v>
      </c>
      <c r="C1812" t="str">
        <f t="shared" si="321"/>
        <v>06539003</v>
      </c>
      <c r="D1812">
        <v>89301171</v>
      </c>
      <c r="E1812" t="str">
        <f t="shared" si="323"/>
        <v>6856081650</v>
      </c>
      <c r="F1812" s="1">
        <v>44958</v>
      </c>
      <c r="G1812" t="str">
        <f t="shared" si="324"/>
        <v>91413</v>
      </c>
      <c r="H1812">
        <v>1</v>
      </c>
      <c r="I1812">
        <v>868</v>
      </c>
      <c r="J1812">
        <v>0</v>
      </c>
      <c r="K1812" t="str">
        <f t="shared" si="322"/>
        <v>813</v>
      </c>
      <c r="L1812">
        <v>729.12</v>
      </c>
    </row>
    <row r="1813" spans="1:12" x14ac:dyDescent="0.25">
      <c r="A1813" t="str">
        <f t="shared" si="318"/>
        <v>89301000</v>
      </c>
      <c r="B1813" t="str">
        <f t="shared" si="317"/>
        <v>06539000</v>
      </c>
      <c r="C1813" t="str">
        <f t="shared" si="321"/>
        <v>06539003</v>
      </c>
      <c r="D1813">
        <v>89301171</v>
      </c>
      <c r="E1813" t="str">
        <f t="shared" si="323"/>
        <v>6856081650</v>
      </c>
      <c r="F1813" s="1">
        <v>44958</v>
      </c>
      <c r="G1813" t="str">
        <f t="shared" si="324"/>
        <v>91413</v>
      </c>
      <c r="H1813">
        <v>1</v>
      </c>
      <c r="I1813">
        <v>868</v>
      </c>
      <c r="J1813">
        <v>0</v>
      </c>
      <c r="K1813" t="str">
        <f t="shared" si="322"/>
        <v>813</v>
      </c>
      <c r="L1813">
        <v>729.12</v>
      </c>
    </row>
    <row r="1814" spans="1:12" x14ac:dyDescent="0.25">
      <c r="A1814" t="str">
        <f t="shared" si="318"/>
        <v>89301000</v>
      </c>
      <c r="B1814" t="str">
        <f t="shared" si="317"/>
        <v>06539000</v>
      </c>
      <c r="C1814" t="str">
        <f t="shared" si="321"/>
        <v>06539003</v>
      </c>
      <c r="D1814">
        <v>89301171</v>
      </c>
      <c r="E1814" t="str">
        <f t="shared" si="323"/>
        <v>6856081650</v>
      </c>
      <c r="F1814" s="1">
        <v>44957</v>
      </c>
      <c r="G1814" t="str">
        <f t="shared" si="324"/>
        <v>91413</v>
      </c>
      <c r="H1814">
        <v>1</v>
      </c>
      <c r="I1814">
        <v>868</v>
      </c>
      <c r="J1814">
        <v>0</v>
      </c>
      <c r="K1814" t="str">
        <f t="shared" si="322"/>
        <v>813</v>
      </c>
      <c r="L1814">
        <v>729.12</v>
      </c>
    </row>
    <row r="1815" spans="1:12" x14ac:dyDescent="0.25">
      <c r="A1815" t="str">
        <f t="shared" si="318"/>
        <v>89301000</v>
      </c>
      <c r="B1815" t="str">
        <f t="shared" si="317"/>
        <v>06539000</v>
      </c>
      <c r="C1815" t="str">
        <f t="shared" si="321"/>
        <v>06539003</v>
      </c>
      <c r="D1815">
        <v>89301171</v>
      </c>
      <c r="E1815" t="str">
        <f t="shared" si="323"/>
        <v>6856081650</v>
      </c>
      <c r="F1815" s="1">
        <v>44957</v>
      </c>
      <c r="G1815" t="str">
        <f t="shared" si="324"/>
        <v>91413</v>
      </c>
      <c r="H1815">
        <v>1</v>
      </c>
      <c r="I1815">
        <v>868</v>
      </c>
      <c r="J1815">
        <v>0</v>
      </c>
      <c r="K1815" t="str">
        <f t="shared" si="322"/>
        <v>813</v>
      </c>
      <c r="L1815">
        <v>729.12</v>
      </c>
    </row>
    <row r="1816" spans="1:12" x14ac:dyDescent="0.25">
      <c r="A1816" t="str">
        <f t="shared" si="318"/>
        <v>89301000</v>
      </c>
      <c r="B1816" t="str">
        <f t="shared" si="317"/>
        <v>06539000</v>
      </c>
      <c r="C1816" t="str">
        <f t="shared" si="321"/>
        <v>06539003</v>
      </c>
      <c r="D1816">
        <v>89301171</v>
      </c>
      <c r="E1816" t="str">
        <f t="shared" si="323"/>
        <v>6856081650</v>
      </c>
      <c r="F1816" s="1">
        <v>44957</v>
      </c>
      <c r="G1816" t="str">
        <f t="shared" si="324"/>
        <v>91413</v>
      </c>
      <c r="H1816">
        <v>1</v>
      </c>
      <c r="I1816">
        <v>868</v>
      </c>
      <c r="J1816">
        <v>0</v>
      </c>
      <c r="K1816" t="str">
        <f t="shared" si="322"/>
        <v>813</v>
      </c>
      <c r="L1816">
        <v>729.12</v>
      </c>
    </row>
    <row r="1817" spans="1:12" x14ac:dyDescent="0.25">
      <c r="A1817" t="str">
        <f t="shared" si="318"/>
        <v>89301000</v>
      </c>
      <c r="B1817" t="str">
        <f t="shared" si="317"/>
        <v>06539000</v>
      </c>
      <c r="C1817" t="str">
        <f t="shared" si="321"/>
        <v>06539003</v>
      </c>
      <c r="D1817">
        <v>89301171</v>
      </c>
      <c r="E1817" t="str">
        <f t="shared" si="323"/>
        <v>6856081650</v>
      </c>
      <c r="F1817" s="1">
        <v>44957</v>
      </c>
      <c r="G1817" t="str">
        <f t="shared" si="324"/>
        <v>91413</v>
      </c>
      <c r="H1817">
        <v>1</v>
      </c>
      <c r="I1817">
        <v>868</v>
      </c>
      <c r="J1817">
        <v>0</v>
      </c>
      <c r="K1817" t="str">
        <f t="shared" si="322"/>
        <v>813</v>
      </c>
      <c r="L1817">
        <v>729.12</v>
      </c>
    </row>
    <row r="1818" spans="1:12" x14ac:dyDescent="0.25">
      <c r="A1818" t="str">
        <f t="shared" si="318"/>
        <v>89301000</v>
      </c>
      <c r="B1818" t="str">
        <f t="shared" si="317"/>
        <v>06539000</v>
      </c>
      <c r="C1818" t="str">
        <f t="shared" si="321"/>
        <v>06539003</v>
      </c>
      <c r="D1818">
        <v>89301171</v>
      </c>
      <c r="E1818" t="str">
        <f t="shared" si="323"/>
        <v>6856081650</v>
      </c>
      <c r="F1818" s="1">
        <v>44949</v>
      </c>
      <c r="G1818" t="str">
        <f t="shared" ref="G1818:G1823" si="325">"91197"</f>
        <v>91197</v>
      </c>
      <c r="H1818">
        <v>1</v>
      </c>
      <c r="I1818">
        <v>1048</v>
      </c>
      <c r="J1818">
        <v>0</v>
      </c>
      <c r="K1818" t="str">
        <f t="shared" si="322"/>
        <v>813</v>
      </c>
      <c r="L1818">
        <v>880.32</v>
      </c>
    </row>
    <row r="1819" spans="1:12" x14ac:dyDescent="0.25">
      <c r="A1819" t="str">
        <f t="shared" si="318"/>
        <v>89301000</v>
      </c>
      <c r="B1819" t="str">
        <f t="shared" si="317"/>
        <v>06539000</v>
      </c>
      <c r="C1819" t="str">
        <f t="shared" si="321"/>
        <v>06539003</v>
      </c>
      <c r="D1819">
        <v>89301171</v>
      </c>
      <c r="E1819" t="str">
        <f t="shared" si="323"/>
        <v>6856081650</v>
      </c>
      <c r="F1819" s="1">
        <v>44949</v>
      </c>
      <c r="G1819" t="str">
        <f t="shared" si="325"/>
        <v>91197</v>
      </c>
      <c r="H1819">
        <v>1</v>
      </c>
      <c r="I1819">
        <v>1048</v>
      </c>
      <c r="J1819">
        <v>0</v>
      </c>
      <c r="K1819" t="str">
        <f t="shared" si="322"/>
        <v>813</v>
      </c>
      <c r="L1819">
        <v>880.32</v>
      </c>
    </row>
    <row r="1820" spans="1:12" x14ac:dyDescent="0.25">
      <c r="A1820" t="str">
        <f t="shared" si="318"/>
        <v>89301000</v>
      </c>
      <c r="B1820" t="str">
        <f t="shared" si="317"/>
        <v>06539000</v>
      </c>
      <c r="C1820" t="str">
        <f t="shared" si="321"/>
        <v>06539003</v>
      </c>
      <c r="D1820">
        <v>89301171</v>
      </c>
      <c r="E1820" t="str">
        <f t="shared" si="323"/>
        <v>6856081650</v>
      </c>
      <c r="F1820" s="1">
        <v>44948</v>
      </c>
      <c r="G1820" t="str">
        <f t="shared" si="325"/>
        <v>91197</v>
      </c>
      <c r="H1820">
        <v>1</v>
      </c>
      <c r="I1820">
        <v>1048</v>
      </c>
      <c r="J1820">
        <v>0</v>
      </c>
      <c r="K1820" t="str">
        <f t="shared" si="322"/>
        <v>813</v>
      </c>
      <c r="L1820">
        <v>880.32</v>
      </c>
    </row>
    <row r="1821" spans="1:12" x14ac:dyDescent="0.25">
      <c r="A1821" t="str">
        <f t="shared" si="318"/>
        <v>89301000</v>
      </c>
      <c r="B1821" t="str">
        <f t="shared" si="317"/>
        <v>06539000</v>
      </c>
      <c r="C1821" t="str">
        <f t="shared" si="321"/>
        <v>06539003</v>
      </c>
      <c r="D1821">
        <v>89301171</v>
      </c>
      <c r="E1821" t="str">
        <f t="shared" si="323"/>
        <v>6856081650</v>
      </c>
      <c r="F1821" s="1">
        <v>44948</v>
      </c>
      <c r="G1821" t="str">
        <f t="shared" si="325"/>
        <v>91197</v>
      </c>
      <c r="H1821">
        <v>1</v>
      </c>
      <c r="I1821">
        <v>1048</v>
      </c>
      <c r="J1821">
        <v>0</v>
      </c>
      <c r="K1821" t="str">
        <f t="shared" si="322"/>
        <v>813</v>
      </c>
      <c r="L1821">
        <v>880.32</v>
      </c>
    </row>
    <row r="1822" spans="1:12" x14ac:dyDescent="0.25">
      <c r="A1822" t="str">
        <f t="shared" si="318"/>
        <v>89301000</v>
      </c>
      <c r="B1822" t="str">
        <f t="shared" si="317"/>
        <v>06539000</v>
      </c>
      <c r="C1822" t="str">
        <f t="shared" si="321"/>
        <v>06539003</v>
      </c>
      <c r="D1822">
        <v>89301171</v>
      </c>
      <c r="E1822" t="str">
        <f t="shared" si="323"/>
        <v>6856081650</v>
      </c>
      <c r="F1822" s="1">
        <v>44947</v>
      </c>
      <c r="G1822" t="str">
        <f t="shared" si="325"/>
        <v>91197</v>
      </c>
      <c r="H1822">
        <v>1</v>
      </c>
      <c r="I1822">
        <v>1048</v>
      </c>
      <c r="J1822">
        <v>0</v>
      </c>
      <c r="K1822" t="str">
        <f t="shared" si="322"/>
        <v>813</v>
      </c>
      <c r="L1822">
        <v>880.32</v>
      </c>
    </row>
    <row r="1823" spans="1:12" x14ac:dyDescent="0.25">
      <c r="A1823" t="str">
        <f t="shared" si="318"/>
        <v>89301000</v>
      </c>
      <c r="B1823" t="str">
        <f t="shared" si="317"/>
        <v>06539000</v>
      </c>
      <c r="C1823" t="str">
        <f t="shared" si="321"/>
        <v>06539003</v>
      </c>
      <c r="D1823">
        <v>89301171</v>
      </c>
      <c r="E1823" t="str">
        <f t="shared" si="323"/>
        <v>6856081650</v>
      </c>
      <c r="F1823" s="1">
        <v>44947</v>
      </c>
      <c r="G1823" t="str">
        <f t="shared" si="325"/>
        <v>91197</v>
      </c>
      <c r="H1823">
        <v>1</v>
      </c>
      <c r="I1823">
        <v>1048</v>
      </c>
      <c r="J1823">
        <v>0</v>
      </c>
      <c r="K1823" t="str">
        <f t="shared" si="322"/>
        <v>813</v>
      </c>
      <c r="L1823">
        <v>880.32</v>
      </c>
    </row>
    <row r="1824" spans="1:12" x14ac:dyDescent="0.25">
      <c r="A1824" t="str">
        <f t="shared" si="318"/>
        <v>89301000</v>
      </c>
      <c r="B1824" t="str">
        <f t="shared" si="317"/>
        <v>06539000</v>
      </c>
      <c r="C1824" t="str">
        <f t="shared" si="321"/>
        <v>06539003</v>
      </c>
      <c r="D1824">
        <v>89301171</v>
      </c>
      <c r="E1824" t="str">
        <f t="shared" si="323"/>
        <v>6856081650</v>
      </c>
      <c r="F1824" s="1">
        <v>44957</v>
      </c>
      <c r="G1824" t="str">
        <f>"91329"</f>
        <v>91329</v>
      </c>
      <c r="H1824">
        <v>2</v>
      </c>
      <c r="I1824">
        <v>436</v>
      </c>
      <c r="J1824">
        <v>0</v>
      </c>
      <c r="K1824" t="str">
        <f t="shared" si="322"/>
        <v>813</v>
      </c>
      <c r="L1824">
        <v>366.24</v>
      </c>
    </row>
    <row r="1825" spans="1:12" x14ac:dyDescent="0.25">
      <c r="A1825" t="str">
        <f t="shared" si="318"/>
        <v>89301000</v>
      </c>
      <c r="B1825" t="str">
        <f t="shared" si="317"/>
        <v>06539000</v>
      </c>
      <c r="C1825" t="str">
        <f t="shared" si="321"/>
        <v>06539003</v>
      </c>
      <c r="D1825">
        <v>89301171</v>
      </c>
      <c r="E1825" t="str">
        <f t="shared" si="323"/>
        <v>6856081650</v>
      </c>
      <c r="F1825" s="1">
        <v>44957</v>
      </c>
      <c r="G1825" t="str">
        <f>"91329"</f>
        <v>91329</v>
      </c>
      <c r="H1825">
        <v>2</v>
      </c>
      <c r="I1825">
        <v>436</v>
      </c>
      <c r="J1825">
        <v>0</v>
      </c>
      <c r="K1825" t="str">
        <f t="shared" si="322"/>
        <v>813</v>
      </c>
      <c r="L1825">
        <v>366.24</v>
      </c>
    </row>
    <row r="1826" spans="1:12" x14ac:dyDescent="0.25">
      <c r="A1826" t="str">
        <f t="shared" si="318"/>
        <v>89301000</v>
      </c>
      <c r="B1826" t="str">
        <f t="shared" si="317"/>
        <v>06539000</v>
      </c>
      <c r="C1826" t="str">
        <f t="shared" si="321"/>
        <v>06539003</v>
      </c>
      <c r="D1826">
        <v>89301171</v>
      </c>
      <c r="E1826" t="str">
        <f t="shared" si="323"/>
        <v>6856081650</v>
      </c>
      <c r="F1826" s="1">
        <v>44957</v>
      </c>
      <c r="G1826" t="str">
        <f>"91329"</f>
        <v>91329</v>
      </c>
      <c r="H1826">
        <v>2</v>
      </c>
      <c r="I1826">
        <v>436</v>
      </c>
      <c r="J1826">
        <v>0</v>
      </c>
      <c r="K1826" t="str">
        <f t="shared" si="322"/>
        <v>813</v>
      </c>
      <c r="L1826">
        <v>366.24</v>
      </c>
    </row>
    <row r="1827" spans="1:12" x14ac:dyDescent="0.25">
      <c r="A1827" t="str">
        <f t="shared" si="318"/>
        <v>89301000</v>
      </c>
      <c r="B1827" t="str">
        <f t="shared" si="317"/>
        <v>06539000</v>
      </c>
      <c r="C1827" t="str">
        <f t="shared" si="321"/>
        <v>06539003</v>
      </c>
      <c r="D1827">
        <v>89301171</v>
      </c>
      <c r="E1827" t="str">
        <f t="shared" si="323"/>
        <v>6856081650</v>
      </c>
      <c r="F1827" s="1">
        <v>44957</v>
      </c>
      <c r="G1827" t="str">
        <f>"91329"</f>
        <v>91329</v>
      </c>
      <c r="H1827">
        <v>2</v>
      </c>
      <c r="I1827">
        <v>436</v>
      </c>
      <c r="J1827">
        <v>0</v>
      </c>
      <c r="K1827" t="str">
        <f t="shared" si="322"/>
        <v>813</v>
      </c>
      <c r="L1827">
        <v>366.24</v>
      </c>
    </row>
    <row r="1828" spans="1:12" x14ac:dyDescent="0.25">
      <c r="A1828" t="str">
        <f t="shared" si="318"/>
        <v>89301000</v>
      </c>
      <c r="B1828" t="str">
        <f t="shared" si="317"/>
        <v>06539000</v>
      </c>
      <c r="C1828" t="str">
        <f t="shared" si="321"/>
        <v>06539003</v>
      </c>
      <c r="D1828">
        <v>89301171</v>
      </c>
      <c r="E1828" t="str">
        <f t="shared" si="323"/>
        <v>6856081650</v>
      </c>
      <c r="F1828" s="1">
        <v>44948</v>
      </c>
      <c r="G1828" t="str">
        <f>"91129"</f>
        <v>91129</v>
      </c>
      <c r="H1828">
        <v>1</v>
      </c>
      <c r="I1828">
        <v>175</v>
      </c>
      <c r="J1828">
        <v>0</v>
      </c>
      <c r="K1828" t="str">
        <f t="shared" si="322"/>
        <v>813</v>
      </c>
      <c r="L1828">
        <v>147</v>
      </c>
    </row>
    <row r="1829" spans="1:12" x14ac:dyDescent="0.25">
      <c r="A1829" t="str">
        <f t="shared" si="318"/>
        <v>89301000</v>
      </c>
      <c r="B1829" t="str">
        <f t="shared" si="317"/>
        <v>06539000</v>
      </c>
      <c r="C1829" t="str">
        <f t="shared" si="321"/>
        <v>06539003</v>
      </c>
      <c r="D1829">
        <v>89301171</v>
      </c>
      <c r="E1829" t="str">
        <f t="shared" si="323"/>
        <v>6856081650</v>
      </c>
      <c r="F1829" s="1">
        <v>44948</v>
      </c>
      <c r="G1829" t="str">
        <f>"91131"</f>
        <v>91131</v>
      </c>
      <c r="H1829">
        <v>1</v>
      </c>
      <c r="I1829">
        <v>171</v>
      </c>
      <c r="J1829">
        <v>0</v>
      </c>
      <c r="K1829" t="str">
        <f t="shared" si="322"/>
        <v>813</v>
      </c>
      <c r="L1829">
        <v>143.63999999999999</v>
      </c>
    </row>
    <row r="1830" spans="1:12" x14ac:dyDescent="0.25">
      <c r="A1830" t="str">
        <f t="shared" si="318"/>
        <v>89301000</v>
      </c>
      <c r="B1830" t="str">
        <f t="shared" si="317"/>
        <v>06539000</v>
      </c>
      <c r="C1830" t="str">
        <f t="shared" si="321"/>
        <v>06539003</v>
      </c>
      <c r="D1830">
        <v>89301171</v>
      </c>
      <c r="E1830" t="str">
        <f t="shared" si="323"/>
        <v>6856081650</v>
      </c>
      <c r="F1830" s="1">
        <v>44948</v>
      </c>
      <c r="G1830" t="str">
        <f>"91133"</f>
        <v>91133</v>
      </c>
      <c r="H1830">
        <v>1</v>
      </c>
      <c r="I1830">
        <v>177</v>
      </c>
      <c r="J1830">
        <v>0</v>
      </c>
      <c r="K1830" t="str">
        <f t="shared" si="322"/>
        <v>813</v>
      </c>
      <c r="L1830">
        <v>148.68</v>
      </c>
    </row>
    <row r="1831" spans="1:12" x14ac:dyDescent="0.25">
      <c r="A1831" t="str">
        <f t="shared" si="318"/>
        <v>89301000</v>
      </c>
      <c r="B1831" t="str">
        <f t="shared" si="317"/>
        <v>06539000</v>
      </c>
      <c r="C1831" t="str">
        <f t="shared" si="321"/>
        <v>06539003</v>
      </c>
      <c r="D1831">
        <v>89301171</v>
      </c>
      <c r="E1831" t="str">
        <f t="shared" si="323"/>
        <v>6856081650</v>
      </c>
      <c r="F1831" s="1">
        <v>44948</v>
      </c>
      <c r="G1831" t="str">
        <f>"91171"</f>
        <v>91171</v>
      </c>
      <c r="H1831">
        <v>1</v>
      </c>
      <c r="I1831">
        <v>362</v>
      </c>
      <c r="J1831">
        <v>0</v>
      </c>
      <c r="K1831" t="str">
        <f t="shared" si="322"/>
        <v>813</v>
      </c>
      <c r="L1831">
        <v>304.08</v>
      </c>
    </row>
    <row r="1832" spans="1:12" x14ac:dyDescent="0.25">
      <c r="A1832" t="str">
        <f t="shared" si="318"/>
        <v>89301000</v>
      </c>
      <c r="B1832" t="str">
        <f t="shared" si="317"/>
        <v>06539000</v>
      </c>
      <c r="C1832" t="str">
        <f t="shared" si="321"/>
        <v>06539003</v>
      </c>
      <c r="D1832">
        <v>89301171</v>
      </c>
      <c r="E1832" t="str">
        <f t="shared" si="323"/>
        <v>6856081650</v>
      </c>
      <c r="F1832" s="1">
        <v>44948</v>
      </c>
      <c r="G1832" t="str">
        <f>"91175"</f>
        <v>91175</v>
      </c>
      <c r="H1832">
        <v>1</v>
      </c>
      <c r="I1832">
        <v>362</v>
      </c>
      <c r="J1832">
        <v>0</v>
      </c>
      <c r="K1832" t="str">
        <f t="shared" si="322"/>
        <v>813</v>
      </c>
      <c r="L1832">
        <v>304.08</v>
      </c>
    </row>
    <row r="1833" spans="1:12" x14ac:dyDescent="0.25">
      <c r="A1833" t="str">
        <f t="shared" si="318"/>
        <v>89301000</v>
      </c>
      <c r="B1833" t="str">
        <f t="shared" si="317"/>
        <v>06539000</v>
      </c>
      <c r="C1833" t="str">
        <f t="shared" si="321"/>
        <v>06539003</v>
      </c>
      <c r="D1833">
        <v>89301171</v>
      </c>
      <c r="E1833" t="str">
        <f t="shared" si="323"/>
        <v>6856081650</v>
      </c>
      <c r="F1833" s="1">
        <v>44947</v>
      </c>
      <c r="G1833" t="str">
        <f>"91167"</f>
        <v>91167</v>
      </c>
      <c r="H1833">
        <v>1</v>
      </c>
      <c r="I1833">
        <v>426</v>
      </c>
      <c r="J1833">
        <v>0</v>
      </c>
      <c r="K1833" t="str">
        <f t="shared" si="322"/>
        <v>813</v>
      </c>
      <c r="L1833">
        <v>357.84</v>
      </c>
    </row>
    <row r="1834" spans="1:12" x14ac:dyDescent="0.25">
      <c r="A1834" t="str">
        <f t="shared" si="318"/>
        <v>89301000</v>
      </c>
      <c r="B1834" t="str">
        <f t="shared" si="317"/>
        <v>06539000</v>
      </c>
      <c r="C1834" t="str">
        <f t="shared" si="321"/>
        <v>06539003</v>
      </c>
      <c r="D1834">
        <v>89301171</v>
      </c>
      <c r="E1834" t="str">
        <f t="shared" si="323"/>
        <v>6856081650</v>
      </c>
      <c r="F1834" s="1">
        <v>44947</v>
      </c>
      <c r="G1834" t="str">
        <f>"91169"</f>
        <v>91169</v>
      </c>
      <c r="H1834">
        <v>1</v>
      </c>
      <c r="I1834">
        <v>426</v>
      </c>
      <c r="J1834">
        <v>0</v>
      </c>
      <c r="K1834" t="str">
        <f t="shared" si="322"/>
        <v>813</v>
      </c>
      <c r="L1834">
        <v>357.84</v>
      </c>
    </row>
    <row r="1835" spans="1:12" x14ac:dyDescent="0.25">
      <c r="A1835" t="str">
        <f t="shared" si="318"/>
        <v>89301000</v>
      </c>
      <c r="B1835" t="str">
        <f t="shared" si="317"/>
        <v>06539000</v>
      </c>
      <c r="C1835" t="str">
        <f t="shared" si="321"/>
        <v>06539003</v>
      </c>
      <c r="D1835">
        <v>89301171</v>
      </c>
      <c r="E1835" t="str">
        <f t="shared" si="323"/>
        <v>6856081650</v>
      </c>
      <c r="F1835" s="1">
        <v>44951</v>
      </c>
      <c r="G1835" t="str">
        <f>"91475"</f>
        <v>91475</v>
      </c>
      <c r="H1835">
        <v>1</v>
      </c>
      <c r="I1835">
        <v>213</v>
      </c>
      <c r="J1835">
        <v>0</v>
      </c>
      <c r="K1835" t="str">
        <f t="shared" si="322"/>
        <v>813</v>
      </c>
      <c r="L1835">
        <v>178.92</v>
      </c>
    </row>
    <row r="1836" spans="1:12" x14ac:dyDescent="0.25">
      <c r="A1836" t="str">
        <f t="shared" si="318"/>
        <v>89301000</v>
      </c>
      <c r="B1836" t="str">
        <f t="shared" si="317"/>
        <v>06539000</v>
      </c>
      <c r="C1836" t="str">
        <f>"06539001"</f>
        <v>06539001</v>
      </c>
      <c r="D1836">
        <v>89301171</v>
      </c>
      <c r="E1836" t="str">
        <f t="shared" ref="E1836:E1877" si="326">"7601081059"</f>
        <v>7601081059</v>
      </c>
      <c r="F1836" s="1">
        <v>44946</v>
      </c>
      <c r="G1836" t="str">
        <f>"81329"</f>
        <v>81329</v>
      </c>
      <c r="H1836">
        <v>1</v>
      </c>
      <c r="I1836">
        <v>17</v>
      </c>
      <c r="J1836">
        <v>0</v>
      </c>
      <c r="K1836" t="str">
        <f>"801"</f>
        <v>801</v>
      </c>
      <c r="L1836">
        <v>14.28</v>
      </c>
    </row>
    <row r="1837" spans="1:12" x14ac:dyDescent="0.25">
      <c r="A1837" t="str">
        <f t="shared" si="318"/>
        <v>89301000</v>
      </c>
      <c r="B1837" t="str">
        <f t="shared" si="317"/>
        <v>06539000</v>
      </c>
      <c r="C1837" t="str">
        <f>"06539001"</f>
        <v>06539001</v>
      </c>
      <c r="D1837">
        <v>89301171</v>
      </c>
      <c r="E1837" t="str">
        <f t="shared" si="326"/>
        <v>7601081059</v>
      </c>
      <c r="F1837" s="1">
        <v>44946</v>
      </c>
      <c r="G1837" t="str">
        <f>"81331"</f>
        <v>81331</v>
      </c>
      <c r="H1837">
        <v>1</v>
      </c>
      <c r="I1837">
        <v>193</v>
      </c>
      <c r="J1837">
        <v>0</v>
      </c>
      <c r="K1837" t="str">
        <f>"801"</f>
        <v>801</v>
      </c>
      <c r="L1837">
        <v>162.12</v>
      </c>
    </row>
    <row r="1838" spans="1:12" x14ac:dyDescent="0.25">
      <c r="A1838" t="str">
        <f t="shared" si="318"/>
        <v>89301000</v>
      </c>
      <c r="B1838" t="str">
        <f t="shared" si="317"/>
        <v>06539000</v>
      </c>
      <c r="C1838" t="str">
        <f t="shared" ref="C1838:C1845" si="327">"06539002"</f>
        <v>06539002</v>
      </c>
      <c r="D1838">
        <v>89301171</v>
      </c>
      <c r="E1838" t="str">
        <f t="shared" si="326"/>
        <v>7601081059</v>
      </c>
      <c r="F1838" s="1">
        <v>44946</v>
      </c>
      <c r="G1838" t="str">
        <f t="shared" ref="G1838:G1845" si="328">"82097"</f>
        <v>82097</v>
      </c>
      <c r="H1838">
        <v>1</v>
      </c>
      <c r="I1838">
        <v>381</v>
      </c>
      <c r="J1838">
        <v>0</v>
      </c>
      <c r="K1838" t="str">
        <f t="shared" ref="K1838:K1845" si="329">"802"</f>
        <v>802</v>
      </c>
      <c r="L1838">
        <v>369.57</v>
      </c>
    </row>
    <row r="1839" spans="1:12" x14ac:dyDescent="0.25">
      <c r="A1839" t="str">
        <f t="shared" si="318"/>
        <v>89301000</v>
      </c>
      <c r="B1839" t="str">
        <f t="shared" si="317"/>
        <v>06539000</v>
      </c>
      <c r="C1839" t="str">
        <f t="shared" si="327"/>
        <v>06539002</v>
      </c>
      <c r="D1839">
        <v>89301171</v>
      </c>
      <c r="E1839" t="str">
        <f t="shared" si="326"/>
        <v>7601081059</v>
      </c>
      <c r="F1839" s="1">
        <v>44946</v>
      </c>
      <c r="G1839" t="str">
        <f t="shared" si="328"/>
        <v>82097</v>
      </c>
      <c r="H1839">
        <v>1</v>
      </c>
      <c r="I1839">
        <v>381</v>
      </c>
      <c r="J1839">
        <v>0</v>
      </c>
      <c r="K1839" t="str">
        <f t="shared" si="329"/>
        <v>802</v>
      </c>
      <c r="L1839">
        <v>369.57</v>
      </c>
    </row>
    <row r="1840" spans="1:12" x14ac:dyDescent="0.25">
      <c r="A1840" t="str">
        <f t="shared" si="318"/>
        <v>89301000</v>
      </c>
      <c r="B1840" t="str">
        <f t="shared" si="317"/>
        <v>06539000</v>
      </c>
      <c r="C1840" t="str">
        <f t="shared" si="327"/>
        <v>06539002</v>
      </c>
      <c r="D1840">
        <v>89301171</v>
      </c>
      <c r="E1840" t="str">
        <f t="shared" si="326"/>
        <v>7601081059</v>
      </c>
      <c r="F1840" s="1">
        <v>44946</v>
      </c>
      <c r="G1840" t="str">
        <f t="shared" si="328"/>
        <v>82097</v>
      </c>
      <c r="H1840">
        <v>1</v>
      </c>
      <c r="I1840">
        <v>381</v>
      </c>
      <c r="J1840">
        <v>0</v>
      </c>
      <c r="K1840" t="str">
        <f t="shared" si="329"/>
        <v>802</v>
      </c>
      <c r="L1840">
        <v>369.57</v>
      </c>
    </row>
    <row r="1841" spans="1:12" x14ac:dyDescent="0.25">
      <c r="A1841" t="str">
        <f t="shared" si="318"/>
        <v>89301000</v>
      </c>
      <c r="B1841" t="str">
        <f t="shared" si="317"/>
        <v>06539000</v>
      </c>
      <c r="C1841" t="str">
        <f t="shared" si="327"/>
        <v>06539002</v>
      </c>
      <c r="D1841">
        <v>89301171</v>
      </c>
      <c r="E1841" t="str">
        <f t="shared" si="326"/>
        <v>7601081059</v>
      </c>
      <c r="F1841" s="1">
        <v>44946</v>
      </c>
      <c r="G1841" t="str">
        <f t="shared" si="328"/>
        <v>82097</v>
      </c>
      <c r="H1841">
        <v>1</v>
      </c>
      <c r="I1841">
        <v>381</v>
      </c>
      <c r="J1841">
        <v>0</v>
      </c>
      <c r="K1841" t="str">
        <f t="shared" si="329"/>
        <v>802</v>
      </c>
      <c r="L1841">
        <v>369.57</v>
      </c>
    </row>
    <row r="1842" spans="1:12" x14ac:dyDescent="0.25">
      <c r="A1842" t="str">
        <f t="shared" si="318"/>
        <v>89301000</v>
      </c>
      <c r="B1842" t="str">
        <f t="shared" si="317"/>
        <v>06539000</v>
      </c>
      <c r="C1842" t="str">
        <f t="shared" si="327"/>
        <v>06539002</v>
      </c>
      <c r="D1842">
        <v>89301171</v>
      </c>
      <c r="E1842" t="str">
        <f t="shared" si="326"/>
        <v>7601081059</v>
      </c>
      <c r="F1842" s="1">
        <v>44946</v>
      </c>
      <c r="G1842" t="str">
        <f t="shared" si="328"/>
        <v>82097</v>
      </c>
      <c r="H1842">
        <v>2</v>
      </c>
      <c r="I1842">
        <v>762</v>
      </c>
      <c r="J1842">
        <v>0</v>
      </c>
      <c r="K1842" t="str">
        <f t="shared" si="329"/>
        <v>802</v>
      </c>
      <c r="L1842">
        <v>739.14</v>
      </c>
    </row>
    <row r="1843" spans="1:12" x14ac:dyDescent="0.25">
      <c r="A1843" t="str">
        <f t="shared" si="318"/>
        <v>89301000</v>
      </c>
      <c r="B1843" t="str">
        <f t="shared" si="317"/>
        <v>06539000</v>
      </c>
      <c r="C1843" t="str">
        <f t="shared" si="327"/>
        <v>06539002</v>
      </c>
      <c r="D1843">
        <v>89301171</v>
      </c>
      <c r="E1843" t="str">
        <f t="shared" si="326"/>
        <v>7601081059</v>
      </c>
      <c r="F1843" s="1">
        <v>44946</v>
      </c>
      <c r="G1843" t="str">
        <f t="shared" si="328"/>
        <v>82097</v>
      </c>
      <c r="H1843">
        <v>2</v>
      </c>
      <c r="I1843">
        <v>762</v>
      </c>
      <c r="J1843">
        <v>0</v>
      </c>
      <c r="K1843" t="str">
        <f t="shared" si="329"/>
        <v>802</v>
      </c>
      <c r="L1843">
        <v>739.14</v>
      </c>
    </row>
    <row r="1844" spans="1:12" x14ac:dyDescent="0.25">
      <c r="A1844" t="str">
        <f t="shared" si="318"/>
        <v>89301000</v>
      </c>
      <c r="B1844" t="str">
        <f t="shared" si="317"/>
        <v>06539000</v>
      </c>
      <c r="C1844" t="str">
        <f t="shared" si="327"/>
        <v>06539002</v>
      </c>
      <c r="D1844">
        <v>89301171</v>
      </c>
      <c r="E1844" t="str">
        <f t="shared" si="326"/>
        <v>7601081059</v>
      </c>
      <c r="F1844" s="1">
        <v>44946</v>
      </c>
      <c r="G1844" t="str">
        <f t="shared" si="328"/>
        <v>82097</v>
      </c>
      <c r="H1844">
        <v>1</v>
      </c>
      <c r="I1844">
        <v>381</v>
      </c>
      <c r="J1844">
        <v>0</v>
      </c>
      <c r="K1844" t="str">
        <f t="shared" si="329"/>
        <v>802</v>
      </c>
      <c r="L1844">
        <v>369.57</v>
      </c>
    </row>
    <row r="1845" spans="1:12" x14ac:dyDescent="0.25">
      <c r="A1845" t="str">
        <f t="shared" si="318"/>
        <v>89301000</v>
      </c>
      <c r="B1845" t="str">
        <f t="shared" si="317"/>
        <v>06539000</v>
      </c>
      <c r="C1845" t="str">
        <f t="shared" si="327"/>
        <v>06539002</v>
      </c>
      <c r="D1845">
        <v>89301171</v>
      </c>
      <c r="E1845" t="str">
        <f t="shared" si="326"/>
        <v>7601081059</v>
      </c>
      <c r="F1845" s="1">
        <v>44946</v>
      </c>
      <c r="G1845" t="str">
        <f t="shared" si="328"/>
        <v>82097</v>
      </c>
      <c r="H1845">
        <v>1</v>
      </c>
      <c r="I1845">
        <v>381</v>
      </c>
      <c r="J1845">
        <v>0</v>
      </c>
      <c r="K1845" t="str">
        <f t="shared" si="329"/>
        <v>802</v>
      </c>
      <c r="L1845">
        <v>369.57</v>
      </c>
    </row>
    <row r="1846" spans="1:12" x14ac:dyDescent="0.25">
      <c r="A1846" t="str">
        <f t="shared" si="318"/>
        <v>89301000</v>
      </c>
      <c r="B1846" t="str">
        <f t="shared" si="317"/>
        <v>06539000</v>
      </c>
      <c r="C1846" t="str">
        <f t="shared" ref="C1846:C1877" si="330">"06539003"</f>
        <v>06539003</v>
      </c>
      <c r="D1846">
        <v>89301171</v>
      </c>
      <c r="E1846" t="str">
        <f t="shared" si="326"/>
        <v>7601081059</v>
      </c>
      <c r="F1846" s="1">
        <v>44949</v>
      </c>
      <c r="G1846" t="str">
        <f t="shared" ref="G1846:G1855" si="331">"91413"</f>
        <v>91413</v>
      </c>
      <c r="H1846">
        <v>1</v>
      </c>
      <c r="I1846">
        <v>868</v>
      </c>
      <c r="J1846">
        <v>0</v>
      </c>
      <c r="K1846" t="str">
        <f t="shared" ref="K1846:K1877" si="332">"813"</f>
        <v>813</v>
      </c>
      <c r="L1846">
        <v>729.12</v>
      </c>
    </row>
    <row r="1847" spans="1:12" x14ac:dyDescent="0.25">
      <c r="A1847" t="str">
        <f t="shared" si="318"/>
        <v>89301000</v>
      </c>
      <c r="B1847" t="str">
        <f t="shared" si="317"/>
        <v>06539000</v>
      </c>
      <c r="C1847" t="str">
        <f t="shared" si="330"/>
        <v>06539003</v>
      </c>
      <c r="D1847">
        <v>89301171</v>
      </c>
      <c r="E1847" t="str">
        <f t="shared" si="326"/>
        <v>7601081059</v>
      </c>
      <c r="F1847" s="1">
        <v>44949</v>
      </c>
      <c r="G1847" t="str">
        <f t="shared" si="331"/>
        <v>91413</v>
      </c>
      <c r="H1847">
        <v>1</v>
      </c>
      <c r="I1847">
        <v>868</v>
      </c>
      <c r="J1847">
        <v>0</v>
      </c>
      <c r="K1847" t="str">
        <f t="shared" si="332"/>
        <v>813</v>
      </c>
      <c r="L1847">
        <v>729.12</v>
      </c>
    </row>
    <row r="1848" spans="1:12" x14ac:dyDescent="0.25">
      <c r="A1848" t="str">
        <f t="shared" si="318"/>
        <v>89301000</v>
      </c>
      <c r="B1848" t="str">
        <f t="shared" si="317"/>
        <v>06539000</v>
      </c>
      <c r="C1848" t="str">
        <f t="shared" si="330"/>
        <v>06539003</v>
      </c>
      <c r="D1848">
        <v>89301171</v>
      </c>
      <c r="E1848" t="str">
        <f t="shared" si="326"/>
        <v>7601081059</v>
      </c>
      <c r="F1848" s="1">
        <v>44957</v>
      </c>
      <c r="G1848" t="str">
        <f t="shared" si="331"/>
        <v>91413</v>
      </c>
      <c r="H1848">
        <v>1</v>
      </c>
      <c r="I1848">
        <v>868</v>
      </c>
      <c r="J1848">
        <v>0</v>
      </c>
      <c r="K1848" t="str">
        <f t="shared" si="332"/>
        <v>813</v>
      </c>
      <c r="L1848">
        <v>729.12</v>
      </c>
    </row>
    <row r="1849" spans="1:12" x14ac:dyDescent="0.25">
      <c r="A1849" t="str">
        <f t="shared" si="318"/>
        <v>89301000</v>
      </c>
      <c r="B1849" t="str">
        <f t="shared" si="317"/>
        <v>06539000</v>
      </c>
      <c r="C1849" t="str">
        <f t="shared" si="330"/>
        <v>06539003</v>
      </c>
      <c r="D1849">
        <v>89301171</v>
      </c>
      <c r="E1849" t="str">
        <f t="shared" si="326"/>
        <v>7601081059</v>
      </c>
      <c r="F1849" s="1">
        <v>44957</v>
      </c>
      <c r="G1849" t="str">
        <f t="shared" si="331"/>
        <v>91413</v>
      </c>
      <c r="H1849">
        <v>1</v>
      </c>
      <c r="I1849">
        <v>868</v>
      </c>
      <c r="J1849">
        <v>0</v>
      </c>
      <c r="K1849" t="str">
        <f t="shared" si="332"/>
        <v>813</v>
      </c>
      <c r="L1849">
        <v>729.12</v>
      </c>
    </row>
    <row r="1850" spans="1:12" x14ac:dyDescent="0.25">
      <c r="A1850" t="str">
        <f t="shared" si="318"/>
        <v>89301000</v>
      </c>
      <c r="B1850" t="str">
        <f t="shared" si="317"/>
        <v>06539000</v>
      </c>
      <c r="C1850" t="str">
        <f t="shared" si="330"/>
        <v>06539003</v>
      </c>
      <c r="D1850">
        <v>89301171</v>
      </c>
      <c r="E1850" t="str">
        <f t="shared" si="326"/>
        <v>7601081059</v>
      </c>
      <c r="F1850" s="1">
        <v>44958</v>
      </c>
      <c r="G1850" t="str">
        <f t="shared" si="331"/>
        <v>91413</v>
      </c>
      <c r="H1850">
        <v>1</v>
      </c>
      <c r="I1850">
        <v>868</v>
      </c>
      <c r="J1850">
        <v>0</v>
      </c>
      <c r="K1850" t="str">
        <f t="shared" si="332"/>
        <v>813</v>
      </c>
      <c r="L1850">
        <v>729.12</v>
      </c>
    </row>
    <row r="1851" spans="1:12" x14ac:dyDescent="0.25">
      <c r="A1851" t="str">
        <f t="shared" si="318"/>
        <v>89301000</v>
      </c>
      <c r="B1851" t="str">
        <f t="shared" si="317"/>
        <v>06539000</v>
      </c>
      <c r="C1851" t="str">
        <f t="shared" si="330"/>
        <v>06539003</v>
      </c>
      <c r="D1851">
        <v>89301171</v>
      </c>
      <c r="E1851" t="str">
        <f t="shared" si="326"/>
        <v>7601081059</v>
      </c>
      <c r="F1851" s="1">
        <v>44958</v>
      </c>
      <c r="G1851" t="str">
        <f t="shared" si="331"/>
        <v>91413</v>
      </c>
      <c r="H1851">
        <v>1</v>
      </c>
      <c r="I1851">
        <v>868</v>
      </c>
      <c r="J1851">
        <v>0</v>
      </c>
      <c r="K1851" t="str">
        <f t="shared" si="332"/>
        <v>813</v>
      </c>
      <c r="L1851">
        <v>729.12</v>
      </c>
    </row>
    <row r="1852" spans="1:12" x14ac:dyDescent="0.25">
      <c r="A1852" t="str">
        <f t="shared" si="318"/>
        <v>89301000</v>
      </c>
      <c r="B1852" t="str">
        <f t="shared" si="317"/>
        <v>06539000</v>
      </c>
      <c r="C1852" t="str">
        <f t="shared" si="330"/>
        <v>06539003</v>
      </c>
      <c r="D1852">
        <v>89301171</v>
      </c>
      <c r="E1852" t="str">
        <f t="shared" si="326"/>
        <v>7601081059</v>
      </c>
      <c r="F1852" s="1">
        <v>44958</v>
      </c>
      <c r="G1852" t="str">
        <f t="shared" si="331"/>
        <v>91413</v>
      </c>
      <c r="H1852">
        <v>1</v>
      </c>
      <c r="I1852">
        <v>868</v>
      </c>
      <c r="J1852">
        <v>0</v>
      </c>
      <c r="K1852" t="str">
        <f t="shared" si="332"/>
        <v>813</v>
      </c>
      <c r="L1852">
        <v>729.12</v>
      </c>
    </row>
    <row r="1853" spans="1:12" x14ac:dyDescent="0.25">
      <c r="A1853" t="str">
        <f t="shared" si="318"/>
        <v>89301000</v>
      </c>
      <c r="B1853" t="str">
        <f t="shared" si="317"/>
        <v>06539000</v>
      </c>
      <c r="C1853" t="str">
        <f t="shared" si="330"/>
        <v>06539003</v>
      </c>
      <c r="D1853">
        <v>89301171</v>
      </c>
      <c r="E1853" t="str">
        <f t="shared" si="326"/>
        <v>7601081059</v>
      </c>
      <c r="F1853" s="1">
        <v>44958</v>
      </c>
      <c r="G1853" t="str">
        <f t="shared" si="331"/>
        <v>91413</v>
      </c>
      <c r="H1853">
        <v>1</v>
      </c>
      <c r="I1853">
        <v>868</v>
      </c>
      <c r="J1853">
        <v>0</v>
      </c>
      <c r="K1853" t="str">
        <f t="shared" si="332"/>
        <v>813</v>
      </c>
      <c r="L1853">
        <v>729.12</v>
      </c>
    </row>
    <row r="1854" spans="1:12" x14ac:dyDescent="0.25">
      <c r="A1854" t="str">
        <f t="shared" si="318"/>
        <v>89301000</v>
      </c>
      <c r="B1854" t="str">
        <f t="shared" si="317"/>
        <v>06539000</v>
      </c>
      <c r="C1854" t="str">
        <f t="shared" si="330"/>
        <v>06539003</v>
      </c>
      <c r="D1854">
        <v>89301171</v>
      </c>
      <c r="E1854" t="str">
        <f t="shared" si="326"/>
        <v>7601081059</v>
      </c>
      <c r="F1854" s="1">
        <v>44958</v>
      </c>
      <c r="G1854" t="str">
        <f t="shared" si="331"/>
        <v>91413</v>
      </c>
      <c r="H1854">
        <v>1</v>
      </c>
      <c r="I1854">
        <v>868</v>
      </c>
      <c r="J1854">
        <v>0</v>
      </c>
      <c r="K1854" t="str">
        <f t="shared" si="332"/>
        <v>813</v>
      </c>
      <c r="L1854">
        <v>729.12</v>
      </c>
    </row>
    <row r="1855" spans="1:12" x14ac:dyDescent="0.25">
      <c r="A1855" t="str">
        <f t="shared" si="318"/>
        <v>89301000</v>
      </c>
      <c r="B1855" t="str">
        <f t="shared" si="317"/>
        <v>06539000</v>
      </c>
      <c r="C1855" t="str">
        <f t="shared" si="330"/>
        <v>06539003</v>
      </c>
      <c r="D1855">
        <v>89301171</v>
      </c>
      <c r="E1855" t="str">
        <f t="shared" si="326"/>
        <v>7601081059</v>
      </c>
      <c r="F1855" s="1">
        <v>44958</v>
      </c>
      <c r="G1855" t="str">
        <f t="shared" si="331"/>
        <v>91413</v>
      </c>
      <c r="H1855">
        <v>1</v>
      </c>
      <c r="I1855">
        <v>868</v>
      </c>
      <c r="J1855">
        <v>0</v>
      </c>
      <c r="K1855" t="str">
        <f t="shared" si="332"/>
        <v>813</v>
      </c>
      <c r="L1855">
        <v>729.12</v>
      </c>
    </row>
    <row r="1856" spans="1:12" x14ac:dyDescent="0.25">
      <c r="A1856" t="str">
        <f t="shared" si="318"/>
        <v>89301000</v>
      </c>
      <c r="B1856" t="str">
        <f t="shared" si="317"/>
        <v>06539000</v>
      </c>
      <c r="C1856" t="str">
        <f t="shared" si="330"/>
        <v>06539003</v>
      </c>
      <c r="D1856">
        <v>89301171</v>
      </c>
      <c r="E1856" t="str">
        <f t="shared" si="326"/>
        <v>7601081059</v>
      </c>
      <c r="F1856" s="1">
        <v>44946</v>
      </c>
      <c r="G1856" t="str">
        <f t="shared" ref="G1856:G1862" si="333">"91197"</f>
        <v>91197</v>
      </c>
      <c r="H1856">
        <v>1</v>
      </c>
      <c r="I1856">
        <v>1048</v>
      </c>
      <c r="J1856">
        <v>0</v>
      </c>
      <c r="K1856" t="str">
        <f t="shared" si="332"/>
        <v>813</v>
      </c>
      <c r="L1856">
        <v>880.32</v>
      </c>
    </row>
    <row r="1857" spans="1:12" x14ac:dyDescent="0.25">
      <c r="A1857" t="str">
        <f t="shared" si="318"/>
        <v>89301000</v>
      </c>
      <c r="B1857" t="str">
        <f t="shared" ref="B1857:B1920" si="334">"06539000"</f>
        <v>06539000</v>
      </c>
      <c r="C1857" t="str">
        <f t="shared" si="330"/>
        <v>06539003</v>
      </c>
      <c r="D1857">
        <v>89301171</v>
      </c>
      <c r="E1857" t="str">
        <f t="shared" si="326"/>
        <v>7601081059</v>
      </c>
      <c r="F1857" s="1">
        <v>44949</v>
      </c>
      <c r="G1857" t="str">
        <f t="shared" si="333"/>
        <v>91197</v>
      </c>
      <c r="H1857">
        <v>1</v>
      </c>
      <c r="I1857">
        <v>1048</v>
      </c>
      <c r="J1857">
        <v>0</v>
      </c>
      <c r="K1857" t="str">
        <f t="shared" si="332"/>
        <v>813</v>
      </c>
      <c r="L1857">
        <v>880.32</v>
      </c>
    </row>
    <row r="1858" spans="1:12" x14ac:dyDescent="0.25">
      <c r="A1858" t="str">
        <f t="shared" ref="A1858:A1921" si="335">"89301000"</f>
        <v>89301000</v>
      </c>
      <c r="B1858" t="str">
        <f t="shared" si="334"/>
        <v>06539000</v>
      </c>
      <c r="C1858" t="str">
        <f t="shared" si="330"/>
        <v>06539003</v>
      </c>
      <c r="D1858">
        <v>89301171</v>
      </c>
      <c r="E1858" t="str">
        <f t="shared" si="326"/>
        <v>7601081059</v>
      </c>
      <c r="F1858" s="1">
        <v>44949</v>
      </c>
      <c r="G1858" t="str">
        <f t="shared" si="333"/>
        <v>91197</v>
      </c>
      <c r="H1858">
        <v>1</v>
      </c>
      <c r="I1858">
        <v>1048</v>
      </c>
      <c r="J1858">
        <v>0</v>
      </c>
      <c r="K1858" t="str">
        <f t="shared" si="332"/>
        <v>813</v>
      </c>
      <c r="L1858">
        <v>880.32</v>
      </c>
    </row>
    <row r="1859" spans="1:12" x14ac:dyDescent="0.25">
      <c r="A1859" t="str">
        <f t="shared" si="335"/>
        <v>89301000</v>
      </c>
      <c r="B1859" t="str">
        <f t="shared" si="334"/>
        <v>06539000</v>
      </c>
      <c r="C1859" t="str">
        <f t="shared" si="330"/>
        <v>06539003</v>
      </c>
      <c r="D1859">
        <v>89301171</v>
      </c>
      <c r="E1859" t="str">
        <f t="shared" si="326"/>
        <v>7601081059</v>
      </c>
      <c r="F1859" s="1">
        <v>44948</v>
      </c>
      <c r="G1859" t="str">
        <f t="shared" si="333"/>
        <v>91197</v>
      </c>
      <c r="H1859">
        <v>1</v>
      </c>
      <c r="I1859">
        <v>1048</v>
      </c>
      <c r="J1859">
        <v>0</v>
      </c>
      <c r="K1859" t="str">
        <f t="shared" si="332"/>
        <v>813</v>
      </c>
      <c r="L1859">
        <v>880.32</v>
      </c>
    </row>
    <row r="1860" spans="1:12" x14ac:dyDescent="0.25">
      <c r="A1860" t="str">
        <f t="shared" si="335"/>
        <v>89301000</v>
      </c>
      <c r="B1860" t="str">
        <f t="shared" si="334"/>
        <v>06539000</v>
      </c>
      <c r="C1860" t="str">
        <f t="shared" si="330"/>
        <v>06539003</v>
      </c>
      <c r="D1860">
        <v>89301171</v>
      </c>
      <c r="E1860" t="str">
        <f t="shared" si="326"/>
        <v>7601081059</v>
      </c>
      <c r="F1860" s="1">
        <v>44948</v>
      </c>
      <c r="G1860" t="str">
        <f t="shared" si="333"/>
        <v>91197</v>
      </c>
      <c r="H1860">
        <v>1</v>
      </c>
      <c r="I1860">
        <v>1048</v>
      </c>
      <c r="J1860">
        <v>0</v>
      </c>
      <c r="K1860" t="str">
        <f t="shared" si="332"/>
        <v>813</v>
      </c>
      <c r="L1860">
        <v>880.32</v>
      </c>
    </row>
    <row r="1861" spans="1:12" x14ac:dyDescent="0.25">
      <c r="A1861" t="str">
        <f t="shared" si="335"/>
        <v>89301000</v>
      </c>
      <c r="B1861" t="str">
        <f t="shared" si="334"/>
        <v>06539000</v>
      </c>
      <c r="C1861" t="str">
        <f t="shared" si="330"/>
        <v>06539003</v>
      </c>
      <c r="D1861">
        <v>89301171</v>
      </c>
      <c r="E1861" t="str">
        <f t="shared" si="326"/>
        <v>7601081059</v>
      </c>
      <c r="F1861" s="1">
        <v>44947</v>
      </c>
      <c r="G1861" t="str">
        <f t="shared" si="333"/>
        <v>91197</v>
      </c>
      <c r="H1861">
        <v>1</v>
      </c>
      <c r="I1861">
        <v>1048</v>
      </c>
      <c r="J1861">
        <v>0</v>
      </c>
      <c r="K1861" t="str">
        <f t="shared" si="332"/>
        <v>813</v>
      </c>
      <c r="L1861">
        <v>880.32</v>
      </c>
    </row>
    <row r="1862" spans="1:12" x14ac:dyDescent="0.25">
      <c r="A1862" t="str">
        <f t="shared" si="335"/>
        <v>89301000</v>
      </c>
      <c r="B1862" t="str">
        <f t="shared" si="334"/>
        <v>06539000</v>
      </c>
      <c r="C1862" t="str">
        <f t="shared" si="330"/>
        <v>06539003</v>
      </c>
      <c r="D1862">
        <v>89301171</v>
      </c>
      <c r="E1862" t="str">
        <f t="shared" si="326"/>
        <v>7601081059</v>
      </c>
      <c r="F1862" s="1">
        <v>44947</v>
      </c>
      <c r="G1862" t="str">
        <f t="shared" si="333"/>
        <v>91197</v>
      </c>
      <c r="H1862">
        <v>1</v>
      </c>
      <c r="I1862">
        <v>1048</v>
      </c>
      <c r="J1862">
        <v>0</v>
      </c>
      <c r="K1862" t="str">
        <f t="shared" si="332"/>
        <v>813</v>
      </c>
      <c r="L1862">
        <v>880.32</v>
      </c>
    </row>
    <row r="1863" spans="1:12" x14ac:dyDescent="0.25">
      <c r="A1863" t="str">
        <f t="shared" si="335"/>
        <v>89301000</v>
      </c>
      <c r="B1863" t="str">
        <f t="shared" si="334"/>
        <v>06539000</v>
      </c>
      <c r="C1863" t="str">
        <f t="shared" si="330"/>
        <v>06539003</v>
      </c>
      <c r="D1863">
        <v>89301171</v>
      </c>
      <c r="E1863" t="str">
        <f t="shared" si="326"/>
        <v>7601081059</v>
      </c>
      <c r="F1863" s="1">
        <v>44949</v>
      </c>
      <c r="G1863" t="str">
        <f>"91329"</f>
        <v>91329</v>
      </c>
      <c r="H1863">
        <v>2</v>
      </c>
      <c r="I1863">
        <v>436</v>
      </c>
      <c r="J1863">
        <v>0</v>
      </c>
      <c r="K1863" t="str">
        <f t="shared" si="332"/>
        <v>813</v>
      </c>
      <c r="L1863">
        <v>366.24</v>
      </c>
    </row>
    <row r="1864" spans="1:12" x14ac:dyDescent="0.25">
      <c r="A1864" t="str">
        <f t="shared" si="335"/>
        <v>89301000</v>
      </c>
      <c r="B1864" t="str">
        <f t="shared" si="334"/>
        <v>06539000</v>
      </c>
      <c r="C1864" t="str">
        <f t="shared" si="330"/>
        <v>06539003</v>
      </c>
      <c r="D1864">
        <v>89301171</v>
      </c>
      <c r="E1864" t="str">
        <f t="shared" si="326"/>
        <v>7601081059</v>
      </c>
      <c r="F1864" s="1">
        <v>44949</v>
      </c>
      <c r="G1864" t="str">
        <f>"91329"</f>
        <v>91329</v>
      </c>
      <c r="H1864">
        <v>2</v>
      </c>
      <c r="I1864">
        <v>436</v>
      </c>
      <c r="J1864">
        <v>0</v>
      </c>
      <c r="K1864" t="str">
        <f t="shared" si="332"/>
        <v>813</v>
      </c>
      <c r="L1864">
        <v>366.24</v>
      </c>
    </row>
    <row r="1865" spans="1:12" x14ac:dyDescent="0.25">
      <c r="A1865" t="str">
        <f t="shared" si="335"/>
        <v>89301000</v>
      </c>
      <c r="B1865" t="str">
        <f t="shared" si="334"/>
        <v>06539000</v>
      </c>
      <c r="C1865" t="str">
        <f t="shared" si="330"/>
        <v>06539003</v>
      </c>
      <c r="D1865">
        <v>89301171</v>
      </c>
      <c r="E1865" t="str">
        <f t="shared" si="326"/>
        <v>7601081059</v>
      </c>
      <c r="F1865" s="1">
        <v>44949</v>
      </c>
      <c r="G1865" t="str">
        <f>"91329"</f>
        <v>91329</v>
      </c>
      <c r="H1865">
        <v>2</v>
      </c>
      <c r="I1865">
        <v>436</v>
      </c>
      <c r="J1865">
        <v>0</v>
      </c>
      <c r="K1865" t="str">
        <f t="shared" si="332"/>
        <v>813</v>
      </c>
      <c r="L1865">
        <v>366.24</v>
      </c>
    </row>
    <row r="1866" spans="1:12" x14ac:dyDescent="0.25">
      <c r="A1866" t="str">
        <f t="shared" si="335"/>
        <v>89301000</v>
      </c>
      <c r="B1866" t="str">
        <f t="shared" si="334"/>
        <v>06539000</v>
      </c>
      <c r="C1866" t="str">
        <f t="shared" si="330"/>
        <v>06539003</v>
      </c>
      <c r="D1866">
        <v>89301171</v>
      </c>
      <c r="E1866" t="str">
        <f t="shared" si="326"/>
        <v>7601081059</v>
      </c>
      <c r="F1866" s="1">
        <v>44949</v>
      </c>
      <c r="G1866" t="str">
        <f>"91329"</f>
        <v>91329</v>
      </c>
      <c r="H1866">
        <v>2</v>
      </c>
      <c r="I1866">
        <v>436</v>
      </c>
      <c r="J1866">
        <v>0</v>
      </c>
      <c r="K1866" t="str">
        <f t="shared" si="332"/>
        <v>813</v>
      </c>
      <c r="L1866">
        <v>366.24</v>
      </c>
    </row>
    <row r="1867" spans="1:12" x14ac:dyDescent="0.25">
      <c r="A1867" t="str">
        <f t="shared" si="335"/>
        <v>89301000</v>
      </c>
      <c r="B1867" t="str">
        <f t="shared" si="334"/>
        <v>06539000</v>
      </c>
      <c r="C1867" t="str">
        <f t="shared" si="330"/>
        <v>06539003</v>
      </c>
      <c r="D1867">
        <v>89301171</v>
      </c>
      <c r="E1867" t="str">
        <f t="shared" si="326"/>
        <v>7601081059</v>
      </c>
      <c r="F1867" s="1">
        <v>44948</v>
      </c>
      <c r="G1867" t="str">
        <f>"91129"</f>
        <v>91129</v>
      </c>
      <c r="H1867">
        <v>1</v>
      </c>
      <c r="I1867">
        <v>175</v>
      </c>
      <c r="J1867">
        <v>0</v>
      </c>
      <c r="K1867" t="str">
        <f t="shared" si="332"/>
        <v>813</v>
      </c>
      <c r="L1867">
        <v>147</v>
      </c>
    </row>
    <row r="1868" spans="1:12" x14ac:dyDescent="0.25">
      <c r="A1868" t="str">
        <f t="shared" si="335"/>
        <v>89301000</v>
      </c>
      <c r="B1868" t="str">
        <f t="shared" si="334"/>
        <v>06539000</v>
      </c>
      <c r="C1868" t="str">
        <f t="shared" si="330"/>
        <v>06539003</v>
      </c>
      <c r="D1868">
        <v>89301171</v>
      </c>
      <c r="E1868" t="str">
        <f t="shared" si="326"/>
        <v>7601081059</v>
      </c>
      <c r="F1868" s="1">
        <v>44948</v>
      </c>
      <c r="G1868" t="str">
        <f>"91131"</f>
        <v>91131</v>
      </c>
      <c r="H1868">
        <v>1</v>
      </c>
      <c r="I1868">
        <v>171</v>
      </c>
      <c r="J1868">
        <v>0</v>
      </c>
      <c r="K1868" t="str">
        <f t="shared" si="332"/>
        <v>813</v>
      </c>
      <c r="L1868">
        <v>143.63999999999999</v>
      </c>
    </row>
    <row r="1869" spans="1:12" x14ac:dyDescent="0.25">
      <c r="A1869" t="str">
        <f t="shared" si="335"/>
        <v>89301000</v>
      </c>
      <c r="B1869" t="str">
        <f t="shared" si="334"/>
        <v>06539000</v>
      </c>
      <c r="C1869" t="str">
        <f t="shared" si="330"/>
        <v>06539003</v>
      </c>
      <c r="D1869">
        <v>89301171</v>
      </c>
      <c r="E1869" t="str">
        <f t="shared" si="326"/>
        <v>7601081059</v>
      </c>
      <c r="F1869" s="1">
        <v>44948</v>
      </c>
      <c r="G1869" t="str">
        <f>"91133"</f>
        <v>91133</v>
      </c>
      <c r="H1869">
        <v>1</v>
      </c>
      <c r="I1869">
        <v>177</v>
      </c>
      <c r="J1869">
        <v>0</v>
      </c>
      <c r="K1869" t="str">
        <f t="shared" si="332"/>
        <v>813</v>
      </c>
      <c r="L1869">
        <v>148.68</v>
      </c>
    </row>
    <row r="1870" spans="1:12" x14ac:dyDescent="0.25">
      <c r="A1870" t="str">
        <f t="shared" si="335"/>
        <v>89301000</v>
      </c>
      <c r="B1870" t="str">
        <f t="shared" si="334"/>
        <v>06539000</v>
      </c>
      <c r="C1870" t="str">
        <f t="shared" si="330"/>
        <v>06539003</v>
      </c>
      <c r="D1870">
        <v>89301171</v>
      </c>
      <c r="E1870" t="str">
        <f t="shared" si="326"/>
        <v>7601081059</v>
      </c>
      <c r="F1870" s="1">
        <v>44948</v>
      </c>
      <c r="G1870" t="str">
        <f>"91171"</f>
        <v>91171</v>
      </c>
      <c r="H1870">
        <v>1</v>
      </c>
      <c r="I1870">
        <v>362</v>
      </c>
      <c r="J1870">
        <v>0</v>
      </c>
      <c r="K1870" t="str">
        <f t="shared" si="332"/>
        <v>813</v>
      </c>
      <c r="L1870">
        <v>304.08</v>
      </c>
    </row>
    <row r="1871" spans="1:12" x14ac:dyDescent="0.25">
      <c r="A1871" t="str">
        <f t="shared" si="335"/>
        <v>89301000</v>
      </c>
      <c r="B1871" t="str">
        <f t="shared" si="334"/>
        <v>06539000</v>
      </c>
      <c r="C1871" t="str">
        <f t="shared" si="330"/>
        <v>06539003</v>
      </c>
      <c r="D1871">
        <v>89301171</v>
      </c>
      <c r="E1871" t="str">
        <f t="shared" si="326"/>
        <v>7601081059</v>
      </c>
      <c r="F1871" s="1">
        <v>44946</v>
      </c>
      <c r="G1871" t="str">
        <f>"91173"</f>
        <v>91173</v>
      </c>
      <c r="H1871">
        <v>1</v>
      </c>
      <c r="I1871">
        <v>337</v>
      </c>
      <c r="J1871">
        <v>0</v>
      </c>
      <c r="K1871" t="str">
        <f t="shared" si="332"/>
        <v>813</v>
      </c>
      <c r="L1871">
        <v>283.08</v>
      </c>
    </row>
    <row r="1872" spans="1:12" x14ac:dyDescent="0.25">
      <c r="A1872" t="str">
        <f t="shared" si="335"/>
        <v>89301000</v>
      </c>
      <c r="B1872" t="str">
        <f t="shared" si="334"/>
        <v>06539000</v>
      </c>
      <c r="C1872" t="str">
        <f t="shared" si="330"/>
        <v>06539003</v>
      </c>
      <c r="D1872">
        <v>89301171</v>
      </c>
      <c r="E1872" t="str">
        <f t="shared" si="326"/>
        <v>7601081059</v>
      </c>
      <c r="F1872" s="1">
        <v>44948</v>
      </c>
      <c r="G1872" t="str">
        <f>"91175"</f>
        <v>91175</v>
      </c>
      <c r="H1872">
        <v>1</v>
      </c>
      <c r="I1872">
        <v>362</v>
      </c>
      <c r="J1872">
        <v>0</v>
      </c>
      <c r="K1872" t="str">
        <f t="shared" si="332"/>
        <v>813</v>
      </c>
      <c r="L1872">
        <v>304.08</v>
      </c>
    </row>
    <row r="1873" spans="1:12" x14ac:dyDescent="0.25">
      <c r="A1873" t="str">
        <f t="shared" si="335"/>
        <v>89301000</v>
      </c>
      <c r="B1873" t="str">
        <f t="shared" si="334"/>
        <v>06539000</v>
      </c>
      <c r="C1873" t="str">
        <f t="shared" si="330"/>
        <v>06539003</v>
      </c>
      <c r="D1873">
        <v>89301171</v>
      </c>
      <c r="E1873" t="str">
        <f t="shared" si="326"/>
        <v>7601081059</v>
      </c>
      <c r="F1873" s="1">
        <v>44947</v>
      </c>
      <c r="G1873" t="str">
        <f>"91167"</f>
        <v>91167</v>
      </c>
      <c r="H1873">
        <v>1</v>
      </c>
      <c r="I1873">
        <v>426</v>
      </c>
      <c r="J1873">
        <v>0</v>
      </c>
      <c r="K1873" t="str">
        <f t="shared" si="332"/>
        <v>813</v>
      </c>
      <c r="L1873">
        <v>357.84</v>
      </c>
    </row>
    <row r="1874" spans="1:12" x14ac:dyDescent="0.25">
      <c r="A1874" t="str">
        <f t="shared" si="335"/>
        <v>89301000</v>
      </c>
      <c r="B1874" t="str">
        <f t="shared" si="334"/>
        <v>06539000</v>
      </c>
      <c r="C1874" t="str">
        <f t="shared" si="330"/>
        <v>06539003</v>
      </c>
      <c r="D1874">
        <v>89301171</v>
      </c>
      <c r="E1874" t="str">
        <f t="shared" si="326"/>
        <v>7601081059</v>
      </c>
      <c r="F1874" s="1">
        <v>44947</v>
      </c>
      <c r="G1874" t="str">
        <f>"91169"</f>
        <v>91169</v>
      </c>
      <c r="H1874">
        <v>1</v>
      </c>
      <c r="I1874">
        <v>426</v>
      </c>
      <c r="J1874">
        <v>0</v>
      </c>
      <c r="K1874" t="str">
        <f t="shared" si="332"/>
        <v>813</v>
      </c>
      <c r="L1874">
        <v>357.84</v>
      </c>
    </row>
    <row r="1875" spans="1:12" x14ac:dyDescent="0.25">
      <c r="A1875" t="str">
        <f t="shared" si="335"/>
        <v>89301000</v>
      </c>
      <c r="B1875" t="str">
        <f t="shared" si="334"/>
        <v>06539000</v>
      </c>
      <c r="C1875" t="str">
        <f t="shared" si="330"/>
        <v>06539003</v>
      </c>
      <c r="D1875">
        <v>89301171</v>
      </c>
      <c r="E1875" t="str">
        <f t="shared" si="326"/>
        <v>7601081059</v>
      </c>
      <c r="F1875" s="1">
        <v>44946</v>
      </c>
      <c r="G1875" t="str">
        <f>"91167"</f>
        <v>91167</v>
      </c>
      <c r="H1875">
        <v>1</v>
      </c>
      <c r="I1875">
        <v>426</v>
      </c>
      <c r="J1875">
        <v>0</v>
      </c>
      <c r="K1875" t="str">
        <f t="shared" si="332"/>
        <v>813</v>
      </c>
      <c r="L1875">
        <v>357.84</v>
      </c>
    </row>
    <row r="1876" spans="1:12" x14ac:dyDescent="0.25">
      <c r="A1876" t="str">
        <f t="shared" si="335"/>
        <v>89301000</v>
      </c>
      <c r="B1876" t="str">
        <f t="shared" si="334"/>
        <v>06539000</v>
      </c>
      <c r="C1876" t="str">
        <f t="shared" si="330"/>
        <v>06539003</v>
      </c>
      <c r="D1876">
        <v>89301171</v>
      </c>
      <c r="E1876" t="str">
        <f t="shared" si="326"/>
        <v>7601081059</v>
      </c>
      <c r="F1876" s="1">
        <v>44946</v>
      </c>
      <c r="G1876" t="str">
        <f>"91169"</f>
        <v>91169</v>
      </c>
      <c r="H1876">
        <v>1</v>
      </c>
      <c r="I1876">
        <v>426</v>
      </c>
      <c r="J1876">
        <v>0</v>
      </c>
      <c r="K1876" t="str">
        <f t="shared" si="332"/>
        <v>813</v>
      </c>
      <c r="L1876">
        <v>357.84</v>
      </c>
    </row>
    <row r="1877" spans="1:12" x14ac:dyDescent="0.25">
      <c r="A1877" t="str">
        <f t="shared" si="335"/>
        <v>89301000</v>
      </c>
      <c r="B1877" t="str">
        <f t="shared" si="334"/>
        <v>06539000</v>
      </c>
      <c r="C1877" t="str">
        <f t="shared" si="330"/>
        <v>06539003</v>
      </c>
      <c r="D1877">
        <v>89301171</v>
      </c>
      <c r="E1877" t="str">
        <f t="shared" si="326"/>
        <v>7601081059</v>
      </c>
      <c r="F1877" s="1">
        <v>44951</v>
      </c>
      <c r="G1877" t="str">
        <f>"91475"</f>
        <v>91475</v>
      </c>
      <c r="H1877">
        <v>1</v>
      </c>
      <c r="I1877">
        <v>213</v>
      </c>
      <c r="J1877">
        <v>0</v>
      </c>
      <c r="K1877" t="str">
        <f t="shared" si="332"/>
        <v>813</v>
      </c>
      <c r="L1877">
        <v>178.92</v>
      </c>
    </row>
    <row r="1878" spans="1:12" x14ac:dyDescent="0.25">
      <c r="A1878" t="str">
        <f t="shared" si="335"/>
        <v>89301000</v>
      </c>
      <c r="B1878" t="str">
        <f t="shared" si="334"/>
        <v>06539000</v>
      </c>
      <c r="C1878" t="str">
        <f t="shared" ref="C1878:C1909" si="336">"06539003"</f>
        <v>06539003</v>
      </c>
      <c r="D1878">
        <v>89301141</v>
      </c>
      <c r="E1878" t="str">
        <f t="shared" ref="E1878:E1892" si="337">"500125180"</f>
        <v>500125180</v>
      </c>
      <c r="F1878" s="1">
        <v>44958</v>
      </c>
      <c r="G1878" t="str">
        <f t="shared" ref="G1878:G1887" si="338">"91413"</f>
        <v>91413</v>
      </c>
      <c r="H1878">
        <v>1</v>
      </c>
      <c r="I1878">
        <v>868</v>
      </c>
      <c r="J1878">
        <v>0</v>
      </c>
      <c r="K1878" t="str">
        <f t="shared" ref="K1878:K1909" si="339">"813"</f>
        <v>813</v>
      </c>
      <c r="L1878">
        <v>729.12</v>
      </c>
    </row>
    <row r="1879" spans="1:12" x14ac:dyDescent="0.25">
      <c r="A1879" t="str">
        <f t="shared" si="335"/>
        <v>89301000</v>
      </c>
      <c r="B1879" t="str">
        <f t="shared" si="334"/>
        <v>06539000</v>
      </c>
      <c r="C1879" t="str">
        <f t="shared" si="336"/>
        <v>06539003</v>
      </c>
      <c r="D1879">
        <v>89301141</v>
      </c>
      <c r="E1879" t="str">
        <f t="shared" si="337"/>
        <v>500125180</v>
      </c>
      <c r="F1879" s="1">
        <v>44958</v>
      </c>
      <c r="G1879" t="str">
        <f t="shared" si="338"/>
        <v>91413</v>
      </c>
      <c r="H1879">
        <v>1</v>
      </c>
      <c r="I1879">
        <v>868</v>
      </c>
      <c r="J1879">
        <v>0</v>
      </c>
      <c r="K1879" t="str">
        <f t="shared" si="339"/>
        <v>813</v>
      </c>
      <c r="L1879">
        <v>729.12</v>
      </c>
    </row>
    <row r="1880" spans="1:12" x14ac:dyDescent="0.25">
      <c r="A1880" t="str">
        <f t="shared" si="335"/>
        <v>89301000</v>
      </c>
      <c r="B1880" t="str">
        <f t="shared" si="334"/>
        <v>06539000</v>
      </c>
      <c r="C1880" t="str">
        <f t="shared" si="336"/>
        <v>06539003</v>
      </c>
      <c r="D1880">
        <v>89301141</v>
      </c>
      <c r="E1880" t="str">
        <f t="shared" si="337"/>
        <v>500125180</v>
      </c>
      <c r="F1880" s="1">
        <v>44967</v>
      </c>
      <c r="G1880" t="str">
        <f t="shared" si="338"/>
        <v>91413</v>
      </c>
      <c r="H1880">
        <v>1</v>
      </c>
      <c r="I1880">
        <v>868</v>
      </c>
      <c r="J1880">
        <v>0</v>
      </c>
      <c r="K1880" t="str">
        <f t="shared" si="339"/>
        <v>813</v>
      </c>
      <c r="L1880">
        <v>729.12</v>
      </c>
    </row>
    <row r="1881" spans="1:12" x14ac:dyDescent="0.25">
      <c r="A1881" t="str">
        <f t="shared" si="335"/>
        <v>89301000</v>
      </c>
      <c r="B1881" t="str">
        <f t="shared" si="334"/>
        <v>06539000</v>
      </c>
      <c r="C1881" t="str">
        <f t="shared" si="336"/>
        <v>06539003</v>
      </c>
      <c r="D1881">
        <v>89301141</v>
      </c>
      <c r="E1881" t="str">
        <f t="shared" si="337"/>
        <v>500125180</v>
      </c>
      <c r="F1881" s="1">
        <v>44967</v>
      </c>
      <c r="G1881" t="str">
        <f t="shared" si="338"/>
        <v>91413</v>
      </c>
      <c r="H1881">
        <v>1</v>
      </c>
      <c r="I1881">
        <v>868</v>
      </c>
      <c r="J1881">
        <v>0</v>
      </c>
      <c r="K1881" t="str">
        <f t="shared" si="339"/>
        <v>813</v>
      </c>
      <c r="L1881">
        <v>729.12</v>
      </c>
    </row>
    <row r="1882" spans="1:12" x14ac:dyDescent="0.25">
      <c r="A1882" t="str">
        <f t="shared" si="335"/>
        <v>89301000</v>
      </c>
      <c r="B1882" t="str">
        <f t="shared" si="334"/>
        <v>06539000</v>
      </c>
      <c r="C1882" t="str">
        <f t="shared" si="336"/>
        <v>06539003</v>
      </c>
      <c r="D1882">
        <v>89301141</v>
      </c>
      <c r="E1882" t="str">
        <f t="shared" si="337"/>
        <v>500125180</v>
      </c>
      <c r="F1882" s="1">
        <v>44966</v>
      </c>
      <c r="G1882" t="str">
        <f t="shared" si="338"/>
        <v>91413</v>
      </c>
      <c r="H1882">
        <v>1</v>
      </c>
      <c r="I1882">
        <v>868</v>
      </c>
      <c r="J1882">
        <v>0</v>
      </c>
      <c r="K1882" t="str">
        <f t="shared" si="339"/>
        <v>813</v>
      </c>
      <c r="L1882">
        <v>729.12</v>
      </c>
    </row>
    <row r="1883" spans="1:12" x14ac:dyDescent="0.25">
      <c r="A1883" t="str">
        <f t="shared" si="335"/>
        <v>89301000</v>
      </c>
      <c r="B1883" t="str">
        <f t="shared" si="334"/>
        <v>06539000</v>
      </c>
      <c r="C1883" t="str">
        <f t="shared" si="336"/>
        <v>06539003</v>
      </c>
      <c r="D1883">
        <v>89301141</v>
      </c>
      <c r="E1883" t="str">
        <f t="shared" si="337"/>
        <v>500125180</v>
      </c>
      <c r="F1883" s="1">
        <v>44966</v>
      </c>
      <c r="G1883" t="str">
        <f t="shared" si="338"/>
        <v>91413</v>
      </c>
      <c r="H1883">
        <v>1</v>
      </c>
      <c r="I1883">
        <v>868</v>
      </c>
      <c r="J1883">
        <v>0</v>
      </c>
      <c r="K1883" t="str">
        <f t="shared" si="339"/>
        <v>813</v>
      </c>
      <c r="L1883">
        <v>729.12</v>
      </c>
    </row>
    <row r="1884" spans="1:12" x14ac:dyDescent="0.25">
      <c r="A1884" t="str">
        <f t="shared" si="335"/>
        <v>89301000</v>
      </c>
      <c r="B1884" t="str">
        <f t="shared" si="334"/>
        <v>06539000</v>
      </c>
      <c r="C1884" t="str">
        <f t="shared" si="336"/>
        <v>06539003</v>
      </c>
      <c r="D1884">
        <v>89301141</v>
      </c>
      <c r="E1884" t="str">
        <f t="shared" si="337"/>
        <v>500125180</v>
      </c>
      <c r="F1884" s="1">
        <v>44981</v>
      </c>
      <c r="G1884" t="str">
        <f t="shared" si="338"/>
        <v>91413</v>
      </c>
      <c r="H1884">
        <v>1</v>
      </c>
      <c r="I1884">
        <v>868</v>
      </c>
      <c r="J1884">
        <v>0</v>
      </c>
      <c r="K1884" t="str">
        <f t="shared" si="339"/>
        <v>813</v>
      </c>
      <c r="L1884">
        <v>729.12</v>
      </c>
    </row>
    <row r="1885" spans="1:12" x14ac:dyDescent="0.25">
      <c r="A1885" t="str">
        <f t="shared" si="335"/>
        <v>89301000</v>
      </c>
      <c r="B1885" t="str">
        <f t="shared" si="334"/>
        <v>06539000</v>
      </c>
      <c r="C1885" t="str">
        <f t="shared" si="336"/>
        <v>06539003</v>
      </c>
      <c r="D1885">
        <v>89301141</v>
      </c>
      <c r="E1885" t="str">
        <f t="shared" si="337"/>
        <v>500125180</v>
      </c>
      <c r="F1885" s="1">
        <v>44981</v>
      </c>
      <c r="G1885" t="str">
        <f t="shared" si="338"/>
        <v>91413</v>
      </c>
      <c r="H1885">
        <v>1</v>
      </c>
      <c r="I1885">
        <v>868</v>
      </c>
      <c r="J1885">
        <v>0</v>
      </c>
      <c r="K1885" t="str">
        <f t="shared" si="339"/>
        <v>813</v>
      </c>
      <c r="L1885">
        <v>729.12</v>
      </c>
    </row>
    <row r="1886" spans="1:12" x14ac:dyDescent="0.25">
      <c r="A1886" t="str">
        <f t="shared" si="335"/>
        <v>89301000</v>
      </c>
      <c r="B1886" t="str">
        <f t="shared" si="334"/>
        <v>06539000</v>
      </c>
      <c r="C1886" t="str">
        <f t="shared" si="336"/>
        <v>06539003</v>
      </c>
      <c r="D1886">
        <v>89301141</v>
      </c>
      <c r="E1886" t="str">
        <f t="shared" si="337"/>
        <v>500125180</v>
      </c>
      <c r="F1886" s="1">
        <v>44981</v>
      </c>
      <c r="G1886" t="str">
        <f t="shared" si="338"/>
        <v>91413</v>
      </c>
      <c r="H1886">
        <v>1</v>
      </c>
      <c r="I1886">
        <v>868</v>
      </c>
      <c r="J1886">
        <v>0</v>
      </c>
      <c r="K1886" t="str">
        <f t="shared" si="339"/>
        <v>813</v>
      </c>
      <c r="L1886">
        <v>729.12</v>
      </c>
    </row>
    <row r="1887" spans="1:12" x14ac:dyDescent="0.25">
      <c r="A1887" t="str">
        <f t="shared" si="335"/>
        <v>89301000</v>
      </c>
      <c r="B1887" t="str">
        <f t="shared" si="334"/>
        <v>06539000</v>
      </c>
      <c r="C1887" t="str">
        <f t="shared" si="336"/>
        <v>06539003</v>
      </c>
      <c r="D1887">
        <v>89301141</v>
      </c>
      <c r="E1887" t="str">
        <f t="shared" si="337"/>
        <v>500125180</v>
      </c>
      <c r="F1887" s="1">
        <v>44981</v>
      </c>
      <c r="G1887" t="str">
        <f t="shared" si="338"/>
        <v>91413</v>
      </c>
      <c r="H1887">
        <v>1</v>
      </c>
      <c r="I1887">
        <v>868</v>
      </c>
      <c r="J1887">
        <v>0</v>
      </c>
      <c r="K1887" t="str">
        <f t="shared" si="339"/>
        <v>813</v>
      </c>
      <c r="L1887">
        <v>729.12</v>
      </c>
    </row>
    <row r="1888" spans="1:12" x14ac:dyDescent="0.25">
      <c r="A1888" t="str">
        <f t="shared" si="335"/>
        <v>89301000</v>
      </c>
      <c r="B1888" t="str">
        <f t="shared" si="334"/>
        <v>06539000</v>
      </c>
      <c r="C1888" t="str">
        <f t="shared" si="336"/>
        <v>06539003</v>
      </c>
      <c r="D1888">
        <v>89301141</v>
      </c>
      <c r="E1888" t="str">
        <f t="shared" si="337"/>
        <v>500125180</v>
      </c>
      <c r="F1888" s="1">
        <v>44981</v>
      </c>
      <c r="G1888" t="str">
        <f>"91329"</f>
        <v>91329</v>
      </c>
      <c r="H1888">
        <v>2</v>
      </c>
      <c r="I1888">
        <v>436</v>
      </c>
      <c r="J1888">
        <v>0</v>
      </c>
      <c r="K1888" t="str">
        <f t="shared" si="339"/>
        <v>813</v>
      </c>
      <c r="L1888">
        <v>366.24</v>
      </c>
    </row>
    <row r="1889" spans="1:12" x14ac:dyDescent="0.25">
      <c r="A1889" t="str">
        <f t="shared" si="335"/>
        <v>89301000</v>
      </c>
      <c r="B1889" t="str">
        <f t="shared" si="334"/>
        <v>06539000</v>
      </c>
      <c r="C1889" t="str">
        <f t="shared" si="336"/>
        <v>06539003</v>
      </c>
      <c r="D1889">
        <v>89301141</v>
      </c>
      <c r="E1889" t="str">
        <f t="shared" si="337"/>
        <v>500125180</v>
      </c>
      <c r="F1889" s="1">
        <v>44981</v>
      </c>
      <c r="G1889" t="str">
        <f>"91329"</f>
        <v>91329</v>
      </c>
      <c r="H1889">
        <v>2</v>
      </c>
      <c r="I1889">
        <v>436</v>
      </c>
      <c r="J1889">
        <v>0</v>
      </c>
      <c r="K1889" t="str">
        <f t="shared" si="339"/>
        <v>813</v>
      </c>
      <c r="L1889">
        <v>366.24</v>
      </c>
    </row>
    <row r="1890" spans="1:12" x14ac:dyDescent="0.25">
      <c r="A1890" t="str">
        <f t="shared" si="335"/>
        <v>89301000</v>
      </c>
      <c r="B1890" t="str">
        <f t="shared" si="334"/>
        <v>06539000</v>
      </c>
      <c r="C1890" t="str">
        <f t="shared" si="336"/>
        <v>06539003</v>
      </c>
      <c r="D1890">
        <v>89301141</v>
      </c>
      <c r="E1890" t="str">
        <f t="shared" si="337"/>
        <v>500125180</v>
      </c>
      <c r="F1890" s="1">
        <v>44981</v>
      </c>
      <c r="G1890" t="str">
        <f>"91329"</f>
        <v>91329</v>
      </c>
      <c r="H1890">
        <v>2</v>
      </c>
      <c r="I1890">
        <v>436</v>
      </c>
      <c r="J1890">
        <v>0</v>
      </c>
      <c r="K1890" t="str">
        <f t="shared" si="339"/>
        <v>813</v>
      </c>
      <c r="L1890">
        <v>366.24</v>
      </c>
    </row>
    <row r="1891" spans="1:12" x14ac:dyDescent="0.25">
      <c r="A1891" t="str">
        <f t="shared" si="335"/>
        <v>89301000</v>
      </c>
      <c r="B1891" t="str">
        <f t="shared" si="334"/>
        <v>06539000</v>
      </c>
      <c r="C1891" t="str">
        <f t="shared" si="336"/>
        <v>06539003</v>
      </c>
      <c r="D1891">
        <v>89301141</v>
      </c>
      <c r="E1891" t="str">
        <f t="shared" si="337"/>
        <v>500125180</v>
      </c>
      <c r="F1891" s="1">
        <v>44981</v>
      </c>
      <c r="G1891" t="str">
        <f>"91329"</f>
        <v>91329</v>
      </c>
      <c r="H1891">
        <v>2</v>
      </c>
      <c r="I1891">
        <v>436</v>
      </c>
      <c r="J1891">
        <v>0</v>
      </c>
      <c r="K1891" t="str">
        <f t="shared" si="339"/>
        <v>813</v>
      </c>
      <c r="L1891">
        <v>366.24</v>
      </c>
    </row>
    <row r="1892" spans="1:12" x14ac:dyDescent="0.25">
      <c r="A1892" t="str">
        <f t="shared" si="335"/>
        <v>89301000</v>
      </c>
      <c r="B1892" t="str">
        <f t="shared" si="334"/>
        <v>06539000</v>
      </c>
      <c r="C1892" t="str">
        <f t="shared" si="336"/>
        <v>06539003</v>
      </c>
      <c r="D1892">
        <v>89301141</v>
      </c>
      <c r="E1892" t="str">
        <f t="shared" si="337"/>
        <v>500125180</v>
      </c>
      <c r="F1892" s="1">
        <v>44958</v>
      </c>
      <c r="G1892" t="str">
        <f>"91475"</f>
        <v>91475</v>
      </c>
      <c r="H1892">
        <v>1</v>
      </c>
      <c r="I1892">
        <v>213</v>
      </c>
      <c r="J1892">
        <v>0</v>
      </c>
      <c r="K1892" t="str">
        <f t="shared" si="339"/>
        <v>813</v>
      </c>
      <c r="L1892">
        <v>178.92</v>
      </c>
    </row>
    <row r="1893" spans="1:12" x14ac:dyDescent="0.25">
      <c r="A1893" t="str">
        <f t="shared" si="335"/>
        <v>89301000</v>
      </c>
      <c r="B1893" t="str">
        <f t="shared" si="334"/>
        <v>06539000</v>
      </c>
      <c r="C1893" t="str">
        <f t="shared" si="336"/>
        <v>06539003</v>
      </c>
      <c r="D1893">
        <v>89301171</v>
      </c>
      <c r="E1893" t="str">
        <f t="shared" ref="E1893:E1907" si="340">"9306305294"</f>
        <v>9306305294</v>
      </c>
      <c r="F1893" s="1">
        <v>44958</v>
      </c>
      <c r="G1893" t="str">
        <f t="shared" ref="G1893:G1902" si="341">"91413"</f>
        <v>91413</v>
      </c>
      <c r="H1893">
        <v>1</v>
      </c>
      <c r="I1893">
        <v>868</v>
      </c>
      <c r="J1893">
        <v>0</v>
      </c>
      <c r="K1893" t="str">
        <f t="shared" si="339"/>
        <v>813</v>
      </c>
      <c r="L1893">
        <v>729.12</v>
      </c>
    </row>
    <row r="1894" spans="1:12" x14ac:dyDescent="0.25">
      <c r="A1894" t="str">
        <f t="shared" si="335"/>
        <v>89301000</v>
      </c>
      <c r="B1894" t="str">
        <f t="shared" si="334"/>
        <v>06539000</v>
      </c>
      <c r="C1894" t="str">
        <f t="shared" si="336"/>
        <v>06539003</v>
      </c>
      <c r="D1894">
        <v>89301171</v>
      </c>
      <c r="E1894" t="str">
        <f t="shared" si="340"/>
        <v>9306305294</v>
      </c>
      <c r="F1894" s="1">
        <v>44958</v>
      </c>
      <c r="G1894" t="str">
        <f t="shared" si="341"/>
        <v>91413</v>
      </c>
      <c r="H1894">
        <v>1</v>
      </c>
      <c r="I1894">
        <v>868</v>
      </c>
      <c r="J1894">
        <v>0</v>
      </c>
      <c r="K1894" t="str">
        <f t="shared" si="339"/>
        <v>813</v>
      </c>
      <c r="L1894">
        <v>729.12</v>
      </c>
    </row>
    <row r="1895" spans="1:12" x14ac:dyDescent="0.25">
      <c r="A1895" t="str">
        <f t="shared" si="335"/>
        <v>89301000</v>
      </c>
      <c r="B1895" t="str">
        <f t="shared" si="334"/>
        <v>06539000</v>
      </c>
      <c r="C1895" t="str">
        <f t="shared" si="336"/>
        <v>06539003</v>
      </c>
      <c r="D1895">
        <v>89301171</v>
      </c>
      <c r="E1895" t="str">
        <f t="shared" si="340"/>
        <v>9306305294</v>
      </c>
      <c r="F1895" s="1">
        <v>44967</v>
      </c>
      <c r="G1895" t="str">
        <f t="shared" si="341"/>
        <v>91413</v>
      </c>
      <c r="H1895">
        <v>1</v>
      </c>
      <c r="I1895">
        <v>868</v>
      </c>
      <c r="J1895">
        <v>0</v>
      </c>
      <c r="K1895" t="str">
        <f t="shared" si="339"/>
        <v>813</v>
      </c>
      <c r="L1895">
        <v>729.12</v>
      </c>
    </row>
    <row r="1896" spans="1:12" x14ac:dyDescent="0.25">
      <c r="A1896" t="str">
        <f t="shared" si="335"/>
        <v>89301000</v>
      </c>
      <c r="B1896" t="str">
        <f t="shared" si="334"/>
        <v>06539000</v>
      </c>
      <c r="C1896" t="str">
        <f t="shared" si="336"/>
        <v>06539003</v>
      </c>
      <c r="D1896">
        <v>89301171</v>
      </c>
      <c r="E1896" t="str">
        <f t="shared" si="340"/>
        <v>9306305294</v>
      </c>
      <c r="F1896" s="1">
        <v>44967</v>
      </c>
      <c r="G1896" t="str">
        <f t="shared" si="341"/>
        <v>91413</v>
      </c>
      <c r="H1896">
        <v>1</v>
      </c>
      <c r="I1896">
        <v>868</v>
      </c>
      <c r="J1896">
        <v>0</v>
      </c>
      <c r="K1896" t="str">
        <f t="shared" si="339"/>
        <v>813</v>
      </c>
      <c r="L1896">
        <v>729.12</v>
      </c>
    </row>
    <row r="1897" spans="1:12" x14ac:dyDescent="0.25">
      <c r="A1897" t="str">
        <f t="shared" si="335"/>
        <v>89301000</v>
      </c>
      <c r="B1897" t="str">
        <f t="shared" si="334"/>
        <v>06539000</v>
      </c>
      <c r="C1897" t="str">
        <f t="shared" si="336"/>
        <v>06539003</v>
      </c>
      <c r="D1897">
        <v>89301171</v>
      </c>
      <c r="E1897" t="str">
        <f t="shared" si="340"/>
        <v>9306305294</v>
      </c>
      <c r="F1897" s="1">
        <v>44966</v>
      </c>
      <c r="G1897" t="str">
        <f t="shared" si="341"/>
        <v>91413</v>
      </c>
      <c r="H1897">
        <v>1</v>
      </c>
      <c r="I1897">
        <v>868</v>
      </c>
      <c r="J1897">
        <v>0</v>
      </c>
      <c r="K1897" t="str">
        <f t="shared" si="339"/>
        <v>813</v>
      </c>
      <c r="L1897">
        <v>729.12</v>
      </c>
    </row>
    <row r="1898" spans="1:12" x14ac:dyDescent="0.25">
      <c r="A1898" t="str">
        <f t="shared" si="335"/>
        <v>89301000</v>
      </c>
      <c r="B1898" t="str">
        <f t="shared" si="334"/>
        <v>06539000</v>
      </c>
      <c r="C1898" t="str">
        <f t="shared" si="336"/>
        <v>06539003</v>
      </c>
      <c r="D1898">
        <v>89301171</v>
      </c>
      <c r="E1898" t="str">
        <f t="shared" si="340"/>
        <v>9306305294</v>
      </c>
      <c r="F1898" s="1">
        <v>44966</v>
      </c>
      <c r="G1898" t="str">
        <f t="shared" si="341"/>
        <v>91413</v>
      </c>
      <c r="H1898">
        <v>1</v>
      </c>
      <c r="I1898">
        <v>868</v>
      </c>
      <c r="J1898">
        <v>0</v>
      </c>
      <c r="K1898" t="str">
        <f t="shared" si="339"/>
        <v>813</v>
      </c>
      <c r="L1898">
        <v>729.12</v>
      </c>
    </row>
    <row r="1899" spans="1:12" x14ac:dyDescent="0.25">
      <c r="A1899" t="str">
        <f t="shared" si="335"/>
        <v>89301000</v>
      </c>
      <c r="B1899" t="str">
        <f t="shared" si="334"/>
        <v>06539000</v>
      </c>
      <c r="C1899" t="str">
        <f t="shared" si="336"/>
        <v>06539003</v>
      </c>
      <c r="D1899">
        <v>89301171</v>
      </c>
      <c r="E1899" t="str">
        <f t="shared" si="340"/>
        <v>9306305294</v>
      </c>
      <c r="F1899" s="1">
        <v>44981</v>
      </c>
      <c r="G1899" t="str">
        <f t="shared" si="341"/>
        <v>91413</v>
      </c>
      <c r="H1899">
        <v>1</v>
      </c>
      <c r="I1899">
        <v>868</v>
      </c>
      <c r="J1899">
        <v>0</v>
      </c>
      <c r="K1899" t="str">
        <f t="shared" si="339"/>
        <v>813</v>
      </c>
      <c r="L1899">
        <v>729.12</v>
      </c>
    </row>
    <row r="1900" spans="1:12" x14ac:dyDescent="0.25">
      <c r="A1900" t="str">
        <f t="shared" si="335"/>
        <v>89301000</v>
      </c>
      <c r="B1900" t="str">
        <f t="shared" si="334"/>
        <v>06539000</v>
      </c>
      <c r="C1900" t="str">
        <f t="shared" si="336"/>
        <v>06539003</v>
      </c>
      <c r="D1900">
        <v>89301171</v>
      </c>
      <c r="E1900" t="str">
        <f t="shared" si="340"/>
        <v>9306305294</v>
      </c>
      <c r="F1900" s="1">
        <v>44981</v>
      </c>
      <c r="G1900" t="str">
        <f t="shared" si="341"/>
        <v>91413</v>
      </c>
      <c r="H1900">
        <v>1</v>
      </c>
      <c r="I1900">
        <v>868</v>
      </c>
      <c r="J1900">
        <v>0</v>
      </c>
      <c r="K1900" t="str">
        <f t="shared" si="339"/>
        <v>813</v>
      </c>
      <c r="L1900">
        <v>729.12</v>
      </c>
    </row>
    <row r="1901" spans="1:12" x14ac:dyDescent="0.25">
      <c r="A1901" t="str">
        <f t="shared" si="335"/>
        <v>89301000</v>
      </c>
      <c r="B1901" t="str">
        <f t="shared" si="334"/>
        <v>06539000</v>
      </c>
      <c r="C1901" t="str">
        <f t="shared" si="336"/>
        <v>06539003</v>
      </c>
      <c r="D1901">
        <v>89301171</v>
      </c>
      <c r="E1901" t="str">
        <f t="shared" si="340"/>
        <v>9306305294</v>
      </c>
      <c r="F1901" s="1">
        <v>44981</v>
      </c>
      <c r="G1901" t="str">
        <f t="shared" si="341"/>
        <v>91413</v>
      </c>
      <c r="H1901">
        <v>1</v>
      </c>
      <c r="I1901">
        <v>868</v>
      </c>
      <c r="J1901">
        <v>0</v>
      </c>
      <c r="K1901" t="str">
        <f t="shared" si="339"/>
        <v>813</v>
      </c>
      <c r="L1901">
        <v>729.12</v>
      </c>
    </row>
    <row r="1902" spans="1:12" x14ac:dyDescent="0.25">
      <c r="A1902" t="str">
        <f t="shared" si="335"/>
        <v>89301000</v>
      </c>
      <c r="B1902" t="str">
        <f t="shared" si="334"/>
        <v>06539000</v>
      </c>
      <c r="C1902" t="str">
        <f t="shared" si="336"/>
        <v>06539003</v>
      </c>
      <c r="D1902">
        <v>89301171</v>
      </c>
      <c r="E1902" t="str">
        <f t="shared" si="340"/>
        <v>9306305294</v>
      </c>
      <c r="F1902" s="1">
        <v>44981</v>
      </c>
      <c r="G1902" t="str">
        <f t="shared" si="341"/>
        <v>91413</v>
      </c>
      <c r="H1902">
        <v>1</v>
      </c>
      <c r="I1902">
        <v>868</v>
      </c>
      <c r="J1902">
        <v>0</v>
      </c>
      <c r="K1902" t="str">
        <f t="shared" si="339"/>
        <v>813</v>
      </c>
      <c r="L1902">
        <v>729.12</v>
      </c>
    </row>
    <row r="1903" spans="1:12" x14ac:dyDescent="0.25">
      <c r="A1903" t="str">
        <f t="shared" si="335"/>
        <v>89301000</v>
      </c>
      <c r="B1903" t="str">
        <f t="shared" si="334"/>
        <v>06539000</v>
      </c>
      <c r="C1903" t="str">
        <f t="shared" si="336"/>
        <v>06539003</v>
      </c>
      <c r="D1903">
        <v>89301171</v>
      </c>
      <c r="E1903" t="str">
        <f t="shared" si="340"/>
        <v>9306305294</v>
      </c>
      <c r="F1903" s="1">
        <v>44957</v>
      </c>
      <c r="G1903" t="str">
        <f>"91329"</f>
        <v>91329</v>
      </c>
      <c r="H1903">
        <v>2</v>
      </c>
      <c r="I1903">
        <v>436</v>
      </c>
      <c r="J1903">
        <v>0</v>
      </c>
      <c r="K1903" t="str">
        <f t="shared" si="339"/>
        <v>813</v>
      </c>
      <c r="L1903">
        <v>366.24</v>
      </c>
    </row>
    <row r="1904" spans="1:12" x14ac:dyDescent="0.25">
      <c r="A1904" t="str">
        <f t="shared" si="335"/>
        <v>89301000</v>
      </c>
      <c r="B1904" t="str">
        <f t="shared" si="334"/>
        <v>06539000</v>
      </c>
      <c r="C1904" t="str">
        <f t="shared" si="336"/>
        <v>06539003</v>
      </c>
      <c r="D1904">
        <v>89301171</v>
      </c>
      <c r="E1904" t="str">
        <f t="shared" si="340"/>
        <v>9306305294</v>
      </c>
      <c r="F1904" s="1">
        <v>44957</v>
      </c>
      <c r="G1904" t="str">
        <f>"91329"</f>
        <v>91329</v>
      </c>
      <c r="H1904">
        <v>2</v>
      </c>
      <c r="I1904">
        <v>436</v>
      </c>
      <c r="J1904">
        <v>0</v>
      </c>
      <c r="K1904" t="str">
        <f t="shared" si="339"/>
        <v>813</v>
      </c>
      <c r="L1904">
        <v>366.24</v>
      </c>
    </row>
    <row r="1905" spans="1:12" x14ac:dyDescent="0.25">
      <c r="A1905" t="str">
        <f t="shared" si="335"/>
        <v>89301000</v>
      </c>
      <c r="B1905" t="str">
        <f t="shared" si="334"/>
        <v>06539000</v>
      </c>
      <c r="C1905" t="str">
        <f t="shared" si="336"/>
        <v>06539003</v>
      </c>
      <c r="D1905">
        <v>89301171</v>
      </c>
      <c r="E1905" t="str">
        <f t="shared" si="340"/>
        <v>9306305294</v>
      </c>
      <c r="F1905" s="1">
        <v>44957</v>
      </c>
      <c r="G1905" t="str">
        <f>"91329"</f>
        <v>91329</v>
      </c>
      <c r="H1905">
        <v>2</v>
      </c>
      <c r="I1905">
        <v>436</v>
      </c>
      <c r="J1905">
        <v>0</v>
      </c>
      <c r="K1905" t="str">
        <f t="shared" si="339"/>
        <v>813</v>
      </c>
      <c r="L1905">
        <v>366.24</v>
      </c>
    </row>
    <row r="1906" spans="1:12" x14ac:dyDescent="0.25">
      <c r="A1906" t="str">
        <f t="shared" si="335"/>
        <v>89301000</v>
      </c>
      <c r="B1906" t="str">
        <f t="shared" si="334"/>
        <v>06539000</v>
      </c>
      <c r="C1906" t="str">
        <f t="shared" si="336"/>
        <v>06539003</v>
      </c>
      <c r="D1906">
        <v>89301171</v>
      </c>
      <c r="E1906" t="str">
        <f t="shared" si="340"/>
        <v>9306305294</v>
      </c>
      <c r="F1906" s="1">
        <v>44957</v>
      </c>
      <c r="G1906" t="str">
        <f>"91329"</f>
        <v>91329</v>
      </c>
      <c r="H1906">
        <v>2</v>
      </c>
      <c r="I1906">
        <v>436</v>
      </c>
      <c r="J1906">
        <v>0</v>
      </c>
      <c r="K1906" t="str">
        <f t="shared" si="339"/>
        <v>813</v>
      </c>
      <c r="L1906">
        <v>366.24</v>
      </c>
    </row>
    <row r="1907" spans="1:12" x14ac:dyDescent="0.25">
      <c r="A1907" t="str">
        <f t="shared" si="335"/>
        <v>89301000</v>
      </c>
      <c r="B1907" t="str">
        <f t="shared" si="334"/>
        <v>06539000</v>
      </c>
      <c r="C1907" t="str">
        <f t="shared" si="336"/>
        <v>06539003</v>
      </c>
      <c r="D1907">
        <v>89301171</v>
      </c>
      <c r="E1907" t="str">
        <f t="shared" si="340"/>
        <v>9306305294</v>
      </c>
      <c r="F1907" s="1">
        <v>44981</v>
      </c>
      <c r="G1907" t="str">
        <f>"91475"</f>
        <v>91475</v>
      </c>
      <c r="H1907">
        <v>1</v>
      </c>
      <c r="I1907">
        <v>213</v>
      </c>
      <c r="J1907">
        <v>0</v>
      </c>
      <c r="K1907" t="str">
        <f t="shared" si="339"/>
        <v>813</v>
      </c>
      <c r="L1907">
        <v>178.92</v>
      </c>
    </row>
    <row r="1908" spans="1:12" x14ac:dyDescent="0.25">
      <c r="A1908" t="str">
        <f t="shared" si="335"/>
        <v>89301000</v>
      </c>
      <c r="B1908" t="str">
        <f t="shared" si="334"/>
        <v>06539000</v>
      </c>
      <c r="C1908" t="str">
        <f t="shared" si="336"/>
        <v>06539003</v>
      </c>
      <c r="D1908">
        <v>89301171</v>
      </c>
      <c r="E1908" t="str">
        <f t="shared" ref="E1908:E1931" si="342">"0051216154"</f>
        <v>0051216154</v>
      </c>
      <c r="F1908" s="1">
        <v>44958</v>
      </c>
      <c r="G1908" t="str">
        <f t="shared" ref="G1908:G1917" si="343">"91413"</f>
        <v>91413</v>
      </c>
      <c r="H1908">
        <v>1</v>
      </c>
      <c r="I1908">
        <v>868</v>
      </c>
      <c r="J1908">
        <v>0</v>
      </c>
      <c r="K1908" t="str">
        <f t="shared" si="339"/>
        <v>813</v>
      </c>
      <c r="L1908">
        <v>729.12</v>
      </c>
    </row>
    <row r="1909" spans="1:12" x14ac:dyDescent="0.25">
      <c r="A1909" t="str">
        <f t="shared" si="335"/>
        <v>89301000</v>
      </c>
      <c r="B1909" t="str">
        <f t="shared" si="334"/>
        <v>06539000</v>
      </c>
      <c r="C1909" t="str">
        <f t="shared" si="336"/>
        <v>06539003</v>
      </c>
      <c r="D1909">
        <v>89301171</v>
      </c>
      <c r="E1909" t="str">
        <f t="shared" si="342"/>
        <v>0051216154</v>
      </c>
      <c r="F1909" s="1">
        <v>44958</v>
      </c>
      <c r="G1909" t="str">
        <f t="shared" si="343"/>
        <v>91413</v>
      </c>
      <c r="H1909">
        <v>1</v>
      </c>
      <c r="I1909">
        <v>868</v>
      </c>
      <c r="J1909">
        <v>0</v>
      </c>
      <c r="K1909" t="str">
        <f t="shared" si="339"/>
        <v>813</v>
      </c>
      <c r="L1909">
        <v>729.12</v>
      </c>
    </row>
    <row r="1910" spans="1:12" x14ac:dyDescent="0.25">
      <c r="A1910" t="str">
        <f t="shared" si="335"/>
        <v>89301000</v>
      </c>
      <c r="B1910" t="str">
        <f t="shared" si="334"/>
        <v>06539000</v>
      </c>
      <c r="C1910" t="str">
        <f t="shared" ref="C1910:C1931" si="344">"06539003"</f>
        <v>06539003</v>
      </c>
      <c r="D1910">
        <v>89301171</v>
      </c>
      <c r="E1910" t="str">
        <f t="shared" si="342"/>
        <v>0051216154</v>
      </c>
      <c r="F1910" s="1">
        <v>44967</v>
      </c>
      <c r="G1910" t="str">
        <f t="shared" si="343"/>
        <v>91413</v>
      </c>
      <c r="H1910">
        <v>1</v>
      </c>
      <c r="I1910">
        <v>868</v>
      </c>
      <c r="J1910">
        <v>0</v>
      </c>
      <c r="K1910" t="str">
        <f t="shared" ref="K1910:K1931" si="345">"813"</f>
        <v>813</v>
      </c>
      <c r="L1910">
        <v>729.12</v>
      </c>
    </row>
    <row r="1911" spans="1:12" x14ac:dyDescent="0.25">
      <c r="A1911" t="str">
        <f t="shared" si="335"/>
        <v>89301000</v>
      </c>
      <c r="B1911" t="str">
        <f t="shared" si="334"/>
        <v>06539000</v>
      </c>
      <c r="C1911" t="str">
        <f t="shared" si="344"/>
        <v>06539003</v>
      </c>
      <c r="D1911">
        <v>89301171</v>
      </c>
      <c r="E1911" t="str">
        <f t="shared" si="342"/>
        <v>0051216154</v>
      </c>
      <c r="F1911" s="1">
        <v>44967</v>
      </c>
      <c r="G1911" t="str">
        <f t="shared" si="343"/>
        <v>91413</v>
      </c>
      <c r="H1911">
        <v>1</v>
      </c>
      <c r="I1911">
        <v>868</v>
      </c>
      <c r="J1911">
        <v>0</v>
      </c>
      <c r="K1911" t="str">
        <f t="shared" si="345"/>
        <v>813</v>
      </c>
      <c r="L1911">
        <v>729.12</v>
      </c>
    </row>
    <row r="1912" spans="1:12" x14ac:dyDescent="0.25">
      <c r="A1912" t="str">
        <f t="shared" si="335"/>
        <v>89301000</v>
      </c>
      <c r="B1912" t="str">
        <f t="shared" si="334"/>
        <v>06539000</v>
      </c>
      <c r="C1912" t="str">
        <f t="shared" si="344"/>
        <v>06539003</v>
      </c>
      <c r="D1912">
        <v>89301171</v>
      </c>
      <c r="E1912" t="str">
        <f t="shared" si="342"/>
        <v>0051216154</v>
      </c>
      <c r="F1912" s="1">
        <v>44966</v>
      </c>
      <c r="G1912" t="str">
        <f t="shared" si="343"/>
        <v>91413</v>
      </c>
      <c r="H1912">
        <v>1</v>
      </c>
      <c r="I1912">
        <v>868</v>
      </c>
      <c r="J1912">
        <v>0</v>
      </c>
      <c r="K1912" t="str">
        <f t="shared" si="345"/>
        <v>813</v>
      </c>
      <c r="L1912">
        <v>729.12</v>
      </c>
    </row>
    <row r="1913" spans="1:12" x14ac:dyDescent="0.25">
      <c r="A1913" t="str">
        <f t="shared" si="335"/>
        <v>89301000</v>
      </c>
      <c r="B1913" t="str">
        <f t="shared" si="334"/>
        <v>06539000</v>
      </c>
      <c r="C1913" t="str">
        <f t="shared" si="344"/>
        <v>06539003</v>
      </c>
      <c r="D1913">
        <v>89301171</v>
      </c>
      <c r="E1913" t="str">
        <f t="shared" si="342"/>
        <v>0051216154</v>
      </c>
      <c r="F1913" s="1">
        <v>44966</v>
      </c>
      <c r="G1913" t="str">
        <f t="shared" si="343"/>
        <v>91413</v>
      </c>
      <c r="H1913">
        <v>1</v>
      </c>
      <c r="I1913">
        <v>868</v>
      </c>
      <c r="J1913">
        <v>0</v>
      </c>
      <c r="K1913" t="str">
        <f t="shared" si="345"/>
        <v>813</v>
      </c>
      <c r="L1913">
        <v>729.12</v>
      </c>
    </row>
    <row r="1914" spans="1:12" x14ac:dyDescent="0.25">
      <c r="A1914" t="str">
        <f t="shared" si="335"/>
        <v>89301000</v>
      </c>
      <c r="B1914" t="str">
        <f t="shared" si="334"/>
        <v>06539000</v>
      </c>
      <c r="C1914" t="str">
        <f t="shared" si="344"/>
        <v>06539003</v>
      </c>
      <c r="D1914">
        <v>89301171</v>
      </c>
      <c r="E1914" t="str">
        <f t="shared" si="342"/>
        <v>0051216154</v>
      </c>
      <c r="F1914" s="1">
        <v>44981</v>
      </c>
      <c r="G1914" t="str">
        <f t="shared" si="343"/>
        <v>91413</v>
      </c>
      <c r="H1914">
        <v>1</v>
      </c>
      <c r="I1914">
        <v>868</v>
      </c>
      <c r="J1914">
        <v>0</v>
      </c>
      <c r="K1914" t="str">
        <f t="shared" si="345"/>
        <v>813</v>
      </c>
      <c r="L1914">
        <v>729.12</v>
      </c>
    </row>
    <row r="1915" spans="1:12" x14ac:dyDescent="0.25">
      <c r="A1915" t="str">
        <f t="shared" si="335"/>
        <v>89301000</v>
      </c>
      <c r="B1915" t="str">
        <f t="shared" si="334"/>
        <v>06539000</v>
      </c>
      <c r="C1915" t="str">
        <f t="shared" si="344"/>
        <v>06539003</v>
      </c>
      <c r="D1915">
        <v>89301171</v>
      </c>
      <c r="E1915" t="str">
        <f t="shared" si="342"/>
        <v>0051216154</v>
      </c>
      <c r="F1915" s="1">
        <v>44981</v>
      </c>
      <c r="G1915" t="str">
        <f t="shared" si="343"/>
        <v>91413</v>
      </c>
      <c r="H1915">
        <v>1</v>
      </c>
      <c r="I1915">
        <v>868</v>
      </c>
      <c r="J1915">
        <v>0</v>
      </c>
      <c r="K1915" t="str">
        <f t="shared" si="345"/>
        <v>813</v>
      </c>
      <c r="L1915">
        <v>729.12</v>
      </c>
    </row>
    <row r="1916" spans="1:12" x14ac:dyDescent="0.25">
      <c r="A1916" t="str">
        <f t="shared" si="335"/>
        <v>89301000</v>
      </c>
      <c r="B1916" t="str">
        <f t="shared" si="334"/>
        <v>06539000</v>
      </c>
      <c r="C1916" t="str">
        <f t="shared" si="344"/>
        <v>06539003</v>
      </c>
      <c r="D1916">
        <v>89301171</v>
      </c>
      <c r="E1916" t="str">
        <f t="shared" si="342"/>
        <v>0051216154</v>
      </c>
      <c r="F1916" s="1">
        <v>44981</v>
      </c>
      <c r="G1916" t="str">
        <f t="shared" si="343"/>
        <v>91413</v>
      </c>
      <c r="H1916">
        <v>1</v>
      </c>
      <c r="I1916">
        <v>868</v>
      </c>
      <c r="J1916">
        <v>0</v>
      </c>
      <c r="K1916" t="str">
        <f t="shared" si="345"/>
        <v>813</v>
      </c>
      <c r="L1916">
        <v>729.12</v>
      </c>
    </row>
    <row r="1917" spans="1:12" x14ac:dyDescent="0.25">
      <c r="A1917" t="str">
        <f t="shared" si="335"/>
        <v>89301000</v>
      </c>
      <c r="B1917" t="str">
        <f t="shared" si="334"/>
        <v>06539000</v>
      </c>
      <c r="C1917" t="str">
        <f t="shared" si="344"/>
        <v>06539003</v>
      </c>
      <c r="D1917">
        <v>89301171</v>
      </c>
      <c r="E1917" t="str">
        <f t="shared" si="342"/>
        <v>0051216154</v>
      </c>
      <c r="F1917" s="1">
        <v>44981</v>
      </c>
      <c r="G1917" t="str">
        <f t="shared" si="343"/>
        <v>91413</v>
      </c>
      <c r="H1917">
        <v>1</v>
      </c>
      <c r="I1917">
        <v>868</v>
      </c>
      <c r="J1917">
        <v>0</v>
      </c>
      <c r="K1917" t="str">
        <f t="shared" si="345"/>
        <v>813</v>
      </c>
      <c r="L1917">
        <v>729.12</v>
      </c>
    </row>
    <row r="1918" spans="1:12" x14ac:dyDescent="0.25">
      <c r="A1918" t="str">
        <f t="shared" si="335"/>
        <v>89301000</v>
      </c>
      <c r="B1918" t="str">
        <f t="shared" si="334"/>
        <v>06539000</v>
      </c>
      <c r="C1918" t="str">
        <f t="shared" si="344"/>
        <v>06539003</v>
      </c>
      <c r="D1918">
        <v>89301171</v>
      </c>
      <c r="E1918" t="str">
        <f t="shared" si="342"/>
        <v>0051216154</v>
      </c>
      <c r="F1918" s="1">
        <v>44956</v>
      </c>
      <c r="G1918" t="str">
        <f>"91197"</f>
        <v>91197</v>
      </c>
      <c r="H1918">
        <v>1</v>
      </c>
      <c r="I1918">
        <v>1048</v>
      </c>
      <c r="J1918">
        <v>0</v>
      </c>
      <c r="K1918" t="str">
        <f t="shared" si="345"/>
        <v>813</v>
      </c>
      <c r="L1918">
        <v>880.32</v>
      </c>
    </row>
    <row r="1919" spans="1:12" x14ac:dyDescent="0.25">
      <c r="A1919" t="str">
        <f t="shared" si="335"/>
        <v>89301000</v>
      </c>
      <c r="B1919" t="str">
        <f t="shared" si="334"/>
        <v>06539000</v>
      </c>
      <c r="C1919" t="str">
        <f t="shared" si="344"/>
        <v>06539003</v>
      </c>
      <c r="D1919">
        <v>89301171</v>
      </c>
      <c r="E1919" t="str">
        <f t="shared" si="342"/>
        <v>0051216154</v>
      </c>
      <c r="F1919" s="1">
        <v>44956</v>
      </c>
      <c r="G1919" t="str">
        <f>"91197"</f>
        <v>91197</v>
      </c>
      <c r="H1919">
        <v>1</v>
      </c>
      <c r="I1919">
        <v>1048</v>
      </c>
      <c r="J1919">
        <v>0</v>
      </c>
      <c r="K1919" t="str">
        <f t="shared" si="345"/>
        <v>813</v>
      </c>
      <c r="L1919">
        <v>880.32</v>
      </c>
    </row>
    <row r="1920" spans="1:12" x14ac:dyDescent="0.25">
      <c r="A1920" t="str">
        <f t="shared" si="335"/>
        <v>89301000</v>
      </c>
      <c r="B1920" t="str">
        <f t="shared" si="334"/>
        <v>06539000</v>
      </c>
      <c r="C1920" t="str">
        <f t="shared" si="344"/>
        <v>06539003</v>
      </c>
      <c r="D1920">
        <v>89301171</v>
      </c>
      <c r="E1920" t="str">
        <f t="shared" si="342"/>
        <v>0051216154</v>
      </c>
      <c r="F1920" s="1">
        <v>44955</v>
      </c>
      <c r="G1920" t="str">
        <f>"91197"</f>
        <v>91197</v>
      </c>
      <c r="H1920">
        <v>1</v>
      </c>
      <c r="I1920">
        <v>1048</v>
      </c>
      <c r="J1920">
        <v>0</v>
      </c>
      <c r="K1920" t="str">
        <f t="shared" si="345"/>
        <v>813</v>
      </c>
      <c r="L1920">
        <v>880.32</v>
      </c>
    </row>
    <row r="1921" spans="1:12" x14ac:dyDescent="0.25">
      <c r="A1921" t="str">
        <f t="shared" si="335"/>
        <v>89301000</v>
      </c>
      <c r="B1921" t="str">
        <f t="shared" ref="B1921:B1937" si="346">"06539000"</f>
        <v>06539000</v>
      </c>
      <c r="C1921" t="str">
        <f t="shared" si="344"/>
        <v>06539003</v>
      </c>
      <c r="D1921">
        <v>89301171</v>
      </c>
      <c r="E1921" t="str">
        <f t="shared" si="342"/>
        <v>0051216154</v>
      </c>
      <c r="F1921" s="1">
        <v>44955</v>
      </c>
      <c r="G1921" t="str">
        <f>"91197"</f>
        <v>91197</v>
      </c>
      <c r="H1921">
        <v>1</v>
      </c>
      <c r="I1921">
        <v>1048</v>
      </c>
      <c r="J1921">
        <v>0</v>
      </c>
      <c r="K1921" t="str">
        <f t="shared" si="345"/>
        <v>813</v>
      </c>
      <c r="L1921">
        <v>880.32</v>
      </c>
    </row>
    <row r="1922" spans="1:12" x14ac:dyDescent="0.25">
      <c r="A1922" t="str">
        <f t="shared" ref="A1922:A1985" si="347">"89301000"</f>
        <v>89301000</v>
      </c>
      <c r="B1922" t="str">
        <f t="shared" si="346"/>
        <v>06539000</v>
      </c>
      <c r="C1922" t="str">
        <f t="shared" si="344"/>
        <v>06539003</v>
      </c>
      <c r="D1922">
        <v>89301171</v>
      </c>
      <c r="E1922" t="str">
        <f t="shared" si="342"/>
        <v>0051216154</v>
      </c>
      <c r="F1922" s="1">
        <v>44957</v>
      </c>
      <c r="G1922" t="str">
        <f>"91329"</f>
        <v>91329</v>
      </c>
      <c r="H1922">
        <v>2</v>
      </c>
      <c r="I1922">
        <v>436</v>
      </c>
      <c r="J1922">
        <v>0</v>
      </c>
      <c r="K1922" t="str">
        <f t="shared" si="345"/>
        <v>813</v>
      </c>
      <c r="L1922">
        <v>366.24</v>
      </c>
    </row>
    <row r="1923" spans="1:12" x14ac:dyDescent="0.25">
      <c r="A1923" t="str">
        <f t="shared" si="347"/>
        <v>89301000</v>
      </c>
      <c r="B1923" t="str">
        <f t="shared" si="346"/>
        <v>06539000</v>
      </c>
      <c r="C1923" t="str">
        <f t="shared" si="344"/>
        <v>06539003</v>
      </c>
      <c r="D1923">
        <v>89301171</v>
      </c>
      <c r="E1923" t="str">
        <f t="shared" si="342"/>
        <v>0051216154</v>
      </c>
      <c r="F1923" s="1">
        <v>44957</v>
      </c>
      <c r="G1923" t="str">
        <f>"91329"</f>
        <v>91329</v>
      </c>
      <c r="H1923">
        <v>2</v>
      </c>
      <c r="I1923">
        <v>436</v>
      </c>
      <c r="J1923">
        <v>0</v>
      </c>
      <c r="K1923" t="str">
        <f t="shared" si="345"/>
        <v>813</v>
      </c>
      <c r="L1923">
        <v>366.24</v>
      </c>
    </row>
    <row r="1924" spans="1:12" x14ac:dyDescent="0.25">
      <c r="A1924" t="str">
        <f t="shared" si="347"/>
        <v>89301000</v>
      </c>
      <c r="B1924" t="str">
        <f t="shared" si="346"/>
        <v>06539000</v>
      </c>
      <c r="C1924" t="str">
        <f t="shared" si="344"/>
        <v>06539003</v>
      </c>
      <c r="D1924">
        <v>89301171</v>
      </c>
      <c r="E1924" t="str">
        <f t="shared" si="342"/>
        <v>0051216154</v>
      </c>
      <c r="F1924" s="1">
        <v>44957</v>
      </c>
      <c r="G1924" t="str">
        <f>"91329"</f>
        <v>91329</v>
      </c>
      <c r="H1924">
        <v>2</v>
      </c>
      <c r="I1924">
        <v>436</v>
      </c>
      <c r="J1924">
        <v>0</v>
      </c>
      <c r="K1924" t="str">
        <f t="shared" si="345"/>
        <v>813</v>
      </c>
      <c r="L1924">
        <v>366.24</v>
      </c>
    </row>
    <row r="1925" spans="1:12" x14ac:dyDescent="0.25">
      <c r="A1925" t="str">
        <f t="shared" si="347"/>
        <v>89301000</v>
      </c>
      <c r="B1925" t="str">
        <f t="shared" si="346"/>
        <v>06539000</v>
      </c>
      <c r="C1925" t="str">
        <f t="shared" si="344"/>
        <v>06539003</v>
      </c>
      <c r="D1925">
        <v>89301171</v>
      </c>
      <c r="E1925" t="str">
        <f t="shared" si="342"/>
        <v>0051216154</v>
      </c>
      <c r="F1925" s="1">
        <v>44957</v>
      </c>
      <c r="G1925" t="str">
        <f>"91329"</f>
        <v>91329</v>
      </c>
      <c r="H1925">
        <v>2</v>
      </c>
      <c r="I1925">
        <v>436</v>
      </c>
      <c r="J1925">
        <v>0</v>
      </c>
      <c r="K1925" t="str">
        <f t="shared" si="345"/>
        <v>813</v>
      </c>
      <c r="L1925">
        <v>366.24</v>
      </c>
    </row>
    <row r="1926" spans="1:12" x14ac:dyDescent="0.25">
      <c r="A1926" t="str">
        <f t="shared" si="347"/>
        <v>89301000</v>
      </c>
      <c r="B1926" t="str">
        <f t="shared" si="346"/>
        <v>06539000</v>
      </c>
      <c r="C1926" t="str">
        <f t="shared" si="344"/>
        <v>06539003</v>
      </c>
      <c r="D1926">
        <v>89301171</v>
      </c>
      <c r="E1926" t="str">
        <f t="shared" si="342"/>
        <v>0051216154</v>
      </c>
      <c r="F1926" s="1">
        <v>44956</v>
      </c>
      <c r="G1926" t="str">
        <f>"91129"</f>
        <v>91129</v>
      </c>
      <c r="H1926">
        <v>1</v>
      </c>
      <c r="I1926">
        <v>175</v>
      </c>
      <c r="J1926">
        <v>0</v>
      </c>
      <c r="K1926" t="str">
        <f t="shared" si="345"/>
        <v>813</v>
      </c>
      <c r="L1926">
        <v>147</v>
      </c>
    </row>
    <row r="1927" spans="1:12" x14ac:dyDescent="0.25">
      <c r="A1927" t="str">
        <f t="shared" si="347"/>
        <v>89301000</v>
      </c>
      <c r="B1927" t="str">
        <f t="shared" si="346"/>
        <v>06539000</v>
      </c>
      <c r="C1927" t="str">
        <f t="shared" si="344"/>
        <v>06539003</v>
      </c>
      <c r="D1927">
        <v>89301171</v>
      </c>
      <c r="E1927" t="str">
        <f t="shared" si="342"/>
        <v>0051216154</v>
      </c>
      <c r="F1927" s="1">
        <v>44956</v>
      </c>
      <c r="G1927" t="str">
        <f>"91131"</f>
        <v>91131</v>
      </c>
      <c r="H1927">
        <v>1</v>
      </c>
      <c r="I1927">
        <v>171</v>
      </c>
      <c r="J1927">
        <v>0</v>
      </c>
      <c r="K1927" t="str">
        <f t="shared" si="345"/>
        <v>813</v>
      </c>
      <c r="L1927">
        <v>143.63999999999999</v>
      </c>
    </row>
    <row r="1928" spans="1:12" x14ac:dyDescent="0.25">
      <c r="A1928" t="str">
        <f t="shared" si="347"/>
        <v>89301000</v>
      </c>
      <c r="B1928" t="str">
        <f t="shared" si="346"/>
        <v>06539000</v>
      </c>
      <c r="C1928" t="str">
        <f t="shared" si="344"/>
        <v>06539003</v>
      </c>
      <c r="D1928">
        <v>89301171</v>
      </c>
      <c r="E1928" t="str">
        <f t="shared" si="342"/>
        <v>0051216154</v>
      </c>
      <c r="F1928" s="1">
        <v>44956</v>
      </c>
      <c r="G1928" t="str">
        <f>"91133"</f>
        <v>91133</v>
      </c>
      <c r="H1928">
        <v>1</v>
      </c>
      <c r="I1928">
        <v>177</v>
      </c>
      <c r="J1928">
        <v>0</v>
      </c>
      <c r="K1928" t="str">
        <f t="shared" si="345"/>
        <v>813</v>
      </c>
      <c r="L1928">
        <v>148.68</v>
      </c>
    </row>
    <row r="1929" spans="1:12" x14ac:dyDescent="0.25">
      <c r="A1929" t="str">
        <f t="shared" si="347"/>
        <v>89301000</v>
      </c>
      <c r="B1929" t="str">
        <f t="shared" si="346"/>
        <v>06539000</v>
      </c>
      <c r="C1929" t="str">
        <f t="shared" si="344"/>
        <v>06539003</v>
      </c>
      <c r="D1929">
        <v>89301171</v>
      </c>
      <c r="E1929" t="str">
        <f t="shared" si="342"/>
        <v>0051216154</v>
      </c>
      <c r="F1929" s="1">
        <v>44956</v>
      </c>
      <c r="G1929" t="str">
        <f>"91171"</f>
        <v>91171</v>
      </c>
      <c r="H1929">
        <v>1</v>
      </c>
      <c r="I1929">
        <v>362</v>
      </c>
      <c r="J1929">
        <v>0</v>
      </c>
      <c r="K1929" t="str">
        <f t="shared" si="345"/>
        <v>813</v>
      </c>
      <c r="L1929">
        <v>304.08</v>
      </c>
    </row>
    <row r="1930" spans="1:12" x14ac:dyDescent="0.25">
      <c r="A1930" t="str">
        <f t="shared" si="347"/>
        <v>89301000</v>
      </c>
      <c r="B1930" t="str">
        <f t="shared" si="346"/>
        <v>06539000</v>
      </c>
      <c r="C1930" t="str">
        <f t="shared" si="344"/>
        <v>06539003</v>
      </c>
      <c r="D1930">
        <v>89301171</v>
      </c>
      <c r="E1930" t="str">
        <f t="shared" si="342"/>
        <v>0051216154</v>
      </c>
      <c r="F1930" s="1">
        <v>44956</v>
      </c>
      <c r="G1930" t="str">
        <f>"91175"</f>
        <v>91175</v>
      </c>
      <c r="H1930">
        <v>1</v>
      </c>
      <c r="I1930">
        <v>362</v>
      </c>
      <c r="J1930">
        <v>0</v>
      </c>
      <c r="K1930" t="str">
        <f t="shared" si="345"/>
        <v>813</v>
      </c>
      <c r="L1930">
        <v>304.08</v>
      </c>
    </row>
    <row r="1931" spans="1:12" x14ac:dyDescent="0.25">
      <c r="A1931" t="str">
        <f t="shared" si="347"/>
        <v>89301000</v>
      </c>
      <c r="B1931" t="str">
        <f t="shared" si="346"/>
        <v>06539000</v>
      </c>
      <c r="C1931" t="str">
        <f t="shared" si="344"/>
        <v>06539003</v>
      </c>
      <c r="D1931">
        <v>89301171</v>
      </c>
      <c r="E1931" t="str">
        <f t="shared" si="342"/>
        <v>0051216154</v>
      </c>
      <c r="F1931" s="1">
        <v>44981</v>
      </c>
      <c r="G1931" t="str">
        <f>"91475"</f>
        <v>91475</v>
      </c>
      <c r="H1931">
        <v>1</v>
      </c>
      <c r="I1931">
        <v>213</v>
      </c>
      <c r="J1931">
        <v>0</v>
      </c>
      <c r="K1931" t="str">
        <f t="shared" si="345"/>
        <v>813</v>
      </c>
      <c r="L1931">
        <v>178.92</v>
      </c>
    </row>
    <row r="1932" spans="1:12" x14ac:dyDescent="0.25">
      <c r="A1932" t="str">
        <f t="shared" si="347"/>
        <v>89301000</v>
      </c>
      <c r="B1932" t="str">
        <f t="shared" si="346"/>
        <v>06539000</v>
      </c>
      <c r="C1932" t="str">
        <f>"06539001"</f>
        <v>06539001</v>
      </c>
      <c r="D1932">
        <v>89301172</v>
      </c>
      <c r="E1932" t="str">
        <f t="shared" ref="E1932:E1937" si="348">"475123420"</f>
        <v>475123420</v>
      </c>
      <c r="F1932" s="1">
        <v>44960</v>
      </c>
      <c r="G1932" t="str">
        <f>"81705"</f>
        <v>81705</v>
      </c>
      <c r="H1932">
        <v>1</v>
      </c>
      <c r="I1932">
        <v>348</v>
      </c>
      <c r="J1932">
        <v>0</v>
      </c>
      <c r="K1932" t="str">
        <f>"801"</f>
        <v>801</v>
      </c>
      <c r="L1932">
        <v>292.32</v>
      </c>
    </row>
    <row r="1933" spans="1:12" x14ac:dyDescent="0.25">
      <c r="A1933" t="str">
        <f t="shared" si="347"/>
        <v>89301000</v>
      </c>
      <c r="B1933" t="str">
        <f t="shared" si="346"/>
        <v>06539000</v>
      </c>
      <c r="C1933" t="str">
        <f>"06539001"</f>
        <v>06539001</v>
      </c>
      <c r="D1933">
        <v>89301172</v>
      </c>
      <c r="E1933" t="str">
        <f t="shared" si="348"/>
        <v>475123420</v>
      </c>
      <c r="F1933" s="1">
        <v>44957</v>
      </c>
      <c r="G1933" t="str">
        <f>"81705"</f>
        <v>81705</v>
      </c>
      <c r="H1933">
        <v>1</v>
      </c>
      <c r="I1933">
        <v>348</v>
      </c>
      <c r="J1933">
        <v>0</v>
      </c>
      <c r="K1933" t="str">
        <f>"801"</f>
        <v>801</v>
      </c>
      <c r="L1933">
        <v>292.32</v>
      </c>
    </row>
    <row r="1934" spans="1:12" x14ac:dyDescent="0.25">
      <c r="A1934" t="str">
        <f t="shared" si="347"/>
        <v>89301000</v>
      </c>
      <c r="B1934" t="str">
        <f t="shared" si="346"/>
        <v>06539000</v>
      </c>
      <c r="C1934" t="str">
        <f>"06539003"</f>
        <v>06539003</v>
      </c>
      <c r="D1934">
        <v>89301172</v>
      </c>
      <c r="E1934" t="str">
        <f t="shared" si="348"/>
        <v>475123420</v>
      </c>
      <c r="F1934" s="1">
        <v>44957</v>
      </c>
      <c r="G1934" t="str">
        <f>"91329"</f>
        <v>91329</v>
      </c>
      <c r="H1934">
        <v>2</v>
      </c>
      <c r="I1934">
        <v>436</v>
      </c>
      <c r="J1934">
        <v>0</v>
      </c>
      <c r="K1934" t="str">
        <f>"813"</f>
        <v>813</v>
      </c>
      <c r="L1934">
        <v>366.24</v>
      </c>
    </row>
    <row r="1935" spans="1:12" x14ac:dyDescent="0.25">
      <c r="A1935" t="str">
        <f t="shared" si="347"/>
        <v>89301000</v>
      </c>
      <c r="B1935" t="str">
        <f t="shared" si="346"/>
        <v>06539000</v>
      </c>
      <c r="C1935" t="str">
        <f>"06539003"</f>
        <v>06539003</v>
      </c>
      <c r="D1935">
        <v>89301172</v>
      </c>
      <c r="E1935" t="str">
        <f t="shared" si="348"/>
        <v>475123420</v>
      </c>
      <c r="F1935" s="1">
        <v>44957</v>
      </c>
      <c r="G1935" t="str">
        <f>"91329"</f>
        <v>91329</v>
      </c>
      <c r="H1935">
        <v>2</v>
      </c>
      <c r="I1935">
        <v>436</v>
      </c>
      <c r="J1935">
        <v>0</v>
      </c>
      <c r="K1935" t="str">
        <f>"813"</f>
        <v>813</v>
      </c>
      <c r="L1935">
        <v>366.24</v>
      </c>
    </row>
    <row r="1936" spans="1:12" x14ac:dyDescent="0.25">
      <c r="A1936" t="str">
        <f t="shared" si="347"/>
        <v>89301000</v>
      </c>
      <c r="B1936" t="str">
        <f t="shared" si="346"/>
        <v>06539000</v>
      </c>
      <c r="C1936" t="str">
        <f>"06539003"</f>
        <v>06539003</v>
      </c>
      <c r="D1936">
        <v>89301172</v>
      </c>
      <c r="E1936" t="str">
        <f t="shared" si="348"/>
        <v>475123420</v>
      </c>
      <c r="F1936" s="1">
        <v>44957</v>
      </c>
      <c r="G1936" t="str">
        <f>"91329"</f>
        <v>91329</v>
      </c>
      <c r="H1936">
        <v>2</v>
      </c>
      <c r="I1936">
        <v>436</v>
      </c>
      <c r="J1936">
        <v>0</v>
      </c>
      <c r="K1936" t="str">
        <f>"813"</f>
        <v>813</v>
      </c>
      <c r="L1936">
        <v>366.24</v>
      </c>
    </row>
    <row r="1937" spans="1:12" x14ac:dyDescent="0.25">
      <c r="A1937" t="str">
        <f t="shared" si="347"/>
        <v>89301000</v>
      </c>
      <c r="B1937" t="str">
        <f t="shared" si="346"/>
        <v>06539000</v>
      </c>
      <c r="C1937" t="str">
        <f>"06539003"</f>
        <v>06539003</v>
      </c>
      <c r="D1937">
        <v>89301172</v>
      </c>
      <c r="E1937" t="str">
        <f t="shared" si="348"/>
        <v>475123420</v>
      </c>
      <c r="F1937" s="1">
        <v>44953</v>
      </c>
      <c r="G1937" t="str">
        <f>"91475"</f>
        <v>91475</v>
      </c>
      <c r="H1937">
        <v>1</v>
      </c>
      <c r="I1937">
        <v>213</v>
      </c>
      <c r="J1937">
        <v>0</v>
      </c>
      <c r="K1937" t="str">
        <f>"813"</f>
        <v>813</v>
      </c>
      <c r="L1937">
        <v>178.92</v>
      </c>
    </row>
    <row r="1938" spans="1:12" x14ac:dyDescent="0.25">
      <c r="A1938" t="str">
        <f t="shared" si="347"/>
        <v>89301000</v>
      </c>
      <c r="B1938" t="str">
        <f t="shared" ref="B1938:B1969" si="349">"10510000"</f>
        <v>10510000</v>
      </c>
      <c r="C1938" t="str">
        <f t="shared" ref="C1938:C1969" si="350">"10510001"</f>
        <v>10510001</v>
      </c>
      <c r="D1938">
        <v>89301202</v>
      </c>
      <c r="E1938" t="str">
        <f>"0462236071"</f>
        <v>0462236071</v>
      </c>
      <c r="F1938" s="1">
        <v>44967</v>
      </c>
      <c r="G1938" t="str">
        <f>"82111"</f>
        <v>82111</v>
      </c>
      <c r="H1938">
        <v>1</v>
      </c>
      <c r="I1938">
        <v>37</v>
      </c>
      <c r="J1938">
        <v>0</v>
      </c>
      <c r="K1938" t="str">
        <f t="shared" ref="K1938:K1969" si="351">"802"</f>
        <v>802</v>
      </c>
      <c r="L1938">
        <v>35.89</v>
      </c>
    </row>
    <row r="1939" spans="1:12" x14ac:dyDescent="0.25">
      <c r="A1939" t="str">
        <f t="shared" si="347"/>
        <v>89301000</v>
      </c>
      <c r="B1939" t="str">
        <f t="shared" si="349"/>
        <v>10510000</v>
      </c>
      <c r="C1939" t="str">
        <f t="shared" si="350"/>
        <v>10510001</v>
      </c>
      <c r="D1939">
        <v>89301202</v>
      </c>
      <c r="E1939" t="str">
        <f>"0462236071"</f>
        <v>0462236071</v>
      </c>
      <c r="F1939" s="1">
        <v>44967</v>
      </c>
      <c r="G1939" t="str">
        <f>"82145"</f>
        <v>82145</v>
      </c>
      <c r="H1939">
        <v>6</v>
      </c>
      <c r="I1939">
        <v>354</v>
      </c>
      <c r="J1939">
        <v>0</v>
      </c>
      <c r="K1939" t="str">
        <f t="shared" si="351"/>
        <v>802</v>
      </c>
      <c r="L1939">
        <v>343.38</v>
      </c>
    </row>
    <row r="1940" spans="1:12" x14ac:dyDescent="0.25">
      <c r="A1940" t="str">
        <f t="shared" si="347"/>
        <v>89301000</v>
      </c>
      <c r="B1940" t="str">
        <f t="shared" si="349"/>
        <v>10510000</v>
      </c>
      <c r="C1940" t="str">
        <f t="shared" si="350"/>
        <v>10510001</v>
      </c>
      <c r="D1940">
        <v>89301202</v>
      </c>
      <c r="E1940" t="str">
        <f>"0462236071"</f>
        <v>0462236071</v>
      </c>
      <c r="F1940" s="1">
        <v>44967</v>
      </c>
      <c r="G1940" t="str">
        <f>"82079"</f>
        <v>82079</v>
      </c>
      <c r="H1940">
        <v>1</v>
      </c>
      <c r="I1940">
        <v>333</v>
      </c>
      <c r="J1940">
        <v>0</v>
      </c>
      <c r="K1940" t="str">
        <f t="shared" si="351"/>
        <v>802</v>
      </c>
      <c r="L1940">
        <v>323.01</v>
      </c>
    </row>
    <row r="1941" spans="1:12" x14ac:dyDescent="0.25">
      <c r="A1941" t="str">
        <f t="shared" si="347"/>
        <v>89301000</v>
      </c>
      <c r="B1941" t="str">
        <f t="shared" si="349"/>
        <v>10510000</v>
      </c>
      <c r="C1941" t="str">
        <f t="shared" si="350"/>
        <v>10510001</v>
      </c>
      <c r="D1941">
        <v>89301202</v>
      </c>
      <c r="E1941" t="str">
        <f>"0462236071"</f>
        <v>0462236071</v>
      </c>
      <c r="F1941" s="1">
        <v>44967</v>
      </c>
      <c r="G1941" t="str">
        <f>"82113"</f>
        <v>82113</v>
      </c>
      <c r="H1941">
        <v>1</v>
      </c>
      <c r="I1941">
        <v>363</v>
      </c>
      <c r="J1941">
        <v>0</v>
      </c>
      <c r="K1941" t="str">
        <f t="shared" si="351"/>
        <v>802</v>
      </c>
      <c r="L1941">
        <v>352.11</v>
      </c>
    </row>
    <row r="1942" spans="1:12" x14ac:dyDescent="0.25">
      <c r="A1942" t="str">
        <f t="shared" si="347"/>
        <v>89301000</v>
      </c>
      <c r="B1942" t="str">
        <f t="shared" si="349"/>
        <v>10510000</v>
      </c>
      <c r="C1942" t="str">
        <f t="shared" si="350"/>
        <v>10510001</v>
      </c>
      <c r="D1942">
        <v>89301202</v>
      </c>
      <c r="E1942" t="str">
        <f>"0462236071"</f>
        <v>0462236071</v>
      </c>
      <c r="F1942" s="1">
        <v>44966</v>
      </c>
      <c r="G1942" t="str">
        <f>"97111"</f>
        <v>97111</v>
      </c>
      <c r="H1942">
        <v>1</v>
      </c>
      <c r="I1942">
        <v>19</v>
      </c>
      <c r="J1942">
        <v>0</v>
      </c>
      <c r="K1942" t="str">
        <f t="shared" si="351"/>
        <v>802</v>
      </c>
      <c r="L1942">
        <v>23.94</v>
      </c>
    </row>
    <row r="1943" spans="1:12" x14ac:dyDescent="0.25">
      <c r="A1943" t="str">
        <f t="shared" si="347"/>
        <v>89301000</v>
      </c>
      <c r="B1943" t="str">
        <f t="shared" si="349"/>
        <v>10510000</v>
      </c>
      <c r="C1943" t="str">
        <f t="shared" si="350"/>
        <v>10510001</v>
      </c>
      <c r="D1943">
        <v>89301202</v>
      </c>
      <c r="E1943" t="str">
        <f>"6560180209"</f>
        <v>6560180209</v>
      </c>
      <c r="F1943" s="1">
        <v>44971</v>
      </c>
      <c r="G1943" t="str">
        <f>"82111"</f>
        <v>82111</v>
      </c>
      <c r="H1943">
        <v>1</v>
      </c>
      <c r="I1943">
        <v>37</v>
      </c>
      <c r="J1943">
        <v>0</v>
      </c>
      <c r="K1943" t="str">
        <f t="shared" si="351"/>
        <v>802</v>
      </c>
      <c r="L1943">
        <v>35.89</v>
      </c>
    </row>
    <row r="1944" spans="1:12" x14ac:dyDescent="0.25">
      <c r="A1944" t="str">
        <f t="shared" si="347"/>
        <v>89301000</v>
      </c>
      <c r="B1944" t="str">
        <f t="shared" si="349"/>
        <v>10510000</v>
      </c>
      <c r="C1944" t="str">
        <f t="shared" si="350"/>
        <v>10510001</v>
      </c>
      <c r="D1944">
        <v>89301202</v>
      </c>
      <c r="E1944" t="str">
        <f>"6560180209"</f>
        <v>6560180209</v>
      </c>
      <c r="F1944" s="1">
        <v>44971</v>
      </c>
      <c r="G1944" t="str">
        <f>"82145"</f>
        <v>82145</v>
      </c>
      <c r="H1944">
        <v>6</v>
      </c>
      <c r="I1944">
        <v>354</v>
      </c>
      <c r="J1944">
        <v>0</v>
      </c>
      <c r="K1944" t="str">
        <f t="shared" si="351"/>
        <v>802</v>
      </c>
      <c r="L1944">
        <v>343.38</v>
      </c>
    </row>
    <row r="1945" spans="1:12" x14ac:dyDescent="0.25">
      <c r="A1945" t="str">
        <f t="shared" si="347"/>
        <v>89301000</v>
      </c>
      <c r="B1945" t="str">
        <f t="shared" si="349"/>
        <v>10510000</v>
      </c>
      <c r="C1945" t="str">
        <f t="shared" si="350"/>
        <v>10510001</v>
      </c>
      <c r="D1945">
        <v>89301202</v>
      </c>
      <c r="E1945" t="str">
        <f>"6560180209"</f>
        <v>6560180209</v>
      </c>
      <c r="F1945" s="1">
        <v>44971</v>
      </c>
      <c r="G1945" t="str">
        <f>"82079"</f>
        <v>82079</v>
      </c>
      <c r="H1945">
        <v>1</v>
      </c>
      <c r="I1945">
        <v>333</v>
      </c>
      <c r="J1945">
        <v>0</v>
      </c>
      <c r="K1945" t="str">
        <f t="shared" si="351"/>
        <v>802</v>
      </c>
      <c r="L1945">
        <v>323.01</v>
      </c>
    </row>
    <row r="1946" spans="1:12" x14ac:dyDescent="0.25">
      <c r="A1946" t="str">
        <f t="shared" si="347"/>
        <v>89301000</v>
      </c>
      <c r="B1946" t="str">
        <f t="shared" si="349"/>
        <v>10510000</v>
      </c>
      <c r="C1946" t="str">
        <f t="shared" si="350"/>
        <v>10510001</v>
      </c>
      <c r="D1946">
        <v>89301202</v>
      </c>
      <c r="E1946" t="str">
        <f>"6560180209"</f>
        <v>6560180209</v>
      </c>
      <c r="F1946" s="1">
        <v>44971</v>
      </c>
      <c r="G1946" t="str">
        <f>"82113"</f>
        <v>82113</v>
      </c>
      <c r="H1946">
        <v>1</v>
      </c>
      <c r="I1946">
        <v>363</v>
      </c>
      <c r="J1946">
        <v>0</v>
      </c>
      <c r="K1946" t="str">
        <f t="shared" si="351"/>
        <v>802</v>
      </c>
      <c r="L1946">
        <v>352.11</v>
      </c>
    </row>
    <row r="1947" spans="1:12" x14ac:dyDescent="0.25">
      <c r="A1947" t="str">
        <f t="shared" si="347"/>
        <v>89301000</v>
      </c>
      <c r="B1947" t="str">
        <f t="shared" si="349"/>
        <v>10510000</v>
      </c>
      <c r="C1947" t="str">
        <f t="shared" si="350"/>
        <v>10510001</v>
      </c>
      <c r="D1947">
        <v>89301202</v>
      </c>
      <c r="E1947" t="str">
        <f>"6560180209"</f>
        <v>6560180209</v>
      </c>
      <c r="F1947" s="1">
        <v>44970</v>
      </c>
      <c r="G1947" t="str">
        <f>"97111"</f>
        <v>97111</v>
      </c>
      <c r="H1947">
        <v>1</v>
      </c>
      <c r="I1947">
        <v>19</v>
      </c>
      <c r="J1947">
        <v>0</v>
      </c>
      <c r="K1947" t="str">
        <f t="shared" si="351"/>
        <v>802</v>
      </c>
      <c r="L1947">
        <v>23.94</v>
      </c>
    </row>
    <row r="1948" spans="1:12" x14ac:dyDescent="0.25">
      <c r="A1948" t="str">
        <f t="shared" si="347"/>
        <v>89301000</v>
      </c>
      <c r="B1948" t="str">
        <f t="shared" si="349"/>
        <v>10510000</v>
      </c>
      <c r="C1948" t="str">
        <f t="shared" si="350"/>
        <v>10510001</v>
      </c>
      <c r="D1948">
        <v>89301202</v>
      </c>
      <c r="E1948" t="str">
        <f>"8003244458"</f>
        <v>8003244458</v>
      </c>
      <c r="F1948" s="1">
        <v>44974</v>
      </c>
      <c r="G1948" t="str">
        <f>"82145"</f>
        <v>82145</v>
      </c>
      <c r="H1948">
        <v>1</v>
      </c>
      <c r="I1948">
        <v>59</v>
      </c>
      <c r="J1948">
        <v>0</v>
      </c>
      <c r="K1948" t="str">
        <f t="shared" si="351"/>
        <v>802</v>
      </c>
      <c r="L1948">
        <v>57.23</v>
      </c>
    </row>
    <row r="1949" spans="1:12" x14ac:dyDescent="0.25">
      <c r="A1949" t="str">
        <f t="shared" si="347"/>
        <v>89301000</v>
      </c>
      <c r="B1949" t="str">
        <f t="shared" si="349"/>
        <v>10510000</v>
      </c>
      <c r="C1949" t="str">
        <f t="shared" si="350"/>
        <v>10510001</v>
      </c>
      <c r="D1949">
        <v>89301202</v>
      </c>
      <c r="E1949" t="str">
        <f>"8003244458"</f>
        <v>8003244458</v>
      </c>
      <c r="F1949" s="1">
        <v>44974</v>
      </c>
      <c r="G1949" t="str">
        <f>"82111"</f>
        <v>82111</v>
      </c>
      <c r="H1949">
        <v>1</v>
      </c>
      <c r="I1949">
        <v>37</v>
      </c>
      <c r="J1949">
        <v>0</v>
      </c>
      <c r="K1949" t="str">
        <f t="shared" si="351"/>
        <v>802</v>
      </c>
      <c r="L1949">
        <v>35.89</v>
      </c>
    </row>
    <row r="1950" spans="1:12" x14ac:dyDescent="0.25">
      <c r="A1950" t="str">
        <f t="shared" si="347"/>
        <v>89301000</v>
      </c>
      <c r="B1950" t="str">
        <f t="shared" si="349"/>
        <v>10510000</v>
      </c>
      <c r="C1950" t="str">
        <f t="shared" si="350"/>
        <v>10510001</v>
      </c>
      <c r="D1950">
        <v>89301202</v>
      </c>
      <c r="E1950" t="str">
        <f>"8003244458"</f>
        <v>8003244458</v>
      </c>
      <c r="F1950" s="1">
        <v>44974</v>
      </c>
      <c r="G1950" t="str">
        <f>"82079"</f>
        <v>82079</v>
      </c>
      <c r="H1950">
        <v>1</v>
      </c>
      <c r="I1950">
        <v>333</v>
      </c>
      <c r="J1950">
        <v>0</v>
      </c>
      <c r="K1950" t="str">
        <f t="shared" si="351"/>
        <v>802</v>
      </c>
      <c r="L1950">
        <v>323.01</v>
      </c>
    </row>
    <row r="1951" spans="1:12" x14ac:dyDescent="0.25">
      <c r="A1951" t="str">
        <f t="shared" si="347"/>
        <v>89301000</v>
      </c>
      <c r="B1951" t="str">
        <f t="shared" si="349"/>
        <v>10510000</v>
      </c>
      <c r="C1951" t="str">
        <f t="shared" si="350"/>
        <v>10510001</v>
      </c>
      <c r="D1951">
        <v>89301202</v>
      </c>
      <c r="E1951" t="str">
        <f>"8003244458"</f>
        <v>8003244458</v>
      </c>
      <c r="F1951" s="1">
        <v>44974</v>
      </c>
      <c r="G1951" t="str">
        <f>"82113"</f>
        <v>82113</v>
      </c>
      <c r="H1951">
        <v>1</v>
      </c>
      <c r="I1951">
        <v>363</v>
      </c>
      <c r="J1951">
        <v>0</v>
      </c>
      <c r="K1951" t="str">
        <f t="shared" si="351"/>
        <v>802</v>
      </c>
      <c r="L1951">
        <v>352.11</v>
      </c>
    </row>
    <row r="1952" spans="1:12" x14ac:dyDescent="0.25">
      <c r="A1952" t="str">
        <f t="shared" si="347"/>
        <v>89301000</v>
      </c>
      <c r="B1952" t="str">
        <f t="shared" si="349"/>
        <v>10510000</v>
      </c>
      <c r="C1952" t="str">
        <f t="shared" si="350"/>
        <v>10510001</v>
      </c>
      <c r="D1952">
        <v>89301202</v>
      </c>
      <c r="E1952" t="str">
        <f>"8003244458"</f>
        <v>8003244458</v>
      </c>
      <c r="F1952" s="1">
        <v>44973</v>
      </c>
      <c r="G1952" t="str">
        <f>"97111"</f>
        <v>97111</v>
      </c>
      <c r="H1952">
        <v>1</v>
      </c>
      <c r="I1952">
        <v>19</v>
      </c>
      <c r="J1952">
        <v>0</v>
      </c>
      <c r="K1952" t="str">
        <f t="shared" si="351"/>
        <v>802</v>
      </c>
      <c r="L1952">
        <v>23.94</v>
      </c>
    </row>
    <row r="1953" spans="1:12" x14ac:dyDescent="0.25">
      <c r="A1953" t="str">
        <f t="shared" si="347"/>
        <v>89301000</v>
      </c>
      <c r="B1953" t="str">
        <f t="shared" si="349"/>
        <v>10510000</v>
      </c>
      <c r="C1953" t="str">
        <f t="shared" si="350"/>
        <v>10510001</v>
      </c>
      <c r="D1953">
        <v>89301202</v>
      </c>
      <c r="E1953" t="str">
        <f>"9006254884"</f>
        <v>9006254884</v>
      </c>
      <c r="F1953" s="1">
        <v>44977</v>
      </c>
      <c r="G1953" t="str">
        <f>"82111"</f>
        <v>82111</v>
      </c>
      <c r="H1953">
        <v>1</v>
      </c>
      <c r="I1953">
        <v>37</v>
      </c>
      <c r="J1953">
        <v>0</v>
      </c>
      <c r="K1953" t="str">
        <f t="shared" si="351"/>
        <v>802</v>
      </c>
      <c r="L1953">
        <v>35.89</v>
      </c>
    </row>
    <row r="1954" spans="1:12" x14ac:dyDescent="0.25">
      <c r="A1954" t="str">
        <f t="shared" si="347"/>
        <v>89301000</v>
      </c>
      <c r="B1954" t="str">
        <f t="shared" si="349"/>
        <v>10510000</v>
      </c>
      <c r="C1954" t="str">
        <f t="shared" si="350"/>
        <v>10510001</v>
      </c>
      <c r="D1954">
        <v>89301202</v>
      </c>
      <c r="E1954" t="str">
        <f>"9006254884"</f>
        <v>9006254884</v>
      </c>
      <c r="F1954" s="1">
        <v>44977</v>
      </c>
      <c r="G1954" t="str">
        <f>"82145"</f>
        <v>82145</v>
      </c>
      <c r="H1954">
        <v>1</v>
      </c>
      <c r="I1954">
        <v>59</v>
      </c>
      <c r="J1954">
        <v>0</v>
      </c>
      <c r="K1954" t="str">
        <f t="shared" si="351"/>
        <v>802</v>
      </c>
      <c r="L1954">
        <v>57.23</v>
      </c>
    </row>
    <row r="1955" spans="1:12" x14ac:dyDescent="0.25">
      <c r="A1955" t="str">
        <f t="shared" si="347"/>
        <v>89301000</v>
      </c>
      <c r="B1955" t="str">
        <f t="shared" si="349"/>
        <v>10510000</v>
      </c>
      <c r="C1955" t="str">
        <f t="shared" si="350"/>
        <v>10510001</v>
      </c>
      <c r="D1955">
        <v>89301202</v>
      </c>
      <c r="E1955" t="str">
        <f>"9006254884"</f>
        <v>9006254884</v>
      </c>
      <c r="F1955" s="1">
        <v>44977</v>
      </c>
      <c r="G1955" t="str">
        <f>"82079"</f>
        <v>82079</v>
      </c>
      <c r="H1955">
        <v>1</v>
      </c>
      <c r="I1955">
        <v>333</v>
      </c>
      <c r="J1955">
        <v>0</v>
      </c>
      <c r="K1955" t="str">
        <f t="shared" si="351"/>
        <v>802</v>
      </c>
      <c r="L1955">
        <v>323.01</v>
      </c>
    </row>
    <row r="1956" spans="1:12" x14ac:dyDescent="0.25">
      <c r="A1956" t="str">
        <f t="shared" si="347"/>
        <v>89301000</v>
      </c>
      <c r="B1956" t="str">
        <f t="shared" si="349"/>
        <v>10510000</v>
      </c>
      <c r="C1956" t="str">
        <f t="shared" si="350"/>
        <v>10510001</v>
      </c>
      <c r="D1956">
        <v>89301202</v>
      </c>
      <c r="E1956" t="str">
        <f>"9006254884"</f>
        <v>9006254884</v>
      </c>
      <c r="F1956" s="1">
        <v>44977</v>
      </c>
      <c r="G1956" t="str">
        <f>"82113"</f>
        <v>82113</v>
      </c>
      <c r="H1956">
        <v>1</v>
      </c>
      <c r="I1956">
        <v>363</v>
      </c>
      <c r="J1956">
        <v>0</v>
      </c>
      <c r="K1956" t="str">
        <f t="shared" si="351"/>
        <v>802</v>
      </c>
      <c r="L1956">
        <v>352.11</v>
      </c>
    </row>
    <row r="1957" spans="1:12" x14ac:dyDescent="0.25">
      <c r="A1957" t="str">
        <f t="shared" si="347"/>
        <v>89301000</v>
      </c>
      <c r="B1957" t="str">
        <f t="shared" si="349"/>
        <v>10510000</v>
      </c>
      <c r="C1957" t="str">
        <f t="shared" si="350"/>
        <v>10510001</v>
      </c>
      <c r="D1957">
        <v>89301202</v>
      </c>
      <c r="E1957" t="str">
        <f>"9006254884"</f>
        <v>9006254884</v>
      </c>
      <c r="F1957" s="1">
        <v>44974</v>
      </c>
      <c r="G1957" t="str">
        <f>"97111"</f>
        <v>97111</v>
      </c>
      <c r="H1957">
        <v>1</v>
      </c>
      <c r="I1957">
        <v>19</v>
      </c>
      <c r="J1957">
        <v>0</v>
      </c>
      <c r="K1957" t="str">
        <f t="shared" si="351"/>
        <v>802</v>
      </c>
      <c r="L1957">
        <v>23.94</v>
      </c>
    </row>
    <row r="1958" spans="1:12" x14ac:dyDescent="0.25">
      <c r="A1958" t="str">
        <f t="shared" si="347"/>
        <v>89301000</v>
      </c>
      <c r="B1958" t="str">
        <f t="shared" si="349"/>
        <v>10510000</v>
      </c>
      <c r="C1958" t="str">
        <f t="shared" si="350"/>
        <v>10510001</v>
      </c>
      <c r="D1958">
        <v>89301011</v>
      </c>
      <c r="E1958" t="str">
        <f>"405820403"</f>
        <v>405820403</v>
      </c>
      <c r="F1958" s="1">
        <v>44970</v>
      </c>
      <c r="G1958" t="str">
        <f>"82077"</f>
        <v>82077</v>
      </c>
      <c r="H1958">
        <v>2</v>
      </c>
      <c r="I1958">
        <v>702</v>
      </c>
      <c r="J1958">
        <v>0</v>
      </c>
      <c r="K1958" t="str">
        <f t="shared" si="351"/>
        <v>802</v>
      </c>
      <c r="L1958">
        <v>680.94</v>
      </c>
    </row>
    <row r="1959" spans="1:12" x14ac:dyDescent="0.25">
      <c r="A1959" t="str">
        <f t="shared" si="347"/>
        <v>89301000</v>
      </c>
      <c r="B1959" t="str">
        <f t="shared" si="349"/>
        <v>10510000</v>
      </c>
      <c r="C1959" t="str">
        <f t="shared" si="350"/>
        <v>10510001</v>
      </c>
      <c r="D1959">
        <v>89301011</v>
      </c>
      <c r="E1959" t="str">
        <f>"405820403"</f>
        <v>405820403</v>
      </c>
      <c r="F1959" s="1">
        <v>44970</v>
      </c>
      <c r="G1959" t="str">
        <f>"82077"</f>
        <v>82077</v>
      </c>
      <c r="H1959">
        <v>2</v>
      </c>
      <c r="I1959">
        <v>702</v>
      </c>
      <c r="J1959">
        <v>0</v>
      </c>
      <c r="K1959" t="str">
        <f t="shared" si="351"/>
        <v>802</v>
      </c>
      <c r="L1959">
        <v>680.94</v>
      </c>
    </row>
    <row r="1960" spans="1:12" x14ac:dyDescent="0.25">
      <c r="A1960" t="str">
        <f t="shared" si="347"/>
        <v>89301000</v>
      </c>
      <c r="B1960" t="str">
        <f t="shared" si="349"/>
        <v>10510000</v>
      </c>
      <c r="C1960" t="str">
        <f t="shared" si="350"/>
        <v>10510001</v>
      </c>
      <c r="D1960">
        <v>89301011</v>
      </c>
      <c r="E1960" t="str">
        <f>"405820403"</f>
        <v>405820403</v>
      </c>
      <c r="F1960" s="1">
        <v>44971</v>
      </c>
      <c r="G1960" t="str">
        <f>"82077"</f>
        <v>82077</v>
      </c>
      <c r="H1960">
        <v>1</v>
      </c>
      <c r="I1960">
        <v>351</v>
      </c>
      <c r="J1960">
        <v>0</v>
      </c>
      <c r="K1960" t="str">
        <f t="shared" si="351"/>
        <v>802</v>
      </c>
      <c r="L1960">
        <v>340.47</v>
      </c>
    </row>
    <row r="1961" spans="1:12" x14ac:dyDescent="0.25">
      <c r="A1961" t="str">
        <f t="shared" si="347"/>
        <v>89301000</v>
      </c>
      <c r="B1961" t="str">
        <f t="shared" si="349"/>
        <v>10510000</v>
      </c>
      <c r="C1961" t="str">
        <f t="shared" si="350"/>
        <v>10510001</v>
      </c>
      <c r="D1961">
        <v>89301355</v>
      </c>
      <c r="E1961" t="str">
        <f>"7504185843"</f>
        <v>7504185843</v>
      </c>
      <c r="F1961" s="1">
        <v>44979</v>
      </c>
      <c r="G1961" t="str">
        <f>"82137"</f>
        <v>82137</v>
      </c>
      <c r="H1961">
        <v>1</v>
      </c>
      <c r="I1961">
        <v>1606</v>
      </c>
      <c r="J1961">
        <v>0</v>
      </c>
      <c r="K1961" t="str">
        <f t="shared" si="351"/>
        <v>802</v>
      </c>
      <c r="L1961">
        <v>1557.82</v>
      </c>
    </row>
    <row r="1962" spans="1:12" x14ac:dyDescent="0.25">
      <c r="A1962" t="str">
        <f t="shared" si="347"/>
        <v>89301000</v>
      </c>
      <c r="B1962" t="str">
        <f t="shared" si="349"/>
        <v>10510000</v>
      </c>
      <c r="C1962" t="str">
        <f t="shared" si="350"/>
        <v>10510001</v>
      </c>
      <c r="D1962">
        <v>89301355</v>
      </c>
      <c r="E1962" t="str">
        <f>"7504185843"</f>
        <v>7504185843</v>
      </c>
      <c r="F1962" s="1">
        <v>44984</v>
      </c>
      <c r="G1962" t="str">
        <f>"82077"</f>
        <v>82077</v>
      </c>
      <c r="H1962">
        <v>2</v>
      </c>
      <c r="I1962">
        <v>702</v>
      </c>
      <c r="J1962">
        <v>0</v>
      </c>
      <c r="K1962" t="str">
        <f t="shared" si="351"/>
        <v>802</v>
      </c>
      <c r="L1962">
        <v>680.94</v>
      </c>
    </row>
    <row r="1963" spans="1:12" x14ac:dyDescent="0.25">
      <c r="A1963" t="str">
        <f t="shared" si="347"/>
        <v>89301000</v>
      </c>
      <c r="B1963" t="str">
        <f t="shared" si="349"/>
        <v>10510000</v>
      </c>
      <c r="C1963" t="str">
        <f t="shared" si="350"/>
        <v>10510001</v>
      </c>
      <c r="D1963">
        <v>89301355</v>
      </c>
      <c r="E1963" t="str">
        <f>"7504185843"</f>
        <v>7504185843</v>
      </c>
      <c r="F1963" s="1">
        <v>44984</v>
      </c>
      <c r="G1963" t="str">
        <f>"82077"</f>
        <v>82077</v>
      </c>
      <c r="H1963">
        <v>2</v>
      </c>
      <c r="I1963">
        <v>702</v>
      </c>
      <c r="J1963">
        <v>0</v>
      </c>
      <c r="K1963" t="str">
        <f t="shared" si="351"/>
        <v>802</v>
      </c>
      <c r="L1963">
        <v>680.94</v>
      </c>
    </row>
    <row r="1964" spans="1:12" x14ac:dyDescent="0.25">
      <c r="A1964" t="str">
        <f t="shared" si="347"/>
        <v>89301000</v>
      </c>
      <c r="B1964" t="str">
        <f t="shared" si="349"/>
        <v>10510000</v>
      </c>
      <c r="C1964" t="str">
        <f t="shared" si="350"/>
        <v>10510001</v>
      </c>
      <c r="D1964">
        <v>89301355</v>
      </c>
      <c r="E1964" t="str">
        <f>"7504185843"</f>
        <v>7504185843</v>
      </c>
      <c r="F1964" s="1">
        <v>44978</v>
      </c>
      <c r="G1964" t="str">
        <f>"82077"</f>
        <v>82077</v>
      </c>
      <c r="H1964">
        <v>1</v>
      </c>
      <c r="I1964">
        <v>351</v>
      </c>
      <c r="J1964">
        <v>0</v>
      </c>
      <c r="K1964" t="str">
        <f t="shared" si="351"/>
        <v>802</v>
      </c>
      <c r="L1964">
        <v>340.47</v>
      </c>
    </row>
    <row r="1965" spans="1:12" x14ac:dyDescent="0.25">
      <c r="A1965" t="str">
        <f t="shared" si="347"/>
        <v>89301000</v>
      </c>
      <c r="B1965" t="str">
        <f t="shared" si="349"/>
        <v>10510000</v>
      </c>
      <c r="C1965" t="str">
        <f t="shared" si="350"/>
        <v>10510001</v>
      </c>
      <c r="D1965">
        <v>89301355</v>
      </c>
      <c r="E1965" t="str">
        <f>"6609300940"</f>
        <v>6609300940</v>
      </c>
      <c r="F1965" s="1">
        <v>44985</v>
      </c>
      <c r="G1965" t="str">
        <f>"82077"</f>
        <v>82077</v>
      </c>
      <c r="H1965">
        <v>1</v>
      </c>
      <c r="I1965">
        <v>351</v>
      </c>
      <c r="J1965">
        <v>0</v>
      </c>
      <c r="K1965" t="str">
        <f t="shared" si="351"/>
        <v>802</v>
      </c>
      <c r="L1965">
        <v>340.47</v>
      </c>
    </row>
    <row r="1966" spans="1:12" x14ac:dyDescent="0.25">
      <c r="A1966" t="str">
        <f t="shared" si="347"/>
        <v>89301000</v>
      </c>
      <c r="B1966" t="str">
        <f t="shared" si="349"/>
        <v>10510000</v>
      </c>
      <c r="C1966" t="str">
        <f t="shared" si="350"/>
        <v>10510001</v>
      </c>
      <c r="D1966">
        <v>89301171</v>
      </c>
      <c r="E1966" t="str">
        <f>"5456080476"</f>
        <v>5456080476</v>
      </c>
      <c r="F1966" s="1">
        <v>44964</v>
      </c>
      <c r="G1966" t="str">
        <f>"82041"</f>
        <v>82041</v>
      </c>
      <c r="H1966">
        <v>1</v>
      </c>
      <c r="I1966">
        <v>1096</v>
      </c>
      <c r="J1966">
        <v>0</v>
      </c>
      <c r="K1966" t="str">
        <f t="shared" si="351"/>
        <v>802</v>
      </c>
      <c r="L1966">
        <v>1063.1199999999999</v>
      </c>
    </row>
    <row r="1967" spans="1:12" x14ac:dyDescent="0.25">
      <c r="A1967" t="str">
        <f t="shared" si="347"/>
        <v>89301000</v>
      </c>
      <c r="B1967" t="str">
        <f t="shared" si="349"/>
        <v>10510000</v>
      </c>
      <c r="C1967" t="str">
        <f t="shared" si="350"/>
        <v>10510001</v>
      </c>
      <c r="D1967">
        <v>89301171</v>
      </c>
      <c r="E1967" t="str">
        <f>"5456080476"</f>
        <v>5456080476</v>
      </c>
      <c r="F1967" s="1">
        <v>44964</v>
      </c>
      <c r="G1967" t="str">
        <f>"82041"</f>
        <v>82041</v>
      </c>
      <c r="H1967">
        <v>1</v>
      </c>
      <c r="I1967">
        <v>1096</v>
      </c>
      <c r="J1967">
        <v>0</v>
      </c>
      <c r="K1967" t="str">
        <f t="shared" si="351"/>
        <v>802</v>
      </c>
      <c r="L1967">
        <v>1063.1199999999999</v>
      </c>
    </row>
    <row r="1968" spans="1:12" x14ac:dyDescent="0.25">
      <c r="A1968" t="str">
        <f t="shared" si="347"/>
        <v>89301000</v>
      </c>
      <c r="B1968" t="str">
        <f t="shared" si="349"/>
        <v>10510000</v>
      </c>
      <c r="C1968" t="str">
        <f t="shared" si="350"/>
        <v>10510001</v>
      </c>
      <c r="D1968">
        <v>89301171</v>
      </c>
      <c r="E1968" t="str">
        <f>"5456080476"</f>
        <v>5456080476</v>
      </c>
      <c r="F1968" s="1">
        <v>44964</v>
      </c>
      <c r="G1968" t="str">
        <f>"82034"</f>
        <v>82034</v>
      </c>
      <c r="H1968">
        <v>1</v>
      </c>
      <c r="I1968">
        <v>354</v>
      </c>
      <c r="J1968">
        <v>0</v>
      </c>
      <c r="K1968" t="str">
        <f t="shared" si="351"/>
        <v>802</v>
      </c>
      <c r="L1968">
        <v>343.38</v>
      </c>
    </row>
    <row r="1969" spans="1:12" x14ac:dyDescent="0.25">
      <c r="A1969" t="str">
        <f t="shared" si="347"/>
        <v>89301000</v>
      </c>
      <c r="B1969" t="str">
        <f t="shared" si="349"/>
        <v>10510000</v>
      </c>
      <c r="C1969" t="str">
        <f t="shared" si="350"/>
        <v>10510001</v>
      </c>
      <c r="D1969">
        <v>89301171</v>
      </c>
      <c r="E1969" t="str">
        <f>"6103270239"</f>
        <v>6103270239</v>
      </c>
      <c r="F1969" s="1">
        <v>44966</v>
      </c>
      <c r="G1969" t="str">
        <f>"82041"</f>
        <v>82041</v>
      </c>
      <c r="H1969">
        <v>1</v>
      </c>
      <c r="I1969">
        <v>1096</v>
      </c>
      <c r="J1969">
        <v>0</v>
      </c>
      <c r="K1969" t="str">
        <f t="shared" si="351"/>
        <v>802</v>
      </c>
      <c r="L1969">
        <v>1063.1199999999999</v>
      </c>
    </row>
    <row r="1970" spans="1:12" x14ac:dyDescent="0.25">
      <c r="A1970" t="str">
        <f t="shared" si="347"/>
        <v>89301000</v>
      </c>
      <c r="B1970" t="str">
        <f t="shared" ref="B1970:B2001" si="352">"10510000"</f>
        <v>10510000</v>
      </c>
      <c r="C1970" t="str">
        <f t="shared" ref="C1970:C2001" si="353">"10510001"</f>
        <v>10510001</v>
      </c>
      <c r="D1970">
        <v>89301171</v>
      </c>
      <c r="E1970" t="str">
        <f>"6103270239"</f>
        <v>6103270239</v>
      </c>
      <c r="F1970" s="1">
        <v>44966</v>
      </c>
      <c r="G1970" t="str">
        <f>"82041"</f>
        <v>82041</v>
      </c>
      <c r="H1970">
        <v>1</v>
      </c>
      <c r="I1970">
        <v>1096</v>
      </c>
      <c r="J1970">
        <v>0</v>
      </c>
      <c r="K1970" t="str">
        <f t="shared" ref="K1970:K2001" si="354">"802"</f>
        <v>802</v>
      </c>
      <c r="L1970">
        <v>1063.1199999999999</v>
      </c>
    </row>
    <row r="1971" spans="1:12" x14ac:dyDescent="0.25">
      <c r="A1971" t="str">
        <f t="shared" si="347"/>
        <v>89301000</v>
      </c>
      <c r="B1971" t="str">
        <f t="shared" si="352"/>
        <v>10510000</v>
      </c>
      <c r="C1971" t="str">
        <f t="shared" si="353"/>
        <v>10510001</v>
      </c>
      <c r="D1971">
        <v>89301171</v>
      </c>
      <c r="E1971" t="str">
        <f>"6103270239"</f>
        <v>6103270239</v>
      </c>
      <c r="F1971" s="1">
        <v>44966</v>
      </c>
      <c r="G1971" t="str">
        <f>"82034"</f>
        <v>82034</v>
      </c>
      <c r="H1971">
        <v>1</v>
      </c>
      <c r="I1971">
        <v>354</v>
      </c>
      <c r="J1971">
        <v>0</v>
      </c>
      <c r="K1971" t="str">
        <f t="shared" si="354"/>
        <v>802</v>
      </c>
      <c r="L1971">
        <v>343.38</v>
      </c>
    </row>
    <row r="1972" spans="1:12" x14ac:dyDescent="0.25">
      <c r="A1972" t="str">
        <f t="shared" si="347"/>
        <v>89301000</v>
      </c>
      <c r="B1972" t="str">
        <f t="shared" si="352"/>
        <v>10510000</v>
      </c>
      <c r="C1972" t="str">
        <f t="shared" si="353"/>
        <v>10510001</v>
      </c>
      <c r="D1972">
        <v>89301171</v>
      </c>
      <c r="E1972" t="str">
        <f>"0308094842"</f>
        <v>0308094842</v>
      </c>
      <c r="F1972" s="1">
        <v>44966</v>
      </c>
      <c r="G1972" t="str">
        <f>"82034"</f>
        <v>82034</v>
      </c>
      <c r="H1972">
        <v>1</v>
      </c>
      <c r="I1972">
        <v>354</v>
      </c>
      <c r="J1972">
        <v>0</v>
      </c>
      <c r="K1972" t="str">
        <f t="shared" si="354"/>
        <v>802</v>
      </c>
      <c r="L1972">
        <v>343.38</v>
      </c>
    </row>
    <row r="1973" spans="1:12" x14ac:dyDescent="0.25">
      <c r="A1973" t="str">
        <f t="shared" si="347"/>
        <v>89301000</v>
      </c>
      <c r="B1973" t="str">
        <f t="shared" si="352"/>
        <v>10510000</v>
      </c>
      <c r="C1973" t="str">
        <f t="shared" si="353"/>
        <v>10510001</v>
      </c>
      <c r="D1973">
        <v>89301171</v>
      </c>
      <c r="E1973" t="str">
        <f>"0308094842"</f>
        <v>0308094842</v>
      </c>
      <c r="F1973" s="1">
        <v>44966</v>
      </c>
      <c r="G1973" t="str">
        <f>"82041"</f>
        <v>82041</v>
      </c>
      <c r="H1973">
        <v>1</v>
      </c>
      <c r="I1973">
        <v>1096</v>
      </c>
      <c r="J1973">
        <v>0</v>
      </c>
      <c r="K1973" t="str">
        <f t="shared" si="354"/>
        <v>802</v>
      </c>
      <c r="L1973">
        <v>1063.1199999999999</v>
      </c>
    </row>
    <row r="1974" spans="1:12" x14ac:dyDescent="0.25">
      <c r="A1974" t="str">
        <f t="shared" si="347"/>
        <v>89301000</v>
      </c>
      <c r="B1974" t="str">
        <f t="shared" si="352"/>
        <v>10510000</v>
      </c>
      <c r="C1974" t="str">
        <f t="shared" si="353"/>
        <v>10510001</v>
      </c>
      <c r="D1974">
        <v>89301171</v>
      </c>
      <c r="E1974" t="str">
        <f>"0308094842"</f>
        <v>0308094842</v>
      </c>
      <c r="F1974" s="1">
        <v>44966</v>
      </c>
      <c r="G1974" t="str">
        <f>"82041"</f>
        <v>82041</v>
      </c>
      <c r="H1974">
        <v>1</v>
      </c>
      <c r="I1974">
        <v>1096</v>
      </c>
      <c r="J1974">
        <v>0</v>
      </c>
      <c r="K1974" t="str">
        <f t="shared" si="354"/>
        <v>802</v>
      </c>
      <c r="L1974">
        <v>1063.1199999999999</v>
      </c>
    </row>
    <row r="1975" spans="1:12" x14ac:dyDescent="0.25">
      <c r="A1975" t="str">
        <f t="shared" si="347"/>
        <v>89301000</v>
      </c>
      <c r="B1975" t="str">
        <f t="shared" si="352"/>
        <v>10510000</v>
      </c>
      <c r="C1975" t="str">
        <f t="shared" si="353"/>
        <v>10510001</v>
      </c>
      <c r="D1975">
        <v>89301171</v>
      </c>
      <c r="E1975" t="str">
        <f>"5806160613"</f>
        <v>5806160613</v>
      </c>
      <c r="F1975" s="1">
        <v>44971</v>
      </c>
      <c r="G1975" t="str">
        <f>"82041"</f>
        <v>82041</v>
      </c>
      <c r="H1975">
        <v>1</v>
      </c>
      <c r="I1975">
        <v>1096</v>
      </c>
      <c r="J1975">
        <v>0</v>
      </c>
      <c r="K1975" t="str">
        <f t="shared" si="354"/>
        <v>802</v>
      </c>
      <c r="L1975">
        <v>1063.1199999999999</v>
      </c>
    </row>
    <row r="1976" spans="1:12" x14ac:dyDescent="0.25">
      <c r="A1976" t="str">
        <f t="shared" si="347"/>
        <v>89301000</v>
      </c>
      <c r="B1976" t="str">
        <f t="shared" si="352"/>
        <v>10510000</v>
      </c>
      <c r="C1976" t="str">
        <f t="shared" si="353"/>
        <v>10510001</v>
      </c>
      <c r="D1976">
        <v>89301171</v>
      </c>
      <c r="E1976" t="str">
        <f>"5806160613"</f>
        <v>5806160613</v>
      </c>
      <c r="F1976" s="1">
        <v>44971</v>
      </c>
      <c r="G1976" t="str">
        <f>"82041"</f>
        <v>82041</v>
      </c>
      <c r="H1976">
        <v>1</v>
      </c>
      <c r="I1976">
        <v>1096</v>
      </c>
      <c r="J1976">
        <v>0</v>
      </c>
      <c r="K1976" t="str">
        <f t="shared" si="354"/>
        <v>802</v>
      </c>
      <c r="L1976">
        <v>1063.1199999999999</v>
      </c>
    </row>
    <row r="1977" spans="1:12" x14ac:dyDescent="0.25">
      <c r="A1977" t="str">
        <f t="shared" si="347"/>
        <v>89301000</v>
      </c>
      <c r="B1977" t="str">
        <f t="shared" si="352"/>
        <v>10510000</v>
      </c>
      <c r="C1977" t="str">
        <f t="shared" si="353"/>
        <v>10510001</v>
      </c>
      <c r="D1977">
        <v>89301171</v>
      </c>
      <c r="E1977" t="str">
        <f>"5806160613"</f>
        <v>5806160613</v>
      </c>
      <c r="F1977" s="1">
        <v>44971</v>
      </c>
      <c r="G1977" t="str">
        <f>"82034"</f>
        <v>82034</v>
      </c>
      <c r="H1977">
        <v>1</v>
      </c>
      <c r="I1977">
        <v>354</v>
      </c>
      <c r="J1977">
        <v>0</v>
      </c>
      <c r="K1977" t="str">
        <f t="shared" si="354"/>
        <v>802</v>
      </c>
      <c r="L1977">
        <v>343.38</v>
      </c>
    </row>
    <row r="1978" spans="1:12" x14ac:dyDescent="0.25">
      <c r="A1978" t="str">
        <f t="shared" si="347"/>
        <v>89301000</v>
      </c>
      <c r="B1978" t="str">
        <f t="shared" si="352"/>
        <v>10510000</v>
      </c>
      <c r="C1978" t="str">
        <f t="shared" si="353"/>
        <v>10510001</v>
      </c>
      <c r="D1978">
        <v>89301171</v>
      </c>
      <c r="E1978" t="str">
        <f>"5555132462"</f>
        <v>5555132462</v>
      </c>
      <c r="F1978" s="1">
        <v>44971</v>
      </c>
      <c r="G1978" t="str">
        <f>"82034"</f>
        <v>82034</v>
      </c>
      <c r="H1978">
        <v>1</v>
      </c>
      <c r="I1978">
        <v>354</v>
      </c>
      <c r="J1978">
        <v>0</v>
      </c>
      <c r="K1978" t="str">
        <f t="shared" si="354"/>
        <v>802</v>
      </c>
      <c r="L1978">
        <v>343.38</v>
      </c>
    </row>
    <row r="1979" spans="1:12" x14ac:dyDescent="0.25">
      <c r="A1979" t="str">
        <f t="shared" si="347"/>
        <v>89301000</v>
      </c>
      <c r="B1979" t="str">
        <f t="shared" si="352"/>
        <v>10510000</v>
      </c>
      <c r="C1979" t="str">
        <f t="shared" si="353"/>
        <v>10510001</v>
      </c>
      <c r="D1979">
        <v>89301171</v>
      </c>
      <c r="E1979" t="str">
        <f>"5555132462"</f>
        <v>5555132462</v>
      </c>
      <c r="F1979" s="1">
        <v>44971</v>
      </c>
      <c r="G1979" t="str">
        <f>"82041"</f>
        <v>82041</v>
      </c>
      <c r="H1979">
        <v>1</v>
      </c>
      <c r="I1979">
        <v>1096</v>
      </c>
      <c r="J1979">
        <v>0</v>
      </c>
      <c r="K1979" t="str">
        <f t="shared" si="354"/>
        <v>802</v>
      </c>
      <c r="L1979">
        <v>1063.1199999999999</v>
      </c>
    </row>
    <row r="1980" spans="1:12" x14ac:dyDescent="0.25">
      <c r="A1980" t="str">
        <f t="shared" si="347"/>
        <v>89301000</v>
      </c>
      <c r="B1980" t="str">
        <f t="shared" si="352"/>
        <v>10510000</v>
      </c>
      <c r="C1980" t="str">
        <f t="shared" si="353"/>
        <v>10510001</v>
      </c>
      <c r="D1980">
        <v>89301171</v>
      </c>
      <c r="E1980" t="str">
        <f>"5555132462"</f>
        <v>5555132462</v>
      </c>
      <c r="F1980" s="1">
        <v>44971</v>
      </c>
      <c r="G1980" t="str">
        <f>"82041"</f>
        <v>82041</v>
      </c>
      <c r="H1980">
        <v>1</v>
      </c>
      <c r="I1980">
        <v>1096</v>
      </c>
      <c r="J1980">
        <v>0</v>
      </c>
      <c r="K1980" t="str">
        <f t="shared" si="354"/>
        <v>802</v>
      </c>
      <c r="L1980">
        <v>1063.1199999999999</v>
      </c>
    </row>
    <row r="1981" spans="1:12" x14ac:dyDescent="0.25">
      <c r="A1981" t="str">
        <f t="shared" si="347"/>
        <v>89301000</v>
      </c>
      <c r="B1981" t="str">
        <f t="shared" si="352"/>
        <v>10510000</v>
      </c>
      <c r="C1981" t="str">
        <f t="shared" si="353"/>
        <v>10510001</v>
      </c>
      <c r="D1981">
        <v>89301171</v>
      </c>
      <c r="E1981" t="str">
        <f>"6754170797"</f>
        <v>6754170797</v>
      </c>
      <c r="F1981" s="1">
        <v>44971</v>
      </c>
      <c r="G1981" t="str">
        <f>"82034"</f>
        <v>82034</v>
      </c>
      <c r="H1981">
        <v>1</v>
      </c>
      <c r="I1981">
        <v>354</v>
      </c>
      <c r="J1981">
        <v>0</v>
      </c>
      <c r="K1981" t="str">
        <f t="shared" si="354"/>
        <v>802</v>
      </c>
      <c r="L1981">
        <v>343.38</v>
      </c>
    </row>
    <row r="1982" spans="1:12" x14ac:dyDescent="0.25">
      <c r="A1982" t="str">
        <f t="shared" si="347"/>
        <v>89301000</v>
      </c>
      <c r="B1982" t="str">
        <f t="shared" si="352"/>
        <v>10510000</v>
      </c>
      <c r="C1982" t="str">
        <f t="shared" si="353"/>
        <v>10510001</v>
      </c>
      <c r="D1982">
        <v>89301171</v>
      </c>
      <c r="E1982" t="str">
        <f>"6754170797"</f>
        <v>6754170797</v>
      </c>
      <c r="F1982" s="1">
        <v>44971</v>
      </c>
      <c r="G1982" t="str">
        <f>"82041"</f>
        <v>82041</v>
      </c>
      <c r="H1982">
        <v>1</v>
      </c>
      <c r="I1982">
        <v>1096</v>
      </c>
      <c r="J1982">
        <v>0</v>
      </c>
      <c r="K1982" t="str">
        <f t="shared" si="354"/>
        <v>802</v>
      </c>
      <c r="L1982">
        <v>1063.1199999999999</v>
      </c>
    </row>
    <row r="1983" spans="1:12" x14ac:dyDescent="0.25">
      <c r="A1983" t="str">
        <f t="shared" si="347"/>
        <v>89301000</v>
      </c>
      <c r="B1983" t="str">
        <f t="shared" si="352"/>
        <v>10510000</v>
      </c>
      <c r="C1983" t="str">
        <f t="shared" si="353"/>
        <v>10510001</v>
      </c>
      <c r="D1983">
        <v>89301171</v>
      </c>
      <c r="E1983" t="str">
        <f>"6754170797"</f>
        <v>6754170797</v>
      </c>
      <c r="F1983" s="1">
        <v>44971</v>
      </c>
      <c r="G1983" t="str">
        <f>"82041"</f>
        <v>82041</v>
      </c>
      <c r="H1983">
        <v>1</v>
      </c>
      <c r="I1983">
        <v>1096</v>
      </c>
      <c r="J1983">
        <v>0</v>
      </c>
      <c r="K1983" t="str">
        <f t="shared" si="354"/>
        <v>802</v>
      </c>
      <c r="L1983">
        <v>1063.1199999999999</v>
      </c>
    </row>
    <row r="1984" spans="1:12" x14ac:dyDescent="0.25">
      <c r="A1984" t="str">
        <f t="shared" si="347"/>
        <v>89301000</v>
      </c>
      <c r="B1984" t="str">
        <f t="shared" si="352"/>
        <v>10510000</v>
      </c>
      <c r="C1984" t="str">
        <f t="shared" si="353"/>
        <v>10510001</v>
      </c>
      <c r="D1984">
        <v>89301171</v>
      </c>
      <c r="E1984" t="str">
        <f>"525527029"</f>
        <v>525527029</v>
      </c>
      <c r="F1984" s="1">
        <v>44979</v>
      </c>
      <c r="G1984" t="str">
        <f>"82041"</f>
        <v>82041</v>
      </c>
      <c r="H1984">
        <v>1</v>
      </c>
      <c r="I1984">
        <v>1096</v>
      </c>
      <c r="J1984">
        <v>0</v>
      </c>
      <c r="K1984" t="str">
        <f t="shared" si="354"/>
        <v>802</v>
      </c>
      <c r="L1984">
        <v>1063.1199999999999</v>
      </c>
    </row>
    <row r="1985" spans="1:12" x14ac:dyDescent="0.25">
      <c r="A1985" t="str">
        <f t="shared" si="347"/>
        <v>89301000</v>
      </c>
      <c r="B1985" t="str">
        <f t="shared" si="352"/>
        <v>10510000</v>
      </c>
      <c r="C1985" t="str">
        <f t="shared" si="353"/>
        <v>10510001</v>
      </c>
      <c r="D1985">
        <v>89301171</v>
      </c>
      <c r="E1985" t="str">
        <f>"525527029"</f>
        <v>525527029</v>
      </c>
      <c r="F1985" s="1">
        <v>44979</v>
      </c>
      <c r="G1985" t="str">
        <f>"82041"</f>
        <v>82041</v>
      </c>
      <c r="H1985">
        <v>1</v>
      </c>
      <c r="I1985">
        <v>1096</v>
      </c>
      <c r="J1985">
        <v>0</v>
      </c>
      <c r="K1985" t="str">
        <f t="shared" si="354"/>
        <v>802</v>
      </c>
      <c r="L1985">
        <v>1063.1199999999999</v>
      </c>
    </row>
    <row r="1986" spans="1:12" x14ac:dyDescent="0.25">
      <c r="A1986" t="str">
        <f t="shared" ref="A1986:A2049" si="355">"89301000"</f>
        <v>89301000</v>
      </c>
      <c r="B1986" t="str">
        <f t="shared" si="352"/>
        <v>10510000</v>
      </c>
      <c r="C1986" t="str">
        <f t="shared" si="353"/>
        <v>10510001</v>
      </c>
      <c r="D1986">
        <v>89301171</v>
      </c>
      <c r="E1986" t="str">
        <f>"525527029"</f>
        <v>525527029</v>
      </c>
      <c r="F1986" s="1">
        <v>44979</v>
      </c>
      <c r="G1986" t="str">
        <f>"82034"</f>
        <v>82034</v>
      </c>
      <c r="H1986">
        <v>1</v>
      </c>
      <c r="I1986">
        <v>354</v>
      </c>
      <c r="J1986">
        <v>0</v>
      </c>
      <c r="K1986" t="str">
        <f t="shared" si="354"/>
        <v>802</v>
      </c>
      <c r="L1986">
        <v>343.38</v>
      </c>
    </row>
    <row r="1987" spans="1:12" x14ac:dyDescent="0.25">
      <c r="A1987" t="str">
        <f t="shared" si="355"/>
        <v>89301000</v>
      </c>
      <c r="B1987" t="str">
        <f t="shared" si="352"/>
        <v>10510000</v>
      </c>
      <c r="C1987" t="str">
        <f t="shared" si="353"/>
        <v>10510001</v>
      </c>
      <c r="D1987">
        <v>89301171</v>
      </c>
      <c r="E1987" t="str">
        <f>"9858245749"</f>
        <v>9858245749</v>
      </c>
      <c r="F1987" s="1">
        <v>44979</v>
      </c>
      <c r="G1987" t="str">
        <f>"82034"</f>
        <v>82034</v>
      </c>
      <c r="H1987">
        <v>1</v>
      </c>
      <c r="I1987">
        <v>354</v>
      </c>
      <c r="J1987">
        <v>0</v>
      </c>
      <c r="K1987" t="str">
        <f t="shared" si="354"/>
        <v>802</v>
      </c>
      <c r="L1987">
        <v>343.38</v>
      </c>
    </row>
    <row r="1988" spans="1:12" x14ac:dyDescent="0.25">
      <c r="A1988" t="str">
        <f t="shared" si="355"/>
        <v>89301000</v>
      </c>
      <c r="B1988" t="str">
        <f t="shared" si="352"/>
        <v>10510000</v>
      </c>
      <c r="C1988" t="str">
        <f t="shared" si="353"/>
        <v>10510001</v>
      </c>
      <c r="D1988">
        <v>89301171</v>
      </c>
      <c r="E1988" t="str">
        <f>"9858245749"</f>
        <v>9858245749</v>
      </c>
      <c r="F1988" s="1">
        <v>44979</v>
      </c>
      <c r="G1988" t="str">
        <f>"82041"</f>
        <v>82041</v>
      </c>
      <c r="H1988">
        <v>1</v>
      </c>
      <c r="I1988">
        <v>1096</v>
      </c>
      <c r="J1988">
        <v>0</v>
      </c>
      <c r="K1988" t="str">
        <f t="shared" si="354"/>
        <v>802</v>
      </c>
      <c r="L1988">
        <v>1063.1199999999999</v>
      </c>
    </row>
    <row r="1989" spans="1:12" x14ac:dyDescent="0.25">
      <c r="A1989" t="str">
        <f t="shared" si="355"/>
        <v>89301000</v>
      </c>
      <c r="B1989" t="str">
        <f t="shared" si="352"/>
        <v>10510000</v>
      </c>
      <c r="C1989" t="str">
        <f t="shared" si="353"/>
        <v>10510001</v>
      </c>
      <c r="D1989">
        <v>89301171</v>
      </c>
      <c r="E1989" t="str">
        <f>"9858245749"</f>
        <v>9858245749</v>
      </c>
      <c r="F1989" s="1">
        <v>44979</v>
      </c>
      <c r="G1989" t="str">
        <f>"82041"</f>
        <v>82041</v>
      </c>
      <c r="H1989">
        <v>1</v>
      </c>
      <c r="I1989">
        <v>1096</v>
      </c>
      <c r="J1989">
        <v>0</v>
      </c>
      <c r="K1989" t="str">
        <f t="shared" si="354"/>
        <v>802</v>
      </c>
      <c r="L1989">
        <v>1063.1199999999999</v>
      </c>
    </row>
    <row r="1990" spans="1:12" x14ac:dyDescent="0.25">
      <c r="A1990" t="str">
        <f t="shared" si="355"/>
        <v>89301000</v>
      </c>
      <c r="B1990" t="str">
        <f t="shared" si="352"/>
        <v>10510000</v>
      </c>
      <c r="C1990" t="str">
        <f t="shared" si="353"/>
        <v>10510001</v>
      </c>
      <c r="D1990">
        <v>89301171</v>
      </c>
      <c r="E1990" t="str">
        <f>"8610085440"</f>
        <v>8610085440</v>
      </c>
      <c r="F1990" s="1">
        <v>44979</v>
      </c>
      <c r="G1990" t="str">
        <f>"82034"</f>
        <v>82034</v>
      </c>
      <c r="H1990">
        <v>1</v>
      </c>
      <c r="I1990">
        <v>354</v>
      </c>
      <c r="J1990">
        <v>0</v>
      </c>
      <c r="K1990" t="str">
        <f t="shared" si="354"/>
        <v>802</v>
      </c>
      <c r="L1990">
        <v>343.38</v>
      </c>
    </row>
    <row r="1991" spans="1:12" x14ac:dyDescent="0.25">
      <c r="A1991" t="str">
        <f t="shared" si="355"/>
        <v>89301000</v>
      </c>
      <c r="B1991" t="str">
        <f t="shared" si="352"/>
        <v>10510000</v>
      </c>
      <c r="C1991" t="str">
        <f t="shared" si="353"/>
        <v>10510001</v>
      </c>
      <c r="D1991">
        <v>89301171</v>
      </c>
      <c r="E1991" t="str">
        <f>"8610085440"</f>
        <v>8610085440</v>
      </c>
      <c r="F1991" s="1">
        <v>44979</v>
      </c>
      <c r="G1991" t="str">
        <f>"82041"</f>
        <v>82041</v>
      </c>
      <c r="H1991">
        <v>1</v>
      </c>
      <c r="I1991">
        <v>1096</v>
      </c>
      <c r="J1991">
        <v>0</v>
      </c>
      <c r="K1991" t="str">
        <f t="shared" si="354"/>
        <v>802</v>
      </c>
      <c r="L1991">
        <v>1063.1199999999999</v>
      </c>
    </row>
    <row r="1992" spans="1:12" x14ac:dyDescent="0.25">
      <c r="A1992" t="str">
        <f t="shared" si="355"/>
        <v>89301000</v>
      </c>
      <c r="B1992" t="str">
        <f t="shared" si="352"/>
        <v>10510000</v>
      </c>
      <c r="C1992" t="str">
        <f t="shared" si="353"/>
        <v>10510001</v>
      </c>
      <c r="D1992">
        <v>89301171</v>
      </c>
      <c r="E1992" t="str">
        <f>"8610085440"</f>
        <v>8610085440</v>
      </c>
      <c r="F1992" s="1">
        <v>44979</v>
      </c>
      <c r="G1992" t="str">
        <f>"82041"</f>
        <v>82041</v>
      </c>
      <c r="H1992">
        <v>1</v>
      </c>
      <c r="I1992">
        <v>1096</v>
      </c>
      <c r="J1992">
        <v>0</v>
      </c>
      <c r="K1992" t="str">
        <f t="shared" si="354"/>
        <v>802</v>
      </c>
      <c r="L1992">
        <v>1063.1199999999999</v>
      </c>
    </row>
    <row r="1993" spans="1:12" x14ac:dyDescent="0.25">
      <c r="A1993" t="str">
        <f t="shared" si="355"/>
        <v>89301000</v>
      </c>
      <c r="B1993" t="str">
        <f t="shared" si="352"/>
        <v>10510000</v>
      </c>
      <c r="C1993" t="str">
        <f t="shared" si="353"/>
        <v>10510001</v>
      </c>
      <c r="D1993">
        <v>89301171</v>
      </c>
      <c r="E1993" t="str">
        <f>"400224443"</f>
        <v>400224443</v>
      </c>
      <c r="F1993" s="1">
        <v>44979</v>
      </c>
      <c r="G1993" t="str">
        <f>"82041"</f>
        <v>82041</v>
      </c>
      <c r="H1993">
        <v>1</v>
      </c>
      <c r="I1993">
        <v>1096</v>
      </c>
      <c r="J1993">
        <v>0</v>
      </c>
      <c r="K1993" t="str">
        <f t="shared" si="354"/>
        <v>802</v>
      </c>
      <c r="L1993">
        <v>1063.1199999999999</v>
      </c>
    </row>
    <row r="1994" spans="1:12" x14ac:dyDescent="0.25">
      <c r="A1994" t="str">
        <f t="shared" si="355"/>
        <v>89301000</v>
      </c>
      <c r="B1994" t="str">
        <f t="shared" si="352"/>
        <v>10510000</v>
      </c>
      <c r="C1994" t="str">
        <f t="shared" si="353"/>
        <v>10510001</v>
      </c>
      <c r="D1994">
        <v>89301171</v>
      </c>
      <c r="E1994" t="str">
        <f>"400224443"</f>
        <v>400224443</v>
      </c>
      <c r="F1994" s="1">
        <v>44979</v>
      </c>
      <c r="G1994" t="str">
        <f>"82041"</f>
        <v>82041</v>
      </c>
      <c r="H1994">
        <v>1</v>
      </c>
      <c r="I1994">
        <v>1096</v>
      </c>
      <c r="J1994">
        <v>0</v>
      </c>
      <c r="K1994" t="str">
        <f t="shared" si="354"/>
        <v>802</v>
      </c>
      <c r="L1994">
        <v>1063.1199999999999</v>
      </c>
    </row>
    <row r="1995" spans="1:12" x14ac:dyDescent="0.25">
      <c r="A1995" t="str">
        <f t="shared" si="355"/>
        <v>89301000</v>
      </c>
      <c r="B1995" t="str">
        <f t="shared" si="352"/>
        <v>10510000</v>
      </c>
      <c r="C1995" t="str">
        <f t="shared" si="353"/>
        <v>10510001</v>
      </c>
      <c r="D1995">
        <v>89301171</v>
      </c>
      <c r="E1995" t="str">
        <f>"400224443"</f>
        <v>400224443</v>
      </c>
      <c r="F1995" s="1">
        <v>44979</v>
      </c>
      <c r="G1995" t="str">
        <f>"82034"</f>
        <v>82034</v>
      </c>
      <c r="H1995">
        <v>1</v>
      </c>
      <c r="I1995">
        <v>354</v>
      </c>
      <c r="J1995">
        <v>0</v>
      </c>
      <c r="K1995" t="str">
        <f t="shared" si="354"/>
        <v>802</v>
      </c>
      <c r="L1995">
        <v>343.38</v>
      </c>
    </row>
    <row r="1996" spans="1:12" x14ac:dyDescent="0.25">
      <c r="A1996" t="str">
        <f t="shared" si="355"/>
        <v>89301000</v>
      </c>
      <c r="B1996" t="str">
        <f t="shared" si="352"/>
        <v>10510000</v>
      </c>
      <c r="C1996" t="str">
        <f t="shared" si="353"/>
        <v>10510001</v>
      </c>
      <c r="D1996">
        <v>89301171</v>
      </c>
      <c r="E1996" t="str">
        <f>"7661265381"</f>
        <v>7661265381</v>
      </c>
      <c r="F1996" s="1">
        <v>44984</v>
      </c>
      <c r="G1996" t="str">
        <f>"82034"</f>
        <v>82034</v>
      </c>
      <c r="H1996">
        <v>1</v>
      </c>
      <c r="I1996">
        <v>354</v>
      </c>
      <c r="J1996">
        <v>0</v>
      </c>
      <c r="K1996" t="str">
        <f t="shared" si="354"/>
        <v>802</v>
      </c>
      <c r="L1996">
        <v>343.38</v>
      </c>
    </row>
    <row r="1997" spans="1:12" x14ac:dyDescent="0.25">
      <c r="A1997" t="str">
        <f t="shared" si="355"/>
        <v>89301000</v>
      </c>
      <c r="B1997" t="str">
        <f t="shared" si="352"/>
        <v>10510000</v>
      </c>
      <c r="C1997" t="str">
        <f t="shared" si="353"/>
        <v>10510001</v>
      </c>
      <c r="D1997">
        <v>89301171</v>
      </c>
      <c r="E1997" t="str">
        <f>"7661265381"</f>
        <v>7661265381</v>
      </c>
      <c r="F1997" s="1">
        <v>44984</v>
      </c>
      <c r="G1997" t="str">
        <f>"82041"</f>
        <v>82041</v>
      </c>
      <c r="H1997">
        <v>1</v>
      </c>
      <c r="I1997">
        <v>1096</v>
      </c>
      <c r="J1997">
        <v>0</v>
      </c>
      <c r="K1997" t="str">
        <f t="shared" si="354"/>
        <v>802</v>
      </c>
      <c r="L1997">
        <v>1063.1199999999999</v>
      </c>
    </row>
    <row r="1998" spans="1:12" x14ac:dyDescent="0.25">
      <c r="A1998" t="str">
        <f t="shared" si="355"/>
        <v>89301000</v>
      </c>
      <c r="B1998" t="str">
        <f t="shared" si="352"/>
        <v>10510000</v>
      </c>
      <c r="C1998" t="str">
        <f t="shared" si="353"/>
        <v>10510001</v>
      </c>
      <c r="D1998">
        <v>89301171</v>
      </c>
      <c r="E1998" t="str">
        <f>"7661265381"</f>
        <v>7661265381</v>
      </c>
      <c r="F1998" s="1">
        <v>44984</v>
      </c>
      <c r="G1998" t="str">
        <f>"82041"</f>
        <v>82041</v>
      </c>
      <c r="H1998">
        <v>1</v>
      </c>
      <c r="I1998">
        <v>1096</v>
      </c>
      <c r="J1998">
        <v>0</v>
      </c>
      <c r="K1998" t="str">
        <f t="shared" si="354"/>
        <v>802</v>
      </c>
      <c r="L1998">
        <v>1063.1199999999999</v>
      </c>
    </row>
    <row r="1999" spans="1:12" x14ac:dyDescent="0.25">
      <c r="A1999" t="str">
        <f t="shared" si="355"/>
        <v>89301000</v>
      </c>
      <c r="B1999" t="str">
        <f t="shared" si="352"/>
        <v>10510000</v>
      </c>
      <c r="C1999" t="str">
        <f t="shared" si="353"/>
        <v>10510001</v>
      </c>
      <c r="D1999">
        <v>89301171</v>
      </c>
      <c r="E1999" t="str">
        <f>"8357184462"</f>
        <v>8357184462</v>
      </c>
      <c r="F1999" s="1">
        <v>44984</v>
      </c>
      <c r="G1999" t="str">
        <f>"82034"</f>
        <v>82034</v>
      </c>
      <c r="H1999">
        <v>1</v>
      </c>
      <c r="I1999">
        <v>354</v>
      </c>
      <c r="J1999">
        <v>0</v>
      </c>
      <c r="K1999" t="str">
        <f t="shared" si="354"/>
        <v>802</v>
      </c>
      <c r="L1999">
        <v>343.38</v>
      </c>
    </row>
    <row r="2000" spans="1:12" x14ac:dyDescent="0.25">
      <c r="A2000" t="str">
        <f t="shared" si="355"/>
        <v>89301000</v>
      </c>
      <c r="B2000" t="str">
        <f t="shared" si="352"/>
        <v>10510000</v>
      </c>
      <c r="C2000" t="str">
        <f t="shared" si="353"/>
        <v>10510001</v>
      </c>
      <c r="D2000">
        <v>89301171</v>
      </c>
      <c r="E2000" t="str">
        <f>"8357184462"</f>
        <v>8357184462</v>
      </c>
      <c r="F2000" s="1">
        <v>44984</v>
      </c>
      <c r="G2000" t="str">
        <f>"82041"</f>
        <v>82041</v>
      </c>
      <c r="H2000">
        <v>1</v>
      </c>
      <c r="I2000">
        <v>1096</v>
      </c>
      <c r="J2000">
        <v>0</v>
      </c>
      <c r="K2000" t="str">
        <f t="shared" si="354"/>
        <v>802</v>
      </c>
      <c r="L2000">
        <v>1063.1199999999999</v>
      </c>
    </row>
    <row r="2001" spans="1:12" x14ac:dyDescent="0.25">
      <c r="A2001" t="str">
        <f t="shared" si="355"/>
        <v>89301000</v>
      </c>
      <c r="B2001" t="str">
        <f t="shared" si="352"/>
        <v>10510000</v>
      </c>
      <c r="C2001" t="str">
        <f t="shared" si="353"/>
        <v>10510001</v>
      </c>
      <c r="D2001">
        <v>89301171</v>
      </c>
      <c r="E2001" t="str">
        <f>"8357184462"</f>
        <v>8357184462</v>
      </c>
      <c r="F2001" s="1">
        <v>44984</v>
      </c>
      <c r="G2001" t="str">
        <f>"82041"</f>
        <v>82041</v>
      </c>
      <c r="H2001">
        <v>1</v>
      </c>
      <c r="I2001">
        <v>1096</v>
      </c>
      <c r="J2001">
        <v>0</v>
      </c>
      <c r="K2001" t="str">
        <f t="shared" si="354"/>
        <v>802</v>
      </c>
      <c r="L2001">
        <v>1063.1199999999999</v>
      </c>
    </row>
    <row r="2002" spans="1:12" x14ac:dyDescent="0.25">
      <c r="A2002" t="str">
        <f t="shared" si="355"/>
        <v>89301000</v>
      </c>
      <c r="B2002" t="str">
        <f t="shared" ref="B2002:B2007" si="356">"10510000"</f>
        <v>10510000</v>
      </c>
      <c r="C2002" t="str">
        <f t="shared" ref="C2002:C2007" si="357">"10510001"</f>
        <v>10510001</v>
      </c>
      <c r="D2002">
        <v>89301171</v>
      </c>
      <c r="E2002" t="str">
        <f>"8052183502"</f>
        <v>8052183502</v>
      </c>
      <c r="F2002" s="1">
        <v>44984</v>
      </c>
      <c r="G2002" t="str">
        <f>"82034"</f>
        <v>82034</v>
      </c>
      <c r="H2002">
        <v>1</v>
      </c>
      <c r="I2002">
        <v>354</v>
      </c>
      <c r="J2002">
        <v>0</v>
      </c>
      <c r="K2002" t="str">
        <f t="shared" ref="K2002:K2007" si="358">"802"</f>
        <v>802</v>
      </c>
      <c r="L2002">
        <v>343.38</v>
      </c>
    </row>
    <row r="2003" spans="1:12" x14ac:dyDescent="0.25">
      <c r="A2003" t="str">
        <f t="shared" si="355"/>
        <v>89301000</v>
      </c>
      <c r="B2003" t="str">
        <f t="shared" si="356"/>
        <v>10510000</v>
      </c>
      <c r="C2003" t="str">
        <f t="shared" si="357"/>
        <v>10510001</v>
      </c>
      <c r="D2003">
        <v>89301171</v>
      </c>
      <c r="E2003" t="str">
        <f>"8052183502"</f>
        <v>8052183502</v>
      </c>
      <c r="F2003" s="1">
        <v>44984</v>
      </c>
      <c r="G2003" t="str">
        <f>"82041"</f>
        <v>82041</v>
      </c>
      <c r="H2003">
        <v>1</v>
      </c>
      <c r="I2003">
        <v>1096</v>
      </c>
      <c r="J2003">
        <v>0</v>
      </c>
      <c r="K2003" t="str">
        <f t="shared" si="358"/>
        <v>802</v>
      </c>
      <c r="L2003">
        <v>1063.1199999999999</v>
      </c>
    </row>
    <row r="2004" spans="1:12" x14ac:dyDescent="0.25">
      <c r="A2004" t="str">
        <f t="shared" si="355"/>
        <v>89301000</v>
      </c>
      <c r="B2004" t="str">
        <f t="shared" si="356"/>
        <v>10510000</v>
      </c>
      <c r="C2004" t="str">
        <f t="shared" si="357"/>
        <v>10510001</v>
      </c>
      <c r="D2004">
        <v>89301171</v>
      </c>
      <c r="E2004" t="str">
        <f>"8052183502"</f>
        <v>8052183502</v>
      </c>
      <c r="F2004" s="1">
        <v>44984</v>
      </c>
      <c r="G2004" t="str">
        <f>"82041"</f>
        <v>82041</v>
      </c>
      <c r="H2004">
        <v>1</v>
      </c>
      <c r="I2004">
        <v>1096</v>
      </c>
      <c r="J2004">
        <v>0</v>
      </c>
      <c r="K2004" t="str">
        <f t="shared" si="358"/>
        <v>802</v>
      </c>
      <c r="L2004">
        <v>1063.1199999999999</v>
      </c>
    </row>
    <row r="2005" spans="1:12" x14ac:dyDescent="0.25">
      <c r="A2005" t="str">
        <f t="shared" si="355"/>
        <v>89301000</v>
      </c>
      <c r="B2005" t="str">
        <f t="shared" si="356"/>
        <v>10510000</v>
      </c>
      <c r="C2005" t="str">
        <f t="shared" si="357"/>
        <v>10510001</v>
      </c>
      <c r="D2005">
        <v>89301171</v>
      </c>
      <c r="E2005" t="str">
        <f>"6261070123"</f>
        <v>6261070123</v>
      </c>
      <c r="F2005" s="1">
        <v>44984</v>
      </c>
      <c r="G2005" t="str">
        <f>"82041"</f>
        <v>82041</v>
      </c>
      <c r="H2005">
        <v>1</v>
      </c>
      <c r="I2005">
        <v>1096</v>
      </c>
      <c r="J2005">
        <v>0</v>
      </c>
      <c r="K2005" t="str">
        <f t="shared" si="358"/>
        <v>802</v>
      </c>
      <c r="L2005">
        <v>1063.1199999999999</v>
      </c>
    </row>
    <row r="2006" spans="1:12" x14ac:dyDescent="0.25">
      <c r="A2006" t="str">
        <f t="shared" si="355"/>
        <v>89301000</v>
      </c>
      <c r="B2006" t="str">
        <f t="shared" si="356"/>
        <v>10510000</v>
      </c>
      <c r="C2006" t="str">
        <f t="shared" si="357"/>
        <v>10510001</v>
      </c>
      <c r="D2006">
        <v>89301171</v>
      </c>
      <c r="E2006" t="str">
        <f>"6261070123"</f>
        <v>6261070123</v>
      </c>
      <c r="F2006" s="1">
        <v>44984</v>
      </c>
      <c r="G2006" t="str">
        <f>"82041"</f>
        <v>82041</v>
      </c>
      <c r="H2006">
        <v>1</v>
      </c>
      <c r="I2006">
        <v>1096</v>
      </c>
      <c r="J2006">
        <v>0</v>
      </c>
      <c r="K2006" t="str">
        <f t="shared" si="358"/>
        <v>802</v>
      </c>
      <c r="L2006">
        <v>1063.1199999999999</v>
      </c>
    </row>
    <row r="2007" spans="1:12" x14ac:dyDescent="0.25">
      <c r="A2007" t="str">
        <f t="shared" si="355"/>
        <v>89301000</v>
      </c>
      <c r="B2007" t="str">
        <f t="shared" si="356"/>
        <v>10510000</v>
      </c>
      <c r="C2007" t="str">
        <f t="shared" si="357"/>
        <v>10510001</v>
      </c>
      <c r="D2007">
        <v>89301171</v>
      </c>
      <c r="E2007" t="str">
        <f>"6261070123"</f>
        <v>6261070123</v>
      </c>
      <c r="F2007" s="1">
        <v>44984</v>
      </c>
      <c r="G2007" t="str">
        <f>"82034"</f>
        <v>82034</v>
      </c>
      <c r="H2007">
        <v>1</v>
      </c>
      <c r="I2007">
        <v>354</v>
      </c>
      <c r="J2007">
        <v>0</v>
      </c>
      <c r="K2007" t="str">
        <f t="shared" si="358"/>
        <v>802</v>
      </c>
      <c r="L2007">
        <v>343.38</v>
      </c>
    </row>
    <row r="2008" spans="1:12" x14ac:dyDescent="0.25">
      <c r="A2008" t="str">
        <f t="shared" si="355"/>
        <v>89301000</v>
      </c>
      <c r="B2008" t="str">
        <f>"87259000"</f>
        <v>87259000</v>
      </c>
      <c r="C2008" t="str">
        <f>"87259001"</f>
        <v>87259001</v>
      </c>
      <c r="D2008">
        <v>89301112</v>
      </c>
      <c r="E2008" t="str">
        <f>"6606251377"</f>
        <v>6606251377</v>
      </c>
      <c r="F2008" s="1">
        <v>44981</v>
      </c>
      <c r="G2008" t="str">
        <f>"89713"</f>
        <v>89713</v>
      </c>
      <c r="H2008">
        <v>1</v>
      </c>
      <c r="I2008">
        <v>5411</v>
      </c>
      <c r="J2008">
        <v>0</v>
      </c>
      <c r="K2008" t="str">
        <f>"810"</f>
        <v>810</v>
      </c>
      <c r="L2008">
        <v>3517.15</v>
      </c>
    </row>
    <row r="2009" spans="1:12" x14ac:dyDescent="0.25">
      <c r="A2009" t="str">
        <f t="shared" si="355"/>
        <v>89301000</v>
      </c>
      <c r="B2009" t="str">
        <f t="shared" ref="B2009:B2040" si="359">"89383000"</f>
        <v>89383000</v>
      </c>
      <c r="C2009" t="str">
        <f t="shared" ref="C2009:C2040" si="360">"89383002"</f>
        <v>89383002</v>
      </c>
      <c r="D2009">
        <v>89301212</v>
      </c>
      <c r="E2009" t="str">
        <f>"6760110577"</f>
        <v>6760110577</v>
      </c>
      <c r="F2009" s="1">
        <v>44958</v>
      </c>
      <c r="G2009" t="str">
        <f>"89513"</f>
        <v>89513</v>
      </c>
      <c r="H2009">
        <v>1</v>
      </c>
      <c r="I2009">
        <v>378</v>
      </c>
      <c r="J2009">
        <v>0</v>
      </c>
      <c r="K2009" t="str">
        <f t="shared" ref="K2009:K2040" si="361">"809"</f>
        <v>809</v>
      </c>
      <c r="L2009">
        <v>555.66</v>
      </c>
    </row>
    <row r="2010" spans="1:12" x14ac:dyDescent="0.25">
      <c r="A2010" t="str">
        <f t="shared" si="355"/>
        <v>89301000</v>
      </c>
      <c r="B2010" t="str">
        <f t="shared" si="359"/>
        <v>89383000</v>
      </c>
      <c r="C2010" t="str">
        <f t="shared" si="360"/>
        <v>89383002</v>
      </c>
      <c r="D2010">
        <v>89301212</v>
      </c>
      <c r="E2010" t="str">
        <f>"6760110577"</f>
        <v>6760110577</v>
      </c>
      <c r="F2010" s="1">
        <v>44958</v>
      </c>
      <c r="G2010" t="str">
        <f>"89514"</f>
        <v>89514</v>
      </c>
      <c r="H2010">
        <v>1</v>
      </c>
      <c r="I2010">
        <v>378</v>
      </c>
      <c r="J2010">
        <v>0</v>
      </c>
      <c r="K2010" t="str">
        <f t="shared" si="361"/>
        <v>809</v>
      </c>
      <c r="L2010">
        <v>555.66</v>
      </c>
    </row>
    <row r="2011" spans="1:12" x14ac:dyDescent="0.25">
      <c r="A2011" t="str">
        <f t="shared" si="355"/>
        <v>89301000</v>
      </c>
      <c r="B2011" t="str">
        <f t="shared" si="359"/>
        <v>89383000</v>
      </c>
      <c r="C2011" t="str">
        <f t="shared" si="360"/>
        <v>89383002</v>
      </c>
      <c r="D2011">
        <v>89301212</v>
      </c>
      <c r="E2011" t="str">
        <f>"6061261437"</f>
        <v>6061261437</v>
      </c>
      <c r="F2011" s="1">
        <v>44959</v>
      </c>
      <c r="G2011" t="str">
        <f>"89512"</f>
        <v>89512</v>
      </c>
      <c r="H2011">
        <v>1</v>
      </c>
      <c r="I2011">
        <v>283</v>
      </c>
      <c r="J2011">
        <v>0</v>
      </c>
      <c r="K2011" t="str">
        <f t="shared" si="361"/>
        <v>809</v>
      </c>
      <c r="L2011">
        <v>416.01</v>
      </c>
    </row>
    <row r="2012" spans="1:12" x14ac:dyDescent="0.25">
      <c r="A2012" t="str">
        <f t="shared" si="355"/>
        <v>89301000</v>
      </c>
      <c r="B2012" t="str">
        <f t="shared" si="359"/>
        <v>89383000</v>
      </c>
      <c r="C2012" t="str">
        <f t="shared" si="360"/>
        <v>89383002</v>
      </c>
      <c r="D2012">
        <v>89301212</v>
      </c>
      <c r="E2012" t="str">
        <f>"6061261437"</f>
        <v>6061261437</v>
      </c>
      <c r="F2012" s="1">
        <v>44959</v>
      </c>
      <c r="G2012" t="str">
        <f>"89513"</f>
        <v>89513</v>
      </c>
      <c r="H2012">
        <v>1</v>
      </c>
      <c r="I2012">
        <v>378</v>
      </c>
      <c r="J2012">
        <v>0</v>
      </c>
      <c r="K2012" t="str">
        <f t="shared" si="361"/>
        <v>809</v>
      </c>
      <c r="L2012">
        <v>555.66</v>
      </c>
    </row>
    <row r="2013" spans="1:12" x14ac:dyDescent="0.25">
      <c r="A2013" t="str">
        <f t="shared" si="355"/>
        <v>89301000</v>
      </c>
      <c r="B2013" t="str">
        <f t="shared" si="359"/>
        <v>89383000</v>
      </c>
      <c r="C2013" t="str">
        <f t="shared" si="360"/>
        <v>89383002</v>
      </c>
      <c r="D2013">
        <v>89301212</v>
      </c>
      <c r="E2013" t="str">
        <f>"6061261437"</f>
        <v>6061261437</v>
      </c>
      <c r="F2013" s="1">
        <v>44959</v>
      </c>
      <c r="G2013" t="str">
        <f>"89514"</f>
        <v>89514</v>
      </c>
      <c r="H2013">
        <v>1</v>
      </c>
      <c r="I2013">
        <v>378</v>
      </c>
      <c r="J2013">
        <v>0</v>
      </c>
      <c r="K2013" t="str">
        <f t="shared" si="361"/>
        <v>809</v>
      </c>
      <c r="L2013">
        <v>555.66</v>
      </c>
    </row>
    <row r="2014" spans="1:12" x14ac:dyDescent="0.25">
      <c r="A2014" t="str">
        <f t="shared" si="355"/>
        <v>89301000</v>
      </c>
      <c r="B2014" t="str">
        <f t="shared" si="359"/>
        <v>89383000</v>
      </c>
      <c r="C2014" t="str">
        <f t="shared" si="360"/>
        <v>89383002</v>
      </c>
      <c r="D2014">
        <v>89301045</v>
      </c>
      <c r="E2014" t="str">
        <f t="shared" ref="E2014:E2020" si="362">"9758125718"</f>
        <v>9758125718</v>
      </c>
      <c r="F2014" s="1">
        <v>44959</v>
      </c>
      <c r="G2014" t="str">
        <f>"89512"</f>
        <v>89512</v>
      </c>
      <c r="H2014">
        <v>1</v>
      </c>
      <c r="I2014">
        <v>283</v>
      </c>
      <c r="J2014">
        <v>0</v>
      </c>
      <c r="K2014" t="str">
        <f t="shared" si="361"/>
        <v>809</v>
      </c>
      <c r="L2014">
        <v>416.01</v>
      </c>
    </row>
    <row r="2015" spans="1:12" x14ac:dyDescent="0.25">
      <c r="A2015" t="str">
        <f t="shared" si="355"/>
        <v>89301000</v>
      </c>
      <c r="B2015" t="str">
        <f t="shared" si="359"/>
        <v>89383000</v>
      </c>
      <c r="C2015" t="str">
        <f t="shared" si="360"/>
        <v>89383002</v>
      </c>
      <c r="D2015">
        <v>89301045</v>
      </c>
      <c r="E2015" t="str">
        <f t="shared" si="362"/>
        <v>9758125718</v>
      </c>
      <c r="F2015" s="1">
        <v>44959</v>
      </c>
      <c r="G2015" t="str">
        <f>"89313"</f>
        <v>89313</v>
      </c>
      <c r="H2015">
        <v>1</v>
      </c>
      <c r="I2015">
        <v>420</v>
      </c>
      <c r="J2015">
        <v>0</v>
      </c>
      <c r="K2015" t="str">
        <f t="shared" si="361"/>
        <v>809</v>
      </c>
      <c r="L2015">
        <v>617.4</v>
      </c>
    </row>
    <row r="2016" spans="1:12" x14ac:dyDescent="0.25">
      <c r="A2016" t="str">
        <f t="shared" si="355"/>
        <v>89301000</v>
      </c>
      <c r="B2016" t="str">
        <f t="shared" si="359"/>
        <v>89383000</v>
      </c>
      <c r="C2016" t="str">
        <f t="shared" si="360"/>
        <v>89383002</v>
      </c>
      <c r="D2016">
        <v>89301045</v>
      </c>
      <c r="E2016" t="str">
        <f t="shared" si="362"/>
        <v>9758125718</v>
      </c>
      <c r="F2016" s="1">
        <v>44959</v>
      </c>
      <c r="G2016" t="str">
        <f>"09233"</f>
        <v>09233</v>
      </c>
      <c r="H2016">
        <v>1</v>
      </c>
      <c r="I2016">
        <v>102</v>
      </c>
      <c r="J2016">
        <v>0</v>
      </c>
      <c r="K2016" t="str">
        <f t="shared" si="361"/>
        <v>809</v>
      </c>
      <c r="L2016">
        <v>149.94</v>
      </c>
    </row>
    <row r="2017" spans="1:12" x14ac:dyDescent="0.25">
      <c r="A2017" t="str">
        <f t="shared" si="355"/>
        <v>89301000</v>
      </c>
      <c r="B2017" t="str">
        <f t="shared" si="359"/>
        <v>89383000</v>
      </c>
      <c r="C2017" t="str">
        <f t="shared" si="360"/>
        <v>89383002</v>
      </c>
      <c r="D2017">
        <v>89301045</v>
      </c>
      <c r="E2017" t="str">
        <f t="shared" si="362"/>
        <v>9758125718</v>
      </c>
      <c r="F2017" s="1">
        <v>44959</v>
      </c>
      <c r="G2017" t="str">
        <f>"89515"</f>
        <v>89515</v>
      </c>
      <c r="H2017">
        <v>1</v>
      </c>
      <c r="I2017">
        <v>347</v>
      </c>
      <c r="J2017">
        <v>0</v>
      </c>
      <c r="K2017" t="str">
        <f t="shared" si="361"/>
        <v>809</v>
      </c>
      <c r="L2017">
        <v>510.09</v>
      </c>
    </row>
    <row r="2018" spans="1:12" x14ac:dyDescent="0.25">
      <c r="A2018" t="str">
        <f t="shared" si="355"/>
        <v>89301000</v>
      </c>
      <c r="B2018" t="str">
        <f t="shared" si="359"/>
        <v>89383000</v>
      </c>
      <c r="C2018" t="str">
        <f t="shared" si="360"/>
        <v>89383002</v>
      </c>
      <c r="D2018">
        <v>89301045</v>
      </c>
      <c r="E2018" t="str">
        <f t="shared" si="362"/>
        <v>9758125718</v>
      </c>
      <c r="F2018" s="1">
        <v>44973</v>
      </c>
      <c r="G2018" t="str">
        <f>"89512"</f>
        <v>89512</v>
      </c>
      <c r="H2018">
        <v>1</v>
      </c>
      <c r="I2018">
        <v>283</v>
      </c>
      <c r="J2018">
        <v>0</v>
      </c>
      <c r="K2018" t="str">
        <f t="shared" si="361"/>
        <v>809</v>
      </c>
      <c r="L2018">
        <v>416.01</v>
      </c>
    </row>
    <row r="2019" spans="1:12" x14ac:dyDescent="0.25">
      <c r="A2019" t="str">
        <f t="shared" si="355"/>
        <v>89301000</v>
      </c>
      <c r="B2019" t="str">
        <f t="shared" si="359"/>
        <v>89383000</v>
      </c>
      <c r="C2019" t="str">
        <f t="shared" si="360"/>
        <v>89383002</v>
      </c>
      <c r="D2019">
        <v>89301045</v>
      </c>
      <c r="E2019" t="str">
        <f t="shared" si="362"/>
        <v>9758125718</v>
      </c>
      <c r="F2019" s="1">
        <v>44959</v>
      </c>
      <c r="G2019" t="str">
        <f>"0225891"</f>
        <v>0225891</v>
      </c>
      <c r="H2019">
        <v>0.05</v>
      </c>
      <c r="J2019">
        <v>18.39</v>
      </c>
      <c r="K2019" t="str">
        <f t="shared" si="361"/>
        <v>809</v>
      </c>
      <c r="L2019">
        <v>18.39</v>
      </c>
    </row>
    <row r="2020" spans="1:12" x14ac:dyDescent="0.25">
      <c r="A2020" t="str">
        <f t="shared" si="355"/>
        <v>89301000</v>
      </c>
      <c r="B2020" t="str">
        <f t="shared" si="359"/>
        <v>89383000</v>
      </c>
      <c r="C2020" t="str">
        <f t="shared" si="360"/>
        <v>89383002</v>
      </c>
      <c r="D2020">
        <v>89301045</v>
      </c>
      <c r="E2020" t="str">
        <f t="shared" si="362"/>
        <v>9758125718</v>
      </c>
      <c r="F2020" s="1">
        <v>44959</v>
      </c>
      <c r="G2020" t="str">
        <f>"0142908"</f>
        <v>0142908</v>
      </c>
      <c r="H2020">
        <v>1</v>
      </c>
      <c r="J2020">
        <v>910</v>
      </c>
      <c r="K2020" t="str">
        <f t="shared" si="361"/>
        <v>809</v>
      </c>
      <c r="L2020">
        <v>910</v>
      </c>
    </row>
    <row r="2021" spans="1:12" x14ac:dyDescent="0.25">
      <c r="A2021" t="str">
        <f t="shared" si="355"/>
        <v>89301000</v>
      </c>
      <c r="B2021" t="str">
        <f t="shared" si="359"/>
        <v>89383000</v>
      </c>
      <c r="C2021" t="str">
        <f t="shared" si="360"/>
        <v>89383002</v>
      </c>
      <c r="D2021">
        <v>89301042</v>
      </c>
      <c r="E2021" t="str">
        <f>"6260251569"</f>
        <v>6260251569</v>
      </c>
      <c r="F2021" s="1">
        <v>44960</v>
      </c>
      <c r="G2021" t="str">
        <f>"89180"</f>
        <v>89180</v>
      </c>
      <c r="H2021">
        <v>2</v>
      </c>
      <c r="I2021">
        <v>762</v>
      </c>
      <c r="J2021">
        <v>0</v>
      </c>
      <c r="K2021" t="str">
        <f t="shared" si="361"/>
        <v>809</v>
      </c>
      <c r="L2021">
        <v>1120.1400000000001</v>
      </c>
    </row>
    <row r="2022" spans="1:12" x14ac:dyDescent="0.25">
      <c r="A2022" t="str">
        <f t="shared" si="355"/>
        <v>89301000</v>
      </c>
      <c r="B2022" t="str">
        <f t="shared" si="359"/>
        <v>89383000</v>
      </c>
      <c r="C2022" t="str">
        <f t="shared" si="360"/>
        <v>89383002</v>
      </c>
      <c r="D2022">
        <v>89301042</v>
      </c>
      <c r="E2022" t="str">
        <f>"6260251569"</f>
        <v>6260251569</v>
      </c>
      <c r="F2022" s="1">
        <v>44960</v>
      </c>
      <c r="G2022" t="str">
        <f>"89512"</f>
        <v>89512</v>
      </c>
      <c r="H2022">
        <v>1</v>
      </c>
      <c r="I2022">
        <v>283</v>
      </c>
      <c r="J2022">
        <v>0</v>
      </c>
      <c r="K2022" t="str">
        <f t="shared" si="361"/>
        <v>809</v>
      </c>
      <c r="L2022">
        <v>416.01</v>
      </c>
    </row>
    <row r="2023" spans="1:12" x14ac:dyDescent="0.25">
      <c r="A2023" t="str">
        <f t="shared" si="355"/>
        <v>89301000</v>
      </c>
      <c r="B2023" t="str">
        <f t="shared" si="359"/>
        <v>89383000</v>
      </c>
      <c r="C2023" t="str">
        <f t="shared" si="360"/>
        <v>89383002</v>
      </c>
      <c r="D2023">
        <v>89301042</v>
      </c>
      <c r="E2023" t="str">
        <f>"6260251569"</f>
        <v>6260251569</v>
      </c>
      <c r="F2023" s="1">
        <v>44960</v>
      </c>
      <c r="G2023" t="str">
        <f>"89513"</f>
        <v>89513</v>
      </c>
      <c r="H2023">
        <v>1</v>
      </c>
      <c r="I2023">
        <v>378</v>
      </c>
      <c r="J2023">
        <v>0</v>
      </c>
      <c r="K2023" t="str">
        <f t="shared" si="361"/>
        <v>809</v>
      </c>
      <c r="L2023">
        <v>555.66</v>
      </c>
    </row>
    <row r="2024" spans="1:12" x14ac:dyDescent="0.25">
      <c r="A2024" t="str">
        <f t="shared" si="355"/>
        <v>89301000</v>
      </c>
      <c r="B2024" t="str">
        <f t="shared" si="359"/>
        <v>89383000</v>
      </c>
      <c r="C2024" t="str">
        <f t="shared" si="360"/>
        <v>89383002</v>
      </c>
      <c r="D2024">
        <v>89301042</v>
      </c>
      <c r="E2024" t="str">
        <f>"6260251569"</f>
        <v>6260251569</v>
      </c>
      <c r="F2024" s="1">
        <v>44960</v>
      </c>
      <c r="G2024" t="str">
        <f>"89514"</f>
        <v>89514</v>
      </c>
      <c r="H2024">
        <v>1</v>
      </c>
      <c r="I2024">
        <v>378</v>
      </c>
      <c r="J2024">
        <v>0</v>
      </c>
      <c r="K2024" t="str">
        <f t="shared" si="361"/>
        <v>809</v>
      </c>
      <c r="L2024">
        <v>555.66</v>
      </c>
    </row>
    <row r="2025" spans="1:12" x14ac:dyDescent="0.25">
      <c r="A2025" t="str">
        <f t="shared" si="355"/>
        <v>89301000</v>
      </c>
      <c r="B2025" t="str">
        <f t="shared" si="359"/>
        <v>89383000</v>
      </c>
      <c r="C2025" t="str">
        <f t="shared" si="360"/>
        <v>89383002</v>
      </c>
      <c r="D2025">
        <v>89301042</v>
      </c>
      <c r="E2025" t="str">
        <f>"5853191289"</f>
        <v>5853191289</v>
      </c>
      <c r="F2025" s="1">
        <v>44960</v>
      </c>
      <c r="G2025" t="str">
        <f>"89180"</f>
        <v>89180</v>
      </c>
      <c r="H2025">
        <v>2</v>
      </c>
      <c r="I2025">
        <v>762</v>
      </c>
      <c r="J2025">
        <v>0</v>
      </c>
      <c r="K2025" t="str">
        <f t="shared" si="361"/>
        <v>809</v>
      </c>
      <c r="L2025">
        <v>1120.1400000000001</v>
      </c>
    </row>
    <row r="2026" spans="1:12" x14ac:dyDescent="0.25">
      <c r="A2026" t="str">
        <f t="shared" si="355"/>
        <v>89301000</v>
      </c>
      <c r="B2026" t="str">
        <f t="shared" si="359"/>
        <v>89383000</v>
      </c>
      <c r="C2026" t="str">
        <f t="shared" si="360"/>
        <v>89383002</v>
      </c>
      <c r="D2026">
        <v>89301042</v>
      </c>
      <c r="E2026" t="str">
        <f>"5853191289"</f>
        <v>5853191289</v>
      </c>
      <c r="F2026" s="1">
        <v>44960</v>
      </c>
      <c r="G2026" t="str">
        <f>"89512"</f>
        <v>89512</v>
      </c>
      <c r="H2026">
        <v>1</v>
      </c>
      <c r="I2026">
        <v>283</v>
      </c>
      <c r="J2026">
        <v>0</v>
      </c>
      <c r="K2026" t="str">
        <f t="shared" si="361"/>
        <v>809</v>
      </c>
      <c r="L2026">
        <v>416.01</v>
      </c>
    </row>
    <row r="2027" spans="1:12" x14ac:dyDescent="0.25">
      <c r="A2027" t="str">
        <f t="shared" si="355"/>
        <v>89301000</v>
      </c>
      <c r="B2027" t="str">
        <f t="shared" si="359"/>
        <v>89383000</v>
      </c>
      <c r="C2027" t="str">
        <f t="shared" si="360"/>
        <v>89383002</v>
      </c>
      <c r="D2027">
        <v>89301042</v>
      </c>
      <c r="E2027" t="str">
        <f>"5853191289"</f>
        <v>5853191289</v>
      </c>
      <c r="F2027" s="1">
        <v>44960</v>
      </c>
      <c r="G2027" t="str">
        <f>"89513"</f>
        <v>89513</v>
      </c>
      <c r="H2027">
        <v>1</v>
      </c>
      <c r="I2027">
        <v>378</v>
      </c>
      <c r="J2027">
        <v>0</v>
      </c>
      <c r="K2027" t="str">
        <f t="shared" si="361"/>
        <v>809</v>
      </c>
      <c r="L2027">
        <v>555.66</v>
      </c>
    </row>
    <row r="2028" spans="1:12" x14ac:dyDescent="0.25">
      <c r="A2028" t="str">
        <f t="shared" si="355"/>
        <v>89301000</v>
      </c>
      <c r="B2028" t="str">
        <f t="shared" si="359"/>
        <v>89383000</v>
      </c>
      <c r="C2028" t="str">
        <f t="shared" si="360"/>
        <v>89383002</v>
      </c>
      <c r="D2028">
        <v>89301042</v>
      </c>
      <c r="E2028" t="str">
        <f>"5853191289"</f>
        <v>5853191289</v>
      </c>
      <c r="F2028" s="1">
        <v>44960</v>
      </c>
      <c r="G2028" t="str">
        <f>"89514"</f>
        <v>89514</v>
      </c>
      <c r="H2028">
        <v>1</v>
      </c>
      <c r="I2028">
        <v>378</v>
      </c>
      <c r="J2028">
        <v>0</v>
      </c>
      <c r="K2028" t="str">
        <f t="shared" si="361"/>
        <v>809</v>
      </c>
      <c r="L2028">
        <v>555.66</v>
      </c>
    </row>
    <row r="2029" spans="1:12" x14ac:dyDescent="0.25">
      <c r="A2029" t="str">
        <f t="shared" si="355"/>
        <v>89301000</v>
      </c>
      <c r="B2029" t="str">
        <f t="shared" si="359"/>
        <v>89383000</v>
      </c>
      <c r="C2029" t="str">
        <f t="shared" si="360"/>
        <v>89383002</v>
      </c>
      <c r="D2029">
        <v>89301212</v>
      </c>
      <c r="E2029" t="str">
        <f>"6456250317"</f>
        <v>6456250317</v>
      </c>
      <c r="F2029" s="1">
        <v>44963</v>
      </c>
      <c r="G2029" t="str">
        <f>"89513"</f>
        <v>89513</v>
      </c>
      <c r="H2029">
        <v>1</v>
      </c>
      <c r="I2029">
        <v>378</v>
      </c>
      <c r="J2029">
        <v>0</v>
      </c>
      <c r="K2029" t="str">
        <f t="shared" si="361"/>
        <v>809</v>
      </c>
      <c r="L2029">
        <v>555.66</v>
      </c>
    </row>
    <row r="2030" spans="1:12" x14ac:dyDescent="0.25">
      <c r="A2030" t="str">
        <f t="shared" si="355"/>
        <v>89301000</v>
      </c>
      <c r="B2030" t="str">
        <f t="shared" si="359"/>
        <v>89383000</v>
      </c>
      <c r="C2030" t="str">
        <f t="shared" si="360"/>
        <v>89383002</v>
      </c>
      <c r="D2030">
        <v>89301212</v>
      </c>
      <c r="E2030" t="str">
        <f>"6456250317"</f>
        <v>6456250317</v>
      </c>
      <c r="F2030" s="1">
        <v>44963</v>
      </c>
      <c r="G2030" t="str">
        <f>"89514"</f>
        <v>89514</v>
      </c>
      <c r="H2030">
        <v>1</v>
      </c>
      <c r="I2030">
        <v>378</v>
      </c>
      <c r="J2030">
        <v>0</v>
      </c>
      <c r="K2030" t="str">
        <f t="shared" si="361"/>
        <v>809</v>
      </c>
      <c r="L2030">
        <v>555.66</v>
      </c>
    </row>
    <row r="2031" spans="1:12" x14ac:dyDescent="0.25">
      <c r="A2031" t="str">
        <f t="shared" si="355"/>
        <v>89301000</v>
      </c>
      <c r="B2031" t="str">
        <f t="shared" si="359"/>
        <v>89383000</v>
      </c>
      <c r="C2031" t="str">
        <f t="shared" si="360"/>
        <v>89383002</v>
      </c>
      <c r="D2031">
        <v>89301045</v>
      </c>
      <c r="E2031" t="str">
        <f>"446217452"</f>
        <v>446217452</v>
      </c>
      <c r="F2031" s="1">
        <v>44960</v>
      </c>
      <c r="G2031" t="str">
        <f>"89313"</f>
        <v>89313</v>
      </c>
      <c r="H2031">
        <v>1</v>
      </c>
      <c r="I2031">
        <v>420</v>
      </c>
      <c r="J2031">
        <v>0</v>
      </c>
      <c r="K2031" t="str">
        <f t="shared" si="361"/>
        <v>809</v>
      </c>
      <c r="L2031">
        <v>617.4</v>
      </c>
    </row>
    <row r="2032" spans="1:12" x14ac:dyDescent="0.25">
      <c r="A2032" t="str">
        <f t="shared" si="355"/>
        <v>89301000</v>
      </c>
      <c r="B2032" t="str">
        <f t="shared" si="359"/>
        <v>89383000</v>
      </c>
      <c r="C2032" t="str">
        <f t="shared" si="360"/>
        <v>89383002</v>
      </c>
      <c r="D2032">
        <v>89301045</v>
      </c>
      <c r="E2032" t="str">
        <f>"446217452"</f>
        <v>446217452</v>
      </c>
      <c r="F2032" s="1">
        <v>44960</v>
      </c>
      <c r="G2032" t="str">
        <f>"09233"</f>
        <v>09233</v>
      </c>
      <c r="H2032">
        <v>1</v>
      </c>
      <c r="I2032">
        <v>102</v>
      </c>
      <c r="J2032">
        <v>0</v>
      </c>
      <c r="K2032" t="str">
        <f t="shared" si="361"/>
        <v>809</v>
      </c>
      <c r="L2032">
        <v>149.94</v>
      </c>
    </row>
    <row r="2033" spans="1:12" x14ac:dyDescent="0.25">
      <c r="A2033" t="str">
        <f t="shared" si="355"/>
        <v>89301000</v>
      </c>
      <c r="B2033" t="str">
        <f t="shared" si="359"/>
        <v>89383000</v>
      </c>
      <c r="C2033" t="str">
        <f t="shared" si="360"/>
        <v>89383002</v>
      </c>
      <c r="D2033">
        <v>89301045</v>
      </c>
      <c r="E2033" t="str">
        <f>"446217452"</f>
        <v>446217452</v>
      </c>
      <c r="F2033" s="1">
        <v>44960</v>
      </c>
      <c r="G2033" t="str">
        <f>"89512"</f>
        <v>89512</v>
      </c>
      <c r="H2033">
        <v>1</v>
      </c>
      <c r="I2033">
        <v>283</v>
      </c>
      <c r="J2033">
        <v>0</v>
      </c>
      <c r="K2033" t="str">
        <f t="shared" si="361"/>
        <v>809</v>
      </c>
      <c r="L2033">
        <v>416.01</v>
      </c>
    </row>
    <row r="2034" spans="1:12" x14ac:dyDescent="0.25">
      <c r="A2034" t="str">
        <f t="shared" si="355"/>
        <v>89301000</v>
      </c>
      <c r="B2034" t="str">
        <f t="shared" si="359"/>
        <v>89383000</v>
      </c>
      <c r="C2034" t="str">
        <f t="shared" si="360"/>
        <v>89383002</v>
      </c>
      <c r="D2034">
        <v>89301045</v>
      </c>
      <c r="E2034" t="str">
        <f>"446217452"</f>
        <v>446217452</v>
      </c>
      <c r="F2034" s="1">
        <v>44960</v>
      </c>
      <c r="G2034" t="str">
        <f>"89180"</f>
        <v>89180</v>
      </c>
      <c r="H2034">
        <v>1</v>
      </c>
      <c r="I2034">
        <v>381</v>
      </c>
      <c r="J2034">
        <v>0</v>
      </c>
      <c r="K2034" t="str">
        <f t="shared" si="361"/>
        <v>809</v>
      </c>
      <c r="L2034">
        <v>560.07000000000005</v>
      </c>
    </row>
    <row r="2035" spans="1:12" x14ac:dyDescent="0.25">
      <c r="A2035" t="str">
        <f t="shared" si="355"/>
        <v>89301000</v>
      </c>
      <c r="B2035" t="str">
        <f t="shared" si="359"/>
        <v>89383000</v>
      </c>
      <c r="C2035" t="str">
        <f t="shared" si="360"/>
        <v>89383002</v>
      </c>
      <c r="D2035">
        <v>89301045</v>
      </c>
      <c r="E2035" t="str">
        <f>"446217452"</f>
        <v>446217452</v>
      </c>
      <c r="F2035" s="1">
        <v>44960</v>
      </c>
      <c r="G2035" t="str">
        <f>"0142906"</f>
        <v>0142906</v>
      </c>
      <c r="H2035">
        <v>1</v>
      </c>
      <c r="J2035">
        <v>6990</v>
      </c>
      <c r="K2035" t="str">
        <f t="shared" si="361"/>
        <v>809</v>
      </c>
      <c r="L2035">
        <v>6990</v>
      </c>
    </row>
    <row r="2036" spans="1:12" x14ac:dyDescent="0.25">
      <c r="A2036" t="str">
        <f t="shared" si="355"/>
        <v>89301000</v>
      </c>
      <c r="B2036" t="str">
        <f t="shared" si="359"/>
        <v>89383000</v>
      </c>
      <c r="C2036" t="str">
        <f t="shared" si="360"/>
        <v>89383002</v>
      </c>
      <c r="D2036">
        <v>89301045</v>
      </c>
      <c r="E2036" t="str">
        <f>"8258044674"</f>
        <v>8258044674</v>
      </c>
      <c r="F2036" s="1">
        <v>44963</v>
      </c>
      <c r="G2036" t="str">
        <f>"89512"</f>
        <v>89512</v>
      </c>
      <c r="H2036">
        <v>1</v>
      </c>
      <c r="I2036">
        <v>283</v>
      </c>
      <c r="J2036">
        <v>0</v>
      </c>
      <c r="K2036" t="str">
        <f t="shared" si="361"/>
        <v>809</v>
      </c>
      <c r="L2036">
        <v>416.01</v>
      </c>
    </row>
    <row r="2037" spans="1:12" x14ac:dyDescent="0.25">
      <c r="A2037" t="str">
        <f t="shared" si="355"/>
        <v>89301000</v>
      </c>
      <c r="B2037" t="str">
        <f t="shared" si="359"/>
        <v>89383000</v>
      </c>
      <c r="C2037" t="str">
        <f t="shared" si="360"/>
        <v>89383002</v>
      </c>
      <c r="D2037">
        <v>89301212</v>
      </c>
      <c r="E2037" t="str">
        <f>"7251185348"</f>
        <v>7251185348</v>
      </c>
      <c r="F2037" s="1">
        <v>44963</v>
      </c>
      <c r="G2037" t="str">
        <f>"89512"</f>
        <v>89512</v>
      </c>
      <c r="H2037">
        <v>1</v>
      </c>
      <c r="I2037">
        <v>283</v>
      </c>
      <c r="J2037">
        <v>0</v>
      </c>
      <c r="K2037" t="str">
        <f t="shared" si="361"/>
        <v>809</v>
      </c>
      <c r="L2037">
        <v>416.01</v>
      </c>
    </row>
    <row r="2038" spans="1:12" x14ac:dyDescent="0.25">
      <c r="A2038" t="str">
        <f t="shared" si="355"/>
        <v>89301000</v>
      </c>
      <c r="B2038" t="str">
        <f t="shared" si="359"/>
        <v>89383000</v>
      </c>
      <c r="C2038" t="str">
        <f t="shared" si="360"/>
        <v>89383002</v>
      </c>
      <c r="D2038">
        <v>89301215</v>
      </c>
      <c r="E2038" t="str">
        <f>"8055045768"</f>
        <v>8055045768</v>
      </c>
      <c r="F2038" s="1">
        <v>44966</v>
      </c>
      <c r="G2038" t="str">
        <f>"89512"</f>
        <v>89512</v>
      </c>
      <c r="H2038">
        <v>1</v>
      </c>
      <c r="I2038">
        <v>283</v>
      </c>
      <c r="J2038">
        <v>0</v>
      </c>
      <c r="K2038" t="str">
        <f t="shared" si="361"/>
        <v>809</v>
      </c>
      <c r="L2038">
        <v>416.01</v>
      </c>
    </row>
    <row r="2039" spans="1:12" x14ac:dyDescent="0.25">
      <c r="A2039" t="str">
        <f t="shared" si="355"/>
        <v>89301000</v>
      </c>
      <c r="B2039" t="str">
        <f t="shared" si="359"/>
        <v>89383000</v>
      </c>
      <c r="C2039" t="str">
        <f t="shared" si="360"/>
        <v>89383002</v>
      </c>
      <c r="D2039">
        <v>89301292</v>
      </c>
      <c r="E2039" t="str">
        <f>"8451195357"</f>
        <v>8451195357</v>
      </c>
      <c r="F2039" s="1">
        <v>44966</v>
      </c>
      <c r="G2039" t="str">
        <f>"89512"</f>
        <v>89512</v>
      </c>
      <c r="H2039">
        <v>1</v>
      </c>
      <c r="I2039">
        <v>283</v>
      </c>
      <c r="J2039">
        <v>0</v>
      </c>
      <c r="K2039" t="str">
        <f t="shared" si="361"/>
        <v>809</v>
      </c>
      <c r="L2039">
        <v>416.01</v>
      </c>
    </row>
    <row r="2040" spans="1:12" x14ac:dyDescent="0.25">
      <c r="A2040" t="str">
        <f t="shared" si="355"/>
        <v>89301000</v>
      </c>
      <c r="B2040" t="str">
        <f t="shared" si="359"/>
        <v>89383000</v>
      </c>
      <c r="C2040" t="str">
        <f t="shared" si="360"/>
        <v>89383002</v>
      </c>
      <c r="D2040">
        <v>89301212</v>
      </c>
      <c r="E2040" t="str">
        <f>"7951194471"</f>
        <v>7951194471</v>
      </c>
      <c r="F2040" s="1">
        <v>44966</v>
      </c>
      <c r="G2040" t="str">
        <f>"89180"</f>
        <v>89180</v>
      </c>
      <c r="H2040">
        <v>2</v>
      </c>
      <c r="I2040">
        <v>762</v>
      </c>
      <c r="J2040">
        <v>0</v>
      </c>
      <c r="K2040" t="str">
        <f t="shared" si="361"/>
        <v>809</v>
      </c>
      <c r="L2040">
        <v>1120.1400000000001</v>
      </c>
    </row>
    <row r="2041" spans="1:12" x14ac:dyDescent="0.25">
      <c r="A2041" t="str">
        <f t="shared" si="355"/>
        <v>89301000</v>
      </c>
      <c r="B2041" t="str">
        <f t="shared" ref="B2041:B2072" si="363">"89383000"</f>
        <v>89383000</v>
      </c>
      <c r="C2041" t="str">
        <f t="shared" ref="C2041:C2072" si="364">"89383002"</f>
        <v>89383002</v>
      </c>
      <c r="D2041">
        <v>89301212</v>
      </c>
      <c r="E2041" t="str">
        <f>"7951194471"</f>
        <v>7951194471</v>
      </c>
      <c r="F2041" s="1">
        <v>44966</v>
      </c>
      <c r="G2041" t="str">
        <f>"89512"</f>
        <v>89512</v>
      </c>
      <c r="H2041">
        <v>1</v>
      </c>
      <c r="I2041">
        <v>283</v>
      </c>
      <c r="J2041">
        <v>0</v>
      </c>
      <c r="K2041" t="str">
        <f t="shared" ref="K2041:K2072" si="365">"809"</f>
        <v>809</v>
      </c>
      <c r="L2041">
        <v>416.01</v>
      </c>
    </row>
    <row r="2042" spans="1:12" x14ac:dyDescent="0.25">
      <c r="A2042" t="str">
        <f t="shared" si="355"/>
        <v>89301000</v>
      </c>
      <c r="B2042" t="str">
        <f t="shared" si="363"/>
        <v>89383000</v>
      </c>
      <c r="C2042" t="str">
        <f t="shared" si="364"/>
        <v>89383002</v>
      </c>
      <c r="D2042">
        <v>89301045</v>
      </c>
      <c r="E2042" t="str">
        <f>"7658105345"</f>
        <v>7658105345</v>
      </c>
      <c r="F2042" s="1">
        <v>44966</v>
      </c>
      <c r="G2042" t="str">
        <f>"89513"</f>
        <v>89513</v>
      </c>
      <c r="H2042">
        <v>1</v>
      </c>
      <c r="I2042">
        <v>378</v>
      </c>
      <c r="J2042">
        <v>0</v>
      </c>
      <c r="K2042" t="str">
        <f t="shared" si="365"/>
        <v>809</v>
      </c>
      <c r="L2042">
        <v>555.66</v>
      </c>
    </row>
    <row r="2043" spans="1:12" x14ac:dyDescent="0.25">
      <c r="A2043" t="str">
        <f t="shared" si="355"/>
        <v>89301000</v>
      </c>
      <c r="B2043" t="str">
        <f t="shared" si="363"/>
        <v>89383000</v>
      </c>
      <c r="C2043" t="str">
        <f t="shared" si="364"/>
        <v>89383002</v>
      </c>
      <c r="D2043">
        <v>89301045</v>
      </c>
      <c r="E2043" t="str">
        <f>"7658105345"</f>
        <v>7658105345</v>
      </c>
      <c r="F2043" s="1">
        <v>44966</v>
      </c>
      <c r="G2043" t="str">
        <f>"89514"</f>
        <v>89514</v>
      </c>
      <c r="H2043">
        <v>1</v>
      </c>
      <c r="I2043">
        <v>378</v>
      </c>
      <c r="J2043">
        <v>0</v>
      </c>
      <c r="K2043" t="str">
        <f t="shared" si="365"/>
        <v>809</v>
      </c>
      <c r="L2043">
        <v>555.66</v>
      </c>
    </row>
    <row r="2044" spans="1:12" x14ac:dyDescent="0.25">
      <c r="A2044" t="str">
        <f t="shared" si="355"/>
        <v>89301000</v>
      </c>
      <c r="B2044" t="str">
        <f t="shared" si="363"/>
        <v>89383000</v>
      </c>
      <c r="C2044" t="str">
        <f t="shared" si="364"/>
        <v>89383002</v>
      </c>
      <c r="D2044">
        <v>89301045</v>
      </c>
      <c r="E2044" t="str">
        <f>"6659281365"</f>
        <v>6659281365</v>
      </c>
      <c r="F2044" s="1">
        <v>44965</v>
      </c>
      <c r="G2044" t="str">
        <f>"89313"</f>
        <v>89313</v>
      </c>
      <c r="H2044">
        <v>1</v>
      </c>
      <c r="I2044">
        <v>420</v>
      </c>
      <c r="J2044">
        <v>0</v>
      </c>
      <c r="K2044" t="str">
        <f t="shared" si="365"/>
        <v>809</v>
      </c>
      <c r="L2044">
        <v>617.4</v>
      </c>
    </row>
    <row r="2045" spans="1:12" x14ac:dyDescent="0.25">
      <c r="A2045" t="str">
        <f t="shared" si="355"/>
        <v>89301000</v>
      </c>
      <c r="B2045" t="str">
        <f t="shared" si="363"/>
        <v>89383000</v>
      </c>
      <c r="C2045" t="str">
        <f t="shared" si="364"/>
        <v>89383002</v>
      </c>
      <c r="D2045">
        <v>89301045</v>
      </c>
      <c r="E2045" t="str">
        <f>"6659281365"</f>
        <v>6659281365</v>
      </c>
      <c r="F2045" s="1">
        <v>44965</v>
      </c>
      <c r="G2045" t="str">
        <f>"89512"</f>
        <v>89512</v>
      </c>
      <c r="H2045">
        <v>1</v>
      </c>
      <c r="I2045">
        <v>283</v>
      </c>
      <c r="J2045">
        <v>0</v>
      </c>
      <c r="K2045" t="str">
        <f t="shared" si="365"/>
        <v>809</v>
      </c>
      <c r="L2045">
        <v>416.01</v>
      </c>
    </row>
    <row r="2046" spans="1:12" x14ac:dyDescent="0.25">
      <c r="A2046" t="str">
        <f t="shared" si="355"/>
        <v>89301000</v>
      </c>
      <c r="B2046" t="str">
        <f t="shared" si="363"/>
        <v>89383000</v>
      </c>
      <c r="C2046" t="str">
        <f t="shared" si="364"/>
        <v>89383002</v>
      </c>
      <c r="D2046">
        <v>89301045</v>
      </c>
      <c r="E2046" t="str">
        <f>"6659281365"</f>
        <v>6659281365</v>
      </c>
      <c r="F2046" s="1">
        <v>44965</v>
      </c>
      <c r="G2046" t="str">
        <f>"89180"</f>
        <v>89180</v>
      </c>
      <c r="H2046">
        <v>1</v>
      </c>
      <c r="I2046">
        <v>381</v>
      </c>
      <c r="J2046">
        <v>0</v>
      </c>
      <c r="K2046" t="str">
        <f t="shared" si="365"/>
        <v>809</v>
      </c>
      <c r="L2046">
        <v>560.07000000000005</v>
      </c>
    </row>
    <row r="2047" spans="1:12" x14ac:dyDescent="0.25">
      <c r="A2047" t="str">
        <f t="shared" si="355"/>
        <v>89301000</v>
      </c>
      <c r="B2047" t="str">
        <f t="shared" si="363"/>
        <v>89383000</v>
      </c>
      <c r="C2047" t="str">
        <f t="shared" si="364"/>
        <v>89383002</v>
      </c>
      <c r="D2047">
        <v>89301045</v>
      </c>
      <c r="E2047" t="str">
        <f>"6659281365"</f>
        <v>6659281365</v>
      </c>
      <c r="F2047" s="1">
        <v>44965</v>
      </c>
      <c r="G2047" t="str">
        <f>"0225891"</f>
        <v>0225891</v>
      </c>
      <c r="H2047">
        <v>0.05</v>
      </c>
      <c r="J2047">
        <v>18.39</v>
      </c>
      <c r="K2047" t="str">
        <f t="shared" si="365"/>
        <v>809</v>
      </c>
      <c r="L2047">
        <v>18.39</v>
      </c>
    </row>
    <row r="2048" spans="1:12" x14ac:dyDescent="0.25">
      <c r="A2048" t="str">
        <f t="shared" si="355"/>
        <v>89301000</v>
      </c>
      <c r="B2048" t="str">
        <f t="shared" si="363"/>
        <v>89383000</v>
      </c>
      <c r="C2048" t="str">
        <f t="shared" si="364"/>
        <v>89383002</v>
      </c>
      <c r="D2048">
        <v>89301045</v>
      </c>
      <c r="E2048" t="str">
        <f>"6659281365"</f>
        <v>6659281365</v>
      </c>
      <c r="F2048" s="1">
        <v>44965</v>
      </c>
      <c r="G2048" t="str">
        <f>"0142906"</f>
        <v>0142906</v>
      </c>
      <c r="H2048">
        <v>1</v>
      </c>
      <c r="J2048">
        <v>6990</v>
      </c>
      <c r="K2048" t="str">
        <f t="shared" si="365"/>
        <v>809</v>
      </c>
      <c r="L2048">
        <v>6990</v>
      </c>
    </row>
    <row r="2049" spans="1:12" x14ac:dyDescent="0.25">
      <c r="A2049" t="str">
        <f t="shared" si="355"/>
        <v>89301000</v>
      </c>
      <c r="B2049" t="str">
        <f t="shared" si="363"/>
        <v>89383000</v>
      </c>
      <c r="C2049" t="str">
        <f t="shared" si="364"/>
        <v>89383002</v>
      </c>
      <c r="D2049">
        <v>89301212</v>
      </c>
      <c r="E2049" t="str">
        <f>"6759250179"</f>
        <v>6759250179</v>
      </c>
      <c r="F2049" s="1">
        <v>44967</v>
      </c>
      <c r="G2049" t="str">
        <f>"89513"</f>
        <v>89513</v>
      </c>
      <c r="H2049">
        <v>1</v>
      </c>
      <c r="I2049">
        <v>378</v>
      </c>
      <c r="J2049">
        <v>0</v>
      </c>
      <c r="K2049" t="str">
        <f t="shared" si="365"/>
        <v>809</v>
      </c>
      <c r="L2049">
        <v>555.66</v>
      </c>
    </row>
    <row r="2050" spans="1:12" x14ac:dyDescent="0.25">
      <c r="A2050" t="str">
        <f t="shared" ref="A2050:A2113" si="366">"89301000"</f>
        <v>89301000</v>
      </c>
      <c r="B2050" t="str">
        <f t="shared" si="363"/>
        <v>89383000</v>
      </c>
      <c r="C2050" t="str">
        <f t="shared" si="364"/>
        <v>89383002</v>
      </c>
      <c r="D2050">
        <v>89301212</v>
      </c>
      <c r="E2050" t="str">
        <f>"6759250179"</f>
        <v>6759250179</v>
      </c>
      <c r="F2050" s="1">
        <v>44967</v>
      </c>
      <c r="G2050" t="str">
        <f>"89514"</f>
        <v>89514</v>
      </c>
      <c r="H2050">
        <v>1</v>
      </c>
      <c r="I2050">
        <v>378</v>
      </c>
      <c r="J2050">
        <v>0</v>
      </c>
      <c r="K2050" t="str">
        <f t="shared" si="365"/>
        <v>809</v>
      </c>
      <c r="L2050">
        <v>555.66</v>
      </c>
    </row>
    <row r="2051" spans="1:12" x14ac:dyDescent="0.25">
      <c r="A2051" t="str">
        <f t="shared" si="366"/>
        <v>89301000</v>
      </c>
      <c r="B2051" t="str">
        <f t="shared" si="363"/>
        <v>89383000</v>
      </c>
      <c r="C2051" t="str">
        <f t="shared" si="364"/>
        <v>89383002</v>
      </c>
      <c r="D2051">
        <v>89301212</v>
      </c>
      <c r="E2051" t="str">
        <f>"7860084936"</f>
        <v>7860084936</v>
      </c>
      <c r="F2051" s="1">
        <v>44967</v>
      </c>
      <c r="G2051" t="str">
        <f>"89512"</f>
        <v>89512</v>
      </c>
      <c r="H2051">
        <v>1</v>
      </c>
      <c r="I2051">
        <v>283</v>
      </c>
      <c r="J2051">
        <v>0</v>
      </c>
      <c r="K2051" t="str">
        <f t="shared" si="365"/>
        <v>809</v>
      </c>
      <c r="L2051">
        <v>416.01</v>
      </c>
    </row>
    <row r="2052" spans="1:12" x14ac:dyDescent="0.25">
      <c r="A2052" t="str">
        <f t="shared" si="366"/>
        <v>89301000</v>
      </c>
      <c r="B2052" t="str">
        <f t="shared" si="363"/>
        <v>89383000</v>
      </c>
      <c r="C2052" t="str">
        <f t="shared" si="364"/>
        <v>89383002</v>
      </c>
      <c r="D2052">
        <v>89301045</v>
      </c>
      <c r="E2052" t="str">
        <f>"6551030948"</f>
        <v>6551030948</v>
      </c>
      <c r="F2052" s="1">
        <v>44967</v>
      </c>
      <c r="G2052" t="str">
        <f>"89512"</f>
        <v>89512</v>
      </c>
      <c r="H2052">
        <v>1</v>
      </c>
      <c r="I2052">
        <v>283</v>
      </c>
      <c r="J2052">
        <v>0</v>
      </c>
      <c r="K2052" t="str">
        <f t="shared" si="365"/>
        <v>809</v>
      </c>
      <c r="L2052">
        <v>416.01</v>
      </c>
    </row>
    <row r="2053" spans="1:12" x14ac:dyDescent="0.25">
      <c r="A2053" t="str">
        <f t="shared" si="366"/>
        <v>89301000</v>
      </c>
      <c r="B2053" t="str">
        <f t="shared" si="363"/>
        <v>89383000</v>
      </c>
      <c r="C2053" t="str">
        <f t="shared" si="364"/>
        <v>89383002</v>
      </c>
      <c r="D2053">
        <v>89301212</v>
      </c>
      <c r="E2053" t="str">
        <f>"8152075349"</f>
        <v>8152075349</v>
      </c>
      <c r="F2053" s="1">
        <v>44970</v>
      </c>
      <c r="G2053" t="str">
        <f>"89512"</f>
        <v>89512</v>
      </c>
      <c r="H2053">
        <v>1</v>
      </c>
      <c r="I2053">
        <v>283</v>
      </c>
      <c r="J2053">
        <v>0</v>
      </c>
      <c r="K2053" t="str">
        <f t="shared" si="365"/>
        <v>809</v>
      </c>
      <c r="L2053">
        <v>416.01</v>
      </c>
    </row>
    <row r="2054" spans="1:12" x14ac:dyDescent="0.25">
      <c r="A2054" t="str">
        <f t="shared" si="366"/>
        <v>89301000</v>
      </c>
      <c r="B2054" t="str">
        <f t="shared" si="363"/>
        <v>89383000</v>
      </c>
      <c r="C2054" t="str">
        <f t="shared" si="364"/>
        <v>89383002</v>
      </c>
      <c r="D2054">
        <v>89301045</v>
      </c>
      <c r="E2054" t="str">
        <f>"6551030948"</f>
        <v>6551030948</v>
      </c>
      <c r="F2054" s="1">
        <v>44970</v>
      </c>
      <c r="G2054" t="str">
        <f>"89512"</f>
        <v>89512</v>
      </c>
      <c r="H2054">
        <v>1</v>
      </c>
      <c r="I2054">
        <v>283</v>
      </c>
      <c r="J2054">
        <v>0</v>
      </c>
      <c r="K2054" t="str">
        <f t="shared" si="365"/>
        <v>809</v>
      </c>
      <c r="L2054">
        <v>416.01</v>
      </c>
    </row>
    <row r="2055" spans="1:12" x14ac:dyDescent="0.25">
      <c r="A2055" t="str">
        <f t="shared" si="366"/>
        <v>89301000</v>
      </c>
      <c r="B2055" t="str">
        <f t="shared" si="363"/>
        <v>89383000</v>
      </c>
      <c r="C2055" t="str">
        <f t="shared" si="364"/>
        <v>89383002</v>
      </c>
      <c r="D2055">
        <v>89301045</v>
      </c>
      <c r="E2055" t="str">
        <f>"6551030948"</f>
        <v>6551030948</v>
      </c>
      <c r="F2055" s="1">
        <v>44970</v>
      </c>
      <c r="G2055" t="str">
        <f>"89311"</f>
        <v>89311</v>
      </c>
      <c r="H2055">
        <v>1</v>
      </c>
      <c r="I2055">
        <v>970</v>
      </c>
      <c r="J2055">
        <v>0</v>
      </c>
      <c r="K2055" t="str">
        <f t="shared" si="365"/>
        <v>809</v>
      </c>
      <c r="L2055">
        <v>1425.9</v>
      </c>
    </row>
    <row r="2056" spans="1:12" x14ac:dyDescent="0.25">
      <c r="A2056" t="str">
        <f t="shared" si="366"/>
        <v>89301000</v>
      </c>
      <c r="B2056" t="str">
        <f t="shared" si="363"/>
        <v>89383000</v>
      </c>
      <c r="C2056" t="str">
        <f t="shared" si="364"/>
        <v>89383002</v>
      </c>
      <c r="D2056">
        <v>89301212</v>
      </c>
      <c r="E2056" t="str">
        <f>"6357170754"</f>
        <v>6357170754</v>
      </c>
      <c r="F2056" s="1">
        <v>44971</v>
      </c>
      <c r="G2056" t="str">
        <f>"89512"</f>
        <v>89512</v>
      </c>
      <c r="H2056">
        <v>1</v>
      </c>
      <c r="I2056">
        <v>283</v>
      </c>
      <c r="J2056">
        <v>0</v>
      </c>
      <c r="K2056" t="str">
        <f t="shared" si="365"/>
        <v>809</v>
      </c>
      <c r="L2056">
        <v>416.01</v>
      </c>
    </row>
    <row r="2057" spans="1:12" x14ac:dyDescent="0.25">
      <c r="A2057" t="str">
        <f t="shared" si="366"/>
        <v>89301000</v>
      </c>
      <c r="B2057" t="str">
        <f t="shared" si="363"/>
        <v>89383000</v>
      </c>
      <c r="C2057" t="str">
        <f t="shared" si="364"/>
        <v>89383002</v>
      </c>
      <c r="D2057">
        <v>89301212</v>
      </c>
      <c r="E2057" t="str">
        <f>"7460014463"</f>
        <v>7460014463</v>
      </c>
      <c r="F2057" s="1">
        <v>44972</v>
      </c>
      <c r="G2057" t="str">
        <f>"89513"</f>
        <v>89513</v>
      </c>
      <c r="H2057">
        <v>1</v>
      </c>
      <c r="I2057">
        <v>378</v>
      </c>
      <c r="J2057">
        <v>0</v>
      </c>
      <c r="K2057" t="str">
        <f t="shared" si="365"/>
        <v>809</v>
      </c>
      <c r="L2057">
        <v>555.66</v>
      </c>
    </row>
    <row r="2058" spans="1:12" x14ac:dyDescent="0.25">
      <c r="A2058" t="str">
        <f t="shared" si="366"/>
        <v>89301000</v>
      </c>
      <c r="B2058" t="str">
        <f t="shared" si="363"/>
        <v>89383000</v>
      </c>
      <c r="C2058" t="str">
        <f t="shared" si="364"/>
        <v>89383002</v>
      </c>
      <c r="D2058">
        <v>89301212</v>
      </c>
      <c r="E2058" t="str">
        <f>"7460014463"</f>
        <v>7460014463</v>
      </c>
      <c r="F2058" s="1">
        <v>44972</v>
      </c>
      <c r="G2058" t="str">
        <f>"89514"</f>
        <v>89514</v>
      </c>
      <c r="H2058">
        <v>1</v>
      </c>
      <c r="I2058">
        <v>378</v>
      </c>
      <c r="J2058">
        <v>0</v>
      </c>
      <c r="K2058" t="str">
        <f t="shared" si="365"/>
        <v>809</v>
      </c>
      <c r="L2058">
        <v>555.66</v>
      </c>
    </row>
    <row r="2059" spans="1:12" x14ac:dyDescent="0.25">
      <c r="A2059" t="str">
        <f t="shared" si="366"/>
        <v>89301000</v>
      </c>
      <c r="B2059" t="str">
        <f t="shared" si="363"/>
        <v>89383000</v>
      </c>
      <c r="C2059" t="str">
        <f t="shared" si="364"/>
        <v>89383002</v>
      </c>
      <c r="D2059">
        <v>89301212</v>
      </c>
      <c r="E2059" t="str">
        <f>"7355315363"</f>
        <v>7355315363</v>
      </c>
      <c r="F2059" s="1">
        <v>44974</v>
      </c>
      <c r="G2059" t="str">
        <f>"89513"</f>
        <v>89513</v>
      </c>
      <c r="H2059">
        <v>1</v>
      </c>
      <c r="I2059">
        <v>378</v>
      </c>
      <c r="J2059">
        <v>0</v>
      </c>
      <c r="K2059" t="str">
        <f t="shared" si="365"/>
        <v>809</v>
      </c>
      <c r="L2059">
        <v>555.66</v>
      </c>
    </row>
    <row r="2060" spans="1:12" x14ac:dyDescent="0.25">
      <c r="A2060" t="str">
        <f t="shared" si="366"/>
        <v>89301000</v>
      </c>
      <c r="B2060" t="str">
        <f t="shared" si="363"/>
        <v>89383000</v>
      </c>
      <c r="C2060" t="str">
        <f t="shared" si="364"/>
        <v>89383002</v>
      </c>
      <c r="D2060">
        <v>89301212</v>
      </c>
      <c r="E2060" t="str">
        <f>"7355315363"</f>
        <v>7355315363</v>
      </c>
      <c r="F2060" s="1">
        <v>44974</v>
      </c>
      <c r="G2060" t="str">
        <f>"89514"</f>
        <v>89514</v>
      </c>
      <c r="H2060">
        <v>1</v>
      </c>
      <c r="I2060">
        <v>378</v>
      </c>
      <c r="J2060">
        <v>0</v>
      </c>
      <c r="K2060" t="str">
        <f t="shared" si="365"/>
        <v>809</v>
      </c>
      <c r="L2060">
        <v>555.66</v>
      </c>
    </row>
    <row r="2061" spans="1:12" x14ac:dyDescent="0.25">
      <c r="A2061" t="str">
        <f t="shared" si="366"/>
        <v>89301000</v>
      </c>
      <c r="B2061" t="str">
        <f t="shared" si="363"/>
        <v>89383000</v>
      </c>
      <c r="C2061" t="str">
        <f t="shared" si="364"/>
        <v>89383002</v>
      </c>
      <c r="D2061">
        <v>89301036</v>
      </c>
      <c r="E2061" t="str">
        <f>"9956165725"</f>
        <v>9956165725</v>
      </c>
      <c r="F2061" s="1">
        <v>44974</v>
      </c>
      <c r="G2061" t="str">
        <f>"89512"</f>
        <v>89512</v>
      </c>
      <c r="H2061">
        <v>1</v>
      </c>
      <c r="I2061">
        <v>283</v>
      </c>
      <c r="J2061">
        <v>0</v>
      </c>
      <c r="K2061" t="str">
        <f t="shared" si="365"/>
        <v>809</v>
      </c>
      <c r="L2061">
        <v>416.01</v>
      </c>
    </row>
    <row r="2062" spans="1:12" x14ac:dyDescent="0.25">
      <c r="A2062" t="str">
        <f t="shared" si="366"/>
        <v>89301000</v>
      </c>
      <c r="B2062" t="str">
        <f t="shared" si="363"/>
        <v>89383000</v>
      </c>
      <c r="C2062" t="str">
        <f t="shared" si="364"/>
        <v>89383002</v>
      </c>
      <c r="D2062">
        <v>89301045</v>
      </c>
      <c r="E2062" t="str">
        <f>"9758125718"</f>
        <v>9758125718</v>
      </c>
      <c r="F2062" s="1">
        <v>44974</v>
      </c>
      <c r="G2062" t="str">
        <f>"89512"</f>
        <v>89512</v>
      </c>
      <c r="H2062">
        <v>1</v>
      </c>
      <c r="I2062">
        <v>283</v>
      </c>
      <c r="J2062">
        <v>0</v>
      </c>
      <c r="K2062" t="str">
        <f t="shared" si="365"/>
        <v>809</v>
      </c>
      <c r="L2062">
        <v>416.01</v>
      </c>
    </row>
    <row r="2063" spans="1:12" x14ac:dyDescent="0.25">
      <c r="A2063" t="str">
        <f t="shared" si="366"/>
        <v>89301000</v>
      </c>
      <c r="B2063" t="str">
        <f t="shared" si="363"/>
        <v>89383000</v>
      </c>
      <c r="C2063" t="str">
        <f t="shared" si="364"/>
        <v>89383002</v>
      </c>
      <c r="D2063">
        <v>89301045</v>
      </c>
      <c r="E2063" t="str">
        <f>"9758125718"</f>
        <v>9758125718</v>
      </c>
      <c r="F2063" s="1">
        <v>44974</v>
      </c>
      <c r="G2063" t="str">
        <f>"89180"</f>
        <v>89180</v>
      </c>
      <c r="H2063">
        <v>2</v>
      </c>
      <c r="I2063">
        <v>762</v>
      </c>
      <c r="J2063">
        <v>0</v>
      </c>
      <c r="K2063" t="str">
        <f t="shared" si="365"/>
        <v>809</v>
      </c>
      <c r="L2063">
        <v>1120.1400000000001</v>
      </c>
    </row>
    <row r="2064" spans="1:12" x14ac:dyDescent="0.25">
      <c r="A2064" t="str">
        <f t="shared" si="366"/>
        <v>89301000</v>
      </c>
      <c r="B2064" t="str">
        <f t="shared" si="363"/>
        <v>89383000</v>
      </c>
      <c r="C2064" t="str">
        <f t="shared" si="364"/>
        <v>89383002</v>
      </c>
      <c r="D2064">
        <v>89301212</v>
      </c>
      <c r="E2064" t="str">
        <f>"525528085"</f>
        <v>525528085</v>
      </c>
      <c r="F2064" s="1">
        <v>44977</v>
      </c>
      <c r="G2064" t="str">
        <f>"89512"</f>
        <v>89512</v>
      </c>
      <c r="H2064">
        <v>1</v>
      </c>
      <c r="I2064">
        <v>283</v>
      </c>
      <c r="J2064">
        <v>0</v>
      </c>
      <c r="K2064" t="str">
        <f t="shared" si="365"/>
        <v>809</v>
      </c>
      <c r="L2064">
        <v>416.01</v>
      </c>
    </row>
    <row r="2065" spans="1:12" x14ac:dyDescent="0.25">
      <c r="A2065" t="str">
        <f t="shared" si="366"/>
        <v>89301000</v>
      </c>
      <c r="B2065" t="str">
        <f t="shared" si="363"/>
        <v>89383000</v>
      </c>
      <c r="C2065" t="str">
        <f t="shared" si="364"/>
        <v>89383002</v>
      </c>
      <c r="D2065">
        <v>89301212</v>
      </c>
      <c r="E2065" t="str">
        <f>"525528085"</f>
        <v>525528085</v>
      </c>
      <c r="F2065" s="1">
        <v>44977</v>
      </c>
      <c r="G2065" t="str">
        <f>"89513"</f>
        <v>89513</v>
      </c>
      <c r="H2065">
        <v>1</v>
      </c>
      <c r="I2065">
        <v>378</v>
      </c>
      <c r="J2065">
        <v>0</v>
      </c>
      <c r="K2065" t="str">
        <f t="shared" si="365"/>
        <v>809</v>
      </c>
      <c r="L2065">
        <v>555.66</v>
      </c>
    </row>
    <row r="2066" spans="1:12" x14ac:dyDescent="0.25">
      <c r="A2066" t="str">
        <f t="shared" si="366"/>
        <v>89301000</v>
      </c>
      <c r="B2066" t="str">
        <f t="shared" si="363"/>
        <v>89383000</v>
      </c>
      <c r="C2066" t="str">
        <f t="shared" si="364"/>
        <v>89383002</v>
      </c>
      <c r="D2066">
        <v>89301212</v>
      </c>
      <c r="E2066" t="str">
        <f>"525528085"</f>
        <v>525528085</v>
      </c>
      <c r="F2066" s="1">
        <v>44977</v>
      </c>
      <c r="G2066" t="str">
        <f>"89514"</f>
        <v>89514</v>
      </c>
      <c r="H2066">
        <v>1</v>
      </c>
      <c r="I2066">
        <v>378</v>
      </c>
      <c r="J2066">
        <v>0</v>
      </c>
      <c r="K2066" t="str">
        <f t="shared" si="365"/>
        <v>809</v>
      </c>
      <c r="L2066">
        <v>555.66</v>
      </c>
    </row>
    <row r="2067" spans="1:12" x14ac:dyDescent="0.25">
      <c r="A2067" t="str">
        <f t="shared" si="366"/>
        <v>89301000</v>
      </c>
      <c r="B2067" t="str">
        <f t="shared" si="363"/>
        <v>89383000</v>
      </c>
      <c r="C2067" t="str">
        <f t="shared" si="364"/>
        <v>89383002</v>
      </c>
      <c r="D2067">
        <v>89301212</v>
      </c>
      <c r="E2067" t="str">
        <f>"7961115305"</f>
        <v>7961115305</v>
      </c>
      <c r="F2067" s="1">
        <v>44977</v>
      </c>
      <c r="G2067" t="str">
        <f>"89512"</f>
        <v>89512</v>
      </c>
      <c r="H2067">
        <v>1</v>
      </c>
      <c r="I2067">
        <v>283</v>
      </c>
      <c r="J2067">
        <v>0</v>
      </c>
      <c r="K2067" t="str">
        <f t="shared" si="365"/>
        <v>809</v>
      </c>
      <c r="L2067">
        <v>416.01</v>
      </c>
    </row>
    <row r="2068" spans="1:12" x14ac:dyDescent="0.25">
      <c r="A2068" t="str">
        <f t="shared" si="366"/>
        <v>89301000</v>
      </c>
      <c r="B2068" t="str">
        <f t="shared" si="363"/>
        <v>89383000</v>
      </c>
      <c r="C2068" t="str">
        <f t="shared" si="364"/>
        <v>89383002</v>
      </c>
      <c r="D2068">
        <v>89301212</v>
      </c>
      <c r="E2068" t="str">
        <f>"5960041835"</f>
        <v>5960041835</v>
      </c>
      <c r="F2068" s="1">
        <v>44977</v>
      </c>
      <c r="G2068" t="str">
        <f>"89513"</f>
        <v>89513</v>
      </c>
      <c r="H2068">
        <v>1</v>
      </c>
      <c r="I2068">
        <v>378</v>
      </c>
      <c r="J2068">
        <v>0</v>
      </c>
      <c r="K2068" t="str">
        <f t="shared" si="365"/>
        <v>809</v>
      </c>
      <c r="L2068">
        <v>555.66</v>
      </c>
    </row>
    <row r="2069" spans="1:12" x14ac:dyDescent="0.25">
      <c r="A2069" t="str">
        <f t="shared" si="366"/>
        <v>89301000</v>
      </c>
      <c r="B2069" t="str">
        <f t="shared" si="363"/>
        <v>89383000</v>
      </c>
      <c r="C2069" t="str">
        <f t="shared" si="364"/>
        <v>89383002</v>
      </c>
      <c r="D2069">
        <v>89301212</v>
      </c>
      <c r="E2069" t="str">
        <f>"5960041835"</f>
        <v>5960041835</v>
      </c>
      <c r="F2069" s="1">
        <v>44977</v>
      </c>
      <c r="G2069" t="str">
        <f>"89514"</f>
        <v>89514</v>
      </c>
      <c r="H2069">
        <v>1</v>
      </c>
      <c r="I2069">
        <v>378</v>
      </c>
      <c r="J2069">
        <v>0</v>
      </c>
      <c r="K2069" t="str">
        <f t="shared" si="365"/>
        <v>809</v>
      </c>
      <c r="L2069">
        <v>555.66</v>
      </c>
    </row>
    <row r="2070" spans="1:12" x14ac:dyDescent="0.25">
      <c r="A2070" t="str">
        <f t="shared" si="366"/>
        <v>89301000</v>
      </c>
      <c r="B2070" t="str">
        <f t="shared" si="363"/>
        <v>89383000</v>
      </c>
      <c r="C2070" t="str">
        <f t="shared" si="364"/>
        <v>89383002</v>
      </c>
      <c r="D2070">
        <v>89301212</v>
      </c>
      <c r="E2070" t="str">
        <f>"7253095773"</f>
        <v>7253095773</v>
      </c>
      <c r="F2070" s="1">
        <v>44977</v>
      </c>
      <c r="G2070" t="str">
        <f>"89180"</f>
        <v>89180</v>
      </c>
      <c r="H2070">
        <v>1</v>
      </c>
      <c r="I2070">
        <v>381</v>
      </c>
      <c r="J2070">
        <v>0</v>
      </c>
      <c r="K2070" t="str">
        <f t="shared" si="365"/>
        <v>809</v>
      </c>
      <c r="L2070">
        <v>560.07000000000005</v>
      </c>
    </row>
    <row r="2071" spans="1:12" x14ac:dyDescent="0.25">
      <c r="A2071" t="str">
        <f t="shared" si="366"/>
        <v>89301000</v>
      </c>
      <c r="B2071" t="str">
        <f t="shared" si="363"/>
        <v>89383000</v>
      </c>
      <c r="C2071" t="str">
        <f t="shared" si="364"/>
        <v>89383002</v>
      </c>
      <c r="D2071">
        <v>89301212</v>
      </c>
      <c r="E2071" t="str">
        <f>"7253095773"</f>
        <v>7253095773</v>
      </c>
      <c r="F2071" s="1">
        <v>44977</v>
      </c>
      <c r="G2071" t="str">
        <f>"89512"</f>
        <v>89512</v>
      </c>
      <c r="H2071">
        <v>1</v>
      </c>
      <c r="I2071">
        <v>283</v>
      </c>
      <c r="J2071">
        <v>0</v>
      </c>
      <c r="K2071" t="str">
        <f t="shared" si="365"/>
        <v>809</v>
      </c>
      <c r="L2071">
        <v>416.01</v>
      </c>
    </row>
    <row r="2072" spans="1:12" x14ac:dyDescent="0.25">
      <c r="A2072" t="str">
        <f t="shared" si="366"/>
        <v>89301000</v>
      </c>
      <c r="B2072" t="str">
        <f t="shared" si="363"/>
        <v>89383000</v>
      </c>
      <c r="C2072" t="str">
        <f t="shared" si="364"/>
        <v>89383002</v>
      </c>
      <c r="D2072">
        <v>89301215</v>
      </c>
      <c r="E2072" t="str">
        <f>"6957265348"</f>
        <v>6957265348</v>
      </c>
      <c r="F2072" s="1">
        <v>44978</v>
      </c>
      <c r="G2072" t="str">
        <f>"89513"</f>
        <v>89513</v>
      </c>
      <c r="H2072">
        <v>1</v>
      </c>
      <c r="I2072">
        <v>378</v>
      </c>
      <c r="J2072">
        <v>0</v>
      </c>
      <c r="K2072" t="str">
        <f t="shared" si="365"/>
        <v>809</v>
      </c>
      <c r="L2072">
        <v>555.66</v>
      </c>
    </row>
    <row r="2073" spans="1:12" x14ac:dyDescent="0.25">
      <c r="A2073" t="str">
        <f t="shared" si="366"/>
        <v>89301000</v>
      </c>
      <c r="B2073" t="str">
        <f t="shared" ref="B2073:B2095" si="367">"89383000"</f>
        <v>89383000</v>
      </c>
      <c r="C2073" t="str">
        <f t="shared" ref="C2073:C2095" si="368">"89383002"</f>
        <v>89383002</v>
      </c>
      <c r="D2073">
        <v>89301215</v>
      </c>
      <c r="E2073" t="str">
        <f>"6957265348"</f>
        <v>6957265348</v>
      </c>
      <c r="F2073" s="1">
        <v>44978</v>
      </c>
      <c r="G2073" t="str">
        <f>"89514"</f>
        <v>89514</v>
      </c>
      <c r="H2073">
        <v>1</v>
      </c>
      <c r="I2073">
        <v>378</v>
      </c>
      <c r="J2073">
        <v>0</v>
      </c>
      <c r="K2073" t="str">
        <f t="shared" ref="K2073:K2095" si="369">"809"</f>
        <v>809</v>
      </c>
      <c r="L2073">
        <v>555.66</v>
      </c>
    </row>
    <row r="2074" spans="1:12" x14ac:dyDescent="0.25">
      <c r="A2074" t="str">
        <f t="shared" si="366"/>
        <v>89301000</v>
      </c>
      <c r="B2074" t="str">
        <f t="shared" si="367"/>
        <v>89383000</v>
      </c>
      <c r="C2074" t="str">
        <f t="shared" si="368"/>
        <v>89383002</v>
      </c>
      <c r="D2074">
        <v>89301212</v>
      </c>
      <c r="E2074" t="str">
        <f>"8561305368"</f>
        <v>8561305368</v>
      </c>
      <c r="F2074" s="1">
        <v>44978</v>
      </c>
      <c r="G2074" t="str">
        <f>"89512"</f>
        <v>89512</v>
      </c>
      <c r="H2074">
        <v>1</v>
      </c>
      <c r="I2074">
        <v>283</v>
      </c>
      <c r="J2074">
        <v>0</v>
      </c>
      <c r="K2074" t="str">
        <f t="shared" si="369"/>
        <v>809</v>
      </c>
      <c r="L2074">
        <v>416.01</v>
      </c>
    </row>
    <row r="2075" spans="1:12" x14ac:dyDescent="0.25">
      <c r="A2075" t="str">
        <f t="shared" si="366"/>
        <v>89301000</v>
      </c>
      <c r="B2075" t="str">
        <f t="shared" si="367"/>
        <v>89383000</v>
      </c>
      <c r="C2075" t="str">
        <f t="shared" si="368"/>
        <v>89383002</v>
      </c>
      <c r="D2075">
        <v>89301212</v>
      </c>
      <c r="E2075" t="str">
        <f>"8561305368"</f>
        <v>8561305368</v>
      </c>
      <c r="F2075" s="1">
        <v>44978</v>
      </c>
      <c r="G2075" t="str">
        <f>"89513"</f>
        <v>89513</v>
      </c>
      <c r="H2075">
        <v>1</v>
      </c>
      <c r="I2075">
        <v>378</v>
      </c>
      <c r="J2075">
        <v>0</v>
      </c>
      <c r="K2075" t="str">
        <f t="shared" si="369"/>
        <v>809</v>
      </c>
      <c r="L2075">
        <v>555.66</v>
      </c>
    </row>
    <row r="2076" spans="1:12" x14ac:dyDescent="0.25">
      <c r="A2076" t="str">
        <f t="shared" si="366"/>
        <v>89301000</v>
      </c>
      <c r="B2076" t="str">
        <f t="shared" si="367"/>
        <v>89383000</v>
      </c>
      <c r="C2076" t="str">
        <f t="shared" si="368"/>
        <v>89383002</v>
      </c>
      <c r="D2076">
        <v>89301212</v>
      </c>
      <c r="E2076" t="str">
        <f>"8561305368"</f>
        <v>8561305368</v>
      </c>
      <c r="F2076" s="1">
        <v>44978</v>
      </c>
      <c r="G2076" t="str">
        <f>"89514"</f>
        <v>89514</v>
      </c>
      <c r="H2076">
        <v>1</v>
      </c>
      <c r="I2076">
        <v>378</v>
      </c>
      <c r="J2076">
        <v>0</v>
      </c>
      <c r="K2076" t="str">
        <f t="shared" si="369"/>
        <v>809</v>
      </c>
      <c r="L2076">
        <v>555.66</v>
      </c>
    </row>
    <row r="2077" spans="1:12" x14ac:dyDescent="0.25">
      <c r="A2077" t="str">
        <f t="shared" si="366"/>
        <v>89301000</v>
      </c>
      <c r="B2077" t="str">
        <f t="shared" si="367"/>
        <v>89383000</v>
      </c>
      <c r="C2077" t="str">
        <f t="shared" si="368"/>
        <v>89383002</v>
      </c>
      <c r="D2077">
        <v>89301212</v>
      </c>
      <c r="E2077" t="str">
        <f>"8258094845"</f>
        <v>8258094845</v>
      </c>
      <c r="F2077" s="1">
        <v>44979</v>
      </c>
      <c r="G2077" t="str">
        <f>"89180"</f>
        <v>89180</v>
      </c>
      <c r="H2077">
        <v>2</v>
      </c>
      <c r="I2077">
        <v>762</v>
      </c>
      <c r="J2077">
        <v>0</v>
      </c>
      <c r="K2077" t="str">
        <f t="shared" si="369"/>
        <v>809</v>
      </c>
      <c r="L2077">
        <v>1120.1400000000001</v>
      </c>
    </row>
    <row r="2078" spans="1:12" x14ac:dyDescent="0.25">
      <c r="A2078" t="str">
        <f t="shared" si="366"/>
        <v>89301000</v>
      </c>
      <c r="B2078" t="str">
        <f t="shared" si="367"/>
        <v>89383000</v>
      </c>
      <c r="C2078" t="str">
        <f t="shared" si="368"/>
        <v>89383002</v>
      </c>
      <c r="D2078">
        <v>89301212</v>
      </c>
      <c r="E2078" t="str">
        <f>"8258094845"</f>
        <v>8258094845</v>
      </c>
      <c r="F2078" s="1">
        <v>44979</v>
      </c>
      <c r="G2078" t="str">
        <f>"89512"</f>
        <v>89512</v>
      </c>
      <c r="H2078">
        <v>1</v>
      </c>
      <c r="I2078">
        <v>283</v>
      </c>
      <c r="J2078">
        <v>0</v>
      </c>
      <c r="K2078" t="str">
        <f t="shared" si="369"/>
        <v>809</v>
      </c>
      <c r="L2078">
        <v>416.01</v>
      </c>
    </row>
    <row r="2079" spans="1:12" x14ac:dyDescent="0.25">
      <c r="A2079" t="str">
        <f t="shared" si="366"/>
        <v>89301000</v>
      </c>
      <c r="B2079" t="str">
        <f t="shared" si="367"/>
        <v>89383000</v>
      </c>
      <c r="C2079" t="str">
        <f t="shared" si="368"/>
        <v>89383002</v>
      </c>
      <c r="D2079">
        <v>89301045</v>
      </c>
      <c r="E2079" t="str">
        <f t="shared" ref="E2079:E2084" si="370">"7455155312"</f>
        <v>7455155312</v>
      </c>
      <c r="F2079" s="1">
        <v>44979</v>
      </c>
      <c r="G2079" t="str">
        <f>"89313"</f>
        <v>89313</v>
      </c>
      <c r="H2079">
        <v>1</v>
      </c>
      <c r="I2079">
        <v>420</v>
      </c>
      <c r="J2079">
        <v>0</v>
      </c>
      <c r="K2079" t="str">
        <f t="shared" si="369"/>
        <v>809</v>
      </c>
      <c r="L2079">
        <v>617.4</v>
      </c>
    </row>
    <row r="2080" spans="1:12" x14ac:dyDescent="0.25">
      <c r="A2080" t="str">
        <f t="shared" si="366"/>
        <v>89301000</v>
      </c>
      <c r="B2080" t="str">
        <f t="shared" si="367"/>
        <v>89383000</v>
      </c>
      <c r="C2080" t="str">
        <f t="shared" si="368"/>
        <v>89383002</v>
      </c>
      <c r="D2080">
        <v>89301045</v>
      </c>
      <c r="E2080" t="str">
        <f t="shared" si="370"/>
        <v>7455155312</v>
      </c>
      <c r="F2080" s="1">
        <v>44979</v>
      </c>
      <c r="G2080" t="str">
        <f>"09233"</f>
        <v>09233</v>
      </c>
      <c r="H2080">
        <v>1</v>
      </c>
      <c r="I2080">
        <v>102</v>
      </c>
      <c r="J2080">
        <v>0</v>
      </c>
      <c r="K2080" t="str">
        <f t="shared" si="369"/>
        <v>809</v>
      </c>
      <c r="L2080">
        <v>149.94</v>
      </c>
    </row>
    <row r="2081" spans="1:12" x14ac:dyDescent="0.25">
      <c r="A2081" t="str">
        <f t="shared" si="366"/>
        <v>89301000</v>
      </c>
      <c r="B2081" t="str">
        <f t="shared" si="367"/>
        <v>89383000</v>
      </c>
      <c r="C2081" t="str">
        <f t="shared" si="368"/>
        <v>89383002</v>
      </c>
      <c r="D2081">
        <v>89301045</v>
      </c>
      <c r="E2081" t="str">
        <f t="shared" si="370"/>
        <v>7455155312</v>
      </c>
      <c r="F2081" s="1">
        <v>44979</v>
      </c>
      <c r="G2081" t="str">
        <f>"89512"</f>
        <v>89512</v>
      </c>
      <c r="H2081">
        <v>1</v>
      </c>
      <c r="I2081">
        <v>283</v>
      </c>
      <c r="J2081">
        <v>0</v>
      </c>
      <c r="K2081" t="str">
        <f t="shared" si="369"/>
        <v>809</v>
      </c>
      <c r="L2081">
        <v>416.01</v>
      </c>
    </row>
    <row r="2082" spans="1:12" x14ac:dyDescent="0.25">
      <c r="A2082" t="str">
        <f t="shared" si="366"/>
        <v>89301000</v>
      </c>
      <c r="B2082" t="str">
        <f t="shared" si="367"/>
        <v>89383000</v>
      </c>
      <c r="C2082" t="str">
        <f t="shared" si="368"/>
        <v>89383002</v>
      </c>
      <c r="D2082">
        <v>89301045</v>
      </c>
      <c r="E2082" t="str">
        <f t="shared" si="370"/>
        <v>7455155312</v>
      </c>
      <c r="F2082" s="1">
        <v>44979</v>
      </c>
      <c r="G2082" t="str">
        <f>"89180"</f>
        <v>89180</v>
      </c>
      <c r="H2082">
        <v>1</v>
      </c>
      <c r="I2082">
        <v>381</v>
      </c>
      <c r="J2082">
        <v>0</v>
      </c>
      <c r="K2082" t="str">
        <f t="shared" si="369"/>
        <v>809</v>
      </c>
      <c r="L2082">
        <v>560.07000000000005</v>
      </c>
    </row>
    <row r="2083" spans="1:12" x14ac:dyDescent="0.25">
      <c r="A2083" t="str">
        <f t="shared" si="366"/>
        <v>89301000</v>
      </c>
      <c r="B2083" t="str">
        <f t="shared" si="367"/>
        <v>89383000</v>
      </c>
      <c r="C2083" t="str">
        <f t="shared" si="368"/>
        <v>89383002</v>
      </c>
      <c r="D2083">
        <v>89301045</v>
      </c>
      <c r="E2083" t="str">
        <f t="shared" si="370"/>
        <v>7455155312</v>
      </c>
      <c r="F2083" s="1">
        <v>44979</v>
      </c>
      <c r="G2083" t="str">
        <f>"0225891"</f>
        <v>0225891</v>
      </c>
      <c r="H2083">
        <v>0.05</v>
      </c>
      <c r="J2083">
        <v>18.39</v>
      </c>
      <c r="K2083" t="str">
        <f t="shared" si="369"/>
        <v>809</v>
      </c>
      <c r="L2083">
        <v>18.39</v>
      </c>
    </row>
    <row r="2084" spans="1:12" x14ac:dyDescent="0.25">
      <c r="A2084" t="str">
        <f t="shared" si="366"/>
        <v>89301000</v>
      </c>
      <c r="B2084" t="str">
        <f t="shared" si="367"/>
        <v>89383000</v>
      </c>
      <c r="C2084" t="str">
        <f t="shared" si="368"/>
        <v>89383002</v>
      </c>
      <c r="D2084">
        <v>89301045</v>
      </c>
      <c r="E2084" t="str">
        <f t="shared" si="370"/>
        <v>7455155312</v>
      </c>
      <c r="F2084" s="1">
        <v>44979</v>
      </c>
      <c r="G2084" t="str">
        <f>"0142906"</f>
        <v>0142906</v>
      </c>
      <c r="H2084">
        <v>1</v>
      </c>
      <c r="J2084">
        <v>6990</v>
      </c>
      <c r="K2084" t="str">
        <f t="shared" si="369"/>
        <v>809</v>
      </c>
      <c r="L2084">
        <v>6990</v>
      </c>
    </row>
    <row r="2085" spans="1:12" x14ac:dyDescent="0.25">
      <c r="A2085" t="str">
        <f t="shared" si="366"/>
        <v>89301000</v>
      </c>
      <c r="B2085" t="str">
        <f t="shared" si="367"/>
        <v>89383000</v>
      </c>
      <c r="C2085" t="str">
        <f t="shared" si="368"/>
        <v>89383002</v>
      </c>
      <c r="D2085">
        <v>89301212</v>
      </c>
      <c r="E2085" t="str">
        <f>"8160314459"</f>
        <v>8160314459</v>
      </c>
      <c r="F2085" s="1">
        <v>44980</v>
      </c>
      <c r="G2085" t="str">
        <f>"89180"</f>
        <v>89180</v>
      </c>
      <c r="H2085">
        <v>2</v>
      </c>
      <c r="I2085">
        <v>762</v>
      </c>
      <c r="J2085">
        <v>0</v>
      </c>
      <c r="K2085" t="str">
        <f t="shared" si="369"/>
        <v>809</v>
      </c>
      <c r="L2085">
        <v>1120.1400000000001</v>
      </c>
    </row>
    <row r="2086" spans="1:12" x14ac:dyDescent="0.25">
      <c r="A2086" t="str">
        <f t="shared" si="366"/>
        <v>89301000</v>
      </c>
      <c r="B2086" t="str">
        <f t="shared" si="367"/>
        <v>89383000</v>
      </c>
      <c r="C2086" t="str">
        <f t="shared" si="368"/>
        <v>89383002</v>
      </c>
      <c r="D2086">
        <v>89301212</v>
      </c>
      <c r="E2086" t="str">
        <f>"8160314459"</f>
        <v>8160314459</v>
      </c>
      <c r="F2086" s="1">
        <v>44980</v>
      </c>
      <c r="G2086" t="str">
        <f>"89512"</f>
        <v>89512</v>
      </c>
      <c r="H2086">
        <v>1</v>
      </c>
      <c r="I2086">
        <v>283</v>
      </c>
      <c r="J2086">
        <v>0</v>
      </c>
      <c r="K2086" t="str">
        <f t="shared" si="369"/>
        <v>809</v>
      </c>
      <c r="L2086">
        <v>416.01</v>
      </c>
    </row>
    <row r="2087" spans="1:12" x14ac:dyDescent="0.25">
      <c r="A2087" t="str">
        <f t="shared" si="366"/>
        <v>89301000</v>
      </c>
      <c r="B2087" t="str">
        <f t="shared" si="367"/>
        <v>89383000</v>
      </c>
      <c r="C2087" t="str">
        <f t="shared" si="368"/>
        <v>89383002</v>
      </c>
      <c r="D2087">
        <v>89301212</v>
      </c>
      <c r="E2087" t="str">
        <f>"8160314459"</f>
        <v>8160314459</v>
      </c>
      <c r="F2087" s="1">
        <v>44980</v>
      </c>
      <c r="G2087" t="str">
        <f>"89513"</f>
        <v>89513</v>
      </c>
      <c r="H2087">
        <v>1</v>
      </c>
      <c r="I2087">
        <v>378</v>
      </c>
      <c r="J2087">
        <v>0</v>
      </c>
      <c r="K2087" t="str">
        <f t="shared" si="369"/>
        <v>809</v>
      </c>
      <c r="L2087">
        <v>555.66</v>
      </c>
    </row>
    <row r="2088" spans="1:12" x14ac:dyDescent="0.25">
      <c r="A2088" t="str">
        <f t="shared" si="366"/>
        <v>89301000</v>
      </c>
      <c r="B2088" t="str">
        <f t="shared" si="367"/>
        <v>89383000</v>
      </c>
      <c r="C2088" t="str">
        <f t="shared" si="368"/>
        <v>89383002</v>
      </c>
      <c r="D2088">
        <v>89301212</v>
      </c>
      <c r="E2088" t="str">
        <f>"8160314459"</f>
        <v>8160314459</v>
      </c>
      <c r="F2088" s="1">
        <v>44980</v>
      </c>
      <c r="G2088" t="str">
        <f>"89514"</f>
        <v>89514</v>
      </c>
      <c r="H2088">
        <v>1</v>
      </c>
      <c r="I2088">
        <v>378</v>
      </c>
      <c r="J2088">
        <v>0</v>
      </c>
      <c r="K2088" t="str">
        <f t="shared" si="369"/>
        <v>809</v>
      </c>
      <c r="L2088">
        <v>555.66</v>
      </c>
    </row>
    <row r="2089" spans="1:12" x14ac:dyDescent="0.25">
      <c r="A2089" t="str">
        <f t="shared" si="366"/>
        <v>89301000</v>
      </c>
      <c r="B2089" t="str">
        <f t="shared" si="367"/>
        <v>89383000</v>
      </c>
      <c r="C2089" t="str">
        <f t="shared" si="368"/>
        <v>89383002</v>
      </c>
      <c r="D2089">
        <v>89301212</v>
      </c>
      <c r="E2089" t="str">
        <f>"426210469"</f>
        <v>426210469</v>
      </c>
      <c r="F2089" s="1">
        <v>44981</v>
      </c>
      <c r="G2089" t="str">
        <f>"89180"</f>
        <v>89180</v>
      </c>
      <c r="H2089">
        <v>2</v>
      </c>
      <c r="I2089">
        <v>762</v>
      </c>
      <c r="J2089">
        <v>0</v>
      </c>
      <c r="K2089" t="str">
        <f t="shared" si="369"/>
        <v>809</v>
      </c>
      <c r="L2089">
        <v>1120.1400000000001</v>
      </c>
    </row>
    <row r="2090" spans="1:12" x14ac:dyDescent="0.25">
      <c r="A2090" t="str">
        <f t="shared" si="366"/>
        <v>89301000</v>
      </c>
      <c r="B2090" t="str">
        <f t="shared" si="367"/>
        <v>89383000</v>
      </c>
      <c r="C2090" t="str">
        <f t="shared" si="368"/>
        <v>89383002</v>
      </c>
      <c r="D2090">
        <v>89301212</v>
      </c>
      <c r="E2090" t="str">
        <f>"426210469"</f>
        <v>426210469</v>
      </c>
      <c r="F2090" s="1">
        <v>44981</v>
      </c>
      <c r="G2090" t="str">
        <f>"89512"</f>
        <v>89512</v>
      </c>
      <c r="H2090">
        <v>1</v>
      </c>
      <c r="I2090">
        <v>283</v>
      </c>
      <c r="J2090">
        <v>0</v>
      </c>
      <c r="K2090" t="str">
        <f t="shared" si="369"/>
        <v>809</v>
      </c>
      <c r="L2090">
        <v>416.01</v>
      </c>
    </row>
    <row r="2091" spans="1:12" x14ac:dyDescent="0.25">
      <c r="A2091" t="str">
        <f t="shared" si="366"/>
        <v>89301000</v>
      </c>
      <c r="B2091" t="str">
        <f t="shared" si="367"/>
        <v>89383000</v>
      </c>
      <c r="C2091" t="str">
        <f t="shared" si="368"/>
        <v>89383002</v>
      </c>
      <c r="D2091">
        <v>89301212</v>
      </c>
      <c r="E2091" t="str">
        <f>"426210469"</f>
        <v>426210469</v>
      </c>
      <c r="F2091" s="1">
        <v>44981</v>
      </c>
      <c r="G2091" t="str">
        <f>"89514"</f>
        <v>89514</v>
      </c>
      <c r="H2091">
        <v>1</v>
      </c>
      <c r="I2091">
        <v>378</v>
      </c>
      <c r="J2091">
        <v>0</v>
      </c>
      <c r="K2091" t="str">
        <f t="shared" si="369"/>
        <v>809</v>
      </c>
      <c r="L2091">
        <v>555.66</v>
      </c>
    </row>
    <row r="2092" spans="1:12" x14ac:dyDescent="0.25">
      <c r="A2092" t="str">
        <f t="shared" si="366"/>
        <v>89301000</v>
      </c>
      <c r="B2092" t="str">
        <f t="shared" si="367"/>
        <v>89383000</v>
      </c>
      <c r="C2092" t="str">
        <f t="shared" si="368"/>
        <v>89383002</v>
      </c>
      <c r="D2092">
        <v>89301212</v>
      </c>
      <c r="E2092" t="str">
        <f>"426210469"</f>
        <v>426210469</v>
      </c>
      <c r="F2092" s="1">
        <v>44981</v>
      </c>
      <c r="G2092" t="str">
        <f>"89513"</f>
        <v>89513</v>
      </c>
      <c r="H2092">
        <v>1</v>
      </c>
      <c r="I2092">
        <v>378</v>
      </c>
      <c r="J2092">
        <v>0</v>
      </c>
      <c r="K2092" t="str">
        <f t="shared" si="369"/>
        <v>809</v>
      </c>
      <c r="L2092">
        <v>555.66</v>
      </c>
    </row>
    <row r="2093" spans="1:12" x14ac:dyDescent="0.25">
      <c r="A2093" t="str">
        <f t="shared" si="366"/>
        <v>89301000</v>
      </c>
      <c r="B2093" t="str">
        <f t="shared" si="367"/>
        <v>89383000</v>
      </c>
      <c r="C2093" t="str">
        <f t="shared" si="368"/>
        <v>89383002</v>
      </c>
      <c r="D2093">
        <v>89301212</v>
      </c>
      <c r="E2093" t="str">
        <f>"6352160177"</f>
        <v>6352160177</v>
      </c>
      <c r="F2093" s="1">
        <v>44985</v>
      </c>
      <c r="G2093" t="str">
        <f>"89513"</f>
        <v>89513</v>
      </c>
      <c r="H2093">
        <v>1</v>
      </c>
      <c r="I2093">
        <v>378</v>
      </c>
      <c r="J2093">
        <v>0</v>
      </c>
      <c r="K2093" t="str">
        <f t="shared" si="369"/>
        <v>809</v>
      </c>
      <c r="L2093">
        <v>555.66</v>
      </c>
    </row>
    <row r="2094" spans="1:12" x14ac:dyDescent="0.25">
      <c r="A2094" t="str">
        <f t="shared" si="366"/>
        <v>89301000</v>
      </c>
      <c r="B2094" t="str">
        <f t="shared" si="367"/>
        <v>89383000</v>
      </c>
      <c r="C2094" t="str">
        <f t="shared" si="368"/>
        <v>89383002</v>
      </c>
      <c r="D2094">
        <v>89301212</v>
      </c>
      <c r="E2094" t="str">
        <f>"6352160177"</f>
        <v>6352160177</v>
      </c>
      <c r="F2094" s="1">
        <v>44985</v>
      </c>
      <c r="G2094" t="str">
        <f>"89514"</f>
        <v>89514</v>
      </c>
      <c r="H2094">
        <v>1</v>
      </c>
      <c r="I2094">
        <v>378</v>
      </c>
      <c r="J2094">
        <v>0</v>
      </c>
      <c r="K2094" t="str">
        <f t="shared" si="369"/>
        <v>809</v>
      </c>
      <c r="L2094">
        <v>555.66</v>
      </c>
    </row>
    <row r="2095" spans="1:12" x14ac:dyDescent="0.25">
      <c r="A2095" t="str">
        <f t="shared" si="366"/>
        <v>89301000</v>
      </c>
      <c r="B2095" t="str">
        <f t="shared" si="367"/>
        <v>89383000</v>
      </c>
      <c r="C2095" t="str">
        <f t="shared" si="368"/>
        <v>89383002</v>
      </c>
      <c r="D2095">
        <v>89301212</v>
      </c>
      <c r="E2095" t="str">
        <f>"346230122"</f>
        <v>346230122</v>
      </c>
      <c r="F2095" s="1">
        <v>44985</v>
      </c>
      <c r="G2095" t="str">
        <f>"89512"</f>
        <v>89512</v>
      </c>
      <c r="H2095">
        <v>1</v>
      </c>
      <c r="I2095">
        <v>283</v>
      </c>
      <c r="J2095">
        <v>0</v>
      </c>
      <c r="K2095" t="str">
        <f t="shared" si="369"/>
        <v>809</v>
      </c>
      <c r="L2095">
        <v>416.01</v>
      </c>
    </row>
    <row r="2096" spans="1:12" x14ac:dyDescent="0.25">
      <c r="A2096" t="str">
        <f t="shared" si="366"/>
        <v>89301000</v>
      </c>
      <c r="B2096" t="str">
        <f>"72932000"</f>
        <v>72932000</v>
      </c>
      <c r="C2096" t="str">
        <f>"72932050"</f>
        <v>72932050</v>
      </c>
      <c r="D2096">
        <v>89301034</v>
      </c>
      <c r="E2096" t="str">
        <f>"5556122308"</f>
        <v>5556122308</v>
      </c>
      <c r="F2096" s="1">
        <v>44981</v>
      </c>
      <c r="G2096" t="str">
        <f>"94225"</f>
        <v>94225</v>
      </c>
      <c r="H2096">
        <v>1</v>
      </c>
      <c r="I2096">
        <v>1208</v>
      </c>
      <c r="J2096">
        <v>0</v>
      </c>
      <c r="K2096" t="str">
        <f>"816"</f>
        <v>816</v>
      </c>
      <c r="L2096">
        <v>1087.2</v>
      </c>
    </row>
    <row r="2097" spans="1:12" x14ac:dyDescent="0.25">
      <c r="A2097" t="str">
        <f t="shared" si="366"/>
        <v>89301000</v>
      </c>
      <c r="B2097" t="str">
        <f>"72932000"</f>
        <v>72932000</v>
      </c>
      <c r="C2097" t="str">
        <f>"72932050"</f>
        <v>72932050</v>
      </c>
      <c r="D2097">
        <v>89301034</v>
      </c>
      <c r="E2097" t="str">
        <f>"5556122308"</f>
        <v>5556122308</v>
      </c>
      <c r="F2097" s="1">
        <v>44981</v>
      </c>
      <c r="G2097" t="str">
        <f>"94956"</f>
        <v>94956</v>
      </c>
      <c r="H2097">
        <v>1</v>
      </c>
      <c r="I2097">
        <v>0</v>
      </c>
      <c r="J2097">
        <v>976</v>
      </c>
      <c r="K2097" t="str">
        <f>"816"</f>
        <v>816</v>
      </c>
      <c r="L2097">
        <v>976</v>
      </c>
    </row>
    <row r="2098" spans="1:12" x14ac:dyDescent="0.25">
      <c r="A2098" t="str">
        <f t="shared" si="366"/>
        <v>89301000</v>
      </c>
      <c r="B2098" t="str">
        <f>"72932000"</f>
        <v>72932000</v>
      </c>
      <c r="C2098" t="str">
        <f>"72932050"</f>
        <v>72932050</v>
      </c>
      <c r="D2098">
        <v>89301034</v>
      </c>
      <c r="E2098" t="str">
        <f>"6458062248"</f>
        <v>6458062248</v>
      </c>
      <c r="F2098" s="1">
        <v>44960</v>
      </c>
      <c r="G2098" t="str">
        <f>"94953"</f>
        <v>94953</v>
      </c>
      <c r="H2098">
        <v>1</v>
      </c>
      <c r="I2098">
        <v>0</v>
      </c>
      <c r="J2098">
        <v>1952</v>
      </c>
      <c r="K2098" t="str">
        <f>"816"</f>
        <v>816</v>
      </c>
      <c r="L2098">
        <v>1952</v>
      </c>
    </row>
    <row r="2099" spans="1:12" x14ac:dyDescent="0.25">
      <c r="A2099" t="str">
        <f t="shared" si="366"/>
        <v>89301000</v>
      </c>
      <c r="B2099" t="str">
        <f>"72932000"</f>
        <v>72932000</v>
      </c>
      <c r="C2099" t="str">
        <f>"72932050"</f>
        <v>72932050</v>
      </c>
      <c r="D2099">
        <v>89301034</v>
      </c>
      <c r="E2099" t="str">
        <f>"6710050160"</f>
        <v>6710050160</v>
      </c>
      <c r="F2099" s="1">
        <v>44981</v>
      </c>
      <c r="G2099" t="str">
        <f>"94225"</f>
        <v>94225</v>
      </c>
      <c r="H2099">
        <v>1</v>
      </c>
      <c r="I2099">
        <v>1208</v>
      </c>
      <c r="J2099">
        <v>0</v>
      </c>
      <c r="K2099" t="str">
        <f>"816"</f>
        <v>816</v>
      </c>
      <c r="L2099">
        <v>1087.2</v>
      </c>
    </row>
    <row r="2100" spans="1:12" x14ac:dyDescent="0.25">
      <c r="A2100" t="str">
        <f t="shared" si="366"/>
        <v>89301000</v>
      </c>
      <c r="B2100" t="str">
        <f>"72932000"</f>
        <v>72932000</v>
      </c>
      <c r="C2100" t="str">
        <f>"72932050"</f>
        <v>72932050</v>
      </c>
      <c r="D2100">
        <v>89301034</v>
      </c>
      <c r="E2100" t="str">
        <f>"6710050160"</f>
        <v>6710050160</v>
      </c>
      <c r="F2100" s="1">
        <v>44981</v>
      </c>
      <c r="G2100" t="str">
        <f>"94956"</f>
        <v>94956</v>
      </c>
      <c r="H2100">
        <v>1</v>
      </c>
      <c r="I2100">
        <v>0</v>
      </c>
      <c r="J2100">
        <v>976</v>
      </c>
      <c r="K2100" t="str">
        <f>"816"</f>
        <v>816</v>
      </c>
      <c r="L2100">
        <v>976</v>
      </c>
    </row>
    <row r="2101" spans="1:12" x14ac:dyDescent="0.25">
      <c r="A2101" t="str">
        <f t="shared" si="366"/>
        <v>89301000</v>
      </c>
      <c r="B2101" t="str">
        <f t="shared" ref="B2101:B2132" si="371">"78006000"</f>
        <v>78006000</v>
      </c>
      <c r="C2101" t="str">
        <f>"78006205"</f>
        <v>78006205</v>
      </c>
      <c r="D2101">
        <v>89301167</v>
      </c>
      <c r="E2101" t="str">
        <f>"531007235"</f>
        <v>531007235</v>
      </c>
      <c r="F2101" s="1">
        <v>44973</v>
      </c>
      <c r="G2101" t="str">
        <f>"96167"</f>
        <v>96167</v>
      </c>
      <c r="H2101">
        <v>1</v>
      </c>
      <c r="I2101">
        <v>67</v>
      </c>
      <c r="J2101">
        <v>0</v>
      </c>
      <c r="K2101" t="str">
        <f>"818"</f>
        <v>818</v>
      </c>
      <c r="L2101">
        <v>64.989999999999995</v>
      </c>
    </row>
    <row r="2102" spans="1:12" x14ac:dyDescent="0.25">
      <c r="A2102" t="str">
        <f t="shared" si="366"/>
        <v>89301000</v>
      </c>
      <c r="B2102" t="str">
        <f t="shared" si="371"/>
        <v>78006000</v>
      </c>
      <c r="C2102" t="str">
        <f>"78006205"</f>
        <v>78006205</v>
      </c>
      <c r="D2102">
        <v>89301167</v>
      </c>
      <c r="E2102" t="str">
        <f>"5854210813"</f>
        <v>5854210813</v>
      </c>
      <c r="F2102" s="1">
        <v>44970</v>
      </c>
      <c r="G2102" t="str">
        <f>"96167"</f>
        <v>96167</v>
      </c>
      <c r="H2102">
        <v>1</v>
      </c>
      <c r="I2102">
        <v>67</v>
      </c>
      <c r="J2102">
        <v>0</v>
      </c>
      <c r="K2102" t="str">
        <f>"818"</f>
        <v>818</v>
      </c>
      <c r="L2102">
        <v>64.989999999999995</v>
      </c>
    </row>
    <row r="2103" spans="1:12" x14ac:dyDescent="0.25">
      <c r="A2103" t="str">
        <f t="shared" si="366"/>
        <v>89301000</v>
      </c>
      <c r="B2103" t="str">
        <f t="shared" si="371"/>
        <v>78006000</v>
      </c>
      <c r="C2103" t="str">
        <f t="shared" ref="C2103:C2117" si="372">"78006207"</f>
        <v>78006207</v>
      </c>
      <c r="D2103">
        <v>89301212</v>
      </c>
      <c r="E2103" t="str">
        <f>"5951290719"</f>
        <v>5951290719</v>
      </c>
      <c r="F2103" s="1">
        <v>44980</v>
      </c>
      <c r="G2103" t="str">
        <f>"91153"</f>
        <v>91153</v>
      </c>
      <c r="H2103">
        <v>1</v>
      </c>
      <c r="I2103">
        <v>153</v>
      </c>
      <c r="J2103">
        <v>0</v>
      </c>
      <c r="K2103" t="str">
        <f t="shared" ref="K2103:K2117" si="373">"813"</f>
        <v>813</v>
      </c>
      <c r="L2103">
        <v>128.52000000000001</v>
      </c>
    </row>
    <row r="2104" spans="1:12" x14ac:dyDescent="0.25">
      <c r="A2104" t="str">
        <f t="shared" si="366"/>
        <v>89301000</v>
      </c>
      <c r="B2104" t="str">
        <f t="shared" si="371"/>
        <v>78006000</v>
      </c>
      <c r="C2104" t="str">
        <f t="shared" si="372"/>
        <v>78006207</v>
      </c>
      <c r="D2104">
        <v>89301167</v>
      </c>
      <c r="E2104" t="str">
        <f>"531007235"</f>
        <v>531007235</v>
      </c>
      <c r="F2104" s="1">
        <v>44973</v>
      </c>
      <c r="G2104" t="str">
        <f>"91153"</f>
        <v>91153</v>
      </c>
      <c r="H2104">
        <v>1</v>
      </c>
      <c r="I2104">
        <v>153</v>
      </c>
      <c r="J2104">
        <v>0</v>
      </c>
      <c r="K2104" t="str">
        <f t="shared" si="373"/>
        <v>813</v>
      </c>
      <c r="L2104">
        <v>128.52000000000001</v>
      </c>
    </row>
    <row r="2105" spans="1:12" x14ac:dyDescent="0.25">
      <c r="A2105" t="str">
        <f t="shared" si="366"/>
        <v>89301000</v>
      </c>
      <c r="B2105" t="str">
        <f t="shared" si="371"/>
        <v>78006000</v>
      </c>
      <c r="C2105" t="str">
        <f t="shared" si="372"/>
        <v>78006207</v>
      </c>
      <c r="D2105">
        <v>89301167</v>
      </c>
      <c r="E2105" t="str">
        <f>"5854210813"</f>
        <v>5854210813</v>
      </c>
      <c r="F2105" s="1">
        <v>44970</v>
      </c>
      <c r="G2105" t="str">
        <f>"91153"</f>
        <v>91153</v>
      </c>
      <c r="H2105">
        <v>1</v>
      </c>
      <c r="I2105">
        <v>153</v>
      </c>
      <c r="J2105">
        <v>0</v>
      </c>
      <c r="K2105" t="str">
        <f t="shared" si="373"/>
        <v>813</v>
      </c>
      <c r="L2105">
        <v>128.52000000000001</v>
      </c>
    </row>
    <row r="2106" spans="1:12" x14ac:dyDescent="0.25">
      <c r="A2106" t="str">
        <f t="shared" si="366"/>
        <v>89301000</v>
      </c>
      <c r="B2106" t="str">
        <f t="shared" si="371"/>
        <v>78006000</v>
      </c>
      <c r="C2106" t="str">
        <f t="shared" si="372"/>
        <v>78006207</v>
      </c>
      <c r="D2106">
        <v>89301171</v>
      </c>
      <c r="E2106" t="str">
        <f>"0051216154"</f>
        <v>0051216154</v>
      </c>
      <c r="F2106" s="1">
        <v>44963</v>
      </c>
      <c r="G2106" t="str">
        <f t="shared" ref="G2106:G2117" si="374">"91197"</f>
        <v>91197</v>
      </c>
      <c r="H2106">
        <v>6</v>
      </c>
      <c r="I2106">
        <v>6288</v>
      </c>
      <c r="J2106">
        <v>0</v>
      </c>
      <c r="K2106" t="str">
        <f t="shared" si="373"/>
        <v>813</v>
      </c>
      <c r="L2106">
        <v>5281.92</v>
      </c>
    </row>
    <row r="2107" spans="1:12" x14ac:dyDescent="0.25">
      <c r="A2107" t="str">
        <f t="shared" si="366"/>
        <v>89301000</v>
      </c>
      <c r="B2107" t="str">
        <f t="shared" si="371"/>
        <v>78006000</v>
      </c>
      <c r="C2107" t="str">
        <f t="shared" si="372"/>
        <v>78006207</v>
      </c>
      <c r="D2107">
        <v>89301171</v>
      </c>
      <c r="E2107" t="str">
        <f>"5806160613"</f>
        <v>5806160613</v>
      </c>
      <c r="F2107" s="1">
        <v>44979</v>
      </c>
      <c r="G2107" t="str">
        <f t="shared" si="374"/>
        <v>91197</v>
      </c>
      <c r="H2107">
        <v>6</v>
      </c>
      <c r="I2107">
        <v>6288</v>
      </c>
      <c r="J2107">
        <v>0</v>
      </c>
      <c r="K2107" t="str">
        <f t="shared" si="373"/>
        <v>813</v>
      </c>
      <c r="L2107">
        <v>5281.92</v>
      </c>
    </row>
    <row r="2108" spans="1:12" x14ac:dyDescent="0.25">
      <c r="A2108" t="str">
        <f t="shared" si="366"/>
        <v>89301000</v>
      </c>
      <c r="B2108" t="str">
        <f t="shared" si="371"/>
        <v>78006000</v>
      </c>
      <c r="C2108" t="str">
        <f t="shared" si="372"/>
        <v>78006207</v>
      </c>
      <c r="D2108">
        <v>89301171</v>
      </c>
      <c r="E2108" t="str">
        <f>"6812231580"</f>
        <v>6812231580</v>
      </c>
      <c r="F2108" s="1">
        <v>44963</v>
      </c>
      <c r="G2108" t="str">
        <f t="shared" si="374"/>
        <v>91197</v>
      </c>
      <c r="H2108">
        <v>6</v>
      </c>
      <c r="I2108">
        <v>6288</v>
      </c>
      <c r="J2108">
        <v>0</v>
      </c>
      <c r="K2108" t="str">
        <f t="shared" si="373"/>
        <v>813</v>
      </c>
      <c r="L2108">
        <v>5281.92</v>
      </c>
    </row>
    <row r="2109" spans="1:12" x14ac:dyDescent="0.25">
      <c r="A2109" t="str">
        <f t="shared" si="366"/>
        <v>89301000</v>
      </c>
      <c r="B2109" t="str">
        <f t="shared" si="371"/>
        <v>78006000</v>
      </c>
      <c r="C2109" t="str">
        <f t="shared" si="372"/>
        <v>78006207</v>
      </c>
      <c r="D2109">
        <v>89301171</v>
      </c>
      <c r="E2109" t="str">
        <f>"7210055358"</f>
        <v>7210055358</v>
      </c>
      <c r="F2109" s="1">
        <v>44963</v>
      </c>
      <c r="G2109" t="str">
        <f t="shared" si="374"/>
        <v>91197</v>
      </c>
      <c r="H2109">
        <v>6</v>
      </c>
      <c r="I2109">
        <v>6288</v>
      </c>
      <c r="J2109">
        <v>0</v>
      </c>
      <c r="K2109" t="str">
        <f t="shared" si="373"/>
        <v>813</v>
      </c>
      <c r="L2109">
        <v>5281.92</v>
      </c>
    </row>
    <row r="2110" spans="1:12" x14ac:dyDescent="0.25">
      <c r="A2110" t="str">
        <f t="shared" si="366"/>
        <v>89301000</v>
      </c>
      <c r="B2110" t="str">
        <f t="shared" si="371"/>
        <v>78006000</v>
      </c>
      <c r="C2110" t="str">
        <f t="shared" si="372"/>
        <v>78006207</v>
      </c>
      <c r="D2110">
        <v>89301171</v>
      </c>
      <c r="E2110" t="str">
        <f>"435925461"</f>
        <v>435925461</v>
      </c>
      <c r="F2110" s="1">
        <v>44963</v>
      </c>
      <c r="G2110" t="str">
        <f t="shared" si="374"/>
        <v>91197</v>
      </c>
      <c r="H2110">
        <v>6</v>
      </c>
      <c r="I2110">
        <v>6288</v>
      </c>
      <c r="J2110">
        <v>0</v>
      </c>
      <c r="K2110" t="str">
        <f t="shared" si="373"/>
        <v>813</v>
      </c>
      <c r="L2110">
        <v>5281.92</v>
      </c>
    </row>
    <row r="2111" spans="1:12" x14ac:dyDescent="0.25">
      <c r="A2111" t="str">
        <f t="shared" si="366"/>
        <v>89301000</v>
      </c>
      <c r="B2111" t="str">
        <f t="shared" si="371"/>
        <v>78006000</v>
      </c>
      <c r="C2111" t="str">
        <f t="shared" si="372"/>
        <v>78006207</v>
      </c>
      <c r="D2111">
        <v>89301171</v>
      </c>
      <c r="E2111" t="str">
        <f>"9306305294"</f>
        <v>9306305294</v>
      </c>
      <c r="F2111" s="1">
        <v>44963</v>
      </c>
      <c r="G2111" t="str">
        <f t="shared" si="374"/>
        <v>91197</v>
      </c>
      <c r="H2111">
        <v>6</v>
      </c>
      <c r="I2111">
        <v>6288</v>
      </c>
      <c r="J2111">
        <v>0</v>
      </c>
      <c r="K2111" t="str">
        <f t="shared" si="373"/>
        <v>813</v>
      </c>
      <c r="L2111">
        <v>5281.92</v>
      </c>
    </row>
    <row r="2112" spans="1:12" x14ac:dyDescent="0.25">
      <c r="A2112" t="str">
        <f t="shared" si="366"/>
        <v>89301000</v>
      </c>
      <c r="B2112" t="str">
        <f t="shared" si="371"/>
        <v>78006000</v>
      </c>
      <c r="C2112" t="str">
        <f t="shared" si="372"/>
        <v>78006207</v>
      </c>
      <c r="D2112">
        <v>89301171</v>
      </c>
      <c r="E2112" t="str">
        <f>"6103270239"</f>
        <v>6103270239</v>
      </c>
      <c r="F2112" s="1">
        <v>44973</v>
      </c>
      <c r="G2112" t="str">
        <f t="shared" si="374"/>
        <v>91197</v>
      </c>
      <c r="H2112">
        <v>6</v>
      </c>
      <c r="I2112">
        <v>6288</v>
      </c>
      <c r="J2112">
        <v>0</v>
      </c>
      <c r="K2112" t="str">
        <f t="shared" si="373"/>
        <v>813</v>
      </c>
      <c r="L2112">
        <v>5281.92</v>
      </c>
    </row>
    <row r="2113" spans="1:12" x14ac:dyDescent="0.25">
      <c r="A2113" t="str">
        <f t="shared" si="366"/>
        <v>89301000</v>
      </c>
      <c r="B2113" t="str">
        <f t="shared" si="371"/>
        <v>78006000</v>
      </c>
      <c r="C2113" t="str">
        <f t="shared" si="372"/>
        <v>78006207</v>
      </c>
      <c r="D2113">
        <v>89301171</v>
      </c>
      <c r="E2113" t="str">
        <f>"6856081650"</f>
        <v>6856081650</v>
      </c>
      <c r="F2113" s="1">
        <v>44963</v>
      </c>
      <c r="G2113" t="str">
        <f t="shared" si="374"/>
        <v>91197</v>
      </c>
      <c r="H2113">
        <v>6</v>
      </c>
      <c r="I2113">
        <v>6288</v>
      </c>
      <c r="J2113">
        <v>0</v>
      </c>
      <c r="K2113" t="str">
        <f t="shared" si="373"/>
        <v>813</v>
      </c>
      <c r="L2113">
        <v>5281.92</v>
      </c>
    </row>
    <row r="2114" spans="1:12" x14ac:dyDescent="0.25">
      <c r="A2114" t="str">
        <f t="shared" ref="A2114:A2177" si="375">"89301000"</f>
        <v>89301000</v>
      </c>
      <c r="B2114" t="str">
        <f t="shared" si="371"/>
        <v>78006000</v>
      </c>
      <c r="C2114" t="str">
        <f t="shared" si="372"/>
        <v>78006207</v>
      </c>
      <c r="D2114">
        <v>89301171</v>
      </c>
      <c r="E2114" t="str">
        <f>"6754170797"</f>
        <v>6754170797</v>
      </c>
      <c r="F2114" s="1">
        <v>44979</v>
      </c>
      <c r="G2114" t="str">
        <f t="shared" si="374"/>
        <v>91197</v>
      </c>
      <c r="H2114">
        <v>6</v>
      </c>
      <c r="I2114">
        <v>6288</v>
      </c>
      <c r="J2114">
        <v>0</v>
      </c>
      <c r="K2114" t="str">
        <f t="shared" si="373"/>
        <v>813</v>
      </c>
      <c r="L2114">
        <v>5281.92</v>
      </c>
    </row>
    <row r="2115" spans="1:12" x14ac:dyDescent="0.25">
      <c r="A2115" t="str">
        <f t="shared" si="375"/>
        <v>89301000</v>
      </c>
      <c r="B2115" t="str">
        <f t="shared" si="371"/>
        <v>78006000</v>
      </c>
      <c r="C2115" t="str">
        <f t="shared" si="372"/>
        <v>78006207</v>
      </c>
      <c r="D2115">
        <v>89301171</v>
      </c>
      <c r="E2115" t="str">
        <f>"6857302034"</f>
        <v>6857302034</v>
      </c>
      <c r="F2115" s="1">
        <v>44979</v>
      </c>
      <c r="G2115" t="str">
        <f t="shared" si="374"/>
        <v>91197</v>
      </c>
      <c r="H2115">
        <v>6</v>
      </c>
      <c r="I2115">
        <v>6288</v>
      </c>
      <c r="J2115">
        <v>0</v>
      </c>
      <c r="K2115" t="str">
        <f t="shared" si="373"/>
        <v>813</v>
      </c>
      <c r="L2115">
        <v>5281.92</v>
      </c>
    </row>
    <row r="2116" spans="1:12" x14ac:dyDescent="0.25">
      <c r="A2116" t="str">
        <f t="shared" si="375"/>
        <v>89301000</v>
      </c>
      <c r="B2116" t="str">
        <f t="shared" si="371"/>
        <v>78006000</v>
      </c>
      <c r="C2116" t="str">
        <f t="shared" si="372"/>
        <v>78006207</v>
      </c>
      <c r="D2116">
        <v>89301171</v>
      </c>
      <c r="E2116" t="str">
        <f>"0308094842"</f>
        <v>0308094842</v>
      </c>
      <c r="F2116" s="1">
        <v>44963</v>
      </c>
      <c r="G2116" t="str">
        <f t="shared" si="374"/>
        <v>91197</v>
      </c>
      <c r="H2116">
        <v>6</v>
      </c>
      <c r="I2116">
        <v>6288</v>
      </c>
      <c r="J2116">
        <v>0</v>
      </c>
      <c r="K2116" t="str">
        <f t="shared" si="373"/>
        <v>813</v>
      </c>
      <c r="L2116">
        <v>5281.92</v>
      </c>
    </row>
    <row r="2117" spans="1:12" x14ac:dyDescent="0.25">
      <c r="A2117" t="str">
        <f t="shared" si="375"/>
        <v>89301000</v>
      </c>
      <c r="B2117" t="str">
        <f t="shared" si="371"/>
        <v>78006000</v>
      </c>
      <c r="C2117" t="str">
        <f t="shared" si="372"/>
        <v>78006207</v>
      </c>
      <c r="D2117">
        <v>89301171</v>
      </c>
      <c r="E2117" t="str">
        <f>"500125180"</f>
        <v>500125180</v>
      </c>
      <c r="F2117" s="1">
        <v>44963</v>
      </c>
      <c r="G2117" t="str">
        <f t="shared" si="374"/>
        <v>91197</v>
      </c>
      <c r="H2117">
        <v>6</v>
      </c>
      <c r="I2117">
        <v>6288</v>
      </c>
      <c r="J2117">
        <v>0</v>
      </c>
      <c r="K2117" t="str">
        <f t="shared" si="373"/>
        <v>813</v>
      </c>
      <c r="L2117">
        <v>5281.92</v>
      </c>
    </row>
    <row r="2118" spans="1:12" x14ac:dyDescent="0.25">
      <c r="A2118" t="str">
        <f t="shared" si="375"/>
        <v>89301000</v>
      </c>
      <c r="B2118" t="str">
        <f t="shared" si="371"/>
        <v>78006000</v>
      </c>
      <c r="C2118" t="str">
        <f t="shared" ref="C2118:C2128" si="376">"78006831"</f>
        <v>78006831</v>
      </c>
      <c r="D2118">
        <v>89301212</v>
      </c>
      <c r="E2118" t="str">
        <f>"5452020640"</f>
        <v>5452020640</v>
      </c>
      <c r="F2118" s="1">
        <v>44965</v>
      </c>
      <c r="G2118" t="str">
        <f>"89513"</f>
        <v>89513</v>
      </c>
      <c r="H2118">
        <v>1</v>
      </c>
      <c r="I2118">
        <v>378</v>
      </c>
      <c r="J2118">
        <v>0</v>
      </c>
      <c r="K2118" t="str">
        <f t="shared" ref="K2118:K2138" si="377">"809"</f>
        <v>809</v>
      </c>
      <c r="L2118">
        <v>555.66</v>
      </c>
    </row>
    <row r="2119" spans="1:12" x14ac:dyDescent="0.25">
      <c r="A2119" t="str">
        <f t="shared" si="375"/>
        <v>89301000</v>
      </c>
      <c r="B2119" t="str">
        <f t="shared" si="371"/>
        <v>78006000</v>
      </c>
      <c r="C2119" t="str">
        <f t="shared" si="376"/>
        <v>78006831</v>
      </c>
      <c r="D2119">
        <v>89301212</v>
      </c>
      <c r="E2119" t="str">
        <f>"5452020640"</f>
        <v>5452020640</v>
      </c>
      <c r="F2119" s="1">
        <v>44965</v>
      </c>
      <c r="G2119" t="str">
        <f>"89514"</f>
        <v>89514</v>
      </c>
      <c r="H2119">
        <v>1</v>
      </c>
      <c r="I2119">
        <v>378</v>
      </c>
      <c r="J2119">
        <v>0</v>
      </c>
      <c r="K2119" t="str">
        <f t="shared" si="377"/>
        <v>809</v>
      </c>
      <c r="L2119">
        <v>555.66</v>
      </c>
    </row>
    <row r="2120" spans="1:12" x14ac:dyDescent="0.25">
      <c r="A2120" t="str">
        <f t="shared" si="375"/>
        <v>89301000</v>
      </c>
      <c r="B2120" t="str">
        <f t="shared" si="371"/>
        <v>78006000</v>
      </c>
      <c r="C2120" t="str">
        <f t="shared" si="376"/>
        <v>78006831</v>
      </c>
      <c r="D2120">
        <v>89301212</v>
      </c>
      <c r="E2120" t="str">
        <f>"456008436"</f>
        <v>456008436</v>
      </c>
      <c r="F2120" s="1">
        <v>44967</v>
      </c>
      <c r="G2120" t="str">
        <f>"89513"</f>
        <v>89513</v>
      </c>
      <c r="H2120">
        <v>1</v>
      </c>
      <c r="I2120">
        <v>378</v>
      </c>
      <c r="J2120">
        <v>0</v>
      </c>
      <c r="K2120" t="str">
        <f t="shared" si="377"/>
        <v>809</v>
      </c>
      <c r="L2120">
        <v>555.66</v>
      </c>
    </row>
    <row r="2121" spans="1:12" x14ac:dyDescent="0.25">
      <c r="A2121" t="str">
        <f t="shared" si="375"/>
        <v>89301000</v>
      </c>
      <c r="B2121" t="str">
        <f t="shared" si="371"/>
        <v>78006000</v>
      </c>
      <c r="C2121" t="str">
        <f t="shared" si="376"/>
        <v>78006831</v>
      </c>
      <c r="D2121">
        <v>89301212</v>
      </c>
      <c r="E2121" t="str">
        <f>"456008436"</f>
        <v>456008436</v>
      </c>
      <c r="F2121" s="1">
        <v>44967</v>
      </c>
      <c r="G2121" t="str">
        <f>"89514"</f>
        <v>89514</v>
      </c>
      <c r="H2121">
        <v>1</v>
      </c>
      <c r="I2121">
        <v>378</v>
      </c>
      <c r="J2121">
        <v>0</v>
      </c>
      <c r="K2121" t="str">
        <f t="shared" si="377"/>
        <v>809</v>
      </c>
      <c r="L2121">
        <v>555.66</v>
      </c>
    </row>
    <row r="2122" spans="1:12" x14ac:dyDescent="0.25">
      <c r="A2122" t="str">
        <f t="shared" si="375"/>
        <v>89301000</v>
      </c>
      <c r="B2122" t="str">
        <f t="shared" si="371"/>
        <v>78006000</v>
      </c>
      <c r="C2122" t="str">
        <f t="shared" si="376"/>
        <v>78006831</v>
      </c>
      <c r="D2122">
        <v>89301042</v>
      </c>
      <c r="E2122" t="str">
        <f>"7211115351"</f>
        <v>7211115351</v>
      </c>
      <c r="F2122" s="1">
        <v>44972</v>
      </c>
      <c r="G2122" t="str">
        <f>"89513"</f>
        <v>89513</v>
      </c>
      <c r="H2122">
        <v>1</v>
      </c>
      <c r="I2122">
        <v>378</v>
      </c>
      <c r="J2122">
        <v>0</v>
      </c>
      <c r="K2122" t="str">
        <f t="shared" si="377"/>
        <v>809</v>
      </c>
      <c r="L2122">
        <v>555.66</v>
      </c>
    </row>
    <row r="2123" spans="1:12" x14ac:dyDescent="0.25">
      <c r="A2123" t="str">
        <f t="shared" si="375"/>
        <v>89301000</v>
      </c>
      <c r="B2123" t="str">
        <f t="shared" si="371"/>
        <v>78006000</v>
      </c>
      <c r="C2123" t="str">
        <f t="shared" si="376"/>
        <v>78006831</v>
      </c>
      <c r="D2123">
        <v>89301042</v>
      </c>
      <c r="E2123" t="str">
        <f>"7211115351"</f>
        <v>7211115351</v>
      </c>
      <c r="F2123" s="1">
        <v>44972</v>
      </c>
      <c r="G2123" t="str">
        <f>"89514"</f>
        <v>89514</v>
      </c>
      <c r="H2123">
        <v>1</v>
      </c>
      <c r="I2123">
        <v>378</v>
      </c>
      <c r="J2123">
        <v>0</v>
      </c>
      <c r="K2123" t="str">
        <f t="shared" si="377"/>
        <v>809</v>
      </c>
      <c r="L2123">
        <v>555.66</v>
      </c>
    </row>
    <row r="2124" spans="1:12" x14ac:dyDescent="0.25">
      <c r="A2124" t="str">
        <f t="shared" si="375"/>
        <v>89301000</v>
      </c>
      <c r="B2124" t="str">
        <f t="shared" si="371"/>
        <v>78006000</v>
      </c>
      <c r="C2124" t="str">
        <f t="shared" si="376"/>
        <v>78006831</v>
      </c>
      <c r="D2124">
        <v>89301215</v>
      </c>
      <c r="E2124" t="str">
        <f>"5604270342"</f>
        <v>5604270342</v>
      </c>
      <c r="F2124" s="1">
        <v>44974</v>
      </c>
      <c r="G2124" t="str">
        <f>"09135"</f>
        <v>09135</v>
      </c>
      <c r="H2124">
        <v>1</v>
      </c>
      <c r="I2124">
        <v>179</v>
      </c>
      <c r="J2124">
        <v>0</v>
      </c>
      <c r="K2124" t="str">
        <f t="shared" si="377"/>
        <v>809</v>
      </c>
      <c r="L2124">
        <v>263.13</v>
      </c>
    </row>
    <row r="2125" spans="1:12" x14ac:dyDescent="0.25">
      <c r="A2125" t="str">
        <f t="shared" si="375"/>
        <v>89301000</v>
      </c>
      <c r="B2125" t="str">
        <f t="shared" si="371"/>
        <v>78006000</v>
      </c>
      <c r="C2125" t="str">
        <f t="shared" si="376"/>
        <v>78006831</v>
      </c>
      <c r="D2125">
        <v>89301212</v>
      </c>
      <c r="E2125" t="str">
        <f>"5754050357"</f>
        <v>5754050357</v>
      </c>
      <c r="F2125" s="1">
        <v>44979</v>
      </c>
      <c r="G2125" t="str">
        <f>"89513"</f>
        <v>89513</v>
      </c>
      <c r="H2125">
        <v>1</v>
      </c>
      <c r="I2125">
        <v>378</v>
      </c>
      <c r="J2125">
        <v>0</v>
      </c>
      <c r="K2125" t="str">
        <f t="shared" si="377"/>
        <v>809</v>
      </c>
      <c r="L2125">
        <v>555.66</v>
      </c>
    </row>
    <row r="2126" spans="1:12" x14ac:dyDescent="0.25">
      <c r="A2126" t="str">
        <f t="shared" si="375"/>
        <v>89301000</v>
      </c>
      <c r="B2126" t="str">
        <f t="shared" si="371"/>
        <v>78006000</v>
      </c>
      <c r="C2126" t="str">
        <f t="shared" si="376"/>
        <v>78006831</v>
      </c>
      <c r="D2126">
        <v>89301212</v>
      </c>
      <c r="E2126" t="str">
        <f>"5754050357"</f>
        <v>5754050357</v>
      </c>
      <c r="F2126" s="1">
        <v>44979</v>
      </c>
      <c r="G2126" t="str">
        <f>"89514"</f>
        <v>89514</v>
      </c>
      <c r="H2126">
        <v>1</v>
      </c>
      <c r="I2126">
        <v>378</v>
      </c>
      <c r="J2126">
        <v>0</v>
      </c>
      <c r="K2126" t="str">
        <f t="shared" si="377"/>
        <v>809</v>
      </c>
      <c r="L2126">
        <v>555.66</v>
      </c>
    </row>
    <row r="2127" spans="1:12" x14ac:dyDescent="0.25">
      <c r="A2127" t="str">
        <f t="shared" si="375"/>
        <v>89301000</v>
      </c>
      <c r="B2127" t="str">
        <f t="shared" si="371"/>
        <v>78006000</v>
      </c>
      <c r="C2127" t="str">
        <f t="shared" si="376"/>
        <v>78006831</v>
      </c>
      <c r="D2127">
        <v>89301215</v>
      </c>
      <c r="E2127" t="str">
        <f>"5456301378"</f>
        <v>5456301378</v>
      </c>
      <c r="F2127" s="1">
        <v>44980</v>
      </c>
      <c r="G2127" t="str">
        <f>"09135"</f>
        <v>09135</v>
      </c>
      <c r="H2127">
        <v>1</v>
      </c>
      <c r="I2127">
        <v>179</v>
      </c>
      <c r="J2127">
        <v>0</v>
      </c>
      <c r="K2127" t="str">
        <f t="shared" si="377"/>
        <v>809</v>
      </c>
      <c r="L2127">
        <v>263.13</v>
      </c>
    </row>
    <row r="2128" spans="1:12" x14ac:dyDescent="0.25">
      <c r="A2128" t="str">
        <f t="shared" si="375"/>
        <v>89301000</v>
      </c>
      <c r="B2128" t="str">
        <f t="shared" si="371"/>
        <v>78006000</v>
      </c>
      <c r="C2128" t="str">
        <f t="shared" si="376"/>
        <v>78006831</v>
      </c>
      <c r="D2128">
        <v>89301215</v>
      </c>
      <c r="E2128" t="str">
        <f>"5604270342"</f>
        <v>5604270342</v>
      </c>
      <c r="F2128" s="1">
        <v>44974</v>
      </c>
      <c r="G2128" t="str">
        <f>"89131"</f>
        <v>89131</v>
      </c>
      <c r="H2128">
        <v>1</v>
      </c>
      <c r="I2128">
        <v>190</v>
      </c>
      <c r="J2128">
        <v>0</v>
      </c>
      <c r="K2128" t="str">
        <f t="shared" si="377"/>
        <v>809</v>
      </c>
      <c r="L2128">
        <v>279.3</v>
      </c>
    </row>
    <row r="2129" spans="1:12" x14ac:dyDescent="0.25">
      <c r="A2129" t="str">
        <f t="shared" si="375"/>
        <v>89301000</v>
      </c>
      <c r="B2129" t="str">
        <f t="shared" si="371"/>
        <v>78006000</v>
      </c>
      <c r="C2129" t="str">
        <f t="shared" ref="C2129:C2138" si="378">"78006231"</f>
        <v>78006231</v>
      </c>
      <c r="D2129">
        <v>89301212</v>
      </c>
      <c r="E2129" t="str">
        <f>"7355274487"</f>
        <v>7355274487</v>
      </c>
      <c r="F2129" s="1">
        <v>44966</v>
      </c>
      <c r="G2129" t="str">
        <f>"89180"</f>
        <v>89180</v>
      </c>
      <c r="H2129">
        <v>2</v>
      </c>
      <c r="I2129">
        <v>762</v>
      </c>
      <c r="J2129">
        <v>0</v>
      </c>
      <c r="K2129" t="str">
        <f t="shared" si="377"/>
        <v>809</v>
      </c>
      <c r="L2129">
        <v>1120.1400000000001</v>
      </c>
    </row>
    <row r="2130" spans="1:12" x14ac:dyDescent="0.25">
      <c r="A2130" t="str">
        <f t="shared" si="375"/>
        <v>89301000</v>
      </c>
      <c r="B2130" t="str">
        <f t="shared" si="371"/>
        <v>78006000</v>
      </c>
      <c r="C2130" t="str">
        <f t="shared" si="378"/>
        <v>78006231</v>
      </c>
      <c r="D2130">
        <v>89301212</v>
      </c>
      <c r="E2130" t="str">
        <f>"535817107"</f>
        <v>535817107</v>
      </c>
      <c r="F2130" s="1">
        <v>44972</v>
      </c>
      <c r="G2130" t="str">
        <f>"89180"</f>
        <v>89180</v>
      </c>
      <c r="H2130">
        <v>1</v>
      </c>
      <c r="I2130">
        <v>381</v>
      </c>
      <c r="J2130">
        <v>0</v>
      </c>
      <c r="K2130" t="str">
        <f t="shared" si="377"/>
        <v>809</v>
      </c>
      <c r="L2130">
        <v>560.07000000000005</v>
      </c>
    </row>
    <row r="2131" spans="1:12" x14ac:dyDescent="0.25">
      <c r="A2131" t="str">
        <f t="shared" si="375"/>
        <v>89301000</v>
      </c>
      <c r="B2131" t="str">
        <f t="shared" si="371"/>
        <v>78006000</v>
      </c>
      <c r="C2131" t="str">
        <f t="shared" si="378"/>
        <v>78006231</v>
      </c>
      <c r="D2131">
        <v>89301212</v>
      </c>
      <c r="E2131" t="str">
        <f>"535817107"</f>
        <v>535817107</v>
      </c>
      <c r="F2131" s="1">
        <v>44972</v>
      </c>
      <c r="G2131" t="str">
        <f>"89512"</f>
        <v>89512</v>
      </c>
      <c r="H2131">
        <v>1</v>
      </c>
      <c r="I2131">
        <v>283</v>
      </c>
      <c r="J2131">
        <v>0</v>
      </c>
      <c r="K2131" t="str">
        <f t="shared" si="377"/>
        <v>809</v>
      </c>
      <c r="L2131">
        <v>416.01</v>
      </c>
    </row>
    <row r="2132" spans="1:12" x14ac:dyDescent="0.25">
      <c r="A2132" t="str">
        <f t="shared" si="375"/>
        <v>89301000</v>
      </c>
      <c r="B2132" t="str">
        <f t="shared" si="371"/>
        <v>78006000</v>
      </c>
      <c r="C2132" t="str">
        <f t="shared" si="378"/>
        <v>78006231</v>
      </c>
      <c r="D2132">
        <v>89301212</v>
      </c>
      <c r="E2132" t="str">
        <f>"5554290819"</f>
        <v>5554290819</v>
      </c>
      <c r="F2132" s="1">
        <v>44963</v>
      </c>
      <c r="G2132" t="str">
        <f>"89512"</f>
        <v>89512</v>
      </c>
      <c r="H2132">
        <v>1</v>
      </c>
      <c r="I2132">
        <v>283</v>
      </c>
      <c r="J2132">
        <v>0</v>
      </c>
      <c r="K2132" t="str">
        <f t="shared" si="377"/>
        <v>809</v>
      </c>
      <c r="L2132">
        <v>416.01</v>
      </c>
    </row>
    <row r="2133" spans="1:12" x14ac:dyDescent="0.25">
      <c r="A2133" t="str">
        <f t="shared" si="375"/>
        <v>89301000</v>
      </c>
      <c r="B2133" t="str">
        <f t="shared" ref="B2133:B2164" si="379">"78006000"</f>
        <v>78006000</v>
      </c>
      <c r="C2133" t="str">
        <f t="shared" si="378"/>
        <v>78006231</v>
      </c>
      <c r="D2133">
        <v>89301088</v>
      </c>
      <c r="E2133" t="str">
        <f>"8262144506"</f>
        <v>8262144506</v>
      </c>
      <c r="F2133" s="1">
        <v>44972</v>
      </c>
      <c r="G2133" t="str">
        <f>"89512"</f>
        <v>89512</v>
      </c>
      <c r="H2133">
        <v>1</v>
      </c>
      <c r="I2133">
        <v>283</v>
      </c>
      <c r="J2133">
        <v>0</v>
      </c>
      <c r="K2133" t="str">
        <f t="shared" si="377"/>
        <v>809</v>
      </c>
      <c r="L2133">
        <v>416.01</v>
      </c>
    </row>
    <row r="2134" spans="1:12" x14ac:dyDescent="0.25">
      <c r="A2134" t="str">
        <f t="shared" si="375"/>
        <v>89301000</v>
      </c>
      <c r="B2134" t="str">
        <f t="shared" si="379"/>
        <v>78006000</v>
      </c>
      <c r="C2134" t="str">
        <f t="shared" si="378"/>
        <v>78006231</v>
      </c>
      <c r="D2134">
        <v>89301062</v>
      </c>
      <c r="E2134" t="str">
        <f>"5505050650"</f>
        <v>5505050650</v>
      </c>
      <c r="F2134" s="1">
        <v>44963</v>
      </c>
      <c r="G2134" t="str">
        <f>"89119"</f>
        <v>89119</v>
      </c>
      <c r="H2134">
        <v>1</v>
      </c>
      <c r="I2134">
        <v>204</v>
      </c>
      <c r="J2134">
        <v>0</v>
      </c>
      <c r="K2134" t="str">
        <f t="shared" si="377"/>
        <v>809</v>
      </c>
      <c r="L2134">
        <v>299.88</v>
      </c>
    </row>
    <row r="2135" spans="1:12" x14ac:dyDescent="0.25">
      <c r="A2135" t="str">
        <f t="shared" si="375"/>
        <v>89301000</v>
      </c>
      <c r="B2135" t="str">
        <f t="shared" si="379"/>
        <v>78006000</v>
      </c>
      <c r="C2135" t="str">
        <f t="shared" si="378"/>
        <v>78006231</v>
      </c>
      <c r="D2135">
        <v>89301212</v>
      </c>
      <c r="E2135" t="str">
        <f>"535801119"</f>
        <v>535801119</v>
      </c>
      <c r="F2135" s="1">
        <v>44973</v>
      </c>
      <c r="G2135" t="str">
        <f>"89131"</f>
        <v>89131</v>
      </c>
      <c r="H2135">
        <v>1</v>
      </c>
      <c r="I2135">
        <v>190</v>
      </c>
      <c r="J2135">
        <v>0</v>
      </c>
      <c r="K2135" t="str">
        <f t="shared" si="377"/>
        <v>809</v>
      </c>
      <c r="L2135">
        <v>279.3</v>
      </c>
    </row>
    <row r="2136" spans="1:12" x14ac:dyDescent="0.25">
      <c r="A2136" t="str">
        <f t="shared" si="375"/>
        <v>89301000</v>
      </c>
      <c r="B2136" t="str">
        <f t="shared" si="379"/>
        <v>78006000</v>
      </c>
      <c r="C2136" t="str">
        <f t="shared" si="378"/>
        <v>78006231</v>
      </c>
      <c r="D2136">
        <v>89301212</v>
      </c>
      <c r="E2136" t="str">
        <f>"495221276"</f>
        <v>495221276</v>
      </c>
      <c r="F2136" s="1">
        <v>44981</v>
      </c>
      <c r="G2136" t="str">
        <f>"89131"</f>
        <v>89131</v>
      </c>
      <c r="H2136">
        <v>1</v>
      </c>
      <c r="I2136">
        <v>190</v>
      </c>
      <c r="J2136">
        <v>0</v>
      </c>
      <c r="K2136" t="str">
        <f t="shared" si="377"/>
        <v>809</v>
      </c>
      <c r="L2136">
        <v>279.3</v>
      </c>
    </row>
    <row r="2137" spans="1:12" x14ac:dyDescent="0.25">
      <c r="A2137" t="str">
        <f t="shared" si="375"/>
        <v>89301000</v>
      </c>
      <c r="B2137" t="str">
        <f t="shared" si="379"/>
        <v>78006000</v>
      </c>
      <c r="C2137" t="str">
        <f t="shared" si="378"/>
        <v>78006231</v>
      </c>
      <c r="D2137">
        <v>89301212</v>
      </c>
      <c r="E2137" t="str">
        <f>"535801119"</f>
        <v>535801119</v>
      </c>
      <c r="F2137" s="1">
        <v>44973</v>
      </c>
      <c r="G2137" t="str">
        <f>"89513"</f>
        <v>89513</v>
      </c>
      <c r="H2137">
        <v>1</v>
      </c>
      <c r="I2137">
        <v>378</v>
      </c>
      <c r="J2137">
        <v>0</v>
      </c>
      <c r="K2137" t="str">
        <f t="shared" si="377"/>
        <v>809</v>
      </c>
      <c r="L2137">
        <v>555.66</v>
      </c>
    </row>
    <row r="2138" spans="1:12" x14ac:dyDescent="0.25">
      <c r="A2138" t="str">
        <f t="shared" si="375"/>
        <v>89301000</v>
      </c>
      <c r="B2138" t="str">
        <f t="shared" si="379"/>
        <v>78006000</v>
      </c>
      <c r="C2138" t="str">
        <f t="shared" si="378"/>
        <v>78006231</v>
      </c>
      <c r="D2138">
        <v>89301212</v>
      </c>
      <c r="E2138" t="str">
        <f>"535801119"</f>
        <v>535801119</v>
      </c>
      <c r="F2138" s="1">
        <v>44973</v>
      </c>
      <c r="G2138" t="str">
        <f>"89514"</f>
        <v>89514</v>
      </c>
      <c r="H2138">
        <v>1</v>
      </c>
      <c r="I2138">
        <v>378</v>
      </c>
      <c r="J2138">
        <v>0</v>
      </c>
      <c r="K2138" t="str">
        <f t="shared" si="377"/>
        <v>809</v>
      </c>
      <c r="L2138">
        <v>555.66</v>
      </c>
    </row>
    <row r="2139" spans="1:12" x14ac:dyDescent="0.25">
      <c r="A2139" t="str">
        <f t="shared" si="375"/>
        <v>89301000</v>
      </c>
      <c r="B2139" t="str">
        <f t="shared" si="379"/>
        <v>78006000</v>
      </c>
      <c r="C2139" t="str">
        <f t="shared" ref="C2139:C2146" si="380">"78006201"</f>
        <v>78006201</v>
      </c>
      <c r="D2139">
        <v>89301167</v>
      </c>
      <c r="E2139" t="str">
        <f t="shared" ref="E2139:E2150" si="381">"7003135304"</f>
        <v>7003135304</v>
      </c>
      <c r="F2139" s="1">
        <v>44977</v>
      </c>
      <c r="G2139" t="str">
        <f>"81329"</f>
        <v>81329</v>
      </c>
      <c r="H2139">
        <v>1</v>
      </c>
      <c r="I2139">
        <v>17</v>
      </c>
      <c r="J2139">
        <v>0</v>
      </c>
      <c r="K2139" t="str">
        <f t="shared" ref="K2139:K2146" si="382">"801"</f>
        <v>801</v>
      </c>
      <c r="L2139">
        <v>14.28</v>
      </c>
    </row>
    <row r="2140" spans="1:12" x14ac:dyDescent="0.25">
      <c r="A2140" t="str">
        <f t="shared" si="375"/>
        <v>89301000</v>
      </c>
      <c r="B2140" t="str">
        <f t="shared" si="379"/>
        <v>78006000</v>
      </c>
      <c r="C2140" t="str">
        <f t="shared" si="380"/>
        <v>78006201</v>
      </c>
      <c r="D2140">
        <v>89301167</v>
      </c>
      <c r="E2140" t="str">
        <f t="shared" si="381"/>
        <v>7003135304</v>
      </c>
      <c r="F2140" s="1">
        <v>44977</v>
      </c>
      <c r="G2140" t="str">
        <f>"81383"</f>
        <v>81383</v>
      </c>
      <c r="H2140">
        <v>1</v>
      </c>
      <c r="I2140">
        <v>24</v>
      </c>
      <c r="J2140">
        <v>0</v>
      </c>
      <c r="K2140" t="str">
        <f t="shared" si="382"/>
        <v>801</v>
      </c>
      <c r="L2140">
        <v>20.16</v>
      </c>
    </row>
    <row r="2141" spans="1:12" x14ac:dyDescent="0.25">
      <c r="A2141" t="str">
        <f t="shared" si="375"/>
        <v>89301000</v>
      </c>
      <c r="B2141" t="str">
        <f t="shared" si="379"/>
        <v>78006000</v>
      </c>
      <c r="C2141" t="str">
        <f t="shared" si="380"/>
        <v>78006201</v>
      </c>
      <c r="D2141">
        <v>89301167</v>
      </c>
      <c r="E2141" t="str">
        <f t="shared" si="381"/>
        <v>7003135304</v>
      </c>
      <c r="F2141" s="1">
        <v>44977</v>
      </c>
      <c r="G2141" t="str">
        <f>"81625"</f>
        <v>81625</v>
      </c>
      <c r="H2141">
        <v>1</v>
      </c>
      <c r="I2141">
        <v>21</v>
      </c>
      <c r="J2141">
        <v>0</v>
      </c>
      <c r="K2141" t="str">
        <f t="shared" si="382"/>
        <v>801</v>
      </c>
      <c r="L2141">
        <v>17.64</v>
      </c>
    </row>
    <row r="2142" spans="1:12" x14ac:dyDescent="0.25">
      <c r="A2142" t="str">
        <f t="shared" si="375"/>
        <v>89301000</v>
      </c>
      <c r="B2142" t="str">
        <f t="shared" si="379"/>
        <v>78006000</v>
      </c>
      <c r="C2142" t="str">
        <f t="shared" si="380"/>
        <v>78006201</v>
      </c>
      <c r="D2142">
        <v>89301167</v>
      </c>
      <c r="E2142" t="str">
        <f t="shared" si="381"/>
        <v>7003135304</v>
      </c>
      <c r="F2142" s="1">
        <v>44977</v>
      </c>
      <c r="G2142" t="str">
        <f>"97111"</f>
        <v>97111</v>
      </c>
      <c r="H2142">
        <v>2</v>
      </c>
      <c r="I2142">
        <v>38</v>
      </c>
      <c r="J2142">
        <v>0</v>
      </c>
      <c r="K2142" t="str">
        <f t="shared" si="382"/>
        <v>801</v>
      </c>
      <c r="L2142">
        <v>47.88</v>
      </c>
    </row>
    <row r="2143" spans="1:12" x14ac:dyDescent="0.25">
      <c r="A2143" t="str">
        <f t="shared" si="375"/>
        <v>89301000</v>
      </c>
      <c r="B2143" t="str">
        <f t="shared" si="379"/>
        <v>78006000</v>
      </c>
      <c r="C2143" t="str">
        <f t="shared" si="380"/>
        <v>78006201</v>
      </c>
      <c r="D2143">
        <v>89301167</v>
      </c>
      <c r="E2143" t="str">
        <f t="shared" si="381"/>
        <v>7003135304</v>
      </c>
      <c r="F2143" s="1">
        <v>44963</v>
      </c>
      <c r="G2143" t="str">
        <f>"81329"</f>
        <v>81329</v>
      </c>
      <c r="H2143">
        <v>1</v>
      </c>
      <c r="I2143">
        <v>17</v>
      </c>
      <c r="J2143">
        <v>0</v>
      </c>
      <c r="K2143" t="str">
        <f t="shared" si="382"/>
        <v>801</v>
      </c>
      <c r="L2143">
        <v>14.28</v>
      </c>
    </row>
    <row r="2144" spans="1:12" x14ac:dyDescent="0.25">
      <c r="A2144" t="str">
        <f t="shared" si="375"/>
        <v>89301000</v>
      </c>
      <c r="B2144" t="str">
        <f t="shared" si="379"/>
        <v>78006000</v>
      </c>
      <c r="C2144" t="str">
        <f t="shared" si="380"/>
        <v>78006201</v>
      </c>
      <c r="D2144">
        <v>89301167</v>
      </c>
      <c r="E2144" t="str">
        <f t="shared" si="381"/>
        <v>7003135304</v>
      </c>
      <c r="F2144" s="1">
        <v>44963</v>
      </c>
      <c r="G2144" t="str">
        <f>"81383"</f>
        <v>81383</v>
      </c>
      <c r="H2144">
        <v>1</v>
      </c>
      <c r="I2144">
        <v>24</v>
      </c>
      <c r="J2144">
        <v>0</v>
      </c>
      <c r="K2144" t="str">
        <f t="shared" si="382"/>
        <v>801</v>
      </c>
      <c r="L2144">
        <v>20.16</v>
      </c>
    </row>
    <row r="2145" spans="1:12" x14ac:dyDescent="0.25">
      <c r="A2145" t="str">
        <f t="shared" si="375"/>
        <v>89301000</v>
      </c>
      <c r="B2145" t="str">
        <f t="shared" si="379"/>
        <v>78006000</v>
      </c>
      <c r="C2145" t="str">
        <f t="shared" si="380"/>
        <v>78006201</v>
      </c>
      <c r="D2145">
        <v>89301167</v>
      </c>
      <c r="E2145" t="str">
        <f t="shared" si="381"/>
        <v>7003135304</v>
      </c>
      <c r="F2145" s="1">
        <v>44963</v>
      </c>
      <c r="G2145" t="str">
        <f>"81625"</f>
        <v>81625</v>
      </c>
      <c r="H2145">
        <v>1</v>
      </c>
      <c r="I2145">
        <v>21</v>
      </c>
      <c r="J2145">
        <v>0</v>
      </c>
      <c r="K2145" t="str">
        <f t="shared" si="382"/>
        <v>801</v>
      </c>
      <c r="L2145">
        <v>17.64</v>
      </c>
    </row>
    <row r="2146" spans="1:12" x14ac:dyDescent="0.25">
      <c r="A2146" t="str">
        <f t="shared" si="375"/>
        <v>89301000</v>
      </c>
      <c r="B2146" t="str">
        <f t="shared" si="379"/>
        <v>78006000</v>
      </c>
      <c r="C2146" t="str">
        <f t="shared" si="380"/>
        <v>78006201</v>
      </c>
      <c r="D2146">
        <v>89301167</v>
      </c>
      <c r="E2146" t="str">
        <f t="shared" si="381"/>
        <v>7003135304</v>
      </c>
      <c r="F2146" s="1">
        <v>44963</v>
      </c>
      <c r="G2146" t="str">
        <f>"97111"</f>
        <v>97111</v>
      </c>
      <c r="H2146">
        <v>1</v>
      </c>
      <c r="I2146">
        <v>19</v>
      </c>
      <c r="J2146">
        <v>0</v>
      </c>
      <c r="K2146" t="str">
        <f t="shared" si="382"/>
        <v>801</v>
      </c>
      <c r="L2146">
        <v>23.94</v>
      </c>
    </row>
    <row r="2147" spans="1:12" x14ac:dyDescent="0.25">
      <c r="A2147" t="str">
        <f t="shared" si="375"/>
        <v>89301000</v>
      </c>
      <c r="B2147" t="str">
        <f t="shared" si="379"/>
        <v>78006000</v>
      </c>
      <c r="C2147" t="str">
        <f>"78006205"</f>
        <v>78006205</v>
      </c>
      <c r="D2147">
        <v>89301167</v>
      </c>
      <c r="E2147" t="str">
        <f t="shared" si="381"/>
        <v>7003135304</v>
      </c>
      <c r="F2147" s="1">
        <v>44977</v>
      </c>
      <c r="G2147" t="str">
        <f>"96167"</f>
        <v>96167</v>
      </c>
      <c r="H2147">
        <v>1</v>
      </c>
      <c r="I2147">
        <v>67</v>
      </c>
      <c r="J2147">
        <v>0</v>
      </c>
      <c r="K2147" t="str">
        <f>"818"</f>
        <v>818</v>
      </c>
      <c r="L2147">
        <v>64.989999999999995</v>
      </c>
    </row>
    <row r="2148" spans="1:12" x14ac:dyDescent="0.25">
      <c r="A2148" t="str">
        <f t="shared" si="375"/>
        <v>89301000</v>
      </c>
      <c r="B2148" t="str">
        <f t="shared" si="379"/>
        <v>78006000</v>
      </c>
      <c r="C2148" t="str">
        <f>"78006205"</f>
        <v>78006205</v>
      </c>
      <c r="D2148">
        <v>89301167</v>
      </c>
      <c r="E2148" t="str">
        <f t="shared" si="381"/>
        <v>7003135304</v>
      </c>
      <c r="F2148" s="1">
        <v>44963</v>
      </c>
      <c r="G2148" t="str">
        <f>"96167"</f>
        <v>96167</v>
      </c>
      <c r="H2148">
        <v>1</v>
      </c>
      <c r="I2148">
        <v>67</v>
      </c>
      <c r="J2148">
        <v>0</v>
      </c>
      <c r="K2148" t="str">
        <f>"818"</f>
        <v>818</v>
      </c>
      <c r="L2148">
        <v>64.989999999999995</v>
      </c>
    </row>
    <row r="2149" spans="1:12" x14ac:dyDescent="0.25">
      <c r="A2149" t="str">
        <f t="shared" si="375"/>
        <v>89301000</v>
      </c>
      <c r="B2149" t="str">
        <f t="shared" si="379"/>
        <v>78006000</v>
      </c>
      <c r="C2149" t="str">
        <f>"78006207"</f>
        <v>78006207</v>
      </c>
      <c r="D2149">
        <v>89301167</v>
      </c>
      <c r="E2149" t="str">
        <f t="shared" si="381"/>
        <v>7003135304</v>
      </c>
      <c r="F2149" s="1">
        <v>44977</v>
      </c>
      <c r="G2149" t="str">
        <f>"91153"</f>
        <v>91153</v>
      </c>
      <c r="H2149">
        <v>1</v>
      </c>
      <c r="I2149">
        <v>153</v>
      </c>
      <c r="J2149">
        <v>0</v>
      </c>
      <c r="K2149" t="str">
        <f>"813"</f>
        <v>813</v>
      </c>
      <c r="L2149">
        <v>128.52000000000001</v>
      </c>
    </row>
    <row r="2150" spans="1:12" x14ac:dyDescent="0.25">
      <c r="A2150" t="str">
        <f t="shared" si="375"/>
        <v>89301000</v>
      </c>
      <c r="B2150" t="str">
        <f t="shared" si="379"/>
        <v>78006000</v>
      </c>
      <c r="C2150" t="str">
        <f>"78006207"</f>
        <v>78006207</v>
      </c>
      <c r="D2150">
        <v>89301167</v>
      </c>
      <c r="E2150" t="str">
        <f t="shared" si="381"/>
        <v>7003135304</v>
      </c>
      <c r="F2150" s="1">
        <v>44963</v>
      </c>
      <c r="G2150" t="str">
        <f>"91153"</f>
        <v>91153</v>
      </c>
      <c r="H2150">
        <v>1</v>
      </c>
      <c r="I2150">
        <v>153</v>
      </c>
      <c r="J2150">
        <v>0</v>
      </c>
      <c r="K2150" t="str">
        <f>"813"</f>
        <v>813</v>
      </c>
      <c r="L2150">
        <v>128.52000000000001</v>
      </c>
    </row>
    <row r="2151" spans="1:12" x14ac:dyDescent="0.25">
      <c r="A2151" t="str">
        <f t="shared" si="375"/>
        <v>89301000</v>
      </c>
      <c r="B2151" t="str">
        <f t="shared" si="379"/>
        <v>78006000</v>
      </c>
      <c r="C2151" t="str">
        <f>"78006531"</f>
        <v>78006531</v>
      </c>
      <c r="D2151">
        <v>89301212</v>
      </c>
      <c r="E2151" t="str">
        <f>"7558175713"</f>
        <v>7558175713</v>
      </c>
      <c r="F2151" s="1">
        <v>44966</v>
      </c>
      <c r="G2151" t="str">
        <f>"89513"</f>
        <v>89513</v>
      </c>
      <c r="H2151">
        <v>1</v>
      </c>
      <c r="I2151">
        <v>378</v>
      </c>
      <c r="J2151">
        <v>0</v>
      </c>
      <c r="K2151" t="str">
        <f>"809"</f>
        <v>809</v>
      </c>
      <c r="L2151">
        <v>555.66</v>
      </c>
    </row>
    <row r="2152" spans="1:12" x14ac:dyDescent="0.25">
      <c r="A2152" t="str">
        <f t="shared" si="375"/>
        <v>89301000</v>
      </c>
      <c r="B2152" t="str">
        <f t="shared" si="379"/>
        <v>78006000</v>
      </c>
      <c r="C2152" t="str">
        <f>"78006531"</f>
        <v>78006531</v>
      </c>
      <c r="D2152">
        <v>89301212</v>
      </c>
      <c r="E2152" t="str">
        <f>"7558175713"</f>
        <v>7558175713</v>
      </c>
      <c r="F2152" s="1">
        <v>44966</v>
      </c>
      <c r="G2152" t="str">
        <f>"89514"</f>
        <v>89514</v>
      </c>
      <c r="H2152">
        <v>1</v>
      </c>
      <c r="I2152">
        <v>378</v>
      </c>
      <c r="J2152">
        <v>0</v>
      </c>
      <c r="K2152" t="str">
        <f>"809"</f>
        <v>809</v>
      </c>
      <c r="L2152">
        <v>555.66</v>
      </c>
    </row>
    <row r="2153" spans="1:12" x14ac:dyDescent="0.25">
      <c r="A2153" t="str">
        <f t="shared" si="375"/>
        <v>89301000</v>
      </c>
      <c r="B2153" t="str">
        <f t="shared" si="379"/>
        <v>78006000</v>
      </c>
      <c r="C2153" t="str">
        <f>"78006531"</f>
        <v>78006531</v>
      </c>
      <c r="D2153">
        <v>89301212</v>
      </c>
      <c r="E2153" t="str">
        <f>"7558175713"</f>
        <v>7558175713</v>
      </c>
      <c r="F2153" s="1">
        <v>44966</v>
      </c>
      <c r="G2153" t="str">
        <f>"89131"</f>
        <v>89131</v>
      </c>
      <c r="H2153">
        <v>1</v>
      </c>
      <c r="I2153">
        <v>190</v>
      </c>
      <c r="J2153">
        <v>0</v>
      </c>
      <c r="K2153" t="str">
        <f>"809"</f>
        <v>809</v>
      </c>
      <c r="L2153">
        <v>279.3</v>
      </c>
    </row>
    <row r="2154" spans="1:12" x14ac:dyDescent="0.25">
      <c r="A2154" t="str">
        <f t="shared" si="375"/>
        <v>89301000</v>
      </c>
      <c r="B2154" t="str">
        <f t="shared" si="379"/>
        <v>78006000</v>
      </c>
      <c r="C2154" t="str">
        <f t="shared" ref="C2154:C2194" si="383">"78006201"</f>
        <v>78006201</v>
      </c>
      <c r="D2154">
        <v>89301171</v>
      </c>
      <c r="E2154" t="str">
        <f>"7661265381"</f>
        <v>7661265381</v>
      </c>
      <c r="F2154" s="1">
        <v>44981</v>
      </c>
      <c r="G2154" t="str">
        <f>"81703"</f>
        <v>81703</v>
      </c>
      <c r="H2154">
        <v>2</v>
      </c>
      <c r="I2154">
        <v>556</v>
      </c>
      <c r="J2154">
        <v>0</v>
      </c>
      <c r="K2154" t="str">
        <f t="shared" ref="K2154:K2194" si="384">"801"</f>
        <v>801</v>
      </c>
      <c r="L2154">
        <v>467.04</v>
      </c>
    </row>
    <row r="2155" spans="1:12" x14ac:dyDescent="0.25">
      <c r="A2155" t="str">
        <f t="shared" si="375"/>
        <v>89301000</v>
      </c>
      <c r="B2155" t="str">
        <f t="shared" si="379"/>
        <v>78006000</v>
      </c>
      <c r="C2155" t="str">
        <f t="shared" si="383"/>
        <v>78006201</v>
      </c>
      <c r="D2155">
        <v>89301122</v>
      </c>
      <c r="E2155" t="str">
        <f>"531003240"</f>
        <v>531003240</v>
      </c>
      <c r="F2155" s="1">
        <v>44958</v>
      </c>
      <c r="G2155" t="str">
        <f>"93191"</f>
        <v>93191</v>
      </c>
      <c r="H2155">
        <v>1</v>
      </c>
      <c r="I2155">
        <v>186</v>
      </c>
      <c r="J2155">
        <v>0</v>
      </c>
      <c r="K2155" t="str">
        <f t="shared" si="384"/>
        <v>801</v>
      </c>
      <c r="L2155">
        <v>156.24</v>
      </c>
    </row>
    <row r="2156" spans="1:12" x14ac:dyDescent="0.25">
      <c r="A2156" t="str">
        <f t="shared" si="375"/>
        <v>89301000</v>
      </c>
      <c r="B2156" t="str">
        <f t="shared" si="379"/>
        <v>78006000</v>
      </c>
      <c r="C2156" t="str">
        <f t="shared" si="383"/>
        <v>78006201</v>
      </c>
      <c r="D2156">
        <v>89301122</v>
      </c>
      <c r="E2156" t="str">
        <f>"531003240"</f>
        <v>531003240</v>
      </c>
      <c r="F2156" s="1">
        <v>44958</v>
      </c>
      <c r="G2156" t="str">
        <f>"97111"</f>
        <v>97111</v>
      </c>
      <c r="H2156">
        <v>1</v>
      </c>
      <c r="I2156">
        <v>19</v>
      </c>
      <c r="J2156">
        <v>0</v>
      </c>
      <c r="K2156" t="str">
        <f t="shared" si="384"/>
        <v>801</v>
      </c>
      <c r="L2156">
        <v>23.94</v>
      </c>
    </row>
    <row r="2157" spans="1:12" x14ac:dyDescent="0.25">
      <c r="A2157" t="str">
        <f t="shared" si="375"/>
        <v>89301000</v>
      </c>
      <c r="B2157" t="str">
        <f t="shared" si="379"/>
        <v>78006000</v>
      </c>
      <c r="C2157" t="str">
        <f t="shared" si="383"/>
        <v>78006201</v>
      </c>
      <c r="D2157">
        <v>89301171</v>
      </c>
      <c r="E2157" t="str">
        <f>"7210055358"</f>
        <v>7210055358</v>
      </c>
      <c r="F2157" s="1">
        <v>44963</v>
      </c>
      <c r="G2157" t="str">
        <f>"97111"</f>
        <v>97111</v>
      </c>
      <c r="H2157">
        <v>1</v>
      </c>
      <c r="I2157">
        <v>19</v>
      </c>
      <c r="J2157">
        <v>0</v>
      </c>
      <c r="K2157" t="str">
        <f t="shared" si="384"/>
        <v>801</v>
      </c>
      <c r="L2157">
        <v>23.94</v>
      </c>
    </row>
    <row r="2158" spans="1:12" x14ac:dyDescent="0.25">
      <c r="A2158" t="str">
        <f t="shared" si="375"/>
        <v>89301000</v>
      </c>
      <c r="B2158" t="str">
        <f t="shared" si="379"/>
        <v>78006000</v>
      </c>
      <c r="C2158" t="str">
        <f t="shared" si="383"/>
        <v>78006201</v>
      </c>
      <c r="D2158">
        <v>89301171</v>
      </c>
      <c r="E2158" t="str">
        <f>"6812231580"</f>
        <v>6812231580</v>
      </c>
      <c r="F2158" s="1">
        <v>44963</v>
      </c>
      <c r="G2158" t="str">
        <f>"97111"</f>
        <v>97111</v>
      </c>
      <c r="H2158">
        <v>1</v>
      </c>
      <c r="I2158">
        <v>19</v>
      </c>
      <c r="J2158">
        <v>0</v>
      </c>
      <c r="K2158" t="str">
        <f t="shared" si="384"/>
        <v>801</v>
      </c>
      <c r="L2158">
        <v>23.94</v>
      </c>
    </row>
    <row r="2159" spans="1:12" x14ac:dyDescent="0.25">
      <c r="A2159" t="str">
        <f t="shared" si="375"/>
        <v>89301000</v>
      </c>
      <c r="B2159" t="str">
        <f t="shared" si="379"/>
        <v>78006000</v>
      </c>
      <c r="C2159" t="str">
        <f t="shared" si="383"/>
        <v>78006201</v>
      </c>
      <c r="D2159">
        <v>89301171</v>
      </c>
      <c r="E2159" t="str">
        <f>"6856081650"</f>
        <v>6856081650</v>
      </c>
      <c r="F2159" s="1">
        <v>44963</v>
      </c>
      <c r="G2159" t="str">
        <f>"97111"</f>
        <v>97111</v>
      </c>
      <c r="H2159">
        <v>1</v>
      </c>
      <c r="I2159">
        <v>19</v>
      </c>
      <c r="J2159">
        <v>0</v>
      </c>
      <c r="K2159" t="str">
        <f t="shared" si="384"/>
        <v>801</v>
      </c>
      <c r="L2159">
        <v>23.94</v>
      </c>
    </row>
    <row r="2160" spans="1:12" x14ac:dyDescent="0.25">
      <c r="A2160" t="str">
        <f t="shared" si="375"/>
        <v>89301000</v>
      </c>
      <c r="B2160" t="str">
        <f t="shared" si="379"/>
        <v>78006000</v>
      </c>
      <c r="C2160" t="str">
        <f t="shared" si="383"/>
        <v>78006201</v>
      </c>
      <c r="D2160">
        <v>89301171</v>
      </c>
      <c r="E2160" t="str">
        <f>"500125180"</f>
        <v>500125180</v>
      </c>
      <c r="F2160" s="1">
        <v>44963</v>
      </c>
      <c r="G2160" t="str">
        <f>"97111"</f>
        <v>97111</v>
      </c>
      <c r="H2160">
        <v>1</v>
      </c>
      <c r="I2160">
        <v>19</v>
      </c>
      <c r="J2160">
        <v>0</v>
      </c>
      <c r="K2160" t="str">
        <f t="shared" si="384"/>
        <v>801</v>
      </c>
      <c r="L2160">
        <v>23.94</v>
      </c>
    </row>
    <row r="2161" spans="1:12" x14ac:dyDescent="0.25">
      <c r="A2161" t="str">
        <f t="shared" si="375"/>
        <v>89301000</v>
      </c>
      <c r="B2161" t="str">
        <f t="shared" si="379"/>
        <v>78006000</v>
      </c>
      <c r="C2161" t="str">
        <f t="shared" si="383"/>
        <v>78006201</v>
      </c>
      <c r="D2161">
        <v>89301167</v>
      </c>
      <c r="E2161" t="str">
        <f t="shared" ref="E2161:E2167" si="385">"531007235"</f>
        <v>531007235</v>
      </c>
      <c r="F2161" s="1">
        <v>44973</v>
      </c>
      <c r="G2161" t="str">
        <f>"81249"</f>
        <v>81249</v>
      </c>
      <c r="H2161">
        <v>1</v>
      </c>
      <c r="I2161">
        <v>334</v>
      </c>
      <c r="J2161">
        <v>0</v>
      </c>
      <c r="K2161" t="str">
        <f t="shared" si="384"/>
        <v>801</v>
      </c>
      <c r="L2161">
        <v>280.56</v>
      </c>
    </row>
    <row r="2162" spans="1:12" x14ac:dyDescent="0.25">
      <c r="A2162" t="str">
        <f t="shared" si="375"/>
        <v>89301000</v>
      </c>
      <c r="B2162" t="str">
        <f t="shared" si="379"/>
        <v>78006000</v>
      </c>
      <c r="C2162" t="str">
        <f t="shared" si="383"/>
        <v>78006201</v>
      </c>
      <c r="D2162">
        <v>89301167</v>
      </c>
      <c r="E2162" t="str">
        <f t="shared" si="385"/>
        <v>531007235</v>
      </c>
      <c r="F2162" s="1">
        <v>44973</v>
      </c>
      <c r="G2162" t="str">
        <f>"81329"</f>
        <v>81329</v>
      </c>
      <c r="H2162">
        <v>1</v>
      </c>
      <c r="I2162">
        <v>17</v>
      </c>
      <c r="J2162">
        <v>0</v>
      </c>
      <c r="K2162" t="str">
        <f t="shared" si="384"/>
        <v>801</v>
      </c>
      <c r="L2162">
        <v>14.28</v>
      </c>
    </row>
    <row r="2163" spans="1:12" x14ac:dyDescent="0.25">
      <c r="A2163" t="str">
        <f t="shared" si="375"/>
        <v>89301000</v>
      </c>
      <c r="B2163" t="str">
        <f t="shared" si="379"/>
        <v>78006000</v>
      </c>
      <c r="C2163" t="str">
        <f t="shared" si="383"/>
        <v>78006201</v>
      </c>
      <c r="D2163">
        <v>89301167</v>
      </c>
      <c r="E2163" t="str">
        <f t="shared" si="385"/>
        <v>531007235</v>
      </c>
      <c r="F2163" s="1">
        <v>44973</v>
      </c>
      <c r="G2163" t="str">
        <f>"81383"</f>
        <v>81383</v>
      </c>
      <c r="H2163">
        <v>1</v>
      </c>
      <c r="I2163">
        <v>24</v>
      </c>
      <c r="J2163">
        <v>0</v>
      </c>
      <c r="K2163" t="str">
        <f t="shared" si="384"/>
        <v>801</v>
      </c>
      <c r="L2163">
        <v>20.16</v>
      </c>
    </row>
    <row r="2164" spans="1:12" x14ac:dyDescent="0.25">
      <c r="A2164" t="str">
        <f t="shared" si="375"/>
        <v>89301000</v>
      </c>
      <c r="B2164" t="str">
        <f t="shared" si="379"/>
        <v>78006000</v>
      </c>
      <c r="C2164" t="str">
        <f t="shared" si="383"/>
        <v>78006201</v>
      </c>
      <c r="D2164">
        <v>89301167</v>
      </c>
      <c r="E2164" t="str">
        <f t="shared" si="385"/>
        <v>531007235</v>
      </c>
      <c r="F2164" s="1">
        <v>44973</v>
      </c>
      <c r="G2164" t="str">
        <f>"81625"</f>
        <v>81625</v>
      </c>
      <c r="H2164">
        <v>1</v>
      </c>
      <c r="I2164">
        <v>21</v>
      </c>
      <c r="J2164">
        <v>0</v>
      </c>
      <c r="K2164" t="str">
        <f t="shared" si="384"/>
        <v>801</v>
      </c>
      <c r="L2164">
        <v>17.64</v>
      </c>
    </row>
    <row r="2165" spans="1:12" x14ac:dyDescent="0.25">
      <c r="A2165" t="str">
        <f t="shared" si="375"/>
        <v>89301000</v>
      </c>
      <c r="B2165" t="str">
        <f t="shared" ref="B2165:B2199" si="386">"78006000"</f>
        <v>78006000</v>
      </c>
      <c r="C2165" t="str">
        <f t="shared" si="383"/>
        <v>78006201</v>
      </c>
      <c r="D2165">
        <v>89301167</v>
      </c>
      <c r="E2165" t="str">
        <f t="shared" si="385"/>
        <v>531007235</v>
      </c>
      <c r="F2165" s="1">
        <v>44973</v>
      </c>
      <c r="G2165" t="str">
        <f>"93189"</f>
        <v>93189</v>
      </c>
      <c r="H2165">
        <v>1</v>
      </c>
      <c r="I2165">
        <v>191</v>
      </c>
      <c r="J2165">
        <v>0</v>
      </c>
      <c r="K2165" t="str">
        <f t="shared" si="384"/>
        <v>801</v>
      </c>
      <c r="L2165">
        <v>160.44</v>
      </c>
    </row>
    <row r="2166" spans="1:12" x14ac:dyDescent="0.25">
      <c r="A2166" t="str">
        <f t="shared" si="375"/>
        <v>89301000</v>
      </c>
      <c r="B2166" t="str">
        <f t="shared" si="386"/>
        <v>78006000</v>
      </c>
      <c r="C2166" t="str">
        <f t="shared" si="383"/>
        <v>78006201</v>
      </c>
      <c r="D2166">
        <v>89301167</v>
      </c>
      <c r="E2166" t="str">
        <f t="shared" si="385"/>
        <v>531007235</v>
      </c>
      <c r="F2166" s="1">
        <v>44973</v>
      </c>
      <c r="G2166" t="str">
        <f>"93195"</f>
        <v>93195</v>
      </c>
      <c r="H2166">
        <v>1</v>
      </c>
      <c r="I2166">
        <v>183</v>
      </c>
      <c r="J2166">
        <v>0</v>
      </c>
      <c r="K2166" t="str">
        <f t="shared" si="384"/>
        <v>801</v>
      </c>
      <c r="L2166">
        <v>153.72</v>
      </c>
    </row>
    <row r="2167" spans="1:12" x14ac:dyDescent="0.25">
      <c r="A2167" t="str">
        <f t="shared" si="375"/>
        <v>89301000</v>
      </c>
      <c r="B2167" t="str">
        <f t="shared" si="386"/>
        <v>78006000</v>
      </c>
      <c r="C2167" t="str">
        <f t="shared" si="383"/>
        <v>78006201</v>
      </c>
      <c r="D2167">
        <v>89301167</v>
      </c>
      <c r="E2167" t="str">
        <f t="shared" si="385"/>
        <v>531007235</v>
      </c>
      <c r="F2167" s="1">
        <v>44973</v>
      </c>
      <c r="G2167" t="str">
        <f>"97111"</f>
        <v>97111</v>
      </c>
      <c r="H2167">
        <v>1</v>
      </c>
      <c r="I2167">
        <v>19</v>
      </c>
      <c r="J2167">
        <v>0</v>
      </c>
      <c r="K2167" t="str">
        <f t="shared" si="384"/>
        <v>801</v>
      </c>
      <c r="L2167">
        <v>23.94</v>
      </c>
    </row>
    <row r="2168" spans="1:12" x14ac:dyDescent="0.25">
      <c r="A2168" t="str">
        <f t="shared" si="375"/>
        <v>89301000</v>
      </c>
      <c r="B2168" t="str">
        <f t="shared" si="386"/>
        <v>78006000</v>
      </c>
      <c r="C2168" t="str">
        <f t="shared" si="383"/>
        <v>78006201</v>
      </c>
      <c r="D2168">
        <v>89301167</v>
      </c>
      <c r="E2168" t="str">
        <f t="shared" ref="E2168:E2175" si="387">"5854210813"</f>
        <v>5854210813</v>
      </c>
      <c r="F2168" s="1">
        <v>44970</v>
      </c>
      <c r="G2168" t="str">
        <f>"81249"</f>
        <v>81249</v>
      </c>
      <c r="H2168">
        <v>1</v>
      </c>
      <c r="I2168">
        <v>334</v>
      </c>
      <c r="J2168">
        <v>0</v>
      </c>
      <c r="K2168" t="str">
        <f t="shared" si="384"/>
        <v>801</v>
      </c>
      <c r="L2168">
        <v>280.56</v>
      </c>
    </row>
    <row r="2169" spans="1:12" x14ac:dyDescent="0.25">
      <c r="A2169" t="str">
        <f t="shared" si="375"/>
        <v>89301000</v>
      </c>
      <c r="B2169" t="str">
        <f t="shared" si="386"/>
        <v>78006000</v>
      </c>
      <c r="C2169" t="str">
        <f t="shared" si="383"/>
        <v>78006201</v>
      </c>
      <c r="D2169">
        <v>89301167</v>
      </c>
      <c r="E2169" t="str">
        <f t="shared" si="387"/>
        <v>5854210813</v>
      </c>
      <c r="F2169" s="1">
        <v>44970</v>
      </c>
      <c r="G2169" t="str">
        <f>"81329"</f>
        <v>81329</v>
      </c>
      <c r="H2169">
        <v>1</v>
      </c>
      <c r="I2169">
        <v>17</v>
      </c>
      <c r="J2169">
        <v>0</v>
      </c>
      <c r="K2169" t="str">
        <f t="shared" si="384"/>
        <v>801</v>
      </c>
      <c r="L2169">
        <v>14.28</v>
      </c>
    </row>
    <row r="2170" spans="1:12" x14ac:dyDescent="0.25">
      <c r="A2170" t="str">
        <f t="shared" si="375"/>
        <v>89301000</v>
      </c>
      <c r="B2170" t="str">
        <f t="shared" si="386"/>
        <v>78006000</v>
      </c>
      <c r="C2170" t="str">
        <f t="shared" si="383"/>
        <v>78006201</v>
      </c>
      <c r="D2170">
        <v>89301167</v>
      </c>
      <c r="E2170" t="str">
        <f t="shared" si="387"/>
        <v>5854210813</v>
      </c>
      <c r="F2170" s="1">
        <v>44970</v>
      </c>
      <c r="G2170" t="str">
        <f>"81383"</f>
        <v>81383</v>
      </c>
      <c r="H2170">
        <v>1</v>
      </c>
      <c r="I2170">
        <v>24</v>
      </c>
      <c r="J2170">
        <v>0</v>
      </c>
      <c r="K2170" t="str">
        <f t="shared" si="384"/>
        <v>801</v>
      </c>
      <c r="L2170">
        <v>20.16</v>
      </c>
    </row>
    <row r="2171" spans="1:12" x14ac:dyDescent="0.25">
      <c r="A2171" t="str">
        <f t="shared" si="375"/>
        <v>89301000</v>
      </c>
      <c r="B2171" t="str">
        <f t="shared" si="386"/>
        <v>78006000</v>
      </c>
      <c r="C2171" t="str">
        <f t="shared" si="383"/>
        <v>78006201</v>
      </c>
      <c r="D2171">
        <v>89301167</v>
      </c>
      <c r="E2171" t="str">
        <f t="shared" si="387"/>
        <v>5854210813</v>
      </c>
      <c r="F2171" s="1">
        <v>44970</v>
      </c>
      <c r="G2171" t="str">
        <f>"81625"</f>
        <v>81625</v>
      </c>
      <c r="H2171">
        <v>1</v>
      </c>
      <c r="I2171">
        <v>21</v>
      </c>
      <c r="J2171">
        <v>0</v>
      </c>
      <c r="K2171" t="str">
        <f t="shared" si="384"/>
        <v>801</v>
      </c>
      <c r="L2171">
        <v>17.64</v>
      </c>
    </row>
    <row r="2172" spans="1:12" x14ac:dyDescent="0.25">
      <c r="A2172" t="str">
        <f t="shared" si="375"/>
        <v>89301000</v>
      </c>
      <c r="B2172" t="str">
        <f t="shared" si="386"/>
        <v>78006000</v>
      </c>
      <c r="C2172" t="str">
        <f t="shared" si="383"/>
        <v>78006201</v>
      </c>
      <c r="D2172">
        <v>89301167</v>
      </c>
      <c r="E2172" t="str">
        <f t="shared" si="387"/>
        <v>5854210813</v>
      </c>
      <c r="F2172" s="1">
        <v>44970</v>
      </c>
      <c r="G2172" t="str">
        <f>"93131"</f>
        <v>93131</v>
      </c>
      <c r="H2172">
        <v>1</v>
      </c>
      <c r="I2172">
        <v>197</v>
      </c>
      <c r="J2172">
        <v>0</v>
      </c>
      <c r="K2172" t="str">
        <f t="shared" si="384"/>
        <v>801</v>
      </c>
      <c r="L2172">
        <v>165.48</v>
      </c>
    </row>
    <row r="2173" spans="1:12" x14ac:dyDescent="0.25">
      <c r="A2173" t="str">
        <f t="shared" si="375"/>
        <v>89301000</v>
      </c>
      <c r="B2173" t="str">
        <f t="shared" si="386"/>
        <v>78006000</v>
      </c>
      <c r="C2173" t="str">
        <f t="shared" si="383"/>
        <v>78006201</v>
      </c>
      <c r="D2173">
        <v>89301167</v>
      </c>
      <c r="E2173" t="str">
        <f t="shared" si="387"/>
        <v>5854210813</v>
      </c>
      <c r="F2173" s="1">
        <v>44970</v>
      </c>
      <c r="G2173" t="str">
        <f>"93189"</f>
        <v>93189</v>
      </c>
      <c r="H2173">
        <v>1</v>
      </c>
      <c r="I2173">
        <v>191</v>
      </c>
      <c r="J2173">
        <v>0</v>
      </c>
      <c r="K2173" t="str">
        <f t="shared" si="384"/>
        <v>801</v>
      </c>
      <c r="L2173">
        <v>160.44</v>
      </c>
    </row>
    <row r="2174" spans="1:12" x14ac:dyDescent="0.25">
      <c r="A2174" t="str">
        <f t="shared" si="375"/>
        <v>89301000</v>
      </c>
      <c r="B2174" t="str">
        <f t="shared" si="386"/>
        <v>78006000</v>
      </c>
      <c r="C2174" t="str">
        <f t="shared" si="383"/>
        <v>78006201</v>
      </c>
      <c r="D2174">
        <v>89301167</v>
      </c>
      <c r="E2174" t="str">
        <f t="shared" si="387"/>
        <v>5854210813</v>
      </c>
      <c r="F2174" s="1">
        <v>44970</v>
      </c>
      <c r="G2174" t="str">
        <f>"93195"</f>
        <v>93195</v>
      </c>
      <c r="H2174">
        <v>1</v>
      </c>
      <c r="I2174">
        <v>183</v>
      </c>
      <c r="J2174">
        <v>0</v>
      </c>
      <c r="K2174" t="str">
        <f t="shared" si="384"/>
        <v>801</v>
      </c>
      <c r="L2174">
        <v>153.72</v>
      </c>
    </row>
    <row r="2175" spans="1:12" x14ac:dyDescent="0.25">
      <c r="A2175" t="str">
        <f t="shared" si="375"/>
        <v>89301000</v>
      </c>
      <c r="B2175" t="str">
        <f t="shared" si="386"/>
        <v>78006000</v>
      </c>
      <c r="C2175" t="str">
        <f t="shared" si="383"/>
        <v>78006201</v>
      </c>
      <c r="D2175">
        <v>89301167</v>
      </c>
      <c r="E2175" t="str">
        <f t="shared" si="387"/>
        <v>5854210813</v>
      </c>
      <c r="F2175" s="1">
        <v>44970</v>
      </c>
      <c r="G2175" t="str">
        <f>"97111"</f>
        <v>97111</v>
      </c>
      <c r="H2175">
        <v>1</v>
      </c>
      <c r="I2175">
        <v>19</v>
      </c>
      <c r="J2175">
        <v>0</v>
      </c>
      <c r="K2175" t="str">
        <f t="shared" si="384"/>
        <v>801</v>
      </c>
      <c r="L2175">
        <v>23.94</v>
      </c>
    </row>
    <row r="2176" spans="1:12" x14ac:dyDescent="0.25">
      <c r="A2176" t="str">
        <f t="shared" si="375"/>
        <v>89301000</v>
      </c>
      <c r="B2176" t="str">
        <f t="shared" si="386"/>
        <v>78006000</v>
      </c>
      <c r="C2176" t="str">
        <f t="shared" si="383"/>
        <v>78006201</v>
      </c>
      <c r="D2176">
        <v>89301167</v>
      </c>
      <c r="E2176" t="str">
        <f>"7003135304"</f>
        <v>7003135304</v>
      </c>
      <c r="F2176" s="1">
        <v>44963</v>
      </c>
      <c r="G2176" t="str">
        <f>"81249"</f>
        <v>81249</v>
      </c>
      <c r="H2176">
        <v>1</v>
      </c>
      <c r="I2176">
        <v>334</v>
      </c>
      <c r="J2176">
        <v>0</v>
      </c>
      <c r="K2176" t="str">
        <f t="shared" si="384"/>
        <v>801</v>
      </c>
      <c r="L2176">
        <v>280.56</v>
      </c>
    </row>
    <row r="2177" spans="1:12" x14ac:dyDescent="0.25">
      <c r="A2177" t="str">
        <f t="shared" si="375"/>
        <v>89301000</v>
      </c>
      <c r="B2177" t="str">
        <f t="shared" si="386"/>
        <v>78006000</v>
      </c>
      <c r="C2177" t="str">
        <f t="shared" si="383"/>
        <v>78006201</v>
      </c>
      <c r="D2177">
        <v>89301167</v>
      </c>
      <c r="E2177" t="str">
        <f>"7003135304"</f>
        <v>7003135304</v>
      </c>
      <c r="F2177" s="1">
        <v>44977</v>
      </c>
      <c r="G2177" t="str">
        <f>"81249"</f>
        <v>81249</v>
      </c>
      <c r="H2177">
        <v>1</v>
      </c>
      <c r="I2177">
        <v>334</v>
      </c>
      <c r="J2177">
        <v>0</v>
      </c>
      <c r="K2177" t="str">
        <f t="shared" si="384"/>
        <v>801</v>
      </c>
      <c r="L2177">
        <v>280.56</v>
      </c>
    </row>
    <row r="2178" spans="1:12" x14ac:dyDescent="0.25">
      <c r="A2178" t="str">
        <f t="shared" ref="A2178:A2241" si="388">"89301000"</f>
        <v>89301000</v>
      </c>
      <c r="B2178" t="str">
        <f t="shared" si="386"/>
        <v>78006000</v>
      </c>
      <c r="C2178" t="str">
        <f t="shared" si="383"/>
        <v>78006201</v>
      </c>
      <c r="D2178">
        <v>89301212</v>
      </c>
      <c r="E2178" t="str">
        <f t="shared" ref="E2178:E2193" si="389">"5951290719"</f>
        <v>5951290719</v>
      </c>
      <c r="F2178" s="1">
        <v>44980</v>
      </c>
      <c r="G2178" t="str">
        <f>"81329"</f>
        <v>81329</v>
      </c>
      <c r="H2178">
        <v>1</v>
      </c>
      <c r="I2178">
        <v>17</v>
      </c>
      <c r="J2178">
        <v>0</v>
      </c>
      <c r="K2178" t="str">
        <f t="shared" si="384"/>
        <v>801</v>
      </c>
      <c r="L2178">
        <v>14.28</v>
      </c>
    </row>
    <row r="2179" spans="1:12" x14ac:dyDescent="0.25">
      <c r="A2179" t="str">
        <f t="shared" si="388"/>
        <v>89301000</v>
      </c>
      <c r="B2179" t="str">
        <f t="shared" si="386"/>
        <v>78006000</v>
      </c>
      <c r="C2179" t="str">
        <f t="shared" si="383"/>
        <v>78006201</v>
      </c>
      <c r="D2179">
        <v>89301212</v>
      </c>
      <c r="E2179" t="str">
        <f t="shared" si="389"/>
        <v>5951290719</v>
      </c>
      <c r="F2179" s="1">
        <v>44980</v>
      </c>
      <c r="G2179" t="str">
        <f>"81337"</f>
        <v>81337</v>
      </c>
      <c r="H2179">
        <v>1</v>
      </c>
      <c r="I2179">
        <v>20</v>
      </c>
      <c r="J2179">
        <v>0</v>
      </c>
      <c r="K2179" t="str">
        <f t="shared" si="384"/>
        <v>801</v>
      </c>
      <c r="L2179">
        <v>16.8</v>
      </c>
    </row>
    <row r="2180" spans="1:12" x14ac:dyDescent="0.25">
      <c r="A2180" t="str">
        <f t="shared" si="388"/>
        <v>89301000</v>
      </c>
      <c r="B2180" t="str">
        <f t="shared" si="386"/>
        <v>78006000</v>
      </c>
      <c r="C2180" t="str">
        <f t="shared" si="383"/>
        <v>78006201</v>
      </c>
      <c r="D2180">
        <v>89301212</v>
      </c>
      <c r="E2180" t="str">
        <f t="shared" si="389"/>
        <v>5951290719</v>
      </c>
      <c r="F2180" s="1">
        <v>44980</v>
      </c>
      <c r="G2180" t="str">
        <f>"81357"</f>
        <v>81357</v>
      </c>
      <c r="H2180">
        <v>1</v>
      </c>
      <c r="I2180">
        <v>20</v>
      </c>
      <c r="J2180">
        <v>0</v>
      </c>
      <c r="K2180" t="str">
        <f t="shared" si="384"/>
        <v>801</v>
      </c>
      <c r="L2180">
        <v>16.8</v>
      </c>
    </row>
    <row r="2181" spans="1:12" x14ac:dyDescent="0.25">
      <c r="A2181" t="str">
        <f t="shared" si="388"/>
        <v>89301000</v>
      </c>
      <c r="B2181" t="str">
        <f t="shared" si="386"/>
        <v>78006000</v>
      </c>
      <c r="C2181" t="str">
        <f t="shared" si="383"/>
        <v>78006201</v>
      </c>
      <c r="D2181">
        <v>89301212</v>
      </c>
      <c r="E2181" t="str">
        <f t="shared" si="389"/>
        <v>5951290719</v>
      </c>
      <c r="F2181" s="1">
        <v>44980</v>
      </c>
      <c r="G2181" t="str">
        <f>"81361"</f>
        <v>81361</v>
      </c>
      <c r="H2181">
        <v>1</v>
      </c>
      <c r="I2181">
        <v>17</v>
      </c>
      <c r="J2181">
        <v>0</v>
      </c>
      <c r="K2181" t="str">
        <f t="shared" si="384"/>
        <v>801</v>
      </c>
      <c r="L2181">
        <v>14.28</v>
      </c>
    </row>
    <row r="2182" spans="1:12" x14ac:dyDescent="0.25">
      <c r="A2182" t="str">
        <f t="shared" si="388"/>
        <v>89301000</v>
      </c>
      <c r="B2182" t="str">
        <f t="shared" si="386"/>
        <v>78006000</v>
      </c>
      <c r="C2182" t="str">
        <f t="shared" si="383"/>
        <v>78006201</v>
      </c>
      <c r="D2182">
        <v>89301212</v>
      </c>
      <c r="E2182" t="str">
        <f t="shared" si="389"/>
        <v>5951290719</v>
      </c>
      <c r="F2182" s="1">
        <v>44980</v>
      </c>
      <c r="G2182" t="str">
        <f>"81365"</f>
        <v>81365</v>
      </c>
      <c r="H2182">
        <v>1</v>
      </c>
      <c r="I2182">
        <v>16</v>
      </c>
      <c r="J2182">
        <v>0</v>
      </c>
      <c r="K2182" t="str">
        <f t="shared" si="384"/>
        <v>801</v>
      </c>
      <c r="L2182">
        <v>13.44</v>
      </c>
    </row>
    <row r="2183" spans="1:12" x14ac:dyDescent="0.25">
      <c r="A2183" t="str">
        <f t="shared" si="388"/>
        <v>89301000</v>
      </c>
      <c r="B2183" t="str">
        <f t="shared" si="386"/>
        <v>78006000</v>
      </c>
      <c r="C2183" t="str">
        <f t="shared" si="383"/>
        <v>78006201</v>
      </c>
      <c r="D2183">
        <v>89301212</v>
      </c>
      <c r="E2183" t="str">
        <f t="shared" si="389"/>
        <v>5951290719</v>
      </c>
      <c r="F2183" s="1">
        <v>44980</v>
      </c>
      <c r="G2183" t="str">
        <f>"81383"</f>
        <v>81383</v>
      </c>
      <c r="H2183">
        <v>1</v>
      </c>
      <c r="I2183">
        <v>24</v>
      </c>
      <c r="J2183">
        <v>0</v>
      </c>
      <c r="K2183" t="str">
        <f t="shared" si="384"/>
        <v>801</v>
      </c>
      <c r="L2183">
        <v>20.16</v>
      </c>
    </row>
    <row r="2184" spans="1:12" x14ac:dyDescent="0.25">
      <c r="A2184" t="str">
        <f t="shared" si="388"/>
        <v>89301000</v>
      </c>
      <c r="B2184" t="str">
        <f t="shared" si="386"/>
        <v>78006000</v>
      </c>
      <c r="C2184" t="str">
        <f t="shared" si="383"/>
        <v>78006201</v>
      </c>
      <c r="D2184">
        <v>89301212</v>
      </c>
      <c r="E2184" t="str">
        <f t="shared" si="389"/>
        <v>5951290719</v>
      </c>
      <c r="F2184" s="1">
        <v>44980</v>
      </c>
      <c r="G2184" t="str">
        <f>"81393"</f>
        <v>81393</v>
      </c>
      <c r="H2184">
        <v>1</v>
      </c>
      <c r="I2184">
        <v>24</v>
      </c>
      <c r="J2184">
        <v>0</v>
      </c>
      <c r="K2184" t="str">
        <f t="shared" si="384"/>
        <v>801</v>
      </c>
      <c r="L2184">
        <v>20.16</v>
      </c>
    </row>
    <row r="2185" spans="1:12" x14ac:dyDescent="0.25">
      <c r="A2185" t="str">
        <f t="shared" si="388"/>
        <v>89301000</v>
      </c>
      <c r="B2185" t="str">
        <f t="shared" si="386"/>
        <v>78006000</v>
      </c>
      <c r="C2185" t="str">
        <f t="shared" si="383"/>
        <v>78006201</v>
      </c>
      <c r="D2185">
        <v>89301212</v>
      </c>
      <c r="E2185" t="str">
        <f t="shared" si="389"/>
        <v>5951290719</v>
      </c>
      <c r="F2185" s="1">
        <v>44980</v>
      </c>
      <c r="G2185" t="str">
        <f>"81421"</f>
        <v>81421</v>
      </c>
      <c r="H2185">
        <v>1</v>
      </c>
      <c r="I2185">
        <v>19</v>
      </c>
      <c r="J2185">
        <v>0</v>
      </c>
      <c r="K2185" t="str">
        <f t="shared" si="384"/>
        <v>801</v>
      </c>
      <c r="L2185">
        <v>15.96</v>
      </c>
    </row>
    <row r="2186" spans="1:12" x14ac:dyDescent="0.25">
      <c r="A2186" t="str">
        <f t="shared" si="388"/>
        <v>89301000</v>
      </c>
      <c r="B2186" t="str">
        <f t="shared" si="386"/>
        <v>78006000</v>
      </c>
      <c r="C2186" t="str">
        <f t="shared" si="383"/>
        <v>78006201</v>
      </c>
      <c r="D2186">
        <v>89301212</v>
      </c>
      <c r="E2186" t="str">
        <f t="shared" si="389"/>
        <v>5951290719</v>
      </c>
      <c r="F2186" s="1">
        <v>44980</v>
      </c>
      <c r="G2186" t="str">
        <f>"81435"</f>
        <v>81435</v>
      </c>
      <c r="H2186">
        <v>1</v>
      </c>
      <c r="I2186">
        <v>22</v>
      </c>
      <c r="J2186">
        <v>0</v>
      </c>
      <c r="K2186" t="str">
        <f t="shared" si="384"/>
        <v>801</v>
      </c>
      <c r="L2186">
        <v>18.48</v>
      </c>
    </row>
    <row r="2187" spans="1:12" x14ac:dyDescent="0.25">
      <c r="A2187" t="str">
        <f t="shared" si="388"/>
        <v>89301000</v>
      </c>
      <c r="B2187" t="str">
        <f t="shared" si="386"/>
        <v>78006000</v>
      </c>
      <c r="C2187" t="str">
        <f t="shared" si="383"/>
        <v>78006201</v>
      </c>
      <c r="D2187">
        <v>89301212</v>
      </c>
      <c r="E2187" t="str">
        <f t="shared" si="389"/>
        <v>5951290719</v>
      </c>
      <c r="F2187" s="1">
        <v>44980</v>
      </c>
      <c r="G2187" t="str">
        <f>"81439"</f>
        <v>81439</v>
      </c>
      <c r="H2187">
        <v>1</v>
      </c>
      <c r="I2187">
        <v>16</v>
      </c>
      <c r="J2187">
        <v>0</v>
      </c>
      <c r="K2187" t="str">
        <f t="shared" si="384"/>
        <v>801</v>
      </c>
      <c r="L2187">
        <v>13.44</v>
      </c>
    </row>
    <row r="2188" spans="1:12" x14ac:dyDescent="0.25">
      <c r="A2188" t="str">
        <f t="shared" si="388"/>
        <v>89301000</v>
      </c>
      <c r="B2188" t="str">
        <f t="shared" si="386"/>
        <v>78006000</v>
      </c>
      <c r="C2188" t="str">
        <f t="shared" si="383"/>
        <v>78006201</v>
      </c>
      <c r="D2188">
        <v>89301212</v>
      </c>
      <c r="E2188" t="str">
        <f t="shared" si="389"/>
        <v>5951290719</v>
      </c>
      <c r="F2188" s="1">
        <v>44980</v>
      </c>
      <c r="G2188" t="str">
        <f>"81469"</f>
        <v>81469</v>
      </c>
      <c r="H2188">
        <v>1</v>
      </c>
      <c r="I2188">
        <v>16</v>
      </c>
      <c r="J2188">
        <v>0</v>
      </c>
      <c r="K2188" t="str">
        <f t="shared" si="384"/>
        <v>801</v>
      </c>
      <c r="L2188">
        <v>13.44</v>
      </c>
    </row>
    <row r="2189" spans="1:12" x14ac:dyDescent="0.25">
      <c r="A2189" t="str">
        <f t="shared" si="388"/>
        <v>89301000</v>
      </c>
      <c r="B2189" t="str">
        <f t="shared" si="386"/>
        <v>78006000</v>
      </c>
      <c r="C2189" t="str">
        <f t="shared" si="383"/>
        <v>78006201</v>
      </c>
      <c r="D2189">
        <v>89301212</v>
      </c>
      <c r="E2189" t="str">
        <f t="shared" si="389"/>
        <v>5951290719</v>
      </c>
      <c r="F2189" s="1">
        <v>44980</v>
      </c>
      <c r="G2189" t="str">
        <f>"81499"</f>
        <v>81499</v>
      </c>
      <c r="H2189">
        <v>1</v>
      </c>
      <c r="I2189">
        <v>18</v>
      </c>
      <c r="J2189">
        <v>0</v>
      </c>
      <c r="K2189" t="str">
        <f t="shared" si="384"/>
        <v>801</v>
      </c>
      <c r="L2189">
        <v>15.12</v>
      </c>
    </row>
    <row r="2190" spans="1:12" x14ac:dyDescent="0.25">
      <c r="A2190" t="str">
        <f t="shared" si="388"/>
        <v>89301000</v>
      </c>
      <c r="B2190" t="str">
        <f t="shared" si="386"/>
        <v>78006000</v>
      </c>
      <c r="C2190" t="str">
        <f t="shared" si="383"/>
        <v>78006201</v>
      </c>
      <c r="D2190">
        <v>89301212</v>
      </c>
      <c r="E2190" t="str">
        <f t="shared" si="389"/>
        <v>5951290719</v>
      </c>
      <c r="F2190" s="1">
        <v>44980</v>
      </c>
      <c r="G2190" t="str">
        <f>"81523"</f>
        <v>81523</v>
      </c>
      <c r="H2190">
        <v>1</v>
      </c>
      <c r="I2190">
        <v>23</v>
      </c>
      <c r="J2190">
        <v>0</v>
      </c>
      <c r="K2190" t="str">
        <f t="shared" si="384"/>
        <v>801</v>
      </c>
      <c r="L2190">
        <v>19.32</v>
      </c>
    </row>
    <row r="2191" spans="1:12" x14ac:dyDescent="0.25">
      <c r="A2191" t="str">
        <f t="shared" si="388"/>
        <v>89301000</v>
      </c>
      <c r="B2191" t="str">
        <f t="shared" si="386"/>
        <v>78006000</v>
      </c>
      <c r="C2191" t="str">
        <f t="shared" si="383"/>
        <v>78006201</v>
      </c>
      <c r="D2191">
        <v>89301212</v>
      </c>
      <c r="E2191" t="str">
        <f t="shared" si="389"/>
        <v>5951290719</v>
      </c>
      <c r="F2191" s="1">
        <v>44980</v>
      </c>
      <c r="G2191" t="str">
        <f>"81593"</f>
        <v>81593</v>
      </c>
      <c r="H2191">
        <v>1</v>
      </c>
      <c r="I2191">
        <v>22</v>
      </c>
      <c r="J2191">
        <v>0</v>
      </c>
      <c r="K2191" t="str">
        <f t="shared" si="384"/>
        <v>801</v>
      </c>
      <c r="L2191">
        <v>18.48</v>
      </c>
    </row>
    <row r="2192" spans="1:12" x14ac:dyDescent="0.25">
      <c r="A2192" t="str">
        <f t="shared" si="388"/>
        <v>89301000</v>
      </c>
      <c r="B2192" t="str">
        <f t="shared" si="386"/>
        <v>78006000</v>
      </c>
      <c r="C2192" t="str">
        <f t="shared" si="383"/>
        <v>78006201</v>
      </c>
      <c r="D2192">
        <v>89301212</v>
      </c>
      <c r="E2192" t="str">
        <f t="shared" si="389"/>
        <v>5951290719</v>
      </c>
      <c r="F2192" s="1">
        <v>44980</v>
      </c>
      <c r="G2192" t="str">
        <f>"81621"</f>
        <v>81621</v>
      </c>
      <c r="H2192">
        <v>1</v>
      </c>
      <c r="I2192">
        <v>19</v>
      </c>
      <c r="J2192">
        <v>0</v>
      </c>
      <c r="K2192" t="str">
        <f t="shared" si="384"/>
        <v>801</v>
      </c>
      <c r="L2192">
        <v>15.96</v>
      </c>
    </row>
    <row r="2193" spans="1:12" x14ac:dyDescent="0.25">
      <c r="A2193" t="str">
        <f t="shared" si="388"/>
        <v>89301000</v>
      </c>
      <c r="B2193" t="str">
        <f t="shared" si="386"/>
        <v>78006000</v>
      </c>
      <c r="C2193" t="str">
        <f t="shared" si="383"/>
        <v>78006201</v>
      </c>
      <c r="D2193">
        <v>89301212</v>
      </c>
      <c r="E2193" t="str">
        <f t="shared" si="389"/>
        <v>5951290719</v>
      </c>
      <c r="F2193" s="1">
        <v>44980</v>
      </c>
      <c r="G2193" t="str">
        <f>"97111"</f>
        <v>97111</v>
      </c>
      <c r="H2193">
        <v>1</v>
      </c>
      <c r="I2193">
        <v>19</v>
      </c>
      <c r="J2193">
        <v>0</v>
      </c>
      <c r="K2193" t="str">
        <f t="shared" si="384"/>
        <v>801</v>
      </c>
      <c r="L2193">
        <v>23.94</v>
      </c>
    </row>
    <row r="2194" spans="1:12" x14ac:dyDescent="0.25">
      <c r="A2194" t="str">
        <f t="shared" si="388"/>
        <v>89301000</v>
      </c>
      <c r="B2194" t="str">
        <f t="shared" si="386"/>
        <v>78006000</v>
      </c>
      <c r="C2194" t="str">
        <f t="shared" si="383"/>
        <v>78006201</v>
      </c>
      <c r="D2194">
        <v>89301167</v>
      </c>
      <c r="E2194" t="str">
        <f>"5854210813"</f>
        <v>5854210813</v>
      </c>
      <c r="F2194" s="1">
        <v>44970</v>
      </c>
      <c r="G2194" t="str">
        <f>"09119"</f>
        <v>09119</v>
      </c>
      <c r="H2194">
        <v>1</v>
      </c>
      <c r="I2194">
        <v>43</v>
      </c>
      <c r="J2194">
        <v>0</v>
      </c>
      <c r="K2194" t="str">
        <f t="shared" si="384"/>
        <v>801</v>
      </c>
      <c r="L2194">
        <v>54.18</v>
      </c>
    </row>
    <row r="2195" spans="1:12" x14ac:dyDescent="0.25">
      <c r="A2195" t="str">
        <f t="shared" si="388"/>
        <v>89301000</v>
      </c>
      <c r="B2195" t="str">
        <f t="shared" si="386"/>
        <v>78006000</v>
      </c>
      <c r="C2195" t="str">
        <f>"78006233"</f>
        <v>78006233</v>
      </c>
      <c r="D2195">
        <v>89301062</v>
      </c>
      <c r="E2195" t="str">
        <f>"7555234467"</f>
        <v>7555234467</v>
      </c>
      <c r="F2195" s="1">
        <v>44979</v>
      </c>
      <c r="G2195" t="str">
        <f>"89713"</f>
        <v>89713</v>
      </c>
      <c r="H2195">
        <v>1</v>
      </c>
      <c r="I2195">
        <v>5411</v>
      </c>
      <c r="J2195">
        <v>0</v>
      </c>
      <c r="K2195" t="str">
        <f>"810"</f>
        <v>810</v>
      </c>
      <c r="L2195">
        <v>3517.15</v>
      </c>
    </row>
    <row r="2196" spans="1:12" x14ac:dyDescent="0.25">
      <c r="A2196" t="str">
        <f t="shared" si="388"/>
        <v>89301000</v>
      </c>
      <c r="B2196" t="str">
        <f t="shared" si="386"/>
        <v>78006000</v>
      </c>
      <c r="C2196" t="str">
        <f>"78006233"</f>
        <v>78006233</v>
      </c>
      <c r="D2196">
        <v>89301062</v>
      </c>
      <c r="E2196" t="str">
        <f>"7555234467"</f>
        <v>7555234467</v>
      </c>
      <c r="F2196" s="1">
        <v>44979</v>
      </c>
      <c r="G2196" t="str">
        <f>"89725"</f>
        <v>89725</v>
      </c>
      <c r="H2196">
        <v>1</v>
      </c>
      <c r="I2196">
        <v>2863</v>
      </c>
      <c r="J2196">
        <v>0</v>
      </c>
      <c r="K2196" t="str">
        <f>"810"</f>
        <v>810</v>
      </c>
      <c r="L2196">
        <v>1860.95</v>
      </c>
    </row>
    <row r="2197" spans="1:12" x14ac:dyDescent="0.25">
      <c r="A2197" t="str">
        <f t="shared" si="388"/>
        <v>89301000</v>
      </c>
      <c r="B2197" t="str">
        <f t="shared" si="386"/>
        <v>78006000</v>
      </c>
      <c r="C2197" t="str">
        <f>"78006233"</f>
        <v>78006233</v>
      </c>
      <c r="D2197">
        <v>89301062</v>
      </c>
      <c r="E2197" t="str">
        <f>"7555234467"</f>
        <v>7555234467</v>
      </c>
      <c r="F2197" s="1">
        <v>44979</v>
      </c>
      <c r="G2197" t="str">
        <f>"0042901"</f>
        <v>0042901</v>
      </c>
      <c r="H2197">
        <v>1</v>
      </c>
      <c r="J2197">
        <v>1433.88</v>
      </c>
      <c r="K2197" t="str">
        <f>"810"</f>
        <v>810</v>
      </c>
      <c r="L2197">
        <v>1433.88</v>
      </c>
    </row>
    <row r="2198" spans="1:12" x14ac:dyDescent="0.25">
      <c r="A2198" t="str">
        <f t="shared" si="388"/>
        <v>89301000</v>
      </c>
      <c r="B2198" t="str">
        <f t="shared" si="386"/>
        <v>78006000</v>
      </c>
      <c r="C2198" t="str">
        <f>"78006233"</f>
        <v>78006233</v>
      </c>
      <c r="D2198">
        <v>89301062</v>
      </c>
      <c r="E2198" t="str">
        <f>"7205315359"</f>
        <v>7205315359</v>
      </c>
      <c r="F2198" s="1">
        <v>44985</v>
      </c>
      <c r="G2198" t="str">
        <f>"89713"</f>
        <v>89713</v>
      </c>
      <c r="H2198">
        <v>1</v>
      </c>
      <c r="I2198">
        <v>5411</v>
      </c>
      <c r="J2198">
        <v>0</v>
      </c>
      <c r="K2198" t="str">
        <f>"810"</f>
        <v>810</v>
      </c>
      <c r="L2198">
        <v>3517.15</v>
      </c>
    </row>
    <row r="2199" spans="1:12" x14ac:dyDescent="0.25">
      <c r="A2199" t="str">
        <f t="shared" si="388"/>
        <v>89301000</v>
      </c>
      <c r="B2199" t="str">
        <f t="shared" si="386"/>
        <v>78006000</v>
      </c>
      <c r="C2199" t="str">
        <f>"78006233"</f>
        <v>78006233</v>
      </c>
      <c r="D2199">
        <v>89301062</v>
      </c>
      <c r="E2199" t="str">
        <f>"7205315359"</f>
        <v>7205315359</v>
      </c>
      <c r="F2199" s="1">
        <v>44985</v>
      </c>
      <c r="G2199" t="str">
        <f>"89725"</f>
        <v>89725</v>
      </c>
      <c r="H2199">
        <v>1</v>
      </c>
      <c r="I2199">
        <v>2863</v>
      </c>
      <c r="J2199">
        <v>0</v>
      </c>
      <c r="K2199" t="str">
        <f>"810"</f>
        <v>810</v>
      </c>
      <c r="L2199">
        <v>1860.95</v>
      </c>
    </row>
    <row r="2200" spans="1:12" x14ac:dyDescent="0.25">
      <c r="A2200" t="str">
        <f t="shared" si="388"/>
        <v>89301000</v>
      </c>
      <c r="B2200" t="str">
        <f t="shared" ref="B2200:C2202" si="390">"89434000"</f>
        <v>89434000</v>
      </c>
      <c r="C2200" t="str">
        <f t="shared" si="390"/>
        <v>89434000</v>
      </c>
      <c r="D2200">
        <v>89301132</v>
      </c>
      <c r="E2200" t="str">
        <f>"1162221247"</f>
        <v>1162221247</v>
      </c>
      <c r="F2200" s="1">
        <v>44974</v>
      </c>
      <c r="G2200" t="str">
        <f>"09139"</f>
        <v>09139</v>
      </c>
      <c r="H2200">
        <v>1</v>
      </c>
      <c r="I2200">
        <v>356</v>
      </c>
      <c r="J2200">
        <v>0</v>
      </c>
      <c r="K2200" t="str">
        <f>"809"</f>
        <v>809</v>
      </c>
      <c r="L2200">
        <v>523.32000000000005</v>
      </c>
    </row>
    <row r="2201" spans="1:12" x14ac:dyDescent="0.25">
      <c r="A2201" t="str">
        <f t="shared" si="388"/>
        <v>89301000</v>
      </c>
      <c r="B2201" t="str">
        <f t="shared" si="390"/>
        <v>89434000</v>
      </c>
      <c r="C2201" t="str">
        <f t="shared" si="390"/>
        <v>89434000</v>
      </c>
      <c r="D2201">
        <v>89301212</v>
      </c>
      <c r="E2201" t="str">
        <f>"515917178"</f>
        <v>515917178</v>
      </c>
      <c r="F2201" s="1">
        <v>44959</v>
      </c>
      <c r="G2201" t="str">
        <f>"89513"</f>
        <v>89513</v>
      </c>
      <c r="H2201">
        <v>1</v>
      </c>
      <c r="I2201">
        <v>378</v>
      </c>
      <c r="J2201">
        <v>0</v>
      </c>
      <c r="K2201" t="str">
        <f>"809"</f>
        <v>809</v>
      </c>
      <c r="L2201">
        <v>555.66</v>
      </c>
    </row>
    <row r="2202" spans="1:12" x14ac:dyDescent="0.25">
      <c r="A2202" t="str">
        <f t="shared" si="388"/>
        <v>89301000</v>
      </c>
      <c r="B2202" t="str">
        <f t="shared" si="390"/>
        <v>89434000</v>
      </c>
      <c r="C2202" t="str">
        <f t="shared" si="390"/>
        <v>89434000</v>
      </c>
      <c r="D2202">
        <v>89301212</v>
      </c>
      <c r="E2202" t="str">
        <f>"515917178"</f>
        <v>515917178</v>
      </c>
      <c r="F2202" s="1">
        <v>44959</v>
      </c>
      <c r="G2202" t="str">
        <f>"89514"</f>
        <v>89514</v>
      </c>
      <c r="H2202">
        <v>1</v>
      </c>
      <c r="I2202">
        <v>378</v>
      </c>
      <c r="J2202">
        <v>0</v>
      </c>
      <c r="K2202" t="str">
        <f>"809"</f>
        <v>809</v>
      </c>
      <c r="L2202">
        <v>555.66</v>
      </c>
    </row>
    <row r="2203" spans="1:12" x14ac:dyDescent="0.25">
      <c r="A2203" t="str">
        <f t="shared" si="388"/>
        <v>89301000</v>
      </c>
      <c r="B2203" t="str">
        <f>"89670000"</f>
        <v>89670000</v>
      </c>
      <c r="C2203" t="str">
        <f>"89670001"</f>
        <v>89670001</v>
      </c>
      <c r="D2203">
        <v>89301109</v>
      </c>
      <c r="E2203" t="str">
        <f>"1051186158"</f>
        <v>1051186158</v>
      </c>
      <c r="F2203" s="1">
        <v>44970</v>
      </c>
      <c r="G2203" t="str">
        <f>"82097"</f>
        <v>82097</v>
      </c>
      <c r="H2203">
        <v>1</v>
      </c>
      <c r="I2203">
        <v>381</v>
      </c>
      <c r="J2203">
        <v>0</v>
      </c>
      <c r="K2203" t="str">
        <f>"802"</f>
        <v>802</v>
      </c>
      <c r="L2203">
        <v>369.57</v>
      </c>
    </row>
    <row r="2204" spans="1:12" x14ac:dyDescent="0.25">
      <c r="A2204" t="str">
        <f t="shared" si="388"/>
        <v>89301000</v>
      </c>
      <c r="B2204" t="str">
        <f>"89670000"</f>
        <v>89670000</v>
      </c>
      <c r="C2204" t="str">
        <f>"89670001"</f>
        <v>89670001</v>
      </c>
      <c r="D2204">
        <v>89301109</v>
      </c>
      <c r="E2204" t="str">
        <f>"1051186158"</f>
        <v>1051186158</v>
      </c>
      <c r="F2204" s="1">
        <v>44970</v>
      </c>
      <c r="G2204" t="str">
        <f>"82097"</f>
        <v>82097</v>
      </c>
      <c r="H2204">
        <v>1</v>
      </c>
      <c r="I2204">
        <v>381</v>
      </c>
      <c r="J2204">
        <v>0</v>
      </c>
      <c r="K2204" t="str">
        <f>"802"</f>
        <v>802</v>
      </c>
      <c r="L2204">
        <v>369.57</v>
      </c>
    </row>
    <row r="2205" spans="1:12" x14ac:dyDescent="0.25">
      <c r="A2205" t="str">
        <f t="shared" si="388"/>
        <v>89301000</v>
      </c>
      <c r="B2205" t="str">
        <f>"89670000"</f>
        <v>89670000</v>
      </c>
      <c r="C2205" t="str">
        <f>"89670200"</f>
        <v>89670200</v>
      </c>
      <c r="D2205">
        <v>89301167</v>
      </c>
      <c r="E2205" t="str">
        <f>"511221028"</f>
        <v>511221028</v>
      </c>
      <c r="F2205" s="1">
        <v>44971</v>
      </c>
      <c r="G2205" t="str">
        <f>"09119"</f>
        <v>09119</v>
      </c>
      <c r="H2205">
        <v>1</v>
      </c>
      <c r="I2205">
        <v>43</v>
      </c>
      <c r="J2205">
        <v>0</v>
      </c>
      <c r="K2205" t="str">
        <f>"802"</f>
        <v>802</v>
      </c>
      <c r="L2205">
        <v>54.18</v>
      </c>
    </row>
    <row r="2206" spans="1:12" x14ac:dyDescent="0.25">
      <c r="A2206" t="str">
        <f t="shared" si="388"/>
        <v>89301000</v>
      </c>
      <c r="B2206" t="str">
        <f>"93223000"</f>
        <v>93223000</v>
      </c>
      <c r="C2206" t="str">
        <f>"93223001"</f>
        <v>93223001</v>
      </c>
      <c r="D2206">
        <v>89301215</v>
      </c>
      <c r="E2206" t="str">
        <f>"6851010496"</f>
        <v>6851010496</v>
      </c>
      <c r="F2206" s="1">
        <v>44959</v>
      </c>
      <c r="G2206" t="str">
        <f>"89513"</f>
        <v>89513</v>
      </c>
      <c r="H2206">
        <v>1</v>
      </c>
      <c r="I2206">
        <v>378</v>
      </c>
      <c r="J2206">
        <v>0</v>
      </c>
      <c r="K2206" t="str">
        <f>"809"</f>
        <v>809</v>
      </c>
      <c r="L2206">
        <v>555.66</v>
      </c>
    </row>
    <row r="2207" spans="1:12" x14ac:dyDescent="0.25">
      <c r="A2207" t="str">
        <f t="shared" si="388"/>
        <v>89301000</v>
      </c>
      <c r="B2207" t="str">
        <f>"93223000"</f>
        <v>93223000</v>
      </c>
      <c r="C2207" t="str">
        <f>"93223001"</f>
        <v>93223001</v>
      </c>
      <c r="D2207">
        <v>89301215</v>
      </c>
      <c r="E2207" t="str">
        <f>"6851010496"</f>
        <v>6851010496</v>
      </c>
      <c r="F2207" s="1">
        <v>44959</v>
      </c>
      <c r="G2207" t="str">
        <f>"89514"</f>
        <v>89514</v>
      </c>
      <c r="H2207">
        <v>1</v>
      </c>
      <c r="I2207">
        <v>378</v>
      </c>
      <c r="J2207">
        <v>0</v>
      </c>
      <c r="K2207" t="str">
        <f>"809"</f>
        <v>809</v>
      </c>
      <c r="L2207">
        <v>555.66</v>
      </c>
    </row>
    <row r="2208" spans="1:12" x14ac:dyDescent="0.25">
      <c r="A2208" t="str">
        <f t="shared" si="388"/>
        <v>89301000</v>
      </c>
      <c r="B2208" t="str">
        <f t="shared" ref="B2208:B2213" si="391">"10002000"</f>
        <v>10002000</v>
      </c>
      <c r="C2208" t="str">
        <f t="shared" ref="C2208:C2213" si="392">"10002725"</f>
        <v>10002725</v>
      </c>
      <c r="D2208">
        <v>89301375</v>
      </c>
      <c r="E2208" t="str">
        <f t="shared" ref="E2208:E2213" si="393">"495116204"</f>
        <v>495116204</v>
      </c>
      <c r="F2208" s="1">
        <v>44950</v>
      </c>
      <c r="G2208" t="str">
        <f>"87135"</f>
        <v>87135</v>
      </c>
      <c r="H2208">
        <v>1</v>
      </c>
      <c r="I2208">
        <v>2533</v>
      </c>
      <c r="J2208">
        <v>0</v>
      </c>
      <c r="K2208" t="str">
        <f t="shared" ref="K2208:K2213" si="394">"807"</f>
        <v>807</v>
      </c>
      <c r="L2208">
        <v>2127.7199999999998</v>
      </c>
    </row>
    <row r="2209" spans="1:12" x14ac:dyDescent="0.25">
      <c r="A2209" t="str">
        <f t="shared" si="388"/>
        <v>89301000</v>
      </c>
      <c r="B2209" t="str">
        <f t="shared" si="391"/>
        <v>10002000</v>
      </c>
      <c r="C2209" t="str">
        <f t="shared" si="392"/>
        <v>10002725</v>
      </c>
      <c r="D2209">
        <v>89301375</v>
      </c>
      <c r="E2209" t="str">
        <f t="shared" si="393"/>
        <v>495116204</v>
      </c>
      <c r="F2209" s="1">
        <v>44950</v>
      </c>
      <c r="G2209" t="str">
        <f>"87217"</f>
        <v>87217</v>
      </c>
      <c r="H2209">
        <v>1</v>
      </c>
      <c r="I2209">
        <v>215</v>
      </c>
      <c r="J2209">
        <v>0</v>
      </c>
      <c r="K2209" t="str">
        <f t="shared" si="394"/>
        <v>807</v>
      </c>
      <c r="L2209">
        <v>180.6</v>
      </c>
    </row>
    <row r="2210" spans="1:12" x14ac:dyDescent="0.25">
      <c r="A2210" t="str">
        <f t="shared" si="388"/>
        <v>89301000</v>
      </c>
      <c r="B2210" t="str">
        <f t="shared" si="391"/>
        <v>10002000</v>
      </c>
      <c r="C2210" t="str">
        <f t="shared" si="392"/>
        <v>10002725</v>
      </c>
      <c r="D2210">
        <v>89301375</v>
      </c>
      <c r="E2210" t="str">
        <f t="shared" si="393"/>
        <v>495116204</v>
      </c>
      <c r="F2210" s="1">
        <v>44950</v>
      </c>
      <c r="G2210" t="str">
        <f>"87223"</f>
        <v>87223</v>
      </c>
      <c r="H2210">
        <v>1</v>
      </c>
      <c r="I2210">
        <v>398</v>
      </c>
      <c r="J2210">
        <v>0</v>
      </c>
      <c r="K2210" t="str">
        <f t="shared" si="394"/>
        <v>807</v>
      </c>
      <c r="L2210">
        <v>334.32</v>
      </c>
    </row>
    <row r="2211" spans="1:12" x14ac:dyDescent="0.25">
      <c r="A2211" t="str">
        <f t="shared" si="388"/>
        <v>89301000</v>
      </c>
      <c r="B2211" t="str">
        <f t="shared" si="391"/>
        <v>10002000</v>
      </c>
      <c r="C2211" t="str">
        <f t="shared" si="392"/>
        <v>10002725</v>
      </c>
      <c r="D2211">
        <v>89301375</v>
      </c>
      <c r="E2211" t="str">
        <f t="shared" si="393"/>
        <v>495116204</v>
      </c>
      <c r="F2211" s="1">
        <v>44950</v>
      </c>
      <c r="G2211" t="str">
        <f>"87231"</f>
        <v>87231</v>
      </c>
      <c r="H2211">
        <v>5</v>
      </c>
      <c r="I2211">
        <v>1905</v>
      </c>
      <c r="J2211">
        <v>0</v>
      </c>
      <c r="K2211" t="str">
        <f t="shared" si="394"/>
        <v>807</v>
      </c>
      <c r="L2211">
        <v>1600.2</v>
      </c>
    </row>
    <row r="2212" spans="1:12" x14ac:dyDescent="0.25">
      <c r="A2212" t="str">
        <f t="shared" si="388"/>
        <v>89301000</v>
      </c>
      <c r="B2212" t="str">
        <f t="shared" si="391"/>
        <v>10002000</v>
      </c>
      <c r="C2212" t="str">
        <f t="shared" si="392"/>
        <v>10002725</v>
      </c>
      <c r="D2212">
        <v>89301375</v>
      </c>
      <c r="E2212" t="str">
        <f t="shared" si="393"/>
        <v>495116204</v>
      </c>
      <c r="F2212" s="1">
        <v>44950</v>
      </c>
      <c r="G2212" t="str">
        <f>"87231"</f>
        <v>87231</v>
      </c>
      <c r="H2212">
        <v>9</v>
      </c>
      <c r="I2212">
        <v>3429</v>
      </c>
      <c r="J2212">
        <v>0</v>
      </c>
      <c r="K2212" t="str">
        <f t="shared" si="394"/>
        <v>807</v>
      </c>
      <c r="L2212">
        <v>2880.36</v>
      </c>
    </row>
    <row r="2213" spans="1:12" x14ac:dyDescent="0.25">
      <c r="A2213" t="str">
        <f t="shared" si="388"/>
        <v>89301000</v>
      </c>
      <c r="B2213" t="str">
        <f t="shared" si="391"/>
        <v>10002000</v>
      </c>
      <c r="C2213" t="str">
        <f t="shared" si="392"/>
        <v>10002725</v>
      </c>
      <c r="D2213">
        <v>89301375</v>
      </c>
      <c r="E2213" t="str">
        <f t="shared" si="393"/>
        <v>495116204</v>
      </c>
      <c r="F2213" s="1">
        <v>44950</v>
      </c>
      <c r="G2213" t="str">
        <f>"87617"</f>
        <v>87617</v>
      </c>
      <c r="H2213">
        <v>1</v>
      </c>
      <c r="I2213">
        <v>3750</v>
      </c>
      <c r="J2213">
        <v>0</v>
      </c>
      <c r="K2213" t="str">
        <f t="shared" si="394"/>
        <v>807</v>
      </c>
      <c r="L2213">
        <v>3150</v>
      </c>
    </row>
    <row r="2214" spans="1:12" x14ac:dyDescent="0.25">
      <c r="A2214" t="str">
        <f t="shared" si="388"/>
        <v>89301000</v>
      </c>
      <c r="B2214" t="str">
        <f t="shared" ref="B2214:B2232" si="395">"91009000"</f>
        <v>91009000</v>
      </c>
      <c r="C2214" t="str">
        <f>"91009575"</f>
        <v>91009575</v>
      </c>
      <c r="D2214">
        <v>89301172</v>
      </c>
      <c r="E2214" t="str">
        <f>"8655086011"</f>
        <v>8655086011</v>
      </c>
      <c r="F2214" s="1">
        <v>44985</v>
      </c>
      <c r="G2214" t="str">
        <f>"89713"</f>
        <v>89713</v>
      </c>
      <c r="H2214">
        <v>1</v>
      </c>
      <c r="I2214">
        <v>5411</v>
      </c>
      <c r="J2214">
        <v>0</v>
      </c>
      <c r="K2214" t="str">
        <f>"810"</f>
        <v>810</v>
      </c>
      <c r="L2214">
        <v>3517.15</v>
      </c>
    </row>
    <row r="2215" spans="1:12" x14ac:dyDescent="0.25">
      <c r="A2215" t="str">
        <f t="shared" si="388"/>
        <v>89301000</v>
      </c>
      <c r="B2215" t="str">
        <f t="shared" si="395"/>
        <v>91009000</v>
      </c>
      <c r="C2215" t="str">
        <f>"91009575"</f>
        <v>91009575</v>
      </c>
      <c r="D2215">
        <v>89301172</v>
      </c>
      <c r="E2215" t="str">
        <f>"8655086011"</f>
        <v>8655086011</v>
      </c>
      <c r="F2215" s="1">
        <v>44985</v>
      </c>
      <c r="G2215" t="str">
        <f>"89725"</f>
        <v>89725</v>
      </c>
      <c r="H2215">
        <v>1</v>
      </c>
      <c r="I2215">
        <v>2863</v>
      </c>
      <c r="J2215">
        <v>0</v>
      </c>
      <c r="K2215" t="str">
        <f>"810"</f>
        <v>810</v>
      </c>
      <c r="L2215">
        <v>1860.95</v>
      </c>
    </row>
    <row r="2216" spans="1:12" x14ac:dyDescent="0.25">
      <c r="A2216" t="str">
        <f t="shared" si="388"/>
        <v>89301000</v>
      </c>
      <c r="B2216" t="str">
        <f t="shared" si="395"/>
        <v>91009000</v>
      </c>
      <c r="C2216" t="str">
        <f>"91009575"</f>
        <v>91009575</v>
      </c>
      <c r="D2216">
        <v>89301172</v>
      </c>
      <c r="E2216" t="str">
        <f>"8655086011"</f>
        <v>8655086011</v>
      </c>
      <c r="F2216" s="1">
        <v>44985</v>
      </c>
      <c r="G2216" t="str">
        <f>"0065979"</f>
        <v>0065979</v>
      </c>
      <c r="H2216">
        <v>1</v>
      </c>
      <c r="J2216">
        <v>1149.6199999999999</v>
      </c>
      <c r="K2216" t="str">
        <f>"810"</f>
        <v>810</v>
      </c>
      <c r="L2216">
        <v>1149.6199999999999</v>
      </c>
    </row>
    <row r="2217" spans="1:12" x14ac:dyDescent="0.25">
      <c r="A2217" t="str">
        <f t="shared" si="388"/>
        <v>89301000</v>
      </c>
      <c r="B2217" t="str">
        <f t="shared" si="395"/>
        <v>91009000</v>
      </c>
      <c r="C2217" t="str">
        <f>"91009522"</f>
        <v>91009522</v>
      </c>
      <c r="D2217">
        <v>89301282</v>
      </c>
      <c r="E2217" t="str">
        <f>"9108144859"</f>
        <v>9108144859</v>
      </c>
      <c r="F2217" s="1">
        <v>44965</v>
      </c>
      <c r="G2217" t="str">
        <f>"94221"</f>
        <v>94221</v>
      </c>
      <c r="H2217">
        <v>1</v>
      </c>
      <c r="I2217">
        <v>2467</v>
      </c>
      <c r="J2217">
        <v>0</v>
      </c>
      <c r="K2217" t="str">
        <f>"816"</f>
        <v>816</v>
      </c>
      <c r="L2217">
        <v>2220.3000000000002</v>
      </c>
    </row>
    <row r="2218" spans="1:12" x14ac:dyDescent="0.25">
      <c r="A2218" t="str">
        <f t="shared" si="388"/>
        <v>89301000</v>
      </c>
      <c r="B2218" t="str">
        <f t="shared" si="395"/>
        <v>91009000</v>
      </c>
      <c r="C2218" t="str">
        <f>"91009522"</f>
        <v>91009522</v>
      </c>
      <c r="D2218">
        <v>89301282</v>
      </c>
      <c r="E2218" t="str">
        <f>"9108144859"</f>
        <v>9108144859</v>
      </c>
      <c r="F2218" s="1">
        <v>44965</v>
      </c>
      <c r="G2218" t="str">
        <f>"94948"</f>
        <v>94948</v>
      </c>
      <c r="H2218">
        <v>1</v>
      </c>
      <c r="I2218">
        <v>0</v>
      </c>
      <c r="J2218">
        <v>0</v>
      </c>
      <c r="K2218" t="str">
        <f>"816"</f>
        <v>816</v>
      </c>
      <c r="L2218">
        <v>0</v>
      </c>
    </row>
    <row r="2219" spans="1:12" x14ac:dyDescent="0.25">
      <c r="A2219" t="str">
        <f t="shared" si="388"/>
        <v>89301000</v>
      </c>
      <c r="B2219" t="str">
        <f t="shared" si="395"/>
        <v>91009000</v>
      </c>
      <c r="C2219" t="str">
        <f>"91009522"</f>
        <v>91009522</v>
      </c>
      <c r="D2219">
        <v>89301282</v>
      </c>
      <c r="E2219" t="str">
        <f>"0411306071"</f>
        <v>0411306071</v>
      </c>
      <c r="F2219" s="1">
        <v>44979</v>
      </c>
      <c r="G2219" t="str">
        <f>"94948"</f>
        <v>94948</v>
      </c>
      <c r="H2219">
        <v>2</v>
      </c>
      <c r="I2219">
        <v>0</v>
      </c>
      <c r="J2219">
        <v>0</v>
      </c>
      <c r="K2219" t="str">
        <f>"816"</f>
        <v>816</v>
      </c>
      <c r="L2219">
        <v>0</v>
      </c>
    </row>
    <row r="2220" spans="1:12" x14ac:dyDescent="0.25">
      <c r="A2220" t="str">
        <f t="shared" si="388"/>
        <v>89301000</v>
      </c>
      <c r="B2220" t="str">
        <f t="shared" si="395"/>
        <v>91009000</v>
      </c>
      <c r="C2220" t="str">
        <f>"91009522"</f>
        <v>91009522</v>
      </c>
      <c r="D2220">
        <v>89301282</v>
      </c>
      <c r="E2220" t="str">
        <f>"0411306071"</f>
        <v>0411306071</v>
      </c>
      <c r="F2220" s="1">
        <v>44979</v>
      </c>
      <c r="G2220" t="str">
        <f>"94983"</f>
        <v>94983</v>
      </c>
      <c r="H2220">
        <v>1</v>
      </c>
      <c r="I2220">
        <v>0</v>
      </c>
      <c r="J2220">
        <v>39600</v>
      </c>
      <c r="K2220" t="str">
        <f>"816"</f>
        <v>816</v>
      </c>
      <c r="L2220">
        <v>39600</v>
      </c>
    </row>
    <row r="2221" spans="1:12" x14ac:dyDescent="0.25">
      <c r="A2221" t="str">
        <f t="shared" si="388"/>
        <v>89301000</v>
      </c>
      <c r="B2221" t="str">
        <f t="shared" si="395"/>
        <v>91009000</v>
      </c>
      <c r="C2221" t="str">
        <f>"91009522"</f>
        <v>91009522</v>
      </c>
      <c r="D2221">
        <v>89301282</v>
      </c>
      <c r="E2221" t="str">
        <f>"0411306071"</f>
        <v>0411306071</v>
      </c>
      <c r="F2221" s="1">
        <v>44979</v>
      </c>
      <c r="G2221" t="str">
        <f>"94996"</f>
        <v>94996</v>
      </c>
      <c r="H2221">
        <v>1</v>
      </c>
      <c r="I2221">
        <v>0</v>
      </c>
      <c r="J2221">
        <v>0</v>
      </c>
      <c r="K2221" t="str">
        <f>"816"</f>
        <v>816</v>
      </c>
      <c r="L2221">
        <v>0</v>
      </c>
    </row>
    <row r="2222" spans="1:12" x14ac:dyDescent="0.25">
      <c r="A2222" t="str">
        <f t="shared" si="388"/>
        <v>89301000</v>
      </c>
      <c r="B2222" t="str">
        <f t="shared" si="395"/>
        <v>91009000</v>
      </c>
      <c r="C2222" t="str">
        <f>"91009581"</f>
        <v>91009581</v>
      </c>
      <c r="D2222">
        <v>89301167</v>
      </c>
      <c r="E2222" t="str">
        <f>"530220073"</f>
        <v>530220073</v>
      </c>
      <c r="F2222" s="1">
        <v>44960</v>
      </c>
      <c r="G2222" t="str">
        <f>"81383"</f>
        <v>81383</v>
      </c>
      <c r="H2222">
        <v>1</v>
      </c>
      <c r="I2222">
        <v>24</v>
      </c>
      <c r="J2222">
        <v>0</v>
      </c>
      <c r="K2222" t="str">
        <f>"801"</f>
        <v>801</v>
      </c>
      <c r="L2222">
        <v>20.16</v>
      </c>
    </row>
    <row r="2223" spans="1:12" x14ac:dyDescent="0.25">
      <c r="A2223" t="str">
        <f t="shared" si="388"/>
        <v>89301000</v>
      </c>
      <c r="B2223" t="str">
        <f t="shared" si="395"/>
        <v>91009000</v>
      </c>
      <c r="C2223" t="str">
        <f>"91009581"</f>
        <v>91009581</v>
      </c>
      <c r="D2223">
        <v>89301167</v>
      </c>
      <c r="E2223" t="str">
        <f>"530220073"</f>
        <v>530220073</v>
      </c>
      <c r="F2223" s="1">
        <v>44960</v>
      </c>
      <c r="G2223" t="str">
        <f>"97111"</f>
        <v>97111</v>
      </c>
      <c r="H2223">
        <v>1</v>
      </c>
      <c r="I2223">
        <v>19</v>
      </c>
      <c r="J2223">
        <v>0</v>
      </c>
      <c r="K2223" t="str">
        <f>"801"</f>
        <v>801</v>
      </c>
      <c r="L2223">
        <v>23.94</v>
      </c>
    </row>
    <row r="2224" spans="1:12" x14ac:dyDescent="0.25">
      <c r="A2224" t="str">
        <f t="shared" si="388"/>
        <v>89301000</v>
      </c>
      <c r="B2224" t="str">
        <f t="shared" si="395"/>
        <v>91009000</v>
      </c>
      <c r="C2224" t="str">
        <f>"91009581"</f>
        <v>91009581</v>
      </c>
      <c r="D2224">
        <v>89301212</v>
      </c>
      <c r="E2224" t="str">
        <f>"8556125776"</f>
        <v>8556125776</v>
      </c>
      <c r="F2224" s="1">
        <v>44971</v>
      </c>
      <c r="G2224" t="str">
        <f>"97111"</f>
        <v>97111</v>
      </c>
      <c r="H2224">
        <v>1</v>
      </c>
      <c r="I2224">
        <v>19</v>
      </c>
      <c r="J2224">
        <v>0</v>
      </c>
      <c r="K2224" t="str">
        <f>"801"</f>
        <v>801</v>
      </c>
      <c r="L2224">
        <v>23.94</v>
      </c>
    </row>
    <row r="2225" spans="1:12" x14ac:dyDescent="0.25">
      <c r="A2225" t="str">
        <f t="shared" si="388"/>
        <v>89301000</v>
      </c>
      <c r="B2225" t="str">
        <f t="shared" si="395"/>
        <v>91009000</v>
      </c>
      <c r="C2225" t="str">
        <f>"91009132"</f>
        <v>91009132</v>
      </c>
      <c r="D2225">
        <v>89301212</v>
      </c>
      <c r="E2225" t="str">
        <f>"8556125776"</f>
        <v>8556125776</v>
      </c>
      <c r="F2225" s="1">
        <v>44971</v>
      </c>
      <c r="G2225" t="str">
        <f>"92157"</f>
        <v>92157</v>
      </c>
      <c r="H2225">
        <v>1</v>
      </c>
      <c r="I2225">
        <v>1778</v>
      </c>
      <c r="J2225">
        <v>0</v>
      </c>
      <c r="K2225" t="str">
        <f>"812"</f>
        <v>812</v>
      </c>
      <c r="L2225">
        <v>1493.52</v>
      </c>
    </row>
    <row r="2226" spans="1:12" x14ac:dyDescent="0.25">
      <c r="A2226" t="str">
        <f t="shared" si="388"/>
        <v>89301000</v>
      </c>
      <c r="B2226" t="str">
        <f t="shared" si="395"/>
        <v>91009000</v>
      </c>
      <c r="C2226" t="str">
        <f>"91009132"</f>
        <v>91009132</v>
      </c>
      <c r="D2226">
        <v>89301212</v>
      </c>
      <c r="E2226" t="str">
        <f>"8556125776"</f>
        <v>8556125776</v>
      </c>
      <c r="F2226" s="1">
        <v>44971</v>
      </c>
      <c r="G2226" t="str">
        <f>"99111"</f>
        <v>99111</v>
      </c>
      <c r="H2226">
        <v>1</v>
      </c>
      <c r="I2226">
        <v>213</v>
      </c>
      <c r="J2226">
        <v>0</v>
      </c>
      <c r="K2226" t="str">
        <f>"812"</f>
        <v>812</v>
      </c>
      <c r="L2226">
        <v>178.92</v>
      </c>
    </row>
    <row r="2227" spans="1:12" x14ac:dyDescent="0.25">
      <c r="A2227" t="str">
        <f t="shared" si="388"/>
        <v>89301000</v>
      </c>
      <c r="B2227" t="str">
        <f t="shared" si="395"/>
        <v>91009000</v>
      </c>
      <c r="C2227" t="str">
        <f t="shared" ref="C2227:C2232" si="396">"91009605"</f>
        <v>91009605</v>
      </c>
      <c r="D2227">
        <v>89301101</v>
      </c>
      <c r="E2227" t="str">
        <f>"1960080353"</f>
        <v>1960080353</v>
      </c>
      <c r="F2227" s="1">
        <v>44971</v>
      </c>
      <c r="G2227" t="str">
        <f>"91431"</f>
        <v>91431</v>
      </c>
      <c r="H2227">
        <v>1</v>
      </c>
      <c r="I2227">
        <v>543</v>
      </c>
      <c r="J2227">
        <v>0</v>
      </c>
      <c r="K2227" t="str">
        <f t="shared" ref="K2227:K2232" si="397">"818"</f>
        <v>818</v>
      </c>
      <c r="L2227">
        <v>526.71</v>
      </c>
    </row>
    <row r="2228" spans="1:12" x14ac:dyDescent="0.25">
      <c r="A2228" t="str">
        <f t="shared" si="388"/>
        <v>89301000</v>
      </c>
      <c r="B2228" t="str">
        <f t="shared" si="395"/>
        <v>91009000</v>
      </c>
      <c r="C2228" t="str">
        <f t="shared" si="396"/>
        <v>91009605</v>
      </c>
      <c r="D2228">
        <v>89301101</v>
      </c>
      <c r="E2228" t="str">
        <f>"1960080353"</f>
        <v>1960080353</v>
      </c>
      <c r="F2228" s="1">
        <v>44973</v>
      </c>
      <c r="G2228" t="str">
        <f>"22122"</f>
        <v>22122</v>
      </c>
      <c r="H2228">
        <v>1</v>
      </c>
      <c r="I2228">
        <v>588</v>
      </c>
      <c r="J2228">
        <v>0</v>
      </c>
      <c r="K2228" t="str">
        <f t="shared" si="397"/>
        <v>818</v>
      </c>
      <c r="L2228">
        <v>570.36</v>
      </c>
    </row>
    <row r="2229" spans="1:12" x14ac:dyDescent="0.25">
      <c r="A2229" t="str">
        <f t="shared" si="388"/>
        <v>89301000</v>
      </c>
      <c r="B2229" t="str">
        <f t="shared" si="395"/>
        <v>91009000</v>
      </c>
      <c r="C2229" t="str">
        <f t="shared" si="396"/>
        <v>91009605</v>
      </c>
      <c r="D2229">
        <v>89301101</v>
      </c>
      <c r="E2229" t="str">
        <f>"1960080353"</f>
        <v>1960080353</v>
      </c>
      <c r="F2229" s="1">
        <v>44973</v>
      </c>
      <c r="G2229" t="str">
        <f>"22123"</f>
        <v>22123</v>
      </c>
      <c r="H2229">
        <v>1</v>
      </c>
      <c r="I2229">
        <v>334</v>
      </c>
      <c r="J2229">
        <v>0</v>
      </c>
      <c r="K2229" t="str">
        <f t="shared" si="397"/>
        <v>818</v>
      </c>
      <c r="L2229">
        <v>323.98</v>
      </c>
    </row>
    <row r="2230" spans="1:12" x14ac:dyDescent="0.25">
      <c r="A2230" t="str">
        <f t="shared" si="388"/>
        <v>89301000</v>
      </c>
      <c r="B2230" t="str">
        <f t="shared" si="395"/>
        <v>91009000</v>
      </c>
      <c r="C2230" t="str">
        <f t="shared" si="396"/>
        <v>91009605</v>
      </c>
      <c r="D2230">
        <v>89301107</v>
      </c>
      <c r="E2230" t="str">
        <f>"2253210729"</f>
        <v>2253210729</v>
      </c>
      <c r="F2230" s="1">
        <v>44978</v>
      </c>
      <c r="G2230" t="str">
        <f>"91431"</f>
        <v>91431</v>
      </c>
      <c r="H2230">
        <v>1</v>
      </c>
      <c r="I2230">
        <v>543</v>
      </c>
      <c r="J2230">
        <v>0</v>
      </c>
      <c r="K2230" t="str">
        <f t="shared" si="397"/>
        <v>818</v>
      </c>
      <c r="L2230">
        <v>526.71</v>
      </c>
    </row>
    <row r="2231" spans="1:12" x14ac:dyDescent="0.25">
      <c r="A2231" t="str">
        <f t="shared" si="388"/>
        <v>89301000</v>
      </c>
      <c r="B2231" t="str">
        <f t="shared" si="395"/>
        <v>91009000</v>
      </c>
      <c r="C2231" t="str">
        <f t="shared" si="396"/>
        <v>91009605</v>
      </c>
      <c r="D2231">
        <v>89301107</v>
      </c>
      <c r="E2231" t="str">
        <f>"2253210729"</f>
        <v>2253210729</v>
      </c>
      <c r="F2231" s="1">
        <v>44980</v>
      </c>
      <c r="G2231" t="str">
        <f>"22122"</f>
        <v>22122</v>
      </c>
      <c r="H2231">
        <v>1</v>
      </c>
      <c r="I2231">
        <v>588</v>
      </c>
      <c r="J2231">
        <v>0</v>
      </c>
      <c r="K2231" t="str">
        <f t="shared" si="397"/>
        <v>818</v>
      </c>
      <c r="L2231">
        <v>570.36</v>
      </c>
    </row>
    <row r="2232" spans="1:12" x14ac:dyDescent="0.25">
      <c r="A2232" t="str">
        <f t="shared" si="388"/>
        <v>89301000</v>
      </c>
      <c r="B2232" t="str">
        <f t="shared" si="395"/>
        <v>91009000</v>
      </c>
      <c r="C2232" t="str">
        <f t="shared" si="396"/>
        <v>91009605</v>
      </c>
      <c r="D2232">
        <v>89301107</v>
      </c>
      <c r="E2232" t="str">
        <f>"2253210729"</f>
        <v>2253210729</v>
      </c>
      <c r="F2232" s="1">
        <v>44980</v>
      </c>
      <c r="G2232" t="str">
        <f>"22123"</f>
        <v>22123</v>
      </c>
      <c r="H2232">
        <v>1</v>
      </c>
      <c r="I2232">
        <v>334</v>
      </c>
      <c r="J2232">
        <v>0</v>
      </c>
      <c r="K2232" t="str">
        <f t="shared" si="397"/>
        <v>818</v>
      </c>
      <c r="L2232">
        <v>323.98</v>
      </c>
    </row>
    <row r="2233" spans="1:12" x14ac:dyDescent="0.25">
      <c r="A2233" t="str">
        <f t="shared" si="388"/>
        <v>89301000</v>
      </c>
      <c r="B2233" t="str">
        <f t="shared" ref="B2233:B2249" si="398">"89903000"</f>
        <v>89903000</v>
      </c>
      <c r="C2233" t="str">
        <f t="shared" ref="C2233:C2239" si="399">"89903504"</f>
        <v>89903504</v>
      </c>
      <c r="D2233">
        <v>89301606</v>
      </c>
      <c r="E2233" t="str">
        <f>"7555095361"</f>
        <v>7555095361</v>
      </c>
      <c r="F2233" s="1">
        <v>44959</v>
      </c>
      <c r="G2233" t="str">
        <f t="shared" ref="G2233:G2238" si="400">"89713"</f>
        <v>89713</v>
      </c>
      <c r="H2233">
        <v>2</v>
      </c>
      <c r="I2233">
        <v>10822</v>
      </c>
      <c r="J2233">
        <v>0</v>
      </c>
      <c r="K2233" t="str">
        <f t="shared" ref="K2233:K2239" si="401">"810"</f>
        <v>810</v>
      </c>
      <c r="L2233">
        <v>7034.3</v>
      </c>
    </row>
    <row r="2234" spans="1:12" x14ac:dyDescent="0.25">
      <c r="A2234" t="str">
        <f t="shared" si="388"/>
        <v>89301000</v>
      </c>
      <c r="B2234" t="str">
        <f t="shared" si="398"/>
        <v>89903000</v>
      </c>
      <c r="C2234" t="str">
        <f t="shared" si="399"/>
        <v>89903504</v>
      </c>
      <c r="D2234">
        <v>89301062</v>
      </c>
      <c r="E2234" t="str">
        <f>"7359015334"</f>
        <v>7359015334</v>
      </c>
      <c r="F2234" s="1">
        <v>44965</v>
      </c>
      <c r="G2234" t="str">
        <f t="shared" si="400"/>
        <v>89713</v>
      </c>
      <c r="H2234">
        <v>2</v>
      </c>
      <c r="I2234">
        <v>10822</v>
      </c>
      <c r="J2234">
        <v>0</v>
      </c>
      <c r="K2234" t="str">
        <f t="shared" si="401"/>
        <v>810</v>
      </c>
      <c r="L2234">
        <v>7034.3</v>
      </c>
    </row>
    <row r="2235" spans="1:12" x14ac:dyDescent="0.25">
      <c r="A2235" t="str">
        <f t="shared" si="388"/>
        <v>89301000</v>
      </c>
      <c r="B2235" t="str">
        <f t="shared" si="398"/>
        <v>89903000</v>
      </c>
      <c r="C2235" t="str">
        <f t="shared" si="399"/>
        <v>89903504</v>
      </c>
      <c r="D2235">
        <v>89301062</v>
      </c>
      <c r="E2235" t="str">
        <f>"481218426"</f>
        <v>481218426</v>
      </c>
      <c r="F2235" s="1">
        <v>44967</v>
      </c>
      <c r="G2235" t="str">
        <f t="shared" si="400"/>
        <v>89713</v>
      </c>
      <c r="H2235">
        <v>2</v>
      </c>
      <c r="I2235">
        <v>10822</v>
      </c>
      <c r="J2235">
        <v>0</v>
      </c>
      <c r="K2235" t="str">
        <f t="shared" si="401"/>
        <v>810</v>
      </c>
      <c r="L2235">
        <v>7034.3</v>
      </c>
    </row>
    <row r="2236" spans="1:12" x14ac:dyDescent="0.25">
      <c r="A2236" t="str">
        <f t="shared" si="388"/>
        <v>89301000</v>
      </c>
      <c r="B2236" t="str">
        <f t="shared" si="398"/>
        <v>89903000</v>
      </c>
      <c r="C2236" t="str">
        <f t="shared" si="399"/>
        <v>89903504</v>
      </c>
      <c r="D2236">
        <v>89301061</v>
      </c>
      <c r="E2236" t="str">
        <f>"8456125315"</f>
        <v>8456125315</v>
      </c>
      <c r="F2236" s="1">
        <v>44970</v>
      </c>
      <c r="G2236" t="str">
        <f t="shared" si="400"/>
        <v>89713</v>
      </c>
      <c r="H2236">
        <v>2</v>
      </c>
      <c r="I2236">
        <v>10822</v>
      </c>
      <c r="J2236">
        <v>0</v>
      </c>
      <c r="K2236" t="str">
        <f t="shared" si="401"/>
        <v>810</v>
      </c>
      <c r="L2236">
        <v>7034.3</v>
      </c>
    </row>
    <row r="2237" spans="1:12" x14ac:dyDescent="0.25">
      <c r="A2237" t="str">
        <f t="shared" si="388"/>
        <v>89301000</v>
      </c>
      <c r="B2237" t="str">
        <f t="shared" si="398"/>
        <v>89903000</v>
      </c>
      <c r="C2237" t="str">
        <f t="shared" si="399"/>
        <v>89903504</v>
      </c>
      <c r="D2237">
        <v>89301062</v>
      </c>
      <c r="E2237" t="str">
        <f>"490409028"</f>
        <v>490409028</v>
      </c>
      <c r="F2237" s="1">
        <v>44977</v>
      </c>
      <c r="G2237" t="str">
        <f t="shared" si="400"/>
        <v>89713</v>
      </c>
      <c r="H2237">
        <v>2</v>
      </c>
      <c r="I2237">
        <v>10822</v>
      </c>
      <c r="J2237">
        <v>0</v>
      </c>
      <c r="K2237" t="str">
        <f t="shared" si="401"/>
        <v>810</v>
      </c>
      <c r="L2237">
        <v>7034.3</v>
      </c>
    </row>
    <row r="2238" spans="1:12" x14ac:dyDescent="0.25">
      <c r="A2238" t="str">
        <f t="shared" si="388"/>
        <v>89301000</v>
      </c>
      <c r="B2238" t="str">
        <f t="shared" si="398"/>
        <v>89903000</v>
      </c>
      <c r="C2238" t="str">
        <f t="shared" si="399"/>
        <v>89903504</v>
      </c>
      <c r="D2238">
        <v>89301606</v>
      </c>
      <c r="E2238" t="str">
        <f>"8252105312"</f>
        <v>8252105312</v>
      </c>
      <c r="F2238" s="1">
        <v>44978</v>
      </c>
      <c r="G2238" t="str">
        <f t="shared" si="400"/>
        <v>89713</v>
      </c>
      <c r="H2238">
        <v>1</v>
      </c>
      <c r="I2238">
        <v>5411</v>
      </c>
      <c r="J2238">
        <v>0</v>
      </c>
      <c r="K2238" t="str">
        <f t="shared" si="401"/>
        <v>810</v>
      </c>
      <c r="L2238">
        <v>3517.15</v>
      </c>
    </row>
    <row r="2239" spans="1:12" x14ac:dyDescent="0.25">
      <c r="A2239" t="str">
        <f t="shared" si="388"/>
        <v>89301000</v>
      </c>
      <c r="B2239" t="str">
        <f t="shared" si="398"/>
        <v>89903000</v>
      </c>
      <c r="C2239" t="str">
        <f t="shared" si="399"/>
        <v>89903504</v>
      </c>
      <c r="D2239">
        <v>89301606</v>
      </c>
      <c r="E2239" t="str">
        <f>"8252105312"</f>
        <v>8252105312</v>
      </c>
      <c r="F2239" s="1">
        <v>44978</v>
      </c>
      <c r="G2239" t="str">
        <f>"89723"</f>
        <v>89723</v>
      </c>
      <c r="H2239">
        <v>1</v>
      </c>
      <c r="I2239">
        <v>5940</v>
      </c>
      <c r="J2239">
        <v>0</v>
      </c>
      <c r="K2239" t="str">
        <f t="shared" si="401"/>
        <v>810</v>
      </c>
      <c r="L2239">
        <v>3861</v>
      </c>
    </row>
    <row r="2240" spans="1:12" x14ac:dyDescent="0.25">
      <c r="A2240" t="str">
        <f t="shared" si="388"/>
        <v>89301000</v>
      </c>
      <c r="B2240" t="str">
        <f t="shared" si="398"/>
        <v>89903000</v>
      </c>
      <c r="C2240" t="str">
        <f t="shared" ref="C2240:C2249" si="402">"89903503"</f>
        <v>89903503</v>
      </c>
      <c r="D2240">
        <v>89301274</v>
      </c>
      <c r="E2240" t="str">
        <f>"7908085702"</f>
        <v>7908085702</v>
      </c>
      <c r="F2240" s="1">
        <v>44964</v>
      </c>
      <c r="G2240" t="str">
        <f>"89611"</f>
        <v>89611</v>
      </c>
      <c r="H2240">
        <v>2</v>
      </c>
      <c r="I2240">
        <v>4524</v>
      </c>
      <c r="J2240">
        <v>0</v>
      </c>
      <c r="K2240" t="str">
        <f t="shared" ref="K2240:K2249" si="403">"809"</f>
        <v>809</v>
      </c>
      <c r="L2240">
        <v>2940.6</v>
      </c>
    </row>
    <row r="2241" spans="1:12" x14ac:dyDescent="0.25">
      <c r="A2241" t="str">
        <f t="shared" si="388"/>
        <v>89301000</v>
      </c>
      <c r="B2241" t="str">
        <f t="shared" si="398"/>
        <v>89903000</v>
      </c>
      <c r="C2241" t="str">
        <f t="shared" si="402"/>
        <v>89903503</v>
      </c>
      <c r="D2241">
        <v>89301274</v>
      </c>
      <c r="E2241" t="str">
        <f>"7908085702"</f>
        <v>7908085702</v>
      </c>
      <c r="F2241" s="1">
        <v>44964</v>
      </c>
      <c r="G2241" t="str">
        <f>"89615"</f>
        <v>89615</v>
      </c>
      <c r="H2241">
        <v>1</v>
      </c>
      <c r="I2241">
        <v>2199</v>
      </c>
      <c r="J2241">
        <v>0</v>
      </c>
      <c r="K2241" t="str">
        <f t="shared" si="403"/>
        <v>809</v>
      </c>
      <c r="L2241">
        <v>1429.35</v>
      </c>
    </row>
    <row r="2242" spans="1:12" x14ac:dyDescent="0.25">
      <c r="A2242" t="str">
        <f t="shared" ref="A2242:A2305" si="404">"89301000"</f>
        <v>89301000</v>
      </c>
      <c r="B2242" t="str">
        <f t="shared" si="398"/>
        <v>89903000</v>
      </c>
      <c r="C2242" t="str">
        <f t="shared" si="402"/>
        <v>89903503</v>
      </c>
      <c r="D2242">
        <v>89301274</v>
      </c>
      <c r="E2242" t="str">
        <f>"7908085702"</f>
        <v>7908085702</v>
      </c>
      <c r="F2242" s="1">
        <v>44964</v>
      </c>
      <c r="G2242" t="str">
        <f>"0022075"</f>
        <v>0022075</v>
      </c>
      <c r="H2242">
        <v>1</v>
      </c>
      <c r="J2242">
        <v>1004.83</v>
      </c>
      <c r="K2242" t="str">
        <f t="shared" si="403"/>
        <v>809</v>
      </c>
      <c r="L2242">
        <v>1004.83</v>
      </c>
    </row>
    <row r="2243" spans="1:12" x14ac:dyDescent="0.25">
      <c r="A2243" t="str">
        <f t="shared" si="404"/>
        <v>89301000</v>
      </c>
      <c r="B2243" t="str">
        <f t="shared" si="398"/>
        <v>89903000</v>
      </c>
      <c r="C2243" t="str">
        <f t="shared" si="402"/>
        <v>89903503</v>
      </c>
      <c r="D2243">
        <v>89301062</v>
      </c>
      <c r="E2243" t="str">
        <f t="shared" ref="E2243:E2249" si="405">"6512061424"</f>
        <v>6512061424</v>
      </c>
      <c r="F2243" s="1">
        <v>44967</v>
      </c>
      <c r="G2243" t="str">
        <f>"09233"</f>
        <v>09233</v>
      </c>
      <c r="H2243">
        <v>0</v>
      </c>
      <c r="I2243">
        <v>0</v>
      </c>
      <c r="J2243">
        <v>0</v>
      </c>
      <c r="K2243" t="str">
        <f t="shared" si="403"/>
        <v>809</v>
      </c>
      <c r="L2243">
        <v>0</v>
      </c>
    </row>
    <row r="2244" spans="1:12" x14ac:dyDescent="0.25">
      <c r="A2244" t="str">
        <f t="shared" si="404"/>
        <v>89301000</v>
      </c>
      <c r="B2244" t="str">
        <f t="shared" si="398"/>
        <v>89903000</v>
      </c>
      <c r="C2244" t="str">
        <f t="shared" si="402"/>
        <v>89903503</v>
      </c>
      <c r="D2244">
        <v>89301062</v>
      </c>
      <c r="E2244" t="str">
        <f t="shared" si="405"/>
        <v>6512061424</v>
      </c>
      <c r="F2244" s="1">
        <v>44967</v>
      </c>
      <c r="G2244" t="str">
        <f>"89311"</f>
        <v>89311</v>
      </c>
      <c r="H2244">
        <v>0</v>
      </c>
      <c r="I2244">
        <v>0</v>
      </c>
      <c r="J2244">
        <v>0</v>
      </c>
      <c r="K2244" t="str">
        <f t="shared" si="403"/>
        <v>809</v>
      </c>
      <c r="L2244">
        <v>0</v>
      </c>
    </row>
    <row r="2245" spans="1:12" x14ac:dyDescent="0.25">
      <c r="A2245" t="str">
        <f t="shared" si="404"/>
        <v>89301000</v>
      </c>
      <c r="B2245" t="str">
        <f t="shared" si="398"/>
        <v>89903000</v>
      </c>
      <c r="C2245" t="str">
        <f t="shared" si="402"/>
        <v>89903503</v>
      </c>
      <c r="D2245">
        <v>89301062</v>
      </c>
      <c r="E2245" t="str">
        <f t="shared" si="405"/>
        <v>6512061424</v>
      </c>
      <c r="F2245" s="1">
        <v>44967</v>
      </c>
      <c r="G2245" t="str">
        <f>"89615"</f>
        <v>89615</v>
      </c>
      <c r="H2245">
        <v>0</v>
      </c>
      <c r="I2245">
        <v>0</v>
      </c>
      <c r="J2245">
        <v>0</v>
      </c>
      <c r="K2245" t="str">
        <f t="shared" si="403"/>
        <v>809</v>
      </c>
      <c r="L2245">
        <v>0</v>
      </c>
    </row>
    <row r="2246" spans="1:12" x14ac:dyDescent="0.25">
      <c r="A2246" t="str">
        <f t="shared" si="404"/>
        <v>89301000</v>
      </c>
      <c r="B2246" t="str">
        <f t="shared" si="398"/>
        <v>89903000</v>
      </c>
      <c r="C2246" t="str">
        <f t="shared" si="402"/>
        <v>89903503</v>
      </c>
      <c r="D2246">
        <v>89301062</v>
      </c>
      <c r="E2246" t="str">
        <f t="shared" si="405"/>
        <v>6512061424</v>
      </c>
      <c r="F2246" s="1">
        <v>44967</v>
      </c>
      <c r="G2246" t="str">
        <f>"0000502"</f>
        <v>0000502</v>
      </c>
      <c r="H2246">
        <v>0</v>
      </c>
      <c r="I2246">
        <v>0</v>
      </c>
      <c r="J2246">
        <v>0</v>
      </c>
      <c r="K2246" t="str">
        <f t="shared" si="403"/>
        <v>809</v>
      </c>
      <c r="L2246">
        <v>0</v>
      </c>
    </row>
    <row r="2247" spans="1:12" x14ac:dyDescent="0.25">
      <c r="A2247" t="str">
        <f t="shared" si="404"/>
        <v>89301000</v>
      </c>
      <c r="B2247" t="str">
        <f t="shared" si="398"/>
        <v>89903000</v>
      </c>
      <c r="C2247" t="str">
        <f t="shared" si="402"/>
        <v>89903503</v>
      </c>
      <c r="D2247">
        <v>89301062</v>
      </c>
      <c r="E2247" t="str">
        <f t="shared" si="405"/>
        <v>6512061424</v>
      </c>
      <c r="F2247" s="1">
        <v>44967</v>
      </c>
      <c r="G2247" t="str">
        <f>"0084090"</f>
        <v>0084090</v>
      </c>
      <c r="H2247">
        <v>0</v>
      </c>
      <c r="I2247">
        <v>0</v>
      </c>
      <c r="J2247">
        <v>0</v>
      </c>
      <c r="K2247" t="str">
        <f t="shared" si="403"/>
        <v>809</v>
      </c>
      <c r="L2247">
        <v>0</v>
      </c>
    </row>
    <row r="2248" spans="1:12" x14ac:dyDescent="0.25">
      <c r="A2248" t="str">
        <f t="shared" si="404"/>
        <v>89301000</v>
      </c>
      <c r="B2248" t="str">
        <f t="shared" si="398"/>
        <v>89903000</v>
      </c>
      <c r="C2248" t="str">
        <f t="shared" si="402"/>
        <v>89903503</v>
      </c>
      <c r="D2248">
        <v>89301062</v>
      </c>
      <c r="E2248" t="str">
        <f t="shared" si="405"/>
        <v>6512061424</v>
      </c>
      <c r="F2248" s="1">
        <v>44967</v>
      </c>
      <c r="G2248" t="str">
        <f>"0096251"</f>
        <v>0096251</v>
      </c>
      <c r="H2248">
        <v>0</v>
      </c>
      <c r="I2248">
        <v>0</v>
      </c>
      <c r="J2248">
        <v>0</v>
      </c>
      <c r="K2248" t="str">
        <f t="shared" si="403"/>
        <v>809</v>
      </c>
      <c r="L2248">
        <v>0</v>
      </c>
    </row>
    <row r="2249" spans="1:12" x14ac:dyDescent="0.25">
      <c r="A2249" t="str">
        <f t="shared" si="404"/>
        <v>89301000</v>
      </c>
      <c r="B2249" t="str">
        <f t="shared" si="398"/>
        <v>89903000</v>
      </c>
      <c r="C2249" t="str">
        <f t="shared" si="402"/>
        <v>89903503</v>
      </c>
      <c r="D2249">
        <v>89301062</v>
      </c>
      <c r="E2249" t="str">
        <f t="shared" si="405"/>
        <v>6512061424</v>
      </c>
      <c r="F2249" s="1">
        <v>44967</v>
      </c>
      <c r="G2249" t="str">
        <f>"0194183"</f>
        <v>0194183</v>
      </c>
      <c r="H2249">
        <v>0</v>
      </c>
      <c r="I2249">
        <v>0</v>
      </c>
      <c r="J2249">
        <v>0</v>
      </c>
      <c r="K2249" t="str">
        <f t="shared" si="403"/>
        <v>809</v>
      </c>
      <c r="L2249">
        <v>0</v>
      </c>
    </row>
    <row r="2250" spans="1:12" x14ac:dyDescent="0.25">
      <c r="A2250" t="str">
        <f t="shared" si="404"/>
        <v>89301000</v>
      </c>
      <c r="B2250" t="str">
        <f t="shared" ref="B2250:B2266" si="406">"02004000"</f>
        <v>02004000</v>
      </c>
      <c r="C2250" t="str">
        <f>"02004545"</f>
        <v>02004545</v>
      </c>
      <c r="D2250">
        <v>89301282</v>
      </c>
      <c r="E2250" t="str">
        <f>"0410045262"</f>
        <v>0410045262</v>
      </c>
      <c r="F2250" s="1">
        <v>44966</v>
      </c>
      <c r="G2250" t="str">
        <f>"94221"</f>
        <v>94221</v>
      </c>
      <c r="H2250">
        <v>1</v>
      </c>
      <c r="I2250">
        <v>2467</v>
      </c>
      <c r="J2250">
        <v>0</v>
      </c>
      <c r="K2250" t="str">
        <f>"816"</f>
        <v>816</v>
      </c>
      <c r="L2250">
        <v>2220.3000000000002</v>
      </c>
    </row>
    <row r="2251" spans="1:12" x14ac:dyDescent="0.25">
      <c r="A2251" t="str">
        <f t="shared" si="404"/>
        <v>89301000</v>
      </c>
      <c r="B2251" t="str">
        <f t="shared" si="406"/>
        <v>02004000</v>
      </c>
      <c r="C2251" t="str">
        <f t="shared" ref="C2251:C2266" si="407">"02004556"</f>
        <v>02004556</v>
      </c>
      <c r="D2251">
        <v>89301102</v>
      </c>
      <c r="E2251" t="str">
        <f>"0706231383"</f>
        <v>0706231383</v>
      </c>
      <c r="F2251" s="1">
        <v>44967</v>
      </c>
      <c r="G2251" t="str">
        <f>"91249"</f>
        <v>91249</v>
      </c>
      <c r="H2251">
        <v>1</v>
      </c>
      <c r="I2251">
        <v>1495</v>
      </c>
      <c r="J2251">
        <v>0</v>
      </c>
      <c r="K2251" t="str">
        <f t="shared" ref="K2251:K2266" si="408">"813"</f>
        <v>813</v>
      </c>
      <c r="L2251">
        <v>1255.8</v>
      </c>
    </row>
    <row r="2252" spans="1:12" x14ac:dyDescent="0.25">
      <c r="A2252" t="str">
        <f t="shared" si="404"/>
        <v>89301000</v>
      </c>
      <c r="B2252" t="str">
        <f t="shared" si="406"/>
        <v>02004000</v>
      </c>
      <c r="C2252" t="str">
        <f t="shared" si="407"/>
        <v>02004556</v>
      </c>
      <c r="D2252">
        <v>89301102</v>
      </c>
      <c r="E2252" t="str">
        <f>"0706231383"</f>
        <v>0706231383</v>
      </c>
      <c r="F2252" s="1">
        <v>44967</v>
      </c>
      <c r="G2252" t="str">
        <f>"91251"</f>
        <v>91251</v>
      </c>
      <c r="H2252">
        <v>1</v>
      </c>
      <c r="I2252">
        <v>1495</v>
      </c>
      <c r="J2252">
        <v>0</v>
      </c>
      <c r="K2252" t="str">
        <f t="shared" si="408"/>
        <v>813</v>
      </c>
      <c r="L2252">
        <v>1255.8</v>
      </c>
    </row>
    <row r="2253" spans="1:12" x14ac:dyDescent="0.25">
      <c r="A2253" t="str">
        <f t="shared" si="404"/>
        <v>89301000</v>
      </c>
      <c r="B2253" t="str">
        <f t="shared" si="406"/>
        <v>02004000</v>
      </c>
      <c r="C2253" t="str">
        <f t="shared" si="407"/>
        <v>02004556</v>
      </c>
      <c r="D2253">
        <v>89301102</v>
      </c>
      <c r="E2253" t="str">
        <f>"0606161380"</f>
        <v>0606161380</v>
      </c>
      <c r="F2253" s="1">
        <v>44964</v>
      </c>
      <c r="G2253" t="str">
        <f>"91249"</f>
        <v>91249</v>
      </c>
      <c r="H2253">
        <v>1</v>
      </c>
      <c r="I2253">
        <v>1495</v>
      </c>
      <c r="J2253">
        <v>0</v>
      </c>
      <c r="K2253" t="str">
        <f t="shared" si="408"/>
        <v>813</v>
      </c>
      <c r="L2253">
        <v>1255.8</v>
      </c>
    </row>
    <row r="2254" spans="1:12" x14ac:dyDescent="0.25">
      <c r="A2254" t="str">
        <f t="shared" si="404"/>
        <v>89301000</v>
      </c>
      <c r="B2254" t="str">
        <f t="shared" si="406"/>
        <v>02004000</v>
      </c>
      <c r="C2254" t="str">
        <f t="shared" si="407"/>
        <v>02004556</v>
      </c>
      <c r="D2254">
        <v>89301102</v>
      </c>
      <c r="E2254" t="str">
        <f>"0606161380"</f>
        <v>0606161380</v>
      </c>
      <c r="F2254" s="1">
        <v>44964</v>
      </c>
      <c r="G2254" t="str">
        <f>"91251"</f>
        <v>91251</v>
      </c>
      <c r="H2254">
        <v>1</v>
      </c>
      <c r="I2254">
        <v>1495</v>
      </c>
      <c r="J2254">
        <v>0</v>
      </c>
      <c r="K2254" t="str">
        <f t="shared" si="408"/>
        <v>813</v>
      </c>
      <c r="L2254">
        <v>1255.8</v>
      </c>
    </row>
    <row r="2255" spans="1:12" x14ac:dyDescent="0.25">
      <c r="A2255" t="str">
        <f t="shared" si="404"/>
        <v>89301000</v>
      </c>
      <c r="B2255" t="str">
        <f t="shared" si="406"/>
        <v>02004000</v>
      </c>
      <c r="C2255" t="str">
        <f t="shared" si="407"/>
        <v>02004556</v>
      </c>
      <c r="D2255">
        <v>89301102</v>
      </c>
      <c r="E2255" t="str">
        <f>"0658303239"</f>
        <v>0658303239</v>
      </c>
      <c r="F2255" s="1">
        <v>44957</v>
      </c>
      <c r="G2255" t="str">
        <f>"91249"</f>
        <v>91249</v>
      </c>
      <c r="H2255">
        <v>1</v>
      </c>
      <c r="I2255">
        <v>1495</v>
      </c>
      <c r="J2255">
        <v>0</v>
      </c>
      <c r="K2255" t="str">
        <f t="shared" si="408"/>
        <v>813</v>
      </c>
      <c r="L2255">
        <v>1255.8</v>
      </c>
    </row>
    <row r="2256" spans="1:12" x14ac:dyDescent="0.25">
      <c r="A2256" t="str">
        <f t="shared" si="404"/>
        <v>89301000</v>
      </c>
      <c r="B2256" t="str">
        <f t="shared" si="406"/>
        <v>02004000</v>
      </c>
      <c r="C2256" t="str">
        <f t="shared" si="407"/>
        <v>02004556</v>
      </c>
      <c r="D2256">
        <v>89301102</v>
      </c>
      <c r="E2256" t="str">
        <f>"0658303239"</f>
        <v>0658303239</v>
      </c>
      <c r="F2256" s="1">
        <v>44957</v>
      </c>
      <c r="G2256" t="str">
        <f>"91251"</f>
        <v>91251</v>
      </c>
      <c r="H2256">
        <v>1</v>
      </c>
      <c r="I2256">
        <v>1495</v>
      </c>
      <c r="J2256">
        <v>0</v>
      </c>
      <c r="K2256" t="str">
        <f t="shared" si="408"/>
        <v>813</v>
      </c>
      <c r="L2256">
        <v>1255.8</v>
      </c>
    </row>
    <row r="2257" spans="1:12" x14ac:dyDescent="0.25">
      <c r="A2257" t="str">
        <f t="shared" si="404"/>
        <v>89301000</v>
      </c>
      <c r="B2257" t="str">
        <f t="shared" si="406"/>
        <v>02004000</v>
      </c>
      <c r="C2257" t="str">
        <f t="shared" si="407"/>
        <v>02004556</v>
      </c>
      <c r="D2257">
        <v>89301702</v>
      </c>
      <c r="E2257" t="str">
        <f>"1405190622"</f>
        <v>1405190622</v>
      </c>
      <c r="F2257" s="1">
        <v>44939</v>
      </c>
      <c r="G2257" t="str">
        <f>"91249"</f>
        <v>91249</v>
      </c>
      <c r="H2257">
        <v>1</v>
      </c>
      <c r="I2257">
        <v>1495</v>
      </c>
      <c r="J2257">
        <v>0</v>
      </c>
      <c r="K2257" t="str">
        <f t="shared" si="408"/>
        <v>813</v>
      </c>
      <c r="L2257">
        <v>1255.8</v>
      </c>
    </row>
    <row r="2258" spans="1:12" x14ac:dyDescent="0.25">
      <c r="A2258" t="str">
        <f t="shared" si="404"/>
        <v>89301000</v>
      </c>
      <c r="B2258" t="str">
        <f t="shared" si="406"/>
        <v>02004000</v>
      </c>
      <c r="C2258" t="str">
        <f t="shared" si="407"/>
        <v>02004556</v>
      </c>
      <c r="D2258">
        <v>89301702</v>
      </c>
      <c r="E2258" t="str">
        <f>"1405190622"</f>
        <v>1405190622</v>
      </c>
      <c r="F2258" s="1">
        <v>44939</v>
      </c>
      <c r="G2258" t="str">
        <f>"91251"</f>
        <v>91251</v>
      </c>
      <c r="H2258">
        <v>1</v>
      </c>
      <c r="I2258">
        <v>1495</v>
      </c>
      <c r="J2258">
        <v>0</v>
      </c>
      <c r="K2258" t="str">
        <f t="shared" si="408"/>
        <v>813</v>
      </c>
      <c r="L2258">
        <v>1255.8</v>
      </c>
    </row>
    <row r="2259" spans="1:12" x14ac:dyDescent="0.25">
      <c r="A2259" t="str">
        <f t="shared" si="404"/>
        <v>89301000</v>
      </c>
      <c r="B2259" t="str">
        <f t="shared" si="406"/>
        <v>02004000</v>
      </c>
      <c r="C2259" t="str">
        <f t="shared" si="407"/>
        <v>02004556</v>
      </c>
      <c r="D2259">
        <v>89301702</v>
      </c>
      <c r="E2259" t="str">
        <f>"0756083383"</f>
        <v>0756083383</v>
      </c>
      <c r="F2259" s="1">
        <v>44939</v>
      </c>
      <c r="G2259" t="str">
        <f>"91249"</f>
        <v>91249</v>
      </c>
      <c r="H2259">
        <v>1</v>
      </c>
      <c r="I2259">
        <v>1495</v>
      </c>
      <c r="J2259">
        <v>0</v>
      </c>
      <c r="K2259" t="str">
        <f t="shared" si="408"/>
        <v>813</v>
      </c>
      <c r="L2259">
        <v>1255.8</v>
      </c>
    </row>
    <row r="2260" spans="1:12" x14ac:dyDescent="0.25">
      <c r="A2260" t="str">
        <f t="shared" si="404"/>
        <v>89301000</v>
      </c>
      <c r="B2260" t="str">
        <f t="shared" si="406"/>
        <v>02004000</v>
      </c>
      <c r="C2260" t="str">
        <f t="shared" si="407"/>
        <v>02004556</v>
      </c>
      <c r="D2260">
        <v>89301702</v>
      </c>
      <c r="E2260" t="str">
        <f>"0756083383"</f>
        <v>0756083383</v>
      </c>
      <c r="F2260" s="1">
        <v>44939</v>
      </c>
      <c r="G2260" t="str">
        <f>"91251"</f>
        <v>91251</v>
      </c>
      <c r="H2260">
        <v>1</v>
      </c>
      <c r="I2260">
        <v>1495</v>
      </c>
      <c r="J2260">
        <v>0</v>
      </c>
      <c r="K2260" t="str">
        <f t="shared" si="408"/>
        <v>813</v>
      </c>
      <c r="L2260">
        <v>1255.8</v>
      </c>
    </row>
    <row r="2261" spans="1:12" x14ac:dyDescent="0.25">
      <c r="A2261" t="str">
        <f t="shared" si="404"/>
        <v>89301000</v>
      </c>
      <c r="B2261" t="str">
        <f t="shared" si="406"/>
        <v>02004000</v>
      </c>
      <c r="C2261" t="str">
        <f t="shared" si="407"/>
        <v>02004556</v>
      </c>
      <c r="D2261">
        <v>89301102</v>
      </c>
      <c r="E2261" t="str">
        <f>"0554043248"</f>
        <v>0554043248</v>
      </c>
      <c r="F2261" s="1">
        <v>44949</v>
      </c>
      <c r="G2261" t="str">
        <f>"91249"</f>
        <v>91249</v>
      </c>
      <c r="H2261">
        <v>1</v>
      </c>
      <c r="I2261">
        <v>1495</v>
      </c>
      <c r="J2261">
        <v>0</v>
      </c>
      <c r="K2261" t="str">
        <f t="shared" si="408"/>
        <v>813</v>
      </c>
      <c r="L2261">
        <v>1255.8</v>
      </c>
    </row>
    <row r="2262" spans="1:12" x14ac:dyDescent="0.25">
      <c r="A2262" t="str">
        <f t="shared" si="404"/>
        <v>89301000</v>
      </c>
      <c r="B2262" t="str">
        <f t="shared" si="406"/>
        <v>02004000</v>
      </c>
      <c r="C2262" t="str">
        <f t="shared" si="407"/>
        <v>02004556</v>
      </c>
      <c r="D2262">
        <v>89301102</v>
      </c>
      <c r="E2262" t="str">
        <f>"0554043248"</f>
        <v>0554043248</v>
      </c>
      <c r="F2262" s="1">
        <v>44949</v>
      </c>
      <c r="G2262" t="str">
        <f>"91251"</f>
        <v>91251</v>
      </c>
      <c r="H2262">
        <v>1</v>
      </c>
      <c r="I2262">
        <v>1495</v>
      </c>
      <c r="J2262">
        <v>0</v>
      </c>
      <c r="K2262" t="str">
        <f t="shared" si="408"/>
        <v>813</v>
      </c>
      <c r="L2262">
        <v>1255.8</v>
      </c>
    </row>
    <row r="2263" spans="1:12" x14ac:dyDescent="0.25">
      <c r="A2263" t="str">
        <f t="shared" si="404"/>
        <v>89301000</v>
      </c>
      <c r="B2263" t="str">
        <f t="shared" si="406"/>
        <v>02004000</v>
      </c>
      <c r="C2263" t="str">
        <f t="shared" si="407"/>
        <v>02004556</v>
      </c>
      <c r="D2263">
        <v>89301702</v>
      </c>
      <c r="E2263" t="str">
        <f>"1311050246"</f>
        <v>1311050246</v>
      </c>
      <c r="F2263" s="1">
        <v>44936</v>
      </c>
      <c r="G2263" t="str">
        <f>"91249"</f>
        <v>91249</v>
      </c>
      <c r="H2263">
        <v>1</v>
      </c>
      <c r="I2263">
        <v>1495</v>
      </c>
      <c r="J2263">
        <v>0</v>
      </c>
      <c r="K2263" t="str">
        <f t="shared" si="408"/>
        <v>813</v>
      </c>
      <c r="L2263">
        <v>1255.8</v>
      </c>
    </row>
    <row r="2264" spans="1:12" x14ac:dyDescent="0.25">
      <c r="A2264" t="str">
        <f t="shared" si="404"/>
        <v>89301000</v>
      </c>
      <c r="B2264" t="str">
        <f t="shared" si="406"/>
        <v>02004000</v>
      </c>
      <c r="C2264" t="str">
        <f t="shared" si="407"/>
        <v>02004556</v>
      </c>
      <c r="D2264">
        <v>89301702</v>
      </c>
      <c r="E2264" t="str">
        <f>"1311050246"</f>
        <v>1311050246</v>
      </c>
      <c r="F2264" s="1">
        <v>44936</v>
      </c>
      <c r="G2264" t="str">
        <f>"91251"</f>
        <v>91251</v>
      </c>
      <c r="H2264">
        <v>1</v>
      </c>
      <c r="I2264">
        <v>1495</v>
      </c>
      <c r="J2264">
        <v>0</v>
      </c>
      <c r="K2264" t="str">
        <f t="shared" si="408"/>
        <v>813</v>
      </c>
      <c r="L2264">
        <v>1255.8</v>
      </c>
    </row>
    <row r="2265" spans="1:12" x14ac:dyDescent="0.25">
      <c r="A2265" t="str">
        <f t="shared" si="404"/>
        <v>89301000</v>
      </c>
      <c r="B2265" t="str">
        <f t="shared" si="406"/>
        <v>02004000</v>
      </c>
      <c r="C2265" t="str">
        <f t="shared" si="407"/>
        <v>02004556</v>
      </c>
      <c r="D2265">
        <v>89301102</v>
      </c>
      <c r="E2265" t="str">
        <f>"0410225343"</f>
        <v>0410225343</v>
      </c>
      <c r="F2265" s="1">
        <v>44952</v>
      </c>
      <c r="G2265" t="str">
        <f>"91249"</f>
        <v>91249</v>
      </c>
      <c r="H2265">
        <v>1</v>
      </c>
      <c r="I2265">
        <v>1495</v>
      </c>
      <c r="J2265">
        <v>0</v>
      </c>
      <c r="K2265" t="str">
        <f t="shared" si="408"/>
        <v>813</v>
      </c>
      <c r="L2265">
        <v>1255.8</v>
      </c>
    </row>
    <row r="2266" spans="1:12" x14ac:dyDescent="0.25">
      <c r="A2266" t="str">
        <f t="shared" si="404"/>
        <v>89301000</v>
      </c>
      <c r="B2266" t="str">
        <f t="shared" si="406"/>
        <v>02004000</v>
      </c>
      <c r="C2266" t="str">
        <f t="shared" si="407"/>
        <v>02004556</v>
      </c>
      <c r="D2266">
        <v>89301102</v>
      </c>
      <c r="E2266" t="str">
        <f>"0410225343"</f>
        <v>0410225343</v>
      </c>
      <c r="F2266" s="1">
        <v>44952</v>
      </c>
      <c r="G2266" t="str">
        <f>"91251"</f>
        <v>91251</v>
      </c>
      <c r="H2266">
        <v>1</v>
      </c>
      <c r="I2266">
        <v>1495</v>
      </c>
      <c r="J2266">
        <v>0</v>
      </c>
      <c r="K2266" t="str">
        <f t="shared" si="408"/>
        <v>813</v>
      </c>
      <c r="L2266">
        <v>1255.8</v>
      </c>
    </row>
    <row r="2267" spans="1:12" x14ac:dyDescent="0.25">
      <c r="A2267" t="str">
        <f t="shared" si="404"/>
        <v>89301000</v>
      </c>
      <c r="B2267" t="str">
        <f t="shared" ref="B2267:B2276" si="409">"06223000"</f>
        <v>06223000</v>
      </c>
      <c r="C2267" t="str">
        <f t="shared" ref="C2267:C2276" si="410">"06223043"</f>
        <v>06223043</v>
      </c>
      <c r="D2267">
        <v>89301122</v>
      </c>
      <c r="E2267" t="str">
        <f>"9658065703"</f>
        <v>9658065703</v>
      </c>
      <c r="F2267" s="1">
        <v>44985</v>
      </c>
      <c r="G2267" t="str">
        <f>"81485"</f>
        <v>81485</v>
      </c>
      <c r="H2267">
        <v>1</v>
      </c>
      <c r="I2267">
        <v>461</v>
      </c>
      <c r="J2267">
        <v>0</v>
      </c>
      <c r="K2267" t="str">
        <f t="shared" ref="K2267:K2276" si="411">"801"</f>
        <v>801</v>
      </c>
      <c r="L2267">
        <v>387.24</v>
      </c>
    </row>
    <row r="2268" spans="1:12" x14ac:dyDescent="0.25">
      <c r="A2268" t="str">
        <f t="shared" si="404"/>
        <v>89301000</v>
      </c>
      <c r="B2268" t="str">
        <f t="shared" si="409"/>
        <v>06223000</v>
      </c>
      <c r="C2268" t="str">
        <f t="shared" si="410"/>
        <v>06223043</v>
      </c>
      <c r="D2268">
        <v>89301122</v>
      </c>
      <c r="E2268" t="str">
        <f>"6261160092"</f>
        <v>6261160092</v>
      </c>
      <c r="F2268" s="1">
        <v>44970</v>
      </c>
      <c r="G2268" t="str">
        <f>"81485"</f>
        <v>81485</v>
      </c>
      <c r="H2268">
        <v>1</v>
      </c>
      <c r="I2268">
        <v>461</v>
      </c>
      <c r="J2268">
        <v>0</v>
      </c>
      <c r="K2268" t="str">
        <f t="shared" si="411"/>
        <v>801</v>
      </c>
      <c r="L2268">
        <v>387.24</v>
      </c>
    </row>
    <row r="2269" spans="1:12" x14ac:dyDescent="0.25">
      <c r="A2269" t="str">
        <f t="shared" si="404"/>
        <v>89301000</v>
      </c>
      <c r="B2269" t="str">
        <f t="shared" si="409"/>
        <v>06223000</v>
      </c>
      <c r="C2269" t="str">
        <f t="shared" si="410"/>
        <v>06223043</v>
      </c>
      <c r="D2269">
        <v>89301122</v>
      </c>
      <c r="E2269" t="str">
        <f>"6956295313"</f>
        <v>6956295313</v>
      </c>
      <c r="F2269" s="1">
        <v>44985</v>
      </c>
      <c r="G2269" t="str">
        <f>"81485"</f>
        <v>81485</v>
      </c>
      <c r="H2269">
        <v>1</v>
      </c>
      <c r="I2269">
        <v>461</v>
      </c>
      <c r="J2269">
        <v>0</v>
      </c>
      <c r="K2269" t="str">
        <f t="shared" si="411"/>
        <v>801</v>
      </c>
      <c r="L2269">
        <v>387.24</v>
      </c>
    </row>
    <row r="2270" spans="1:12" x14ac:dyDescent="0.25">
      <c r="A2270" t="str">
        <f t="shared" si="404"/>
        <v>89301000</v>
      </c>
      <c r="B2270" t="str">
        <f t="shared" si="409"/>
        <v>06223000</v>
      </c>
      <c r="C2270" t="str">
        <f t="shared" si="410"/>
        <v>06223043</v>
      </c>
      <c r="D2270">
        <v>89301122</v>
      </c>
      <c r="E2270" t="str">
        <f>"9212064323"</f>
        <v>9212064323</v>
      </c>
      <c r="F2270" s="1">
        <v>44970</v>
      </c>
      <c r="G2270" t="str">
        <f>"81485"</f>
        <v>81485</v>
      </c>
      <c r="H2270">
        <v>1</v>
      </c>
      <c r="I2270">
        <v>461</v>
      </c>
      <c r="J2270">
        <v>0</v>
      </c>
      <c r="K2270" t="str">
        <f t="shared" si="411"/>
        <v>801</v>
      </c>
      <c r="L2270">
        <v>387.24</v>
      </c>
    </row>
    <row r="2271" spans="1:12" x14ac:dyDescent="0.25">
      <c r="A2271" t="str">
        <f t="shared" si="404"/>
        <v>89301000</v>
      </c>
      <c r="B2271" t="str">
        <f t="shared" si="409"/>
        <v>06223000</v>
      </c>
      <c r="C2271" t="str">
        <f t="shared" si="410"/>
        <v>06223043</v>
      </c>
      <c r="D2271">
        <v>89301122</v>
      </c>
      <c r="E2271" t="str">
        <f>"7361065140"</f>
        <v>7361065140</v>
      </c>
      <c r="F2271" s="1">
        <v>44959</v>
      </c>
      <c r="G2271" t="str">
        <f>"81485"</f>
        <v>81485</v>
      </c>
      <c r="H2271">
        <v>1</v>
      </c>
      <c r="I2271">
        <v>461</v>
      </c>
      <c r="J2271">
        <v>0</v>
      </c>
      <c r="K2271" t="str">
        <f t="shared" si="411"/>
        <v>801</v>
      </c>
      <c r="L2271">
        <v>387.24</v>
      </c>
    </row>
    <row r="2272" spans="1:12" x14ac:dyDescent="0.25">
      <c r="A2272" t="str">
        <f t="shared" si="404"/>
        <v>89301000</v>
      </c>
      <c r="B2272" t="str">
        <f t="shared" si="409"/>
        <v>06223000</v>
      </c>
      <c r="C2272" t="str">
        <f t="shared" si="410"/>
        <v>06223043</v>
      </c>
      <c r="D2272">
        <v>89301122</v>
      </c>
      <c r="E2272" t="str">
        <f>"9560046155"</f>
        <v>9560046155</v>
      </c>
      <c r="F2272" s="1">
        <v>44963</v>
      </c>
      <c r="G2272" t="str">
        <f>"92165"</f>
        <v>92165</v>
      </c>
      <c r="H2272">
        <v>1</v>
      </c>
      <c r="I2272">
        <v>2162</v>
      </c>
      <c r="J2272">
        <v>0</v>
      </c>
      <c r="K2272" t="str">
        <f t="shared" si="411"/>
        <v>801</v>
      </c>
      <c r="L2272">
        <v>1816.08</v>
      </c>
    </row>
    <row r="2273" spans="1:12" x14ac:dyDescent="0.25">
      <c r="A2273" t="str">
        <f t="shared" si="404"/>
        <v>89301000</v>
      </c>
      <c r="B2273" t="str">
        <f t="shared" si="409"/>
        <v>06223000</v>
      </c>
      <c r="C2273" t="str">
        <f t="shared" si="410"/>
        <v>06223043</v>
      </c>
      <c r="D2273">
        <v>89301122</v>
      </c>
      <c r="E2273" t="str">
        <f>"531130308"</f>
        <v>531130308</v>
      </c>
      <c r="F2273" s="1">
        <v>44978</v>
      </c>
      <c r="G2273" t="str">
        <f>"81485"</f>
        <v>81485</v>
      </c>
      <c r="H2273">
        <v>1</v>
      </c>
      <c r="I2273">
        <v>461</v>
      </c>
      <c r="J2273">
        <v>0</v>
      </c>
      <c r="K2273" t="str">
        <f t="shared" si="411"/>
        <v>801</v>
      </c>
      <c r="L2273">
        <v>387.24</v>
      </c>
    </row>
    <row r="2274" spans="1:12" x14ac:dyDescent="0.25">
      <c r="A2274" t="str">
        <f t="shared" si="404"/>
        <v>89301000</v>
      </c>
      <c r="B2274" t="str">
        <f t="shared" si="409"/>
        <v>06223000</v>
      </c>
      <c r="C2274" t="str">
        <f t="shared" si="410"/>
        <v>06223043</v>
      </c>
      <c r="D2274">
        <v>89301122</v>
      </c>
      <c r="E2274" t="str">
        <f>"7551224461"</f>
        <v>7551224461</v>
      </c>
      <c r="F2274" s="1">
        <v>44970</v>
      </c>
      <c r="G2274" t="str">
        <f>"81485"</f>
        <v>81485</v>
      </c>
      <c r="H2274">
        <v>1</v>
      </c>
      <c r="I2274">
        <v>461</v>
      </c>
      <c r="J2274">
        <v>0</v>
      </c>
      <c r="K2274" t="str">
        <f t="shared" si="411"/>
        <v>801</v>
      </c>
      <c r="L2274">
        <v>387.24</v>
      </c>
    </row>
    <row r="2275" spans="1:12" x14ac:dyDescent="0.25">
      <c r="A2275" t="str">
        <f t="shared" si="404"/>
        <v>89301000</v>
      </c>
      <c r="B2275" t="str">
        <f t="shared" si="409"/>
        <v>06223000</v>
      </c>
      <c r="C2275" t="str">
        <f t="shared" si="410"/>
        <v>06223043</v>
      </c>
      <c r="D2275">
        <v>89301122</v>
      </c>
      <c r="E2275" t="str">
        <f>"9362034594"</f>
        <v>9362034594</v>
      </c>
      <c r="F2275" s="1">
        <v>44963</v>
      </c>
      <c r="G2275" t="str">
        <f>"92165"</f>
        <v>92165</v>
      </c>
      <c r="H2275">
        <v>1</v>
      </c>
      <c r="I2275">
        <v>2162</v>
      </c>
      <c r="J2275">
        <v>0</v>
      </c>
      <c r="K2275" t="str">
        <f t="shared" si="411"/>
        <v>801</v>
      </c>
      <c r="L2275">
        <v>1816.08</v>
      </c>
    </row>
    <row r="2276" spans="1:12" x14ac:dyDescent="0.25">
      <c r="A2276" t="str">
        <f t="shared" si="404"/>
        <v>89301000</v>
      </c>
      <c r="B2276" t="str">
        <f t="shared" si="409"/>
        <v>06223000</v>
      </c>
      <c r="C2276" t="str">
        <f t="shared" si="410"/>
        <v>06223043</v>
      </c>
      <c r="D2276">
        <v>89301122</v>
      </c>
      <c r="E2276" t="str">
        <f>"531130308"</f>
        <v>531130308</v>
      </c>
      <c r="F2276" s="1">
        <v>44959</v>
      </c>
      <c r="G2276" t="str">
        <f>"81485"</f>
        <v>81485</v>
      </c>
      <c r="H2276">
        <v>1</v>
      </c>
      <c r="I2276">
        <v>461</v>
      </c>
      <c r="J2276">
        <v>0</v>
      </c>
      <c r="K2276" t="str">
        <f t="shared" si="411"/>
        <v>801</v>
      </c>
      <c r="L2276">
        <v>387.24</v>
      </c>
    </row>
    <row r="2277" spans="1:12" x14ac:dyDescent="0.25">
      <c r="A2277" t="str">
        <f t="shared" si="404"/>
        <v>89301000</v>
      </c>
      <c r="B2277" t="str">
        <f t="shared" ref="B2277:B2286" si="412">"05002000"</f>
        <v>05002000</v>
      </c>
      <c r="C2277" t="str">
        <f t="shared" ref="C2277:C2283" si="413">"05002141"</f>
        <v>05002141</v>
      </c>
      <c r="D2277">
        <v>89301282</v>
      </c>
      <c r="E2277" t="str">
        <f>"6208151400"</f>
        <v>6208151400</v>
      </c>
      <c r="F2277" s="1">
        <v>44967</v>
      </c>
      <c r="G2277" t="str">
        <f>"94221"</f>
        <v>94221</v>
      </c>
      <c r="H2277">
        <v>6</v>
      </c>
      <c r="I2277">
        <v>14802</v>
      </c>
      <c r="J2277">
        <v>0</v>
      </c>
      <c r="K2277" t="str">
        <f t="shared" ref="K2277:K2283" si="414">"816"</f>
        <v>816</v>
      </c>
      <c r="L2277">
        <v>13321.8</v>
      </c>
    </row>
    <row r="2278" spans="1:12" x14ac:dyDescent="0.25">
      <c r="A2278" t="str">
        <f t="shared" si="404"/>
        <v>89301000</v>
      </c>
      <c r="B2278" t="str">
        <f t="shared" si="412"/>
        <v>05002000</v>
      </c>
      <c r="C2278" t="str">
        <f t="shared" si="413"/>
        <v>05002141</v>
      </c>
      <c r="D2278">
        <v>89301282</v>
      </c>
      <c r="E2278" t="str">
        <f>"6208151400"</f>
        <v>6208151400</v>
      </c>
      <c r="F2278" s="1">
        <v>44981</v>
      </c>
      <c r="G2278" t="str">
        <f>"94221"</f>
        <v>94221</v>
      </c>
      <c r="H2278">
        <v>4</v>
      </c>
      <c r="I2278">
        <v>9868</v>
      </c>
      <c r="J2278">
        <v>0</v>
      </c>
      <c r="K2278" t="str">
        <f t="shared" si="414"/>
        <v>816</v>
      </c>
      <c r="L2278">
        <v>8881.2000000000007</v>
      </c>
    </row>
    <row r="2279" spans="1:12" x14ac:dyDescent="0.25">
      <c r="A2279" t="str">
        <f t="shared" si="404"/>
        <v>89301000</v>
      </c>
      <c r="B2279" t="str">
        <f t="shared" si="412"/>
        <v>05002000</v>
      </c>
      <c r="C2279" t="str">
        <f t="shared" si="413"/>
        <v>05002141</v>
      </c>
      <c r="D2279">
        <v>89301282</v>
      </c>
      <c r="E2279" t="str">
        <f>"8206085844"</f>
        <v>8206085844</v>
      </c>
      <c r="F2279" s="1">
        <v>44973</v>
      </c>
      <c r="G2279" t="str">
        <f>"94345"</f>
        <v>94345</v>
      </c>
      <c r="H2279">
        <v>2</v>
      </c>
      <c r="I2279">
        <v>9324</v>
      </c>
      <c r="J2279">
        <v>0</v>
      </c>
      <c r="K2279" t="str">
        <f t="shared" si="414"/>
        <v>816</v>
      </c>
      <c r="L2279">
        <v>8391.6</v>
      </c>
    </row>
    <row r="2280" spans="1:12" x14ac:dyDescent="0.25">
      <c r="A2280" t="str">
        <f t="shared" si="404"/>
        <v>89301000</v>
      </c>
      <c r="B2280" t="str">
        <f t="shared" si="412"/>
        <v>05002000</v>
      </c>
      <c r="C2280" t="str">
        <f t="shared" si="413"/>
        <v>05002141</v>
      </c>
      <c r="D2280">
        <v>89301282</v>
      </c>
      <c r="E2280" t="str">
        <f>"8406285371"</f>
        <v>8406285371</v>
      </c>
      <c r="F2280" s="1">
        <v>44971</v>
      </c>
      <c r="G2280" t="str">
        <f>"94983"</f>
        <v>94983</v>
      </c>
      <c r="H2280">
        <v>1</v>
      </c>
      <c r="I2280">
        <v>0</v>
      </c>
      <c r="J2280">
        <v>39600</v>
      </c>
      <c r="K2280" t="str">
        <f t="shared" si="414"/>
        <v>816</v>
      </c>
      <c r="L2280">
        <v>39600</v>
      </c>
    </row>
    <row r="2281" spans="1:12" x14ac:dyDescent="0.25">
      <c r="A2281" t="str">
        <f t="shared" si="404"/>
        <v>89301000</v>
      </c>
      <c r="B2281" t="str">
        <f t="shared" si="412"/>
        <v>05002000</v>
      </c>
      <c r="C2281" t="str">
        <f t="shared" si="413"/>
        <v>05002141</v>
      </c>
      <c r="D2281">
        <v>89301282</v>
      </c>
      <c r="E2281" t="str">
        <f>"8406285371"</f>
        <v>8406285371</v>
      </c>
      <c r="F2281" s="1">
        <v>44971</v>
      </c>
      <c r="G2281" t="str">
        <f>"94996"</f>
        <v>94996</v>
      </c>
      <c r="H2281">
        <v>1</v>
      </c>
      <c r="I2281">
        <v>0</v>
      </c>
      <c r="J2281">
        <v>0</v>
      </c>
      <c r="K2281" t="str">
        <f t="shared" si="414"/>
        <v>816</v>
      </c>
      <c r="L2281">
        <v>0</v>
      </c>
    </row>
    <row r="2282" spans="1:12" x14ac:dyDescent="0.25">
      <c r="A2282" t="str">
        <f t="shared" si="404"/>
        <v>89301000</v>
      </c>
      <c r="B2282" t="str">
        <f t="shared" si="412"/>
        <v>05002000</v>
      </c>
      <c r="C2282" t="str">
        <f t="shared" si="413"/>
        <v>05002141</v>
      </c>
      <c r="D2282">
        <v>89301282</v>
      </c>
      <c r="E2282" t="str">
        <f>"8406285371"</f>
        <v>8406285371</v>
      </c>
      <c r="F2282" s="1">
        <v>44985</v>
      </c>
      <c r="G2282" t="str">
        <f>"94221"</f>
        <v>94221</v>
      </c>
      <c r="H2282">
        <v>2</v>
      </c>
      <c r="I2282">
        <v>4934</v>
      </c>
      <c r="J2282">
        <v>0</v>
      </c>
      <c r="K2282" t="str">
        <f t="shared" si="414"/>
        <v>816</v>
      </c>
      <c r="L2282">
        <v>4440.6000000000004</v>
      </c>
    </row>
    <row r="2283" spans="1:12" x14ac:dyDescent="0.25">
      <c r="A2283" t="str">
        <f t="shared" si="404"/>
        <v>89301000</v>
      </c>
      <c r="B2283" t="str">
        <f t="shared" si="412"/>
        <v>05002000</v>
      </c>
      <c r="C2283" t="str">
        <f t="shared" si="413"/>
        <v>05002141</v>
      </c>
      <c r="D2283">
        <v>89301282</v>
      </c>
      <c r="E2283" t="str">
        <f>"8406285371"</f>
        <v>8406285371</v>
      </c>
      <c r="F2283" s="1">
        <v>44985</v>
      </c>
      <c r="G2283" t="str">
        <f>"94351"</f>
        <v>94351</v>
      </c>
      <c r="H2283">
        <v>9</v>
      </c>
      <c r="I2283">
        <v>15570</v>
      </c>
      <c r="J2283">
        <v>0</v>
      </c>
      <c r="K2283" t="str">
        <f t="shared" si="414"/>
        <v>816</v>
      </c>
      <c r="L2283">
        <v>14013</v>
      </c>
    </row>
    <row r="2284" spans="1:12" x14ac:dyDescent="0.25">
      <c r="A2284" t="str">
        <f t="shared" si="404"/>
        <v>89301000</v>
      </c>
      <c r="B2284" t="str">
        <f t="shared" si="412"/>
        <v>05002000</v>
      </c>
      <c r="C2284" t="str">
        <f>"05002397"</f>
        <v>05002397</v>
      </c>
      <c r="D2284">
        <v>89301109</v>
      </c>
      <c r="E2284" t="str">
        <f>"0653313265"</f>
        <v>0653313265</v>
      </c>
      <c r="F2284" s="1">
        <v>44949</v>
      </c>
      <c r="G2284" t="str">
        <f>"91439"</f>
        <v>91439</v>
      </c>
      <c r="H2284">
        <v>9</v>
      </c>
      <c r="I2284">
        <v>3222</v>
      </c>
      <c r="J2284">
        <v>0</v>
      </c>
      <c r="K2284" t="str">
        <f>"818"</f>
        <v>818</v>
      </c>
      <c r="L2284">
        <v>3125.34</v>
      </c>
    </row>
    <row r="2285" spans="1:12" x14ac:dyDescent="0.25">
      <c r="A2285" t="str">
        <f t="shared" si="404"/>
        <v>89301000</v>
      </c>
      <c r="B2285" t="str">
        <f t="shared" si="412"/>
        <v>05002000</v>
      </c>
      <c r="C2285" t="str">
        <f>"05002397"</f>
        <v>05002397</v>
      </c>
      <c r="D2285">
        <v>89301109</v>
      </c>
      <c r="E2285" t="str">
        <f>"0653313265"</f>
        <v>0653313265</v>
      </c>
      <c r="F2285" s="1">
        <v>44949</v>
      </c>
      <c r="G2285" t="str">
        <f>"91439"</f>
        <v>91439</v>
      </c>
      <c r="H2285">
        <v>3</v>
      </c>
      <c r="I2285">
        <v>1074</v>
      </c>
      <c r="J2285">
        <v>0</v>
      </c>
      <c r="K2285" t="str">
        <f>"818"</f>
        <v>818</v>
      </c>
      <c r="L2285">
        <v>1041.78</v>
      </c>
    </row>
    <row r="2286" spans="1:12" x14ac:dyDescent="0.25">
      <c r="A2286" t="str">
        <f t="shared" si="404"/>
        <v>89301000</v>
      </c>
      <c r="B2286" t="str">
        <f t="shared" si="412"/>
        <v>05002000</v>
      </c>
      <c r="C2286" t="str">
        <f>"05002174"</f>
        <v>05002174</v>
      </c>
      <c r="D2286">
        <v>89301172</v>
      </c>
      <c r="E2286" t="str">
        <f>"7902235352"</f>
        <v>7902235352</v>
      </c>
      <c r="F2286" s="1">
        <v>44946</v>
      </c>
      <c r="G2286" t="str">
        <f>"85115"</f>
        <v>85115</v>
      </c>
      <c r="H2286">
        <v>1</v>
      </c>
      <c r="I2286">
        <v>2450</v>
      </c>
      <c r="J2286">
        <v>0</v>
      </c>
      <c r="K2286" t="str">
        <f>"802"</f>
        <v>802</v>
      </c>
      <c r="L2286">
        <v>2376.5</v>
      </c>
    </row>
    <row r="2287" spans="1:12" x14ac:dyDescent="0.25">
      <c r="A2287" t="str">
        <f t="shared" si="404"/>
        <v>89301000</v>
      </c>
      <c r="B2287" t="str">
        <f>"93507000"</f>
        <v>93507000</v>
      </c>
      <c r="C2287" t="str">
        <f>"93507001"</f>
        <v>93507001</v>
      </c>
      <c r="D2287">
        <v>89301212</v>
      </c>
      <c r="E2287" t="str">
        <f>"515124381"</f>
        <v>515124381</v>
      </c>
      <c r="F2287" s="1">
        <v>45015</v>
      </c>
      <c r="G2287" t="str">
        <f>"89513"</f>
        <v>89513</v>
      </c>
      <c r="H2287">
        <v>1</v>
      </c>
      <c r="I2287">
        <v>378</v>
      </c>
      <c r="J2287">
        <v>0</v>
      </c>
      <c r="K2287" t="str">
        <f t="shared" ref="K2287:K2318" si="415">"809"</f>
        <v>809</v>
      </c>
      <c r="L2287">
        <v>555.66</v>
      </c>
    </row>
    <row r="2288" spans="1:12" x14ac:dyDescent="0.25">
      <c r="A2288" t="str">
        <f t="shared" si="404"/>
        <v>89301000</v>
      </c>
      <c r="B2288" t="str">
        <f>"93507000"</f>
        <v>93507000</v>
      </c>
      <c r="C2288" t="str">
        <f>"93507001"</f>
        <v>93507001</v>
      </c>
      <c r="D2288">
        <v>89301212</v>
      </c>
      <c r="E2288" t="str">
        <f>"515124381"</f>
        <v>515124381</v>
      </c>
      <c r="F2288" s="1">
        <v>45015</v>
      </c>
      <c r="G2288" t="str">
        <f>"89514"</f>
        <v>89514</v>
      </c>
      <c r="H2288">
        <v>1</v>
      </c>
      <c r="I2288">
        <v>378</v>
      </c>
      <c r="J2288">
        <v>0</v>
      </c>
      <c r="K2288" t="str">
        <f t="shared" si="415"/>
        <v>809</v>
      </c>
      <c r="L2288">
        <v>555.66</v>
      </c>
    </row>
    <row r="2289" spans="1:12" x14ac:dyDescent="0.25">
      <c r="A2289" t="str">
        <f t="shared" si="404"/>
        <v>89301000</v>
      </c>
      <c r="B2289" t="str">
        <f>"93507000"</f>
        <v>93507000</v>
      </c>
      <c r="C2289" t="str">
        <f>"93507001"</f>
        <v>93507001</v>
      </c>
      <c r="D2289">
        <v>89301037</v>
      </c>
      <c r="E2289" t="str">
        <f>"7759015781"</f>
        <v>7759015781</v>
      </c>
      <c r="F2289" s="1">
        <v>45012</v>
      </c>
      <c r="G2289" t="str">
        <f>"89117"</f>
        <v>89117</v>
      </c>
      <c r="H2289">
        <v>1</v>
      </c>
      <c r="I2289">
        <v>172</v>
      </c>
      <c r="J2289">
        <v>0</v>
      </c>
      <c r="K2289" t="str">
        <f t="shared" si="415"/>
        <v>809</v>
      </c>
      <c r="L2289">
        <v>252.84</v>
      </c>
    </row>
    <row r="2290" spans="1:12" x14ac:dyDescent="0.25">
      <c r="A2290" t="str">
        <f t="shared" si="404"/>
        <v>89301000</v>
      </c>
      <c r="B2290" t="str">
        <f t="shared" ref="B2290:B2321" si="416">"78915000"</f>
        <v>78915000</v>
      </c>
      <c r="C2290" t="str">
        <f t="shared" ref="C2290:C2321" si="417">"78915001"</f>
        <v>78915001</v>
      </c>
      <c r="D2290">
        <v>89301312</v>
      </c>
      <c r="E2290" t="str">
        <f>"0052126063"</f>
        <v>0052126063</v>
      </c>
      <c r="F2290" s="1">
        <v>45006</v>
      </c>
      <c r="G2290" t="str">
        <f>"09567"</f>
        <v>09567</v>
      </c>
      <c r="H2290">
        <v>1</v>
      </c>
      <c r="I2290">
        <v>0</v>
      </c>
      <c r="J2290">
        <v>0</v>
      </c>
      <c r="K2290" t="str">
        <f t="shared" si="415"/>
        <v>809</v>
      </c>
      <c r="L2290">
        <v>0</v>
      </c>
    </row>
    <row r="2291" spans="1:12" x14ac:dyDescent="0.25">
      <c r="A2291" t="str">
        <f t="shared" si="404"/>
        <v>89301000</v>
      </c>
      <c r="B2291" t="str">
        <f t="shared" si="416"/>
        <v>78915000</v>
      </c>
      <c r="C2291" t="str">
        <f t="shared" si="417"/>
        <v>78915001</v>
      </c>
      <c r="D2291">
        <v>89301312</v>
      </c>
      <c r="E2291" t="str">
        <f>"0052126063"</f>
        <v>0052126063</v>
      </c>
      <c r="F2291" s="1">
        <v>45006</v>
      </c>
      <c r="G2291" t="str">
        <f>"89713"</f>
        <v>89713</v>
      </c>
      <c r="H2291">
        <v>1</v>
      </c>
      <c r="I2291">
        <v>5411</v>
      </c>
      <c r="J2291">
        <v>0</v>
      </c>
      <c r="K2291" t="str">
        <f t="shared" si="415"/>
        <v>809</v>
      </c>
      <c r="L2291">
        <v>3517.15</v>
      </c>
    </row>
    <row r="2292" spans="1:12" x14ac:dyDescent="0.25">
      <c r="A2292" t="str">
        <f t="shared" si="404"/>
        <v>89301000</v>
      </c>
      <c r="B2292" t="str">
        <f t="shared" si="416"/>
        <v>78915000</v>
      </c>
      <c r="C2292" t="str">
        <f t="shared" si="417"/>
        <v>78915001</v>
      </c>
      <c r="D2292">
        <v>89301062</v>
      </c>
      <c r="E2292" t="str">
        <f>"0156154845"</f>
        <v>0156154845</v>
      </c>
      <c r="F2292" s="1">
        <v>45015</v>
      </c>
      <c r="G2292" t="str">
        <f>"89713"</f>
        <v>89713</v>
      </c>
      <c r="H2292">
        <v>1</v>
      </c>
      <c r="I2292">
        <v>5411</v>
      </c>
      <c r="J2292">
        <v>0</v>
      </c>
      <c r="K2292" t="str">
        <f t="shared" si="415"/>
        <v>809</v>
      </c>
      <c r="L2292">
        <v>3517.15</v>
      </c>
    </row>
    <row r="2293" spans="1:12" x14ac:dyDescent="0.25">
      <c r="A2293" t="str">
        <f t="shared" si="404"/>
        <v>89301000</v>
      </c>
      <c r="B2293" t="str">
        <f t="shared" si="416"/>
        <v>78915000</v>
      </c>
      <c r="C2293" t="str">
        <f t="shared" si="417"/>
        <v>78915001</v>
      </c>
      <c r="D2293">
        <v>89301112</v>
      </c>
      <c r="E2293" t="str">
        <f>"0312304487"</f>
        <v>0312304487</v>
      </c>
      <c r="F2293" s="1">
        <v>45000</v>
      </c>
      <c r="G2293" t="str">
        <f>"09569"</f>
        <v>09569</v>
      </c>
      <c r="H2293">
        <v>1</v>
      </c>
      <c r="I2293">
        <v>0</v>
      </c>
      <c r="J2293">
        <v>0</v>
      </c>
      <c r="K2293" t="str">
        <f t="shared" si="415"/>
        <v>809</v>
      </c>
      <c r="L2293">
        <v>0</v>
      </c>
    </row>
    <row r="2294" spans="1:12" x14ac:dyDescent="0.25">
      <c r="A2294" t="str">
        <f t="shared" si="404"/>
        <v>89301000</v>
      </c>
      <c r="B2294" t="str">
        <f t="shared" si="416"/>
        <v>78915000</v>
      </c>
      <c r="C2294" t="str">
        <f t="shared" si="417"/>
        <v>78915001</v>
      </c>
      <c r="D2294">
        <v>89301112</v>
      </c>
      <c r="E2294" t="str">
        <f>"0312304487"</f>
        <v>0312304487</v>
      </c>
      <c r="F2294" s="1">
        <v>45000</v>
      </c>
      <c r="G2294" t="str">
        <f>"89713"</f>
        <v>89713</v>
      </c>
      <c r="H2294">
        <v>1</v>
      </c>
      <c r="I2294">
        <v>5411</v>
      </c>
      <c r="J2294">
        <v>0</v>
      </c>
      <c r="K2294" t="str">
        <f t="shared" si="415"/>
        <v>809</v>
      </c>
      <c r="L2294">
        <v>3517.15</v>
      </c>
    </row>
    <row r="2295" spans="1:12" x14ac:dyDescent="0.25">
      <c r="A2295" t="str">
        <f t="shared" si="404"/>
        <v>89301000</v>
      </c>
      <c r="B2295" t="str">
        <f t="shared" si="416"/>
        <v>78915000</v>
      </c>
      <c r="C2295" t="str">
        <f t="shared" si="417"/>
        <v>78915001</v>
      </c>
      <c r="D2295">
        <v>89301112</v>
      </c>
      <c r="E2295" t="str">
        <f>"0702255279"</f>
        <v>0702255279</v>
      </c>
      <c r="F2295" s="1">
        <v>45005</v>
      </c>
      <c r="G2295" t="str">
        <f>"09569"</f>
        <v>09569</v>
      </c>
      <c r="H2295">
        <v>1</v>
      </c>
      <c r="I2295">
        <v>0</v>
      </c>
      <c r="J2295">
        <v>0</v>
      </c>
      <c r="K2295" t="str">
        <f t="shared" si="415"/>
        <v>809</v>
      </c>
      <c r="L2295">
        <v>0</v>
      </c>
    </row>
    <row r="2296" spans="1:12" x14ac:dyDescent="0.25">
      <c r="A2296" t="str">
        <f t="shared" si="404"/>
        <v>89301000</v>
      </c>
      <c r="B2296" t="str">
        <f t="shared" si="416"/>
        <v>78915000</v>
      </c>
      <c r="C2296" t="str">
        <f t="shared" si="417"/>
        <v>78915001</v>
      </c>
      <c r="D2296">
        <v>89301112</v>
      </c>
      <c r="E2296" t="str">
        <f>"0702255279"</f>
        <v>0702255279</v>
      </c>
      <c r="F2296" s="1">
        <v>45005</v>
      </c>
      <c r="G2296" t="str">
        <f>"89713"</f>
        <v>89713</v>
      </c>
      <c r="H2296">
        <v>1</v>
      </c>
      <c r="I2296">
        <v>5411</v>
      </c>
      <c r="J2296">
        <v>0</v>
      </c>
      <c r="K2296" t="str">
        <f t="shared" si="415"/>
        <v>809</v>
      </c>
      <c r="L2296">
        <v>3517.15</v>
      </c>
    </row>
    <row r="2297" spans="1:12" x14ac:dyDescent="0.25">
      <c r="A2297" t="str">
        <f t="shared" si="404"/>
        <v>89301000</v>
      </c>
      <c r="B2297" t="str">
        <f t="shared" si="416"/>
        <v>78915000</v>
      </c>
      <c r="C2297" t="str">
        <f t="shared" si="417"/>
        <v>78915001</v>
      </c>
      <c r="D2297">
        <v>89301112</v>
      </c>
      <c r="E2297" t="str">
        <f>"0809127330"</f>
        <v>0809127330</v>
      </c>
      <c r="F2297" s="1">
        <v>44987</v>
      </c>
      <c r="G2297" t="str">
        <f>"09569"</f>
        <v>09569</v>
      </c>
      <c r="H2297">
        <v>1</v>
      </c>
      <c r="I2297">
        <v>0</v>
      </c>
      <c r="J2297">
        <v>0</v>
      </c>
      <c r="K2297" t="str">
        <f t="shared" si="415"/>
        <v>809</v>
      </c>
      <c r="L2297">
        <v>0</v>
      </c>
    </row>
    <row r="2298" spans="1:12" x14ac:dyDescent="0.25">
      <c r="A2298" t="str">
        <f t="shared" si="404"/>
        <v>89301000</v>
      </c>
      <c r="B2298" t="str">
        <f t="shared" si="416"/>
        <v>78915000</v>
      </c>
      <c r="C2298" t="str">
        <f t="shared" si="417"/>
        <v>78915001</v>
      </c>
      <c r="D2298">
        <v>89301112</v>
      </c>
      <c r="E2298" t="str">
        <f>"0809127330"</f>
        <v>0809127330</v>
      </c>
      <c r="F2298" s="1">
        <v>44987</v>
      </c>
      <c r="G2298" t="str">
        <f>"89713"</f>
        <v>89713</v>
      </c>
      <c r="H2298">
        <v>1</v>
      </c>
      <c r="I2298">
        <v>5411</v>
      </c>
      <c r="J2298">
        <v>0</v>
      </c>
      <c r="K2298" t="str">
        <f t="shared" si="415"/>
        <v>809</v>
      </c>
      <c r="L2298">
        <v>3517.15</v>
      </c>
    </row>
    <row r="2299" spans="1:12" x14ac:dyDescent="0.25">
      <c r="A2299" t="str">
        <f t="shared" si="404"/>
        <v>89301000</v>
      </c>
      <c r="B2299" t="str">
        <f t="shared" si="416"/>
        <v>78915000</v>
      </c>
      <c r="C2299" t="str">
        <f t="shared" si="417"/>
        <v>78915001</v>
      </c>
      <c r="D2299">
        <v>89301112</v>
      </c>
      <c r="E2299" t="str">
        <f>"0962026076"</f>
        <v>0962026076</v>
      </c>
      <c r="F2299" s="1">
        <v>45007</v>
      </c>
      <c r="G2299" t="str">
        <f>"09567"</f>
        <v>09567</v>
      </c>
      <c r="H2299">
        <v>1</v>
      </c>
      <c r="I2299">
        <v>0</v>
      </c>
      <c r="J2299">
        <v>0</v>
      </c>
      <c r="K2299" t="str">
        <f t="shared" si="415"/>
        <v>809</v>
      </c>
      <c r="L2299">
        <v>0</v>
      </c>
    </row>
    <row r="2300" spans="1:12" x14ac:dyDescent="0.25">
      <c r="A2300" t="str">
        <f t="shared" si="404"/>
        <v>89301000</v>
      </c>
      <c r="B2300" t="str">
        <f t="shared" si="416"/>
        <v>78915000</v>
      </c>
      <c r="C2300" t="str">
        <f t="shared" si="417"/>
        <v>78915001</v>
      </c>
      <c r="D2300">
        <v>89301112</v>
      </c>
      <c r="E2300" t="str">
        <f>"0962026076"</f>
        <v>0962026076</v>
      </c>
      <c r="F2300" s="1">
        <v>45007</v>
      </c>
      <c r="G2300" t="str">
        <f>"89713"</f>
        <v>89713</v>
      </c>
      <c r="H2300">
        <v>1</v>
      </c>
      <c r="I2300">
        <v>5411</v>
      </c>
      <c r="J2300">
        <v>0</v>
      </c>
      <c r="K2300" t="str">
        <f t="shared" si="415"/>
        <v>809</v>
      </c>
      <c r="L2300">
        <v>3517.15</v>
      </c>
    </row>
    <row r="2301" spans="1:12" x14ac:dyDescent="0.25">
      <c r="A2301" t="str">
        <f t="shared" si="404"/>
        <v>89301000</v>
      </c>
      <c r="B2301" t="str">
        <f t="shared" si="416"/>
        <v>78915000</v>
      </c>
      <c r="C2301" t="str">
        <f t="shared" si="417"/>
        <v>78915001</v>
      </c>
      <c r="D2301">
        <v>89301112</v>
      </c>
      <c r="E2301" t="str">
        <f>"0962253556"</f>
        <v>0962253556</v>
      </c>
      <c r="F2301" s="1">
        <v>44992</v>
      </c>
      <c r="G2301" t="str">
        <f>"09569"</f>
        <v>09569</v>
      </c>
      <c r="H2301">
        <v>1</v>
      </c>
      <c r="I2301">
        <v>0</v>
      </c>
      <c r="J2301">
        <v>0</v>
      </c>
      <c r="K2301" t="str">
        <f t="shared" si="415"/>
        <v>809</v>
      </c>
      <c r="L2301">
        <v>0</v>
      </c>
    </row>
    <row r="2302" spans="1:12" x14ac:dyDescent="0.25">
      <c r="A2302" t="str">
        <f t="shared" si="404"/>
        <v>89301000</v>
      </c>
      <c r="B2302" t="str">
        <f t="shared" si="416"/>
        <v>78915000</v>
      </c>
      <c r="C2302" t="str">
        <f t="shared" si="417"/>
        <v>78915001</v>
      </c>
      <c r="D2302">
        <v>89301112</v>
      </c>
      <c r="E2302" t="str">
        <f>"0962253556"</f>
        <v>0962253556</v>
      </c>
      <c r="F2302" s="1">
        <v>44992</v>
      </c>
      <c r="G2302" t="str">
        <f>"89713"</f>
        <v>89713</v>
      </c>
      <c r="H2302">
        <v>1</v>
      </c>
      <c r="I2302">
        <v>5411</v>
      </c>
      <c r="J2302">
        <v>0</v>
      </c>
      <c r="K2302" t="str">
        <f t="shared" si="415"/>
        <v>809</v>
      </c>
      <c r="L2302">
        <v>3517.15</v>
      </c>
    </row>
    <row r="2303" spans="1:12" x14ac:dyDescent="0.25">
      <c r="A2303" t="str">
        <f t="shared" si="404"/>
        <v>89301000</v>
      </c>
      <c r="B2303" t="str">
        <f t="shared" si="416"/>
        <v>78915000</v>
      </c>
      <c r="C2303" t="str">
        <f t="shared" si="417"/>
        <v>78915001</v>
      </c>
      <c r="D2303">
        <v>89301112</v>
      </c>
      <c r="E2303" t="str">
        <f>"1208100190"</f>
        <v>1208100190</v>
      </c>
      <c r="F2303" s="1">
        <v>44999</v>
      </c>
      <c r="G2303" t="str">
        <f>"09569"</f>
        <v>09569</v>
      </c>
      <c r="H2303">
        <v>1</v>
      </c>
      <c r="I2303">
        <v>0</v>
      </c>
      <c r="J2303">
        <v>0</v>
      </c>
      <c r="K2303" t="str">
        <f t="shared" si="415"/>
        <v>809</v>
      </c>
      <c r="L2303">
        <v>0</v>
      </c>
    </row>
    <row r="2304" spans="1:12" x14ac:dyDescent="0.25">
      <c r="A2304" t="str">
        <f t="shared" si="404"/>
        <v>89301000</v>
      </c>
      <c r="B2304" t="str">
        <f t="shared" si="416"/>
        <v>78915000</v>
      </c>
      <c r="C2304" t="str">
        <f t="shared" si="417"/>
        <v>78915001</v>
      </c>
      <c r="D2304">
        <v>89301112</v>
      </c>
      <c r="E2304" t="str">
        <f>"1208100190"</f>
        <v>1208100190</v>
      </c>
      <c r="F2304" s="1">
        <v>44999</v>
      </c>
      <c r="G2304" t="str">
        <f>"89713"</f>
        <v>89713</v>
      </c>
      <c r="H2304">
        <v>1</v>
      </c>
      <c r="I2304">
        <v>5411</v>
      </c>
      <c r="J2304">
        <v>0</v>
      </c>
      <c r="K2304" t="str">
        <f t="shared" si="415"/>
        <v>809</v>
      </c>
      <c r="L2304">
        <v>3517.15</v>
      </c>
    </row>
    <row r="2305" spans="1:12" x14ac:dyDescent="0.25">
      <c r="A2305" t="str">
        <f t="shared" si="404"/>
        <v>89301000</v>
      </c>
      <c r="B2305" t="str">
        <f t="shared" si="416"/>
        <v>78915000</v>
      </c>
      <c r="C2305" t="str">
        <f t="shared" si="417"/>
        <v>78915001</v>
      </c>
      <c r="D2305">
        <v>89301112</v>
      </c>
      <c r="E2305" t="str">
        <f>"460208443"</f>
        <v>460208443</v>
      </c>
      <c r="F2305" s="1">
        <v>44992</v>
      </c>
      <c r="G2305" t="str">
        <f>"89713"</f>
        <v>89713</v>
      </c>
      <c r="H2305">
        <v>1</v>
      </c>
      <c r="I2305">
        <v>5411</v>
      </c>
      <c r="J2305">
        <v>0</v>
      </c>
      <c r="K2305" t="str">
        <f t="shared" si="415"/>
        <v>809</v>
      </c>
      <c r="L2305">
        <v>3517.15</v>
      </c>
    </row>
    <row r="2306" spans="1:12" x14ac:dyDescent="0.25">
      <c r="A2306" t="str">
        <f t="shared" ref="A2306:A2369" si="418">"89301000"</f>
        <v>89301000</v>
      </c>
      <c r="B2306" t="str">
        <f t="shared" si="416"/>
        <v>78915000</v>
      </c>
      <c r="C2306" t="str">
        <f t="shared" si="417"/>
        <v>78915001</v>
      </c>
      <c r="D2306">
        <v>89301112</v>
      </c>
      <c r="E2306" t="str">
        <f>"460208443"</f>
        <v>460208443</v>
      </c>
      <c r="F2306" s="1">
        <v>44992</v>
      </c>
      <c r="G2306" t="str">
        <f>"89725"</f>
        <v>89725</v>
      </c>
      <c r="H2306">
        <v>1</v>
      </c>
      <c r="I2306">
        <v>2863</v>
      </c>
      <c r="J2306">
        <v>0</v>
      </c>
      <c r="K2306" t="str">
        <f t="shared" si="415"/>
        <v>809</v>
      </c>
      <c r="L2306">
        <v>1860.95</v>
      </c>
    </row>
    <row r="2307" spans="1:12" x14ac:dyDescent="0.25">
      <c r="A2307" t="str">
        <f t="shared" si="418"/>
        <v>89301000</v>
      </c>
      <c r="B2307" t="str">
        <f t="shared" si="416"/>
        <v>78915000</v>
      </c>
      <c r="C2307" t="str">
        <f t="shared" si="417"/>
        <v>78915001</v>
      </c>
      <c r="D2307">
        <v>89301212</v>
      </c>
      <c r="E2307" t="str">
        <f>"465612184"</f>
        <v>465612184</v>
      </c>
      <c r="F2307" s="1">
        <v>44996</v>
      </c>
      <c r="G2307" t="str">
        <f>"89715"</f>
        <v>89715</v>
      </c>
      <c r="H2307">
        <v>1</v>
      </c>
      <c r="I2307">
        <v>5523</v>
      </c>
      <c r="J2307">
        <v>0</v>
      </c>
      <c r="K2307" t="str">
        <f t="shared" si="415"/>
        <v>809</v>
      </c>
      <c r="L2307">
        <v>3589.95</v>
      </c>
    </row>
    <row r="2308" spans="1:12" x14ac:dyDescent="0.25">
      <c r="A2308" t="str">
        <f t="shared" si="418"/>
        <v>89301000</v>
      </c>
      <c r="B2308" t="str">
        <f t="shared" si="416"/>
        <v>78915000</v>
      </c>
      <c r="C2308" t="str">
        <f t="shared" si="417"/>
        <v>78915001</v>
      </c>
      <c r="D2308">
        <v>89301212</v>
      </c>
      <c r="E2308" t="str">
        <f>"465612184"</f>
        <v>465612184</v>
      </c>
      <c r="F2308" s="1">
        <v>44996</v>
      </c>
      <c r="G2308" t="str">
        <f>"89725"</f>
        <v>89725</v>
      </c>
      <c r="H2308">
        <v>1</v>
      </c>
      <c r="I2308">
        <v>2863</v>
      </c>
      <c r="J2308">
        <v>0</v>
      </c>
      <c r="K2308" t="str">
        <f t="shared" si="415"/>
        <v>809</v>
      </c>
      <c r="L2308">
        <v>1860.95</v>
      </c>
    </row>
    <row r="2309" spans="1:12" x14ac:dyDescent="0.25">
      <c r="A2309" t="str">
        <f t="shared" si="418"/>
        <v>89301000</v>
      </c>
      <c r="B2309" t="str">
        <f t="shared" si="416"/>
        <v>78915000</v>
      </c>
      <c r="C2309" t="str">
        <f t="shared" si="417"/>
        <v>78915001</v>
      </c>
      <c r="D2309">
        <v>89301212</v>
      </c>
      <c r="E2309" t="str">
        <f>"465612184"</f>
        <v>465612184</v>
      </c>
      <c r="F2309" s="1">
        <v>44996</v>
      </c>
      <c r="G2309" t="str">
        <f>"0207733"</f>
        <v>0207733</v>
      </c>
      <c r="H2309">
        <v>1</v>
      </c>
      <c r="J2309">
        <v>2590.5300000000002</v>
      </c>
      <c r="K2309" t="str">
        <f t="shared" si="415"/>
        <v>809</v>
      </c>
      <c r="L2309">
        <v>2590.5300000000002</v>
      </c>
    </row>
    <row r="2310" spans="1:12" x14ac:dyDescent="0.25">
      <c r="A2310" t="str">
        <f t="shared" si="418"/>
        <v>89301000</v>
      </c>
      <c r="B2310" t="str">
        <f t="shared" si="416"/>
        <v>78915000</v>
      </c>
      <c r="C2310" t="str">
        <f t="shared" si="417"/>
        <v>78915001</v>
      </c>
      <c r="D2310">
        <v>89301062</v>
      </c>
      <c r="E2310" t="str">
        <f>"521127211"</f>
        <v>521127211</v>
      </c>
      <c r="F2310" s="1">
        <v>44998</v>
      </c>
      <c r="G2310" t="str">
        <f>"89713"</f>
        <v>89713</v>
      </c>
      <c r="H2310">
        <v>1</v>
      </c>
      <c r="I2310">
        <v>5411</v>
      </c>
      <c r="J2310">
        <v>0</v>
      </c>
      <c r="K2310" t="str">
        <f t="shared" si="415"/>
        <v>809</v>
      </c>
      <c r="L2310">
        <v>3517.15</v>
      </c>
    </row>
    <row r="2311" spans="1:12" x14ac:dyDescent="0.25">
      <c r="A2311" t="str">
        <f t="shared" si="418"/>
        <v>89301000</v>
      </c>
      <c r="B2311" t="str">
        <f t="shared" si="416"/>
        <v>78915000</v>
      </c>
      <c r="C2311" t="str">
        <f t="shared" si="417"/>
        <v>78915001</v>
      </c>
      <c r="D2311">
        <v>89301062</v>
      </c>
      <c r="E2311" t="str">
        <f>"521127211"</f>
        <v>521127211</v>
      </c>
      <c r="F2311" s="1">
        <v>44998</v>
      </c>
      <c r="G2311" t="str">
        <f>"89725"</f>
        <v>89725</v>
      </c>
      <c r="H2311">
        <v>1</v>
      </c>
      <c r="I2311">
        <v>2863</v>
      </c>
      <c r="J2311">
        <v>0</v>
      </c>
      <c r="K2311" t="str">
        <f t="shared" si="415"/>
        <v>809</v>
      </c>
      <c r="L2311">
        <v>1860.95</v>
      </c>
    </row>
    <row r="2312" spans="1:12" x14ac:dyDescent="0.25">
      <c r="A2312" t="str">
        <f t="shared" si="418"/>
        <v>89301000</v>
      </c>
      <c r="B2312" t="str">
        <f t="shared" si="416"/>
        <v>78915000</v>
      </c>
      <c r="C2312" t="str">
        <f t="shared" si="417"/>
        <v>78915001</v>
      </c>
      <c r="D2312">
        <v>89301062</v>
      </c>
      <c r="E2312" t="str">
        <f>"5755302377"</f>
        <v>5755302377</v>
      </c>
      <c r="F2312" s="1">
        <v>44991</v>
      </c>
      <c r="G2312" t="str">
        <f>"89713"</f>
        <v>89713</v>
      </c>
      <c r="H2312">
        <v>1</v>
      </c>
      <c r="I2312">
        <v>5411</v>
      </c>
      <c r="J2312">
        <v>0</v>
      </c>
      <c r="K2312" t="str">
        <f t="shared" si="415"/>
        <v>809</v>
      </c>
      <c r="L2312">
        <v>3517.15</v>
      </c>
    </row>
    <row r="2313" spans="1:12" x14ac:dyDescent="0.25">
      <c r="A2313" t="str">
        <f t="shared" si="418"/>
        <v>89301000</v>
      </c>
      <c r="B2313" t="str">
        <f t="shared" si="416"/>
        <v>78915000</v>
      </c>
      <c r="C2313" t="str">
        <f t="shared" si="417"/>
        <v>78915001</v>
      </c>
      <c r="D2313">
        <v>89301062</v>
      </c>
      <c r="E2313" t="str">
        <f>"5755302377"</f>
        <v>5755302377</v>
      </c>
      <c r="F2313" s="1">
        <v>44991</v>
      </c>
      <c r="G2313" t="str">
        <f>"89725"</f>
        <v>89725</v>
      </c>
      <c r="H2313">
        <v>1</v>
      </c>
      <c r="I2313">
        <v>2863</v>
      </c>
      <c r="J2313">
        <v>0</v>
      </c>
      <c r="K2313" t="str">
        <f t="shared" si="415"/>
        <v>809</v>
      </c>
      <c r="L2313">
        <v>1860.95</v>
      </c>
    </row>
    <row r="2314" spans="1:12" x14ac:dyDescent="0.25">
      <c r="A2314" t="str">
        <f t="shared" si="418"/>
        <v>89301000</v>
      </c>
      <c r="B2314" t="str">
        <f t="shared" si="416"/>
        <v>78915000</v>
      </c>
      <c r="C2314" t="str">
        <f t="shared" si="417"/>
        <v>78915001</v>
      </c>
      <c r="D2314">
        <v>89301112</v>
      </c>
      <c r="E2314" t="str">
        <f>"5803240784"</f>
        <v>5803240784</v>
      </c>
      <c r="F2314" s="1">
        <v>45013</v>
      </c>
      <c r="G2314" t="str">
        <f>"09569"</f>
        <v>09569</v>
      </c>
      <c r="H2314">
        <v>1</v>
      </c>
      <c r="I2314">
        <v>0</v>
      </c>
      <c r="J2314">
        <v>0</v>
      </c>
      <c r="K2314" t="str">
        <f t="shared" si="415"/>
        <v>809</v>
      </c>
      <c r="L2314">
        <v>0</v>
      </c>
    </row>
    <row r="2315" spans="1:12" x14ac:dyDescent="0.25">
      <c r="A2315" t="str">
        <f t="shared" si="418"/>
        <v>89301000</v>
      </c>
      <c r="B2315" t="str">
        <f t="shared" si="416"/>
        <v>78915000</v>
      </c>
      <c r="C2315" t="str">
        <f t="shared" si="417"/>
        <v>78915001</v>
      </c>
      <c r="D2315">
        <v>89301112</v>
      </c>
      <c r="E2315" t="str">
        <f>"5803240784"</f>
        <v>5803240784</v>
      </c>
      <c r="F2315" s="1">
        <v>45013</v>
      </c>
      <c r="G2315" t="str">
        <f>"89713"</f>
        <v>89713</v>
      </c>
      <c r="H2315">
        <v>1</v>
      </c>
      <c r="I2315">
        <v>5411</v>
      </c>
      <c r="J2315">
        <v>0</v>
      </c>
      <c r="K2315" t="str">
        <f t="shared" si="415"/>
        <v>809</v>
      </c>
      <c r="L2315">
        <v>3517.15</v>
      </c>
    </row>
    <row r="2316" spans="1:12" x14ac:dyDescent="0.25">
      <c r="A2316" t="str">
        <f t="shared" si="418"/>
        <v>89301000</v>
      </c>
      <c r="B2316" t="str">
        <f t="shared" si="416"/>
        <v>78915000</v>
      </c>
      <c r="C2316" t="str">
        <f t="shared" si="417"/>
        <v>78915001</v>
      </c>
      <c r="D2316">
        <v>89301062</v>
      </c>
      <c r="E2316" t="str">
        <f>"5901311251"</f>
        <v>5901311251</v>
      </c>
      <c r="F2316" s="1">
        <v>45005</v>
      </c>
      <c r="G2316" t="str">
        <f>"89713"</f>
        <v>89713</v>
      </c>
      <c r="H2316">
        <v>1</v>
      </c>
      <c r="I2316">
        <v>5411</v>
      </c>
      <c r="J2316">
        <v>0</v>
      </c>
      <c r="K2316" t="str">
        <f t="shared" si="415"/>
        <v>809</v>
      </c>
      <c r="L2316">
        <v>3517.15</v>
      </c>
    </row>
    <row r="2317" spans="1:12" x14ac:dyDescent="0.25">
      <c r="A2317" t="str">
        <f t="shared" si="418"/>
        <v>89301000</v>
      </c>
      <c r="B2317" t="str">
        <f t="shared" si="416"/>
        <v>78915000</v>
      </c>
      <c r="C2317" t="str">
        <f t="shared" si="417"/>
        <v>78915001</v>
      </c>
      <c r="D2317">
        <v>89301062</v>
      </c>
      <c r="E2317" t="str">
        <f>"5901311251"</f>
        <v>5901311251</v>
      </c>
      <c r="F2317" s="1">
        <v>45005</v>
      </c>
      <c r="G2317" t="str">
        <f>"89725"</f>
        <v>89725</v>
      </c>
      <c r="H2317">
        <v>1</v>
      </c>
      <c r="I2317">
        <v>2863</v>
      </c>
      <c r="J2317">
        <v>0</v>
      </c>
      <c r="K2317" t="str">
        <f t="shared" si="415"/>
        <v>809</v>
      </c>
      <c r="L2317">
        <v>1860.95</v>
      </c>
    </row>
    <row r="2318" spans="1:12" x14ac:dyDescent="0.25">
      <c r="A2318" t="str">
        <f t="shared" si="418"/>
        <v>89301000</v>
      </c>
      <c r="B2318" t="str">
        <f t="shared" si="416"/>
        <v>78915000</v>
      </c>
      <c r="C2318" t="str">
        <f t="shared" si="417"/>
        <v>78915001</v>
      </c>
      <c r="D2318">
        <v>89301062</v>
      </c>
      <c r="E2318" t="str">
        <f>"5901311251"</f>
        <v>5901311251</v>
      </c>
      <c r="F2318" s="1">
        <v>45005</v>
      </c>
      <c r="G2318" t="str">
        <f>"0207733"</f>
        <v>0207733</v>
      </c>
      <c r="H2318">
        <v>1</v>
      </c>
      <c r="J2318">
        <v>2590.5300000000002</v>
      </c>
      <c r="K2318" t="str">
        <f t="shared" si="415"/>
        <v>809</v>
      </c>
      <c r="L2318">
        <v>2590.5300000000002</v>
      </c>
    </row>
    <row r="2319" spans="1:12" x14ac:dyDescent="0.25">
      <c r="A2319" t="str">
        <f t="shared" si="418"/>
        <v>89301000</v>
      </c>
      <c r="B2319" t="str">
        <f t="shared" si="416"/>
        <v>78915000</v>
      </c>
      <c r="C2319" t="str">
        <f t="shared" si="417"/>
        <v>78915001</v>
      </c>
      <c r="D2319">
        <v>89301112</v>
      </c>
      <c r="E2319" t="str">
        <f>"5961251296"</f>
        <v>5961251296</v>
      </c>
      <c r="F2319" s="1">
        <v>45000</v>
      </c>
      <c r="G2319" t="str">
        <f>"09567"</f>
        <v>09567</v>
      </c>
      <c r="H2319">
        <v>1</v>
      </c>
      <c r="I2319">
        <v>0</v>
      </c>
      <c r="J2319">
        <v>0</v>
      </c>
      <c r="K2319" t="str">
        <f t="shared" ref="K2319:K2350" si="419">"809"</f>
        <v>809</v>
      </c>
      <c r="L2319">
        <v>0</v>
      </c>
    </row>
    <row r="2320" spans="1:12" x14ac:dyDescent="0.25">
      <c r="A2320" t="str">
        <f t="shared" si="418"/>
        <v>89301000</v>
      </c>
      <c r="B2320" t="str">
        <f t="shared" si="416"/>
        <v>78915000</v>
      </c>
      <c r="C2320" t="str">
        <f t="shared" si="417"/>
        <v>78915001</v>
      </c>
      <c r="D2320">
        <v>89301112</v>
      </c>
      <c r="E2320" t="str">
        <f>"5961251296"</f>
        <v>5961251296</v>
      </c>
      <c r="F2320" s="1">
        <v>45000</v>
      </c>
      <c r="G2320" t="str">
        <f>"89713"</f>
        <v>89713</v>
      </c>
      <c r="H2320">
        <v>1</v>
      </c>
      <c r="I2320">
        <v>5411</v>
      </c>
      <c r="J2320">
        <v>0</v>
      </c>
      <c r="K2320" t="str">
        <f t="shared" si="419"/>
        <v>809</v>
      </c>
      <c r="L2320">
        <v>3517.15</v>
      </c>
    </row>
    <row r="2321" spans="1:12" x14ac:dyDescent="0.25">
      <c r="A2321" t="str">
        <f t="shared" si="418"/>
        <v>89301000</v>
      </c>
      <c r="B2321" t="str">
        <f t="shared" si="416"/>
        <v>78915000</v>
      </c>
      <c r="C2321" t="str">
        <f t="shared" si="417"/>
        <v>78915001</v>
      </c>
      <c r="D2321">
        <v>89301062</v>
      </c>
      <c r="E2321" t="str">
        <f>"6210290944"</f>
        <v>6210290944</v>
      </c>
      <c r="F2321" s="1">
        <v>45002</v>
      </c>
      <c r="G2321" t="str">
        <f>"89713"</f>
        <v>89713</v>
      </c>
      <c r="H2321">
        <v>1</v>
      </c>
      <c r="I2321">
        <v>5411</v>
      </c>
      <c r="J2321">
        <v>0</v>
      </c>
      <c r="K2321" t="str">
        <f t="shared" si="419"/>
        <v>809</v>
      </c>
      <c r="L2321">
        <v>3517.15</v>
      </c>
    </row>
    <row r="2322" spans="1:12" x14ac:dyDescent="0.25">
      <c r="A2322" t="str">
        <f t="shared" si="418"/>
        <v>89301000</v>
      </c>
      <c r="B2322" t="str">
        <f t="shared" ref="B2322:B2353" si="420">"78915000"</f>
        <v>78915000</v>
      </c>
      <c r="C2322" t="str">
        <f t="shared" ref="C2322:C2353" si="421">"78915001"</f>
        <v>78915001</v>
      </c>
      <c r="D2322">
        <v>89301062</v>
      </c>
      <c r="E2322" t="str">
        <f>"6210290944"</f>
        <v>6210290944</v>
      </c>
      <c r="F2322" s="1">
        <v>45002</v>
      </c>
      <c r="G2322" t="str">
        <f>"89725"</f>
        <v>89725</v>
      </c>
      <c r="H2322">
        <v>1</v>
      </c>
      <c r="I2322">
        <v>2863</v>
      </c>
      <c r="J2322">
        <v>0</v>
      </c>
      <c r="K2322" t="str">
        <f t="shared" si="419"/>
        <v>809</v>
      </c>
      <c r="L2322">
        <v>1860.95</v>
      </c>
    </row>
    <row r="2323" spans="1:12" x14ac:dyDescent="0.25">
      <c r="A2323" t="str">
        <f t="shared" si="418"/>
        <v>89301000</v>
      </c>
      <c r="B2323" t="str">
        <f t="shared" si="420"/>
        <v>78915000</v>
      </c>
      <c r="C2323" t="str">
        <f t="shared" si="421"/>
        <v>78915001</v>
      </c>
      <c r="D2323">
        <v>89301062</v>
      </c>
      <c r="E2323" t="str">
        <f>"6255020442"</f>
        <v>6255020442</v>
      </c>
      <c r="F2323" s="1">
        <v>44994</v>
      </c>
      <c r="G2323" t="str">
        <f>"89713"</f>
        <v>89713</v>
      </c>
      <c r="H2323">
        <v>1</v>
      </c>
      <c r="I2323">
        <v>5411</v>
      </c>
      <c r="J2323">
        <v>0</v>
      </c>
      <c r="K2323" t="str">
        <f t="shared" si="419"/>
        <v>809</v>
      </c>
      <c r="L2323">
        <v>3517.15</v>
      </c>
    </row>
    <row r="2324" spans="1:12" x14ac:dyDescent="0.25">
      <c r="A2324" t="str">
        <f t="shared" si="418"/>
        <v>89301000</v>
      </c>
      <c r="B2324" t="str">
        <f t="shared" si="420"/>
        <v>78915000</v>
      </c>
      <c r="C2324" t="str">
        <f t="shared" si="421"/>
        <v>78915001</v>
      </c>
      <c r="D2324">
        <v>89301062</v>
      </c>
      <c r="E2324" t="str">
        <f>"6255020442"</f>
        <v>6255020442</v>
      </c>
      <c r="F2324" s="1">
        <v>44994</v>
      </c>
      <c r="G2324" t="str">
        <f>"89725"</f>
        <v>89725</v>
      </c>
      <c r="H2324">
        <v>1</v>
      </c>
      <c r="I2324">
        <v>2863</v>
      </c>
      <c r="J2324">
        <v>0</v>
      </c>
      <c r="K2324" t="str">
        <f t="shared" si="419"/>
        <v>809</v>
      </c>
      <c r="L2324">
        <v>1860.95</v>
      </c>
    </row>
    <row r="2325" spans="1:12" x14ac:dyDescent="0.25">
      <c r="A2325" t="str">
        <f t="shared" si="418"/>
        <v>89301000</v>
      </c>
      <c r="B2325" t="str">
        <f t="shared" si="420"/>
        <v>78915000</v>
      </c>
      <c r="C2325" t="str">
        <f t="shared" si="421"/>
        <v>78915001</v>
      </c>
      <c r="D2325">
        <v>89301172</v>
      </c>
      <c r="E2325" t="str">
        <f>"6307170078"</f>
        <v>6307170078</v>
      </c>
      <c r="F2325" s="1">
        <v>45013</v>
      </c>
      <c r="G2325" t="str">
        <f>"89713"</f>
        <v>89713</v>
      </c>
      <c r="H2325">
        <v>1</v>
      </c>
      <c r="I2325">
        <v>5411</v>
      </c>
      <c r="J2325">
        <v>0</v>
      </c>
      <c r="K2325" t="str">
        <f t="shared" si="419"/>
        <v>809</v>
      </c>
      <c r="L2325">
        <v>3517.15</v>
      </c>
    </row>
    <row r="2326" spans="1:12" x14ac:dyDescent="0.25">
      <c r="A2326" t="str">
        <f t="shared" si="418"/>
        <v>89301000</v>
      </c>
      <c r="B2326" t="str">
        <f t="shared" si="420"/>
        <v>78915000</v>
      </c>
      <c r="C2326" t="str">
        <f t="shared" si="421"/>
        <v>78915001</v>
      </c>
      <c r="D2326">
        <v>89301172</v>
      </c>
      <c r="E2326" t="str">
        <f>"6307170078"</f>
        <v>6307170078</v>
      </c>
      <c r="F2326" s="1">
        <v>45013</v>
      </c>
      <c r="G2326" t="str">
        <f>"89725"</f>
        <v>89725</v>
      </c>
      <c r="H2326">
        <v>1</v>
      </c>
      <c r="I2326">
        <v>2863</v>
      </c>
      <c r="J2326">
        <v>0</v>
      </c>
      <c r="K2326" t="str">
        <f t="shared" si="419"/>
        <v>809</v>
      </c>
      <c r="L2326">
        <v>1860.95</v>
      </c>
    </row>
    <row r="2327" spans="1:12" x14ac:dyDescent="0.25">
      <c r="A2327" t="str">
        <f t="shared" si="418"/>
        <v>89301000</v>
      </c>
      <c r="B2327" t="str">
        <f t="shared" si="420"/>
        <v>78915000</v>
      </c>
      <c r="C2327" t="str">
        <f t="shared" si="421"/>
        <v>78915001</v>
      </c>
      <c r="D2327">
        <v>89301171</v>
      </c>
      <c r="E2327" t="str">
        <f>"6359112034"</f>
        <v>6359112034</v>
      </c>
      <c r="F2327" s="1">
        <v>44994</v>
      </c>
      <c r="G2327" t="str">
        <f>"89713"</f>
        <v>89713</v>
      </c>
      <c r="H2327">
        <v>1</v>
      </c>
      <c r="I2327">
        <v>5411</v>
      </c>
      <c r="J2327">
        <v>0</v>
      </c>
      <c r="K2327" t="str">
        <f t="shared" si="419"/>
        <v>809</v>
      </c>
      <c r="L2327">
        <v>3517.15</v>
      </c>
    </row>
    <row r="2328" spans="1:12" x14ac:dyDescent="0.25">
      <c r="A2328" t="str">
        <f t="shared" si="418"/>
        <v>89301000</v>
      </c>
      <c r="B2328" t="str">
        <f t="shared" si="420"/>
        <v>78915000</v>
      </c>
      <c r="C2328" t="str">
        <f t="shared" si="421"/>
        <v>78915001</v>
      </c>
      <c r="D2328">
        <v>89301171</v>
      </c>
      <c r="E2328" t="str">
        <f>"6359112034"</f>
        <v>6359112034</v>
      </c>
      <c r="F2328" s="1">
        <v>44994</v>
      </c>
      <c r="G2328" t="str">
        <f>"89723"</f>
        <v>89723</v>
      </c>
      <c r="H2328">
        <v>1</v>
      </c>
      <c r="I2328">
        <v>5940</v>
      </c>
      <c r="J2328">
        <v>0</v>
      </c>
      <c r="K2328" t="str">
        <f t="shared" si="419"/>
        <v>809</v>
      </c>
      <c r="L2328">
        <v>3861</v>
      </c>
    </row>
    <row r="2329" spans="1:12" x14ac:dyDescent="0.25">
      <c r="A2329" t="str">
        <f t="shared" si="418"/>
        <v>89301000</v>
      </c>
      <c r="B2329" t="str">
        <f t="shared" si="420"/>
        <v>78915000</v>
      </c>
      <c r="C2329" t="str">
        <f t="shared" si="421"/>
        <v>78915001</v>
      </c>
      <c r="D2329">
        <v>89301171</v>
      </c>
      <c r="E2329" t="str">
        <f>"6359112034"</f>
        <v>6359112034</v>
      </c>
      <c r="F2329" s="1">
        <v>44994</v>
      </c>
      <c r="G2329" t="str">
        <f>"89725"</f>
        <v>89725</v>
      </c>
      <c r="H2329">
        <v>1</v>
      </c>
      <c r="I2329">
        <v>2863</v>
      </c>
      <c r="J2329">
        <v>0</v>
      </c>
      <c r="K2329" t="str">
        <f t="shared" si="419"/>
        <v>809</v>
      </c>
      <c r="L2329">
        <v>1860.95</v>
      </c>
    </row>
    <row r="2330" spans="1:12" x14ac:dyDescent="0.25">
      <c r="A2330" t="str">
        <f t="shared" si="418"/>
        <v>89301000</v>
      </c>
      <c r="B2330" t="str">
        <f t="shared" si="420"/>
        <v>78915000</v>
      </c>
      <c r="C2330" t="str">
        <f t="shared" si="421"/>
        <v>78915001</v>
      </c>
      <c r="D2330">
        <v>89301171</v>
      </c>
      <c r="E2330" t="str">
        <f>"6359112034"</f>
        <v>6359112034</v>
      </c>
      <c r="F2330" s="1">
        <v>44994</v>
      </c>
      <c r="G2330" t="str">
        <f>"0207733"</f>
        <v>0207733</v>
      </c>
      <c r="H2330">
        <v>1</v>
      </c>
      <c r="J2330">
        <v>2590.5300000000002</v>
      </c>
      <c r="K2330" t="str">
        <f t="shared" si="419"/>
        <v>809</v>
      </c>
      <c r="L2330">
        <v>2590.5300000000002</v>
      </c>
    </row>
    <row r="2331" spans="1:12" x14ac:dyDescent="0.25">
      <c r="A2331" t="str">
        <f t="shared" si="418"/>
        <v>89301000</v>
      </c>
      <c r="B2331" t="str">
        <f t="shared" si="420"/>
        <v>78915000</v>
      </c>
      <c r="C2331" t="str">
        <f t="shared" si="421"/>
        <v>78915001</v>
      </c>
      <c r="D2331">
        <v>89301062</v>
      </c>
      <c r="E2331" t="str">
        <f>"6459281994"</f>
        <v>6459281994</v>
      </c>
      <c r="F2331" s="1">
        <v>45003</v>
      </c>
      <c r="G2331" t="str">
        <f>"89713"</f>
        <v>89713</v>
      </c>
      <c r="H2331">
        <v>1</v>
      </c>
      <c r="I2331">
        <v>5411</v>
      </c>
      <c r="J2331">
        <v>0</v>
      </c>
      <c r="K2331" t="str">
        <f t="shared" si="419"/>
        <v>809</v>
      </c>
      <c r="L2331">
        <v>3517.15</v>
      </c>
    </row>
    <row r="2332" spans="1:12" x14ac:dyDescent="0.25">
      <c r="A2332" t="str">
        <f t="shared" si="418"/>
        <v>89301000</v>
      </c>
      <c r="B2332" t="str">
        <f t="shared" si="420"/>
        <v>78915000</v>
      </c>
      <c r="C2332" t="str">
        <f t="shared" si="421"/>
        <v>78915001</v>
      </c>
      <c r="D2332">
        <v>89301062</v>
      </c>
      <c r="E2332" t="str">
        <f>"6459281994"</f>
        <v>6459281994</v>
      </c>
      <c r="F2332" s="1">
        <v>45003</v>
      </c>
      <c r="G2332" t="str">
        <f>"89725"</f>
        <v>89725</v>
      </c>
      <c r="H2332">
        <v>1</v>
      </c>
      <c r="I2332">
        <v>2863</v>
      </c>
      <c r="J2332">
        <v>0</v>
      </c>
      <c r="K2332" t="str">
        <f t="shared" si="419"/>
        <v>809</v>
      </c>
      <c r="L2332">
        <v>1860.95</v>
      </c>
    </row>
    <row r="2333" spans="1:12" x14ac:dyDescent="0.25">
      <c r="A2333" t="str">
        <f t="shared" si="418"/>
        <v>89301000</v>
      </c>
      <c r="B2333" t="str">
        <f t="shared" si="420"/>
        <v>78915000</v>
      </c>
      <c r="C2333" t="str">
        <f t="shared" si="421"/>
        <v>78915001</v>
      </c>
      <c r="D2333">
        <v>89301028</v>
      </c>
      <c r="E2333" t="str">
        <f>"6653151824"</f>
        <v>6653151824</v>
      </c>
      <c r="F2333" s="1">
        <v>44994</v>
      </c>
      <c r="G2333" t="str">
        <f>"89715"</f>
        <v>89715</v>
      </c>
      <c r="H2333">
        <v>1</v>
      </c>
      <c r="I2333">
        <v>5523</v>
      </c>
      <c r="J2333">
        <v>0</v>
      </c>
      <c r="K2333" t="str">
        <f t="shared" si="419"/>
        <v>809</v>
      </c>
      <c r="L2333">
        <v>3589.95</v>
      </c>
    </row>
    <row r="2334" spans="1:12" x14ac:dyDescent="0.25">
      <c r="A2334" t="str">
        <f t="shared" si="418"/>
        <v>89301000</v>
      </c>
      <c r="B2334" t="str">
        <f t="shared" si="420"/>
        <v>78915000</v>
      </c>
      <c r="C2334" t="str">
        <f t="shared" si="421"/>
        <v>78915001</v>
      </c>
      <c r="D2334">
        <v>89301028</v>
      </c>
      <c r="E2334" t="str">
        <f>"6653151824"</f>
        <v>6653151824</v>
      </c>
      <c r="F2334" s="1">
        <v>44994</v>
      </c>
      <c r="G2334" t="str">
        <f>"89725"</f>
        <v>89725</v>
      </c>
      <c r="H2334">
        <v>1</v>
      </c>
      <c r="I2334">
        <v>2863</v>
      </c>
      <c r="J2334">
        <v>0</v>
      </c>
      <c r="K2334" t="str">
        <f t="shared" si="419"/>
        <v>809</v>
      </c>
      <c r="L2334">
        <v>1860.95</v>
      </c>
    </row>
    <row r="2335" spans="1:12" x14ac:dyDescent="0.25">
      <c r="A2335" t="str">
        <f t="shared" si="418"/>
        <v>89301000</v>
      </c>
      <c r="B2335" t="str">
        <f t="shared" si="420"/>
        <v>78915000</v>
      </c>
      <c r="C2335" t="str">
        <f t="shared" si="421"/>
        <v>78915001</v>
      </c>
      <c r="D2335">
        <v>89301012</v>
      </c>
      <c r="E2335" t="str">
        <f>"6852220342"</f>
        <v>6852220342</v>
      </c>
      <c r="F2335" s="1">
        <v>45002</v>
      </c>
      <c r="G2335" t="str">
        <f>"89713"</f>
        <v>89713</v>
      </c>
      <c r="H2335">
        <v>1</v>
      </c>
      <c r="I2335">
        <v>5411</v>
      </c>
      <c r="J2335">
        <v>0</v>
      </c>
      <c r="K2335" t="str">
        <f t="shared" si="419"/>
        <v>809</v>
      </c>
      <c r="L2335">
        <v>3517.15</v>
      </c>
    </row>
    <row r="2336" spans="1:12" x14ac:dyDescent="0.25">
      <c r="A2336" t="str">
        <f t="shared" si="418"/>
        <v>89301000</v>
      </c>
      <c r="B2336" t="str">
        <f t="shared" si="420"/>
        <v>78915000</v>
      </c>
      <c r="C2336" t="str">
        <f t="shared" si="421"/>
        <v>78915001</v>
      </c>
      <c r="D2336">
        <v>89301012</v>
      </c>
      <c r="E2336" t="str">
        <f>"6852220342"</f>
        <v>6852220342</v>
      </c>
      <c r="F2336" s="1">
        <v>45002</v>
      </c>
      <c r="G2336" t="str">
        <f>"89725"</f>
        <v>89725</v>
      </c>
      <c r="H2336">
        <v>1</v>
      </c>
      <c r="I2336">
        <v>2863</v>
      </c>
      <c r="J2336">
        <v>0</v>
      </c>
      <c r="K2336" t="str">
        <f t="shared" si="419"/>
        <v>809</v>
      </c>
      <c r="L2336">
        <v>1860.95</v>
      </c>
    </row>
    <row r="2337" spans="1:12" x14ac:dyDescent="0.25">
      <c r="A2337" t="str">
        <f t="shared" si="418"/>
        <v>89301000</v>
      </c>
      <c r="B2337" t="str">
        <f t="shared" si="420"/>
        <v>78915000</v>
      </c>
      <c r="C2337" t="str">
        <f t="shared" si="421"/>
        <v>78915001</v>
      </c>
      <c r="D2337">
        <v>89301112</v>
      </c>
      <c r="E2337" t="str">
        <f>"7304214962"</f>
        <v>7304214962</v>
      </c>
      <c r="F2337" s="1">
        <v>45000</v>
      </c>
      <c r="G2337" t="str">
        <f>"09569"</f>
        <v>09569</v>
      </c>
      <c r="H2337">
        <v>1</v>
      </c>
      <c r="I2337">
        <v>0</v>
      </c>
      <c r="J2337">
        <v>0</v>
      </c>
      <c r="K2337" t="str">
        <f t="shared" si="419"/>
        <v>809</v>
      </c>
      <c r="L2337">
        <v>0</v>
      </c>
    </row>
    <row r="2338" spans="1:12" x14ac:dyDescent="0.25">
      <c r="A2338" t="str">
        <f t="shared" si="418"/>
        <v>89301000</v>
      </c>
      <c r="B2338" t="str">
        <f t="shared" si="420"/>
        <v>78915000</v>
      </c>
      <c r="C2338" t="str">
        <f t="shared" si="421"/>
        <v>78915001</v>
      </c>
      <c r="D2338">
        <v>89301112</v>
      </c>
      <c r="E2338" t="str">
        <f>"7304214962"</f>
        <v>7304214962</v>
      </c>
      <c r="F2338" s="1">
        <v>45000</v>
      </c>
      <c r="G2338" t="str">
        <f>"89713"</f>
        <v>89713</v>
      </c>
      <c r="H2338">
        <v>1</v>
      </c>
      <c r="I2338">
        <v>5411</v>
      </c>
      <c r="J2338">
        <v>0</v>
      </c>
      <c r="K2338" t="str">
        <f t="shared" si="419"/>
        <v>809</v>
      </c>
      <c r="L2338">
        <v>3517.15</v>
      </c>
    </row>
    <row r="2339" spans="1:12" x14ac:dyDescent="0.25">
      <c r="A2339" t="str">
        <f t="shared" si="418"/>
        <v>89301000</v>
      </c>
      <c r="B2339" t="str">
        <f t="shared" si="420"/>
        <v>78915000</v>
      </c>
      <c r="C2339" t="str">
        <f t="shared" si="421"/>
        <v>78915001</v>
      </c>
      <c r="D2339">
        <v>89301312</v>
      </c>
      <c r="E2339" t="str">
        <f>"7312115085"</f>
        <v>7312115085</v>
      </c>
      <c r="F2339" s="1">
        <v>44988</v>
      </c>
      <c r="G2339" t="str">
        <f>"09567"</f>
        <v>09567</v>
      </c>
      <c r="H2339">
        <v>1</v>
      </c>
      <c r="I2339">
        <v>0</v>
      </c>
      <c r="J2339">
        <v>0</v>
      </c>
      <c r="K2339" t="str">
        <f t="shared" si="419"/>
        <v>809</v>
      </c>
      <c r="L2339">
        <v>0</v>
      </c>
    </row>
    <row r="2340" spans="1:12" x14ac:dyDescent="0.25">
      <c r="A2340" t="str">
        <f t="shared" si="418"/>
        <v>89301000</v>
      </c>
      <c r="B2340" t="str">
        <f t="shared" si="420"/>
        <v>78915000</v>
      </c>
      <c r="C2340" t="str">
        <f t="shared" si="421"/>
        <v>78915001</v>
      </c>
      <c r="D2340">
        <v>89301312</v>
      </c>
      <c r="E2340" t="str">
        <f>"7312115085"</f>
        <v>7312115085</v>
      </c>
      <c r="F2340" s="1">
        <v>44988</v>
      </c>
      <c r="G2340" t="str">
        <f>"89713"</f>
        <v>89713</v>
      </c>
      <c r="H2340">
        <v>1</v>
      </c>
      <c r="I2340">
        <v>5411</v>
      </c>
      <c r="J2340">
        <v>0</v>
      </c>
      <c r="K2340" t="str">
        <f t="shared" si="419"/>
        <v>809</v>
      </c>
      <c r="L2340">
        <v>3517.15</v>
      </c>
    </row>
    <row r="2341" spans="1:12" x14ac:dyDescent="0.25">
      <c r="A2341" t="str">
        <f t="shared" si="418"/>
        <v>89301000</v>
      </c>
      <c r="B2341" t="str">
        <f t="shared" si="420"/>
        <v>78915000</v>
      </c>
      <c r="C2341" t="str">
        <f t="shared" si="421"/>
        <v>78915001</v>
      </c>
      <c r="D2341">
        <v>89301212</v>
      </c>
      <c r="E2341" t="str">
        <f>"7554275696"</f>
        <v>7554275696</v>
      </c>
      <c r="F2341" s="1">
        <v>45007</v>
      </c>
      <c r="G2341" t="str">
        <f>"89715"</f>
        <v>89715</v>
      </c>
      <c r="H2341">
        <v>1</v>
      </c>
      <c r="I2341">
        <v>5523</v>
      </c>
      <c r="J2341">
        <v>0</v>
      </c>
      <c r="K2341" t="str">
        <f t="shared" si="419"/>
        <v>809</v>
      </c>
      <c r="L2341">
        <v>3589.95</v>
      </c>
    </row>
    <row r="2342" spans="1:12" x14ac:dyDescent="0.25">
      <c r="A2342" t="str">
        <f t="shared" si="418"/>
        <v>89301000</v>
      </c>
      <c r="B2342" t="str">
        <f t="shared" si="420"/>
        <v>78915000</v>
      </c>
      <c r="C2342" t="str">
        <f t="shared" si="421"/>
        <v>78915001</v>
      </c>
      <c r="D2342">
        <v>89301212</v>
      </c>
      <c r="E2342" t="str">
        <f>"7554275696"</f>
        <v>7554275696</v>
      </c>
      <c r="F2342" s="1">
        <v>45007</v>
      </c>
      <c r="G2342" t="str">
        <f>"89725"</f>
        <v>89725</v>
      </c>
      <c r="H2342">
        <v>1</v>
      </c>
      <c r="I2342">
        <v>2863</v>
      </c>
      <c r="J2342">
        <v>0</v>
      </c>
      <c r="K2342" t="str">
        <f t="shared" si="419"/>
        <v>809</v>
      </c>
      <c r="L2342">
        <v>1860.95</v>
      </c>
    </row>
    <row r="2343" spans="1:12" x14ac:dyDescent="0.25">
      <c r="A2343" t="str">
        <f t="shared" si="418"/>
        <v>89301000</v>
      </c>
      <c r="B2343" t="str">
        <f t="shared" si="420"/>
        <v>78915000</v>
      </c>
      <c r="C2343" t="str">
        <f t="shared" si="421"/>
        <v>78915001</v>
      </c>
      <c r="D2343">
        <v>89301212</v>
      </c>
      <c r="E2343" t="str">
        <f>"7554275696"</f>
        <v>7554275696</v>
      </c>
      <c r="F2343" s="1">
        <v>45007</v>
      </c>
      <c r="G2343" t="str">
        <f>"0207733"</f>
        <v>0207733</v>
      </c>
      <c r="H2343">
        <v>1</v>
      </c>
      <c r="J2343">
        <v>2590.5300000000002</v>
      </c>
      <c r="K2343" t="str">
        <f t="shared" si="419"/>
        <v>809</v>
      </c>
      <c r="L2343">
        <v>2590.5300000000002</v>
      </c>
    </row>
    <row r="2344" spans="1:12" x14ac:dyDescent="0.25">
      <c r="A2344" t="str">
        <f t="shared" si="418"/>
        <v>89301000</v>
      </c>
      <c r="B2344" t="str">
        <f t="shared" si="420"/>
        <v>78915000</v>
      </c>
      <c r="C2344" t="str">
        <f t="shared" si="421"/>
        <v>78915001</v>
      </c>
      <c r="D2344">
        <v>89301172</v>
      </c>
      <c r="E2344" t="str">
        <f>"7555124456"</f>
        <v>7555124456</v>
      </c>
      <c r="F2344" s="1">
        <v>44986</v>
      </c>
      <c r="G2344" t="str">
        <f>"89713"</f>
        <v>89713</v>
      </c>
      <c r="H2344">
        <v>1</v>
      </c>
      <c r="I2344">
        <v>5411</v>
      </c>
      <c r="J2344">
        <v>0</v>
      </c>
      <c r="K2344" t="str">
        <f t="shared" si="419"/>
        <v>809</v>
      </c>
      <c r="L2344">
        <v>3517.15</v>
      </c>
    </row>
    <row r="2345" spans="1:12" x14ac:dyDescent="0.25">
      <c r="A2345" t="str">
        <f t="shared" si="418"/>
        <v>89301000</v>
      </c>
      <c r="B2345" t="str">
        <f t="shared" si="420"/>
        <v>78915000</v>
      </c>
      <c r="C2345" t="str">
        <f t="shared" si="421"/>
        <v>78915001</v>
      </c>
      <c r="D2345">
        <v>89301172</v>
      </c>
      <c r="E2345" t="str">
        <f>"7555124456"</f>
        <v>7555124456</v>
      </c>
      <c r="F2345" s="1">
        <v>44986</v>
      </c>
      <c r="G2345" t="str">
        <f>"89725"</f>
        <v>89725</v>
      </c>
      <c r="H2345">
        <v>1</v>
      </c>
      <c r="I2345">
        <v>2863</v>
      </c>
      <c r="J2345">
        <v>0</v>
      </c>
      <c r="K2345" t="str">
        <f t="shared" si="419"/>
        <v>809</v>
      </c>
      <c r="L2345">
        <v>1860.95</v>
      </c>
    </row>
    <row r="2346" spans="1:12" x14ac:dyDescent="0.25">
      <c r="A2346" t="str">
        <f t="shared" si="418"/>
        <v>89301000</v>
      </c>
      <c r="B2346" t="str">
        <f t="shared" si="420"/>
        <v>78915000</v>
      </c>
      <c r="C2346" t="str">
        <f t="shared" si="421"/>
        <v>78915001</v>
      </c>
      <c r="D2346">
        <v>89301112</v>
      </c>
      <c r="E2346" t="str">
        <f>"7659065304"</f>
        <v>7659065304</v>
      </c>
      <c r="F2346" s="1">
        <v>45000</v>
      </c>
      <c r="G2346" t="str">
        <f>"09569"</f>
        <v>09569</v>
      </c>
      <c r="H2346">
        <v>1</v>
      </c>
      <c r="I2346">
        <v>0</v>
      </c>
      <c r="J2346">
        <v>0</v>
      </c>
      <c r="K2346" t="str">
        <f t="shared" si="419"/>
        <v>809</v>
      </c>
      <c r="L2346">
        <v>0</v>
      </c>
    </row>
    <row r="2347" spans="1:12" x14ac:dyDescent="0.25">
      <c r="A2347" t="str">
        <f t="shared" si="418"/>
        <v>89301000</v>
      </c>
      <c r="B2347" t="str">
        <f t="shared" si="420"/>
        <v>78915000</v>
      </c>
      <c r="C2347" t="str">
        <f t="shared" si="421"/>
        <v>78915001</v>
      </c>
      <c r="D2347">
        <v>89301112</v>
      </c>
      <c r="E2347" t="str">
        <f>"7659065304"</f>
        <v>7659065304</v>
      </c>
      <c r="F2347" s="1">
        <v>45000</v>
      </c>
      <c r="G2347" t="str">
        <f>"89713"</f>
        <v>89713</v>
      </c>
      <c r="H2347">
        <v>1</v>
      </c>
      <c r="I2347">
        <v>5411</v>
      </c>
      <c r="J2347">
        <v>0</v>
      </c>
      <c r="K2347" t="str">
        <f t="shared" si="419"/>
        <v>809</v>
      </c>
      <c r="L2347">
        <v>3517.15</v>
      </c>
    </row>
    <row r="2348" spans="1:12" x14ac:dyDescent="0.25">
      <c r="A2348" t="str">
        <f t="shared" si="418"/>
        <v>89301000</v>
      </c>
      <c r="B2348" t="str">
        <f t="shared" si="420"/>
        <v>78915000</v>
      </c>
      <c r="C2348" t="str">
        <f t="shared" si="421"/>
        <v>78915001</v>
      </c>
      <c r="D2348">
        <v>89301312</v>
      </c>
      <c r="E2348" t="str">
        <f>"7705065346"</f>
        <v>7705065346</v>
      </c>
      <c r="F2348" s="1">
        <v>44988</v>
      </c>
      <c r="G2348" t="str">
        <f>"09569"</f>
        <v>09569</v>
      </c>
      <c r="H2348">
        <v>1</v>
      </c>
      <c r="I2348">
        <v>0</v>
      </c>
      <c r="J2348">
        <v>0</v>
      </c>
      <c r="K2348" t="str">
        <f t="shared" si="419"/>
        <v>809</v>
      </c>
      <c r="L2348">
        <v>0</v>
      </c>
    </row>
    <row r="2349" spans="1:12" x14ac:dyDescent="0.25">
      <c r="A2349" t="str">
        <f t="shared" si="418"/>
        <v>89301000</v>
      </c>
      <c r="B2349" t="str">
        <f t="shared" si="420"/>
        <v>78915000</v>
      </c>
      <c r="C2349" t="str">
        <f t="shared" si="421"/>
        <v>78915001</v>
      </c>
      <c r="D2349">
        <v>89301312</v>
      </c>
      <c r="E2349" t="str">
        <f>"7705065346"</f>
        <v>7705065346</v>
      </c>
      <c r="F2349" s="1">
        <v>44988</v>
      </c>
      <c r="G2349" t="str">
        <f>"89713"</f>
        <v>89713</v>
      </c>
      <c r="H2349">
        <v>1</v>
      </c>
      <c r="I2349">
        <v>5411</v>
      </c>
      <c r="J2349">
        <v>0</v>
      </c>
      <c r="K2349" t="str">
        <f t="shared" si="419"/>
        <v>809</v>
      </c>
      <c r="L2349">
        <v>3517.15</v>
      </c>
    </row>
    <row r="2350" spans="1:12" x14ac:dyDescent="0.25">
      <c r="A2350" t="str">
        <f t="shared" si="418"/>
        <v>89301000</v>
      </c>
      <c r="B2350" t="str">
        <f t="shared" si="420"/>
        <v>78915000</v>
      </c>
      <c r="C2350" t="str">
        <f t="shared" si="421"/>
        <v>78915001</v>
      </c>
      <c r="D2350">
        <v>89301730</v>
      </c>
      <c r="E2350" t="str">
        <f>"7756125322"</f>
        <v>7756125322</v>
      </c>
      <c r="F2350" s="1">
        <v>45002</v>
      </c>
      <c r="G2350" t="str">
        <f>"89713"</f>
        <v>89713</v>
      </c>
      <c r="H2350">
        <v>1</v>
      </c>
      <c r="I2350">
        <v>5411</v>
      </c>
      <c r="J2350">
        <v>0</v>
      </c>
      <c r="K2350" t="str">
        <f t="shared" si="419"/>
        <v>809</v>
      </c>
      <c r="L2350">
        <v>3517.15</v>
      </c>
    </row>
    <row r="2351" spans="1:12" x14ac:dyDescent="0.25">
      <c r="A2351" t="str">
        <f t="shared" si="418"/>
        <v>89301000</v>
      </c>
      <c r="B2351" t="str">
        <f t="shared" si="420"/>
        <v>78915000</v>
      </c>
      <c r="C2351" t="str">
        <f t="shared" si="421"/>
        <v>78915001</v>
      </c>
      <c r="D2351">
        <v>89301730</v>
      </c>
      <c r="E2351" t="str">
        <f>"7756125322"</f>
        <v>7756125322</v>
      </c>
      <c r="F2351" s="1">
        <v>45002</v>
      </c>
      <c r="G2351" t="str">
        <f>"89725"</f>
        <v>89725</v>
      </c>
      <c r="H2351">
        <v>1</v>
      </c>
      <c r="I2351">
        <v>2863</v>
      </c>
      <c r="J2351">
        <v>0</v>
      </c>
      <c r="K2351" t="str">
        <f t="shared" ref="K2351:K2382" si="422">"809"</f>
        <v>809</v>
      </c>
      <c r="L2351">
        <v>1860.95</v>
      </c>
    </row>
    <row r="2352" spans="1:12" x14ac:dyDescent="0.25">
      <c r="A2352" t="str">
        <f t="shared" si="418"/>
        <v>89301000</v>
      </c>
      <c r="B2352" t="str">
        <f t="shared" si="420"/>
        <v>78915000</v>
      </c>
      <c r="C2352" t="str">
        <f t="shared" si="421"/>
        <v>78915001</v>
      </c>
      <c r="D2352">
        <v>89301215</v>
      </c>
      <c r="E2352" t="str">
        <f>"7851165366"</f>
        <v>7851165366</v>
      </c>
      <c r="F2352" s="1">
        <v>44993</v>
      </c>
      <c r="G2352" t="str">
        <f>"89715"</f>
        <v>89715</v>
      </c>
      <c r="H2352">
        <v>1</v>
      </c>
      <c r="I2352">
        <v>5523</v>
      </c>
      <c r="J2352">
        <v>0</v>
      </c>
      <c r="K2352" t="str">
        <f t="shared" si="422"/>
        <v>809</v>
      </c>
      <c r="L2352">
        <v>3589.95</v>
      </c>
    </row>
    <row r="2353" spans="1:12" x14ac:dyDescent="0.25">
      <c r="A2353" t="str">
        <f t="shared" si="418"/>
        <v>89301000</v>
      </c>
      <c r="B2353" t="str">
        <f t="shared" si="420"/>
        <v>78915000</v>
      </c>
      <c r="C2353" t="str">
        <f t="shared" si="421"/>
        <v>78915001</v>
      </c>
      <c r="D2353">
        <v>89301215</v>
      </c>
      <c r="E2353" t="str">
        <f>"7851165366"</f>
        <v>7851165366</v>
      </c>
      <c r="F2353" s="1">
        <v>44993</v>
      </c>
      <c r="G2353" t="str">
        <f>"89725"</f>
        <v>89725</v>
      </c>
      <c r="H2353">
        <v>1</v>
      </c>
      <c r="I2353">
        <v>2863</v>
      </c>
      <c r="J2353">
        <v>0</v>
      </c>
      <c r="K2353" t="str">
        <f t="shared" si="422"/>
        <v>809</v>
      </c>
      <c r="L2353">
        <v>1860.95</v>
      </c>
    </row>
    <row r="2354" spans="1:12" x14ac:dyDescent="0.25">
      <c r="A2354" t="str">
        <f t="shared" si="418"/>
        <v>89301000</v>
      </c>
      <c r="B2354" t="str">
        <f t="shared" ref="B2354:B2384" si="423">"78915000"</f>
        <v>78915000</v>
      </c>
      <c r="C2354" t="str">
        <f t="shared" ref="C2354:C2384" si="424">"78915001"</f>
        <v>78915001</v>
      </c>
      <c r="D2354">
        <v>89301215</v>
      </c>
      <c r="E2354" t="str">
        <f>"7851165366"</f>
        <v>7851165366</v>
      </c>
      <c r="F2354" s="1">
        <v>44993</v>
      </c>
      <c r="G2354" t="str">
        <f>"0207733"</f>
        <v>0207733</v>
      </c>
      <c r="H2354">
        <v>1</v>
      </c>
      <c r="J2354">
        <v>2590.5300000000002</v>
      </c>
      <c r="K2354" t="str">
        <f t="shared" si="422"/>
        <v>809</v>
      </c>
      <c r="L2354">
        <v>2590.5300000000002</v>
      </c>
    </row>
    <row r="2355" spans="1:12" x14ac:dyDescent="0.25">
      <c r="A2355" t="str">
        <f t="shared" si="418"/>
        <v>89301000</v>
      </c>
      <c r="B2355" t="str">
        <f t="shared" si="423"/>
        <v>78915000</v>
      </c>
      <c r="C2355" t="str">
        <f t="shared" si="424"/>
        <v>78915001</v>
      </c>
      <c r="D2355">
        <v>89301212</v>
      </c>
      <c r="E2355" t="str">
        <f>"7852105679"</f>
        <v>7852105679</v>
      </c>
      <c r="F2355" s="1">
        <v>44993</v>
      </c>
      <c r="G2355" t="str">
        <f>"89715"</f>
        <v>89715</v>
      </c>
      <c r="H2355">
        <v>1</v>
      </c>
      <c r="I2355">
        <v>5523</v>
      </c>
      <c r="J2355">
        <v>0</v>
      </c>
      <c r="K2355" t="str">
        <f t="shared" si="422"/>
        <v>809</v>
      </c>
      <c r="L2355">
        <v>3589.95</v>
      </c>
    </row>
    <row r="2356" spans="1:12" x14ac:dyDescent="0.25">
      <c r="A2356" t="str">
        <f t="shared" si="418"/>
        <v>89301000</v>
      </c>
      <c r="B2356" t="str">
        <f t="shared" si="423"/>
        <v>78915000</v>
      </c>
      <c r="C2356" t="str">
        <f t="shared" si="424"/>
        <v>78915001</v>
      </c>
      <c r="D2356">
        <v>89301212</v>
      </c>
      <c r="E2356" t="str">
        <f>"7852105679"</f>
        <v>7852105679</v>
      </c>
      <c r="F2356" s="1">
        <v>44993</v>
      </c>
      <c r="G2356" t="str">
        <f>"89725"</f>
        <v>89725</v>
      </c>
      <c r="H2356">
        <v>1</v>
      </c>
      <c r="I2356">
        <v>2863</v>
      </c>
      <c r="J2356">
        <v>0</v>
      </c>
      <c r="K2356" t="str">
        <f t="shared" si="422"/>
        <v>809</v>
      </c>
      <c r="L2356">
        <v>1860.95</v>
      </c>
    </row>
    <row r="2357" spans="1:12" x14ac:dyDescent="0.25">
      <c r="A2357" t="str">
        <f t="shared" si="418"/>
        <v>89301000</v>
      </c>
      <c r="B2357" t="str">
        <f t="shared" si="423"/>
        <v>78915000</v>
      </c>
      <c r="C2357" t="str">
        <f t="shared" si="424"/>
        <v>78915001</v>
      </c>
      <c r="D2357">
        <v>89301212</v>
      </c>
      <c r="E2357" t="str">
        <f>"7852105679"</f>
        <v>7852105679</v>
      </c>
      <c r="F2357" s="1">
        <v>44993</v>
      </c>
      <c r="G2357" t="str">
        <f>"0207733"</f>
        <v>0207733</v>
      </c>
      <c r="H2357">
        <v>1</v>
      </c>
      <c r="J2357">
        <v>2590.5300000000002</v>
      </c>
      <c r="K2357" t="str">
        <f t="shared" si="422"/>
        <v>809</v>
      </c>
      <c r="L2357">
        <v>2590.5300000000002</v>
      </c>
    </row>
    <row r="2358" spans="1:12" x14ac:dyDescent="0.25">
      <c r="A2358" t="str">
        <f t="shared" si="418"/>
        <v>89301000</v>
      </c>
      <c r="B2358" t="str">
        <f t="shared" si="423"/>
        <v>78915000</v>
      </c>
      <c r="C2358" t="str">
        <f t="shared" si="424"/>
        <v>78915001</v>
      </c>
      <c r="D2358">
        <v>89301112</v>
      </c>
      <c r="E2358" t="str">
        <f>"7854165363"</f>
        <v>7854165363</v>
      </c>
      <c r="F2358" s="1">
        <v>45003</v>
      </c>
      <c r="G2358" t="str">
        <f>"09567"</f>
        <v>09567</v>
      </c>
      <c r="H2358">
        <v>1</v>
      </c>
      <c r="I2358">
        <v>0</v>
      </c>
      <c r="J2358">
        <v>0</v>
      </c>
      <c r="K2358" t="str">
        <f t="shared" si="422"/>
        <v>809</v>
      </c>
      <c r="L2358">
        <v>0</v>
      </c>
    </row>
    <row r="2359" spans="1:12" x14ac:dyDescent="0.25">
      <c r="A2359" t="str">
        <f t="shared" si="418"/>
        <v>89301000</v>
      </c>
      <c r="B2359" t="str">
        <f t="shared" si="423"/>
        <v>78915000</v>
      </c>
      <c r="C2359" t="str">
        <f t="shared" si="424"/>
        <v>78915001</v>
      </c>
      <c r="D2359">
        <v>89301112</v>
      </c>
      <c r="E2359" t="str">
        <f>"7854165363"</f>
        <v>7854165363</v>
      </c>
      <c r="F2359" s="1">
        <v>45003</v>
      </c>
      <c r="G2359" t="str">
        <f>"89713"</f>
        <v>89713</v>
      </c>
      <c r="H2359">
        <v>1</v>
      </c>
      <c r="I2359">
        <v>5411</v>
      </c>
      <c r="J2359">
        <v>0</v>
      </c>
      <c r="K2359" t="str">
        <f t="shared" si="422"/>
        <v>809</v>
      </c>
      <c r="L2359">
        <v>3517.15</v>
      </c>
    </row>
    <row r="2360" spans="1:12" x14ac:dyDescent="0.25">
      <c r="A2360" t="str">
        <f t="shared" si="418"/>
        <v>89301000</v>
      </c>
      <c r="B2360" t="str">
        <f t="shared" si="423"/>
        <v>78915000</v>
      </c>
      <c r="C2360" t="str">
        <f t="shared" si="424"/>
        <v>78915001</v>
      </c>
      <c r="D2360">
        <v>89301062</v>
      </c>
      <c r="E2360" t="str">
        <f>"7858175336"</f>
        <v>7858175336</v>
      </c>
      <c r="F2360" s="1">
        <v>44998</v>
      </c>
      <c r="G2360" t="str">
        <f>"89713"</f>
        <v>89713</v>
      </c>
      <c r="H2360">
        <v>1</v>
      </c>
      <c r="I2360">
        <v>5411</v>
      </c>
      <c r="J2360">
        <v>0</v>
      </c>
      <c r="K2360" t="str">
        <f t="shared" si="422"/>
        <v>809</v>
      </c>
      <c r="L2360">
        <v>3517.15</v>
      </c>
    </row>
    <row r="2361" spans="1:12" x14ac:dyDescent="0.25">
      <c r="A2361" t="str">
        <f t="shared" si="418"/>
        <v>89301000</v>
      </c>
      <c r="B2361" t="str">
        <f t="shared" si="423"/>
        <v>78915000</v>
      </c>
      <c r="C2361" t="str">
        <f t="shared" si="424"/>
        <v>78915001</v>
      </c>
      <c r="D2361">
        <v>89301062</v>
      </c>
      <c r="E2361" t="str">
        <f>"7858175336"</f>
        <v>7858175336</v>
      </c>
      <c r="F2361" s="1">
        <v>44998</v>
      </c>
      <c r="G2361" t="str">
        <f>"89725"</f>
        <v>89725</v>
      </c>
      <c r="H2361">
        <v>1</v>
      </c>
      <c r="I2361">
        <v>2863</v>
      </c>
      <c r="J2361">
        <v>0</v>
      </c>
      <c r="K2361" t="str">
        <f t="shared" si="422"/>
        <v>809</v>
      </c>
      <c r="L2361">
        <v>1860.95</v>
      </c>
    </row>
    <row r="2362" spans="1:12" x14ac:dyDescent="0.25">
      <c r="A2362" t="str">
        <f t="shared" si="418"/>
        <v>89301000</v>
      </c>
      <c r="B2362" t="str">
        <f t="shared" si="423"/>
        <v>78915000</v>
      </c>
      <c r="C2362" t="str">
        <f t="shared" si="424"/>
        <v>78915001</v>
      </c>
      <c r="D2362">
        <v>89301062</v>
      </c>
      <c r="E2362" t="str">
        <f>"7858175336"</f>
        <v>7858175336</v>
      </c>
      <c r="F2362" s="1">
        <v>44998</v>
      </c>
      <c r="G2362" t="str">
        <f>"0207733"</f>
        <v>0207733</v>
      </c>
      <c r="H2362">
        <v>0.86</v>
      </c>
      <c r="J2362">
        <v>2227.86</v>
      </c>
      <c r="K2362" t="str">
        <f t="shared" si="422"/>
        <v>809</v>
      </c>
      <c r="L2362">
        <v>2227.86</v>
      </c>
    </row>
    <row r="2363" spans="1:12" x14ac:dyDescent="0.25">
      <c r="A2363" t="str">
        <f t="shared" si="418"/>
        <v>89301000</v>
      </c>
      <c r="B2363" t="str">
        <f t="shared" si="423"/>
        <v>78915000</v>
      </c>
      <c r="C2363" t="str">
        <f t="shared" si="424"/>
        <v>78915001</v>
      </c>
      <c r="D2363">
        <v>89301312</v>
      </c>
      <c r="E2363" t="str">
        <f>"8054114464"</f>
        <v>8054114464</v>
      </c>
      <c r="F2363" s="1">
        <v>45000</v>
      </c>
      <c r="G2363" t="str">
        <f>"09569"</f>
        <v>09569</v>
      </c>
      <c r="H2363">
        <v>1</v>
      </c>
      <c r="I2363">
        <v>0</v>
      </c>
      <c r="J2363">
        <v>0</v>
      </c>
      <c r="K2363" t="str">
        <f t="shared" si="422"/>
        <v>809</v>
      </c>
      <c r="L2363">
        <v>0</v>
      </c>
    </row>
    <row r="2364" spans="1:12" x14ac:dyDescent="0.25">
      <c r="A2364" t="str">
        <f t="shared" si="418"/>
        <v>89301000</v>
      </c>
      <c r="B2364" t="str">
        <f t="shared" si="423"/>
        <v>78915000</v>
      </c>
      <c r="C2364" t="str">
        <f t="shared" si="424"/>
        <v>78915001</v>
      </c>
      <c r="D2364">
        <v>89301312</v>
      </c>
      <c r="E2364" t="str">
        <f>"8054114464"</f>
        <v>8054114464</v>
      </c>
      <c r="F2364" s="1">
        <v>45000</v>
      </c>
      <c r="G2364" t="str">
        <f>"89713"</f>
        <v>89713</v>
      </c>
      <c r="H2364">
        <v>1</v>
      </c>
      <c r="I2364">
        <v>5411</v>
      </c>
      <c r="J2364">
        <v>0</v>
      </c>
      <c r="K2364" t="str">
        <f t="shared" si="422"/>
        <v>809</v>
      </c>
      <c r="L2364">
        <v>3517.15</v>
      </c>
    </row>
    <row r="2365" spans="1:12" x14ac:dyDescent="0.25">
      <c r="A2365" t="str">
        <f t="shared" si="418"/>
        <v>89301000</v>
      </c>
      <c r="B2365" t="str">
        <f t="shared" si="423"/>
        <v>78915000</v>
      </c>
      <c r="C2365" t="str">
        <f t="shared" si="424"/>
        <v>78915001</v>
      </c>
      <c r="D2365">
        <v>89301112</v>
      </c>
      <c r="E2365" t="str">
        <f>"8205285352"</f>
        <v>8205285352</v>
      </c>
      <c r="F2365" s="1">
        <v>45007</v>
      </c>
      <c r="G2365" t="str">
        <f>"09569"</f>
        <v>09569</v>
      </c>
      <c r="H2365">
        <v>1</v>
      </c>
      <c r="I2365">
        <v>0</v>
      </c>
      <c r="J2365">
        <v>0</v>
      </c>
      <c r="K2365" t="str">
        <f t="shared" si="422"/>
        <v>809</v>
      </c>
      <c r="L2365">
        <v>0</v>
      </c>
    </row>
    <row r="2366" spans="1:12" x14ac:dyDescent="0.25">
      <c r="A2366" t="str">
        <f t="shared" si="418"/>
        <v>89301000</v>
      </c>
      <c r="B2366" t="str">
        <f t="shared" si="423"/>
        <v>78915000</v>
      </c>
      <c r="C2366" t="str">
        <f t="shared" si="424"/>
        <v>78915001</v>
      </c>
      <c r="D2366">
        <v>89301112</v>
      </c>
      <c r="E2366" t="str">
        <f>"8205285352"</f>
        <v>8205285352</v>
      </c>
      <c r="F2366" s="1">
        <v>45007</v>
      </c>
      <c r="G2366" t="str">
        <f>"89713"</f>
        <v>89713</v>
      </c>
      <c r="H2366">
        <v>1</v>
      </c>
      <c r="I2366">
        <v>5411</v>
      </c>
      <c r="J2366">
        <v>0</v>
      </c>
      <c r="K2366" t="str">
        <f t="shared" si="422"/>
        <v>809</v>
      </c>
      <c r="L2366">
        <v>3517.15</v>
      </c>
    </row>
    <row r="2367" spans="1:12" x14ac:dyDescent="0.25">
      <c r="A2367" t="str">
        <f t="shared" si="418"/>
        <v>89301000</v>
      </c>
      <c r="B2367" t="str">
        <f t="shared" si="423"/>
        <v>78915000</v>
      </c>
      <c r="C2367" t="str">
        <f t="shared" si="424"/>
        <v>78915001</v>
      </c>
      <c r="D2367">
        <v>89301215</v>
      </c>
      <c r="E2367" t="str">
        <f>"8253085313"</f>
        <v>8253085313</v>
      </c>
      <c r="F2367" s="1">
        <v>45016</v>
      </c>
      <c r="G2367" t="str">
        <f>"89715"</f>
        <v>89715</v>
      </c>
      <c r="H2367">
        <v>1</v>
      </c>
      <c r="I2367">
        <v>5523</v>
      </c>
      <c r="J2367">
        <v>0</v>
      </c>
      <c r="K2367" t="str">
        <f t="shared" si="422"/>
        <v>809</v>
      </c>
      <c r="L2367">
        <v>3589.95</v>
      </c>
    </row>
    <row r="2368" spans="1:12" x14ac:dyDescent="0.25">
      <c r="A2368" t="str">
        <f t="shared" si="418"/>
        <v>89301000</v>
      </c>
      <c r="B2368" t="str">
        <f t="shared" si="423"/>
        <v>78915000</v>
      </c>
      <c r="C2368" t="str">
        <f t="shared" si="424"/>
        <v>78915001</v>
      </c>
      <c r="D2368">
        <v>89301062</v>
      </c>
      <c r="E2368" t="str">
        <f>"8308115343"</f>
        <v>8308115343</v>
      </c>
      <c r="F2368" s="1">
        <v>44988</v>
      </c>
      <c r="G2368" t="str">
        <f>"89713"</f>
        <v>89713</v>
      </c>
      <c r="H2368">
        <v>1</v>
      </c>
      <c r="I2368">
        <v>5411</v>
      </c>
      <c r="J2368">
        <v>0</v>
      </c>
      <c r="K2368" t="str">
        <f t="shared" si="422"/>
        <v>809</v>
      </c>
      <c r="L2368">
        <v>3517.15</v>
      </c>
    </row>
    <row r="2369" spans="1:12" x14ac:dyDescent="0.25">
      <c r="A2369" t="str">
        <f t="shared" si="418"/>
        <v>89301000</v>
      </c>
      <c r="B2369" t="str">
        <f t="shared" si="423"/>
        <v>78915000</v>
      </c>
      <c r="C2369" t="str">
        <f t="shared" si="424"/>
        <v>78915001</v>
      </c>
      <c r="D2369">
        <v>89301062</v>
      </c>
      <c r="E2369" t="str">
        <f>"8308115343"</f>
        <v>8308115343</v>
      </c>
      <c r="F2369" s="1">
        <v>44988</v>
      </c>
      <c r="G2369" t="str">
        <f>"89725"</f>
        <v>89725</v>
      </c>
      <c r="H2369">
        <v>1</v>
      </c>
      <c r="I2369">
        <v>2863</v>
      </c>
      <c r="J2369">
        <v>0</v>
      </c>
      <c r="K2369" t="str">
        <f t="shared" si="422"/>
        <v>809</v>
      </c>
      <c r="L2369">
        <v>1860.95</v>
      </c>
    </row>
    <row r="2370" spans="1:12" x14ac:dyDescent="0.25">
      <c r="A2370" t="str">
        <f t="shared" ref="A2370:A2433" si="425">"89301000"</f>
        <v>89301000</v>
      </c>
      <c r="B2370" t="str">
        <f t="shared" si="423"/>
        <v>78915000</v>
      </c>
      <c r="C2370" t="str">
        <f t="shared" si="424"/>
        <v>78915001</v>
      </c>
      <c r="D2370">
        <v>89301606</v>
      </c>
      <c r="E2370" t="str">
        <f>"8404214456"</f>
        <v>8404214456</v>
      </c>
      <c r="F2370" s="1">
        <v>44991</v>
      </c>
      <c r="G2370" t="str">
        <f>"89713"</f>
        <v>89713</v>
      </c>
      <c r="H2370">
        <v>1</v>
      </c>
      <c r="I2370">
        <v>5411</v>
      </c>
      <c r="J2370">
        <v>0</v>
      </c>
      <c r="K2370" t="str">
        <f t="shared" si="422"/>
        <v>809</v>
      </c>
      <c r="L2370">
        <v>3517.15</v>
      </c>
    </row>
    <row r="2371" spans="1:12" x14ac:dyDescent="0.25">
      <c r="A2371" t="str">
        <f t="shared" si="425"/>
        <v>89301000</v>
      </c>
      <c r="B2371" t="str">
        <f t="shared" si="423"/>
        <v>78915000</v>
      </c>
      <c r="C2371" t="str">
        <f t="shared" si="424"/>
        <v>78915001</v>
      </c>
      <c r="D2371">
        <v>89301606</v>
      </c>
      <c r="E2371" t="str">
        <f>"8404214456"</f>
        <v>8404214456</v>
      </c>
      <c r="F2371" s="1">
        <v>44991</v>
      </c>
      <c r="G2371" t="str">
        <f>"89725"</f>
        <v>89725</v>
      </c>
      <c r="H2371">
        <v>1</v>
      </c>
      <c r="I2371">
        <v>2863</v>
      </c>
      <c r="J2371">
        <v>0</v>
      </c>
      <c r="K2371" t="str">
        <f t="shared" si="422"/>
        <v>809</v>
      </c>
      <c r="L2371">
        <v>1860.95</v>
      </c>
    </row>
    <row r="2372" spans="1:12" x14ac:dyDescent="0.25">
      <c r="A2372" t="str">
        <f t="shared" si="425"/>
        <v>89301000</v>
      </c>
      <c r="B2372" t="str">
        <f t="shared" si="423"/>
        <v>78915000</v>
      </c>
      <c r="C2372" t="str">
        <f t="shared" si="424"/>
        <v>78915001</v>
      </c>
      <c r="D2372">
        <v>89301062</v>
      </c>
      <c r="E2372" t="str">
        <f>"8409022501"</f>
        <v>8409022501</v>
      </c>
      <c r="F2372" s="1">
        <v>44999</v>
      </c>
      <c r="G2372" t="str">
        <f>"89713"</f>
        <v>89713</v>
      </c>
      <c r="H2372">
        <v>1</v>
      </c>
      <c r="I2372">
        <v>5411</v>
      </c>
      <c r="J2372">
        <v>0</v>
      </c>
      <c r="K2372" t="str">
        <f t="shared" si="422"/>
        <v>809</v>
      </c>
      <c r="L2372">
        <v>3517.15</v>
      </c>
    </row>
    <row r="2373" spans="1:12" x14ac:dyDescent="0.25">
      <c r="A2373" t="str">
        <f t="shared" si="425"/>
        <v>89301000</v>
      </c>
      <c r="B2373" t="str">
        <f t="shared" si="423"/>
        <v>78915000</v>
      </c>
      <c r="C2373" t="str">
        <f t="shared" si="424"/>
        <v>78915001</v>
      </c>
      <c r="D2373">
        <v>89301062</v>
      </c>
      <c r="E2373" t="str">
        <f>"8409022501"</f>
        <v>8409022501</v>
      </c>
      <c r="F2373" s="1">
        <v>44999</v>
      </c>
      <c r="G2373" t="str">
        <f>"89725"</f>
        <v>89725</v>
      </c>
      <c r="H2373">
        <v>1</v>
      </c>
      <c r="I2373">
        <v>2863</v>
      </c>
      <c r="J2373">
        <v>0</v>
      </c>
      <c r="K2373" t="str">
        <f t="shared" si="422"/>
        <v>809</v>
      </c>
      <c r="L2373">
        <v>1860.95</v>
      </c>
    </row>
    <row r="2374" spans="1:12" x14ac:dyDescent="0.25">
      <c r="A2374" t="str">
        <f t="shared" si="425"/>
        <v>89301000</v>
      </c>
      <c r="B2374" t="str">
        <f t="shared" si="423"/>
        <v>78915000</v>
      </c>
      <c r="C2374" t="str">
        <f t="shared" si="424"/>
        <v>78915001</v>
      </c>
      <c r="D2374">
        <v>89301112</v>
      </c>
      <c r="E2374" t="str">
        <f>"8506176261"</f>
        <v>8506176261</v>
      </c>
      <c r="F2374" s="1">
        <v>45002</v>
      </c>
      <c r="G2374" t="str">
        <f>"09567"</f>
        <v>09567</v>
      </c>
      <c r="H2374">
        <v>1</v>
      </c>
      <c r="I2374">
        <v>0</v>
      </c>
      <c r="J2374">
        <v>0</v>
      </c>
      <c r="K2374" t="str">
        <f t="shared" si="422"/>
        <v>809</v>
      </c>
      <c r="L2374">
        <v>0</v>
      </c>
    </row>
    <row r="2375" spans="1:12" x14ac:dyDescent="0.25">
      <c r="A2375" t="str">
        <f t="shared" si="425"/>
        <v>89301000</v>
      </c>
      <c r="B2375" t="str">
        <f t="shared" si="423"/>
        <v>78915000</v>
      </c>
      <c r="C2375" t="str">
        <f t="shared" si="424"/>
        <v>78915001</v>
      </c>
      <c r="D2375">
        <v>89301112</v>
      </c>
      <c r="E2375" t="str">
        <f>"8506176261"</f>
        <v>8506176261</v>
      </c>
      <c r="F2375" s="1">
        <v>45002</v>
      </c>
      <c r="G2375" t="str">
        <f>"89713"</f>
        <v>89713</v>
      </c>
      <c r="H2375">
        <v>1</v>
      </c>
      <c r="I2375">
        <v>5411</v>
      </c>
      <c r="J2375">
        <v>0</v>
      </c>
      <c r="K2375" t="str">
        <f t="shared" si="422"/>
        <v>809</v>
      </c>
      <c r="L2375">
        <v>3517.15</v>
      </c>
    </row>
    <row r="2376" spans="1:12" x14ac:dyDescent="0.25">
      <c r="A2376" t="str">
        <f t="shared" si="425"/>
        <v>89301000</v>
      </c>
      <c r="B2376" t="str">
        <f t="shared" si="423"/>
        <v>78915000</v>
      </c>
      <c r="C2376" t="str">
        <f t="shared" si="424"/>
        <v>78915001</v>
      </c>
      <c r="D2376">
        <v>89301312</v>
      </c>
      <c r="E2376" t="str">
        <f>"8804155767"</f>
        <v>8804155767</v>
      </c>
      <c r="F2376" s="1">
        <v>44986</v>
      </c>
      <c r="G2376" t="str">
        <f>"09569"</f>
        <v>09569</v>
      </c>
      <c r="H2376">
        <v>1</v>
      </c>
      <c r="I2376">
        <v>0</v>
      </c>
      <c r="J2376">
        <v>0</v>
      </c>
      <c r="K2376" t="str">
        <f t="shared" si="422"/>
        <v>809</v>
      </c>
      <c r="L2376">
        <v>0</v>
      </c>
    </row>
    <row r="2377" spans="1:12" x14ac:dyDescent="0.25">
      <c r="A2377" t="str">
        <f t="shared" si="425"/>
        <v>89301000</v>
      </c>
      <c r="B2377" t="str">
        <f t="shared" si="423"/>
        <v>78915000</v>
      </c>
      <c r="C2377" t="str">
        <f t="shared" si="424"/>
        <v>78915001</v>
      </c>
      <c r="D2377">
        <v>89301312</v>
      </c>
      <c r="E2377" t="str">
        <f>"8804155767"</f>
        <v>8804155767</v>
      </c>
      <c r="F2377" s="1">
        <v>44986</v>
      </c>
      <c r="G2377" t="str">
        <f>"89713"</f>
        <v>89713</v>
      </c>
      <c r="H2377">
        <v>1</v>
      </c>
      <c r="I2377">
        <v>5411</v>
      </c>
      <c r="J2377">
        <v>0</v>
      </c>
      <c r="K2377" t="str">
        <f t="shared" si="422"/>
        <v>809</v>
      </c>
      <c r="L2377">
        <v>3517.15</v>
      </c>
    </row>
    <row r="2378" spans="1:12" x14ac:dyDescent="0.25">
      <c r="A2378" t="str">
        <f t="shared" si="425"/>
        <v>89301000</v>
      </c>
      <c r="B2378" t="str">
        <f t="shared" si="423"/>
        <v>78915000</v>
      </c>
      <c r="C2378" t="str">
        <f t="shared" si="424"/>
        <v>78915001</v>
      </c>
      <c r="D2378">
        <v>89301112</v>
      </c>
      <c r="E2378" t="str">
        <f>"8811020427"</f>
        <v>8811020427</v>
      </c>
      <c r="F2378" s="1">
        <v>45001</v>
      </c>
      <c r="G2378" t="str">
        <f>"09569"</f>
        <v>09569</v>
      </c>
      <c r="H2378">
        <v>1</v>
      </c>
      <c r="I2378">
        <v>0</v>
      </c>
      <c r="J2378">
        <v>0</v>
      </c>
      <c r="K2378" t="str">
        <f t="shared" si="422"/>
        <v>809</v>
      </c>
      <c r="L2378">
        <v>0</v>
      </c>
    </row>
    <row r="2379" spans="1:12" x14ac:dyDescent="0.25">
      <c r="A2379" t="str">
        <f t="shared" si="425"/>
        <v>89301000</v>
      </c>
      <c r="B2379" t="str">
        <f t="shared" si="423"/>
        <v>78915000</v>
      </c>
      <c r="C2379" t="str">
        <f t="shared" si="424"/>
        <v>78915001</v>
      </c>
      <c r="D2379">
        <v>89301112</v>
      </c>
      <c r="E2379" t="str">
        <f>"8811020427"</f>
        <v>8811020427</v>
      </c>
      <c r="F2379" s="1">
        <v>45001</v>
      </c>
      <c r="G2379" t="str">
        <f>"89713"</f>
        <v>89713</v>
      </c>
      <c r="H2379">
        <v>1</v>
      </c>
      <c r="I2379">
        <v>5411</v>
      </c>
      <c r="J2379">
        <v>0</v>
      </c>
      <c r="K2379" t="str">
        <f t="shared" si="422"/>
        <v>809</v>
      </c>
      <c r="L2379">
        <v>3517.15</v>
      </c>
    </row>
    <row r="2380" spans="1:12" x14ac:dyDescent="0.25">
      <c r="A2380" t="str">
        <f t="shared" si="425"/>
        <v>89301000</v>
      </c>
      <c r="B2380" t="str">
        <f t="shared" si="423"/>
        <v>78915000</v>
      </c>
      <c r="C2380" t="str">
        <f t="shared" si="424"/>
        <v>78915001</v>
      </c>
      <c r="D2380">
        <v>89301045</v>
      </c>
      <c r="E2380" t="str">
        <f>"8954135960"</f>
        <v>8954135960</v>
      </c>
      <c r="F2380" s="1">
        <v>44986</v>
      </c>
      <c r="G2380" t="str">
        <f>"89715"</f>
        <v>89715</v>
      </c>
      <c r="H2380">
        <v>1</v>
      </c>
      <c r="I2380">
        <v>5523</v>
      </c>
      <c r="J2380">
        <v>0</v>
      </c>
      <c r="K2380" t="str">
        <f t="shared" si="422"/>
        <v>809</v>
      </c>
      <c r="L2380">
        <v>3589.95</v>
      </c>
    </row>
    <row r="2381" spans="1:12" x14ac:dyDescent="0.25">
      <c r="A2381" t="str">
        <f t="shared" si="425"/>
        <v>89301000</v>
      </c>
      <c r="B2381" t="str">
        <f t="shared" si="423"/>
        <v>78915000</v>
      </c>
      <c r="C2381" t="str">
        <f t="shared" si="424"/>
        <v>78915001</v>
      </c>
      <c r="D2381">
        <v>89301045</v>
      </c>
      <c r="E2381" t="str">
        <f>"8954135960"</f>
        <v>8954135960</v>
      </c>
      <c r="F2381" s="1">
        <v>44986</v>
      </c>
      <c r="G2381" t="str">
        <f>"89725"</f>
        <v>89725</v>
      </c>
      <c r="H2381">
        <v>1</v>
      </c>
      <c r="I2381">
        <v>2863</v>
      </c>
      <c r="J2381">
        <v>0</v>
      </c>
      <c r="K2381" t="str">
        <f t="shared" si="422"/>
        <v>809</v>
      </c>
      <c r="L2381">
        <v>1860.95</v>
      </c>
    </row>
    <row r="2382" spans="1:12" x14ac:dyDescent="0.25">
      <c r="A2382" t="str">
        <f t="shared" si="425"/>
        <v>89301000</v>
      </c>
      <c r="B2382" t="str">
        <f t="shared" si="423"/>
        <v>78915000</v>
      </c>
      <c r="C2382" t="str">
        <f t="shared" si="424"/>
        <v>78915001</v>
      </c>
      <c r="D2382">
        <v>89301045</v>
      </c>
      <c r="E2382" t="str">
        <f>"8954135960"</f>
        <v>8954135960</v>
      </c>
      <c r="F2382" s="1">
        <v>44986</v>
      </c>
      <c r="G2382" t="str">
        <f>"0207733"</f>
        <v>0207733</v>
      </c>
      <c r="H2382">
        <v>1</v>
      </c>
      <c r="J2382">
        <v>2590.5300000000002</v>
      </c>
      <c r="K2382" t="str">
        <f t="shared" si="422"/>
        <v>809</v>
      </c>
      <c r="L2382">
        <v>2590.5300000000002</v>
      </c>
    </row>
    <row r="2383" spans="1:12" x14ac:dyDescent="0.25">
      <c r="A2383" t="str">
        <f t="shared" si="425"/>
        <v>89301000</v>
      </c>
      <c r="B2383" t="str">
        <f t="shared" si="423"/>
        <v>78915000</v>
      </c>
      <c r="C2383" t="str">
        <f t="shared" si="424"/>
        <v>78915001</v>
      </c>
      <c r="D2383">
        <v>89301062</v>
      </c>
      <c r="E2383" t="str">
        <f>"9610125745"</f>
        <v>9610125745</v>
      </c>
      <c r="F2383" s="1">
        <v>45015</v>
      </c>
      <c r="G2383" t="str">
        <f>"89713"</f>
        <v>89713</v>
      </c>
      <c r="H2383">
        <v>1</v>
      </c>
      <c r="I2383">
        <v>5411</v>
      </c>
      <c r="J2383">
        <v>0</v>
      </c>
      <c r="K2383" t="str">
        <f t="shared" ref="K2383:K2392" si="426">"809"</f>
        <v>809</v>
      </c>
      <c r="L2383">
        <v>3517.15</v>
      </c>
    </row>
    <row r="2384" spans="1:12" x14ac:dyDescent="0.25">
      <c r="A2384" t="str">
        <f t="shared" si="425"/>
        <v>89301000</v>
      </c>
      <c r="B2384" t="str">
        <f t="shared" si="423"/>
        <v>78915000</v>
      </c>
      <c r="C2384" t="str">
        <f t="shared" si="424"/>
        <v>78915001</v>
      </c>
      <c r="D2384">
        <v>89301062</v>
      </c>
      <c r="E2384" t="str">
        <f>"9610125745"</f>
        <v>9610125745</v>
      </c>
      <c r="F2384" s="1">
        <v>45015</v>
      </c>
      <c r="G2384" t="str">
        <f>"89725"</f>
        <v>89725</v>
      </c>
      <c r="H2384">
        <v>1</v>
      </c>
      <c r="I2384">
        <v>2863</v>
      </c>
      <c r="J2384">
        <v>0</v>
      </c>
      <c r="K2384" t="str">
        <f t="shared" si="426"/>
        <v>809</v>
      </c>
      <c r="L2384">
        <v>1860.95</v>
      </c>
    </row>
    <row r="2385" spans="1:12" x14ac:dyDescent="0.25">
      <c r="A2385" t="str">
        <f t="shared" si="425"/>
        <v>89301000</v>
      </c>
      <c r="B2385" t="str">
        <f t="shared" ref="B2385:B2392" si="427">"78610000"</f>
        <v>78610000</v>
      </c>
      <c r="C2385" t="str">
        <f t="shared" ref="C2385:C2392" si="428">"78610001"</f>
        <v>78610001</v>
      </c>
      <c r="D2385">
        <v>89301055</v>
      </c>
      <c r="E2385" t="str">
        <f>"485109011"</f>
        <v>485109011</v>
      </c>
      <c r="F2385" s="1">
        <v>45006</v>
      </c>
      <c r="G2385" t="str">
        <f t="shared" ref="G2385:G2392" si="429">"89517"</f>
        <v>89517</v>
      </c>
      <c r="H2385">
        <v>1</v>
      </c>
      <c r="I2385">
        <v>994</v>
      </c>
      <c r="J2385">
        <v>0</v>
      </c>
      <c r="K2385" t="str">
        <f t="shared" si="426"/>
        <v>809</v>
      </c>
      <c r="L2385">
        <v>1461.18</v>
      </c>
    </row>
    <row r="2386" spans="1:12" x14ac:dyDescent="0.25">
      <c r="A2386" t="str">
        <f t="shared" si="425"/>
        <v>89301000</v>
      </c>
      <c r="B2386" t="str">
        <f t="shared" si="427"/>
        <v>78610000</v>
      </c>
      <c r="C2386" t="str">
        <f t="shared" si="428"/>
        <v>78610001</v>
      </c>
      <c r="D2386">
        <v>89301055</v>
      </c>
      <c r="E2386" t="str">
        <f>"6205130613"</f>
        <v>6205130613</v>
      </c>
      <c r="F2386" s="1">
        <v>45013</v>
      </c>
      <c r="G2386" t="str">
        <f t="shared" si="429"/>
        <v>89517</v>
      </c>
      <c r="H2386">
        <v>1</v>
      </c>
      <c r="I2386">
        <v>994</v>
      </c>
      <c r="J2386">
        <v>0</v>
      </c>
      <c r="K2386" t="str">
        <f t="shared" si="426"/>
        <v>809</v>
      </c>
      <c r="L2386">
        <v>1461.18</v>
      </c>
    </row>
    <row r="2387" spans="1:12" x14ac:dyDescent="0.25">
      <c r="A2387" t="str">
        <f t="shared" si="425"/>
        <v>89301000</v>
      </c>
      <c r="B2387" t="str">
        <f t="shared" si="427"/>
        <v>78610000</v>
      </c>
      <c r="C2387" t="str">
        <f t="shared" si="428"/>
        <v>78610001</v>
      </c>
      <c r="D2387">
        <v>89301041</v>
      </c>
      <c r="E2387" t="str">
        <f>"6608261495"</f>
        <v>6608261495</v>
      </c>
      <c r="F2387" s="1">
        <v>44993</v>
      </c>
      <c r="G2387" t="str">
        <f t="shared" si="429"/>
        <v>89517</v>
      </c>
      <c r="H2387">
        <v>1</v>
      </c>
      <c r="I2387">
        <v>994</v>
      </c>
      <c r="J2387">
        <v>0</v>
      </c>
      <c r="K2387" t="str">
        <f t="shared" si="426"/>
        <v>809</v>
      </c>
      <c r="L2387">
        <v>1461.18</v>
      </c>
    </row>
    <row r="2388" spans="1:12" x14ac:dyDescent="0.25">
      <c r="A2388" t="str">
        <f t="shared" si="425"/>
        <v>89301000</v>
      </c>
      <c r="B2388" t="str">
        <f t="shared" si="427"/>
        <v>78610000</v>
      </c>
      <c r="C2388" t="str">
        <f t="shared" si="428"/>
        <v>78610001</v>
      </c>
      <c r="D2388">
        <v>89301055</v>
      </c>
      <c r="E2388" t="str">
        <f>"6705300162"</f>
        <v>6705300162</v>
      </c>
      <c r="F2388" s="1">
        <v>44999</v>
      </c>
      <c r="G2388" t="str">
        <f t="shared" si="429"/>
        <v>89517</v>
      </c>
      <c r="H2388">
        <v>1</v>
      </c>
      <c r="I2388">
        <v>994</v>
      </c>
      <c r="J2388">
        <v>0</v>
      </c>
      <c r="K2388" t="str">
        <f t="shared" si="426"/>
        <v>809</v>
      </c>
      <c r="L2388">
        <v>1461.18</v>
      </c>
    </row>
    <row r="2389" spans="1:12" x14ac:dyDescent="0.25">
      <c r="A2389" t="str">
        <f t="shared" si="425"/>
        <v>89301000</v>
      </c>
      <c r="B2389" t="str">
        <f t="shared" si="427"/>
        <v>78610000</v>
      </c>
      <c r="C2389" t="str">
        <f t="shared" si="428"/>
        <v>78610001</v>
      </c>
      <c r="D2389">
        <v>89301055</v>
      </c>
      <c r="E2389" t="str">
        <f>"7159165321"</f>
        <v>7159165321</v>
      </c>
      <c r="F2389" s="1">
        <v>44999</v>
      </c>
      <c r="G2389" t="str">
        <f t="shared" si="429"/>
        <v>89517</v>
      </c>
      <c r="H2389">
        <v>1</v>
      </c>
      <c r="I2389">
        <v>994</v>
      </c>
      <c r="J2389">
        <v>0</v>
      </c>
      <c r="K2389" t="str">
        <f t="shared" si="426"/>
        <v>809</v>
      </c>
      <c r="L2389">
        <v>1461.18</v>
      </c>
    </row>
    <row r="2390" spans="1:12" x14ac:dyDescent="0.25">
      <c r="A2390" t="str">
        <f t="shared" si="425"/>
        <v>89301000</v>
      </c>
      <c r="B2390" t="str">
        <f t="shared" si="427"/>
        <v>78610000</v>
      </c>
      <c r="C2390" t="str">
        <f t="shared" si="428"/>
        <v>78610001</v>
      </c>
      <c r="D2390">
        <v>89301052</v>
      </c>
      <c r="E2390" t="str">
        <f>"7954245365"</f>
        <v>7954245365</v>
      </c>
      <c r="F2390" s="1">
        <v>44986</v>
      </c>
      <c r="G2390" t="str">
        <f t="shared" si="429"/>
        <v>89517</v>
      </c>
      <c r="H2390">
        <v>1</v>
      </c>
      <c r="I2390">
        <v>994</v>
      </c>
      <c r="J2390">
        <v>0</v>
      </c>
      <c r="K2390" t="str">
        <f t="shared" si="426"/>
        <v>809</v>
      </c>
      <c r="L2390">
        <v>1461.18</v>
      </c>
    </row>
    <row r="2391" spans="1:12" x14ac:dyDescent="0.25">
      <c r="A2391" t="str">
        <f t="shared" si="425"/>
        <v>89301000</v>
      </c>
      <c r="B2391" t="str">
        <f t="shared" si="427"/>
        <v>78610000</v>
      </c>
      <c r="C2391" t="str">
        <f t="shared" si="428"/>
        <v>78610001</v>
      </c>
      <c r="D2391">
        <v>89301055</v>
      </c>
      <c r="E2391" t="str">
        <f>"9501035709"</f>
        <v>9501035709</v>
      </c>
      <c r="F2391" s="1">
        <v>45000</v>
      </c>
      <c r="G2391" t="str">
        <f t="shared" si="429"/>
        <v>89517</v>
      </c>
      <c r="H2391">
        <v>1</v>
      </c>
      <c r="I2391">
        <v>994</v>
      </c>
      <c r="J2391">
        <v>0</v>
      </c>
      <c r="K2391" t="str">
        <f t="shared" si="426"/>
        <v>809</v>
      </c>
      <c r="L2391">
        <v>1461.18</v>
      </c>
    </row>
    <row r="2392" spans="1:12" x14ac:dyDescent="0.25">
      <c r="A2392" t="str">
        <f t="shared" si="425"/>
        <v>89301000</v>
      </c>
      <c r="B2392" t="str">
        <f t="shared" si="427"/>
        <v>78610000</v>
      </c>
      <c r="C2392" t="str">
        <f t="shared" si="428"/>
        <v>78610001</v>
      </c>
      <c r="D2392">
        <v>89301052</v>
      </c>
      <c r="E2392" t="str">
        <f>"9653045754"</f>
        <v>9653045754</v>
      </c>
      <c r="F2392" s="1">
        <v>45006</v>
      </c>
      <c r="G2392" t="str">
        <f t="shared" si="429"/>
        <v>89517</v>
      </c>
      <c r="H2392">
        <v>1</v>
      </c>
      <c r="I2392">
        <v>994</v>
      </c>
      <c r="J2392">
        <v>0</v>
      </c>
      <c r="K2392" t="str">
        <f t="shared" si="426"/>
        <v>809</v>
      </c>
      <c r="L2392">
        <v>1461.18</v>
      </c>
    </row>
    <row r="2393" spans="1:12" x14ac:dyDescent="0.25">
      <c r="A2393" t="str">
        <f t="shared" si="425"/>
        <v>89301000</v>
      </c>
      <c r="B2393" t="str">
        <f>"72996675"</f>
        <v>72996675</v>
      </c>
      <c r="C2393" t="str">
        <f>"72996675"</f>
        <v>72996675</v>
      </c>
      <c r="D2393">
        <v>89301282</v>
      </c>
      <c r="E2393" t="str">
        <f>"9460225720"</f>
        <v>9460225720</v>
      </c>
      <c r="F2393" s="1">
        <v>44991</v>
      </c>
      <c r="G2393" t="str">
        <f>"94221"</f>
        <v>94221</v>
      </c>
      <c r="H2393">
        <v>2</v>
      </c>
      <c r="I2393">
        <v>4934</v>
      </c>
      <c r="J2393">
        <v>0</v>
      </c>
      <c r="K2393" t="str">
        <f>"816"</f>
        <v>816</v>
      </c>
      <c r="L2393">
        <v>4440.6000000000004</v>
      </c>
    </row>
    <row r="2394" spans="1:12" x14ac:dyDescent="0.25">
      <c r="A2394" t="str">
        <f t="shared" si="425"/>
        <v>89301000</v>
      </c>
      <c r="B2394" t="str">
        <f t="shared" ref="B2394:C2413" si="430">"89063000"</f>
        <v>89063000</v>
      </c>
      <c r="C2394" t="str">
        <f t="shared" si="430"/>
        <v>89063000</v>
      </c>
      <c r="D2394">
        <v>89301037</v>
      </c>
      <c r="E2394" t="str">
        <f>"6256050988"</f>
        <v>6256050988</v>
      </c>
      <c r="F2394" s="1">
        <v>44987</v>
      </c>
      <c r="G2394" t="str">
        <f t="shared" ref="G2394:G2425" si="431">"89312"</f>
        <v>89312</v>
      </c>
      <c r="H2394">
        <v>3</v>
      </c>
      <c r="I2394">
        <v>936</v>
      </c>
      <c r="J2394">
        <v>0</v>
      </c>
      <c r="K2394" t="str">
        <f t="shared" ref="K2394:K2425" si="432">"809"</f>
        <v>809</v>
      </c>
      <c r="L2394">
        <v>1020.24</v>
      </c>
    </row>
    <row r="2395" spans="1:12" x14ac:dyDescent="0.25">
      <c r="A2395" t="str">
        <f t="shared" si="425"/>
        <v>89301000</v>
      </c>
      <c r="B2395" t="str">
        <f t="shared" si="430"/>
        <v>89063000</v>
      </c>
      <c r="C2395" t="str">
        <f t="shared" si="430"/>
        <v>89063000</v>
      </c>
      <c r="D2395">
        <v>89301037</v>
      </c>
      <c r="E2395" t="str">
        <f>"6955145318"</f>
        <v>6955145318</v>
      </c>
      <c r="F2395" s="1">
        <v>44986</v>
      </c>
      <c r="G2395" t="str">
        <f t="shared" si="431"/>
        <v>89312</v>
      </c>
      <c r="H2395">
        <v>3</v>
      </c>
      <c r="I2395">
        <v>936</v>
      </c>
      <c r="J2395">
        <v>0</v>
      </c>
      <c r="K2395" t="str">
        <f t="shared" si="432"/>
        <v>809</v>
      </c>
      <c r="L2395">
        <v>1020.24</v>
      </c>
    </row>
    <row r="2396" spans="1:12" x14ac:dyDescent="0.25">
      <c r="A2396" t="str">
        <f t="shared" si="425"/>
        <v>89301000</v>
      </c>
      <c r="B2396" t="str">
        <f t="shared" si="430"/>
        <v>89063000</v>
      </c>
      <c r="C2396" t="str">
        <f t="shared" si="430"/>
        <v>89063000</v>
      </c>
      <c r="D2396">
        <v>89301212</v>
      </c>
      <c r="E2396" t="str">
        <f>"405424450"</f>
        <v>405424450</v>
      </c>
      <c r="F2396" s="1">
        <v>44986</v>
      </c>
      <c r="G2396" t="str">
        <f t="shared" si="431"/>
        <v>89312</v>
      </c>
      <c r="H2396">
        <v>3</v>
      </c>
      <c r="I2396">
        <v>936</v>
      </c>
      <c r="J2396">
        <v>0</v>
      </c>
      <c r="K2396" t="str">
        <f t="shared" si="432"/>
        <v>809</v>
      </c>
      <c r="L2396">
        <v>1020.24</v>
      </c>
    </row>
    <row r="2397" spans="1:12" x14ac:dyDescent="0.25">
      <c r="A2397" t="str">
        <f t="shared" si="425"/>
        <v>89301000</v>
      </c>
      <c r="B2397" t="str">
        <f t="shared" si="430"/>
        <v>89063000</v>
      </c>
      <c r="C2397" t="str">
        <f t="shared" si="430"/>
        <v>89063000</v>
      </c>
      <c r="D2397">
        <v>89301037</v>
      </c>
      <c r="E2397" t="str">
        <f>"535307141"</f>
        <v>535307141</v>
      </c>
      <c r="F2397" s="1">
        <v>44987</v>
      </c>
      <c r="G2397" t="str">
        <f t="shared" si="431"/>
        <v>89312</v>
      </c>
      <c r="H2397">
        <v>3</v>
      </c>
      <c r="I2397">
        <v>936</v>
      </c>
      <c r="J2397">
        <v>0</v>
      </c>
      <c r="K2397" t="str">
        <f t="shared" si="432"/>
        <v>809</v>
      </c>
      <c r="L2397">
        <v>1020.24</v>
      </c>
    </row>
    <row r="2398" spans="1:12" x14ac:dyDescent="0.25">
      <c r="A2398" t="str">
        <f t="shared" si="425"/>
        <v>89301000</v>
      </c>
      <c r="B2398" t="str">
        <f t="shared" si="430"/>
        <v>89063000</v>
      </c>
      <c r="C2398" t="str">
        <f t="shared" si="430"/>
        <v>89063000</v>
      </c>
      <c r="D2398">
        <v>89301037</v>
      </c>
      <c r="E2398" t="str">
        <f>"455608407"</f>
        <v>455608407</v>
      </c>
      <c r="F2398" s="1">
        <v>44987</v>
      </c>
      <c r="G2398" t="str">
        <f t="shared" si="431"/>
        <v>89312</v>
      </c>
      <c r="H2398">
        <v>3</v>
      </c>
      <c r="I2398">
        <v>936</v>
      </c>
      <c r="J2398">
        <v>0</v>
      </c>
      <c r="K2398" t="str">
        <f t="shared" si="432"/>
        <v>809</v>
      </c>
      <c r="L2398">
        <v>1020.24</v>
      </c>
    </row>
    <row r="2399" spans="1:12" x14ac:dyDescent="0.25">
      <c r="A2399" t="str">
        <f t="shared" si="425"/>
        <v>89301000</v>
      </c>
      <c r="B2399" t="str">
        <f t="shared" si="430"/>
        <v>89063000</v>
      </c>
      <c r="C2399" t="str">
        <f t="shared" si="430"/>
        <v>89063000</v>
      </c>
      <c r="D2399">
        <v>89301037</v>
      </c>
      <c r="E2399" t="str">
        <f>"5652036874"</f>
        <v>5652036874</v>
      </c>
      <c r="F2399" s="1">
        <v>44987</v>
      </c>
      <c r="G2399" t="str">
        <f t="shared" si="431"/>
        <v>89312</v>
      </c>
      <c r="H2399">
        <v>3</v>
      </c>
      <c r="I2399">
        <v>936</v>
      </c>
      <c r="J2399">
        <v>0</v>
      </c>
      <c r="K2399" t="str">
        <f t="shared" si="432"/>
        <v>809</v>
      </c>
      <c r="L2399">
        <v>1020.24</v>
      </c>
    </row>
    <row r="2400" spans="1:12" x14ac:dyDescent="0.25">
      <c r="A2400" t="str">
        <f t="shared" si="425"/>
        <v>89301000</v>
      </c>
      <c r="B2400" t="str">
        <f t="shared" si="430"/>
        <v>89063000</v>
      </c>
      <c r="C2400" t="str">
        <f t="shared" si="430"/>
        <v>89063000</v>
      </c>
      <c r="D2400">
        <v>89301039</v>
      </c>
      <c r="E2400" t="str">
        <f>"6155210765"</f>
        <v>6155210765</v>
      </c>
      <c r="F2400" s="1">
        <v>44987</v>
      </c>
      <c r="G2400" t="str">
        <f t="shared" si="431"/>
        <v>89312</v>
      </c>
      <c r="H2400">
        <v>3</v>
      </c>
      <c r="I2400">
        <v>936</v>
      </c>
      <c r="J2400">
        <v>0</v>
      </c>
      <c r="K2400" t="str">
        <f t="shared" si="432"/>
        <v>809</v>
      </c>
      <c r="L2400">
        <v>1020.24</v>
      </c>
    </row>
    <row r="2401" spans="1:12" x14ac:dyDescent="0.25">
      <c r="A2401" t="str">
        <f t="shared" si="425"/>
        <v>89301000</v>
      </c>
      <c r="B2401" t="str">
        <f t="shared" si="430"/>
        <v>89063000</v>
      </c>
      <c r="C2401" t="str">
        <f t="shared" si="430"/>
        <v>89063000</v>
      </c>
      <c r="D2401">
        <v>89301037</v>
      </c>
      <c r="E2401" t="str">
        <f>"6454121278"</f>
        <v>6454121278</v>
      </c>
      <c r="F2401" s="1">
        <v>44987</v>
      </c>
      <c r="G2401" t="str">
        <f t="shared" si="431"/>
        <v>89312</v>
      </c>
      <c r="H2401">
        <v>3</v>
      </c>
      <c r="I2401">
        <v>936</v>
      </c>
      <c r="J2401">
        <v>0</v>
      </c>
      <c r="K2401" t="str">
        <f t="shared" si="432"/>
        <v>809</v>
      </c>
      <c r="L2401">
        <v>1020.24</v>
      </c>
    </row>
    <row r="2402" spans="1:12" x14ac:dyDescent="0.25">
      <c r="A2402" t="str">
        <f t="shared" si="425"/>
        <v>89301000</v>
      </c>
      <c r="B2402" t="str">
        <f t="shared" si="430"/>
        <v>89063000</v>
      </c>
      <c r="C2402" t="str">
        <f t="shared" si="430"/>
        <v>89063000</v>
      </c>
      <c r="D2402">
        <v>89301037</v>
      </c>
      <c r="E2402" t="str">
        <f>"9356306146"</f>
        <v>9356306146</v>
      </c>
      <c r="F2402" s="1">
        <v>44991</v>
      </c>
      <c r="G2402" t="str">
        <f t="shared" si="431"/>
        <v>89312</v>
      </c>
      <c r="H2402">
        <v>3</v>
      </c>
      <c r="I2402">
        <v>936</v>
      </c>
      <c r="J2402">
        <v>0</v>
      </c>
      <c r="K2402" t="str">
        <f t="shared" si="432"/>
        <v>809</v>
      </c>
      <c r="L2402">
        <v>1020.24</v>
      </c>
    </row>
    <row r="2403" spans="1:12" x14ac:dyDescent="0.25">
      <c r="A2403" t="str">
        <f t="shared" si="425"/>
        <v>89301000</v>
      </c>
      <c r="B2403" t="str">
        <f t="shared" si="430"/>
        <v>89063000</v>
      </c>
      <c r="C2403" t="str">
        <f t="shared" si="430"/>
        <v>89063000</v>
      </c>
      <c r="D2403">
        <v>89301037</v>
      </c>
      <c r="E2403" t="str">
        <f>"5656171048"</f>
        <v>5656171048</v>
      </c>
      <c r="F2403" s="1">
        <v>44991</v>
      </c>
      <c r="G2403" t="str">
        <f t="shared" si="431"/>
        <v>89312</v>
      </c>
      <c r="H2403">
        <v>3</v>
      </c>
      <c r="I2403">
        <v>936</v>
      </c>
      <c r="J2403">
        <v>0</v>
      </c>
      <c r="K2403" t="str">
        <f t="shared" si="432"/>
        <v>809</v>
      </c>
      <c r="L2403">
        <v>1020.24</v>
      </c>
    </row>
    <row r="2404" spans="1:12" x14ac:dyDescent="0.25">
      <c r="A2404" t="str">
        <f t="shared" si="425"/>
        <v>89301000</v>
      </c>
      <c r="B2404" t="str">
        <f t="shared" si="430"/>
        <v>89063000</v>
      </c>
      <c r="C2404" t="str">
        <f t="shared" si="430"/>
        <v>89063000</v>
      </c>
      <c r="D2404">
        <v>89301037</v>
      </c>
      <c r="E2404" t="str">
        <f>"6755030095"</f>
        <v>6755030095</v>
      </c>
      <c r="F2404" s="1">
        <v>44992</v>
      </c>
      <c r="G2404" t="str">
        <f t="shared" si="431"/>
        <v>89312</v>
      </c>
      <c r="H2404">
        <v>3</v>
      </c>
      <c r="I2404">
        <v>936</v>
      </c>
      <c r="J2404">
        <v>0</v>
      </c>
      <c r="K2404" t="str">
        <f t="shared" si="432"/>
        <v>809</v>
      </c>
      <c r="L2404">
        <v>1020.24</v>
      </c>
    </row>
    <row r="2405" spans="1:12" x14ac:dyDescent="0.25">
      <c r="A2405" t="str">
        <f t="shared" si="425"/>
        <v>89301000</v>
      </c>
      <c r="B2405" t="str">
        <f t="shared" si="430"/>
        <v>89063000</v>
      </c>
      <c r="C2405" t="str">
        <f t="shared" si="430"/>
        <v>89063000</v>
      </c>
      <c r="D2405">
        <v>89301037</v>
      </c>
      <c r="E2405" t="str">
        <f>"495918010"</f>
        <v>495918010</v>
      </c>
      <c r="F2405" s="1">
        <v>44992</v>
      </c>
      <c r="G2405" t="str">
        <f t="shared" si="431"/>
        <v>89312</v>
      </c>
      <c r="H2405">
        <v>3</v>
      </c>
      <c r="I2405">
        <v>936</v>
      </c>
      <c r="J2405">
        <v>0</v>
      </c>
      <c r="K2405" t="str">
        <f t="shared" si="432"/>
        <v>809</v>
      </c>
      <c r="L2405">
        <v>1020.24</v>
      </c>
    </row>
    <row r="2406" spans="1:12" x14ac:dyDescent="0.25">
      <c r="A2406" t="str">
        <f t="shared" si="425"/>
        <v>89301000</v>
      </c>
      <c r="B2406" t="str">
        <f t="shared" si="430"/>
        <v>89063000</v>
      </c>
      <c r="C2406" t="str">
        <f t="shared" si="430"/>
        <v>89063000</v>
      </c>
      <c r="D2406">
        <v>89301036</v>
      </c>
      <c r="E2406" t="str">
        <f>"7660065248"</f>
        <v>7660065248</v>
      </c>
      <c r="F2406" s="1">
        <v>44992</v>
      </c>
      <c r="G2406" t="str">
        <f t="shared" si="431"/>
        <v>89312</v>
      </c>
      <c r="H2406">
        <v>3</v>
      </c>
      <c r="I2406">
        <v>936</v>
      </c>
      <c r="J2406">
        <v>0</v>
      </c>
      <c r="K2406" t="str">
        <f t="shared" si="432"/>
        <v>809</v>
      </c>
      <c r="L2406">
        <v>1020.24</v>
      </c>
    </row>
    <row r="2407" spans="1:12" x14ac:dyDescent="0.25">
      <c r="A2407" t="str">
        <f t="shared" si="425"/>
        <v>89301000</v>
      </c>
      <c r="B2407" t="str">
        <f t="shared" si="430"/>
        <v>89063000</v>
      </c>
      <c r="C2407" t="str">
        <f t="shared" si="430"/>
        <v>89063000</v>
      </c>
      <c r="D2407">
        <v>89301702</v>
      </c>
      <c r="E2407" t="str">
        <f>"1356010018"</f>
        <v>1356010018</v>
      </c>
      <c r="F2407" s="1">
        <v>44992</v>
      </c>
      <c r="G2407" t="str">
        <f t="shared" si="431"/>
        <v>89312</v>
      </c>
      <c r="H2407">
        <v>1</v>
      </c>
      <c r="I2407">
        <v>312</v>
      </c>
      <c r="J2407">
        <v>0</v>
      </c>
      <c r="K2407" t="str">
        <f t="shared" si="432"/>
        <v>809</v>
      </c>
      <c r="L2407">
        <v>340.08</v>
      </c>
    </row>
    <row r="2408" spans="1:12" x14ac:dyDescent="0.25">
      <c r="A2408" t="str">
        <f t="shared" si="425"/>
        <v>89301000</v>
      </c>
      <c r="B2408" t="str">
        <f t="shared" si="430"/>
        <v>89063000</v>
      </c>
      <c r="C2408" t="str">
        <f t="shared" si="430"/>
        <v>89063000</v>
      </c>
      <c r="D2408">
        <v>89301037</v>
      </c>
      <c r="E2408" t="str">
        <f>"516213194"</f>
        <v>516213194</v>
      </c>
      <c r="F2408" s="1">
        <v>44992</v>
      </c>
      <c r="G2408" t="str">
        <f t="shared" si="431"/>
        <v>89312</v>
      </c>
      <c r="H2408">
        <v>3</v>
      </c>
      <c r="I2408">
        <v>936</v>
      </c>
      <c r="J2408">
        <v>0</v>
      </c>
      <c r="K2408" t="str">
        <f t="shared" si="432"/>
        <v>809</v>
      </c>
      <c r="L2408">
        <v>1020.24</v>
      </c>
    </row>
    <row r="2409" spans="1:12" x14ac:dyDescent="0.25">
      <c r="A2409" t="str">
        <f t="shared" si="425"/>
        <v>89301000</v>
      </c>
      <c r="B2409" t="str">
        <f t="shared" si="430"/>
        <v>89063000</v>
      </c>
      <c r="C2409" t="str">
        <f t="shared" si="430"/>
        <v>89063000</v>
      </c>
      <c r="D2409">
        <v>89301037</v>
      </c>
      <c r="E2409" t="str">
        <f>"505630076"</f>
        <v>505630076</v>
      </c>
      <c r="F2409" s="1">
        <v>44993</v>
      </c>
      <c r="G2409" t="str">
        <f t="shared" si="431"/>
        <v>89312</v>
      </c>
      <c r="H2409">
        <v>3</v>
      </c>
      <c r="I2409">
        <v>936</v>
      </c>
      <c r="J2409">
        <v>0</v>
      </c>
      <c r="K2409" t="str">
        <f t="shared" si="432"/>
        <v>809</v>
      </c>
      <c r="L2409">
        <v>1020.24</v>
      </c>
    </row>
    <row r="2410" spans="1:12" x14ac:dyDescent="0.25">
      <c r="A2410" t="str">
        <f t="shared" si="425"/>
        <v>89301000</v>
      </c>
      <c r="B2410" t="str">
        <f t="shared" si="430"/>
        <v>89063000</v>
      </c>
      <c r="C2410" t="str">
        <f t="shared" si="430"/>
        <v>89063000</v>
      </c>
      <c r="D2410">
        <v>89301037</v>
      </c>
      <c r="E2410" t="str">
        <f>"375420428"</f>
        <v>375420428</v>
      </c>
      <c r="F2410" s="1">
        <v>44993</v>
      </c>
      <c r="G2410" t="str">
        <f t="shared" si="431"/>
        <v>89312</v>
      </c>
      <c r="H2410">
        <v>3</v>
      </c>
      <c r="I2410">
        <v>936</v>
      </c>
      <c r="J2410">
        <v>0</v>
      </c>
      <c r="K2410" t="str">
        <f t="shared" si="432"/>
        <v>809</v>
      </c>
      <c r="L2410">
        <v>1020.24</v>
      </c>
    </row>
    <row r="2411" spans="1:12" x14ac:dyDescent="0.25">
      <c r="A2411" t="str">
        <f t="shared" si="425"/>
        <v>89301000</v>
      </c>
      <c r="B2411" t="str">
        <f t="shared" si="430"/>
        <v>89063000</v>
      </c>
      <c r="C2411" t="str">
        <f t="shared" si="430"/>
        <v>89063000</v>
      </c>
      <c r="D2411">
        <v>89301031</v>
      </c>
      <c r="E2411" t="str">
        <f>"5857200239"</f>
        <v>5857200239</v>
      </c>
      <c r="F2411" s="1">
        <v>44994</v>
      </c>
      <c r="G2411" t="str">
        <f t="shared" si="431"/>
        <v>89312</v>
      </c>
      <c r="H2411">
        <v>3</v>
      </c>
      <c r="I2411">
        <v>936</v>
      </c>
      <c r="J2411">
        <v>0</v>
      </c>
      <c r="K2411" t="str">
        <f t="shared" si="432"/>
        <v>809</v>
      </c>
      <c r="L2411">
        <v>1020.24</v>
      </c>
    </row>
    <row r="2412" spans="1:12" x14ac:dyDescent="0.25">
      <c r="A2412" t="str">
        <f t="shared" si="425"/>
        <v>89301000</v>
      </c>
      <c r="B2412" t="str">
        <f t="shared" si="430"/>
        <v>89063000</v>
      </c>
      <c r="C2412" t="str">
        <f t="shared" si="430"/>
        <v>89063000</v>
      </c>
      <c r="D2412">
        <v>89301037</v>
      </c>
      <c r="E2412" t="str">
        <f>"495419055"</f>
        <v>495419055</v>
      </c>
      <c r="F2412" s="1">
        <v>44994</v>
      </c>
      <c r="G2412" t="str">
        <f t="shared" si="431"/>
        <v>89312</v>
      </c>
      <c r="H2412">
        <v>3</v>
      </c>
      <c r="I2412">
        <v>936</v>
      </c>
      <c r="J2412">
        <v>0</v>
      </c>
      <c r="K2412" t="str">
        <f t="shared" si="432"/>
        <v>809</v>
      </c>
      <c r="L2412">
        <v>1020.24</v>
      </c>
    </row>
    <row r="2413" spans="1:12" x14ac:dyDescent="0.25">
      <c r="A2413" t="str">
        <f t="shared" si="425"/>
        <v>89301000</v>
      </c>
      <c r="B2413" t="str">
        <f t="shared" si="430"/>
        <v>89063000</v>
      </c>
      <c r="C2413" t="str">
        <f t="shared" si="430"/>
        <v>89063000</v>
      </c>
      <c r="D2413">
        <v>89301036</v>
      </c>
      <c r="E2413" t="str">
        <f>"6502192048"</f>
        <v>6502192048</v>
      </c>
      <c r="F2413" s="1">
        <v>44994</v>
      </c>
      <c r="G2413" t="str">
        <f t="shared" si="431"/>
        <v>89312</v>
      </c>
      <c r="H2413">
        <v>3</v>
      </c>
      <c r="I2413">
        <v>936</v>
      </c>
      <c r="J2413">
        <v>0</v>
      </c>
      <c r="K2413" t="str">
        <f t="shared" si="432"/>
        <v>809</v>
      </c>
      <c r="L2413">
        <v>1020.24</v>
      </c>
    </row>
    <row r="2414" spans="1:12" x14ac:dyDescent="0.25">
      <c r="A2414" t="str">
        <f t="shared" si="425"/>
        <v>89301000</v>
      </c>
      <c r="B2414" t="str">
        <f t="shared" ref="B2414:C2433" si="433">"89063000"</f>
        <v>89063000</v>
      </c>
      <c r="C2414" t="str">
        <f t="shared" si="433"/>
        <v>89063000</v>
      </c>
      <c r="D2414">
        <v>89301212</v>
      </c>
      <c r="E2414" t="str">
        <f>"5861290314"</f>
        <v>5861290314</v>
      </c>
      <c r="F2414" s="1">
        <v>44994</v>
      </c>
      <c r="G2414" t="str">
        <f t="shared" si="431"/>
        <v>89312</v>
      </c>
      <c r="H2414">
        <v>3</v>
      </c>
      <c r="I2414">
        <v>936</v>
      </c>
      <c r="J2414">
        <v>0</v>
      </c>
      <c r="K2414" t="str">
        <f t="shared" si="432"/>
        <v>809</v>
      </c>
      <c r="L2414">
        <v>1020.24</v>
      </c>
    </row>
    <row r="2415" spans="1:12" x14ac:dyDescent="0.25">
      <c r="A2415" t="str">
        <f t="shared" si="425"/>
        <v>89301000</v>
      </c>
      <c r="B2415" t="str">
        <f t="shared" si="433"/>
        <v>89063000</v>
      </c>
      <c r="C2415" t="str">
        <f t="shared" si="433"/>
        <v>89063000</v>
      </c>
      <c r="D2415">
        <v>89301039</v>
      </c>
      <c r="E2415" t="str">
        <f>"0308126148"</f>
        <v>0308126148</v>
      </c>
      <c r="F2415" s="1">
        <v>44994</v>
      </c>
      <c r="G2415" t="str">
        <f t="shared" si="431"/>
        <v>89312</v>
      </c>
      <c r="H2415">
        <v>3</v>
      </c>
      <c r="I2415">
        <v>936</v>
      </c>
      <c r="J2415">
        <v>0</v>
      </c>
      <c r="K2415" t="str">
        <f t="shared" si="432"/>
        <v>809</v>
      </c>
      <c r="L2415">
        <v>1020.24</v>
      </c>
    </row>
    <row r="2416" spans="1:12" x14ac:dyDescent="0.25">
      <c r="A2416" t="str">
        <f t="shared" si="425"/>
        <v>89301000</v>
      </c>
      <c r="B2416" t="str">
        <f t="shared" si="433"/>
        <v>89063000</v>
      </c>
      <c r="C2416" t="str">
        <f t="shared" si="433"/>
        <v>89063000</v>
      </c>
      <c r="D2416">
        <v>89301039</v>
      </c>
      <c r="E2416" t="str">
        <f>"0156175008"</f>
        <v>0156175008</v>
      </c>
      <c r="F2416" s="1">
        <v>44994</v>
      </c>
      <c r="G2416" t="str">
        <f t="shared" si="431"/>
        <v>89312</v>
      </c>
      <c r="H2416">
        <v>3</v>
      </c>
      <c r="I2416">
        <v>936</v>
      </c>
      <c r="J2416">
        <v>0</v>
      </c>
      <c r="K2416" t="str">
        <f t="shared" si="432"/>
        <v>809</v>
      </c>
      <c r="L2416">
        <v>1020.24</v>
      </c>
    </row>
    <row r="2417" spans="1:12" x14ac:dyDescent="0.25">
      <c r="A2417" t="str">
        <f t="shared" si="425"/>
        <v>89301000</v>
      </c>
      <c r="B2417" t="str">
        <f t="shared" si="433"/>
        <v>89063000</v>
      </c>
      <c r="C2417" t="str">
        <f t="shared" si="433"/>
        <v>89063000</v>
      </c>
      <c r="D2417">
        <v>89301704</v>
      </c>
      <c r="E2417" t="str">
        <f>"0855263266"</f>
        <v>0855263266</v>
      </c>
      <c r="F2417" s="1">
        <v>44994</v>
      </c>
      <c r="G2417" t="str">
        <f t="shared" si="431"/>
        <v>89312</v>
      </c>
      <c r="H2417">
        <v>1</v>
      </c>
      <c r="I2417">
        <v>312</v>
      </c>
      <c r="J2417">
        <v>0</v>
      </c>
      <c r="K2417" t="str">
        <f t="shared" si="432"/>
        <v>809</v>
      </c>
      <c r="L2417">
        <v>340.08</v>
      </c>
    </row>
    <row r="2418" spans="1:12" x14ac:dyDescent="0.25">
      <c r="A2418" t="str">
        <f t="shared" si="425"/>
        <v>89301000</v>
      </c>
      <c r="B2418" t="str">
        <f t="shared" si="433"/>
        <v>89063000</v>
      </c>
      <c r="C2418" t="str">
        <f t="shared" si="433"/>
        <v>89063000</v>
      </c>
      <c r="D2418">
        <v>89301201</v>
      </c>
      <c r="E2418" t="str">
        <f>"5657040499"</f>
        <v>5657040499</v>
      </c>
      <c r="F2418" s="1">
        <v>44995</v>
      </c>
      <c r="G2418" t="str">
        <f t="shared" si="431"/>
        <v>89312</v>
      </c>
      <c r="H2418">
        <v>3</v>
      </c>
      <c r="I2418">
        <v>936</v>
      </c>
      <c r="J2418">
        <v>0</v>
      </c>
      <c r="K2418" t="str">
        <f t="shared" si="432"/>
        <v>809</v>
      </c>
      <c r="L2418">
        <v>1020.24</v>
      </c>
    </row>
    <row r="2419" spans="1:12" x14ac:dyDescent="0.25">
      <c r="A2419" t="str">
        <f t="shared" si="425"/>
        <v>89301000</v>
      </c>
      <c r="B2419" t="str">
        <f t="shared" si="433"/>
        <v>89063000</v>
      </c>
      <c r="C2419" t="str">
        <f t="shared" si="433"/>
        <v>89063000</v>
      </c>
      <c r="D2419">
        <v>89301212</v>
      </c>
      <c r="E2419" t="str">
        <f>"5552021750"</f>
        <v>5552021750</v>
      </c>
      <c r="F2419" s="1">
        <v>44995</v>
      </c>
      <c r="G2419" t="str">
        <f t="shared" si="431"/>
        <v>89312</v>
      </c>
      <c r="H2419">
        <v>3</v>
      </c>
      <c r="I2419">
        <v>936</v>
      </c>
      <c r="J2419">
        <v>0</v>
      </c>
      <c r="K2419" t="str">
        <f t="shared" si="432"/>
        <v>809</v>
      </c>
      <c r="L2419">
        <v>1020.24</v>
      </c>
    </row>
    <row r="2420" spans="1:12" x14ac:dyDescent="0.25">
      <c r="A2420" t="str">
        <f t="shared" si="425"/>
        <v>89301000</v>
      </c>
      <c r="B2420" t="str">
        <f t="shared" si="433"/>
        <v>89063000</v>
      </c>
      <c r="C2420" t="str">
        <f t="shared" si="433"/>
        <v>89063000</v>
      </c>
      <c r="D2420">
        <v>89301037</v>
      </c>
      <c r="E2420" t="str">
        <f>"5952201123"</f>
        <v>5952201123</v>
      </c>
      <c r="F2420" s="1">
        <v>44995</v>
      </c>
      <c r="G2420" t="str">
        <f t="shared" si="431"/>
        <v>89312</v>
      </c>
      <c r="H2420">
        <v>3</v>
      </c>
      <c r="I2420">
        <v>936</v>
      </c>
      <c r="J2420">
        <v>0</v>
      </c>
      <c r="K2420" t="str">
        <f t="shared" si="432"/>
        <v>809</v>
      </c>
      <c r="L2420">
        <v>1020.24</v>
      </c>
    </row>
    <row r="2421" spans="1:12" x14ac:dyDescent="0.25">
      <c r="A2421" t="str">
        <f t="shared" si="425"/>
        <v>89301000</v>
      </c>
      <c r="B2421" t="str">
        <f t="shared" si="433"/>
        <v>89063000</v>
      </c>
      <c r="C2421" t="str">
        <f t="shared" si="433"/>
        <v>89063000</v>
      </c>
      <c r="D2421">
        <v>89301031</v>
      </c>
      <c r="E2421" t="str">
        <f>"6005301907"</f>
        <v>6005301907</v>
      </c>
      <c r="F2421" s="1">
        <v>44998</v>
      </c>
      <c r="G2421" t="str">
        <f t="shared" si="431"/>
        <v>89312</v>
      </c>
      <c r="H2421">
        <v>3</v>
      </c>
      <c r="I2421">
        <v>936</v>
      </c>
      <c r="J2421">
        <v>0</v>
      </c>
      <c r="K2421" t="str">
        <f t="shared" si="432"/>
        <v>809</v>
      </c>
      <c r="L2421">
        <v>1020.24</v>
      </c>
    </row>
    <row r="2422" spans="1:12" x14ac:dyDescent="0.25">
      <c r="A2422" t="str">
        <f t="shared" si="425"/>
        <v>89301000</v>
      </c>
      <c r="B2422" t="str">
        <f t="shared" si="433"/>
        <v>89063000</v>
      </c>
      <c r="C2422" t="str">
        <f t="shared" si="433"/>
        <v>89063000</v>
      </c>
      <c r="D2422">
        <v>89301162</v>
      </c>
      <c r="E2422" t="str">
        <f>"9411266238"</f>
        <v>9411266238</v>
      </c>
      <c r="F2422" s="1">
        <v>44998</v>
      </c>
      <c r="G2422" t="str">
        <f t="shared" si="431"/>
        <v>89312</v>
      </c>
      <c r="H2422">
        <v>3</v>
      </c>
      <c r="I2422">
        <v>936</v>
      </c>
      <c r="J2422">
        <v>0</v>
      </c>
      <c r="K2422" t="str">
        <f t="shared" si="432"/>
        <v>809</v>
      </c>
      <c r="L2422">
        <v>1020.24</v>
      </c>
    </row>
    <row r="2423" spans="1:12" x14ac:dyDescent="0.25">
      <c r="A2423" t="str">
        <f t="shared" si="425"/>
        <v>89301000</v>
      </c>
      <c r="B2423" t="str">
        <f t="shared" si="433"/>
        <v>89063000</v>
      </c>
      <c r="C2423" t="str">
        <f t="shared" si="433"/>
        <v>89063000</v>
      </c>
      <c r="D2423">
        <v>89301212</v>
      </c>
      <c r="E2423" t="str">
        <f>"6062271435"</f>
        <v>6062271435</v>
      </c>
      <c r="F2423" s="1">
        <v>44998</v>
      </c>
      <c r="G2423" t="str">
        <f t="shared" si="431"/>
        <v>89312</v>
      </c>
      <c r="H2423">
        <v>3</v>
      </c>
      <c r="I2423">
        <v>936</v>
      </c>
      <c r="J2423">
        <v>0</v>
      </c>
      <c r="K2423" t="str">
        <f t="shared" si="432"/>
        <v>809</v>
      </c>
      <c r="L2423">
        <v>1020.24</v>
      </c>
    </row>
    <row r="2424" spans="1:12" x14ac:dyDescent="0.25">
      <c r="A2424" t="str">
        <f t="shared" si="425"/>
        <v>89301000</v>
      </c>
      <c r="B2424" t="str">
        <f t="shared" si="433"/>
        <v>89063000</v>
      </c>
      <c r="C2424" t="str">
        <f t="shared" si="433"/>
        <v>89063000</v>
      </c>
      <c r="D2424">
        <v>89301702</v>
      </c>
      <c r="E2424" t="str">
        <f>"1252210201"</f>
        <v>1252210201</v>
      </c>
      <c r="F2424" s="1">
        <v>44999</v>
      </c>
      <c r="G2424" t="str">
        <f t="shared" si="431"/>
        <v>89312</v>
      </c>
      <c r="H2424">
        <v>1</v>
      </c>
      <c r="I2424">
        <v>312</v>
      </c>
      <c r="J2424">
        <v>0</v>
      </c>
      <c r="K2424" t="str">
        <f t="shared" si="432"/>
        <v>809</v>
      </c>
      <c r="L2424">
        <v>340.08</v>
      </c>
    </row>
    <row r="2425" spans="1:12" x14ac:dyDescent="0.25">
      <c r="A2425" t="str">
        <f t="shared" si="425"/>
        <v>89301000</v>
      </c>
      <c r="B2425" t="str">
        <f t="shared" si="433"/>
        <v>89063000</v>
      </c>
      <c r="C2425" t="str">
        <f t="shared" si="433"/>
        <v>89063000</v>
      </c>
      <c r="D2425">
        <v>89301037</v>
      </c>
      <c r="E2425" t="str">
        <f>"6954048750"</f>
        <v>6954048750</v>
      </c>
      <c r="F2425" s="1">
        <v>45000</v>
      </c>
      <c r="G2425" t="str">
        <f t="shared" si="431"/>
        <v>89312</v>
      </c>
      <c r="H2425">
        <v>3</v>
      </c>
      <c r="I2425">
        <v>936</v>
      </c>
      <c r="J2425">
        <v>0</v>
      </c>
      <c r="K2425" t="str">
        <f t="shared" si="432"/>
        <v>809</v>
      </c>
      <c r="L2425">
        <v>1020.24</v>
      </c>
    </row>
    <row r="2426" spans="1:12" x14ac:dyDescent="0.25">
      <c r="A2426" t="str">
        <f t="shared" si="425"/>
        <v>89301000</v>
      </c>
      <c r="B2426" t="str">
        <f t="shared" si="433"/>
        <v>89063000</v>
      </c>
      <c r="C2426" t="str">
        <f t="shared" si="433"/>
        <v>89063000</v>
      </c>
      <c r="D2426">
        <v>89301037</v>
      </c>
      <c r="E2426" t="str">
        <f>"5759081790"</f>
        <v>5759081790</v>
      </c>
      <c r="F2426" s="1">
        <v>45000</v>
      </c>
      <c r="G2426" t="str">
        <f t="shared" ref="G2426:G2457" si="434">"89312"</f>
        <v>89312</v>
      </c>
      <c r="H2426">
        <v>3</v>
      </c>
      <c r="I2426">
        <v>936</v>
      </c>
      <c r="J2426">
        <v>0</v>
      </c>
      <c r="K2426" t="str">
        <f t="shared" ref="K2426:K2457" si="435">"809"</f>
        <v>809</v>
      </c>
      <c r="L2426">
        <v>1020.24</v>
      </c>
    </row>
    <row r="2427" spans="1:12" x14ac:dyDescent="0.25">
      <c r="A2427" t="str">
        <f t="shared" si="425"/>
        <v>89301000</v>
      </c>
      <c r="B2427" t="str">
        <f t="shared" si="433"/>
        <v>89063000</v>
      </c>
      <c r="C2427" t="str">
        <f t="shared" si="433"/>
        <v>89063000</v>
      </c>
      <c r="D2427">
        <v>89301037</v>
      </c>
      <c r="E2427" t="str">
        <f>"5904270350"</f>
        <v>5904270350</v>
      </c>
      <c r="F2427" s="1">
        <v>45000</v>
      </c>
      <c r="G2427" t="str">
        <f t="shared" si="434"/>
        <v>89312</v>
      </c>
      <c r="H2427">
        <v>3</v>
      </c>
      <c r="I2427">
        <v>936</v>
      </c>
      <c r="J2427">
        <v>0</v>
      </c>
      <c r="K2427" t="str">
        <f t="shared" si="435"/>
        <v>809</v>
      </c>
      <c r="L2427">
        <v>1020.24</v>
      </c>
    </row>
    <row r="2428" spans="1:12" x14ac:dyDescent="0.25">
      <c r="A2428" t="str">
        <f t="shared" si="425"/>
        <v>89301000</v>
      </c>
      <c r="B2428" t="str">
        <f t="shared" si="433"/>
        <v>89063000</v>
      </c>
      <c r="C2428" t="str">
        <f t="shared" si="433"/>
        <v>89063000</v>
      </c>
      <c r="D2428">
        <v>89301102</v>
      </c>
      <c r="E2428" t="str">
        <f>"0906033249"</f>
        <v>0906033249</v>
      </c>
      <c r="F2428" s="1">
        <v>45000</v>
      </c>
      <c r="G2428" t="str">
        <f t="shared" si="434"/>
        <v>89312</v>
      </c>
      <c r="H2428">
        <v>1</v>
      </c>
      <c r="I2428">
        <v>312</v>
      </c>
      <c r="J2428">
        <v>0</v>
      </c>
      <c r="K2428" t="str">
        <f t="shared" si="435"/>
        <v>809</v>
      </c>
      <c r="L2428">
        <v>340.08</v>
      </c>
    </row>
    <row r="2429" spans="1:12" x14ac:dyDescent="0.25">
      <c r="A2429" t="str">
        <f t="shared" si="425"/>
        <v>89301000</v>
      </c>
      <c r="B2429" t="str">
        <f t="shared" si="433"/>
        <v>89063000</v>
      </c>
      <c r="C2429" t="str">
        <f t="shared" si="433"/>
        <v>89063000</v>
      </c>
      <c r="D2429">
        <v>89301212</v>
      </c>
      <c r="E2429" t="str">
        <f>"496112239"</f>
        <v>496112239</v>
      </c>
      <c r="F2429" s="1">
        <v>45000</v>
      </c>
      <c r="G2429" t="str">
        <f t="shared" si="434"/>
        <v>89312</v>
      </c>
      <c r="H2429">
        <v>3</v>
      </c>
      <c r="I2429">
        <v>936</v>
      </c>
      <c r="J2429">
        <v>0</v>
      </c>
      <c r="K2429" t="str">
        <f t="shared" si="435"/>
        <v>809</v>
      </c>
      <c r="L2429">
        <v>1020.24</v>
      </c>
    </row>
    <row r="2430" spans="1:12" x14ac:dyDescent="0.25">
      <c r="A2430" t="str">
        <f t="shared" si="425"/>
        <v>89301000</v>
      </c>
      <c r="B2430" t="str">
        <f t="shared" si="433"/>
        <v>89063000</v>
      </c>
      <c r="C2430" t="str">
        <f t="shared" si="433"/>
        <v>89063000</v>
      </c>
      <c r="D2430">
        <v>89301162</v>
      </c>
      <c r="E2430" t="str">
        <f>"7108205379"</f>
        <v>7108205379</v>
      </c>
      <c r="F2430" s="1">
        <v>45001</v>
      </c>
      <c r="G2430" t="str">
        <f t="shared" si="434"/>
        <v>89312</v>
      </c>
      <c r="H2430">
        <v>3</v>
      </c>
      <c r="I2430">
        <v>936</v>
      </c>
      <c r="J2430">
        <v>0</v>
      </c>
      <c r="K2430" t="str">
        <f t="shared" si="435"/>
        <v>809</v>
      </c>
      <c r="L2430">
        <v>1020.24</v>
      </c>
    </row>
    <row r="2431" spans="1:12" x14ac:dyDescent="0.25">
      <c r="A2431" t="str">
        <f t="shared" si="425"/>
        <v>89301000</v>
      </c>
      <c r="B2431" t="str">
        <f t="shared" si="433"/>
        <v>89063000</v>
      </c>
      <c r="C2431" t="str">
        <f t="shared" si="433"/>
        <v>89063000</v>
      </c>
      <c r="D2431">
        <v>89301037</v>
      </c>
      <c r="E2431" t="str">
        <f>"8909015709"</f>
        <v>8909015709</v>
      </c>
      <c r="F2431" s="1">
        <v>45001</v>
      </c>
      <c r="G2431" t="str">
        <f t="shared" si="434"/>
        <v>89312</v>
      </c>
      <c r="H2431">
        <v>3</v>
      </c>
      <c r="I2431">
        <v>936</v>
      </c>
      <c r="J2431">
        <v>0</v>
      </c>
      <c r="K2431" t="str">
        <f t="shared" si="435"/>
        <v>809</v>
      </c>
      <c r="L2431">
        <v>1020.24</v>
      </c>
    </row>
    <row r="2432" spans="1:12" x14ac:dyDescent="0.25">
      <c r="A2432" t="str">
        <f t="shared" si="425"/>
        <v>89301000</v>
      </c>
      <c r="B2432" t="str">
        <f t="shared" si="433"/>
        <v>89063000</v>
      </c>
      <c r="C2432" t="str">
        <f t="shared" si="433"/>
        <v>89063000</v>
      </c>
      <c r="D2432">
        <v>89301037</v>
      </c>
      <c r="E2432" t="str">
        <f>"7405105323"</f>
        <v>7405105323</v>
      </c>
      <c r="F2432" s="1">
        <v>45001</v>
      </c>
      <c r="G2432" t="str">
        <f t="shared" si="434"/>
        <v>89312</v>
      </c>
      <c r="H2432">
        <v>3</v>
      </c>
      <c r="I2432">
        <v>936</v>
      </c>
      <c r="J2432">
        <v>0</v>
      </c>
      <c r="K2432" t="str">
        <f t="shared" si="435"/>
        <v>809</v>
      </c>
      <c r="L2432">
        <v>1020.24</v>
      </c>
    </row>
    <row r="2433" spans="1:12" x14ac:dyDescent="0.25">
      <c r="A2433" t="str">
        <f t="shared" si="425"/>
        <v>89301000</v>
      </c>
      <c r="B2433" t="str">
        <f t="shared" si="433"/>
        <v>89063000</v>
      </c>
      <c r="C2433" t="str">
        <f t="shared" si="433"/>
        <v>89063000</v>
      </c>
      <c r="D2433">
        <v>89301037</v>
      </c>
      <c r="E2433" t="str">
        <f>"6856010557"</f>
        <v>6856010557</v>
      </c>
      <c r="F2433" s="1">
        <v>45002</v>
      </c>
      <c r="G2433" t="str">
        <f t="shared" si="434"/>
        <v>89312</v>
      </c>
      <c r="H2433">
        <v>3</v>
      </c>
      <c r="I2433">
        <v>936</v>
      </c>
      <c r="J2433">
        <v>0</v>
      </c>
      <c r="K2433" t="str">
        <f t="shared" si="435"/>
        <v>809</v>
      </c>
      <c r="L2433">
        <v>1020.24</v>
      </c>
    </row>
    <row r="2434" spans="1:12" x14ac:dyDescent="0.25">
      <c r="A2434" t="str">
        <f t="shared" ref="A2434:A2497" si="436">"89301000"</f>
        <v>89301000</v>
      </c>
      <c r="B2434" t="str">
        <f t="shared" ref="B2434:C2453" si="437">"89063000"</f>
        <v>89063000</v>
      </c>
      <c r="C2434" t="str">
        <f t="shared" si="437"/>
        <v>89063000</v>
      </c>
      <c r="D2434">
        <v>89301036</v>
      </c>
      <c r="E2434" t="str">
        <f>"6209020235"</f>
        <v>6209020235</v>
      </c>
      <c r="F2434" s="1">
        <v>45002</v>
      </c>
      <c r="G2434" t="str">
        <f t="shared" si="434"/>
        <v>89312</v>
      </c>
      <c r="H2434">
        <v>3</v>
      </c>
      <c r="I2434">
        <v>936</v>
      </c>
      <c r="J2434">
        <v>0</v>
      </c>
      <c r="K2434" t="str">
        <f t="shared" si="435"/>
        <v>809</v>
      </c>
      <c r="L2434">
        <v>1020.24</v>
      </c>
    </row>
    <row r="2435" spans="1:12" x14ac:dyDescent="0.25">
      <c r="A2435" t="str">
        <f t="shared" si="436"/>
        <v>89301000</v>
      </c>
      <c r="B2435" t="str">
        <f t="shared" si="437"/>
        <v>89063000</v>
      </c>
      <c r="C2435" t="str">
        <f t="shared" si="437"/>
        <v>89063000</v>
      </c>
      <c r="D2435">
        <v>89301037</v>
      </c>
      <c r="E2435" t="str">
        <f>"7051085800"</f>
        <v>7051085800</v>
      </c>
      <c r="F2435" s="1">
        <v>45005</v>
      </c>
      <c r="G2435" t="str">
        <f t="shared" si="434"/>
        <v>89312</v>
      </c>
      <c r="H2435">
        <v>3</v>
      </c>
      <c r="I2435">
        <v>936</v>
      </c>
      <c r="J2435">
        <v>0</v>
      </c>
      <c r="K2435" t="str">
        <f t="shared" si="435"/>
        <v>809</v>
      </c>
      <c r="L2435">
        <v>1020.24</v>
      </c>
    </row>
    <row r="2436" spans="1:12" x14ac:dyDescent="0.25">
      <c r="A2436" t="str">
        <f t="shared" si="436"/>
        <v>89301000</v>
      </c>
      <c r="B2436" t="str">
        <f t="shared" si="437"/>
        <v>89063000</v>
      </c>
      <c r="C2436" t="str">
        <f t="shared" si="437"/>
        <v>89063000</v>
      </c>
      <c r="D2436">
        <v>89301037</v>
      </c>
      <c r="E2436" t="str">
        <f>"6259091520"</f>
        <v>6259091520</v>
      </c>
      <c r="F2436" s="1">
        <v>45005</v>
      </c>
      <c r="G2436" t="str">
        <f t="shared" si="434"/>
        <v>89312</v>
      </c>
      <c r="H2436">
        <v>3</v>
      </c>
      <c r="I2436">
        <v>936</v>
      </c>
      <c r="J2436">
        <v>0</v>
      </c>
      <c r="K2436" t="str">
        <f t="shared" si="435"/>
        <v>809</v>
      </c>
      <c r="L2436">
        <v>1020.24</v>
      </c>
    </row>
    <row r="2437" spans="1:12" x14ac:dyDescent="0.25">
      <c r="A2437" t="str">
        <f t="shared" si="436"/>
        <v>89301000</v>
      </c>
      <c r="B2437" t="str">
        <f t="shared" si="437"/>
        <v>89063000</v>
      </c>
      <c r="C2437" t="str">
        <f t="shared" si="437"/>
        <v>89063000</v>
      </c>
      <c r="D2437">
        <v>89301162</v>
      </c>
      <c r="E2437" t="str">
        <f>"6555261768"</f>
        <v>6555261768</v>
      </c>
      <c r="F2437" s="1">
        <v>45005</v>
      </c>
      <c r="G2437" t="str">
        <f t="shared" si="434"/>
        <v>89312</v>
      </c>
      <c r="H2437">
        <v>3</v>
      </c>
      <c r="I2437">
        <v>936</v>
      </c>
      <c r="J2437">
        <v>0</v>
      </c>
      <c r="K2437" t="str">
        <f t="shared" si="435"/>
        <v>809</v>
      </c>
      <c r="L2437">
        <v>1020.24</v>
      </c>
    </row>
    <row r="2438" spans="1:12" x14ac:dyDescent="0.25">
      <c r="A2438" t="str">
        <f t="shared" si="436"/>
        <v>89301000</v>
      </c>
      <c r="B2438" t="str">
        <f t="shared" si="437"/>
        <v>89063000</v>
      </c>
      <c r="C2438" t="str">
        <f t="shared" si="437"/>
        <v>89063000</v>
      </c>
      <c r="D2438">
        <v>89301037</v>
      </c>
      <c r="E2438" t="str">
        <f>"445521143"</f>
        <v>445521143</v>
      </c>
      <c r="F2438" s="1">
        <v>45005</v>
      </c>
      <c r="G2438" t="str">
        <f t="shared" si="434"/>
        <v>89312</v>
      </c>
      <c r="H2438">
        <v>3</v>
      </c>
      <c r="I2438">
        <v>936</v>
      </c>
      <c r="J2438">
        <v>0</v>
      </c>
      <c r="K2438" t="str">
        <f t="shared" si="435"/>
        <v>809</v>
      </c>
      <c r="L2438">
        <v>1020.24</v>
      </c>
    </row>
    <row r="2439" spans="1:12" x14ac:dyDescent="0.25">
      <c r="A2439" t="str">
        <f t="shared" si="436"/>
        <v>89301000</v>
      </c>
      <c r="B2439" t="str">
        <f t="shared" si="437"/>
        <v>89063000</v>
      </c>
      <c r="C2439" t="str">
        <f t="shared" si="437"/>
        <v>89063000</v>
      </c>
      <c r="D2439">
        <v>89301037</v>
      </c>
      <c r="E2439" t="str">
        <f>"485426405"</f>
        <v>485426405</v>
      </c>
      <c r="F2439" s="1">
        <v>45006</v>
      </c>
      <c r="G2439" t="str">
        <f t="shared" si="434"/>
        <v>89312</v>
      </c>
      <c r="H2439">
        <v>3</v>
      </c>
      <c r="I2439">
        <v>936</v>
      </c>
      <c r="J2439">
        <v>0</v>
      </c>
      <c r="K2439" t="str">
        <f t="shared" si="435"/>
        <v>809</v>
      </c>
      <c r="L2439">
        <v>1020.24</v>
      </c>
    </row>
    <row r="2440" spans="1:12" x14ac:dyDescent="0.25">
      <c r="A2440" t="str">
        <f t="shared" si="436"/>
        <v>89301000</v>
      </c>
      <c r="B2440" t="str">
        <f t="shared" si="437"/>
        <v>89063000</v>
      </c>
      <c r="C2440" t="str">
        <f t="shared" si="437"/>
        <v>89063000</v>
      </c>
      <c r="D2440">
        <v>89301037</v>
      </c>
      <c r="E2440" t="str">
        <f>"475914414"</f>
        <v>475914414</v>
      </c>
      <c r="F2440" s="1">
        <v>45006</v>
      </c>
      <c r="G2440" t="str">
        <f t="shared" si="434"/>
        <v>89312</v>
      </c>
      <c r="H2440">
        <v>3</v>
      </c>
      <c r="I2440">
        <v>936</v>
      </c>
      <c r="J2440">
        <v>0</v>
      </c>
      <c r="K2440" t="str">
        <f t="shared" si="435"/>
        <v>809</v>
      </c>
      <c r="L2440">
        <v>1020.24</v>
      </c>
    </row>
    <row r="2441" spans="1:12" x14ac:dyDescent="0.25">
      <c r="A2441" t="str">
        <f t="shared" si="436"/>
        <v>89301000</v>
      </c>
      <c r="B2441" t="str">
        <f t="shared" si="437"/>
        <v>89063000</v>
      </c>
      <c r="C2441" t="str">
        <f t="shared" si="437"/>
        <v>89063000</v>
      </c>
      <c r="D2441">
        <v>89301037</v>
      </c>
      <c r="E2441" t="str">
        <f>"6259011880"</f>
        <v>6259011880</v>
      </c>
      <c r="F2441" s="1">
        <v>45006</v>
      </c>
      <c r="G2441" t="str">
        <f t="shared" si="434"/>
        <v>89312</v>
      </c>
      <c r="H2441">
        <v>3</v>
      </c>
      <c r="I2441">
        <v>936</v>
      </c>
      <c r="J2441">
        <v>0</v>
      </c>
      <c r="K2441" t="str">
        <f t="shared" si="435"/>
        <v>809</v>
      </c>
      <c r="L2441">
        <v>1020.24</v>
      </c>
    </row>
    <row r="2442" spans="1:12" x14ac:dyDescent="0.25">
      <c r="A2442" t="str">
        <f t="shared" si="436"/>
        <v>89301000</v>
      </c>
      <c r="B2442" t="str">
        <f t="shared" si="437"/>
        <v>89063000</v>
      </c>
      <c r="C2442" t="str">
        <f t="shared" si="437"/>
        <v>89063000</v>
      </c>
      <c r="D2442">
        <v>89301037</v>
      </c>
      <c r="E2442" t="str">
        <f>"7054054502"</f>
        <v>7054054502</v>
      </c>
      <c r="F2442" s="1">
        <v>45006</v>
      </c>
      <c r="G2442" t="str">
        <f t="shared" si="434"/>
        <v>89312</v>
      </c>
      <c r="H2442">
        <v>3</v>
      </c>
      <c r="I2442">
        <v>936</v>
      </c>
      <c r="J2442">
        <v>0</v>
      </c>
      <c r="K2442" t="str">
        <f t="shared" si="435"/>
        <v>809</v>
      </c>
      <c r="L2442">
        <v>1020.24</v>
      </c>
    </row>
    <row r="2443" spans="1:12" x14ac:dyDescent="0.25">
      <c r="A2443" t="str">
        <f t="shared" si="436"/>
        <v>89301000</v>
      </c>
      <c r="B2443" t="str">
        <f t="shared" si="437"/>
        <v>89063000</v>
      </c>
      <c r="C2443" t="str">
        <f t="shared" si="437"/>
        <v>89063000</v>
      </c>
      <c r="D2443">
        <v>89301702</v>
      </c>
      <c r="E2443" t="str">
        <f>"1660200223"</f>
        <v>1660200223</v>
      </c>
      <c r="F2443" s="1">
        <v>45006</v>
      </c>
      <c r="G2443" t="str">
        <f t="shared" si="434"/>
        <v>89312</v>
      </c>
      <c r="H2443">
        <v>1</v>
      </c>
      <c r="I2443">
        <v>312</v>
      </c>
      <c r="J2443">
        <v>0</v>
      </c>
      <c r="K2443" t="str">
        <f t="shared" si="435"/>
        <v>809</v>
      </c>
      <c r="L2443">
        <v>340.08</v>
      </c>
    </row>
    <row r="2444" spans="1:12" x14ac:dyDescent="0.25">
      <c r="A2444" t="str">
        <f t="shared" si="436"/>
        <v>89301000</v>
      </c>
      <c r="B2444" t="str">
        <f t="shared" si="437"/>
        <v>89063000</v>
      </c>
      <c r="C2444" t="str">
        <f t="shared" si="437"/>
        <v>89063000</v>
      </c>
      <c r="D2444">
        <v>89301037</v>
      </c>
      <c r="E2444" t="str">
        <f>"5955190604"</f>
        <v>5955190604</v>
      </c>
      <c r="F2444" s="1">
        <v>45006</v>
      </c>
      <c r="G2444" t="str">
        <f t="shared" si="434"/>
        <v>89312</v>
      </c>
      <c r="H2444">
        <v>3</v>
      </c>
      <c r="I2444">
        <v>936</v>
      </c>
      <c r="J2444">
        <v>0</v>
      </c>
      <c r="K2444" t="str">
        <f t="shared" si="435"/>
        <v>809</v>
      </c>
      <c r="L2444">
        <v>1020.24</v>
      </c>
    </row>
    <row r="2445" spans="1:12" x14ac:dyDescent="0.25">
      <c r="A2445" t="str">
        <f t="shared" si="436"/>
        <v>89301000</v>
      </c>
      <c r="B2445" t="str">
        <f t="shared" si="437"/>
        <v>89063000</v>
      </c>
      <c r="C2445" t="str">
        <f t="shared" si="437"/>
        <v>89063000</v>
      </c>
      <c r="D2445">
        <v>89301032</v>
      </c>
      <c r="E2445" t="str">
        <f>"7806155313"</f>
        <v>7806155313</v>
      </c>
      <c r="F2445" s="1">
        <v>45001</v>
      </c>
      <c r="G2445" t="str">
        <f t="shared" si="434"/>
        <v>89312</v>
      </c>
      <c r="H2445">
        <v>3</v>
      </c>
      <c r="I2445">
        <v>936</v>
      </c>
      <c r="J2445">
        <v>0</v>
      </c>
      <c r="K2445" t="str">
        <f t="shared" si="435"/>
        <v>809</v>
      </c>
      <c r="L2445">
        <v>1020.24</v>
      </c>
    </row>
    <row r="2446" spans="1:12" x14ac:dyDescent="0.25">
      <c r="A2446" t="str">
        <f t="shared" si="436"/>
        <v>89301000</v>
      </c>
      <c r="B2446" t="str">
        <f t="shared" si="437"/>
        <v>89063000</v>
      </c>
      <c r="C2446" t="str">
        <f t="shared" si="437"/>
        <v>89063000</v>
      </c>
      <c r="D2446">
        <v>89301102</v>
      </c>
      <c r="E2446" t="str">
        <f>"0558175277"</f>
        <v>0558175277</v>
      </c>
      <c r="F2446" s="1">
        <v>45007</v>
      </c>
      <c r="G2446" t="str">
        <f t="shared" si="434"/>
        <v>89312</v>
      </c>
      <c r="H2446">
        <v>1</v>
      </c>
      <c r="I2446">
        <v>312</v>
      </c>
      <c r="J2446">
        <v>0</v>
      </c>
      <c r="K2446" t="str">
        <f t="shared" si="435"/>
        <v>809</v>
      </c>
      <c r="L2446">
        <v>340.08</v>
      </c>
    </row>
    <row r="2447" spans="1:12" x14ac:dyDescent="0.25">
      <c r="A2447" t="str">
        <f t="shared" si="436"/>
        <v>89301000</v>
      </c>
      <c r="B2447" t="str">
        <f t="shared" si="437"/>
        <v>89063000</v>
      </c>
      <c r="C2447" t="str">
        <f t="shared" si="437"/>
        <v>89063000</v>
      </c>
      <c r="D2447">
        <v>89301037</v>
      </c>
      <c r="E2447" t="str">
        <f>"515730167"</f>
        <v>515730167</v>
      </c>
      <c r="F2447" s="1">
        <v>45008</v>
      </c>
      <c r="G2447" t="str">
        <f t="shared" si="434"/>
        <v>89312</v>
      </c>
      <c r="H2447">
        <v>3</v>
      </c>
      <c r="I2447">
        <v>936</v>
      </c>
      <c r="J2447">
        <v>0</v>
      </c>
      <c r="K2447" t="str">
        <f t="shared" si="435"/>
        <v>809</v>
      </c>
      <c r="L2447">
        <v>1020.24</v>
      </c>
    </row>
    <row r="2448" spans="1:12" x14ac:dyDescent="0.25">
      <c r="A2448" t="str">
        <f t="shared" si="436"/>
        <v>89301000</v>
      </c>
      <c r="B2448" t="str">
        <f t="shared" si="437"/>
        <v>89063000</v>
      </c>
      <c r="C2448" t="str">
        <f t="shared" si="437"/>
        <v>89063000</v>
      </c>
      <c r="D2448">
        <v>89301037</v>
      </c>
      <c r="E2448" t="str">
        <f>"5653171788"</f>
        <v>5653171788</v>
      </c>
      <c r="F2448" s="1">
        <v>45008</v>
      </c>
      <c r="G2448" t="str">
        <f t="shared" si="434"/>
        <v>89312</v>
      </c>
      <c r="H2448">
        <v>3</v>
      </c>
      <c r="I2448">
        <v>936</v>
      </c>
      <c r="J2448">
        <v>0</v>
      </c>
      <c r="K2448" t="str">
        <f t="shared" si="435"/>
        <v>809</v>
      </c>
      <c r="L2448">
        <v>1020.24</v>
      </c>
    </row>
    <row r="2449" spans="1:12" x14ac:dyDescent="0.25">
      <c r="A2449" t="str">
        <f t="shared" si="436"/>
        <v>89301000</v>
      </c>
      <c r="B2449" t="str">
        <f t="shared" si="437"/>
        <v>89063000</v>
      </c>
      <c r="C2449" t="str">
        <f t="shared" si="437"/>
        <v>89063000</v>
      </c>
      <c r="D2449">
        <v>89301037</v>
      </c>
      <c r="E2449" t="str">
        <f>"9459164462"</f>
        <v>9459164462</v>
      </c>
      <c r="F2449" s="1">
        <v>45008</v>
      </c>
      <c r="G2449" t="str">
        <f t="shared" si="434"/>
        <v>89312</v>
      </c>
      <c r="H2449">
        <v>3</v>
      </c>
      <c r="I2449">
        <v>936</v>
      </c>
      <c r="J2449">
        <v>0</v>
      </c>
      <c r="K2449" t="str">
        <f t="shared" si="435"/>
        <v>809</v>
      </c>
      <c r="L2449">
        <v>1020.24</v>
      </c>
    </row>
    <row r="2450" spans="1:12" x14ac:dyDescent="0.25">
      <c r="A2450" t="str">
        <f t="shared" si="436"/>
        <v>89301000</v>
      </c>
      <c r="B2450" t="str">
        <f t="shared" si="437"/>
        <v>89063000</v>
      </c>
      <c r="C2450" t="str">
        <f t="shared" si="437"/>
        <v>89063000</v>
      </c>
      <c r="D2450">
        <v>89301704</v>
      </c>
      <c r="E2450" t="str">
        <f>"0954021409"</f>
        <v>0954021409</v>
      </c>
      <c r="F2450" s="1">
        <v>45008</v>
      </c>
      <c r="G2450" t="str">
        <f t="shared" si="434"/>
        <v>89312</v>
      </c>
      <c r="H2450">
        <v>1</v>
      </c>
      <c r="I2450">
        <v>312</v>
      </c>
      <c r="J2450">
        <v>0</v>
      </c>
      <c r="K2450" t="str">
        <f t="shared" si="435"/>
        <v>809</v>
      </c>
      <c r="L2450">
        <v>340.08</v>
      </c>
    </row>
    <row r="2451" spans="1:12" x14ac:dyDescent="0.25">
      <c r="A2451" t="str">
        <f t="shared" si="436"/>
        <v>89301000</v>
      </c>
      <c r="B2451" t="str">
        <f t="shared" si="437"/>
        <v>89063000</v>
      </c>
      <c r="C2451" t="str">
        <f t="shared" si="437"/>
        <v>89063000</v>
      </c>
      <c r="D2451">
        <v>89301037</v>
      </c>
      <c r="E2451" t="str">
        <f>"5753212289"</f>
        <v>5753212289</v>
      </c>
      <c r="F2451" s="1">
        <v>45008</v>
      </c>
      <c r="G2451" t="str">
        <f t="shared" si="434"/>
        <v>89312</v>
      </c>
      <c r="H2451">
        <v>3</v>
      </c>
      <c r="I2451">
        <v>936</v>
      </c>
      <c r="J2451">
        <v>0</v>
      </c>
      <c r="K2451" t="str">
        <f t="shared" si="435"/>
        <v>809</v>
      </c>
      <c r="L2451">
        <v>1020.24</v>
      </c>
    </row>
    <row r="2452" spans="1:12" x14ac:dyDescent="0.25">
      <c r="A2452" t="str">
        <f t="shared" si="436"/>
        <v>89301000</v>
      </c>
      <c r="B2452" t="str">
        <f t="shared" si="437"/>
        <v>89063000</v>
      </c>
      <c r="C2452" t="str">
        <f t="shared" si="437"/>
        <v>89063000</v>
      </c>
      <c r="D2452">
        <v>89301037</v>
      </c>
      <c r="E2452" t="str">
        <f>"425414406"</f>
        <v>425414406</v>
      </c>
      <c r="F2452" s="1">
        <v>45009</v>
      </c>
      <c r="G2452" t="str">
        <f t="shared" si="434"/>
        <v>89312</v>
      </c>
      <c r="H2452">
        <v>3</v>
      </c>
      <c r="I2452">
        <v>936</v>
      </c>
      <c r="J2452">
        <v>0</v>
      </c>
      <c r="K2452" t="str">
        <f t="shared" si="435"/>
        <v>809</v>
      </c>
      <c r="L2452">
        <v>1020.24</v>
      </c>
    </row>
    <row r="2453" spans="1:12" x14ac:dyDescent="0.25">
      <c r="A2453" t="str">
        <f t="shared" si="436"/>
        <v>89301000</v>
      </c>
      <c r="B2453" t="str">
        <f t="shared" si="437"/>
        <v>89063000</v>
      </c>
      <c r="C2453" t="str">
        <f t="shared" si="437"/>
        <v>89063000</v>
      </c>
      <c r="D2453">
        <v>89301037</v>
      </c>
      <c r="E2453" t="str">
        <f>"415104450"</f>
        <v>415104450</v>
      </c>
      <c r="F2453" s="1">
        <v>45009</v>
      </c>
      <c r="G2453" t="str">
        <f t="shared" si="434"/>
        <v>89312</v>
      </c>
      <c r="H2453">
        <v>3</v>
      </c>
      <c r="I2453">
        <v>936</v>
      </c>
      <c r="J2453">
        <v>0</v>
      </c>
      <c r="K2453" t="str">
        <f t="shared" si="435"/>
        <v>809</v>
      </c>
      <c r="L2453">
        <v>1020.24</v>
      </c>
    </row>
    <row r="2454" spans="1:12" x14ac:dyDescent="0.25">
      <c r="A2454" t="str">
        <f t="shared" si="436"/>
        <v>89301000</v>
      </c>
      <c r="B2454" t="str">
        <f t="shared" ref="B2454:C2467" si="438">"89063000"</f>
        <v>89063000</v>
      </c>
      <c r="C2454" t="str">
        <f t="shared" si="438"/>
        <v>89063000</v>
      </c>
      <c r="D2454">
        <v>89301036</v>
      </c>
      <c r="E2454" t="str">
        <f>"6853260073"</f>
        <v>6853260073</v>
      </c>
      <c r="F2454" s="1">
        <v>45009</v>
      </c>
      <c r="G2454" t="str">
        <f t="shared" si="434"/>
        <v>89312</v>
      </c>
      <c r="H2454">
        <v>3</v>
      </c>
      <c r="I2454">
        <v>936</v>
      </c>
      <c r="J2454">
        <v>0</v>
      </c>
      <c r="K2454" t="str">
        <f t="shared" si="435"/>
        <v>809</v>
      </c>
      <c r="L2454">
        <v>1020.24</v>
      </c>
    </row>
    <row r="2455" spans="1:12" x14ac:dyDescent="0.25">
      <c r="A2455" t="str">
        <f t="shared" si="436"/>
        <v>89301000</v>
      </c>
      <c r="B2455" t="str">
        <f t="shared" si="438"/>
        <v>89063000</v>
      </c>
      <c r="C2455" t="str">
        <f t="shared" si="438"/>
        <v>89063000</v>
      </c>
      <c r="D2455">
        <v>89301036</v>
      </c>
      <c r="E2455" t="str">
        <f>"7751175663"</f>
        <v>7751175663</v>
      </c>
      <c r="F2455" s="1">
        <v>45012</v>
      </c>
      <c r="G2455" t="str">
        <f t="shared" si="434"/>
        <v>89312</v>
      </c>
      <c r="H2455">
        <v>3</v>
      </c>
      <c r="I2455">
        <v>936</v>
      </c>
      <c r="J2455">
        <v>0</v>
      </c>
      <c r="K2455" t="str">
        <f t="shared" si="435"/>
        <v>809</v>
      </c>
      <c r="L2455">
        <v>1020.24</v>
      </c>
    </row>
    <row r="2456" spans="1:12" x14ac:dyDescent="0.25">
      <c r="A2456" t="str">
        <f t="shared" si="436"/>
        <v>89301000</v>
      </c>
      <c r="B2456" t="str">
        <f t="shared" si="438"/>
        <v>89063000</v>
      </c>
      <c r="C2456" t="str">
        <f t="shared" si="438"/>
        <v>89063000</v>
      </c>
      <c r="D2456">
        <v>89301037</v>
      </c>
      <c r="E2456" t="str">
        <f>"7753155355"</f>
        <v>7753155355</v>
      </c>
      <c r="F2456" s="1">
        <v>45013</v>
      </c>
      <c r="G2456" t="str">
        <f t="shared" si="434"/>
        <v>89312</v>
      </c>
      <c r="H2456">
        <v>3</v>
      </c>
      <c r="I2456">
        <v>936</v>
      </c>
      <c r="J2456">
        <v>0</v>
      </c>
      <c r="K2456" t="str">
        <f t="shared" si="435"/>
        <v>809</v>
      </c>
      <c r="L2456">
        <v>1020.24</v>
      </c>
    </row>
    <row r="2457" spans="1:12" x14ac:dyDescent="0.25">
      <c r="A2457" t="str">
        <f t="shared" si="436"/>
        <v>89301000</v>
      </c>
      <c r="B2457" t="str">
        <f t="shared" si="438"/>
        <v>89063000</v>
      </c>
      <c r="C2457" t="str">
        <f t="shared" si="438"/>
        <v>89063000</v>
      </c>
      <c r="D2457">
        <v>89301037</v>
      </c>
      <c r="E2457" t="str">
        <f>"6702160223"</f>
        <v>6702160223</v>
      </c>
      <c r="F2457" s="1">
        <v>45013</v>
      </c>
      <c r="G2457" t="str">
        <f t="shared" si="434"/>
        <v>89312</v>
      </c>
      <c r="H2457">
        <v>3</v>
      </c>
      <c r="I2457">
        <v>936</v>
      </c>
      <c r="J2457">
        <v>0</v>
      </c>
      <c r="K2457" t="str">
        <f t="shared" si="435"/>
        <v>809</v>
      </c>
      <c r="L2457">
        <v>1020.24</v>
      </c>
    </row>
    <row r="2458" spans="1:12" x14ac:dyDescent="0.25">
      <c r="A2458" t="str">
        <f t="shared" si="436"/>
        <v>89301000</v>
      </c>
      <c r="B2458" t="str">
        <f t="shared" si="438"/>
        <v>89063000</v>
      </c>
      <c r="C2458" t="str">
        <f t="shared" si="438"/>
        <v>89063000</v>
      </c>
      <c r="D2458">
        <v>89301037</v>
      </c>
      <c r="E2458" t="str">
        <f>"510310043"</f>
        <v>510310043</v>
      </c>
      <c r="F2458" s="1">
        <v>45013</v>
      </c>
      <c r="G2458" t="str">
        <f t="shared" ref="G2458:G2467" si="439">"89312"</f>
        <v>89312</v>
      </c>
      <c r="H2458">
        <v>3</v>
      </c>
      <c r="I2458">
        <v>936</v>
      </c>
      <c r="J2458">
        <v>0</v>
      </c>
      <c r="K2458" t="str">
        <f t="shared" ref="K2458:K2471" si="440">"809"</f>
        <v>809</v>
      </c>
      <c r="L2458">
        <v>1020.24</v>
      </c>
    </row>
    <row r="2459" spans="1:12" x14ac:dyDescent="0.25">
      <c r="A2459" t="str">
        <f t="shared" si="436"/>
        <v>89301000</v>
      </c>
      <c r="B2459" t="str">
        <f t="shared" si="438"/>
        <v>89063000</v>
      </c>
      <c r="C2459" t="str">
        <f t="shared" si="438"/>
        <v>89063000</v>
      </c>
      <c r="D2459">
        <v>89301702</v>
      </c>
      <c r="E2459" t="str">
        <f>"0704163229"</f>
        <v>0704163229</v>
      </c>
      <c r="F2459" s="1">
        <v>45013</v>
      </c>
      <c r="G2459" t="str">
        <f t="shared" si="439"/>
        <v>89312</v>
      </c>
      <c r="H2459">
        <v>1</v>
      </c>
      <c r="I2459">
        <v>312</v>
      </c>
      <c r="J2459">
        <v>0</v>
      </c>
      <c r="K2459" t="str">
        <f t="shared" si="440"/>
        <v>809</v>
      </c>
      <c r="L2459">
        <v>340.08</v>
      </c>
    </row>
    <row r="2460" spans="1:12" x14ac:dyDescent="0.25">
      <c r="A2460" t="str">
        <f t="shared" si="436"/>
        <v>89301000</v>
      </c>
      <c r="B2460" t="str">
        <f t="shared" si="438"/>
        <v>89063000</v>
      </c>
      <c r="C2460" t="str">
        <f t="shared" si="438"/>
        <v>89063000</v>
      </c>
      <c r="D2460">
        <v>89301037</v>
      </c>
      <c r="E2460" t="str">
        <f>"505329154"</f>
        <v>505329154</v>
      </c>
      <c r="F2460" s="1">
        <v>45014</v>
      </c>
      <c r="G2460" t="str">
        <f t="shared" si="439"/>
        <v>89312</v>
      </c>
      <c r="H2460">
        <v>3</v>
      </c>
      <c r="I2460">
        <v>936</v>
      </c>
      <c r="J2460">
        <v>0</v>
      </c>
      <c r="K2460" t="str">
        <f t="shared" si="440"/>
        <v>809</v>
      </c>
      <c r="L2460">
        <v>1020.24</v>
      </c>
    </row>
    <row r="2461" spans="1:12" x14ac:dyDescent="0.25">
      <c r="A2461" t="str">
        <f t="shared" si="436"/>
        <v>89301000</v>
      </c>
      <c r="B2461" t="str">
        <f t="shared" si="438"/>
        <v>89063000</v>
      </c>
      <c r="C2461" t="str">
        <f t="shared" si="438"/>
        <v>89063000</v>
      </c>
      <c r="D2461">
        <v>89301037</v>
      </c>
      <c r="E2461" t="str">
        <f>"5657271532"</f>
        <v>5657271532</v>
      </c>
      <c r="F2461" s="1">
        <v>45014</v>
      </c>
      <c r="G2461" t="str">
        <f t="shared" si="439"/>
        <v>89312</v>
      </c>
      <c r="H2461">
        <v>3</v>
      </c>
      <c r="I2461">
        <v>936</v>
      </c>
      <c r="J2461">
        <v>0</v>
      </c>
      <c r="K2461" t="str">
        <f t="shared" si="440"/>
        <v>809</v>
      </c>
      <c r="L2461">
        <v>1020.24</v>
      </c>
    </row>
    <row r="2462" spans="1:12" x14ac:dyDescent="0.25">
      <c r="A2462" t="str">
        <f t="shared" si="436"/>
        <v>89301000</v>
      </c>
      <c r="B2462" t="str">
        <f t="shared" si="438"/>
        <v>89063000</v>
      </c>
      <c r="C2462" t="str">
        <f t="shared" si="438"/>
        <v>89063000</v>
      </c>
      <c r="D2462">
        <v>89301162</v>
      </c>
      <c r="E2462" t="str">
        <f>"6601110923"</f>
        <v>6601110923</v>
      </c>
      <c r="F2462" s="1">
        <v>45014</v>
      </c>
      <c r="G2462" t="str">
        <f t="shared" si="439"/>
        <v>89312</v>
      </c>
      <c r="H2462">
        <v>3</v>
      </c>
      <c r="I2462">
        <v>936</v>
      </c>
      <c r="J2462">
        <v>0</v>
      </c>
      <c r="K2462" t="str">
        <f t="shared" si="440"/>
        <v>809</v>
      </c>
      <c r="L2462">
        <v>1020.24</v>
      </c>
    </row>
    <row r="2463" spans="1:12" x14ac:dyDescent="0.25">
      <c r="A2463" t="str">
        <f t="shared" si="436"/>
        <v>89301000</v>
      </c>
      <c r="B2463" t="str">
        <f t="shared" si="438"/>
        <v>89063000</v>
      </c>
      <c r="C2463" t="str">
        <f t="shared" si="438"/>
        <v>89063000</v>
      </c>
      <c r="D2463">
        <v>89301037</v>
      </c>
      <c r="E2463" t="str">
        <f>"6351070099"</f>
        <v>6351070099</v>
      </c>
      <c r="F2463" s="1">
        <v>45014</v>
      </c>
      <c r="G2463" t="str">
        <f t="shared" si="439"/>
        <v>89312</v>
      </c>
      <c r="H2463">
        <v>3</v>
      </c>
      <c r="I2463">
        <v>936</v>
      </c>
      <c r="J2463">
        <v>0</v>
      </c>
      <c r="K2463" t="str">
        <f t="shared" si="440"/>
        <v>809</v>
      </c>
      <c r="L2463">
        <v>1020.24</v>
      </c>
    </row>
    <row r="2464" spans="1:12" x14ac:dyDescent="0.25">
      <c r="A2464" t="str">
        <f t="shared" si="436"/>
        <v>89301000</v>
      </c>
      <c r="B2464" t="str">
        <f t="shared" si="438"/>
        <v>89063000</v>
      </c>
      <c r="C2464" t="str">
        <f t="shared" si="438"/>
        <v>89063000</v>
      </c>
      <c r="D2464">
        <v>89301037</v>
      </c>
      <c r="E2464" t="str">
        <f>"515307103"</f>
        <v>515307103</v>
      </c>
      <c r="F2464" s="1">
        <v>45016</v>
      </c>
      <c r="G2464" t="str">
        <f t="shared" si="439"/>
        <v>89312</v>
      </c>
      <c r="H2464">
        <v>3</v>
      </c>
      <c r="I2464">
        <v>936</v>
      </c>
      <c r="J2464">
        <v>0</v>
      </c>
      <c r="K2464" t="str">
        <f t="shared" si="440"/>
        <v>809</v>
      </c>
      <c r="L2464">
        <v>1020.24</v>
      </c>
    </row>
    <row r="2465" spans="1:12" x14ac:dyDescent="0.25">
      <c r="A2465" t="str">
        <f t="shared" si="436"/>
        <v>89301000</v>
      </c>
      <c r="B2465" t="str">
        <f t="shared" si="438"/>
        <v>89063000</v>
      </c>
      <c r="C2465" t="str">
        <f t="shared" si="438"/>
        <v>89063000</v>
      </c>
      <c r="D2465">
        <v>89301212</v>
      </c>
      <c r="E2465" t="str">
        <f>"7562085322"</f>
        <v>7562085322</v>
      </c>
      <c r="F2465" s="1">
        <v>45016</v>
      </c>
      <c r="G2465" t="str">
        <f t="shared" si="439"/>
        <v>89312</v>
      </c>
      <c r="H2465">
        <v>3</v>
      </c>
      <c r="I2465">
        <v>936</v>
      </c>
      <c r="J2465">
        <v>0</v>
      </c>
      <c r="K2465" t="str">
        <f t="shared" si="440"/>
        <v>809</v>
      </c>
      <c r="L2465">
        <v>1020.24</v>
      </c>
    </row>
    <row r="2466" spans="1:12" x14ac:dyDescent="0.25">
      <c r="A2466" t="str">
        <f t="shared" si="436"/>
        <v>89301000</v>
      </c>
      <c r="B2466" t="str">
        <f t="shared" si="438"/>
        <v>89063000</v>
      </c>
      <c r="C2466" t="str">
        <f t="shared" si="438"/>
        <v>89063000</v>
      </c>
      <c r="D2466">
        <v>89301102</v>
      </c>
      <c r="E2466" t="str">
        <f>"1701271935"</f>
        <v>1701271935</v>
      </c>
      <c r="F2466" s="1">
        <v>45016</v>
      </c>
      <c r="G2466" t="str">
        <f t="shared" si="439"/>
        <v>89312</v>
      </c>
      <c r="H2466">
        <v>1</v>
      </c>
      <c r="I2466">
        <v>312</v>
      </c>
      <c r="J2466">
        <v>0</v>
      </c>
      <c r="K2466" t="str">
        <f t="shared" si="440"/>
        <v>809</v>
      </c>
      <c r="L2466">
        <v>340.08</v>
      </c>
    </row>
    <row r="2467" spans="1:12" x14ac:dyDescent="0.25">
      <c r="A2467" t="str">
        <f t="shared" si="436"/>
        <v>89301000</v>
      </c>
      <c r="B2467" t="str">
        <f t="shared" si="438"/>
        <v>89063000</v>
      </c>
      <c r="C2467" t="str">
        <f t="shared" si="438"/>
        <v>89063000</v>
      </c>
      <c r="D2467">
        <v>89301212</v>
      </c>
      <c r="E2467" t="str">
        <f>"376224417"</f>
        <v>376224417</v>
      </c>
      <c r="F2467" s="1">
        <v>45016</v>
      </c>
      <c r="G2467" t="str">
        <f t="shared" si="439"/>
        <v>89312</v>
      </c>
      <c r="H2467">
        <v>3</v>
      </c>
      <c r="I2467">
        <v>936</v>
      </c>
      <c r="J2467">
        <v>0</v>
      </c>
      <c r="K2467" t="str">
        <f t="shared" si="440"/>
        <v>809</v>
      </c>
      <c r="L2467">
        <v>1020.24</v>
      </c>
    </row>
    <row r="2468" spans="1:12" x14ac:dyDescent="0.25">
      <c r="A2468" t="str">
        <f t="shared" si="436"/>
        <v>89301000</v>
      </c>
      <c r="B2468" t="str">
        <f>"89511000"</f>
        <v>89511000</v>
      </c>
      <c r="C2468" t="str">
        <f>"89511001"</f>
        <v>89511001</v>
      </c>
      <c r="D2468">
        <v>89301212</v>
      </c>
      <c r="E2468" t="str">
        <f>"535406278"</f>
        <v>535406278</v>
      </c>
      <c r="F2468" s="1">
        <v>44986</v>
      </c>
      <c r="G2468" t="str">
        <f>"89131"</f>
        <v>89131</v>
      </c>
      <c r="H2468">
        <v>2</v>
      </c>
      <c r="I2468">
        <v>380</v>
      </c>
      <c r="J2468">
        <v>0</v>
      </c>
      <c r="K2468" t="str">
        <f t="shared" si="440"/>
        <v>809</v>
      </c>
      <c r="L2468">
        <v>558.6</v>
      </c>
    </row>
    <row r="2469" spans="1:12" x14ac:dyDescent="0.25">
      <c r="A2469" t="str">
        <f t="shared" si="436"/>
        <v>89301000</v>
      </c>
      <c r="B2469" t="str">
        <f>"89511000"</f>
        <v>89511000</v>
      </c>
      <c r="C2469" t="str">
        <f>"89511001"</f>
        <v>89511001</v>
      </c>
      <c r="D2469">
        <v>89301212</v>
      </c>
      <c r="E2469" t="str">
        <f>"6957195311"</f>
        <v>6957195311</v>
      </c>
      <c r="F2469" s="1">
        <v>45001</v>
      </c>
      <c r="G2469" t="str">
        <f>"89131"</f>
        <v>89131</v>
      </c>
      <c r="H2469">
        <v>2</v>
      </c>
      <c r="I2469">
        <v>380</v>
      </c>
      <c r="J2469">
        <v>0</v>
      </c>
      <c r="K2469" t="str">
        <f t="shared" si="440"/>
        <v>809</v>
      </c>
      <c r="L2469">
        <v>558.6</v>
      </c>
    </row>
    <row r="2470" spans="1:12" x14ac:dyDescent="0.25">
      <c r="A2470" t="str">
        <f t="shared" si="436"/>
        <v>89301000</v>
      </c>
      <c r="B2470" t="str">
        <f>"89511000"</f>
        <v>89511000</v>
      </c>
      <c r="C2470" t="str">
        <f>"89511001"</f>
        <v>89511001</v>
      </c>
      <c r="D2470">
        <v>89301212</v>
      </c>
      <c r="E2470" t="str">
        <f>"535406278"</f>
        <v>535406278</v>
      </c>
      <c r="F2470" s="1">
        <v>45014</v>
      </c>
      <c r="G2470" t="str">
        <f>"89513"</f>
        <v>89513</v>
      </c>
      <c r="H2470">
        <v>1</v>
      </c>
      <c r="I2470">
        <v>378</v>
      </c>
      <c r="J2470">
        <v>0</v>
      </c>
      <c r="K2470" t="str">
        <f t="shared" si="440"/>
        <v>809</v>
      </c>
      <c r="L2470">
        <v>555.66</v>
      </c>
    </row>
    <row r="2471" spans="1:12" x14ac:dyDescent="0.25">
      <c r="A2471" t="str">
        <f t="shared" si="436"/>
        <v>89301000</v>
      </c>
      <c r="B2471" t="str">
        <f>"89511000"</f>
        <v>89511000</v>
      </c>
      <c r="C2471" t="str">
        <f>"89511001"</f>
        <v>89511001</v>
      </c>
      <c r="D2471">
        <v>89301212</v>
      </c>
      <c r="E2471" t="str">
        <f>"535406278"</f>
        <v>535406278</v>
      </c>
      <c r="F2471" s="1">
        <v>45014</v>
      </c>
      <c r="G2471" t="str">
        <f>"89514"</f>
        <v>89514</v>
      </c>
      <c r="H2471">
        <v>1</v>
      </c>
      <c r="I2471">
        <v>378</v>
      </c>
      <c r="J2471">
        <v>0</v>
      </c>
      <c r="K2471" t="str">
        <f t="shared" si="440"/>
        <v>809</v>
      </c>
      <c r="L2471">
        <v>555.66</v>
      </c>
    </row>
    <row r="2472" spans="1:12" x14ac:dyDescent="0.25">
      <c r="A2472" t="str">
        <f t="shared" si="436"/>
        <v>89301000</v>
      </c>
      <c r="B2472" t="str">
        <f t="shared" ref="B2472:B2493" si="441">"93501000"</f>
        <v>93501000</v>
      </c>
      <c r="C2472" t="str">
        <f t="shared" ref="C2472:C2489" si="442">"93501001"</f>
        <v>93501001</v>
      </c>
      <c r="D2472">
        <v>89301167</v>
      </c>
      <c r="E2472" t="str">
        <f t="shared" ref="E2472:E2493" si="443">"470127462"</f>
        <v>470127462</v>
      </c>
      <c r="F2472" s="1">
        <v>45002</v>
      </c>
      <c r="G2472" t="str">
        <f>"09119"</f>
        <v>09119</v>
      </c>
      <c r="H2472">
        <v>1</v>
      </c>
      <c r="I2472">
        <v>43</v>
      </c>
      <c r="J2472">
        <v>0</v>
      </c>
      <c r="K2472" t="str">
        <f t="shared" ref="K2472:K2489" si="444">"801"</f>
        <v>801</v>
      </c>
      <c r="L2472">
        <v>54.18</v>
      </c>
    </row>
    <row r="2473" spans="1:12" x14ac:dyDescent="0.25">
      <c r="A2473" t="str">
        <f t="shared" si="436"/>
        <v>89301000</v>
      </c>
      <c r="B2473" t="str">
        <f t="shared" si="441"/>
        <v>93501000</v>
      </c>
      <c r="C2473" t="str">
        <f t="shared" si="442"/>
        <v>93501001</v>
      </c>
      <c r="D2473">
        <v>89301167</v>
      </c>
      <c r="E2473" t="str">
        <f t="shared" si="443"/>
        <v>470127462</v>
      </c>
      <c r="F2473" s="1">
        <v>45002</v>
      </c>
      <c r="G2473" t="str">
        <f>"81329"</f>
        <v>81329</v>
      </c>
      <c r="H2473">
        <v>1</v>
      </c>
      <c r="I2473">
        <v>17</v>
      </c>
      <c r="J2473">
        <v>0</v>
      </c>
      <c r="K2473" t="str">
        <f t="shared" si="444"/>
        <v>801</v>
      </c>
      <c r="L2473">
        <v>14.28</v>
      </c>
    </row>
    <row r="2474" spans="1:12" x14ac:dyDescent="0.25">
      <c r="A2474" t="str">
        <f t="shared" si="436"/>
        <v>89301000</v>
      </c>
      <c r="B2474" t="str">
        <f t="shared" si="441"/>
        <v>93501000</v>
      </c>
      <c r="C2474" t="str">
        <f t="shared" si="442"/>
        <v>93501001</v>
      </c>
      <c r="D2474">
        <v>89301167</v>
      </c>
      <c r="E2474" t="str">
        <f t="shared" si="443"/>
        <v>470127462</v>
      </c>
      <c r="F2474" s="1">
        <v>45002</v>
      </c>
      <c r="G2474" t="str">
        <f>"81337"</f>
        <v>81337</v>
      </c>
      <c r="H2474">
        <v>1</v>
      </c>
      <c r="I2474">
        <v>20</v>
      </c>
      <c r="J2474">
        <v>0</v>
      </c>
      <c r="K2474" t="str">
        <f t="shared" si="444"/>
        <v>801</v>
      </c>
      <c r="L2474">
        <v>16.8</v>
      </c>
    </row>
    <row r="2475" spans="1:12" x14ac:dyDescent="0.25">
      <c r="A2475" t="str">
        <f t="shared" si="436"/>
        <v>89301000</v>
      </c>
      <c r="B2475" t="str">
        <f t="shared" si="441"/>
        <v>93501000</v>
      </c>
      <c r="C2475" t="str">
        <f t="shared" si="442"/>
        <v>93501001</v>
      </c>
      <c r="D2475">
        <v>89301167</v>
      </c>
      <c r="E2475" t="str">
        <f t="shared" si="443"/>
        <v>470127462</v>
      </c>
      <c r="F2475" s="1">
        <v>45002</v>
      </c>
      <c r="G2475" t="str">
        <f>"81357"</f>
        <v>81357</v>
      </c>
      <c r="H2475">
        <v>1</v>
      </c>
      <c r="I2475">
        <v>20</v>
      </c>
      <c r="J2475">
        <v>0</v>
      </c>
      <c r="K2475" t="str">
        <f t="shared" si="444"/>
        <v>801</v>
      </c>
      <c r="L2475">
        <v>16.8</v>
      </c>
    </row>
    <row r="2476" spans="1:12" x14ac:dyDescent="0.25">
      <c r="A2476" t="str">
        <f t="shared" si="436"/>
        <v>89301000</v>
      </c>
      <c r="B2476" t="str">
        <f t="shared" si="441"/>
        <v>93501000</v>
      </c>
      <c r="C2476" t="str">
        <f t="shared" si="442"/>
        <v>93501001</v>
      </c>
      <c r="D2476">
        <v>89301167</v>
      </c>
      <c r="E2476" t="str">
        <f t="shared" si="443"/>
        <v>470127462</v>
      </c>
      <c r="F2476" s="1">
        <v>45002</v>
      </c>
      <c r="G2476" t="str">
        <f>"81361"</f>
        <v>81361</v>
      </c>
      <c r="H2476">
        <v>1</v>
      </c>
      <c r="I2476">
        <v>17</v>
      </c>
      <c r="J2476">
        <v>0</v>
      </c>
      <c r="K2476" t="str">
        <f t="shared" si="444"/>
        <v>801</v>
      </c>
      <c r="L2476">
        <v>14.28</v>
      </c>
    </row>
    <row r="2477" spans="1:12" x14ac:dyDescent="0.25">
      <c r="A2477" t="str">
        <f t="shared" si="436"/>
        <v>89301000</v>
      </c>
      <c r="B2477" t="str">
        <f t="shared" si="441"/>
        <v>93501000</v>
      </c>
      <c r="C2477" t="str">
        <f t="shared" si="442"/>
        <v>93501001</v>
      </c>
      <c r="D2477">
        <v>89301167</v>
      </c>
      <c r="E2477" t="str">
        <f t="shared" si="443"/>
        <v>470127462</v>
      </c>
      <c r="F2477" s="1">
        <v>45002</v>
      </c>
      <c r="G2477" t="str">
        <f>"81383"</f>
        <v>81383</v>
      </c>
      <c r="H2477">
        <v>1</v>
      </c>
      <c r="I2477">
        <v>24</v>
      </c>
      <c r="J2477">
        <v>0</v>
      </c>
      <c r="K2477" t="str">
        <f t="shared" si="444"/>
        <v>801</v>
      </c>
      <c r="L2477">
        <v>20.16</v>
      </c>
    </row>
    <row r="2478" spans="1:12" x14ac:dyDescent="0.25">
      <c r="A2478" t="str">
        <f t="shared" si="436"/>
        <v>89301000</v>
      </c>
      <c r="B2478" t="str">
        <f t="shared" si="441"/>
        <v>93501000</v>
      </c>
      <c r="C2478" t="str">
        <f t="shared" si="442"/>
        <v>93501001</v>
      </c>
      <c r="D2478">
        <v>89301167</v>
      </c>
      <c r="E2478" t="str">
        <f t="shared" si="443"/>
        <v>470127462</v>
      </c>
      <c r="F2478" s="1">
        <v>45002</v>
      </c>
      <c r="G2478" t="str">
        <f>"81393"</f>
        <v>81393</v>
      </c>
      <c r="H2478">
        <v>1</v>
      </c>
      <c r="I2478">
        <v>24</v>
      </c>
      <c r="J2478">
        <v>0</v>
      </c>
      <c r="K2478" t="str">
        <f t="shared" si="444"/>
        <v>801</v>
      </c>
      <c r="L2478">
        <v>20.16</v>
      </c>
    </row>
    <row r="2479" spans="1:12" x14ac:dyDescent="0.25">
      <c r="A2479" t="str">
        <f t="shared" si="436"/>
        <v>89301000</v>
      </c>
      <c r="B2479" t="str">
        <f t="shared" si="441"/>
        <v>93501000</v>
      </c>
      <c r="C2479" t="str">
        <f t="shared" si="442"/>
        <v>93501001</v>
      </c>
      <c r="D2479">
        <v>89301167</v>
      </c>
      <c r="E2479" t="str">
        <f t="shared" si="443"/>
        <v>470127462</v>
      </c>
      <c r="F2479" s="1">
        <v>45002</v>
      </c>
      <c r="G2479" t="str">
        <f>"81421"</f>
        <v>81421</v>
      </c>
      <c r="H2479">
        <v>1</v>
      </c>
      <c r="I2479">
        <v>19</v>
      </c>
      <c r="J2479">
        <v>0</v>
      </c>
      <c r="K2479" t="str">
        <f t="shared" si="444"/>
        <v>801</v>
      </c>
      <c r="L2479">
        <v>15.96</v>
      </c>
    </row>
    <row r="2480" spans="1:12" x14ac:dyDescent="0.25">
      <c r="A2480" t="str">
        <f t="shared" si="436"/>
        <v>89301000</v>
      </c>
      <c r="B2480" t="str">
        <f t="shared" si="441"/>
        <v>93501000</v>
      </c>
      <c r="C2480" t="str">
        <f t="shared" si="442"/>
        <v>93501001</v>
      </c>
      <c r="D2480">
        <v>89301167</v>
      </c>
      <c r="E2480" t="str">
        <f t="shared" si="443"/>
        <v>470127462</v>
      </c>
      <c r="F2480" s="1">
        <v>45002</v>
      </c>
      <c r="G2480" t="str">
        <f>"81435"</f>
        <v>81435</v>
      </c>
      <c r="H2480">
        <v>1</v>
      </c>
      <c r="I2480">
        <v>22</v>
      </c>
      <c r="J2480">
        <v>0</v>
      </c>
      <c r="K2480" t="str">
        <f t="shared" si="444"/>
        <v>801</v>
      </c>
      <c r="L2480">
        <v>18.48</v>
      </c>
    </row>
    <row r="2481" spans="1:12" x14ac:dyDescent="0.25">
      <c r="A2481" t="str">
        <f t="shared" si="436"/>
        <v>89301000</v>
      </c>
      <c r="B2481" t="str">
        <f t="shared" si="441"/>
        <v>93501000</v>
      </c>
      <c r="C2481" t="str">
        <f t="shared" si="442"/>
        <v>93501001</v>
      </c>
      <c r="D2481">
        <v>89301167</v>
      </c>
      <c r="E2481" t="str">
        <f t="shared" si="443"/>
        <v>470127462</v>
      </c>
      <c r="F2481" s="1">
        <v>45002</v>
      </c>
      <c r="G2481" t="str">
        <f>"81439"</f>
        <v>81439</v>
      </c>
      <c r="H2481">
        <v>1</v>
      </c>
      <c r="I2481">
        <v>16</v>
      </c>
      <c r="J2481">
        <v>0</v>
      </c>
      <c r="K2481" t="str">
        <f t="shared" si="444"/>
        <v>801</v>
      </c>
      <c r="L2481">
        <v>13.44</v>
      </c>
    </row>
    <row r="2482" spans="1:12" x14ac:dyDescent="0.25">
      <c r="A2482" t="str">
        <f t="shared" si="436"/>
        <v>89301000</v>
      </c>
      <c r="B2482" t="str">
        <f t="shared" si="441"/>
        <v>93501000</v>
      </c>
      <c r="C2482" t="str">
        <f t="shared" si="442"/>
        <v>93501001</v>
      </c>
      <c r="D2482">
        <v>89301167</v>
      </c>
      <c r="E2482" t="str">
        <f t="shared" si="443"/>
        <v>470127462</v>
      </c>
      <c r="F2482" s="1">
        <v>45002</v>
      </c>
      <c r="G2482" t="str">
        <f>"81469"</f>
        <v>81469</v>
      </c>
      <c r="H2482">
        <v>1</v>
      </c>
      <c r="I2482">
        <v>16</v>
      </c>
      <c r="J2482">
        <v>0</v>
      </c>
      <c r="K2482" t="str">
        <f t="shared" si="444"/>
        <v>801</v>
      </c>
      <c r="L2482">
        <v>13.44</v>
      </c>
    </row>
    <row r="2483" spans="1:12" x14ac:dyDescent="0.25">
      <c r="A2483" t="str">
        <f t="shared" si="436"/>
        <v>89301000</v>
      </c>
      <c r="B2483" t="str">
        <f t="shared" si="441"/>
        <v>93501000</v>
      </c>
      <c r="C2483" t="str">
        <f t="shared" si="442"/>
        <v>93501001</v>
      </c>
      <c r="D2483">
        <v>89301167</v>
      </c>
      <c r="E2483" t="str">
        <f t="shared" si="443"/>
        <v>470127462</v>
      </c>
      <c r="F2483" s="1">
        <v>45002</v>
      </c>
      <c r="G2483" t="str">
        <f>"81499"</f>
        <v>81499</v>
      </c>
      <c r="H2483">
        <v>1</v>
      </c>
      <c r="I2483">
        <v>18</v>
      </c>
      <c r="J2483">
        <v>0</v>
      </c>
      <c r="K2483" t="str">
        <f t="shared" si="444"/>
        <v>801</v>
      </c>
      <c r="L2483">
        <v>15.12</v>
      </c>
    </row>
    <row r="2484" spans="1:12" x14ac:dyDescent="0.25">
      <c r="A2484" t="str">
        <f t="shared" si="436"/>
        <v>89301000</v>
      </c>
      <c r="B2484" t="str">
        <f t="shared" si="441"/>
        <v>93501000</v>
      </c>
      <c r="C2484" t="str">
        <f t="shared" si="442"/>
        <v>93501001</v>
      </c>
      <c r="D2484">
        <v>89301167</v>
      </c>
      <c r="E2484" t="str">
        <f t="shared" si="443"/>
        <v>470127462</v>
      </c>
      <c r="F2484" s="1">
        <v>45002</v>
      </c>
      <c r="G2484" t="str">
        <f>"81523"</f>
        <v>81523</v>
      </c>
      <c r="H2484">
        <v>1</v>
      </c>
      <c r="I2484">
        <v>23</v>
      </c>
      <c r="J2484">
        <v>0</v>
      </c>
      <c r="K2484" t="str">
        <f t="shared" si="444"/>
        <v>801</v>
      </c>
      <c r="L2484">
        <v>19.32</v>
      </c>
    </row>
    <row r="2485" spans="1:12" x14ac:dyDescent="0.25">
      <c r="A2485" t="str">
        <f t="shared" si="436"/>
        <v>89301000</v>
      </c>
      <c r="B2485" t="str">
        <f t="shared" si="441"/>
        <v>93501000</v>
      </c>
      <c r="C2485" t="str">
        <f t="shared" si="442"/>
        <v>93501001</v>
      </c>
      <c r="D2485">
        <v>89301167</v>
      </c>
      <c r="E2485" t="str">
        <f t="shared" si="443"/>
        <v>470127462</v>
      </c>
      <c r="F2485" s="1">
        <v>45002</v>
      </c>
      <c r="G2485" t="str">
        <f>"81593"</f>
        <v>81593</v>
      </c>
      <c r="H2485">
        <v>1</v>
      </c>
      <c r="I2485">
        <v>22</v>
      </c>
      <c r="J2485">
        <v>0</v>
      </c>
      <c r="K2485" t="str">
        <f t="shared" si="444"/>
        <v>801</v>
      </c>
      <c r="L2485">
        <v>18.48</v>
      </c>
    </row>
    <row r="2486" spans="1:12" x14ac:dyDescent="0.25">
      <c r="A2486" t="str">
        <f t="shared" si="436"/>
        <v>89301000</v>
      </c>
      <c r="B2486" t="str">
        <f t="shared" si="441"/>
        <v>93501000</v>
      </c>
      <c r="C2486" t="str">
        <f t="shared" si="442"/>
        <v>93501001</v>
      </c>
      <c r="D2486">
        <v>89301167</v>
      </c>
      <c r="E2486" t="str">
        <f t="shared" si="443"/>
        <v>470127462</v>
      </c>
      <c r="F2486" s="1">
        <v>45002</v>
      </c>
      <c r="G2486" t="str">
        <f>"81621"</f>
        <v>81621</v>
      </c>
      <c r="H2486">
        <v>1</v>
      </c>
      <c r="I2486">
        <v>19</v>
      </c>
      <c r="J2486">
        <v>0</v>
      </c>
      <c r="K2486" t="str">
        <f t="shared" si="444"/>
        <v>801</v>
      </c>
      <c r="L2486">
        <v>15.96</v>
      </c>
    </row>
    <row r="2487" spans="1:12" x14ac:dyDescent="0.25">
      <c r="A2487" t="str">
        <f t="shared" si="436"/>
        <v>89301000</v>
      </c>
      <c r="B2487" t="str">
        <f t="shared" si="441"/>
        <v>93501000</v>
      </c>
      <c r="C2487" t="str">
        <f t="shared" si="442"/>
        <v>93501001</v>
      </c>
      <c r="D2487">
        <v>89301167</v>
      </c>
      <c r="E2487" t="str">
        <f t="shared" si="443"/>
        <v>470127462</v>
      </c>
      <c r="F2487" s="1">
        <v>45002</v>
      </c>
      <c r="G2487" t="str">
        <f>"81625"</f>
        <v>81625</v>
      </c>
      <c r="H2487">
        <v>1</v>
      </c>
      <c r="I2487">
        <v>21</v>
      </c>
      <c r="J2487">
        <v>0</v>
      </c>
      <c r="K2487" t="str">
        <f t="shared" si="444"/>
        <v>801</v>
      </c>
      <c r="L2487">
        <v>17.64</v>
      </c>
    </row>
    <row r="2488" spans="1:12" x14ac:dyDescent="0.25">
      <c r="A2488" t="str">
        <f t="shared" si="436"/>
        <v>89301000</v>
      </c>
      <c r="B2488" t="str">
        <f t="shared" si="441"/>
        <v>93501000</v>
      </c>
      <c r="C2488" t="str">
        <f t="shared" si="442"/>
        <v>93501001</v>
      </c>
      <c r="D2488">
        <v>89301167</v>
      </c>
      <c r="E2488" t="str">
        <f t="shared" si="443"/>
        <v>470127462</v>
      </c>
      <c r="F2488" s="1">
        <v>45002</v>
      </c>
      <c r="G2488" t="str">
        <f>"91153"</f>
        <v>91153</v>
      </c>
      <c r="H2488">
        <v>1</v>
      </c>
      <c r="I2488">
        <v>153</v>
      </c>
      <c r="J2488">
        <v>0</v>
      </c>
      <c r="K2488" t="str">
        <f t="shared" si="444"/>
        <v>801</v>
      </c>
      <c r="L2488">
        <v>128.52000000000001</v>
      </c>
    </row>
    <row r="2489" spans="1:12" x14ac:dyDescent="0.25">
      <c r="A2489" t="str">
        <f t="shared" si="436"/>
        <v>89301000</v>
      </c>
      <c r="B2489" t="str">
        <f t="shared" si="441"/>
        <v>93501000</v>
      </c>
      <c r="C2489" t="str">
        <f t="shared" si="442"/>
        <v>93501001</v>
      </c>
      <c r="D2489">
        <v>89301167</v>
      </c>
      <c r="E2489" t="str">
        <f t="shared" si="443"/>
        <v>470127462</v>
      </c>
      <c r="F2489" s="1">
        <v>45002</v>
      </c>
      <c r="G2489" t="str">
        <f>"97111"</f>
        <v>97111</v>
      </c>
      <c r="H2489">
        <v>1</v>
      </c>
      <c r="I2489">
        <v>19</v>
      </c>
      <c r="J2489">
        <v>0</v>
      </c>
      <c r="K2489" t="str">
        <f t="shared" si="444"/>
        <v>801</v>
      </c>
      <c r="L2489">
        <v>23.94</v>
      </c>
    </row>
    <row r="2490" spans="1:12" x14ac:dyDescent="0.25">
      <c r="A2490" t="str">
        <f t="shared" si="436"/>
        <v>89301000</v>
      </c>
      <c r="B2490" t="str">
        <f t="shared" si="441"/>
        <v>93501000</v>
      </c>
      <c r="C2490" t="str">
        <f>"93501005"</f>
        <v>93501005</v>
      </c>
      <c r="D2490">
        <v>89301167</v>
      </c>
      <c r="E2490" t="str">
        <f t="shared" si="443"/>
        <v>470127462</v>
      </c>
      <c r="F2490" s="1">
        <v>45002</v>
      </c>
      <c r="G2490" t="str">
        <f>"96167"</f>
        <v>96167</v>
      </c>
      <c r="H2490">
        <v>1</v>
      </c>
      <c r="I2490">
        <v>67</v>
      </c>
      <c r="J2490">
        <v>0</v>
      </c>
      <c r="K2490" t="str">
        <f>"818"</f>
        <v>818</v>
      </c>
      <c r="L2490">
        <v>64.989999999999995</v>
      </c>
    </row>
    <row r="2491" spans="1:12" x14ac:dyDescent="0.25">
      <c r="A2491" t="str">
        <f t="shared" si="436"/>
        <v>89301000</v>
      </c>
      <c r="B2491" t="str">
        <f t="shared" si="441"/>
        <v>93501000</v>
      </c>
      <c r="C2491" t="str">
        <f>"93501005"</f>
        <v>93501005</v>
      </c>
      <c r="D2491">
        <v>89301167</v>
      </c>
      <c r="E2491" t="str">
        <f t="shared" si="443"/>
        <v>470127462</v>
      </c>
      <c r="F2491" s="1">
        <v>45002</v>
      </c>
      <c r="G2491" t="str">
        <f>"96315"</f>
        <v>96315</v>
      </c>
      <c r="H2491">
        <v>1</v>
      </c>
      <c r="I2491">
        <v>30</v>
      </c>
      <c r="J2491">
        <v>0</v>
      </c>
      <c r="K2491" t="str">
        <f>"818"</f>
        <v>818</v>
      </c>
      <c r="L2491">
        <v>29.1</v>
      </c>
    </row>
    <row r="2492" spans="1:12" x14ac:dyDescent="0.25">
      <c r="A2492" t="str">
        <f t="shared" si="436"/>
        <v>89301000</v>
      </c>
      <c r="B2492" t="str">
        <f t="shared" si="441"/>
        <v>93501000</v>
      </c>
      <c r="C2492" t="str">
        <f>"93501005"</f>
        <v>93501005</v>
      </c>
      <c r="D2492">
        <v>89301167</v>
      </c>
      <c r="E2492" t="str">
        <f t="shared" si="443"/>
        <v>470127462</v>
      </c>
      <c r="F2492" s="1">
        <v>45002</v>
      </c>
      <c r="G2492" t="str">
        <f>"96711"</f>
        <v>96711</v>
      </c>
      <c r="H2492">
        <v>1</v>
      </c>
      <c r="I2492">
        <v>28</v>
      </c>
      <c r="J2492">
        <v>0</v>
      </c>
      <c r="K2492" t="str">
        <f>"818"</f>
        <v>818</v>
      </c>
      <c r="L2492">
        <v>27.16</v>
      </c>
    </row>
    <row r="2493" spans="1:12" x14ac:dyDescent="0.25">
      <c r="A2493" t="str">
        <f t="shared" si="436"/>
        <v>89301000</v>
      </c>
      <c r="B2493" t="str">
        <f t="shared" si="441"/>
        <v>93501000</v>
      </c>
      <c r="C2493" t="str">
        <f>"93501005"</f>
        <v>93501005</v>
      </c>
      <c r="D2493">
        <v>89301167</v>
      </c>
      <c r="E2493" t="str">
        <f t="shared" si="443"/>
        <v>470127462</v>
      </c>
      <c r="F2493" s="1">
        <v>45002</v>
      </c>
      <c r="G2493" t="str">
        <f>"96713"</f>
        <v>96713</v>
      </c>
      <c r="H2493">
        <v>1</v>
      </c>
      <c r="I2493">
        <v>14</v>
      </c>
      <c r="J2493">
        <v>0</v>
      </c>
      <c r="K2493" t="str">
        <f>"818"</f>
        <v>818</v>
      </c>
      <c r="L2493">
        <v>13.58</v>
      </c>
    </row>
    <row r="2494" spans="1:12" x14ac:dyDescent="0.25">
      <c r="A2494" t="str">
        <f t="shared" si="436"/>
        <v>89301000</v>
      </c>
      <c r="B2494" t="str">
        <f t="shared" ref="B2494:C2508" si="445">"87669000"</f>
        <v>87669000</v>
      </c>
      <c r="C2494" t="str">
        <f t="shared" si="445"/>
        <v>87669000</v>
      </c>
      <c r="D2494">
        <v>89301167</v>
      </c>
      <c r="E2494" t="str">
        <f t="shared" ref="E2494:E2509" si="446">"480710460"</f>
        <v>480710460</v>
      </c>
      <c r="F2494" s="1">
        <v>45005</v>
      </c>
      <c r="G2494" t="str">
        <f>"81337"</f>
        <v>81337</v>
      </c>
      <c r="H2494">
        <v>1</v>
      </c>
      <c r="I2494">
        <v>20</v>
      </c>
      <c r="J2494">
        <v>0</v>
      </c>
      <c r="K2494" t="str">
        <f t="shared" ref="K2494:K2509" si="447">"801"</f>
        <v>801</v>
      </c>
      <c r="L2494">
        <v>16.8</v>
      </c>
    </row>
    <row r="2495" spans="1:12" x14ac:dyDescent="0.25">
      <c r="A2495" t="str">
        <f t="shared" si="436"/>
        <v>89301000</v>
      </c>
      <c r="B2495" t="str">
        <f t="shared" si="445"/>
        <v>87669000</v>
      </c>
      <c r="C2495" t="str">
        <f t="shared" si="445"/>
        <v>87669000</v>
      </c>
      <c r="D2495">
        <v>89301167</v>
      </c>
      <c r="E2495" t="str">
        <f t="shared" si="446"/>
        <v>480710460</v>
      </c>
      <c r="F2495" s="1">
        <v>45005</v>
      </c>
      <c r="G2495" t="str">
        <f>"81357"</f>
        <v>81357</v>
      </c>
      <c r="H2495">
        <v>1</v>
      </c>
      <c r="I2495">
        <v>20</v>
      </c>
      <c r="J2495">
        <v>0</v>
      </c>
      <c r="K2495" t="str">
        <f t="shared" si="447"/>
        <v>801</v>
      </c>
      <c r="L2495">
        <v>16.8</v>
      </c>
    </row>
    <row r="2496" spans="1:12" x14ac:dyDescent="0.25">
      <c r="A2496" t="str">
        <f t="shared" si="436"/>
        <v>89301000</v>
      </c>
      <c r="B2496" t="str">
        <f t="shared" si="445"/>
        <v>87669000</v>
      </c>
      <c r="C2496" t="str">
        <f t="shared" si="445"/>
        <v>87669000</v>
      </c>
      <c r="D2496">
        <v>89301167</v>
      </c>
      <c r="E2496" t="str">
        <f t="shared" si="446"/>
        <v>480710460</v>
      </c>
      <c r="F2496" s="1">
        <v>45005</v>
      </c>
      <c r="G2496" t="str">
        <f>"81393"</f>
        <v>81393</v>
      </c>
      <c r="H2496">
        <v>1</v>
      </c>
      <c r="I2496">
        <v>24</v>
      </c>
      <c r="J2496">
        <v>0</v>
      </c>
      <c r="K2496" t="str">
        <f t="shared" si="447"/>
        <v>801</v>
      </c>
      <c r="L2496">
        <v>20.16</v>
      </c>
    </row>
    <row r="2497" spans="1:12" x14ac:dyDescent="0.25">
      <c r="A2497" t="str">
        <f t="shared" si="436"/>
        <v>89301000</v>
      </c>
      <c r="B2497" t="str">
        <f t="shared" si="445"/>
        <v>87669000</v>
      </c>
      <c r="C2497" t="str">
        <f t="shared" si="445"/>
        <v>87669000</v>
      </c>
      <c r="D2497">
        <v>89301167</v>
      </c>
      <c r="E2497" t="str">
        <f t="shared" si="446"/>
        <v>480710460</v>
      </c>
      <c r="F2497" s="1">
        <v>45005</v>
      </c>
      <c r="G2497" t="str">
        <f>"81421"</f>
        <v>81421</v>
      </c>
      <c r="H2497">
        <v>1</v>
      </c>
      <c r="I2497">
        <v>19</v>
      </c>
      <c r="J2497">
        <v>0</v>
      </c>
      <c r="K2497" t="str">
        <f t="shared" si="447"/>
        <v>801</v>
      </c>
      <c r="L2497">
        <v>15.96</v>
      </c>
    </row>
    <row r="2498" spans="1:12" x14ac:dyDescent="0.25">
      <c r="A2498" t="str">
        <f t="shared" ref="A2498:A2561" si="448">"89301000"</f>
        <v>89301000</v>
      </c>
      <c r="B2498" t="str">
        <f t="shared" si="445"/>
        <v>87669000</v>
      </c>
      <c r="C2498" t="str">
        <f t="shared" si="445"/>
        <v>87669000</v>
      </c>
      <c r="D2498">
        <v>89301167</v>
      </c>
      <c r="E2498" t="str">
        <f t="shared" si="446"/>
        <v>480710460</v>
      </c>
      <c r="F2498" s="1">
        <v>45005</v>
      </c>
      <c r="G2498" t="str">
        <f>"81435"</f>
        <v>81435</v>
      </c>
      <c r="H2498">
        <v>1</v>
      </c>
      <c r="I2498">
        <v>22</v>
      </c>
      <c r="J2498">
        <v>0</v>
      </c>
      <c r="K2498" t="str">
        <f t="shared" si="447"/>
        <v>801</v>
      </c>
      <c r="L2498">
        <v>18.48</v>
      </c>
    </row>
    <row r="2499" spans="1:12" x14ac:dyDescent="0.25">
      <c r="A2499" t="str">
        <f t="shared" si="448"/>
        <v>89301000</v>
      </c>
      <c r="B2499" t="str">
        <f t="shared" si="445"/>
        <v>87669000</v>
      </c>
      <c r="C2499" t="str">
        <f t="shared" si="445"/>
        <v>87669000</v>
      </c>
      <c r="D2499">
        <v>89301167</v>
      </c>
      <c r="E2499" t="str">
        <f t="shared" si="446"/>
        <v>480710460</v>
      </c>
      <c r="F2499" s="1">
        <v>45005</v>
      </c>
      <c r="G2499" t="str">
        <f>"81439"</f>
        <v>81439</v>
      </c>
      <c r="H2499">
        <v>1</v>
      </c>
      <c r="I2499">
        <v>16</v>
      </c>
      <c r="J2499">
        <v>0</v>
      </c>
      <c r="K2499" t="str">
        <f t="shared" si="447"/>
        <v>801</v>
      </c>
      <c r="L2499">
        <v>13.44</v>
      </c>
    </row>
    <row r="2500" spans="1:12" x14ac:dyDescent="0.25">
      <c r="A2500" t="str">
        <f t="shared" si="448"/>
        <v>89301000</v>
      </c>
      <c r="B2500" t="str">
        <f t="shared" si="445"/>
        <v>87669000</v>
      </c>
      <c r="C2500" t="str">
        <f t="shared" si="445"/>
        <v>87669000</v>
      </c>
      <c r="D2500">
        <v>89301167</v>
      </c>
      <c r="E2500" t="str">
        <f t="shared" si="446"/>
        <v>480710460</v>
      </c>
      <c r="F2500" s="1">
        <v>45005</v>
      </c>
      <c r="G2500" t="str">
        <f>"81469"</f>
        <v>81469</v>
      </c>
      <c r="H2500">
        <v>1</v>
      </c>
      <c r="I2500">
        <v>16</v>
      </c>
      <c r="J2500">
        <v>0</v>
      </c>
      <c r="K2500" t="str">
        <f t="shared" si="447"/>
        <v>801</v>
      </c>
      <c r="L2500">
        <v>13.44</v>
      </c>
    </row>
    <row r="2501" spans="1:12" x14ac:dyDescent="0.25">
      <c r="A2501" t="str">
        <f t="shared" si="448"/>
        <v>89301000</v>
      </c>
      <c r="B2501" t="str">
        <f t="shared" si="445"/>
        <v>87669000</v>
      </c>
      <c r="C2501" t="str">
        <f t="shared" si="445"/>
        <v>87669000</v>
      </c>
      <c r="D2501">
        <v>89301167</v>
      </c>
      <c r="E2501" t="str">
        <f t="shared" si="446"/>
        <v>480710460</v>
      </c>
      <c r="F2501" s="1">
        <v>45005</v>
      </c>
      <c r="G2501" t="str">
        <f>"81499"</f>
        <v>81499</v>
      </c>
      <c r="H2501">
        <v>1</v>
      </c>
      <c r="I2501">
        <v>18</v>
      </c>
      <c r="J2501">
        <v>0</v>
      </c>
      <c r="K2501" t="str">
        <f t="shared" si="447"/>
        <v>801</v>
      </c>
      <c r="L2501">
        <v>15.12</v>
      </c>
    </row>
    <row r="2502" spans="1:12" x14ac:dyDescent="0.25">
      <c r="A2502" t="str">
        <f t="shared" si="448"/>
        <v>89301000</v>
      </c>
      <c r="B2502" t="str">
        <f t="shared" si="445"/>
        <v>87669000</v>
      </c>
      <c r="C2502" t="str">
        <f t="shared" si="445"/>
        <v>87669000</v>
      </c>
      <c r="D2502">
        <v>89301167</v>
      </c>
      <c r="E2502" t="str">
        <f t="shared" si="446"/>
        <v>480710460</v>
      </c>
      <c r="F2502" s="1">
        <v>45005</v>
      </c>
      <c r="G2502" t="str">
        <f>"81593"</f>
        <v>81593</v>
      </c>
      <c r="H2502">
        <v>1</v>
      </c>
      <c r="I2502">
        <v>22</v>
      </c>
      <c r="J2502">
        <v>0</v>
      </c>
      <c r="K2502" t="str">
        <f t="shared" si="447"/>
        <v>801</v>
      </c>
      <c r="L2502">
        <v>18.48</v>
      </c>
    </row>
    <row r="2503" spans="1:12" x14ac:dyDescent="0.25">
      <c r="A2503" t="str">
        <f t="shared" si="448"/>
        <v>89301000</v>
      </c>
      <c r="B2503" t="str">
        <f t="shared" si="445"/>
        <v>87669000</v>
      </c>
      <c r="C2503" t="str">
        <f t="shared" si="445"/>
        <v>87669000</v>
      </c>
      <c r="D2503">
        <v>89301167</v>
      </c>
      <c r="E2503" t="str">
        <f t="shared" si="446"/>
        <v>480710460</v>
      </c>
      <c r="F2503" s="1">
        <v>45005</v>
      </c>
      <c r="G2503" t="str">
        <f>"81621"</f>
        <v>81621</v>
      </c>
      <c r="H2503">
        <v>1</v>
      </c>
      <c r="I2503">
        <v>19</v>
      </c>
      <c r="J2503">
        <v>0</v>
      </c>
      <c r="K2503" t="str">
        <f t="shared" si="447"/>
        <v>801</v>
      </c>
      <c r="L2503">
        <v>15.96</v>
      </c>
    </row>
    <row r="2504" spans="1:12" x14ac:dyDescent="0.25">
      <c r="A2504" t="str">
        <f t="shared" si="448"/>
        <v>89301000</v>
      </c>
      <c r="B2504" t="str">
        <f t="shared" si="445"/>
        <v>87669000</v>
      </c>
      <c r="C2504" t="str">
        <f t="shared" si="445"/>
        <v>87669000</v>
      </c>
      <c r="D2504">
        <v>89301167</v>
      </c>
      <c r="E2504" t="str">
        <f t="shared" si="446"/>
        <v>480710460</v>
      </c>
      <c r="F2504" s="1">
        <v>45005</v>
      </c>
      <c r="G2504" t="str">
        <f>"91153"</f>
        <v>91153</v>
      </c>
      <c r="H2504">
        <v>1</v>
      </c>
      <c r="I2504">
        <v>153</v>
      </c>
      <c r="J2504">
        <v>0</v>
      </c>
      <c r="K2504" t="str">
        <f t="shared" si="447"/>
        <v>801</v>
      </c>
      <c r="L2504">
        <v>128.52000000000001</v>
      </c>
    </row>
    <row r="2505" spans="1:12" x14ac:dyDescent="0.25">
      <c r="A2505" t="str">
        <f t="shared" si="448"/>
        <v>89301000</v>
      </c>
      <c r="B2505" t="str">
        <f t="shared" si="445"/>
        <v>87669000</v>
      </c>
      <c r="C2505" t="str">
        <f t="shared" si="445"/>
        <v>87669000</v>
      </c>
      <c r="D2505">
        <v>89301167</v>
      </c>
      <c r="E2505" t="str">
        <f t="shared" si="446"/>
        <v>480710460</v>
      </c>
      <c r="F2505" s="1">
        <v>45005</v>
      </c>
      <c r="G2505" t="str">
        <f>"93189"</f>
        <v>93189</v>
      </c>
      <c r="H2505">
        <v>1</v>
      </c>
      <c r="I2505">
        <v>191</v>
      </c>
      <c r="J2505">
        <v>0</v>
      </c>
      <c r="K2505" t="str">
        <f t="shared" si="447"/>
        <v>801</v>
      </c>
      <c r="L2505">
        <v>160.44</v>
      </c>
    </row>
    <row r="2506" spans="1:12" x14ac:dyDescent="0.25">
      <c r="A2506" t="str">
        <f t="shared" si="448"/>
        <v>89301000</v>
      </c>
      <c r="B2506" t="str">
        <f t="shared" si="445"/>
        <v>87669000</v>
      </c>
      <c r="C2506" t="str">
        <f t="shared" si="445"/>
        <v>87669000</v>
      </c>
      <c r="D2506">
        <v>89301167</v>
      </c>
      <c r="E2506" t="str">
        <f t="shared" si="446"/>
        <v>480710460</v>
      </c>
      <c r="F2506" s="1">
        <v>45005</v>
      </c>
      <c r="G2506" t="str">
        <f>"93195"</f>
        <v>93195</v>
      </c>
      <c r="H2506">
        <v>1</v>
      </c>
      <c r="I2506">
        <v>183</v>
      </c>
      <c r="J2506">
        <v>0</v>
      </c>
      <c r="K2506" t="str">
        <f t="shared" si="447"/>
        <v>801</v>
      </c>
      <c r="L2506">
        <v>153.72</v>
      </c>
    </row>
    <row r="2507" spans="1:12" x14ac:dyDescent="0.25">
      <c r="A2507" t="str">
        <f t="shared" si="448"/>
        <v>89301000</v>
      </c>
      <c r="B2507" t="str">
        <f t="shared" si="445"/>
        <v>87669000</v>
      </c>
      <c r="C2507" t="str">
        <f t="shared" si="445"/>
        <v>87669000</v>
      </c>
      <c r="D2507">
        <v>89301167</v>
      </c>
      <c r="E2507" t="str">
        <f t="shared" si="446"/>
        <v>480710460</v>
      </c>
      <c r="F2507" s="1">
        <v>45005</v>
      </c>
      <c r="G2507" t="str">
        <f>"96167"</f>
        <v>96167</v>
      </c>
      <c r="H2507">
        <v>1</v>
      </c>
      <c r="I2507">
        <v>67</v>
      </c>
      <c r="J2507">
        <v>0</v>
      </c>
      <c r="K2507" t="str">
        <f t="shared" si="447"/>
        <v>801</v>
      </c>
      <c r="L2507">
        <v>56.28</v>
      </c>
    </row>
    <row r="2508" spans="1:12" x14ac:dyDescent="0.25">
      <c r="A2508" t="str">
        <f t="shared" si="448"/>
        <v>89301000</v>
      </c>
      <c r="B2508" t="str">
        <f t="shared" si="445"/>
        <v>87669000</v>
      </c>
      <c r="C2508" t="str">
        <f t="shared" si="445"/>
        <v>87669000</v>
      </c>
      <c r="D2508">
        <v>89301167</v>
      </c>
      <c r="E2508" t="str">
        <f t="shared" si="446"/>
        <v>480710460</v>
      </c>
      <c r="F2508" s="1">
        <v>45005</v>
      </c>
      <c r="G2508" t="str">
        <f>"97111"</f>
        <v>97111</v>
      </c>
      <c r="H2508">
        <v>1</v>
      </c>
      <c r="I2508">
        <v>19</v>
      </c>
      <c r="J2508">
        <v>0</v>
      </c>
      <c r="K2508" t="str">
        <f t="shared" si="447"/>
        <v>801</v>
      </c>
      <c r="L2508">
        <v>23.94</v>
      </c>
    </row>
    <row r="2509" spans="1:12" x14ac:dyDescent="0.25">
      <c r="A2509" t="str">
        <f t="shared" si="448"/>
        <v>89301000</v>
      </c>
      <c r="B2509" t="str">
        <f>"91997900"</f>
        <v>91997900</v>
      </c>
      <c r="C2509" t="str">
        <f>"91997901"</f>
        <v>91997901</v>
      </c>
      <c r="D2509">
        <v>89301167</v>
      </c>
      <c r="E2509" t="str">
        <f t="shared" si="446"/>
        <v>480710460</v>
      </c>
      <c r="F2509" s="1">
        <v>45005</v>
      </c>
      <c r="G2509" t="str">
        <f>"81249"</f>
        <v>81249</v>
      </c>
      <c r="H2509">
        <v>1</v>
      </c>
      <c r="I2509">
        <v>334</v>
      </c>
      <c r="J2509">
        <v>0</v>
      </c>
      <c r="K2509" t="str">
        <f t="shared" si="447"/>
        <v>801</v>
      </c>
      <c r="L2509">
        <v>280.56</v>
      </c>
    </row>
    <row r="2510" spans="1:12" x14ac:dyDescent="0.25">
      <c r="A2510" t="str">
        <f t="shared" si="448"/>
        <v>89301000</v>
      </c>
      <c r="B2510" t="str">
        <f t="shared" ref="B2510:B2541" si="449">"78051000"</f>
        <v>78051000</v>
      </c>
      <c r="C2510" t="str">
        <f t="shared" ref="C2510:C2554" si="450">"78051004"</f>
        <v>78051004</v>
      </c>
      <c r="D2510">
        <v>89301062</v>
      </c>
      <c r="E2510" t="str">
        <f>"490228005"</f>
        <v>490228005</v>
      </c>
      <c r="F2510" s="1">
        <v>44986</v>
      </c>
      <c r="G2510" t="str">
        <f>"89311"</f>
        <v>89311</v>
      </c>
      <c r="H2510">
        <v>1</v>
      </c>
      <c r="I2510">
        <v>970</v>
      </c>
      <c r="J2510">
        <v>0</v>
      </c>
      <c r="K2510" t="str">
        <f t="shared" ref="K2510:K2554" si="451">"809"</f>
        <v>809</v>
      </c>
      <c r="L2510">
        <v>1425.9</v>
      </c>
    </row>
    <row r="2511" spans="1:12" x14ac:dyDescent="0.25">
      <c r="A2511" t="str">
        <f t="shared" si="448"/>
        <v>89301000</v>
      </c>
      <c r="B2511" t="str">
        <f t="shared" si="449"/>
        <v>78051000</v>
      </c>
      <c r="C2511" t="str">
        <f t="shared" si="450"/>
        <v>78051004</v>
      </c>
      <c r="D2511">
        <v>89301062</v>
      </c>
      <c r="E2511" t="str">
        <f>"490228005"</f>
        <v>490228005</v>
      </c>
      <c r="F2511" s="1">
        <v>44986</v>
      </c>
      <c r="G2511" t="str">
        <f>"0090044"</f>
        <v>0090044</v>
      </c>
      <c r="H2511">
        <v>1</v>
      </c>
      <c r="J2511">
        <v>16.8</v>
      </c>
      <c r="K2511" t="str">
        <f t="shared" si="451"/>
        <v>809</v>
      </c>
      <c r="L2511">
        <v>16.8</v>
      </c>
    </row>
    <row r="2512" spans="1:12" x14ac:dyDescent="0.25">
      <c r="A2512" t="str">
        <f t="shared" si="448"/>
        <v>89301000</v>
      </c>
      <c r="B2512" t="str">
        <f t="shared" si="449"/>
        <v>78051000</v>
      </c>
      <c r="C2512" t="str">
        <f t="shared" si="450"/>
        <v>78051004</v>
      </c>
      <c r="D2512">
        <v>89301062</v>
      </c>
      <c r="E2512" t="str">
        <f>"490228005"</f>
        <v>490228005</v>
      </c>
      <c r="F2512" s="1">
        <v>44986</v>
      </c>
      <c r="G2512" t="str">
        <f>"0225891"</f>
        <v>0225891</v>
      </c>
      <c r="H2512">
        <v>0.2</v>
      </c>
      <c r="J2512">
        <v>73.540000000000006</v>
      </c>
      <c r="K2512" t="str">
        <f t="shared" si="451"/>
        <v>809</v>
      </c>
      <c r="L2512">
        <v>73.540000000000006</v>
      </c>
    </row>
    <row r="2513" spans="1:12" x14ac:dyDescent="0.25">
      <c r="A2513" t="str">
        <f t="shared" si="448"/>
        <v>89301000</v>
      </c>
      <c r="B2513" t="str">
        <f t="shared" si="449"/>
        <v>78051000</v>
      </c>
      <c r="C2513" t="str">
        <f t="shared" si="450"/>
        <v>78051004</v>
      </c>
      <c r="D2513">
        <v>89301062</v>
      </c>
      <c r="E2513" t="str">
        <f>"490228005"</f>
        <v>490228005</v>
      </c>
      <c r="F2513" s="1">
        <v>44986</v>
      </c>
      <c r="G2513" t="str">
        <f>"0096251"</f>
        <v>0096251</v>
      </c>
      <c r="H2513">
        <v>0.17</v>
      </c>
      <c r="J2513">
        <v>198.83</v>
      </c>
      <c r="K2513" t="str">
        <f t="shared" si="451"/>
        <v>809</v>
      </c>
      <c r="L2513">
        <v>198.83</v>
      </c>
    </row>
    <row r="2514" spans="1:12" x14ac:dyDescent="0.25">
      <c r="A2514" t="str">
        <f t="shared" si="448"/>
        <v>89301000</v>
      </c>
      <c r="B2514" t="str">
        <f t="shared" si="449"/>
        <v>78051000</v>
      </c>
      <c r="C2514" t="str">
        <f t="shared" si="450"/>
        <v>78051004</v>
      </c>
      <c r="D2514">
        <v>89301062</v>
      </c>
      <c r="E2514" t="str">
        <f>"490228005"</f>
        <v>490228005</v>
      </c>
      <c r="F2514" s="1">
        <v>44986</v>
      </c>
      <c r="G2514" t="str">
        <f>"0098943"</f>
        <v>0098943</v>
      </c>
      <c r="H2514">
        <v>1</v>
      </c>
      <c r="J2514">
        <v>293.81</v>
      </c>
      <c r="K2514" t="str">
        <f t="shared" si="451"/>
        <v>809</v>
      </c>
      <c r="L2514">
        <v>293.81</v>
      </c>
    </row>
    <row r="2515" spans="1:12" x14ac:dyDescent="0.25">
      <c r="A2515" t="str">
        <f t="shared" si="448"/>
        <v>89301000</v>
      </c>
      <c r="B2515" t="str">
        <f t="shared" si="449"/>
        <v>78051000</v>
      </c>
      <c r="C2515" t="str">
        <f t="shared" si="450"/>
        <v>78051004</v>
      </c>
      <c r="D2515">
        <v>89301062</v>
      </c>
      <c r="E2515" t="str">
        <f>"6812190858"</f>
        <v>6812190858</v>
      </c>
      <c r="F2515" s="1">
        <v>44986</v>
      </c>
      <c r="G2515" t="str">
        <f>"89311"</f>
        <v>89311</v>
      </c>
      <c r="H2515">
        <v>1</v>
      </c>
      <c r="I2515">
        <v>970</v>
      </c>
      <c r="J2515">
        <v>0</v>
      </c>
      <c r="K2515" t="str">
        <f t="shared" si="451"/>
        <v>809</v>
      </c>
      <c r="L2515">
        <v>1425.9</v>
      </c>
    </row>
    <row r="2516" spans="1:12" x14ac:dyDescent="0.25">
      <c r="A2516" t="str">
        <f t="shared" si="448"/>
        <v>89301000</v>
      </c>
      <c r="B2516" t="str">
        <f t="shared" si="449"/>
        <v>78051000</v>
      </c>
      <c r="C2516" t="str">
        <f t="shared" si="450"/>
        <v>78051004</v>
      </c>
      <c r="D2516">
        <v>89301062</v>
      </c>
      <c r="E2516" t="str">
        <f>"6812190858"</f>
        <v>6812190858</v>
      </c>
      <c r="F2516" s="1">
        <v>44986</v>
      </c>
      <c r="G2516" t="str">
        <f>"0090044"</f>
        <v>0090044</v>
      </c>
      <c r="H2516">
        <v>1</v>
      </c>
      <c r="J2516">
        <v>16.8</v>
      </c>
      <c r="K2516" t="str">
        <f t="shared" si="451"/>
        <v>809</v>
      </c>
      <c r="L2516">
        <v>16.8</v>
      </c>
    </row>
    <row r="2517" spans="1:12" x14ac:dyDescent="0.25">
      <c r="A2517" t="str">
        <f t="shared" si="448"/>
        <v>89301000</v>
      </c>
      <c r="B2517" t="str">
        <f t="shared" si="449"/>
        <v>78051000</v>
      </c>
      <c r="C2517" t="str">
        <f t="shared" si="450"/>
        <v>78051004</v>
      </c>
      <c r="D2517">
        <v>89301062</v>
      </c>
      <c r="E2517" t="str">
        <f>"6812190858"</f>
        <v>6812190858</v>
      </c>
      <c r="F2517" s="1">
        <v>44986</v>
      </c>
      <c r="G2517" t="str">
        <f>"0225891"</f>
        <v>0225891</v>
      </c>
      <c r="H2517">
        <v>0.2</v>
      </c>
      <c r="J2517">
        <v>73.540000000000006</v>
      </c>
      <c r="K2517" t="str">
        <f t="shared" si="451"/>
        <v>809</v>
      </c>
      <c r="L2517">
        <v>73.540000000000006</v>
      </c>
    </row>
    <row r="2518" spans="1:12" x14ac:dyDescent="0.25">
      <c r="A2518" t="str">
        <f t="shared" si="448"/>
        <v>89301000</v>
      </c>
      <c r="B2518" t="str">
        <f t="shared" si="449"/>
        <v>78051000</v>
      </c>
      <c r="C2518" t="str">
        <f t="shared" si="450"/>
        <v>78051004</v>
      </c>
      <c r="D2518">
        <v>89301062</v>
      </c>
      <c r="E2518" t="str">
        <f>"6812190858"</f>
        <v>6812190858</v>
      </c>
      <c r="F2518" s="1">
        <v>44986</v>
      </c>
      <c r="G2518" t="str">
        <f>"0096251"</f>
        <v>0096251</v>
      </c>
      <c r="H2518">
        <v>0.17</v>
      </c>
      <c r="J2518">
        <v>198.83</v>
      </c>
      <c r="K2518" t="str">
        <f t="shared" si="451"/>
        <v>809</v>
      </c>
      <c r="L2518">
        <v>198.83</v>
      </c>
    </row>
    <row r="2519" spans="1:12" x14ac:dyDescent="0.25">
      <c r="A2519" t="str">
        <f t="shared" si="448"/>
        <v>89301000</v>
      </c>
      <c r="B2519" t="str">
        <f t="shared" si="449"/>
        <v>78051000</v>
      </c>
      <c r="C2519" t="str">
        <f t="shared" si="450"/>
        <v>78051004</v>
      </c>
      <c r="D2519">
        <v>89301062</v>
      </c>
      <c r="E2519" t="str">
        <f>"6812190858"</f>
        <v>6812190858</v>
      </c>
      <c r="F2519" s="1">
        <v>44986</v>
      </c>
      <c r="G2519" t="str">
        <f>"0098943"</f>
        <v>0098943</v>
      </c>
      <c r="H2519">
        <v>1</v>
      </c>
      <c r="J2519">
        <v>293.81</v>
      </c>
      <c r="K2519" t="str">
        <f t="shared" si="451"/>
        <v>809</v>
      </c>
      <c r="L2519">
        <v>293.81</v>
      </c>
    </row>
    <row r="2520" spans="1:12" x14ac:dyDescent="0.25">
      <c r="A2520" t="str">
        <f t="shared" si="448"/>
        <v>89301000</v>
      </c>
      <c r="B2520" t="str">
        <f t="shared" si="449"/>
        <v>78051000</v>
      </c>
      <c r="C2520" t="str">
        <f t="shared" si="450"/>
        <v>78051004</v>
      </c>
      <c r="D2520">
        <v>89301062</v>
      </c>
      <c r="E2520" t="str">
        <f>"6203130362"</f>
        <v>6203130362</v>
      </c>
      <c r="F2520" s="1">
        <v>44992</v>
      </c>
      <c r="G2520" t="str">
        <f>"89311"</f>
        <v>89311</v>
      </c>
      <c r="H2520">
        <v>1</v>
      </c>
      <c r="I2520">
        <v>970</v>
      </c>
      <c r="J2520">
        <v>0</v>
      </c>
      <c r="K2520" t="str">
        <f t="shared" si="451"/>
        <v>809</v>
      </c>
      <c r="L2520">
        <v>1425.9</v>
      </c>
    </row>
    <row r="2521" spans="1:12" x14ac:dyDescent="0.25">
      <c r="A2521" t="str">
        <f t="shared" si="448"/>
        <v>89301000</v>
      </c>
      <c r="B2521" t="str">
        <f t="shared" si="449"/>
        <v>78051000</v>
      </c>
      <c r="C2521" t="str">
        <f t="shared" si="450"/>
        <v>78051004</v>
      </c>
      <c r="D2521">
        <v>89301062</v>
      </c>
      <c r="E2521" t="str">
        <f>"6203130362"</f>
        <v>6203130362</v>
      </c>
      <c r="F2521" s="1">
        <v>44992</v>
      </c>
      <c r="G2521" t="str">
        <f>"0090044"</f>
        <v>0090044</v>
      </c>
      <c r="H2521">
        <v>1</v>
      </c>
      <c r="J2521">
        <v>16.8</v>
      </c>
      <c r="K2521" t="str">
        <f t="shared" si="451"/>
        <v>809</v>
      </c>
      <c r="L2521">
        <v>16.8</v>
      </c>
    </row>
    <row r="2522" spans="1:12" x14ac:dyDescent="0.25">
      <c r="A2522" t="str">
        <f t="shared" si="448"/>
        <v>89301000</v>
      </c>
      <c r="B2522" t="str">
        <f t="shared" si="449"/>
        <v>78051000</v>
      </c>
      <c r="C2522" t="str">
        <f t="shared" si="450"/>
        <v>78051004</v>
      </c>
      <c r="D2522">
        <v>89301062</v>
      </c>
      <c r="E2522" t="str">
        <f>"6203130362"</f>
        <v>6203130362</v>
      </c>
      <c r="F2522" s="1">
        <v>44992</v>
      </c>
      <c r="G2522" t="str">
        <f>"0225891"</f>
        <v>0225891</v>
      </c>
      <c r="H2522">
        <v>0.2</v>
      </c>
      <c r="J2522">
        <v>73.540000000000006</v>
      </c>
      <c r="K2522" t="str">
        <f t="shared" si="451"/>
        <v>809</v>
      </c>
      <c r="L2522">
        <v>73.540000000000006</v>
      </c>
    </row>
    <row r="2523" spans="1:12" x14ac:dyDescent="0.25">
      <c r="A2523" t="str">
        <f t="shared" si="448"/>
        <v>89301000</v>
      </c>
      <c r="B2523" t="str">
        <f t="shared" si="449"/>
        <v>78051000</v>
      </c>
      <c r="C2523" t="str">
        <f t="shared" si="450"/>
        <v>78051004</v>
      </c>
      <c r="D2523">
        <v>89301062</v>
      </c>
      <c r="E2523" t="str">
        <f>"6203130362"</f>
        <v>6203130362</v>
      </c>
      <c r="F2523" s="1">
        <v>44992</v>
      </c>
      <c r="G2523" t="str">
        <f>"0096251"</f>
        <v>0096251</v>
      </c>
      <c r="H2523">
        <v>0.17</v>
      </c>
      <c r="J2523">
        <v>198.83</v>
      </c>
      <c r="K2523" t="str">
        <f t="shared" si="451"/>
        <v>809</v>
      </c>
      <c r="L2523">
        <v>198.83</v>
      </c>
    </row>
    <row r="2524" spans="1:12" x14ac:dyDescent="0.25">
      <c r="A2524" t="str">
        <f t="shared" si="448"/>
        <v>89301000</v>
      </c>
      <c r="B2524" t="str">
        <f t="shared" si="449"/>
        <v>78051000</v>
      </c>
      <c r="C2524" t="str">
        <f t="shared" si="450"/>
        <v>78051004</v>
      </c>
      <c r="D2524">
        <v>89301062</v>
      </c>
      <c r="E2524" t="str">
        <f>"6203130362"</f>
        <v>6203130362</v>
      </c>
      <c r="F2524" s="1">
        <v>44992</v>
      </c>
      <c r="G2524" t="str">
        <f>"0098943"</f>
        <v>0098943</v>
      </c>
      <c r="H2524">
        <v>1</v>
      </c>
      <c r="J2524">
        <v>293.81</v>
      </c>
      <c r="K2524" t="str">
        <f t="shared" si="451"/>
        <v>809</v>
      </c>
      <c r="L2524">
        <v>293.81</v>
      </c>
    </row>
    <row r="2525" spans="1:12" x14ac:dyDescent="0.25">
      <c r="A2525" t="str">
        <f t="shared" si="448"/>
        <v>89301000</v>
      </c>
      <c r="B2525" t="str">
        <f t="shared" si="449"/>
        <v>78051000</v>
      </c>
      <c r="C2525" t="str">
        <f t="shared" si="450"/>
        <v>78051004</v>
      </c>
      <c r="D2525">
        <v>89301062</v>
      </c>
      <c r="E2525" t="str">
        <f>"7760105320"</f>
        <v>7760105320</v>
      </c>
      <c r="F2525" s="1">
        <v>44992</v>
      </c>
      <c r="G2525" t="str">
        <f>"89311"</f>
        <v>89311</v>
      </c>
      <c r="H2525">
        <v>1</v>
      </c>
      <c r="I2525">
        <v>970</v>
      </c>
      <c r="J2525">
        <v>0</v>
      </c>
      <c r="K2525" t="str">
        <f t="shared" si="451"/>
        <v>809</v>
      </c>
      <c r="L2525">
        <v>1425.9</v>
      </c>
    </row>
    <row r="2526" spans="1:12" x14ac:dyDescent="0.25">
      <c r="A2526" t="str">
        <f t="shared" si="448"/>
        <v>89301000</v>
      </c>
      <c r="B2526" t="str">
        <f t="shared" si="449"/>
        <v>78051000</v>
      </c>
      <c r="C2526" t="str">
        <f t="shared" si="450"/>
        <v>78051004</v>
      </c>
      <c r="D2526">
        <v>89301062</v>
      </c>
      <c r="E2526" t="str">
        <f>"7760105320"</f>
        <v>7760105320</v>
      </c>
      <c r="F2526" s="1">
        <v>44992</v>
      </c>
      <c r="G2526" t="str">
        <f>"0090044"</f>
        <v>0090044</v>
      </c>
      <c r="H2526">
        <v>1</v>
      </c>
      <c r="J2526">
        <v>16.8</v>
      </c>
      <c r="K2526" t="str">
        <f t="shared" si="451"/>
        <v>809</v>
      </c>
      <c r="L2526">
        <v>16.8</v>
      </c>
    </row>
    <row r="2527" spans="1:12" x14ac:dyDescent="0.25">
      <c r="A2527" t="str">
        <f t="shared" si="448"/>
        <v>89301000</v>
      </c>
      <c r="B2527" t="str">
        <f t="shared" si="449"/>
        <v>78051000</v>
      </c>
      <c r="C2527" t="str">
        <f t="shared" si="450"/>
        <v>78051004</v>
      </c>
      <c r="D2527">
        <v>89301062</v>
      </c>
      <c r="E2527" t="str">
        <f>"7760105320"</f>
        <v>7760105320</v>
      </c>
      <c r="F2527" s="1">
        <v>44992</v>
      </c>
      <c r="G2527" t="str">
        <f>"0225891"</f>
        <v>0225891</v>
      </c>
      <c r="H2527">
        <v>0.2</v>
      </c>
      <c r="J2527">
        <v>73.540000000000006</v>
      </c>
      <c r="K2527" t="str">
        <f t="shared" si="451"/>
        <v>809</v>
      </c>
      <c r="L2527">
        <v>73.540000000000006</v>
      </c>
    </row>
    <row r="2528" spans="1:12" x14ac:dyDescent="0.25">
      <c r="A2528" t="str">
        <f t="shared" si="448"/>
        <v>89301000</v>
      </c>
      <c r="B2528" t="str">
        <f t="shared" si="449"/>
        <v>78051000</v>
      </c>
      <c r="C2528" t="str">
        <f t="shared" si="450"/>
        <v>78051004</v>
      </c>
      <c r="D2528">
        <v>89301062</v>
      </c>
      <c r="E2528" t="str">
        <f>"7760105320"</f>
        <v>7760105320</v>
      </c>
      <c r="F2528" s="1">
        <v>44992</v>
      </c>
      <c r="G2528" t="str">
        <f>"0096251"</f>
        <v>0096251</v>
      </c>
      <c r="H2528">
        <v>0.17</v>
      </c>
      <c r="J2528">
        <v>198.83</v>
      </c>
      <c r="K2528" t="str">
        <f t="shared" si="451"/>
        <v>809</v>
      </c>
      <c r="L2528">
        <v>198.83</v>
      </c>
    </row>
    <row r="2529" spans="1:12" x14ac:dyDescent="0.25">
      <c r="A2529" t="str">
        <f t="shared" si="448"/>
        <v>89301000</v>
      </c>
      <c r="B2529" t="str">
        <f t="shared" si="449"/>
        <v>78051000</v>
      </c>
      <c r="C2529" t="str">
        <f t="shared" si="450"/>
        <v>78051004</v>
      </c>
      <c r="D2529">
        <v>89301062</v>
      </c>
      <c r="E2529" t="str">
        <f>"7760105320"</f>
        <v>7760105320</v>
      </c>
      <c r="F2529" s="1">
        <v>44992</v>
      </c>
      <c r="G2529" t="str">
        <f>"0098943"</f>
        <v>0098943</v>
      </c>
      <c r="H2529">
        <v>1</v>
      </c>
      <c r="J2529">
        <v>293.81</v>
      </c>
      <c r="K2529" t="str">
        <f t="shared" si="451"/>
        <v>809</v>
      </c>
      <c r="L2529">
        <v>293.81</v>
      </c>
    </row>
    <row r="2530" spans="1:12" x14ac:dyDescent="0.25">
      <c r="A2530" t="str">
        <f t="shared" si="448"/>
        <v>89301000</v>
      </c>
      <c r="B2530" t="str">
        <f t="shared" si="449"/>
        <v>78051000</v>
      </c>
      <c r="C2530" t="str">
        <f t="shared" si="450"/>
        <v>78051004</v>
      </c>
      <c r="D2530">
        <v>89301062</v>
      </c>
      <c r="E2530" t="str">
        <f>"7161133232"</f>
        <v>7161133232</v>
      </c>
      <c r="F2530" s="1">
        <v>44992</v>
      </c>
      <c r="G2530" t="str">
        <f>"89311"</f>
        <v>89311</v>
      </c>
      <c r="H2530">
        <v>1</v>
      </c>
      <c r="I2530">
        <v>970</v>
      </c>
      <c r="J2530">
        <v>0</v>
      </c>
      <c r="K2530" t="str">
        <f t="shared" si="451"/>
        <v>809</v>
      </c>
      <c r="L2530">
        <v>1425.9</v>
      </c>
    </row>
    <row r="2531" spans="1:12" x14ac:dyDescent="0.25">
      <c r="A2531" t="str">
        <f t="shared" si="448"/>
        <v>89301000</v>
      </c>
      <c r="B2531" t="str">
        <f t="shared" si="449"/>
        <v>78051000</v>
      </c>
      <c r="C2531" t="str">
        <f t="shared" si="450"/>
        <v>78051004</v>
      </c>
      <c r="D2531">
        <v>89301062</v>
      </c>
      <c r="E2531" t="str">
        <f>"7161133232"</f>
        <v>7161133232</v>
      </c>
      <c r="F2531" s="1">
        <v>44992</v>
      </c>
      <c r="G2531" t="str">
        <f>"0090044"</f>
        <v>0090044</v>
      </c>
      <c r="H2531">
        <v>1</v>
      </c>
      <c r="J2531">
        <v>16.8</v>
      </c>
      <c r="K2531" t="str">
        <f t="shared" si="451"/>
        <v>809</v>
      </c>
      <c r="L2531">
        <v>16.8</v>
      </c>
    </row>
    <row r="2532" spans="1:12" x14ac:dyDescent="0.25">
      <c r="A2532" t="str">
        <f t="shared" si="448"/>
        <v>89301000</v>
      </c>
      <c r="B2532" t="str">
        <f t="shared" si="449"/>
        <v>78051000</v>
      </c>
      <c r="C2532" t="str">
        <f t="shared" si="450"/>
        <v>78051004</v>
      </c>
      <c r="D2532">
        <v>89301062</v>
      </c>
      <c r="E2532" t="str">
        <f>"7161133232"</f>
        <v>7161133232</v>
      </c>
      <c r="F2532" s="1">
        <v>44992</v>
      </c>
      <c r="G2532" t="str">
        <f>"0225891"</f>
        <v>0225891</v>
      </c>
      <c r="H2532">
        <v>0.2</v>
      </c>
      <c r="J2532">
        <v>73.540000000000006</v>
      </c>
      <c r="K2532" t="str">
        <f t="shared" si="451"/>
        <v>809</v>
      </c>
      <c r="L2532">
        <v>73.540000000000006</v>
      </c>
    </row>
    <row r="2533" spans="1:12" x14ac:dyDescent="0.25">
      <c r="A2533" t="str">
        <f t="shared" si="448"/>
        <v>89301000</v>
      </c>
      <c r="B2533" t="str">
        <f t="shared" si="449"/>
        <v>78051000</v>
      </c>
      <c r="C2533" t="str">
        <f t="shared" si="450"/>
        <v>78051004</v>
      </c>
      <c r="D2533">
        <v>89301062</v>
      </c>
      <c r="E2533" t="str">
        <f>"7161133232"</f>
        <v>7161133232</v>
      </c>
      <c r="F2533" s="1">
        <v>44992</v>
      </c>
      <c r="G2533" t="str">
        <f>"0096251"</f>
        <v>0096251</v>
      </c>
      <c r="H2533">
        <v>0.17</v>
      </c>
      <c r="J2533">
        <v>198.83</v>
      </c>
      <c r="K2533" t="str">
        <f t="shared" si="451"/>
        <v>809</v>
      </c>
      <c r="L2533">
        <v>198.83</v>
      </c>
    </row>
    <row r="2534" spans="1:12" x14ac:dyDescent="0.25">
      <c r="A2534" t="str">
        <f t="shared" si="448"/>
        <v>89301000</v>
      </c>
      <c r="B2534" t="str">
        <f t="shared" si="449"/>
        <v>78051000</v>
      </c>
      <c r="C2534" t="str">
        <f t="shared" si="450"/>
        <v>78051004</v>
      </c>
      <c r="D2534">
        <v>89301062</v>
      </c>
      <c r="E2534" t="str">
        <f>"7161133232"</f>
        <v>7161133232</v>
      </c>
      <c r="F2534" s="1">
        <v>44992</v>
      </c>
      <c r="G2534" t="str">
        <f>"0098943"</f>
        <v>0098943</v>
      </c>
      <c r="H2534">
        <v>1</v>
      </c>
      <c r="J2534">
        <v>293.81</v>
      </c>
      <c r="K2534" t="str">
        <f t="shared" si="451"/>
        <v>809</v>
      </c>
      <c r="L2534">
        <v>293.81</v>
      </c>
    </row>
    <row r="2535" spans="1:12" x14ac:dyDescent="0.25">
      <c r="A2535" t="str">
        <f t="shared" si="448"/>
        <v>89301000</v>
      </c>
      <c r="B2535" t="str">
        <f t="shared" si="449"/>
        <v>78051000</v>
      </c>
      <c r="C2535" t="str">
        <f t="shared" si="450"/>
        <v>78051004</v>
      </c>
      <c r="D2535">
        <v>89301062</v>
      </c>
      <c r="E2535" t="str">
        <f>"485503411"</f>
        <v>485503411</v>
      </c>
      <c r="F2535" s="1">
        <v>44992</v>
      </c>
      <c r="G2535" t="str">
        <f>"89311"</f>
        <v>89311</v>
      </c>
      <c r="H2535">
        <v>1</v>
      </c>
      <c r="I2535">
        <v>970</v>
      </c>
      <c r="J2535">
        <v>0</v>
      </c>
      <c r="K2535" t="str">
        <f t="shared" si="451"/>
        <v>809</v>
      </c>
      <c r="L2535">
        <v>1425.9</v>
      </c>
    </row>
    <row r="2536" spans="1:12" x14ac:dyDescent="0.25">
      <c r="A2536" t="str">
        <f t="shared" si="448"/>
        <v>89301000</v>
      </c>
      <c r="B2536" t="str">
        <f t="shared" si="449"/>
        <v>78051000</v>
      </c>
      <c r="C2536" t="str">
        <f t="shared" si="450"/>
        <v>78051004</v>
      </c>
      <c r="D2536">
        <v>89301062</v>
      </c>
      <c r="E2536" t="str">
        <f>"485503411"</f>
        <v>485503411</v>
      </c>
      <c r="F2536" s="1">
        <v>44992</v>
      </c>
      <c r="G2536" t="str">
        <f>"0090044"</f>
        <v>0090044</v>
      </c>
      <c r="H2536">
        <v>1</v>
      </c>
      <c r="J2536">
        <v>16.8</v>
      </c>
      <c r="K2536" t="str">
        <f t="shared" si="451"/>
        <v>809</v>
      </c>
      <c r="L2536">
        <v>16.8</v>
      </c>
    </row>
    <row r="2537" spans="1:12" x14ac:dyDescent="0.25">
      <c r="A2537" t="str">
        <f t="shared" si="448"/>
        <v>89301000</v>
      </c>
      <c r="B2537" t="str">
        <f t="shared" si="449"/>
        <v>78051000</v>
      </c>
      <c r="C2537" t="str">
        <f t="shared" si="450"/>
        <v>78051004</v>
      </c>
      <c r="D2537">
        <v>89301062</v>
      </c>
      <c r="E2537" t="str">
        <f>"485503411"</f>
        <v>485503411</v>
      </c>
      <c r="F2537" s="1">
        <v>44992</v>
      </c>
      <c r="G2537" t="str">
        <f>"0225891"</f>
        <v>0225891</v>
      </c>
      <c r="H2537">
        <v>0.2</v>
      </c>
      <c r="J2537">
        <v>73.540000000000006</v>
      </c>
      <c r="K2537" t="str">
        <f t="shared" si="451"/>
        <v>809</v>
      </c>
      <c r="L2537">
        <v>73.540000000000006</v>
      </c>
    </row>
    <row r="2538" spans="1:12" x14ac:dyDescent="0.25">
      <c r="A2538" t="str">
        <f t="shared" si="448"/>
        <v>89301000</v>
      </c>
      <c r="B2538" t="str">
        <f t="shared" si="449"/>
        <v>78051000</v>
      </c>
      <c r="C2538" t="str">
        <f t="shared" si="450"/>
        <v>78051004</v>
      </c>
      <c r="D2538">
        <v>89301062</v>
      </c>
      <c r="E2538" t="str">
        <f>"485503411"</f>
        <v>485503411</v>
      </c>
      <c r="F2538" s="1">
        <v>44992</v>
      </c>
      <c r="G2538" t="str">
        <f>"0096251"</f>
        <v>0096251</v>
      </c>
      <c r="H2538">
        <v>0.17</v>
      </c>
      <c r="J2538">
        <v>198.83</v>
      </c>
      <c r="K2538" t="str">
        <f t="shared" si="451"/>
        <v>809</v>
      </c>
      <c r="L2538">
        <v>198.83</v>
      </c>
    </row>
    <row r="2539" spans="1:12" x14ac:dyDescent="0.25">
      <c r="A2539" t="str">
        <f t="shared" si="448"/>
        <v>89301000</v>
      </c>
      <c r="B2539" t="str">
        <f t="shared" si="449"/>
        <v>78051000</v>
      </c>
      <c r="C2539" t="str">
        <f t="shared" si="450"/>
        <v>78051004</v>
      </c>
      <c r="D2539">
        <v>89301062</v>
      </c>
      <c r="E2539" t="str">
        <f>"485503411"</f>
        <v>485503411</v>
      </c>
      <c r="F2539" s="1">
        <v>44992</v>
      </c>
      <c r="G2539" t="str">
        <f>"0098943"</f>
        <v>0098943</v>
      </c>
      <c r="H2539">
        <v>1</v>
      </c>
      <c r="J2539">
        <v>293.81</v>
      </c>
      <c r="K2539" t="str">
        <f t="shared" si="451"/>
        <v>809</v>
      </c>
      <c r="L2539">
        <v>293.81</v>
      </c>
    </row>
    <row r="2540" spans="1:12" x14ac:dyDescent="0.25">
      <c r="A2540" t="str">
        <f t="shared" si="448"/>
        <v>89301000</v>
      </c>
      <c r="B2540" t="str">
        <f t="shared" si="449"/>
        <v>78051000</v>
      </c>
      <c r="C2540" t="str">
        <f t="shared" si="450"/>
        <v>78051004</v>
      </c>
      <c r="D2540">
        <v>89301062</v>
      </c>
      <c r="E2540" t="str">
        <f>"7659123351"</f>
        <v>7659123351</v>
      </c>
      <c r="F2540" s="1">
        <v>44992</v>
      </c>
      <c r="G2540" t="str">
        <f>"89311"</f>
        <v>89311</v>
      </c>
      <c r="H2540">
        <v>1</v>
      </c>
      <c r="I2540">
        <v>970</v>
      </c>
      <c r="J2540">
        <v>0</v>
      </c>
      <c r="K2540" t="str">
        <f t="shared" si="451"/>
        <v>809</v>
      </c>
      <c r="L2540">
        <v>1425.9</v>
      </c>
    </row>
    <row r="2541" spans="1:12" x14ac:dyDescent="0.25">
      <c r="A2541" t="str">
        <f t="shared" si="448"/>
        <v>89301000</v>
      </c>
      <c r="B2541" t="str">
        <f t="shared" si="449"/>
        <v>78051000</v>
      </c>
      <c r="C2541" t="str">
        <f t="shared" si="450"/>
        <v>78051004</v>
      </c>
      <c r="D2541">
        <v>89301062</v>
      </c>
      <c r="E2541" t="str">
        <f>"7659123351"</f>
        <v>7659123351</v>
      </c>
      <c r="F2541" s="1">
        <v>44992</v>
      </c>
      <c r="G2541" t="str">
        <f>"0090044"</f>
        <v>0090044</v>
      </c>
      <c r="H2541">
        <v>1</v>
      </c>
      <c r="J2541">
        <v>16.8</v>
      </c>
      <c r="K2541" t="str">
        <f t="shared" si="451"/>
        <v>809</v>
      </c>
      <c r="L2541">
        <v>16.8</v>
      </c>
    </row>
    <row r="2542" spans="1:12" x14ac:dyDescent="0.25">
      <c r="A2542" t="str">
        <f t="shared" si="448"/>
        <v>89301000</v>
      </c>
      <c r="B2542" t="str">
        <f t="shared" ref="B2542:B2563" si="452">"78051000"</f>
        <v>78051000</v>
      </c>
      <c r="C2542" t="str">
        <f t="shared" si="450"/>
        <v>78051004</v>
      </c>
      <c r="D2542">
        <v>89301062</v>
      </c>
      <c r="E2542" t="str">
        <f>"7659123351"</f>
        <v>7659123351</v>
      </c>
      <c r="F2542" s="1">
        <v>44992</v>
      </c>
      <c r="G2542" t="str">
        <f>"0225891"</f>
        <v>0225891</v>
      </c>
      <c r="H2542">
        <v>0.2</v>
      </c>
      <c r="J2542">
        <v>73.540000000000006</v>
      </c>
      <c r="K2542" t="str">
        <f t="shared" si="451"/>
        <v>809</v>
      </c>
      <c r="L2542">
        <v>73.540000000000006</v>
      </c>
    </row>
    <row r="2543" spans="1:12" x14ac:dyDescent="0.25">
      <c r="A2543" t="str">
        <f t="shared" si="448"/>
        <v>89301000</v>
      </c>
      <c r="B2543" t="str">
        <f t="shared" si="452"/>
        <v>78051000</v>
      </c>
      <c r="C2543" t="str">
        <f t="shared" si="450"/>
        <v>78051004</v>
      </c>
      <c r="D2543">
        <v>89301062</v>
      </c>
      <c r="E2543" t="str">
        <f>"7659123351"</f>
        <v>7659123351</v>
      </c>
      <c r="F2543" s="1">
        <v>44992</v>
      </c>
      <c r="G2543" t="str">
        <f>"0096251"</f>
        <v>0096251</v>
      </c>
      <c r="H2543">
        <v>0.17</v>
      </c>
      <c r="J2543">
        <v>198.83</v>
      </c>
      <c r="K2543" t="str">
        <f t="shared" si="451"/>
        <v>809</v>
      </c>
      <c r="L2543">
        <v>198.83</v>
      </c>
    </row>
    <row r="2544" spans="1:12" x14ac:dyDescent="0.25">
      <c r="A2544" t="str">
        <f t="shared" si="448"/>
        <v>89301000</v>
      </c>
      <c r="B2544" t="str">
        <f t="shared" si="452"/>
        <v>78051000</v>
      </c>
      <c r="C2544" t="str">
        <f t="shared" si="450"/>
        <v>78051004</v>
      </c>
      <c r="D2544">
        <v>89301062</v>
      </c>
      <c r="E2544" t="str">
        <f>"7659123351"</f>
        <v>7659123351</v>
      </c>
      <c r="F2544" s="1">
        <v>44992</v>
      </c>
      <c r="G2544" t="str">
        <f>"0098943"</f>
        <v>0098943</v>
      </c>
      <c r="H2544">
        <v>1</v>
      </c>
      <c r="J2544">
        <v>293.81</v>
      </c>
      <c r="K2544" t="str">
        <f t="shared" si="451"/>
        <v>809</v>
      </c>
      <c r="L2544">
        <v>293.81</v>
      </c>
    </row>
    <row r="2545" spans="1:12" x14ac:dyDescent="0.25">
      <c r="A2545" t="str">
        <f t="shared" si="448"/>
        <v>89301000</v>
      </c>
      <c r="B2545" t="str">
        <f t="shared" si="452"/>
        <v>78051000</v>
      </c>
      <c r="C2545" t="str">
        <f t="shared" si="450"/>
        <v>78051004</v>
      </c>
      <c r="D2545">
        <v>89301062</v>
      </c>
      <c r="E2545" t="str">
        <f>"7208154481"</f>
        <v>7208154481</v>
      </c>
      <c r="F2545" s="1">
        <v>45007</v>
      </c>
      <c r="G2545" t="str">
        <f>"89311"</f>
        <v>89311</v>
      </c>
      <c r="H2545">
        <v>1</v>
      </c>
      <c r="I2545">
        <v>970</v>
      </c>
      <c r="J2545">
        <v>0</v>
      </c>
      <c r="K2545" t="str">
        <f t="shared" si="451"/>
        <v>809</v>
      </c>
      <c r="L2545">
        <v>1425.9</v>
      </c>
    </row>
    <row r="2546" spans="1:12" x14ac:dyDescent="0.25">
      <c r="A2546" t="str">
        <f t="shared" si="448"/>
        <v>89301000</v>
      </c>
      <c r="B2546" t="str">
        <f t="shared" si="452"/>
        <v>78051000</v>
      </c>
      <c r="C2546" t="str">
        <f t="shared" si="450"/>
        <v>78051004</v>
      </c>
      <c r="D2546">
        <v>89301062</v>
      </c>
      <c r="E2546" t="str">
        <f>"7208154481"</f>
        <v>7208154481</v>
      </c>
      <c r="F2546" s="1">
        <v>45007</v>
      </c>
      <c r="G2546" t="str">
        <f>"0090044"</f>
        <v>0090044</v>
      </c>
      <c r="H2546">
        <v>1</v>
      </c>
      <c r="J2546">
        <v>16.8</v>
      </c>
      <c r="K2546" t="str">
        <f t="shared" si="451"/>
        <v>809</v>
      </c>
      <c r="L2546">
        <v>16.8</v>
      </c>
    </row>
    <row r="2547" spans="1:12" x14ac:dyDescent="0.25">
      <c r="A2547" t="str">
        <f t="shared" si="448"/>
        <v>89301000</v>
      </c>
      <c r="B2547" t="str">
        <f t="shared" si="452"/>
        <v>78051000</v>
      </c>
      <c r="C2547" t="str">
        <f t="shared" si="450"/>
        <v>78051004</v>
      </c>
      <c r="D2547">
        <v>89301062</v>
      </c>
      <c r="E2547" t="str">
        <f>"7208154481"</f>
        <v>7208154481</v>
      </c>
      <c r="F2547" s="1">
        <v>45007</v>
      </c>
      <c r="G2547" t="str">
        <f>"0225891"</f>
        <v>0225891</v>
      </c>
      <c r="H2547">
        <v>0.2</v>
      </c>
      <c r="J2547">
        <v>73.540000000000006</v>
      </c>
      <c r="K2547" t="str">
        <f t="shared" si="451"/>
        <v>809</v>
      </c>
      <c r="L2547">
        <v>73.540000000000006</v>
      </c>
    </row>
    <row r="2548" spans="1:12" x14ac:dyDescent="0.25">
      <c r="A2548" t="str">
        <f t="shared" si="448"/>
        <v>89301000</v>
      </c>
      <c r="B2548" t="str">
        <f t="shared" si="452"/>
        <v>78051000</v>
      </c>
      <c r="C2548" t="str">
        <f t="shared" si="450"/>
        <v>78051004</v>
      </c>
      <c r="D2548">
        <v>89301062</v>
      </c>
      <c r="E2548" t="str">
        <f>"7208154481"</f>
        <v>7208154481</v>
      </c>
      <c r="F2548" s="1">
        <v>45007</v>
      </c>
      <c r="G2548" t="str">
        <f>"0096251"</f>
        <v>0096251</v>
      </c>
      <c r="H2548">
        <v>0.17</v>
      </c>
      <c r="J2548">
        <v>198.83</v>
      </c>
      <c r="K2548" t="str">
        <f t="shared" si="451"/>
        <v>809</v>
      </c>
      <c r="L2548">
        <v>198.83</v>
      </c>
    </row>
    <row r="2549" spans="1:12" x14ac:dyDescent="0.25">
      <c r="A2549" t="str">
        <f t="shared" si="448"/>
        <v>89301000</v>
      </c>
      <c r="B2549" t="str">
        <f t="shared" si="452"/>
        <v>78051000</v>
      </c>
      <c r="C2549" t="str">
        <f t="shared" si="450"/>
        <v>78051004</v>
      </c>
      <c r="D2549">
        <v>89301062</v>
      </c>
      <c r="E2549" t="str">
        <f>"7208154481"</f>
        <v>7208154481</v>
      </c>
      <c r="F2549" s="1">
        <v>45007</v>
      </c>
      <c r="G2549" t="str">
        <f>"0098943"</f>
        <v>0098943</v>
      </c>
      <c r="H2549">
        <v>1</v>
      </c>
      <c r="J2549">
        <v>293.81</v>
      </c>
      <c r="K2549" t="str">
        <f t="shared" si="451"/>
        <v>809</v>
      </c>
      <c r="L2549">
        <v>293.81</v>
      </c>
    </row>
    <row r="2550" spans="1:12" x14ac:dyDescent="0.25">
      <c r="A2550" t="str">
        <f t="shared" si="448"/>
        <v>89301000</v>
      </c>
      <c r="B2550" t="str">
        <f t="shared" si="452"/>
        <v>78051000</v>
      </c>
      <c r="C2550" t="str">
        <f t="shared" si="450"/>
        <v>78051004</v>
      </c>
      <c r="D2550">
        <v>89301062</v>
      </c>
      <c r="E2550" t="str">
        <f>"6702012130"</f>
        <v>6702012130</v>
      </c>
      <c r="F2550" s="1">
        <v>45014</v>
      </c>
      <c r="G2550" t="str">
        <f>"89311"</f>
        <v>89311</v>
      </c>
      <c r="H2550">
        <v>1</v>
      </c>
      <c r="I2550">
        <v>970</v>
      </c>
      <c r="J2550">
        <v>0</v>
      </c>
      <c r="K2550" t="str">
        <f t="shared" si="451"/>
        <v>809</v>
      </c>
      <c r="L2550">
        <v>1425.9</v>
      </c>
    </row>
    <row r="2551" spans="1:12" x14ac:dyDescent="0.25">
      <c r="A2551" t="str">
        <f t="shared" si="448"/>
        <v>89301000</v>
      </c>
      <c r="B2551" t="str">
        <f t="shared" si="452"/>
        <v>78051000</v>
      </c>
      <c r="C2551" t="str">
        <f t="shared" si="450"/>
        <v>78051004</v>
      </c>
      <c r="D2551">
        <v>89301062</v>
      </c>
      <c r="E2551" t="str">
        <f>"6702012130"</f>
        <v>6702012130</v>
      </c>
      <c r="F2551" s="1">
        <v>45014</v>
      </c>
      <c r="G2551" t="str">
        <f>"0090044"</f>
        <v>0090044</v>
      </c>
      <c r="H2551">
        <v>1</v>
      </c>
      <c r="J2551">
        <v>16.8</v>
      </c>
      <c r="K2551" t="str">
        <f t="shared" si="451"/>
        <v>809</v>
      </c>
      <c r="L2551">
        <v>16.8</v>
      </c>
    </row>
    <row r="2552" spans="1:12" x14ac:dyDescent="0.25">
      <c r="A2552" t="str">
        <f t="shared" si="448"/>
        <v>89301000</v>
      </c>
      <c r="B2552" t="str">
        <f t="shared" si="452"/>
        <v>78051000</v>
      </c>
      <c r="C2552" t="str">
        <f t="shared" si="450"/>
        <v>78051004</v>
      </c>
      <c r="D2552">
        <v>89301062</v>
      </c>
      <c r="E2552" t="str">
        <f>"6702012130"</f>
        <v>6702012130</v>
      </c>
      <c r="F2552" s="1">
        <v>45014</v>
      </c>
      <c r="G2552" t="str">
        <f>"0225891"</f>
        <v>0225891</v>
      </c>
      <c r="H2552">
        <v>0.2</v>
      </c>
      <c r="J2552">
        <v>73.540000000000006</v>
      </c>
      <c r="K2552" t="str">
        <f t="shared" si="451"/>
        <v>809</v>
      </c>
      <c r="L2552">
        <v>73.540000000000006</v>
      </c>
    </row>
    <row r="2553" spans="1:12" x14ac:dyDescent="0.25">
      <c r="A2553" t="str">
        <f t="shared" si="448"/>
        <v>89301000</v>
      </c>
      <c r="B2553" t="str">
        <f t="shared" si="452"/>
        <v>78051000</v>
      </c>
      <c r="C2553" t="str">
        <f t="shared" si="450"/>
        <v>78051004</v>
      </c>
      <c r="D2553">
        <v>89301062</v>
      </c>
      <c r="E2553" t="str">
        <f>"6702012130"</f>
        <v>6702012130</v>
      </c>
      <c r="F2553" s="1">
        <v>45014</v>
      </c>
      <c r="G2553" t="str">
        <f>"0096251"</f>
        <v>0096251</v>
      </c>
      <c r="H2553">
        <v>0.17</v>
      </c>
      <c r="J2553">
        <v>198.83</v>
      </c>
      <c r="K2553" t="str">
        <f t="shared" si="451"/>
        <v>809</v>
      </c>
      <c r="L2553">
        <v>198.83</v>
      </c>
    </row>
    <row r="2554" spans="1:12" x14ac:dyDescent="0.25">
      <c r="A2554" t="str">
        <f t="shared" si="448"/>
        <v>89301000</v>
      </c>
      <c r="B2554" t="str">
        <f t="shared" si="452"/>
        <v>78051000</v>
      </c>
      <c r="C2554" t="str">
        <f t="shared" si="450"/>
        <v>78051004</v>
      </c>
      <c r="D2554">
        <v>89301062</v>
      </c>
      <c r="E2554" t="str">
        <f>"6702012130"</f>
        <v>6702012130</v>
      </c>
      <c r="F2554" s="1">
        <v>45014</v>
      </c>
      <c r="G2554" t="str">
        <f>"0098943"</f>
        <v>0098943</v>
      </c>
      <c r="H2554">
        <v>1</v>
      </c>
      <c r="J2554">
        <v>293.81</v>
      </c>
      <c r="K2554" t="str">
        <f t="shared" si="451"/>
        <v>809</v>
      </c>
      <c r="L2554">
        <v>293.81</v>
      </c>
    </row>
    <row r="2555" spans="1:12" x14ac:dyDescent="0.25">
      <c r="A2555" t="str">
        <f t="shared" si="448"/>
        <v>89301000</v>
      </c>
      <c r="B2555" t="str">
        <f t="shared" si="452"/>
        <v>78051000</v>
      </c>
      <c r="C2555" t="str">
        <f t="shared" ref="C2555:C2563" si="453">"78051017"</f>
        <v>78051017</v>
      </c>
      <c r="D2555">
        <v>89301062</v>
      </c>
      <c r="E2555" t="str">
        <f>"490228005"</f>
        <v>490228005</v>
      </c>
      <c r="F2555" s="1">
        <v>44986</v>
      </c>
      <c r="G2555" t="str">
        <f t="shared" ref="G2555:G2563" si="454">"89615"</f>
        <v>89615</v>
      </c>
      <c r="H2555">
        <v>1</v>
      </c>
      <c r="I2555">
        <v>2199</v>
      </c>
      <c r="J2555">
        <v>0</v>
      </c>
      <c r="K2555" t="str">
        <f t="shared" ref="K2555:K2563" si="455">"810"</f>
        <v>810</v>
      </c>
      <c r="L2555">
        <v>1429.35</v>
      </c>
    </row>
    <row r="2556" spans="1:12" x14ac:dyDescent="0.25">
      <c r="A2556" t="str">
        <f t="shared" si="448"/>
        <v>89301000</v>
      </c>
      <c r="B2556" t="str">
        <f t="shared" si="452"/>
        <v>78051000</v>
      </c>
      <c r="C2556" t="str">
        <f t="shared" si="453"/>
        <v>78051017</v>
      </c>
      <c r="D2556">
        <v>89301062</v>
      </c>
      <c r="E2556" t="str">
        <f>"6812190858"</f>
        <v>6812190858</v>
      </c>
      <c r="F2556" s="1">
        <v>44986</v>
      </c>
      <c r="G2556" t="str">
        <f t="shared" si="454"/>
        <v>89615</v>
      </c>
      <c r="H2556">
        <v>1</v>
      </c>
      <c r="I2556">
        <v>2199</v>
      </c>
      <c r="J2556">
        <v>0</v>
      </c>
      <c r="K2556" t="str">
        <f t="shared" si="455"/>
        <v>810</v>
      </c>
      <c r="L2556">
        <v>1429.35</v>
      </c>
    </row>
    <row r="2557" spans="1:12" x14ac:dyDescent="0.25">
      <c r="A2557" t="str">
        <f t="shared" si="448"/>
        <v>89301000</v>
      </c>
      <c r="B2557" t="str">
        <f t="shared" si="452"/>
        <v>78051000</v>
      </c>
      <c r="C2557" t="str">
        <f t="shared" si="453"/>
        <v>78051017</v>
      </c>
      <c r="D2557">
        <v>89301062</v>
      </c>
      <c r="E2557" t="str">
        <f>"6203130362"</f>
        <v>6203130362</v>
      </c>
      <c r="F2557" s="1">
        <v>44992</v>
      </c>
      <c r="G2557" t="str">
        <f t="shared" si="454"/>
        <v>89615</v>
      </c>
      <c r="H2557">
        <v>1</v>
      </c>
      <c r="I2557">
        <v>2199</v>
      </c>
      <c r="J2557">
        <v>0</v>
      </c>
      <c r="K2557" t="str">
        <f t="shared" si="455"/>
        <v>810</v>
      </c>
      <c r="L2557">
        <v>1429.35</v>
      </c>
    </row>
    <row r="2558" spans="1:12" x14ac:dyDescent="0.25">
      <c r="A2558" t="str">
        <f t="shared" si="448"/>
        <v>89301000</v>
      </c>
      <c r="B2558" t="str">
        <f t="shared" si="452"/>
        <v>78051000</v>
      </c>
      <c r="C2558" t="str">
        <f t="shared" si="453"/>
        <v>78051017</v>
      </c>
      <c r="D2558">
        <v>89301062</v>
      </c>
      <c r="E2558" t="str">
        <f>"7760105320"</f>
        <v>7760105320</v>
      </c>
      <c r="F2558" s="1">
        <v>44992</v>
      </c>
      <c r="G2558" t="str">
        <f t="shared" si="454"/>
        <v>89615</v>
      </c>
      <c r="H2558">
        <v>1</v>
      </c>
      <c r="I2558">
        <v>2199</v>
      </c>
      <c r="J2558">
        <v>0</v>
      </c>
      <c r="K2558" t="str">
        <f t="shared" si="455"/>
        <v>810</v>
      </c>
      <c r="L2558">
        <v>1429.35</v>
      </c>
    </row>
    <row r="2559" spans="1:12" x14ac:dyDescent="0.25">
      <c r="A2559" t="str">
        <f t="shared" si="448"/>
        <v>89301000</v>
      </c>
      <c r="B2559" t="str">
        <f t="shared" si="452"/>
        <v>78051000</v>
      </c>
      <c r="C2559" t="str">
        <f t="shared" si="453"/>
        <v>78051017</v>
      </c>
      <c r="D2559">
        <v>89301062</v>
      </c>
      <c r="E2559" t="str">
        <f>"7161133232"</f>
        <v>7161133232</v>
      </c>
      <c r="F2559" s="1">
        <v>44992</v>
      </c>
      <c r="G2559" t="str">
        <f t="shared" si="454"/>
        <v>89615</v>
      </c>
      <c r="H2559">
        <v>1</v>
      </c>
      <c r="I2559">
        <v>2199</v>
      </c>
      <c r="J2559">
        <v>0</v>
      </c>
      <c r="K2559" t="str">
        <f t="shared" si="455"/>
        <v>810</v>
      </c>
      <c r="L2559">
        <v>1429.35</v>
      </c>
    </row>
    <row r="2560" spans="1:12" x14ac:dyDescent="0.25">
      <c r="A2560" t="str">
        <f t="shared" si="448"/>
        <v>89301000</v>
      </c>
      <c r="B2560" t="str">
        <f t="shared" si="452"/>
        <v>78051000</v>
      </c>
      <c r="C2560" t="str">
        <f t="shared" si="453"/>
        <v>78051017</v>
      </c>
      <c r="D2560">
        <v>89301062</v>
      </c>
      <c r="E2560" t="str">
        <f>"485503411"</f>
        <v>485503411</v>
      </c>
      <c r="F2560" s="1">
        <v>44992</v>
      </c>
      <c r="G2560" t="str">
        <f t="shared" si="454"/>
        <v>89615</v>
      </c>
      <c r="H2560">
        <v>1</v>
      </c>
      <c r="I2560">
        <v>2199</v>
      </c>
      <c r="J2560">
        <v>0</v>
      </c>
      <c r="K2560" t="str">
        <f t="shared" si="455"/>
        <v>810</v>
      </c>
      <c r="L2560">
        <v>1429.35</v>
      </c>
    </row>
    <row r="2561" spans="1:12" x14ac:dyDescent="0.25">
      <c r="A2561" t="str">
        <f t="shared" si="448"/>
        <v>89301000</v>
      </c>
      <c r="B2561" t="str">
        <f t="shared" si="452"/>
        <v>78051000</v>
      </c>
      <c r="C2561" t="str">
        <f t="shared" si="453"/>
        <v>78051017</v>
      </c>
      <c r="D2561">
        <v>89301062</v>
      </c>
      <c r="E2561" t="str">
        <f>"7659123351"</f>
        <v>7659123351</v>
      </c>
      <c r="F2561" s="1">
        <v>44992</v>
      </c>
      <c r="G2561" t="str">
        <f t="shared" si="454"/>
        <v>89615</v>
      </c>
      <c r="H2561">
        <v>1</v>
      </c>
      <c r="I2561">
        <v>2199</v>
      </c>
      <c r="J2561">
        <v>0</v>
      </c>
      <c r="K2561" t="str">
        <f t="shared" si="455"/>
        <v>810</v>
      </c>
      <c r="L2561">
        <v>1429.35</v>
      </c>
    </row>
    <row r="2562" spans="1:12" x14ac:dyDescent="0.25">
      <c r="A2562" t="str">
        <f t="shared" ref="A2562:A2625" si="456">"89301000"</f>
        <v>89301000</v>
      </c>
      <c r="B2562" t="str">
        <f t="shared" si="452"/>
        <v>78051000</v>
      </c>
      <c r="C2562" t="str">
        <f t="shared" si="453"/>
        <v>78051017</v>
      </c>
      <c r="D2562">
        <v>89301062</v>
      </c>
      <c r="E2562" t="str">
        <f>"7208154481"</f>
        <v>7208154481</v>
      </c>
      <c r="F2562" s="1">
        <v>45007</v>
      </c>
      <c r="G2562" t="str">
        <f t="shared" si="454"/>
        <v>89615</v>
      </c>
      <c r="H2562">
        <v>1</v>
      </c>
      <c r="I2562">
        <v>2199</v>
      </c>
      <c r="J2562">
        <v>0</v>
      </c>
      <c r="K2562" t="str">
        <f t="shared" si="455"/>
        <v>810</v>
      </c>
      <c r="L2562">
        <v>1429.35</v>
      </c>
    </row>
    <row r="2563" spans="1:12" x14ac:dyDescent="0.25">
      <c r="A2563" t="str">
        <f t="shared" si="456"/>
        <v>89301000</v>
      </c>
      <c r="B2563" t="str">
        <f t="shared" si="452"/>
        <v>78051000</v>
      </c>
      <c r="C2563" t="str">
        <f t="shared" si="453"/>
        <v>78051017</v>
      </c>
      <c r="D2563">
        <v>89301062</v>
      </c>
      <c r="E2563" t="str">
        <f>"6702012130"</f>
        <v>6702012130</v>
      </c>
      <c r="F2563" s="1">
        <v>45014</v>
      </c>
      <c r="G2563" t="str">
        <f t="shared" si="454"/>
        <v>89615</v>
      </c>
      <c r="H2563">
        <v>1</v>
      </c>
      <c r="I2563">
        <v>2199</v>
      </c>
      <c r="J2563">
        <v>0</v>
      </c>
      <c r="K2563" t="str">
        <f t="shared" si="455"/>
        <v>810</v>
      </c>
      <c r="L2563">
        <v>1429.35</v>
      </c>
    </row>
    <row r="2564" spans="1:12" x14ac:dyDescent="0.25">
      <c r="A2564" t="str">
        <f t="shared" si="456"/>
        <v>89301000</v>
      </c>
      <c r="B2564" t="str">
        <f>"89434000"</f>
        <v>89434000</v>
      </c>
      <c r="C2564" t="str">
        <f>"89434000"</f>
        <v>89434000</v>
      </c>
      <c r="D2564">
        <v>89301167</v>
      </c>
      <c r="E2564" t="str">
        <f>"5561301526"</f>
        <v>5561301526</v>
      </c>
      <c r="F2564" s="1">
        <v>45015</v>
      </c>
      <c r="G2564" t="str">
        <f>"89517"</f>
        <v>89517</v>
      </c>
      <c r="H2564">
        <v>1</v>
      </c>
      <c r="I2564">
        <v>994</v>
      </c>
      <c r="J2564">
        <v>0</v>
      </c>
      <c r="K2564" t="str">
        <f>"809"</f>
        <v>809</v>
      </c>
      <c r="L2564">
        <v>1461.18</v>
      </c>
    </row>
    <row r="2565" spans="1:12" x14ac:dyDescent="0.25">
      <c r="A2565" t="str">
        <f t="shared" si="456"/>
        <v>89301000</v>
      </c>
      <c r="B2565" t="str">
        <f t="shared" ref="B2565:B2608" si="457">"91866000"</f>
        <v>91866000</v>
      </c>
      <c r="C2565" t="str">
        <f t="shared" ref="C2565:C2608" si="458">"91866313"</f>
        <v>91866313</v>
      </c>
      <c r="D2565">
        <v>89301108</v>
      </c>
      <c r="E2565" t="str">
        <f>"0508076151"</f>
        <v>0508076151</v>
      </c>
      <c r="F2565" s="1">
        <v>44993</v>
      </c>
      <c r="G2565" t="str">
        <f>"97111"</f>
        <v>97111</v>
      </c>
      <c r="H2565">
        <v>1</v>
      </c>
      <c r="I2565">
        <v>19</v>
      </c>
      <c r="J2565">
        <v>0</v>
      </c>
      <c r="K2565" t="str">
        <f t="shared" ref="K2565:K2596" si="459">"802"</f>
        <v>802</v>
      </c>
      <c r="L2565">
        <v>23.94</v>
      </c>
    </row>
    <row r="2566" spans="1:12" x14ac:dyDescent="0.25">
      <c r="A2566" t="str">
        <f t="shared" si="456"/>
        <v>89301000</v>
      </c>
      <c r="B2566" t="str">
        <f t="shared" si="457"/>
        <v>91866000</v>
      </c>
      <c r="C2566" t="str">
        <f t="shared" si="458"/>
        <v>91866313</v>
      </c>
      <c r="D2566">
        <v>89301108</v>
      </c>
      <c r="E2566" t="str">
        <f>"0508076151"</f>
        <v>0508076151</v>
      </c>
      <c r="F2566" s="1">
        <v>44993</v>
      </c>
      <c r="G2566" t="str">
        <f>"82079"</f>
        <v>82079</v>
      </c>
      <c r="H2566">
        <v>1</v>
      </c>
      <c r="I2566">
        <v>333</v>
      </c>
      <c r="J2566">
        <v>0</v>
      </c>
      <c r="K2566" t="str">
        <f t="shared" si="459"/>
        <v>802</v>
      </c>
      <c r="L2566">
        <v>323.01</v>
      </c>
    </row>
    <row r="2567" spans="1:12" x14ac:dyDescent="0.25">
      <c r="A2567" t="str">
        <f t="shared" si="456"/>
        <v>89301000</v>
      </c>
      <c r="B2567" t="str">
        <f t="shared" si="457"/>
        <v>91866000</v>
      </c>
      <c r="C2567" t="str">
        <f t="shared" si="458"/>
        <v>91866313</v>
      </c>
      <c r="D2567">
        <v>89301108</v>
      </c>
      <c r="E2567" t="str">
        <f>"0508076151"</f>
        <v>0508076151</v>
      </c>
      <c r="F2567" s="1">
        <v>44993</v>
      </c>
      <c r="G2567" t="str">
        <f>"82079"</f>
        <v>82079</v>
      </c>
      <c r="H2567">
        <v>1</v>
      </c>
      <c r="I2567">
        <v>333</v>
      </c>
      <c r="J2567">
        <v>0</v>
      </c>
      <c r="K2567" t="str">
        <f t="shared" si="459"/>
        <v>802</v>
      </c>
      <c r="L2567">
        <v>323.01</v>
      </c>
    </row>
    <row r="2568" spans="1:12" x14ac:dyDescent="0.25">
      <c r="A2568" t="str">
        <f t="shared" si="456"/>
        <v>89301000</v>
      </c>
      <c r="B2568" t="str">
        <f t="shared" si="457"/>
        <v>91866000</v>
      </c>
      <c r="C2568" t="str">
        <f t="shared" si="458"/>
        <v>91866313</v>
      </c>
      <c r="D2568">
        <v>89301108</v>
      </c>
      <c r="E2568" t="str">
        <f>"0508076151"</f>
        <v>0508076151</v>
      </c>
      <c r="F2568" s="1">
        <v>44993</v>
      </c>
      <c r="G2568" t="str">
        <f>"82079"</f>
        <v>82079</v>
      </c>
      <c r="H2568">
        <v>1</v>
      </c>
      <c r="I2568">
        <v>333</v>
      </c>
      <c r="J2568">
        <v>0</v>
      </c>
      <c r="K2568" t="str">
        <f t="shared" si="459"/>
        <v>802</v>
      </c>
      <c r="L2568">
        <v>323.01</v>
      </c>
    </row>
    <row r="2569" spans="1:12" x14ac:dyDescent="0.25">
      <c r="A2569" t="str">
        <f t="shared" si="456"/>
        <v>89301000</v>
      </c>
      <c r="B2569" t="str">
        <f t="shared" si="457"/>
        <v>91866000</v>
      </c>
      <c r="C2569" t="str">
        <f t="shared" si="458"/>
        <v>91866313</v>
      </c>
      <c r="D2569">
        <v>89301108</v>
      </c>
      <c r="E2569" t="str">
        <f>"0508076151"</f>
        <v>0508076151</v>
      </c>
      <c r="F2569" s="1">
        <v>44993</v>
      </c>
      <c r="G2569" t="str">
        <f>"82079"</f>
        <v>82079</v>
      </c>
      <c r="H2569">
        <v>1</v>
      </c>
      <c r="I2569">
        <v>333</v>
      </c>
      <c r="J2569">
        <v>0</v>
      </c>
      <c r="K2569" t="str">
        <f t="shared" si="459"/>
        <v>802</v>
      </c>
      <c r="L2569">
        <v>323.01</v>
      </c>
    </row>
    <row r="2570" spans="1:12" x14ac:dyDescent="0.25">
      <c r="A2570" t="str">
        <f t="shared" si="456"/>
        <v>89301000</v>
      </c>
      <c r="B2570" t="str">
        <f t="shared" si="457"/>
        <v>91866000</v>
      </c>
      <c r="C2570" t="str">
        <f t="shared" si="458"/>
        <v>91866313</v>
      </c>
      <c r="D2570">
        <v>89301704</v>
      </c>
      <c r="E2570" t="str">
        <f t="shared" ref="E2570:E2576" si="460">"0553315290"</f>
        <v>0553315290</v>
      </c>
      <c r="F2570" s="1">
        <v>44997</v>
      </c>
      <c r="G2570" t="str">
        <f t="shared" ref="G2570:G2582" si="461">"82087"</f>
        <v>82087</v>
      </c>
      <c r="H2570">
        <v>1</v>
      </c>
      <c r="I2570">
        <v>53</v>
      </c>
      <c r="J2570">
        <v>0</v>
      </c>
      <c r="K2570" t="str">
        <f t="shared" si="459"/>
        <v>802</v>
      </c>
      <c r="L2570">
        <v>51.41</v>
      </c>
    </row>
    <row r="2571" spans="1:12" x14ac:dyDescent="0.25">
      <c r="A2571" t="str">
        <f t="shared" si="456"/>
        <v>89301000</v>
      </c>
      <c r="B2571" t="str">
        <f t="shared" si="457"/>
        <v>91866000</v>
      </c>
      <c r="C2571" t="str">
        <f t="shared" si="458"/>
        <v>91866313</v>
      </c>
      <c r="D2571">
        <v>89301704</v>
      </c>
      <c r="E2571" t="str">
        <f t="shared" si="460"/>
        <v>0553315290</v>
      </c>
      <c r="F2571" s="1">
        <v>44995</v>
      </c>
      <c r="G2571" t="str">
        <f t="shared" si="461"/>
        <v>82087</v>
      </c>
      <c r="H2571">
        <v>1</v>
      </c>
      <c r="I2571">
        <v>53</v>
      </c>
      <c r="J2571">
        <v>0</v>
      </c>
      <c r="K2571" t="str">
        <f t="shared" si="459"/>
        <v>802</v>
      </c>
      <c r="L2571">
        <v>51.41</v>
      </c>
    </row>
    <row r="2572" spans="1:12" x14ac:dyDescent="0.25">
      <c r="A2572" t="str">
        <f t="shared" si="456"/>
        <v>89301000</v>
      </c>
      <c r="B2572" t="str">
        <f t="shared" si="457"/>
        <v>91866000</v>
      </c>
      <c r="C2572" t="str">
        <f t="shared" si="458"/>
        <v>91866313</v>
      </c>
      <c r="D2572">
        <v>89301704</v>
      </c>
      <c r="E2572" t="str">
        <f t="shared" si="460"/>
        <v>0553315290</v>
      </c>
      <c r="F2572" s="1">
        <v>44995</v>
      </c>
      <c r="G2572" t="str">
        <f t="shared" si="461"/>
        <v>82087</v>
      </c>
      <c r="H2572">
        <v>1</v>
      </c>
      <c r="I2572">
        <v>53</v>
      </c>
      <c r="J2572">
        <v>0</v>
      </c>
      <c r="K2572" t="str">
        <f t="shared" si="459"/>
        <v>802</v>
      </c>
      <c r="L2572">
        <v>51.41</v>
      </c>
    </row>
    <row r="2573" spans="1:12" x14ac:dyDescent="0.25">
      <c r="A2573" t="str">
        <f t="shared" si="456"/>
        <v>89301000</v>
      </c>
      <c r="B2573" t="str">
        <f t="shared" si="457"/>
        <v>91866000</v>
      </c>
      <c r="C2573" t="str">
        <f t="shared" si="458"/>
        <v>91866313</v>
      </c>
      <c r="D2573">
        <v>89301704</v>
      </c>
      <c r="E2573" t="str">
        <f t="shared" si="460"/>
        <v>0553315290</v>
      </c>
      <c r="F2573" s="1">
        <v>44996</v>
      </c>
      <c r="G2573" t="str">
        <f t="shared" si="461"/>
        <v>82087</v>
      </c>
      <c r="H2573">
        <v>1</v>
      </c>
      <c r="I2573">
        <v>53</v>
      </c>
      <c r="J2573">
        <v>0</v>
      </c>
      <c r="K2573" t="str">
        <f t="shared" si="459"/>
        <v>802</v>
      </c>
      <c r="L2573">
        <v>51.41</v>
      </c>
    </row>
    <row r="2574" spans="1:12" x14ac:dyDescent="0.25">
      <c r="A2574" t="str">
        <f t="shared" si="456"/>
        <v>89301000</v>
      </c>
      <c r="B2574" t="str">
        <f t="shared" si="457"/>
        <v>91866000</v>
      </c>
      <c r="C2574" t="str">
        <f t="shared" si="458"/>
        <v>91866313</v>
      </c>
      <c r="D2574">
        <v>89301704</v>
      </c>
      <c r="E2574" t="str">
        <f t="shared" si="460"/>
        <v>0553315290</v>
      </c>
      <c r="F2574" s="1">
        <v>44996</v>
      </c>
      <c r="G2574" t="str">
        <f t="shared" si="461"/>
        <v>82087</v>
      </c>
      <c r="H2574">
        <v>1</v>
      </c>
      <c r="I2574">
        <v>53</v>
      </c>
      <c r="J2574">
        <v>0</v>
      </c>
      <c r="K2574" t="str">
        <f t="shared" si="459"/>
        <v>802</v>
      </c>
      <c r="L2574">
        <v>51.41</v>
      </c>
    </row>
    <row r="2575" spans="1:12" x14ac:dyDescent="0.25">
      <c r="A2575" t="str">
        <f t="shared" si="456"/>
        <v>89301000</v>
      </c>
      <c r="B2575" t="str">
        <f t="shared" si="457"/>
        <v>91866000</v>
      </c>
      <c r="C2575" t="str">
        <f t="shared" si="458"/>
        <v>91866313</v>
      </c>
      <c r="D2575">
        <v>89301704</v>
      </c>
      <c r="E2575" t="str">
        <f t="shared" si="460"/>
        <v>0553315290</v>
      </c>
      <c r="F2575" s="1">
        <v>44998</v>
      </c>
      <c r="G2575" t="str">
        <f t="shared" si="461"/>
        <v>82087</v>
      </c>
      <c r="H2575">
        <v>1</v>
      </c>
      <c r="I2575">
        <v>53</v>
      </c>
      <c r="J2575">
        <v>0</v>
      </c>
      <c r="K2575" t="str">
        <f t="shared" si="459"/>
        <v>802</v>
      </c>
      <c r="L2575">
        <v>51.41</v>
      </c>
    </row>
    <row r="2576" spans="1:12" x14ac:dyDescent="0.25">
      <c r="A2576" t="str">
        <f t="shared" si="456"/>
        <v>89301000</v>
      </c>
      <c r="B2576" t="str">
        <f t="shared" si="457"/>
        <v>91866000</v>
      </c>
      <c r="C2576" t="str">
        <f t="shared" si="458"/>
        <v>91866313</v>
      </c>
      <c r="D2576">
        <v>89301704</v>
      </c>
      <c r="E2576" t="str">
        <f t="shared" si="460"/>
        <v>0553315290</v>
      </c>
      <c r="F2576" s="1">
        <v>44997</v>
      </c>
      <c r="G2576" t="str">
        <f t="shared" si="461"/>
        <v>82087</v>
      </c>
      <c r="H2576">
        <v>1</v>
      </c>
      <c r="I2576">
        <v>53</v>
      </c>
      <c r="J2576">
        <v>0</v>
      </c>
      <c r="K2576" t="str">
        <f t="shared" si="459"/>
        <v>802</v>
      </c>
      <c r="L2576">
        <v>51.41</v>
      </c>
    </row>
    <row r="2577" spans="1:12" x14ac:dyDescent="0.25">
      <c r="A2577" t="str">
        <f t="shared" si="456"/>
        <v>89301000</v>
      </c>
      <c r="B2577" t="str">
        <f t="shared" si="457"/>
        <v>91866000</v>
      </c>
      <c r="C2577" t="str">
        <f t="shared" si="458"/>
        <v>91866313</v>
      </c>
      <c r="D2577">
        <v>89301704</v>
      </c>
      <c r="E2577" t="str">
        <f t="shared" ref="E2577:E2582" si="462">"0801035268"</f>
        <v>0801035268</v>
      </c>
      <c r="F2577" s="1">
        <v>44997</v>
      </c>
      <c r="G2577" t="str">
        <f t="shared" si="461"/>
        <v>82087</v>
      </c>
      <c r="H2577">
        <v>1</v>
      </c>
      <c r="I2577">
        <v>53</v>
      </c>
      <c r="J2577">
        <v>0</v>
      </c>
      <c r="K2577" t="str">
        <f t="shared" si="459"/>
        <v>802</v>
      </c>
      <c r="L2577">
        <v>51.41</v>
      </c>
    </row>
    <row r="2578" spans="1:12" x14ac:dyDescent="0.25">
      <c r="A2578" t="str">
        <f t="shared" si="456"/>
        <v>89301000</v>
      </c>
      <c r="B2578" t="str">
        <f t="shared" si="457"/>
        <v>91866000</v>
      </c>
      <c r="C2578" t="str">
        <f t="shared" si="458"/>
        <v>91866313</v>
      </c>
      <c r="D2578">
        <v>89301704</v>
      </c>
      <c r="E2578" t="str">
        <f t="shared" si="462"/>
        <v>0801035268</v>
      </c>
      <c r="F2578" s="1">
        <v>44995</v>
      </c>
      <c r="G2578" t="str">
        <f t="shared" si="461"/>
        <v>82087</v>
      </c>
      <c r="H2578">
        <v>1</v>
      </c>
      <c r="I2578">
        <v>53</v>
      </c>
      <c r="J2578">
        <v>0</v>
      </c>
      <c r="K2578" t="str">
        <f t="shared" si="459"/>
        <v>802</v>
      </c>
      <c r="L2578">
        <v>51.41</v>
      </c>
    </row>
    <row r="2579" spans="1:12" x14ac:dyDescent="0.25">
      <c r="A2579" t="str">
        <f t="shared" si="456"/>
        <v>89301000</v>
      </c>
      <c r="B2579" t="str">
        <f t="shared" si="457"/>
        <v>91866000</v>
      </c>
      <c r="C2579" t="str">
        <f t="shared" si="458"/>
        <v>91866313</v>
      </c>
      <c r="D2579">
        <v>89301704</v>
      </c>
      <c r="E2579" t="str">
        <f t="shared" si="462"/>
        <v>0801035268</v>
      </c>
      <c r="F2579" s="1">
        <v>44996</v>
      </c>
      <c r="G2579" t="str">
        <f t="shared" si="461"/>
        <v>82087</v>
      </c>
      <c r="H2579">
        <v>1</v>
      </c>
      <c r="I2579">
        <v>53</v>
      </c>
      <c r="J2579">
        <v>0</v>
      </c>
      <c r="K2579" t="str">
        <f t="shared" si="459"/>
        <v>802</v>
      </c>
      <c r="L2579">
        <v>51.41</v>
      </c>
    </row>
    <row r="2580" spans="1:12" x14ac:dyDescent="0.25">
      <c r="A2580" t="str">
        <f t="shared" si="456"/>
        <v>89301000</v>
      </c>
      <c r="B2580" t="str">
        <f t="shared" si="457"/>
        <v>91866000</v>
      </c>
      <c r="C2580" t="str">
        <f t="shared" si="458"/>
        <v>91866313</v>
      </c>
      <c r="D2580">
        <v>89301704</v>
      </c>
      <c r="E2580" t="str">
        <f t="shared" si="462"/>
        <v>0801035268</v>
      </c>
      <c r="F2580" s="1">
        <v>44996</v>
      </c>
      <c r="G2580" t="str">
        <f t="shared" si="461"/>
        <v>82087</v>
      </c>
      <c r="H2580">
        <v>1</v>
      </c>
      <c r="I2580">
        <v>53</v>
      </c>
      <c r="J2580">
        <v>0</v>
      </c>
      <c r="K2580" t="str">
        <f t="shared" si="459"/>
        <v>802</v>
      </c>
      <c r="L2580">
        <v>51.41</v>
      </c>
    </row>
    <row r="2581" spans="1:12" x14ac:dyDescent="0.25">
      <c r="A2581" t="str">
        <f t="shared" si="456"/>
        <v>89301000</v>
      </c>
      <c r="B2581" t="str">
        <f t="shared" si="457"/>
        <v>91866000</v>
      </c>
      <c r="C2581" t="str">
        <f t="shared" si="458"/>
        <v>91866313</v>
      </c>
      <c r="D2581">
        <v>89301704</v>
      </c>
      <c r="E2581" t="str">
        <f t="shared" si="462"/>
        <v>0801035268</v>
      </c>
      <c r="F2581" s="1">
        <v>44997</v>
      </c>
      <c r="G2581" t="str">
        <f t="shared" si="461"/>
        <v>82087</v>
      </c>
      <c r="H2581">
        <v>1</v>
      </c>
      <c r="I2581">
        <v>53</v>
      </c>
      <c r="J2581">
        <v>0</v>
      </c>
      <c r="K2581" t="str">
        <f t="shared" si="459"/>
        <v>802</v>
      </c>
      <c r="L2581">
        <v>51.41</v>
      </c>
    </row>
    <row r="2582" spans="1:12" x14ac:dyDescent="0.25">
      <c r="A2582" t="str">
        <f t="shared" si="456"/>
        <v>89301000</v>
      </c>
      <c r="B2582" t="str">
        <f t="shared" si="457"/>
        <v>91866000</v>
      </c>
      <c r="C2582" t="str">
        <f t="shared" si="458"/>
        <v>91866313</v>
      </c>
      <c r="D2582">
        <v>89301704</v>
      </c>
      <c r="E2582" t="str">
        <f t="shared" si="462"/>
        <v>0801035268</v>
      </c>
      <c r="F2582" s="1">
        <v>44995</v>
      </c>
      <c r="G2582" t="str">
        <f t="shared" si="461"/>
        <v>82087</v>
      </c>
      <c r="H2582">
        <v>1</v>
      </c>
      <c r="I2582">
        <v>53</v>
      </c>
      <c r="J2582">
        <v>0</v>
      </c>
      <c r="K2582" t="str">
        <f t="shared" si="459"/>
        <v>802</v>
      </c>
      <c r="L2582">
        <v>51.41</v>
      </c>
    </row>
    <row r="2583" spans="1:12" x14ac:dyDescent="0.25">
      <c r="A2583" t="str">
        <f t="shared" si="456"/>
        <v>89301000</v>
      </c>
      <c r="B2583" t="str">
        <f t="shared" si="457"/>
        <v>91866000</v>
      </c>
      <c r="C2583" t="str">
        <f t="shared" si="458"/>
        <v>91866313</v>
      </c>
      <c r="D2583">
        <v>89301108</v>
      </c>
      <c r="E2583" t="str">
        <f>"1853300537"</f>
        <v>1853300537</v>
      </c>
      <c r="F2583" s="1">
        <v>45000</v>
      </c>
      <c r="G2583" t="str">
        <f>"97111"</f>
        <v>97111</v>
      </c>
      <c r="H2583">
        <v>1</v>
      </c>
      <c r="I2583">
        <v>19</v>
      </c>
      <c r="J2583">
        <v>0</v>
      </c>
      <c r="K2583" t="str">
        <f t="shared" si="459"/>
        <v>802</v>
      </c>
      <c r="L2583">
        <v>23.94</v>
      </c>
    </row>
    <row r="2584" spans="1:12" x14ac:dyDescent="0.25">
      <c r="A2584" t="str">
        <f t="shared" si="456"/>
        <v>89301000</v>
      </c>
      <c r="B2584" t="str">
        <f t="shared" si="457"/>
        <v>91866000</v>
      </c>
      <c r="C2584" t="str">
        <f t="shared" si="458"/>
        <v>91866313</v>
      </c>
      <c r="D2584">
        <v>89301108</v>
      </c>
      <c r="E2584" t="str">
        <f>"1853300537"</f>
        <v>1853300537</v>
      </c>
      <c r="F2584" s="1">
        <v>45000</v>
      </c>
      <c r="G2584" t="str">
        <f>"82079"</f>
        <v>82079</v>
      </c>
      <c r="H2584">
        <v>1</v>
      </c>
      <c r="I2584">
        <v>333</v>
      </c>
      <c r="J2584">
        <v>0</v>
      </c>
      <c r="K2584" t="str">
        <f t="shared" si="459"/>
        <v>802</v>
      </c>
      <c r="L2584">
        <v>323.01</v>
      </c>
    </row>
    <row r="2585" spans="1:12" x14ac:dyDescent="0.25">
      <c r="A2585" t="str">
        <f t="shared" si="456"/>
        <v>89301000</v>
      </c>
      <c r="B2585" t="str">
        <f t="shared" si="457"/>
        <v>91866000</v>
      </c>
      <c r="C2585" t="str">
        <f t="shared" si="458"/>
        <v>91866313</v>
      </c>
      <c r="D2585">
        <v>89301108</v>
      </c>
      <c r="E2585" t="str">
        <f>"1853300537"</f>
        <v>1853300537</v>
      </c>
      <c r="F2585" s="1">
        <v>45000</v>
      </c>
      <c r="G2585" t="str">
        <f>"82079"</f>
        <v>82079</v>
      </c>
      <c r="H2585">
        <v>1</v>
      </c>
      <c r="I2585">
        <v>333</v>
      </c>
      <c r="J2585">
        <v>0</v>
      </c>
      <c r="K2585" t="str">
        <f t="shared" si="459"/>
        <v>802</v>
      </c>
      <c r="L2585">
        <v>323.01</v>
      </c>
    </row>
    <row r="2586" spans="1:12" x14ac:dyDescent="0.25">
      <c r="A2586" t="str">
        <f t="shared" si="456"/>
        <v>89301000</v>
      </c>
      <c r="B2586" t="str">
        <f t="shared" si="457"/>
        <v>91866000</v>
      </c>
      <c r="C2586" t="str">
        <f t="shared" si="458"/>
        <v>91866313</v>
      </c>
      <c r="D2586">
        <v>89301108</v>
      </c>
      <c r="E2586" t="str">
        <f>"1853300537"</f>
        <v>1853300537</v>
      </c>
      <c r="F2586" s="1">
        <v>45000</v>
      </c>
      <c r="G2586" t="str">
        <f>"82079"</f>
        <v>82079</v>
      </c>
      <c r="H2586">
        <v>1</v>
      </c>
      <c r="I2586">
        <v>333</v>
      </c>
      <c r="J2586">
        <v>0</v>
      </c>
      <c r="K2586" t="str">
        <f t="shared" si="459"/>
        <v>802</v>
      </c>
      <c r="L2586">
        <v>323.01</v>
      </c>
    </row>
    <row r="2587" spans="1:12" x14ac:dyDescent="0.25">
      <c r="A2587" t="str">
        <f t="shared" si="456"/>
        <v>89301000</v>
      </c>
      <c r="B2587" t="str">
        <f t="shared" si="457"/>
        <v>91866000</v>
      </c>
      <c r="C2587" t="str">
        <f t="shared" si="458"/>
        <v>91866313</v>
      </c>
      <c r="D2587">
        <v>89301704</v>
      </c>
      <c r="E2587" t="str">
        <f t="shared" ref="E2587:E2593" si="463">"0756125282"</f>
        <v>0756125282</v>
      </c>
      <c r="F2587" s="1">
        <v>45001</v>
      </c>
      <c r="G2587" t="str">
        <f t="shared" ref="G2587:G2593" si="464">"82087"</f>
        <v>82087</v>
      </c>
      <c r="H2587">
        <v>1</v>
      </c>
      <c r="I2587">
        <v>53</v>
      </c>
      <c r="J2587">
        <v>0</v>
      </c>
      <c r="K2587" t="str">
        <f t="shared" si="459"/>
        <v>802</v>
      </c>
      <c r="L2587">
        <v>51.41</v>
      </c>
    </row>
    <row r="2588" spans="1:12" x14ac:dyDescent="0.25">
      <c r="A2588" t="str">
        <f t="shared" si="456"/>
        <v>89301000</v>
      </c>
      <c r="B2588" t="str">
        <f t="shared" si="457"/>
        <v>91866000</v>
      </c>
      <c r="C2588" t="str">
        <f t="shared" si="458"/>
        <v>91866313</v>
      </c>
      <c r="D2588">
        <v>89301704</v>
      </c>
      <c r="E2588" t="str">
        <f t="shared" si="463"/>
        <v>0756125282</v>
      </c>
      <c r="F2588" s="1">
        <v>45001</v>
      </c>
      <c r="G2588" t="str">
        <f t="shared" si="464"/>
        <v>82087</v>
      </c>
      <c r="H2588">
        <v>1</v>
      </c>
      <c r="I2588">
        <v>53</v>
      </c>
      <c r="J2588">
        <v>0</v>
      </c>
      <c r="K2588" t="str">
        <f t="shared" si="459"/>
        <v>802</v>
      </c>
      <c r="L2588">
        <v>51.41</v>
      </c>
    </row>
    <row r="2589" spans="1:12" x14ac:dyDescent="0.25">
      <c r="A2589" t="str">
        <f t="shared" si="456"/>
        <v>89301000</v>
      </c>
      <c r="B2589" t="str">
        <f t="shared" si="457"/>
        <v>91866000</v>
      </c>
      <c r="C2589" t="str">
        <f t="shared" si="458"/>
        <v>91866313</v>
      </c>
      <c r="D2589">
        <v>89301704</v>
      </c>
      <c r="E2589" t="str">
        <f t="shared" si="463"/>
        <v>0756125282</v>
      </c>
      <c r="F2589" s="1">
        <v>45002</v>
      </c>
      <c r="G2589" t="str">
        <f t="shared" si="464"/>
        <v>82087</v>
      </c>
      <c r="H2589">
        <v>1</v>
      </c>
      <c r="I2589">
        <v>53</v>
      </c>
      <c r="J2589">
        <v>0</v>
      </c>
      <c r="K2589" t="str">
        <f t="shared" si="459"/>
        <v>802</v>
      </c>
      <c r="L2589">
        <v>51.41</v>
      </c>
    </row>
    <row r="2590" spans="1:12" x14ac:dyDescent="0.25">
      <c r="A2590" t="str">
        <f t="shared" si="456"/>
        <v>89301000</v>
      </c>
      <c r="B2590" t="str">
        <f t="shared" si="457"/>
        <v>91866000</v>
      </c>
      <c r="C2590" t="str">
        <f t="shared" si="458"/>
        <v>91866313</v>
      </c>
      <c r="D2590">
        <v>89301704</v>
      </c>
      <c r="E2590" t="str">
        <f t="shared" si="463"/>
        <v>0756125282</v>
      </c>
      <c r="F2590" s="1">
        <v>45002</v>
      </c>
      <c r="G2590" t="str">
        <f t="shared" si="464"/>
        <v>82087</v>
      </c>
      <c r="H2590">
        <v>1</v>
      </c>
      <c r="I2590">
        <v>53</v>
      </c>
      <c r="J2590">
        <v>0</v>
      </c>
      <c r="K2590" t="str">
        <f t="shared" si="459"/>
        <v>802</v>
      </c>
      <c r="L2590">
        <v>51.41</v>
      </c>
    </row>
    <row r="2591" spans="1:12" x14ac:dyDescent="0.25">
      <c r="A2591" t="str">
        <f t="shared" si="456"/>
        <v>89301000</v>
      </c>
      <c r="B2591" t="str">
        <f t="shared" si="457"/>
        <v>91866000</v>
      </c>
      <c r="C2591" t="str">
        <f t="shared" si="458"/>
        <v>91866313</v>
      </c>
      <c r="D2591">
        <v>89301704</v>
      </c>
      <c r="E2591" t="str">
        <f t="shared" si="463"/>
        <v>0756125282</v>
      </c>
      <c r="F2591" s="1">
        <v>45003</v>
      </c>
      <c r="G2591" t="str">
        <f t="shared" si="464"/>
        <v>82087</v>
      </c>
      <c r="H2591">
        <v>1</v>
      </c>
      <c r="I2591">
        <v>53</v>
      </c>
      <c r="J2591">
        <v>0</v>
      </c>
      <c r="K2591" t="str">
        <f t="shared" si="459"/>
        <v>802</v>
      </c>
      <c r="L2591">
        <v>51.41</v>
      </c>
    </row>
    <row r="2592" spans="1:12" x14ac:dyDescent="0.25">
      <c r="A2592" t="str">
        <f t="shared" si="456"/>
        <v>89301000</v>
      </c>
      <c r="B2592" t="str">
        <f t="shared" si="457"/>
        <v>91866000</v>
      </c>
      <c r="C2592" t="str">
        <f t="shared" si="458"/>
        <v>91866313</v>
      </c>
      <c r="D2592">
        <v>89301704</v>
      </c>
      <c r="E2592" t="str">
        <f t="shared" si="463"/>
        <v>0756125282</v>
      </c>
      <c r="F2592" s="1">
        <v>45003</v>
      </c>
      <c r="G2592" t="str">
        <f t="shared" si="464"/>
        <v>82087</v>
      </c>
      <c r="H2592">
        <v>1</v>
      </c>
      <c r="I2592">
        <v>53</v>
      </c>
      <c r="J2592">
        <v>0</v>
      </c>
      <c r="K2592" t="str">
        <f t="shared" si="459"/>
        <v>802</v>
      </c>
      <c r="L2592">
        <v>51.41</v>
      </c>
    </row>
    <row r="2593" spans="1:12" x14ac:dyDescent="0.25">
      <c r="A2593" t="str">
        <f t="shared" si="456"/>
        <v>89301000</v>
      </c>
      <c r="B2593" t="str">
        <f t="shared" si="457"/>
        <v>91866000</v>
      </c>
      <c r="C2593" t="str">
        <f t="shared" si="458"/>
        <v>91866313</v>
      </c>
      <c r="D2593">
        <v>89301704</v>
      </c>
      <c r="E2593" t="str">
        <f t="shared" si="463"/>
        <v>0756125282</v>
      </c>
      <c r="F2593" s="1">
        <v>45004</v>
      </c>
      <c r="G2593" t="str">
        <f t="shared" si="464"/>
        <v>82087</v>
      </c>
      <c r="H2593">
        <v>1</v>
      </c>
      <c r="I2593">
        <v>53</v>
      </c>
      <c r="J2593">
        <v>0</v>
      </c>
      <c r="K2593" t="str">
        <f t="shared" si="459"/>
        <v>802</v>
      </c>
      <c r="L2593">
        <v>51.41</v>
      </c>
    </row>
    <row r="2594" spans="1:12" x14ac:dyDescent="0.25">
      <c r="A2594" t="str">
        <f t="shared" si="456"/>
        <v>89301000</v>
      </c>
      <c r="B2594" t="str">
        <f t="shared" si="457"/>
        <v>91866000</v>
      </c>
      <c r="C2594" t="str">
        <f t="shared" si="458"/>
        <v>91866313</v>
      </c>
      <c r="D2594">
        <v>89301031</v>
      </c>
      <c r="E2594" t="str">
        <f>"8602255805"</f>
        <v>8602255805</v>
      </c>
      <c r="F2594" s="1">
        <v>45009</v>
      </c>
      <c r="G2594" t="str">
        <f>"97111"</f>
        <v>97111</v>
      </c>
      <c r="H2594">
        <v>1</v>
      </c>
      <c r="I2594">
        <v>19</v>
      </c>
      <c r="J2594">
        <v>0</v>
      </c>
      <c r="K2594" t="str">
        <f t="shared" si="459"/>
        <v>802</v>
      </c>
      <c r="L2594">
        <v>23.94</v>
      </c>
    </row>
    <row r="2595" spans="1:12" x14ac:dyDescent="0.25">
      <c r="A2595" t="str">
        <f t="shared" si="456"/>
        <v>89301000</v>
      </c>
      <c r="B2595" t="str">
        <f t="shared" si="457"/>
        <v>91866000</v>
      </c>
      <c r="C2595" t="str">
        <f t="shared" si="458"/>
        <v>91866313</v>
      </c>
      <c r="D2595">
        <v>89301031</v>
      </c>
      <c r="E2595" t="str">
        <f>"8602255805"</f>
        <v>8602255805</v>
      </c>
      <c r="F2595" s="1">
        <v>45009</v>
      </c>
      <c r="G2595" t="str">
        <f>"82147"</f>
        <v>82147</v>
      </c>
      <c r="H2595">
        <v>9</v>
      </c>
      <c r="I2595">
        <v>2160</v>
      </c>
      <c r="J2595">
        <v>0</v>
      </c>
      <c r="K2595" t="str">
        <f t="shared" si="459"/>
        <v>802</v>
      </c>
      <c r="L2595">
        <v>2095.1999999999998</v>
      </c>
    </row>
    <row r="2596" spans="1:12" x14ac:dyDescent="0.25">
      <c r="A2596" t="str">
        <f t="shared" si="456"/>
        <v>89301000</v>
      </c>
      <c r="B2596" t="str">
        <f t="shared" si="457"/>
        <v>91866000</v>
      </c>
      <c r="C2596" t="str">
        <f t="shared" si="458"/>
        <v>91866313</v>
      </c>
      <c r="D2596">
        <v>89301031</v>
      </c>
      <c r="E2596" t="str">
        <f>"8602255805"</f>
        <v>8602255805</v>
      </c>
      <c r="F2596" s="1">
        <v>45009</v>
      </c>
      <c r="G2596" t="str">
        <f>"82147"</f>
        <v>82147</v>
      </c>
      <c r="H2596">
        <v>3</v>
      </c>
      <c r="I2596">
        <v>720</v>
      </c>
      <c r="J2596">
        <v>0</v>
      </c>
      <c r="K2596" t="str">
        <f t="shared" si="459"/>
        <v>802</v>
      </c>
      <c r="L2596">
        <v>698.4</v>
      </c>
    </row>
    <row r="2597" spans="1:12" x14ac:dyDescent="0.25">
      <c r="A2597" t="str">
        <f t="shared" si="456"/>
        <v>89301000</v>
      </c>
      <c r="B2597" t="str">
        <f t="shared" si="457"/>
        <v>91866000</v>
      </c>
      <c r="C2597" t="str">
        <f t="shared" si="458"/>
        <v>91866313</v>
      </c>
      <c r="D2597">
        <v>89301704</v>
      </c>
      <c r="E2597" t="str">
        <f>"1710131863"</f>
        <v>1710131863</v>
      </c>
      <c r="F2597" s="1">
        <v>45016</v>
      </c>
      <c r="G2597" t="str">
        <f t="shared" ref="G2597:G2608" si="465">"82087"</f>
        <v>82087</v>
      </c>
      <c r="H2597">
        <v>1</v>
      </c>
      <c r="I2597">
        <v>53</v>
      </c>
      <c r="J2597">
        <v>0</v>
      </c>
      <c r="K2597" t="str">
        <f t="shared" ref="K2597:K2628" si="466">"802"</f>
        <v>802</v>
      </c>
      <c r="L2597">
        <v>51.41</v>
      </c>
    </row>
    <row r="2598" spans="1:12" x14ac:dyDescent="0.25">
      <c r="A2598" t="str">
        <f t="shared" si="456"/>
        <v>89301000</v>
      </c>
      <c r="B2598" t="str">
        <f t="shared" si="457"/>
        <v>91866000</v>
      </c>
      <c r="C2598" t="str">
        <f t="shared" si="458"/>
        <v>91866313</v>
      </c>
      <c r="D2598">
        <v>89301704</v>
      </c>
      <c r="E2598" t="str">
        <f>"1710131863"</f>
        <v>1710131863</v>
      </c>
      <c r="F2598" s="1">
        <v>45016</v>
      </c>
      <c r="G2598" t="str">
        <f t="shared" si="465"/>
        <v>82087</v>
      </c>
      <c r="H2598">
        <v>1</v>
      </c>
      <c r="I2598">
        <v>53</v>
      </c>
      <c r="J2598">
        <v>0</v>
      </c>
      <c r="K2598" t="str">
        <f t="shared" si="466"/>
        <v>802</v>
      </c>
      <c r="L2598">
        <v>51.41</v>
      </c>
    </row>
    <row r="2599" spans="1:12" x14ac:dyDescent="0.25">
      <c r="A2599" t="str">
        <f t="shared" si="456"/>
        <v>89301000</v>
      </c>
      <c r="B2599" t="str">
        <f t="shared" si="457"/>
        <v>91866000</v>
      </c>
      <c r="C2599" t="str">
        <f t="shared" si="458"/>
        <v>91866313</v>
      </c>
      <c r="D2599">
        <v>89301704</v>
      </c>
      <c r="E2599" t="str">
        <f>"1710131863"</f>
        <v>1710131863</v>
      </c>
      <c r="F2599" s="1">
        <v>45015</v>
      </c>
      <c r="G2599" t="str">
        <f t="shared" si="465"/>
        <v>82087</v>
      </c>
      <c r="H2599">
        <v>1</v>
      </c>
      <c r="I2599">
        <v>53</v>
      </c>
      <c r="J2599">
        <v>0</v>
      </c>
      <c r="K2599" t="str">
        <f t="shared" si="466"/>
        <v>802</v>
      </c>
      <c r="L2599">
        <v>51.41</v>
      </c>
    </row>
    <row r="2600" spans="1:12" x14ac:dyDescent="0.25">
      <c r="A2600" t="str">
        <f t="shared" si="456"/>
        <v>89301000</v>
      </c>
      <c r="B2600" t="str">
        <f t="shared" si="457"/>
        <v>91866000</v>
      </c>
      <c r="C2600" t="str">
        <f t="shared" si="458"/>
        <v>91866313</v>
      </c>
      <c r="D2600">
        <v>89301704</v>
      </c>
      <c r="E2600" t="str">
        <f>"1710131863"</f>
        <v>1710131863</v>
      </c>
      <c r="F2600" s="1">
        <v>45015</v>
      </c>
      <c r="G2600" t="str">
        <f t="shared" si="465"/>
        <v>82087</v>
      </c>
      <c r="H2600">
        <v>1</v>
      </c>
      <c r="I2600">
        <v>53</v>
      </c>
      <c r="J2600">
        <v>0</v>
      </c>
      <c r="K2600" t="str">
        <f t="shared" si="466"/>
        <v>802</v>
      </c>
      <c r="L2600">
        <v>51.41</v>
      </c>
    </row>
    <row r="2601" spans="1:12" x14ac:dyDescent="0.25">
      <c r="A2601" t="str">
        <f t="shared" si="456"/>
        <v>89301000</v>
      </c>
      <c r="B2601" t="str">
        <f t="shared" si="457"/>
        <v>91866000</v>
      </c>
      <c r="C2601" t="str">
        <f t="shared" si="458"/>
        <v>91866313</v>
      </c>
      <c r="D2601">
        <v>89301704</v>
      </c>
      <c r="E2601" t="str">
        <f>"0660265265"</f>
        <v>0660265265</v>
      </c>
      <c r="F2601" s="1">
        <v>45015</v>
      </c>
      <c r="G2601" t="str">
        <f t="shared" si="465"/>
        <v>82087</v>
      </c>
      <c r="H2601">
        <v>1</v>
      </c>
      <c r="I2601">
        <v>53</v>
      </c>
      <c r="J2601">
        <v>0</v>
      </c>
      <c r="K2601" t="str">
        <f t="shared" si="466"/>
        <v>802</v>
      </c>
      <c r="L2601">
        <v>51.41</v>
      </c>
    </row>
    <row r="2602" spans="1:12" x14ac:dyDescent="0.25">
      <c r="A2602" t="str">
        <f t="shared" si="456"/>
        <v>89301000</v>
      </c>
      <c r="B2602" t="str">
        <f t="shared" si="457"/>
        <v>91866000</v>
      </c>
      <c r="C2602" t="str">
        <f t="shared" si="458"/>
        <v>91866313</v>
      </c>
      <c r="D2602">
        <v>89301704</v>
      </c>
      <c r="E2602" t="str">
        <f>"0660265265"</f>
        <v>0660265265</v>
      </c>
      <c r="F2602" s="1">
        <v>45015</v>
      </c>
      <c r="G2602" t="str">
        <f t="shared" si="465"/>
        <v>82087</v>
      </c>
      <c r="H2602">
        <v>1</v>
      </c>
      <c r="I2602">
        <v>53</v>
      </c>
      <c r="J2602">
        <v>0</v>
      </c>
      <c r="K2602" t="str">
        <f t="shared" si="466"/>
        <v>802</v>
      </c>
      <c r="L2602">
        <v>51.41</v>
      </c>
    </row>
    <row r="2603" spans="1:12" x14ac:dyDescent="0.25">
      <c r="A2603" t="str">
        <f t="shared" si="456"/>
        <v>89301000</v>
      </c>
      <c r="B2603" t="str">
        <f t="shared" si="457"/>
        <v>91866000</v>
      </c>
      <c r="C2603" t="str">
        <f t="shared" si="458"/>
        <v>91866313</v>
      </c>
      <c r="D2603">
        <v>89301704</v>
      </c>
      <c r="E2603" t="str">
        <f>"0660265265"</f>
        <v>0660265265</v>
      </c>
      <c r="F2603" s="1">
        <v>45016</v>
      </c>
      <c r="G2603" t="str">
        <f t="shared" si="465"/>
        <v>82087</v>
      </c>
      <c r="H2603">
        <v>1</v>
      </c>
      <c r="I2603">
        <v>53</v>
      </c>
      <c r="J2603">
        <v>0</v>
      </c>
      <c r="K2603" t="str">
        <f t="shared" si="466"/>
        <v>802</v>
      </c>
      <c r="L2603">
        <v>51.41</v>
      </c>
    </row>
    <row r="2604" spans="1:12" x14ac:dyDescent="0.25">
      <c r="A2604" t="str">
        <f t="shared" si="456"/>
        <v>89301000</v>
      </c>
      <c r="B2604" t="str">
        <f t="shared" si="457"/>
        <v>91866000</v>
      </c>
      <c r="C2604" t="str">
        <f t="shared" si="458"/>
        <v>91866313</v>
      </c>
      <c r="D2604">
        <v>89301704</v>
      </c>
      <c r="E2604" t="str">
        <f>"0660265265"</f>
        <v>0660265265</v>
      </c>
      <c r="F2604" s="1">
        <v>45016</v>
      </c>
      <c r="G2604" t="str">
        <f t="shared" si="465"/>
        <v>82087</v>
      </c>
      <c r="H2604">
        <v>1</v>
      </c>
      <c r="I2604">
        <v>53</v>
      </c>
      <c r="J2604">
        <v>0</v>
      </c>
      <c r="K2604" t="str">
        <f t="shared" si="466"/>
        <v>802</v>
      </c>
      <c r="L2604">
        <v>51.41</v>
      </c>
    </row>
    <row r="2605" spans="1:12" x14ac:dyDescent="0.25">
      <c r="A2605" t="str">
        <f t="shared" si="456"/>
        <v>89301000</v>
      </c>
      <c r="B2605" t="str">
        <f t="shared" si="457"/>
        <v>91866000</v>
      </c>
      <c r="C2605" t="str">
        <f t="shared" si="458"/>
        <v>91866313</v>
      </c>
      <c r="D2605">
        <v>89301704</v>
      </c>
      <c r="E2605" t="str">
        <f>"0954021409"</f>
        <v>0954021409</v>
      </c>
      <c r="F2605" s="1">
        <v>45016</v>
      </c>
      <c r="G2605" t="str">
        <f t="shared" si="465"/>
        <v>82087</v>
      </c>
      <c r="H2605">
        <v>1</v>
      </c>
      <c r="I2605">
        <v>53</v>
      </c>
      <c r="J2605">
        <v>0</v>
      </c>
      <c r="K2605" t="str">
        <f t="shared" si="466"/>
        <v>802</v>
      </c>
      <c r="L2605">
        <v>51.41</v>
      </c>
    </row>
    <row r="2606" spans="1:12" x14ac:dyDescent="0.25">
      <c r="A2606" t="str">
        <f t="shared" si="456"/>
        <v>89301000</v>
      </c>
      <c r="B2606" t="str">
        <f t="shared" si="457"/>
        <v>91866000</v>
      </c>
      <c r="C2606" t="str">
        <f t="shared" si="458"/>
        <v>91866313</v>
      </c>
      <c r="D2606">
        <v>89301704</v>
      </c>
      <c r="E2606" t="str">
        <f>"0954021409"</f>
        <v>0954021409</v>
      </c>
      <c r="F2606" s="1">
        <v>45016</v>
      </c>
      <c r="G2606" t="str">
        <f t="shared" si="465"/>
        <v>82087</v>
      </c>
      <c r="H2606">
        <v>1</v>
      </c>
      <c r="I2606">
        <v>53</v>
      </c>
      <c r="J2606">
        <v>0</v>
      </c>
      <c r="K2606" t="str">
        <f t="shared" si="466"/>
        <v>802</v>
      </c>
      <c r="L2606">
        <v>51.41</v>
      </c>
    </row>
    <row r="2607" spans="1:12" x14ac:dyDescent="0.25">
      <c r="A2607" t="str">
        <f t="shared" si="456"/>
        <v>89301000</v>
      </c>
      <c r="B2607" t="str">
        <f t="shared" si="457"/>
        <v>91866000</v>
      </c>
      <c r="C2607" t="str">
        <f t="shared" si="458"/>
        <v>91866313</v>
      </c>
      <c r="D2607">
        <v>89301704</v>
      </c>
      <c r="E2607" t="str">
        <f>"0954021409"</f>
        <v>0954021409</v>
      </c>
      <c r="F2607" s="1">
        <v>45015</v>
      </c>
      <c r="G2607" t="str">
        <f t="shared" si="465"/>
        <v>82087</v>
      </c>
      <c r="H2607">
        <v>1</v>
      </c>
      <c r="I2607">
        <v>53</v>
      </c>
      <c r="J2607">
        <v>0</v>
      </c>
      <c r="K2607" t="str">
        <f t="shared" si="466"/>
        <v>802</v>
      </c>
      <c r="L2607">
        <v>51.41</v>
      </c>
    </row>
    <row r="2608" spans="1:12" x14ac:dyDescent="0.25">
      <c r="A2608" t="str">
        <f t="shared" si="456"/>
        <v>89301000</v>
      </c>
      <c r="B2608" t="str">
        <f t="shared" si="457"/>
        <v>91866000</v>
      </c>
      <c r="C2608" t="str">
        <f t="shared" si="458"/>
        <v>91866313</v>
      </c>
      <c r="D2608">
        <v>89301704</v>
      </c>
      <c r="E2608" t="str">
        <f>"0954021409"</f>
        <v>0954021409</v>
      </c>
      <c r="F2608" s="1">
        <v>45015</v>
      </c>
      <c r="G2608" t="str">
        <f t="shared" si="465"/>
        <v>82087</v>
      </c>
      <c r="H2608">
        <v>1</v>
      </c>
      <c r="I2608">
        <v>53</v>
      </c>
      <c r="J2608">
        <v>0</v>
      </c>
      <c r="K2608" t="str">
        <f t="shared" si="466"/>
        <v>802</v>
      </c>
      <c r="L2608">
        <v>51.41</v>
      </c>
    </row>
    <row r="2609" spans="1:12" x14ac:dyDescent="0.25">
      <c r="A2609" t="str">
        <f t="shared" si="456"/>
        <v>89301000</v>
      </c>
      <c r="B2609" t="str">
        <f t="shared" ref="B2609:B2640" si="467">"10510000"</f>
        <v>10510000</v>
      </c>
      <c r="C2609" t="str">
        <f t="shared" ref="C2609:C2640" si="468">"10510001"</f>
        <v>10510001</v>
      </c>
      <c r="D2609">
        <v>89301355</v>
      </c>
      <c r="E2609" t="str">
        <f>"6609300940"</f>
        <v>6609300940</v>
      </c>
      <c r="F2609" s="1">
        <v>44987</v>
      </c>
      <c r="G2609" t="str">
        <f>"82038"</f>
        <v>82038</v>
      </c>
      <c r="H2609">
        <v>1</v>
      </c>
      <c r="I2609">
        <v>2149</v>
      </c>
      <c r="J2609">
        <v>0</v>
      </c>
      <c r="K2609" t="str">
        <f t="shared" si="466"/>
        <v>802</v>
      </c>
      <c r="L2609">
        <v>2084.5300000000002</v>
      </c>
    </row>
    <row r="2610" spans="1:12" x14ac:dyDescent="0.25">
      <c r="A2610" t="str">
        <f t="shared" si="456"/>
        <v>89301000</v>
      </c>
      <c r="B2610" t="str">
        <f t="shared" si="467"/>
        <v>10510000</v>
      </c>
      <c r="C2610" t="str">
        <f t="shared" si="468"/>
        <v>10510001</v>
      </c>
      <c r="D2610">
        <v>89301355</v>
      </c>
      <c r="E2610" t="str">
        <f>"6609300940"</f>
        <v>6609300940</v>
      </c>
      <c r="F2610" s="1">
        <v>44986</v>
      </c>
      <c r="G2610" t="str">
        <f>"82137"</f>
        <v>82137</v>
      </c>
      <c r="H2610">
        <v>1</v>
      </c>
      <c r="I2610">
        <v>1606</v>
      </c>
      <c r="J2610">
        <v>0</v>
      </c>
      <c r="K2610" t="str">
        <f t="shared" si="466"/>
        <v>802</v>
      </c>
      <c r="L2610">
        <v>1557.82</v>
      </c>
    </row>
    <row r="2611" spans="1:12" x14ac:dyDescent="0.25">
      <c r="A2611" t="str">
        <f t="shared" si="456"/>
        <v>89301000</v>
      </c>
      <c r="B2611" t="str">
        <f t="shared" si="467"/>
        <v>10510000</v>
      </c>
      <c r="C2611" t="str">
        <f t="shared" si="468"/>
        <v>10510001</v>
      </c>
      <c r="D2611">
        <v>89301355</v>
      </c>
      <c r="E2611" t="str">
        <f>"6609300940"</f>
        <v>6609300940</v>
      </c>
      <c r="F2611" s="1">
        <v>44988</v>
      </c>
      <c r="G2611" t="str">
        <f>"82077"</f>
        <v>82077</v>
      </c>
      <c r="H2611">
        <v>2</v>
      </c>
      <c r="I2611">
        <v>702</v>
      </c>
      <c r="J2611">
        <v>0</v>
      </c>
      <c r="K2611" t="str">
        <f t="shared" si="466"/>
        <v>802</v>
      </c>
      <c r="L2611">
        <v>680.94</v>
      </c>
    </row>
    <row r="2612" spans="1:12" x14ac:dyDescent="0.25">
      <c r="A2612" t="str">
        <f t="shared" si="456"/>
        <v>89301000</v>
      </c>
      <c r="B2612" t="str">
        <f t="shared" si="467"/>
        <v>10510000</v>
      </c>
      <c r="C2612" t="str">
        <f t="shared" si="468"/>
        <v>10510001</v>
      </c>
      <c r="D2612">
        <v>89301355</v>
      </c>
      <c r="E2612" t="str">
        <f>"6609300940"</f>
        <v>6609300940</v>
      </c>
      <c r="F2612" s="1">
        <v>44988</v>
      </c>
      <c r="G2612" t="str">
        <f>"82077"</f>
        <v>82077</v>
      </c>
      <c r="H2612">
        <v>2</v>
      </c>
      <c r="I2612">
        <v>702</v>
      </c>
      <c r="J2612">
        <v>0</v>
      </c>
      <c r="K2612" t="str">
        <f t="shared" si="466"/>
        <v>802</v>
      </c>
      <c r="L2612">
        <v>680.94</v>
      </c>
    </row>
    <row r="2613" spans="1:12" x14ac:dyDescent="0.25">
      <c r="A2613" t="str">
        <f t="shared" si="456"/>
        <v>89301000</v>
      </c>
      <c r="B2613" t="str">
        <f t="shared" si="467"/>
        <v>10510000</v>
      </c>
      <c r="C2613" t="str">
        <f t="shared" si="468"/>
        <v>10510001</v>
      </c>
      <c r="D2613">
        <v>89301355</v>
      </c>
      <c r="E2613" t="str">
        <f>"6609300940"</f>
        <v>6609300940</v>
      </c>
      <c r="F2613" s="1">
        <v>44987</v>
      </c>
      <c r="G2613" t="str">
        <f>"82040"</f>
        <v>82040</v>
      </c>
      <c r="H2613">
        <v>1</v>
      </c>
      <c r="I2613">
        <v>938</v>
      </c>
      <c r="J2613">
        <v>0</v>
      </c>
      <c r="K2613" t="str">
        <f t="shared" si="466"/>
        <v>802</v>
      </c>
      <c r="L2613">
        <v>909.86</v>
      </c>
    </row>
    <row r="2614" spans="1:12" x14ac:dyDescent="0.25">
      <c r="A2614" t="str">
        <f t="shared" si="456"/>
        <v>89301000</v>
      </c>
      <c r="B2614" t="str">
        <f t="shared" si="467"/>
        <v>10510000</v>
      </c>
      <c r="C2614" t="str">
        <f t="shared" si="468"/>
        <v>10510001</v>
      </c>
      <c r="D2614">
        <v>89301355</v>
      </c>
      <c r="E2614" t="str">
        <f>"0054044848"</f>
        <v>0054044848</v>
      </c>
      <c r="F2614" s="1">
        <v>44999</v>
      </c>
      <c r="G2614" t="str">
        <f>"82137"</f>
        <v>82137</v>
      </c>
      <c r="H2614">
        <v>1</v>
      </c>
      <c r="I2614">
        <v>1606</v>
      </c>
      <c r="J2614">
        <v>0</v>
      </c>
      <c r="K2614" t="str">
        <f t="shared" si="466"/>
        <v>802</v>
      </c>
      <c r="L2614">
        <v>1557.82</v>
      </c>
    </row>
    <row r="2615" spans="1:12" x14ac:dyDescent="0.25">
      <c r="A2615" t="str">
        <f t="shared" si="456"/>
        <v>89301000</v>
      </c>
      <c r="B2615" t="str">
        <f t="shared" si="467"/>
        <v>10510000</v>
      </c>
      <c r="C2615" t="str">
        <f t="shared" si="468"/>
        <v>10510001</v>
      </c>
      <c r="D2615">
        <v>89301355</v>
      </c>
      <c r="E2615" t="str">
        <f>"0054044848"</f>
        <v>0054044848</v>
      </c>
      <c r="F2615" s="1">
        <v>45002</v>
      </c>
      <c r="G2615" t="str">
        <f>"82077"</f>
        <v>82077</v>
      </c>
      <c r="H2615">
        <v>2</v>
      </c>
      <c r="I2615">
        <v>702</v>
      </c>
      <c r="J2615">
        <v>0</v>
      </c>
      <c r="K2615" t="str">
        <f t="shared" si="466"/>
        <v>802</v>
      </c>
      <c r="L2615">
        <v>680.94</v>
      </c>
    </row>
    <row r="2616" spans="1:12" x14ac:dyDescent="0.25">
      <c r="A2616" t="str">
        <f t="shared" si="456"/>
        <v>89301000</v>
      </c>
      <c r="B2616" t="str">
        <f t="shared" si="467"/>
        <v>10510000</v>
      </c>
      <c r="C2616" t="str">
        <f t="shared" si="468"/>
        <v>10510001</v>
      </c>
      <c r="D2616">
        <v>89301355</v>
      </c>
      <c r="E2616" t="str">
        <f>"0054044848"</f>
        <v>0054044848</v>
      </c>
      <c r="F2616" s="1">
        <v>45002</v>
      </c>
      <c r="G2616" t="str">
        <f>"82077"</f>
        <v>82077</v>
      </c>
      <c r="H2616">
        <v>2</v>
      </c>
      <c r="I2616">
        <v>702</v>
      </c>
      <c r="J2616">
        <v>0</v>
      </c>
      <c r="K2616" t="str">
        <f t="shared" si="466"/>
        <v>802</v>
      </c>
      <c r="L2616">
        <v>680.94</v>
      </c>
    </row>
    <row r="2617" spans="1:12" x14ac:dyDescent="0.25">
      <c r="A2617" t="str">
        <f t="shared" si="456"/>
        <v>89301000</v>
      </c>
      <c r="B2617" t="str">
        <f t="shared" si="467"/>
        <v>10510000</v>
      </c>
      <c r="C2617" t="str">
        <f t="shared" si="468"/>
        <v>10510001</v>
      </c>
      <c r="D2617">
        <v>89301355</v>
      </c>
      <c r="E2617" t="str">
        <f>"0054044848"</f>
        <v>0054044848</v>
      </c>
      <c r="F2617" s="1">
        <v>44999</v>
      </c>
      <c r="G2617" t="str">
        <f>"82077"</f>
        <v>82077</v>
      </c>
      <c r="H2617">
        <v>1</v>
      </c>
      <c r="I2617">
        <v>351</v>
      </c>
      <c r="J2617">
        <v>0</v>
      </c>
      <c r="K2617" t="str">
        <f t="shared" si="466"/>
        <v>802</v>
      </c>
      <c r="L2617">
        <v>340.47</v>
      </c>
    </row>
    <row r="2618" spans="1:12" x14ac:dyDescent="0.25">
      <c r="A2618" t="str">
        <f t="shared" si="456"/>
        <v>89301000</v>
      </c>
      <c r="B2618" t="str">
        <f t="shared" si="467"/>
        <v>10510000</v>
      </c>
      <c r="C2618" t="str">
        <f t="shared" si="468"/>
        <v>10510001</v>
      </c>
      <c r="D2618">
        <v>89301355</v>
      </c>
      <c r="E2618" t="str">
        <f>"7401095405"</f>
        <v>7401095405</v>
      </c>
      <c r="F2618" s="1">
        <v>44999</v>
      </c>
      <c r="G2618" t="str">
        <f>"82137"</f>
        <v>82137</v>
      </c>
      <c r="H2618">
        <v>1</v>
      </c>
      <c r="I2618">
        <v>1606</v>
      </c>
      <c r="J2618">
        <v>0</v>
      </c>
      <c r="K2618" t="str">
        <f t="shared" si="466"/>
        <v>802</v>
      </c>
      <c r="L2618">
        <v>1557.82</v>
      </c>
    </row>
    <row r="2619" spans="1:12" x14ac:dyDescent="0.25">
      <c r="A2619" t="str">
        <f t="shared" si="456"/>
        <v>89301000</v>
      </c>
      <c r="B2619" t="str">
        <f t="shared" si="467"/>
        <v>10510000</v>
      </c>
      <c r="C2619" t="str">
        <f t="shared" si="468"/>
        <v>10510001</v>
      </c>
      <c r="D2619">
        <v>89301355</v>
      </c>
      <c r="E2619" t="str">
        <f>"7401095405"</f>
        <v>7401095405</v>
      </c>
      <c r="F2619" s="1">
        <v>45002</v>
      </c>
      <c r="G2619" t="str">
        <f>"82077"</f>
        <v>82077</v>
      </c>
      <c r="H2619">
        <v>2</v>
      </c>
      <c r="I2619">
        <v>702</v>
      </c>
      <c r="J2619">
        <v>0</v>
      </c>
      <c r="K2619" t="str">
        <f t="shared" si="466"/>
        <v>802</v>
      </c>
      <c r="L2619">
        <v>680.94</v>
      </c>
    </row>
    <row r="2620" spans="1:12" x14ac:dyDescent="0.25">
      <c r="A2620" t="str">
        <f t="shared" si="456"/>
        <v>89301000</v>
      </c>
      <c r="B2620" t="str">
        <f t="shared" si="467"/>
        <v>10510000</v>
      </c>
      <c r="C2620" t="str">
        <f t="shared" si="468"/>
        <v>10510001</v>
      </c>
      <c r="D2620">
        <v>89301355</v>
      </c>
      <c r="E2620" t="str">
        <f>"7401095405"</f>
        <v>7401095405</v>
      </c>
      <c r="F2620" s="1">
        <v>45002</v>
      </c>
      <c r="G2620" t="str">
        <f>"82077"</f>
        <v>82077</v>
      </c>
      <c r="H2620">
        <v>2</v>
      </c>
      <c r="I2620">
        <v>702</v>
      </c>
      <c r="J2620">
        <v>0</v>
      </c>
      <c r="K2620" t="str">
        <f t="shared" si="466"/>
        <v>802</v>
      </c>
      <c r="L2620">
        <v>680.94</v>
      </c>
    </row>
    <row r="2621" spans="1:12" x14ac:dyDescent="0.25">
      <c r="A2621" t="str">
        <f t="shared" si="456"/>
        <v>89301000</v>
      </c>
      <c r="B2621" t="str">
        <f t="shared" si="467"/>
        <v>10510000</v>
      </c>
      <c r="C2621" t="str">
        <f t="shared" si="468"/>
        <v>10510001</v>
      </c>
      <c r="D2621">
        <v>89301355</v>
      </c>
      <c r="E2621" t="str">
        <f>"7401095405"</f>
        <v>7401095405</v>
      </c>
      <c r="F2621" s="1">
        <v>44999</v>
      </c>
      <c r="G2621" t="str">
        <f>"82077"</f>
        <v>82077</v>
      </c>
      <c r="H2621">
        <v>1</v>
      </c>
      <c r="I2621">
        <v>351</v>
      </c>
      <c r="J2621">
        <v>0</v>
      </c>
      <c r="K2621" t="str">
        <f t="shared" si="466"/>
        <v>802</v>
      </c>
      <c r="L2621">
        <v>340.47</v>
      </c>
    </row>
    <row r="2622" spans="1:12" x14ac:dyDescent="0.25">
      <c r="A2622" t="str">
        <f t="shared" si="456"/>
        <v>89301000</v>
      </c>
      <c r="B2622" t="str">
        <f t="shared" si="467"/>
        <v>10510000</v>
      </c>
      <c r="C2622" t="str">
        <f t="shared" si="468"/>
        <v>10510001</v>
      </c>
      <c r="D2622">
        <v>89301355</v>
      </c>
      <c r="E2622" t="str">
        <f t="shared" ref="E2622:E2627" si="469">"6908304843"</f>
        <v>6908304843</v>
      </c>
      <c r="F2622" s="1">
        <v>45009</v>
      </c>
      <c r="G2622" t="str">
        <f>"82040"</f>
        <v>82040</v>
      </c>
      <c r="H2622">
        <v>1</v>
      </c>
      <c r="I2622">
        <v>938</v>
      </c>
      <c r="J2622">
        <v>0</v>
      </c>
      <c r="K2622" t="str">
        <f t="shared" si="466"/>
        <v>802</v>
      </c>
      <c r="L2622">
        <v>909.86</v>
      </c>
    </row>
    <row r="2623" spans="1:12" x14ac:dyDescent="0.25">
      <c r="A2623" t="str">
        <f t="shared" si="456"/>
        <v>89301000</v>
      </c>
      <c r="B2623" t="str">
        <f t="shared" si="467"/>
        <v>10510000</v>
      </c>
      <c r="C2623" t="str">
        <f t="shared" si="468"/>
        <v>10510001</v>
      </c>
      <c r="D2623">
        <v>89301355</v>
      </c>
      <c r="E2623" t="str">
        <f t="shared" si="469"/>
        <v>6908304843</v>
      </c>
      <c r="F2623" s="1">
        <v>45009</v>
      </c>
      <c r="G2623" t="str">
        <f>"82038"</f>
        <v>82038</v>
      </c>
      <c r="H2623">
        <v>1</v>
      </c>
      <c r="I2623">
        <v>2149</v>
      </c>
      <c r="J2623">
        <v>0</v>
      </c>
      <c r="K2623" t="str">
        <f t="shared" si="466"/>
        <v>802</v>
      </c>
      <c r="L2623">
        <v>2084.5300000000002</v>
      </c>
    </row>
    <row r="2624" spans="1:12" x14ac:dyDescent="0.25">
      <c r="A2624" t="str">
        <f t="shared" si="456"/>
        <v>89301000</v>
      </c>
      <c r="B2624" t="str">
        <f t="shared" si="467"/>
        <v>10510000</v>
      </c>
      <c r="C2624" t="str">
        <f t="shared" si="468"/>
        <v>10510001</v>
      </c>
      <c r="D2624">
        <v>89301355</v>
      </c>
      <c r="E2624" t="str">
        <f t="shared" si="469"/>
        <v>6908304843</v>
      </c>
      <c r="F2624" s="1">
        <v>45007</v>
      </c>
      <c r="G2624" t="str">
        <f>"82077"</f>
        <v>82077</v>
      </c>
      <c r="H2624">
        <v>2</v>
      </c>
      <c r="I2624">
        <v>702</v>
      </c>
      <c r="J2624">
        <v>0</v>
      </c>
      <c r="K2624" t="str">
        <f t="shared" si="466"/>
        <v>802</v>
      </c>
      <c r="L2624">
        <v>680.94</v>
      </c>
    </row>
    <row r="2625" spans="1:12" x14ac:dyDescent="0.25">
      <c r="A2625" t="str">
        <f t="shared" si="456"/>
        <v>89301000</v>
      </c>
      <c r="B2625" t="str">
        <f t="shared" si="467"/>
        <v>10510000</v>
      </c>
      <c r="C2625" t="str">
        <f t="shared" si="468"/>
        <v>10510001</v>
      </c>
      <c r="D2625">
        <v>89301355</v>
      </c>
      <c r="E2625" t="str">
        <f t="shared" si="469"/>
        <v>6908304843</v>
      </c>
      <c r="F2625" s="1">
        <v>45005</v>
      </c>
      <c r="G2625" t="str">
        <f>"82077"</f>
        <v>82077</v>
      </c>
      <c r="H2625">
        <v>1</v>
      </c>
      <c r="I2625">
        <v>351</v>
      </c>
      <c r="J2625">
        <v>0</v>
      </c>
      <c r="K2625" t="str">
        <f t="shared" si="466"/>
        <v>802</v>
      </c>
      <c r="L2625">
        <v>340.47</v>
      </c>
    </row>
    <row r="2626" spans="1:12" x14ac:dyDescent="0.25">
      <c r="A2626" t="str">
        <f t="shared" ref="A2626:A2689" si="470">"89301000"</f>
        <v>89301000</v>
      </c>
      <c r="B2626" t="str">
        <f t="shared" si="467"/>
        <v>10510000</v>
      </c>
      <c r="C2626" t="str">
        <f t="shared" si="468"/>
        <v>10510001</v>
      </c>
      <c r="D2626">
        <v>89301355</v>
      </c>
      <c r="E2626" t="str">
        <f t="shared" si="469"/>
        <v>6908304843</v>
      </c>
      <c r="F2626" s="1">
        <v>45007</v>
      </c>
      <c r="G2626" t="str">
        <f>"82077"</f>
        <v>82077</v>
      </c>
      <c r="H2626">
        <v>2</v>
      </c>
      <c r="I2626">
        <v>702</v>
      </c>
      <c r="J2626">
        <v>0</v>
      </c>
      <c r="K2626" t="str">
        <f t="shared" si="466"/>
        <v>802</v>
      </c>
      <c r="L2626">
        <v>680.94</v>
      </c>
    </row>
    <row r="2627" spans="1:12" x14ac:dyDescent="0.25">
      <c r="A2627" t="str">
        <f t="shared" si="470"/>
        <v>89301000</v>
      </c>
      <c r="B2627" t="str">
        <f t="shared" si="467"/>
        <v>10510000</v>
      </c>
      <c r="C2627" t="str">
        <f t="shared" si="468"/>
        <v>10510001</v>
      </c>
      <c r="D2627">
        <v>89301355</v>
      </c>
      <c r="E2627" t="str">
        <f t="shared" si="469"/>
        <v>6908304843</v>
      </c>
      <c r="F2627" s="1">
        <v>45008</v>
      </c>
      <c r="G2627" t="str">
        <f>"82137"</f>
        <v>82137</v>
      </c>
      <c r="H2627">
        <v>1</v>
      </c>
      <c r="I2627">
        <v>1606</v>
      </c>
      <c r="J2627">
        <v>0</v>
      </c>
      <c r="K2627" t="str">
        <f t="shared" si="466"/>
        <v>802</v>
      </c>
      <c r="L2627">
        <v>1557.82</v>
      </c>
    </row>
    <row r="2628" spans="1:12" x14ac:dyDescent="0.25">
      <c r="A2628" t="str">
        <f t="shared" si="470"/>
        <v>89301000</v>
      </c>
      <c r="B2628" t="str">
        <f t="shared" si="467"/>
        <v>10510000</v>
      </c>
      <c r="C2628" t="str">
        <f t="shared" si="468"/>
        <v>10510001</v>
      </c>
      <c r="D2628">
        <v>89301355</v>
      </c>
      <c r="E2628" t="str">
        <f>"7456045597"</f>
        <v>7456045597</v>
      </c>
      <c r="F2628" s="1">
        <v>45008</v>
      </c>
      <c r="G2628" t="str">
        <f>"82137"</f>
        <v>82137</v>
      </c>
      <c r="H2628">
        <v>1</v>
      </c>
      <c r="I2628">
        <v>1606</v>
      </c>
      <c r="J2628">
        <v>0</v>
      </c>
      <c r="K2628" t="str">
        <f t="shared" si="466"/>
        <v>802</v>
      </c>
      <c r="L2628">
        <v>1557.82</v>
      </c>
    </row>
    <row r="2629" spans="1:12" x14ac:dyDescent="0.25">
      <c r="A2629" t="str">
        <f t="shared" si="470"/>
        <v>89301000</v>
      </c>
      <c r="B2629" t="str">
        <f t="shared" si="467"/>
        <v>10510000</v>
      </c>
      <c r="C2629" t="str">
        <f t="shared" si="468"/>
        <v>10510001</v>
      </c>
      <c r="D2629">
        <v>89301355</v>
      </c>
      <c r="E2629" t="str">
        <f>"7456045597"</f>
        <v>7456045597</v>
      </c>
      <c r="F2629" s="1">
        <v>45007</v>
      </c>
      <c r="G2629" t="str">
        <f>"82077"</f>
        <v>82077</v>
      </c>
      <c r="H2629">
        <v>2</v>
      </c>
      <c r="I2629">
        <v>702</v>
      </c>
      <c r="J2629">
        <v>0</v>
      </c>
      <c r="K2629" t="str">
        <f t="shared" ref="K2629:K2660" si="471">"802"</f>
        <v>802</v>
      </c>
      <c r="L2629">
        <v>680.94</v>
      </c>
    </row>
    <row r="2630" spans="1:12" x14ac:dyDescent="0.25">
      <c r="A2630" t="str">
        <f t="shared" si="470"/>
        <v>89301000</v>
      </c>
      <c r="B2630" t="str">
        <f t="shared" si="467"/>
        <v>10510000</v>
      </c>
      <c r="C2630" t="str">
        <f t="shared" si="468"/>
        <v>10510001</v>
      </c>
      <c r="D2630">
        <v>89301355</v>
      </c>
      <c r="E2630" t="str">
        <f>"7456045597"</f>
        <v>7456045597</v>
      </c>
      <c r="F2630" s="1">
        <v>45007</v>
      </c>
      <c r="G2630" t="str">
        <f>"82077"</f>
        <v>82077</v>
      </c>
      <c r="H2630">
        <v>2</v>
      </c>
      <c r="I2630">
        <v>702</v>
      </c>
      <c r="J2630">
        <v>0</v>
      </c>
      <c r="K2630" t="str">
        <f t="shared" si="471"/>
        <v>802</v>
      </c>
      <c r="L2630">
        <v>680.94</v>
      </c>
    </row>
    <row r="2631" spans="1:12" x14ac:dyDescent="0.25">
      <c r="A2631" t="str">
        <f t="shared" si="470"/>
        <v>89301000</v>
      </c>
      <c r="B2631" t="str">
        <f t="shared" si="467"/>
        <v>10510000</v>
      </c>
      <c r="C2631" t="str">
        <f t="shared" si="468"/>
        <v>10510001</v>
      </c>
      <c r="D2631">
        <v>89301355</v>
      </c>
      <c r="E2631" t="str">
        <f>"7456045597"</f>
        <v>7456045597</v>
      </c>
      <c r="F2631" s="1">
        <v>45005</v>
      </c>
      <c r="G2631" t="str">
        <f>"82077"</f>
        <v>82077</v>
      </c>
      <c r="H2631">
        <v>1</v>
      </c>
      <c r="I2631">
        <v>351</v>
      </c>
      <c r="J2631">
        <v>0</v>
      </c>
      <c r="K2631" t="str">
        <f t="shared" si="471"/>
        <v>802</v>
      </c>
      <c r="L2631">
        <v>340.47</v>
      </c>
    </row>
    <row r="2632" spans="1:12" x14ac:dyDescent="0.25">
      <c r="A2632" t="str">
        <f t="shared" si="470"/>
        <v>89301000</v>
      </c>
      <c r="B2632" t="str">
        <f t="shared" si="467"/>
        <v>10510000</v>
      </c>
      <c r="C2632" t="str">
        <f t="shared" si="468"/>
        <v>10510001</v>
      </c>
      <c r="D2632">
        <v>89301171</v>
      </c>
      <c r="E2632" t="str">
        <f>"6359112034"</f>
        <v>6359112034</v>
      </c>
      <c r="F2632" s="1">
        <v>44992</v>
      </c>
      <c r="G2632" t="str">
        <f>"82041"</f>
        <v>82041</v>
      </c>
      <c r="H2632">
        <v>1</v>
      </c>
      <c r="I2632">
        <v>1096</v>
      </c>
      <c r="J2632">
        <v>0</v>
      </c>
      <c r="K2632" t="str">
        <f t="shared" si="471"/>
        <v>802</v>
      </c>
      <c r="L2632">
        <v>1063.1199999999999</v>
      </c>
    </row>
    <row r="2633" spans="1:12" x14ac:dyDescent="0.25">
      <c r="A2633" t="str">
        <f t="shared" si="470"/>
        <v>89301000</v>
      </c>
      <c r="B2633" t="str">
        <f t="shared" si="467"/>
        <v>10510000</v>
      </c>
      <c r="C2633" t="str">
        <f t="shared" si="468"/>
        <v>10510001</v>
      </c>
      <c r="D2633">
        <v>89301171</v>
      </c>
      <c r="E2633" t="str">
        <f>"6359112034"</f>
        <v>6359112034</v>
      </c>
      <c r="F2633" s="1">
        <v>44992</v>
      </c>
      <c r="G2633" t="str">
        <f>"82041"</f>
        <v>82041</v>
      </c>
      <c r="H2633">
        <v>1</v>
      </c>
      <c r="I2633">
        <v>1096</v>
      </c>
      <c r="J2633">
        <v>0</v>
      </c>
      <c r="K2633" t="str">
        <f t="shared" si="471"/>
        <v>802</v>
      </c>
      <c r="L2633">
        <v>1063.1199999999999</v>
      </c>
    </row>
    <row r="2634" spans="1:12" x14ac:dyDescent="0.25">
      <c r="A2634" t="str">
        <f t="shared" si="470"/>
        <v>89301000</v>
      </c>
      <c r="B2634" t="str">
        <f t="shared" si="467"/>
        <v>10510000</v>
      </c>
      <c r="C2634" t="str">
        <f t="shared" si="468"/>
        <v>10510001</v>
      </c>
      <c r="D2634">
        <v>89301171</v>
      </c>
      <c r="E2634" t="str">
        <f>"6359112034"</f>
        <v>6359112034</v>
      </c>
      <c r="F2634" s="1">
        <v>44992</v>
      </c>
      <c r="G2634" t="str">
        <f>"82034"</f>
        <v>82034</v>
      </c>
      <c r="H2634">
        <v>1</v>
      </c>
      <c r="I2634">
        <v>354</v>
      </c>
      <c r="J2634">
        <v>0</v>
      </c>
      <c r="K2634" t="str">
        <f t="shared" si="471"/>
        <v>802</v>
      </c>
      <c r="L2634">
        <v>343.38</v>
      </c>
    </row>
    <row r="2635" spans="1:12" x14ac:dyDescent="0.25">
      <c r="A2635" t="str">
        <f t="shared" si="470"/>
        <v>89301000</v>
      </c>
      <c r="B2635" t="str">
        <f t="shared" si="467"/>
        <v>10510000</v>
      </c>
      <c r="C2635" t="str">
        <f t="shared" si="468"/>
        <v>10510001</v>
      </c>
      <c r="D2635">
        <v>89301171</v>
      </c>
      <c r="E2635" t="str">
        <f>"9356214846"</f>
        <v>9356214846</v>
      </c>
      <c r="F2635" s="1">
        <v>44992</v>
      </c>
      <c r="G2635" t="str">
        <f>"82034"</f>
        <v>82034</v>
      </c>
      <c r="H2635">
        <v>1</v>
      </c>
      <c r="I2635">
        <v>354</v>
      </c>
      <c r="J2635">
        <v>0</v>
      </c>
      <c r="K2635" t="str">
        <f t="shared" si="471"/>
        <v>802</v>
      </c>
      <c r="L2635">
        <v>343.38</v>
      </c>
    </row>
    <row r="2636" spans="1:12" x14ac:dyDescent="0.25">
      <c r="A2636" t="str">
        <f t="shared" si="470"/>
        <v>89301000</v>
      </c>
      <c r="B2636" t="str">
        <f t="shared" si="467"/>
        <v>10510000</v>
      </c>
      <c r="C2636" t="str">
        <f t="shared" si="468"/>
        <v>10510001</v>
      </c>
      <c r="D2636">
        <v>89301171</v>
      </c>
      <c r="E2636" t="str">
        <f>"9356214846"</f>
        <v>9356214846</v>
      </c>
      <c r="F2636" s="1">
        <v>44992</v>
      </c>
      <c r="G2636" t="str">
        <f>"82041"</f>
        <v>82041</v>
      </c>
      <c r="H2636">
        <v>1</v>
      </c>
      <c r="I2636">
        <v>1096</v>
      </c>
      <c r="J2636">
        <v>0</v>
      </c>
      <c r="K2636" t="str">
        <f t="shared" si="471"/>
        <v>802</v>
      </c>
      <c r="L2636">
        <v>1063.1199999999999</v>
      </c>
    </row>
    <row r="2637" spans="1:12" x14ac:dyDescent="0.25">
      <c r="A2637" t="str">
        <f t="shared" si="470"/>
        <v>89301000</v>
      </c>
      <c r="B2637" t="str">
        <f t="shared" si="467"/>
        <v>10510000</v>
      </c>
      <c r="C2637" t="str">
        <f t="shared" si="468"/>
        <v>10510001</v>
      </c>
      <c r="D2637">
        <v>89301171</v>
      </c>
      <c r="E2637" t="str">
        <f>"9356214846"</f>
        <v>9356214846</v>
      </c>
      <c r="F2637" s="1">
        <v>44992</v>
      </c>
      <c r="G2637" t="str">
        <f>"82041"</f>
        <v>82041</v>
      </c>
      <c r="H2637">
        <v>1</v>
      </c>
      <c r="I2637">
        <v>1096</v>
      </c>
      <c r="J2637">
        <v>0</v>
      </c>
      <c r="K2637" t="str">
        <f t="shared" si="471"/>
        <v>802</v>
      </c>
      <c r="L2637">
        <v>1063.1199999999999</v>
      </c>
    </row>
    <row r="2638" spans="1:12" x14ac:dyDescent="0.25">
      <c r="A2638" t="str">
        <f t="shared" si="470"/>
        <v>89301000</v>
      </c>
      <c r="B2638" t="str">
        <f t="shared" si="467"/>
        <v>10510000</v>
      </c>
      <c r="C2638" t="str">
        <f t="shared" si="468"/>
        <v>10510001</v>
      </c>
      <c r="D2638">
        <v>89301171</v>
      </c>
      <c r="E2638" t="str">
        <f>"7704195378"</f>
        <v>7704195378</v>
      </c>
      <c r="F2638" s="1">
        <v>44992</v>
      </c>
      <c r="G2638" t="str">
        <f>"82041"</f>
        <v>82041</v>
      </c>
      <c r="H2638">
        <v>1</v>
      </c>
      <c r="I2638">
        <v>1096</v>
      </c>
      <c r="J2638">
        <v>0</v>
      </c>
      <c r="K2638" t="str">
        <f t="shared" si="471"/>
        <v>802</v>
      </c>
      <c r="L2638">
        <v>1063.1199999999999</v>
      </c>
    </row>
    <row r="2639" spans="1:12" x14ac:dyDescent="0.25">
      <c r="A2639" t="str">
        <f t="shared" si="470"/>
        <v>89301000</v>
      </c>
      <c r="B2639" t="str">
        <f t="shared" si="467"/>
        <v>10510000</v>
      </c>
      <c r="C2639" t="str">
        <f t="shared" si="468"/>
        <v>10510001</v>
      </c>
      <c r="D2639">
        <v>89301171</v>
      </c>
      <c r="E2639" t="str">
        <f>"7704195378"</f>
        <v>7704195378</v>
      </c>
      <c r="F2639" s="1">
        <v>44992</v>
      </c>
      <c r="G2639" t="str">
        <f>"82041"</f>
        <v>82041</v>
      </c>
      <c r="H2639">
        <v>1</v>
      </c>
      <c r="I2639">
        <v>1096</v>
      </c>
      <c r="J2639">
        <v>0</v>
      </c>
      <c r="K2639" t="str">
        <f t="shared" si="471"/>
        <v>802</v>
      </c>
      <c r="L2639">
        <v>1063.1199999999999</v>
      </c>
    </row>
    <row r="2640" spans="1:12" x14ac:dyDescent="0.25">
      <c r="A2640" t="str">
        <f t="shared" si="470"/>
        <v>89301000</v>
      </c>
      <c r="B2640" t="str">
        <f t="shared" si="467"/>
        <v>10510000</v>
      </c>
      <c r="C2640" t="str">
        <f t="shared" si="468"/>
        <v>10510001</v>
      </c>
      <c r="D2640">
        <v>89301171</v>
      </c>
      <c r="E2640" t="str">
        <f>"7704195378"</f>
        <v>7704195378</v>
      </c>
      <c r="F2640" s="1">
        <v>44992</v>
      </c>
      <c r="G2640" t="str">
        <f>"82034"</f>
        <v>82034</v>
      </c>
      <c r="H2640">
        <v>1</v>
      </c>
      <c r="I2640">
        <v>354</v>
      </c>
      <c r="J2640">
        <v>0</v>
      </c>
      <c r="K2640" t="str">
        <f t="shared" si="471"/>
        <v>802</v>
      </c>
      <c r="L2640">
        <v>343.38</v>
      </c>
    </row>
    <row r="2641" spans="1:12" x14ac:dyDescent="0.25">
      <c r="A2641" t="str">
        <f t="shared" si="470"/>
        <v>89301000</v>
      </c>
      <c r="B2641" t="str">
        <f t="shared" ref="B2641:B2673" si="472">"10510000"</f>
        <v>10510000</v>
      </c>
      <c r="C2641" t="str">
        <f t="shared" ref="C2641:C2673" si="473">"10510001"</f>
        <v>10510001</v>
      </c>
      <c r="D2641">
        <v>89301171</v>
      </c>
      <c r="E2641" t="str">
        <f>"0211185755"</f>
        <v>0211185755</v>
      </c>
      <c r="F2641" s="1">
        <v>44999</v>
      </c>
      <c r="G2641" t="str">
        <f>"82041"</f>
        <v>82041</v>
      </c>
      <c r="H2641">
        <v>1</v>
      </c>
      <c r="I2641">
        <v>1096</v>
      </c>
      <c r="J2641">
        <v>0</v>
      </c>
      <c r="K2641" t="str">
        <f t="shared" si="471"/>
        <v>802</v>
      </c>
      <c r="L2641">
        <v>1063.1199999999999</v>
      </c>
    </row>
    <row r="2642" spans="1:12" x14ac:dyDescent="0.25">
      <c r="A2642" t="str">
        <f t="shared" si="470"/>
        <v>89301000</v>
      </c>
      <c r="B2642" t="str">
        <f t="shared" si="472"/>
        <v>10510000</v>
      </c>
      <c r="C2642" t="str">
        <f t="shared" si="473"/>
        <v>10510001</v>
      </c>
      <c r="D2642">
        <v>89301171</v>
      </c>
      <c r="E2642" t="str">
        <f>"0211185755"</f>
        <v>0211185755</v>
      </c>
      <c r="F2642" s="1">
        <v>44999</v>
      </c>
      <c r="G2642" t="str">
        <f>"82041"</f>
        <v>82041</v>
      </c>
      <c r="H2642">
        <v>1</v>
      </c>
      <c r="I2642">
        <v>1096</v>
      </c>
      <c r="J2642">
        <v>0</v>
      </c>
      <c r="K2642" t="str">
        <f t="shared" si="471"/>
        <v>802</v>
      </c>
      <c r="L2642">
        <v>1063.1199999999999</v>
      </c>
    </row>
    <row r="2643" spans="1:12" x14ac:dyDescent="0.25">
      <c r="A2643" t="str">
        <f t="shared" si="470"/>
        <v>89301000</v>
      </c>
      <c r="B2643" t="str">
        <f t="shared" si="472"/>
        <v>10510000</v>
      </c>
      <c r="C2643" t="str">
        <f t="shared" si="473"/>
        <v>10510001</v>
      </c>
      <c r="D2643">
        <v>89301171</v>
      </c>
      <c r="E2643" t="str">
        <f>"0211185755"</f>
        <v>0211185755</v>
      </c>
      <c r="F2643" s="1">
        <v>44999</v>
      </c>
      <c r="G2643" t="str">
        <f>"82034"</f>
        <v>82034</v>
      </c>
      <c r="H2643">
        <v>1</v>
      </c>
      <c r="I2643">
        <v>354</v>
      </c>
      <c r="J2643">
        <v>0</v>
      </c>
      <c r="K2643" t="str">
        <f t="shared" si="471"/>
        <v>802</v>
      </c>
      <c r="L2643">
        <v>343.38</v>
      </c>
    </row>
    <row r="2644" spans="1:12" x14ac:dyDescent="0.25">
      <c r="A2644" t="str">
        <f t="shared" si="470"/>
        <v>89301000</v>
      </c>
      <c r="B2644" t="str">
        <f t="shared" si="472"/>
        <v>10510000</v>
      </c>
      <c r="C2644" t="str">
        <f t="shared" si="473"/>
        <v>10510001</v>
      </c>
      <c r="D2644">
        <v>89301171</v>
      </c>
      <c r="E2644" t="str">
        <f>"7962075396"</f>
        <v>7962075396</v>
      </c>
      <c r="F2644" s="1">
        <v>44999</v>
      </c>
      <c r="G2644" t="str">
        <f>"82041"</f>
        <v>82041</v>
      </c>
      <c r="H2644">
        <v>1</v>
      </c>
      <c r="I2644">
        <v>1096</v>
      </c>
      <c r="J2644">
        <v>0</v>
      </c>
      <c r="K2644" t="str">
        <f t="shared" si="471"/>
        <v>802</v>
      </c>
      <c r="L2644">
        <v>1063.1199999999999</v>
      </c>
    </row>
    <row r="2645" spans="1:12" x14ac:dyDescent="0.25">
      <c r="A2645" t="str">
        <f t="shared" si="470"/>
        <v>89301000</v>
      </c>
      <c r="B2645" t="str">
        <f t="shared" si="472"/>
        <v>10510000</v>
      </c>
      <c r="C2645" t="str">
        <f t="shared" si="473"/>
        <v>10510001</v>
      </c>
      <c r="D2645">
        <v>89301171</v>
      </c>
      <c r="E2645" t="str">
        <f>"7962075396"</f>
        <v>7962075396</v>
      </c>
      <c r="F2645" s="1">
        <v>44999</v>
      </c>
      <c r="G2645" t="str">
        <f>"82041"</f>
        <v>82041</v>
      </c>
      <c r="H2645">
        <v>1</v>
      </c>
      <c r="I2645">
        <v>1096</v>
      </c>
      <c r="J2645">
        <v>0</v>
      </c>
      <c r="K2645" t="str">
        <f t="shared" si="471"/>
        <v>802</v>
      </c>
      <c r="L2645">
        <v>1063.1199999999999</v>
      </c>
    </row>
    <row r="2646" spans="1:12" x14ac:dyDescent="0.25">
      <c r="A2646" t="str">
        <f t="shared" si="470"/>
        <v>89301000</v>
      </c>
      <c r="B2646" t="str">
        <f t="shared" si="472"/>
        <v>10510000</v>
      </c>
      <c r="C2646" t="str">
        <f t="shared" si="473"/>
        <v>10510001</v>
      </c>
      <c r="D2646">
        <v>89301171</v>
      </c>
      <c r="E2646" t="str">
        <f>"7962075396"</f>
        <v>7962075396</v>
      </c>
      <c r="F2646" s="1">
        <v>44999</v>
      </c>
      <c r="G2646" t="str">
        <f>"82034"</f>
        <v>82034</v>
      </c>
      <c r="H2646">
        <v>1</v>
      </c>
      <c r="I2646">
        <v>354</v>
      </c>
      <c r="J2646">
        <v>0</v>
      </c>
      <c r="K2646" t="str">
        <f t="shared" si="471"/>
        <v>802</v>
      </c>
      <c r="L2646">
        <v>343.38</v>
      </c>
    </row>
    <row r="2647" spans="1:12" x14ac:dyDescent="0.25">
      <c r="A2647" t="str">
        <f t="shared" si="470"/>
        <v>89301000</v>
      </c>
      <c r="B2647" t="str">
        <f t="shared" si="472"/>
        <v>10510000</v>
      </c>
      <c r="C2647" t="str">
        <f t="shared" si="473"/>
        <v>10510001</v>
      </c>
      <c r="D2647">
        <v>89301171</v>
      </c>
      <c r="E2647" t="str">
        <f>"9257285774"</f>
        <v>9257285774</v>
      </c>
      <c r="F2647" s="1">
        <v>44999</v>
      </c>
      <c r="G2647" t="str">
        <f>"82034"</f>
        <v>82034</v>
      </c>
      <c r="H2647">
        <v>1</v>
      </c>
      <c r="I2647">
        <v>354</v>
      </c>
      <c r="J2647">
        <v>0</v>
      </c>
      <c r="K2647" t="str">
        <f t="shared" si="471"/>
        <v>802</v>
      </c>
      <c r="L2647">
        <v>343.38</v>
      </c>
    </row>
    <row r="2648" spans="1:12" x14ac:dyDescent="0.25">
      <c r="A2648" t="str">
        <f t="shared" si="470"/>
        <v>89301000</v>
      </c>
      <c r="B2648" t="str">
        <f t="shared" si="472"/>
        <v>10510000</v>
      </c>
      <c r="C2648" t="str">
        <f t="shared" si="473"/>
        <v>10510001</v>
      </c>
      <c r="D2648">
        <v>89301171</v>
      </c>
      <c r="E2648" t="str">
        <f>"9257285774"</f>
        <v>9257285774</v>
      </c>
      <c r="F2648" s="1">
        <v>44999</v>
      </c>
      <c r="G2648" t="str">
        <f>"82041"</f>
        <v>82041</v>
      </c>
      <c r="H2648">
        <v>1</v>
      </c>
      <c r="I2648">
        <v>1096</v>
      </c>
      <c r="J2648">
        <v>0</v>
      </c>
      <c r="K2648" t="str">
        <f t="shared" si="471"/>
        <v>802</v>
      </c>
      <c r="L2648">
        <v>1063.1199999999999</v>
      </c>
    </row>
    <row r="2649" spans="1:12" x14ac:dyDescent="0.25">
      <c r="A2649" t="str">
        <f t="shared" si="470"/>
        <v>89301000</v>
      </c>
      <c r="B2649" t="str">
        <f t="shared" si="472"/>
        <v>10510000</v>
      </c>
      <c r="C2649" t="str">
        <f t="shared" si="473"/>
        <v>10510001</v>
      </c>
      <c r="D2649">
        <v>89301171</v>
      </c>
      <c r="E2649" t="str">
        <f>"9257285774"</f>
        <v>9257285774</v>
      </c>
      <c r="F2649" s="1">
        <v>44999</v>
      </c>
      <c r="G2649" t="str">
        <f>"82041"</f>
        <v>82041</v>
      </c>
      <c r="H2649">
        <v>1</v>
      </c>
      <c r="I2649">
        <v>1096</v>
      </c>
      <c r="J2649">
        <v>0</v>
      </c>
      <c r="K2649" t="str">
        <f t="shared" si="471"/>
        <v>802</v>
      </c>
      <c r="L2649">
        <v>1063.1199999999999</v>
      </c>
    </row>
    <row r="2650" spans="1:12" x14ac:dyDescent="0.25">
      <c r="A2650" t="str">
        <f t="shared" si="470"/>
        <v>89301000</v>
      </c>
      <c r="B2650" t="str">
        <f t="shared" si="472"/>
        <v>10510000</v>
      </c>
      <c r="C2650" t="str">
        <f t="shared" si="473"/>
        <v>10510001</v>
      </c>
      <c r="D2650">
        <v>89301171</v>
      </c>
      <c r="E2650" t="str">
        <f>"7806225317"</f>
        <v>7806225317</v>
      </c>
      <c r="F2650" s="1">
        <v>45007</v>
      </c>
      <c r="G2650" t="str">
        <f>"82034"</f>
        <v>82034</v>
      </c>
      <c r="H2650">
        <v>1</v>
      </c>
      <c r="I2650">
        <v>354</v>
      </c>
      <c r="J2650">
        <v>0</v>
      </c>
      <c r="K2650" t="str">
        <f t="shared" si="471"/>
        <v>802</v>
      </c>
      <c r="L2650">
        <v>343.38</v>
      </c>
    </row>
    <row r="2651" spans="1:12" x14ac:dyDescent="0.25">
      <c r="A2651" t="str">
        <f t="shared" si="470"/>
        <v>89301000</v>
      </c>
      <c r="B2651" t="str">
        <f t="shared" si="472"/>
        <v>10510000</v>
      </c>
      <c r="C2651" t="str">
        <f t="shared" si="473"/>
        <v>10510001</v>
      </c>
      <c r="D2651">
        <v>89301171</v>
      </c>
      <c r="E2651" t="str">
        <f>"7806225317"</f>
        <v>7806225317</v>
      </c>
      <c r="F2651" s="1">
        <v>45007</v>
      </c>
      <c r="G2651" t="str">
        <f>"82041"</f>
        <v>82041</v>
      </c>
      <c r="H2651">
        <v>1</v>
      </c>
      <c r="I2651">
        <v>1096</v>
      </c>
      <c r="J2651">
        <v>0</v>
      </c>
      <c r="K2651" t="str">
        <f t="shared" si="471"/>
        <v>802</v>
      </c>
      <c r="L2651">
        <v>1063.1199999999999</v>
      </c>
    </row>
    <row r="2652" spans="1:12" x14ac:dyDescent="0.25">
      <c r="A2652" t="str">
        <f t="shared" si="470"/>
        <v>89301000</v>
      </c>
      <c r="B2652" t="str">
        <f t="shared" si="472"/>
        <v>10510000</v>
      </c>
      <c r="C2652" t="str">
        <f t="shared" si="473"/>
        <v>10510001</v>
      </c>
      <c r="D2652">
        <v>89301171</v>
      </c>
      <c r="E2652" t="str">
        <f>"7806225317"</f>
        <v>7806225317</v>
      </c>
      <c r="F2652" s="1">
        <v>45007</v>
      </c>
      <c r="G2652" t="str">
        <f>"82041"</f>
        <v>82041</v>
      </c>
      <c r="H2652">
        <v>1</v>
      </c>
      <c r="I2652">
        <v>1096</v>
      </c>
      <c r="J2652">
        <v>0</v>
      </c>
      <c r="K2652" t="str">
        <f t="shared" si="471"/>
        <v>802</v>
      </c>
      <c r="L2652">
        <v>1063.1199999999999</v>
      </c>
    </row>
    <row r="2653" spans="1:12" x14ac:dyDescent="0.25">
      <c r="A2653" t="str">
        <f t="shared" si="470"/>
        <v>89301000</v>
      </c>
      <c r="B2653" t="str">
        <f t="shared" si="472"/>
        <v>10510000</v>
      </c>
      <c r="C2653" t="str">
        <f t="shared" si="473"/>
        <v>10510001</v>
      </c>
      <c r="D2653">
        <v>89301171</v>
      </c>
      <c r="E2653" t="str">
        <f>"8552025768"</f>
        <v>8552025768</v>
      </c>
      <c r="F2653" s="1">
        <v>45007</v>
      </c>
      <c r="G2653" t="str">
        <f>"82041"</f>
        <v>82041</v>
      </c>
      <c r="H2653">
        <v>1</v>
      </c>
      <c r="I2653">
        <v>1096</v>
      </c>
      <c r="J2653">
        <v>0</v>
      </c>
      <c r="K2653" t="str">
        <f t="shared" si="471"/>
        <v>802</v>
      </c>
      <c r="L2653">
        <v>1063.1199999999999</v>
      </c>
    </row>
    <row r="2654" spans="1:12" x14ac:dyDescent="0.25">
      <c r="A2654" t="str">
        <f t="shared" si="470"/>
        <v>89301000</v>
      </c>
      <c r="B2654" t="str">
        <f t="shared" si="472"/>
        <v>10510000</v>
      </c>
      <c r="C2654" t="str">
        <f t="shared" si="473"/>
        <v>10510001</v>
      </c>
      <c r="D2654">
        <v>89301171</v>
      </c>
      <c r="E2654" t="str">
        <f>"8552025768"</f>
        <v>8552025768</v>
      </c>
      <c r="F2654" s="1">
        <v>45007</v>
      </c>
      <c r="G2654" t="str">
        <f>"82041"</f>
        <v>82041</v>
      </c>
      <c r="H2654">
        <v>1</v>
      </c>
      <c r="I2654">
        <v>1096</v>
      </c>
      <c r="J2654">
        <v>0</v>
      </c>
      <c r="K2654" t="str">
        <f t="shared" si="471"/>
        <v>802</v>
      </c>
      <c r="L2654">
        <v>1063.1199999999999</v>
      </c>
    </row>
    <row r="2655" spans="1:12" x14ac:dyDescent="0.25">
      <c r="A2655" t="str">
        <f t="shared" si="470"/>
        <v>89301000</v>
      </c>
      <c r="B2655" t="str">
        <f t="shared" si="472"/>
        <v>10510000</v>
      </c>
      <c r="C2655" t="str">
        <f t="shared" si="473"/>
        <v>10510001</v>
      </c>
      <c r="D2655">
        <v>89301171</v>
      </c>
      <c r="E2655" t="str">
        <f>"8552025768"</f>
        <v>8552025768</v>
      </c>
      <c r="F2655" s="1">
        <v>45007</v>
      </c>
      <c r="G2655" t="str">
        <f>"82034"</f>
        <v>82034</v>
      </c>
      <c r="H2655">
        <v>1</v>
      </c>
      <c r="I2655">
        <v>354</v>
      </c>
      <c r="J2655">
        <v>0</v>
      </c>
      <c r="K2655" t="str">
        <f t="shared" si="471"/>
        <v>802</v>
      </c>
      <c r="L2655">
        <v>343.38</v>
      </c>
    </row>
    <row r="2656" spans="1:12" x14ac:dyDescent="0.25">
      <c r="A2656" t="str">
        <f t="shared" si="470"/>
        <v>89301000</v>
      </c>
      <c r="B2656" t="str">
        <f t="shared" si="472"/>
        <v>10510000</v>
      </c>
      <c r="C2656" t="str">
        <f t="shared" si="473"/>
        <v>10510001</v>
      </c>
      <c r="D2656">
        <v>89301171</v>
      </c>
      <c r="E2656" t="str">
        <f>"8203274475"</f>
        <v>8203274475</v>
      </c>
      <c r="F2656" s="1">
        <v>45007</v>
      </c>
      <c r="G2656" t="str">
        <f>"82034"</f>
        <v>82034</v>
      </c>
      <c r="H2656">
        <v>1</v>
      </c>
      <c r="I2656">
        <v>354</v>
      </c>
      <c r="J2656">
        <v>0</v>
      </c>
      <c r="K2656" t="str">
        <f t="shared" si="471"/>
        <v>802</v>
      </c>
      <c r="L2656">
        <v>343.38</v>
      </c>
    </row>
    <row r="2657" spans="1:12" x14ac:dyDescent="0.25">
      <c r="A2657" t="str">
        <f t="shared" si="470"/>
        <v>89301000</v>
      </c>
      <c r="B2657" t="str">
        <f t="shared" si="472"/>
        <v>10510000</v>
      </c>
      <c r="C2657" t="str">
        <f t="shared" si="473"/>
        <v>10510001</v>
      </c>
      <c r="D2657">
        <v>89301171</v>
      </c>
      <c r="E2657" t="str">
        <f>"8203274475"</f>
        <v>8203274475</v>
      </c>
      <c r="F2657" s="1">
        <v>45007</v>
      </c>
      <c r="G2657" t="str">
        <f>"82041"</f>
        <v>82041</v>
      </c>
      <c r="H2657">
        <v>1</v>
      </c>
      <c r="I2657">
        <v>1096</v>
      </c>
      <c r="J2657">
        <v>0</v>
      </c>
      <c r="K2657" t="str">
        <f t="shared" si="471"/>
        <v>802</v>
      </c>
      <c r="L2657">
        <v>1063.1199999999999</v>
      </c>
    </row>
    <row r="2658" spans="1:12" x14ac:dyDescent="0.25">
      <c r="A2658" t="str">
        <f t="shared" si="470"/>
        <v>89301000</v>
      </c>
      <c r="B2658" t="str">
        <f t="shared" si="472"/>
        <v>10510000</v>
      </c>
      <c r="C2658" t="str">
        <f t="shared" si="473"/>
        <v>10510001</v>
      </c>
      <c r="D2658">
        <v>89301171</v>
      </c>
      <c r="E2658" t="str">
        <f>"8203274475"</f>
        <v>8203274475</v>
      </c>
      <c r="F2658" s="1">
        <v>45007</v>
      </c>
      <c r="G2658" t="str">
        <f>"82041"</f>
        <v>82041</v>
      </c>
      <c r="H2658">
        <v>1</v>
      </c>
      <c r="I2658">
        <v>1096</v>
      </c>
      <c r="J2658">
        <v>0</v>
      </c>
      <c r="K2658" t="str">
        <f t="shared" si="471"/>
        <v>802</v>
      </c>
      <c r="L2658">
        <v>1063.1199999999999</v>
      </c>
    </row>
    <row r="2659" spans="1:12" x14ac:dyDescent="0.25">
      <c r="A2659" t="str">
        <f t="shared" si="470"/>
        <v>89301000</v>
      </c>
      <c r="B2659" t="str">
        <f t="shared" si="472"/>
        <v>10510000</v>
      </c>
      <c r="C2659" t="str">
        <f t="shared" si="473"/>
        <v>10510001</v>
      </c>
      <c r="D2659">
        <v>89301171</v>
      </c>
      <c r="E2659" t="str">
        <f>"8160155333"</f>
        <v>8160155333</v>
      </c>
      <c r="F2659" s="1">
        <v>45007</v>
      </c>
      <c r="G2659" t="str">
        <f>"82041"</f>
        <v>82041</v>
      </c>
      <c r="H2659">
        <v>1</v>
      </c>
      <c r="I2659">
        <v>1096</v>
      </c>
      <c r="J2659">
        <v>0</v>
      </c>
      <c r="K2659" t="str">
        <f t="shared" si="471"/>
        <v>802</v>
      </c>
      <c r="L2659">
        <v>1063.1199999999999</v>
      </c>
    </row>
    <row r="2660" spans="1:12" x14ac:dyDescent="0.25">
      <c r="A2660" t="str">
        <f t="shared" si="470"/>
        <v>89301000</v>
      </c>
      <c r="B2660" t="str">
        <f t="shared" si="472"/>
        <v>10510000</v>
      </c>
      <c r="C2660" t="str">
        <f t="shared" si="473"/>
        <v>10510001</v>
      </c>
      <c r="D2660">
        <v>89301171</v>
      </c>
      <c r="E2660" t="str">
        <f>"8160155333"</f>
        <v>8160155333</v>
      </c>
      <c r="F2660" s="1">
        <v>45007</v>
      </c>
      <c r="G2660" t="str">
        <f>"82041"</f>
        <v>82041</v>
      </c>
      <c r="H2660">
        <v>1</v>
      </c>
      <c r="I2660">
        <v>1096</v>
      </c>
      <c r="J2660">
        <v>0</v>
      </c>
      <c r="K2660" t="str">
        <f t="shared" si="471"/>
        <v>802</v>
      </c>
      <c r="L2660">
        <v>1063.1199999999999</v>
      </c>
    </row>
    <row r="2661" spans="1:12" x14ac:dyDescent="0.25">
      <c r="A2661" t="str">
        <f t="shared" si="470"/>
        <v>89301000</v>
      </c>
      <c r="B2661" t="str">
        <f t="shared" si="472"/>
        <v>10510000</v>
      </c>
      <c r="C2661" t="str">
        <f t="shared" si="473"/>
        <v>10510001</v>
      </c>
      <c r="D2661">
        <v>89301171</v>
      </c>
      <c r="E2661" t="str">
        <f>"8160155333"</f>
        <v>8160155333</v>
      </c>
      <c r="F2661" s="1">
        <v>45007</v>
      </c>
      <c r="G2661" t="str">
        <f>"82034"</f>
        <v>82034</v>
      </c>
      <c r="H2661">
        <v>1</v>
      </c>
      <c r="I2661">
        <v>354</v>
      </c>
      <c r="J2661">
        <v>0</v>
      </c>
      <c r="K2661" t="str">
        <f t="shared" ref="K2661:K2673" si="474">"802"</f>
        <v>802</v>
      </c>
      <c r="L2661">
        <v>343.38</v>
      </c>
    </row>
    <row r="2662" spans="1:12" x14ac:dyDescent="0.25">
      <c r="A2662" t="str">
        <f t="shared" si="470"/>
        <v>89301000</v>
      </c>
      <c r="B2662" t="str">
        <f t="shared" si="472"/>
        <v>10510000</v>
      </c>
      <c r="C2662" t="str">
        <f t="shared" si="473"/>
        <v>10510001</v>
      </c>
      <c r="D2662">
        <v>89301171</v>
      </c>
      <c r="E2662" t="str">
        <f>"6456070258"</f>
        <v>6456070258</v>
      </c>
      <c r="F2662" s="1">
        <v>45007</v>
      </c>
      <c r="G2662" t="str">
        <f>"82034"</f>
        <v>82034</v>
      </c>
      <c r="H2662">
        <v>1</v>
      </c>
      <c r="I2662">
        <v>354</v>
      </c>
      <c r="J2662">
        <v>0</v>
      </c>
      <c r="K2662" t="str">
        <f t="shared" si="474"/>
        <v>802</v>
      </c>
      <c r="L2662">
        <v>343.38</v>
      </c>
    </row>
    <row r="2663" spans="1:12" x14ac:dyDescent="0.25">
      <c r="A2663" t="str">
        <f t="shared" si="470"/>
        <v>89301000</v>
      </c>
      <c r="B2663" t="str">
        <f t="shared" si="472"/>
        <v>10510000</v>
      </c>
      <c r="C2663" t="str">
        <f t="shared" si="473"/>
        <v>10510001</v>
      </c>
      <c r="D2663">
        <v>89301171</v>
      </c>
      <c r="E2663" t="str">
        <f>"6456070258"</f>
        <v>6456070258</v>
      </c>
      <c r="F2663" s="1">
        <v>45007</v>
      </c>
      <c r="G2663" t="str">
        <f>"82041"</f>
        <v>82041</v>
      </c>
      <c r="H2663">
        <v>1</v>
      </c>
      <c r="I2663">
        <v>1096</v>
      </c>
      <c r="J2663">
        <v>0</v>
      </c>
      <c r="K2663" t="str">
        <f t="shared" si="474"/>
        <v>802</v>
      </c>
      <c r="L2663">
        <v>1063.1199999999999</v>
      </c>
    </row>
    <row r="2664" spans="1:12" x14ac:dyDescent="0.25">
      <c r="A2664" t="str">
        <f t="shared" si="470"/>
        <v>89301000</v>
      </c>
      <c r="B2664" t="str">
        <f t="shared" si="472"/>
        <v>10510000</v>
      </c>
      <c r="C2664" t="str">
        <f t="shared" si="473"/>
        <v>10510001</v>
      </c>
      <c r="D2664">
        <v>89301171</v>
      </c>
      <c r="E2664" t="str">
        <f>"6456070258"</f>
        <v>6456070258</v>
      </c>
      <c r="F2664" s="1">
        <v>45007</v>
      </c>
      <c r="G2664" t="str">
        <f>"82041"</f>
        <v>82041</v>
      </c>
      <c r="H2664">
        <v>1</v>
      </c>
      <c r="I2664">
        <v>1096</v>
      </c>
      <c r="J2664">
        <v>0</v>
      </c>
      <c r="K2664" t="str">
        <f t="shared" si="474"/>
        <v>802</v>
      </c>
      <c r="L2664">
        <v>1063.1199999999999</v>
      </c>
    </row>
    <row r="2665" spans="1:12" x14ac:dyDescent="0.25">
      <c r="A2665" t="str">
        <f t="shared" si="470"/>
        <v>89301000</v>
      </c>
      <c r="B2665" t="str">
        <f t="shared" si="472"/>
        <v>10510000</v>
      </c>
      <c r="C2665" t="str">
        <f t="shared" si="473"/>
        <v>10510001</v>
      </c>
      <c r="D2665">
        <v>89301171</v>
      </c>
      <c r="E2665" t="str">
        <f>"7858175336"</f>
        <v>7858175336</v>
      </c>
      <c r="F2665" s="1">
        <v>45013</v>
      </c>
      <c r="G2665" t="str">
        <f>"82034"</f>
        <v>82034</v>
      </c>
      <c r="H2665">
        <v>1</v>
      </c>
      <c r="I2665">
        <v>354</v>
      </c>
      <c r="J2665">
        <v>0</v>
      </c>
      <c r="K2665" t="str">
        <f t="shared" si="474"/>
        <v>802</v>
      </c>
      <c r="L2665">
        <v>343.38</v>
      </c>
    </row>
    <row r="2666" spans="1:12" x14ac:dyDescent="0.25">
      <c r="A2666" t="str">
        <f t="shared" si="470"/>
        <v>89301000</v>
      </c>
      <c r="B2666" t="str">
        <f t="shared" si="472"/>
        <v>10510000</v>
      </c>
      <c r="C2666" t="str">
        <f t="shared" si="473"/>
        <v>10510001</v>
      </c>
      <c r="D2666">
        <v>89301171</v>
      </c>
      <c r="E2666" t="str">
        <f>"7858175336"</f>
        <v>7858175336</v>
      </c>
      <c r="F2666" s="1">
        <v>45013</v>
      </c>
      <c r="G2666" t="str">
        <f>"82041"</f>
        <v>82041</v>
      </c>
      <c r="H2666">
        <v>1</v>
      </c>
      <c r="I2666">
        <v>1096</v>
      </c>
      <c r="J2666">
        <v>0</v>
      </c>
      <c r="K2666" t="str">
        <f t="shared" si="474"/>
        <v>802</v>
      </c>
      <c r="L2666">
        <v>1063.1199999999999</v>
      </c>
    </row>
    <row r="2667" spans="1:12" x14ac:dyDescent="0.25">
      <c r="A2667" t="str">
        <f t="shared" si="470"/>
        <v>89301000</v>
      </c>
      <c r="B2667" t="str">
        <f t="shared" si="472"/>
        <v>10510000</v>
      </c>
      <c r="C2667" t="str">
        <f t="shared" si="473"/>
        <v>10510001</v>
      </c>
      <c r="D2667">
        <v>89301171</v>
      </c>
      <c r="E2667" t="str">
        <f>"7858175336"</f>
        <v>7858175336</v>
      </c>
      <c r="F2667" s="1">
        <v>45013</v>
      </c>
      <c r="G2667" t="str">
        <f>"82041"</f>
        <v>82041</v>
      </c>
      <c r="H2667">
        <v>1</v>
      </c>
      <c r="I2667">
        <v>1096</v>
      </c>
      <c r="J2667">
        <v>0</v>
      </c>
      <c r="K2667" t="str">
        <f t="shared" si="474"/>
        <v>802</v>
      </c>
      <c r="L2667">
        <v>1063.1199999999999</v>
      </c>
    </row>
    <row r="2668" spans="1:12" x14ac:dyDescent="0.25">
      <c r="A2668" t="str">
        <f t="shared" si="470"/>
        <v>89301000</v>
      </c>
      <c r="B2668" t="str">
        <f t="shared" si="472"/>
        <v>10510000</v>
      </c>
      <c r="C2668" t="str">
        <f t="shared" si="473"/>
        <v>10510001</v>
      </c>
      <c r="D2668">
        <v>89301171</v>
      </c>
      <c r="E2668" t="str">
        <f>"7962075363"</f>
        <v>7962075363</v>
      </c>
      <c r="F2668" s="1">
        <v>45013</v>
      </c>
      <c r="G2668" t="str">
        <f>"82041"</f>
        <v>82041</v>
      </c>
      <c r="H2668">
        <v>1</v>
      </c>
      <c r="I2668">
        <v>1096</v>
      </c>
      <c r="J2668">
        <v>0</v>
      </c>
      <c r="K2668" t="str">
        <f t="shared" si="474"/>
        <v>802</v>
      </c>
      <c r="L2668">
        <v>1063.1199999999999</v>
      </c>
    </row>
    <row r="2669" spans="1:12" x14ac:dyDescent="0.25">
      <c r="A2669" t="str">
        <f t="shared" si="470"/>
        <v>89301000</v>
      </c>
      <c r="B2669" t="str">
        <f t="shared" si="472"/>
        <v>10510000</v>
      </c>
      <c r="C2669" t="str">
        <f t="shared" si="473"/>
        <v>10510001</v>
      </c>
      <c r="D2669">
        <v>89301171</v>
      </c>
      <c r="E2669" t="str">
        <f>"7962075363"</f>
        <v>7962075363</v>
      </c>
      <c r="F2669" s="1">
        <v>45013</v>
      </c>
      <c r="G2669" t="str">
        <f>"82041"</f>
        <v>82041</v>
      </c>
      <c r="H2669">
        <v>1</v>
      </c>
      <c r="I2669">
        <v>1096</v>
      </c>
      <c r="J2669">
        <v>0</v>
      </c>
      <c r="K2669" t="str">
        <f t="shared" si="474"/>
        <v>802</v>
      </c>
      <c r="L2669">
        <v>1063.1199999999999</v>
      </c>
    </row>
    <row r="2670" spans="1:12" x14ac:dyDescent="0.25">
      <c r="A2670" t="str">
        <f t="shared" si="470"/>
        <v>89301000</v>
      </c>
      <c r="B2670" t="str">
        <f t="shared" si="472"/>
        <v>10510000</v>
      </c>
      <c r="C2670" t="str">
        <f t="shared" si="473"/>
        <v>10510001</v>
      </c>
      <c r="D2670">
        <v>89301171</v>
      </c>
      <c r="E2670" t="str">
        <f>"7962075363"</f>
        <v>7962075363</v>
      </c>
      <c r="F2670" s="1">
        <v>45013</v>
      </c>
      <c r="G2670" t="str">
        <f>"82034"</f>
        <v>82034</v>
      </c>
      <c r="H2670">
        <v>1</v>
      </c>
      <c r="I2670">
        <v>354</v>
      </c>
      <c r="J2670">
        <v>0</v>
      </c>
      <c r="K2670" t="str">
        <f t="shared" si="474"/>
        <v>802</v>
      </c>
      <c r="L2670">
        <v>343.38</v>
      </c>
    </row>
    <row r="2671" spans="1:12" x14ac:dyDescent="0.25">
      <c r="A2671" t="str">
        <f t="shared" si="470"/>
        <v>89301000</v>
      </c>
      <c r="B2671" t="str">
        <f t="shared" si="472"/>
        <v>10510000</v>
      </c>
      <c r="C2671" t="str">
        <f t="shared" si="473"/>
        <v>10510001</v>
      </c>
      <c r="D2671">
        <v>89301171</v>
      </c>
      <c r="E2671" t="str">
        <f>"9451245727"</f>
        <v>9451245727</v>
      </c>
      <c r="F2671" s="1">
        <v>45013</v>
      </c>
      <c r="G2671" t="str">
        <f>"82034"</f>
        <v>82034</v>
      </c>
      <c r="H2671">
        <v>1</v>
      </c>
      <c r="I2671">
        <v>354</v>
      </c>
      <c r="J2671">
        <v>0</v>
      </c>
      <c r="K2671" t="str">
        <f t="shared" si="474"/>
        <v>802</v>
      </c>
      <c r="L2671">
        <v>343.38</v>
      </c>
    </row>
    <row r="2672" spans="1:12" x14ac:dyDescent="0.25">
      <c r="A2672" t="str">
        <f t="shared" si="470"/>
        <v>89301000</v>
      </c>
      <c r="B2672" t="str">
        <f t="shared" si="472"/>
        <v>10510000</v>
      </c>
      <c r="C2672" t="str">
        <f t="shared" si="473"/>
        <v>10510001</v>
      </c>
      <c r="D2672">
        <v>89301171</v>
      </c>
      <c r="E2672" t="str">
        <f>"9451245727"</f>
        <v>9451245727</v>
      </c>
      <c r="F2672" s="1">
        <v>45013</v>
      </c>
      <c r="G2672" t="str">
        <f>"82041"</f>
        <v>82041</v>
      </c>
      <c r="H2672">
        <v>1</v>
      </c>
      <c r="I2672">
        <v>1096</v>
      </c>
      <c r="J2672">
        <v>0</v>
      </c>
      <c r="K2672" t="str">
        <f t="shared" si="474"/>
        <v>802</v>
      </c>
      <c r="L2672">
        <v>1063.1199999999999</v>
      </c>
    </row>
    <row r="2673" spans="1:12" x14ac:dyDescent="0.25">
      <c r="A2673" t="str">
        <f t="shared" si="470"/>
        <v>89301000</v>
      </c>
      <c r="B2673" t="str">
        <f t="shared" si="472"/>
        <v>10510000</v>
      </c>
      <c r="C2673" t="str">
        <f t="shared" si="473"/>
        <v>10510001</v>
      </c>
      <c r="D2673">
        <v>89301171</v>
      </c>
      <c r="E2673" t="str">
        <f>"9451245727"</f>
        <v>9451245727</v>
      </c>
      <c r="F2673" s="1">
        <v>45013</v>
      </c>
      <c r="G2673" t="str">
        <f>"82041"</f>
        <v>82041</v>
      </c>
      <c r="H2673">
        <v>1</v>
      </c>
      <c r="I2673">
        <v>1096</v>
      </c>
      <c r="J2673">
        <v>0</v>
      </c>
      <c r="K2673" t="str">
        <f t="shared" si="474"/>
        <v>802</v>
      </c>
      <c r="L2673">
        <v>1063.1199999999999</v>
      </c>
    </row>
    <row r="2674" spans="1:12" x14ac:dyDescent="0.25">
      <c r="A2674" t="str">
        <f t="shared" si="470"/>
        <v>89301000</v>
      </c>
      <c r="B2674" t="str">
        <f>"78934000"</f>
        <v>78934000</v>
      </c>
      <c r="C2674" t="str">
        <f>"78934001"</f>
        <v>78934001</v>
      </c>
      <c r="D2674">
        <v>89301322</v>
      </c>
      <c r="E2674" t="str">
        <f>"525530255"</f>
        <v>525530255</v>
      </c>
      <c r="F2674" s="1">
        <v>44987</v>
      </c>
      <c r="G2674" t="str">
        <f>"89513"</f>
        <v>89513</v>
      </c>
      <c r="H2674">
        <v>1</v>
      </c>
      <c r="I2674">
        <v>378</v>
      </c>
      <c r="J2674">
        <v>0</v>
      </c>
      <c r="K2674" t="str">
        <f>"809"</f>
        <v>809</v>
      </c>
      <c r="L2674">
        <v>555.66</v>
      </c>
    </row>
    <row r="2675" spans="1:12" x14ac:dyDescent="0.25">
      <c r="A2675" t="str">
        <f t="shared" si="470"/>
        <v>89301000</v>
      </c>
      <c r="B2675" t="str">
        <f>"78934000"</f>
        <v>78934000</v>
      </c>
      <c r="C2675" t="str">
        <f>"78934001"</f>
        <v>78934001</v>
      </c>
      <c r="D2675">
        <v>89301322</v>
      </c>
      <c r="E2675" t="str">
        <f>"525530255"</f>
        <v>525530255</v>
      </c>
      <c r="F2675" s="1">
        <v>44987</v>
      </c>
      <c r="G2675" t="str">
        <f>"89514"</f>
        <v>89514</v>
      </c>
      <c r="H2675">
        <v>1</v>
      </c>
      <c r="I2675">
        <v>378</v>
      </c>
      <c r="J2675">
        <v>0</v>
      </c>
      <c r="K2675" t="str">
        <f>"809"</f>
        <v>809</v>
      </c>
      <c r="L2675">
        <v>555.66</v>
      </c>
    </row>
    <row r="2676" spans="1:12" x14ac:dyDescent="0.25">
      <c r="A2676" t="str">
        <f t="shared" si="470"/>
        <v>89301000</v>
      </c>
      <c r="B2676" t="str">
        <f>"78934000"</f>
        <v>78934000</v>
      </c>
      <c r="C2676" t="str">
        <f>"78934001"</f>
        <v>78934001</v>
      </c>
      <c r="D2676">
        <v>89301201</v>
      </c>
      <c r="E2676" t="str">
        <f>"5657040499"</f>
        <v>5657040499</v>
      </c>
      <c r="F2676" s="1">
        <v>44994</v>
      </c>
      <c r="G2676" t="str">
        <f>"89513"</f>
        <v>89513</v>
      </c>
      <c r="H2676">
        <v>1</v>
      </c>
      <c r="I2676">
        <v>378</v>
      </c>
      <c r="J2676">
        <v>0</v>
      </c>
      <c r="K2676" t="str">
        <f>"809"</f>
        <v>809</v>
      </c>
      <c r="L2676">
        <v>555.66</v>
      </c>
    </row>
    <row r="2677" spans="1:12" x14ac:dyDescent="0.25">
      <c r="A2677" t="str">
        <f t="shared" si="470"/>
        <v>89301000</v>
      </c>
      <c r="B2677" t="str">
        <f>"78934000"</f>
        <v>78934000</v>
      </c>
      <c r="C2677" t="str">
        <f>"78934001"</f>
        <v>78934001</v>
      </c>
      <c r="D2677">
        <v>89301201</v>
      </c>
      <c r="E2677" t="str">
        <f>"5657040499"</f>
        <v>5657040499</v>
      </c>
      <c r="F2677" s="1">
        <v>44994</v>
      </c>
      <c r="G2677" t="str">
        <f>"89514"</f>
        <v>89514</v>
      </c>
      <c r="H2677">
        <v>1</v>
      </c>
      <c r="I2677">
        <v>378</v>
      </c>
      <c r="J2677">
        <v>0</v>
      </c>
      <c r="K2677" t="str">
        <f>"809"</f>
        <v>809</v>
      </c>
      <c r="L2677">
        <v>555.66</v>
      </c>
    </row>
    <row r="2678" spans="1:12" x14ac:dyDescent="0.25">
      <c r="A2678" t="str">
        <f t="shared" si="470"/>
        <v>89301000</v>
      </c>
      <c r="B2678" t="str">
        <f t="shared" ref="B2678:B2688" si="475">"02004000"</f>
        <v>02004000</v>
      </c>
      <c r="C2678" t="str">
        <f>"02004556"</f>
        <v>02004556</v>
      </c>
      <c r="D2678">
        <v>89301102</v>
      </c>
      <c r="E2678" t="str">
        <f>"1754070054"</f>
        <v>1754070054</v>
      </c>
      <c r="F2678" s="1">
        <v>44987</v>
      </c>
      <c r="G2678" t="str">
        <f>"91249"</f>
        <v>91249</v>
      </c>
      <c r="H2678">
        <v>1</v>
      </c>
      <c r="I2678">
        <v>1495</v>
      </c>
      <c r="J2678">
        <v>0</v>
      </c>
      <c r="K2678" t="str">
        <f>"813"</f>
        <v>813</v>
      </c>
      <c r="L2678">
        <v>1255.8</v>
      </c>
    </row>
    <row r="2679" spans="1:12" x14ac:dyDescent="0.25">
      <c r="A2679" t="str">
        <f t="shared" si="470"/>
        <v>89301000</v>
      </c>
      <c r="B2679" t="str">
        <f t="shared" si="475"/>
        <v>02004000</v>
      </c>
      <c r="C2679" t="str">
        <f>"02004556"</f>
        <v>02004556</v>
      </c>
      <c r="D2679">
        <v>89301102</v>
      </c>
      <c r="E2679" t="str">
        <f>"1754070054"</f>
        <v>1754070054</v>
      </c>
      <c r="F2679" s="1">
        <v>44987</v>
      </c>
      <c r="G2679" t="str">
        <f>"91251"</f>
        <v>91251</v>
      </c>
      <c r="H2679">
        <v>1</v>
      </c>
      <c r="I2679">
        <v>1495</v>
      </c>
      <c r="J2679">
        <v>0</v>
      </c>
      <c r="K2679" t="str">
        <f>"813"</f>
        <v>813</v>
      </c>
      <c r="L2679">
        <v>1255.8</v>
      </c>
    </row>
    <row r="2680" spans="1:12" x14ac:dyDescent="0.25">
      <c r="A2680" t="str">
        <f t="shared" si="470"/>
        <v>89301000</v>
      </c>
      <c r="B2680" t="str">
        <f t="shared" si="475"/>
        <v>02004000</v>
      </c>
      <c r="C2680" t="str">
        <f>"02004545"</f>
        <v>02004545</v>
      </c>
      <c r="D2680">
        <v>89301282</v>
      </c>
      <c r="E2680" t="str">
        <f>"7705115330"</f>
        <v>7705115330</v>
      </c>
      <c r="F2680" s="1">
        <v>44981</v>
      </c>
      <c r="G2680" t="str">
        <f>"94227"</f>
        <v>94227</v>
      </c>
      <c r="H2680">
        <v>1</v>
      </c>
      <c r="I2680">
        <v>633</v>
      </c>
      <c r="J2680">
        <v>0</v>
      </c>
      <c r="K2680" t="str">
        <f>"816"</f>
        <v>816</v>
      </c>
      <c r="L2680">
        <v>569.70000000000005</v>
      </c>
    </row>
    <row r="2681" spans="1:12" x14ac:dyDescent="0.25">
      <c r="A2681" t="str">
        <f t="shared" si="470"/>
        <v>89301000</v>
      </c>
      <c r="B2681" t="str">
        <f t="shared" si="475"/>
        <v>02004000</v>
      </c>
      <c r="C2681" t="str">
        <f>"02004545"</f>
        <v>02004545</v>
      </c>
      <c r="D2681">
        <v>89301282</v>
      </c>
      <c r="E2681" t="str">
        <f>"6507142147"</f>
        <v>6507142147</v>
      </c>
      <c r="F2681" s="1">
        <v>44984</v>
      </c>
      <c r="G2681" t="str">
        <f>"94345"</f>
        <v>94345</v>
      </c>
      <c r="H2681">
        <v>2</v>
      </c>
      <c r="I2681">
        <v>9324</v>
      </c>
      <c r="J2681">
        <v>0</v>
      </c>
      <c r="K2681" t="str">
        <f>"816"</f>
        <v>816</v>
      </c>
      <c r="L2681">
        <v>8391.6</v>
      </c>
    </row>
    <row r="2682" spans="1:12" x14ac:dyDescent="0.25">
      <c r="A2682" t="str">
        <f t="shared" si="470"/>
        <v>89301000</v>
      </c>
      <c r="B2682" t="str">
        <f t="shared" si="475"/>
        <v>02004000</v>
      </c>
      <c r="C2682" t="str">
        <f>"02004545"</f>
        <v>02004545</v>
      </c>
      <c r="D2682">
        <v>89301282</v>
      </c>
      <c r="E2682" t="str">
        <f>"6653062031"</f>
        <v>6653062031</v>
      </c>
      <c r="F2682" s="1">
        <v>44984</v>
      </c>
      <c r="G2682" t="str">
        <f>"94345"</f>
        <v>94345</v>
      </c>
      <c r="H2682">
        <v>2</v>
      </c>
      <c r="I2682">
        <v>9324</v>
      </c>
      <c r="J2682">
        <v>0</v>
      </c>
      <c r="K2682" t="str">
        <f>"816"</f>
        <v>816</v>
      </c>
      <c r="L2682">
        <v>8391.6</v>
      </c>
    </row>
    <row r="2683" spans="1:12" x14ac:dyDescent="0.25">
      <c r="A2683" t="str">
        <f t="shared" si="470"/>
        <v>89301000</v>
      </c>
      <c r="B2683" t="str">
        <f t="shared" si="475"/>
        <v>02004000</v>
      </c>
      <c r="C2683" t="str">
        <f>"02004153"</f>
        <v>02004153</v>
      </c>
      <c r="D2683">
        <v>89301282</v>
      </c>
      <c r="E2683" t="str">
        <f>"7705115330"</f>
        <v>7705115330</v>
      </c>
      <c r="F2683" s="1">
        <v>44981</v>
      </c>
      <c r="G2683" t="str">
        <f>"94996"</f>
        <v>94996</v>
      </c>
      <c r="H2683">
        <v>1</v>
      </c>
      <c r="I2683">
        <v>0</v>
      </c>
      <c r="J2683">
        <v>0</v>
      </c>
      <c r="K2683" t="str">
        <f>"816"</f>
        <v>816</v>
      </c>
      <c r="L2683">
        <v>0</v>
      </c>
    </row>
    <row r="2684" spans="1:12" x14ac:dyDescent="0.25">
      <c r="A2684" t="str">
        <f t="shared" si="470"/>
        <v>89301000</v>
      </c>
      <c r="B2684" t="str">
        <f t="shared" si="475"/>
        <v>02004000</v>
      </c>
      <c r="C2684" t="str">
        <f>"02004153"</f>
        <v>02004153</v>
      </c>
      <c r="D2684">
        <v>89301282</v>
      </c>
      <c r="E2684" t="str">
        <f>"7705115330"</f>
        <v>7705115330</v>
      </c>
      <c r="F2684" s="1">
        <v>44981</v>
      </c>
      <c r="G2684" t="str">
        <f>"94983"</f>
        <v>94983</v>
      </c>
      <c r="H2684">
        <v>1</v>
      </c>
      <c r="I2684">
        <v>0</v>
      </c>
      <c r="J2684">
        <v>39600</v>
      </c>
      <c r="K2684" t="str">
        <f>"816"</f>
        <v>816</v>
      </c>
      <c r="L2684">
        <v>39600</v>
      </c>
    </row>
    <row r="2685" spans="1:12" x14ac:dyDescent="0.25">
      <c r="A2685" t="str">
        <f t="shared" si="470"/>
        <v>89301000</v>
      </c>
      <c r="B2685" t="str">
        <f t="shared" si="475"/>
        <v>02004000</v>
      </c>
      <c r="C2685" t="str">
        <f>"02004556"</f>
        <v>02004556</v>
      </c>
      <c r="D2685">
        <v>89301028</v>
      </c>
      <c r="E2685" t="str">
        <f>"8401215757"</f>
        <v>8401215757</v>
      </c>
      <c r="F2685" s="1">
        <v>44973</v>
      </c>
      <c r="G2685" t="str">
        <f>"91249"</f>
        <v>91249</v>
      </c>
      <c r="H2685">
        <v>1</v>
      </c>
      <c r="I2685">
        <v>1495</v>
      </c>
      <c r="J2685">
        <v>0</v>
      </c>
      <c r="K2685" t="str">
        <f>"813"</f>
        <v>813</v>
      </c>
      <c r="L2685">
        <v>1255.8</v>
      </c>
    </row>
    <row r="2686" spans="1:12" x14ac:dyDescent="0.25">
      <c r="A2686" t="str">
        <f t="shared" si="470"/>
        <v>89301000</v>
      </c>
      <c r="B2686" t="str">
        <f t="shared" si="475"/>
        <v>02004000</v>
      </c>
      <c r="C2686" t="str">
        <f>"02004556"</f>
        <v>02004556</v>
      </c>
      <c r="D2686">
        <v>89301028</v>
      </c>
      <c r="E2686" t="str">
        <f>"8401215757"</f>
        <v>8401215757</v>
      </c>
      <c r="F2686" s="1">
        <v>44973</v>
      </c>
      <c r="G2686" t="str">
        <f>"91251"</f>
        <v>91251</v>
      </c>
      <c r="H2686">
        <v>1</v>
      </c>
      <c r="I2686">
        <v>1495</v>
      </c>
      <c r="J2686">
        <v>0</v>
      </c>
      <c r="K2686" t="str">
        <f>"813"</f>
        <v>813</v>
      </c>
      <c r="L2686">
        <v>1255.8</v>
      </c>
    </row>
    <row r="2687" spans="1:12" x14ac:dyDescent="0.25">
      <c r="A2687" t="str">
        <f t="shared" si="470"/>
        <v>89301000</v>
      </c>
      <c r="B2687" t="str">
        <f t="shared" si="475"/>
        <v>02004000</v>
      </c>
      <c r="C2687" t="str">
        <f>"02004556"</f>
        <v>02004556</v>
      </c>
      <c r="D2687">
        <v>89301102</v>
      </c>
      <c r="E2687" t="str">
        <f>"0707116157"</f>
        <v>0707116157</v>
      </c>
      <c r="F2687" s="1">
        <v>44977</v>
      </c>
      <c r="G2687" t="str">
        <f>"91249"</f>
        <v>91249</v>
      </c>
      <c r="H2687">
        <v>1</v>
      </c>
      <c r="I2687">
        <v>1495</v>
      </c>
      <c r="J2687">
        <v>0</v>
      </c>
      <c r="K2687" t="str">
        <f>"813"</f>
        <v>813</v>
      </c>
      <c r="L2687">
        <v>1255.8</v>
      </c>
    </row>
    <row r="2688" spans="1:12" x14ac:dyDescent="0.25">
      <c r="A2688" t="str">
        <f t="shared" si="470"/>
        <v>89301000</v>
      </c>
      <c r="B2688" t="str">
        <f t="shared" si="475"/>
        <v>02004000</v>
      </c>
      <c r="C2688" t="str">
        <f>"02004556"</f>
        <v>02004556</v>
      </c>
      <c r="D2688">
        <v>89301102</v>
      </c>
      <c r="E2688" t="str">
        <f>"0707116157"</f>
        <v>0707116157</v>
      </c>
      <c r="F2688" s="1">
        <v>44977</v>
      </c>
      <c r="G2688" t="str">
        <f>"91251"</f>
        <v>91251</v>
      </c>
      <c r="H2688">
        <v>1</v>
      </c>
      <c r="I2688">
        <v>1495</v>
      </c>
      <c r="J2688">
        <v>0</v>
      </c>
      <c r="K2688" t="str">
        <f>"813"</f>
        <v>813</v>
      </c>
      <c r="L2688">
        <v>1255.8</v>
      </c>
    </row>
    <row r="2689" spans="1:12" x14ac:dyDescent="0.25">
      <c r="A2689" t="str">
        <f t="shared" si="470"/>
        <v>89301000</v>
      </c>
      <c r="B2689" t="str">
        <f>"72186000"</f>
        <v>72186000</v>
      </c>
      <c r="C2689" t="str">
        <f>"72186012"</f>
        <v>72186012</v>
      </c>
      <c r="D2689">
        <v>89301132</v>
      </c>
      <c r="E2689" t="str">
        <f>"9259246161"</f>
        <v>9259246161</v>
      </c>
      <c r="F2689" s="1">
        <v>45005</v>
      </c>
      <c r="G2689" t="str">
        <f>"89615"</f>
        <v>89615</v>
      </c>
      <c r="H2689">
        <v>1</v>
      </c>
      <c r="I2689">
        <v>2199</v>
      </c>
      <c r="J2689">
        <v>0</v>
      </c>
      <c r="K2689" t="str">
        <f t="shared" ref="K2689:K2696" si="476">"809"</f>
        <v>809</v>
      </c>
      <c r="L2689">
        <v>1429.35</v>
      </c>
    </row>
    <row r="2690" spans="1:12" x14ac:dyDescent="0.25">
      <c r="A2690" t="str">
        <f t="shared" ref="A2690:A2753" si="477">"89301000"</f>
        <v>89301000</v>
      </c>
      <c r="B2690" t="str">
        <f t="shared" ref="B2690:C2692" si="478">"89345401"</f>
        <v>89345401</v>
      </c>
      <c r="C2690" t="str">
        <f t="shared" si="478"/>
        <v>89345401</v>
      </c>
      <c r="D2690">
        <v>89301171</v>
      </c>
      <c r="E2690" t="str">
        <f>"9356214846"</f>
        <v>9356214846</v>
      </c>
      <c r="F2690" s="1">
        <v>44992</v>
      </c>
      <c r="G2690" t="str">
        <f>"89117"</f>
        <v>89117</v>
      </c>
      <c r="H2690">
        <v>1</v>
      </c>
      <c r="I2690">
        <v>172</v>
      </c>
      <c r="J2690">
        <v>0</v>
      </c>
      <c r="K2690" t="str">
        <f t="shared" si="476"/>
        <v>809</v>
      </c>
      <c r="L2690">
        <v>252.84</v>
      </c>
    </row>
    <row r="2691" spans="1:12" x14ac:dyDescent="0.25">
      <c r="A2691" t="str">
        <f t="shared" si="477"/>
        <v>89301000</v>
      </c>
      <c r="B2691" t="str">
        <f t="shared" si="478"/>
        <v>89345401</v>
      </c>
      <c r="C2691" t="str">
        <f t="shared" si="478"/>
        <v>89345401</v>
      </c>
      <c r="D2691">
        <v>89301212</v>
      </c>
      <c r="E2691" t="str">
        <f>"6854110274"</f>
        <v>6854110274</v>
      </c>
      <c r="F2691" s="1">
        <v>45012</v>
      </c>
      <c r="G2691" t="str">
        <f>"89131"</f>
        <v>89131</v>
      </c>
      <c r="H2691">
        <v>1</v>
      </c>
      <c r="I2691">
        <v>190</v>
      </c>
      <c r="J2691">
        <v>0</v>
      </c>
      <c r="K2691" t="str">
        <f t="shared" si="476"/>
        <v>809</v>
      </c>
      <c r="L2691">
        <v>279.3</v>
      </c>
    </row>
    <row r="2692" spans="1:12" x14ac:dyDescent="0.25">
      <c r="A2692" t="str">
        <f t="shared" si="477"/>
        <v>89301000</v>
      </c>
      <c r="B2692" t="str">
        <f t="shared" si="478"/>
        <v>89345401</v>
      </c>
      <c r="C2692" t="str">
        <f t="shared" si="478"/>
        <v>89345401</v>
      </c>
      <c r="D2692">
        <v>89301212</v>
      </c>
      <c r="E2692" t="str">
        <f>"6854110274"</f>
        <v>6854110274</v>
      </c>
      <c r="F2692" s="1">
        <v>45012</v>
      </c>
      <c r="G2692" t="str">
        <f>"89131"</f>
        <v>89131</v>
      </c>
      <c r="H2692">
        <v>1</v>
      </c>
      <c r="I2692">
        <v>190</v>
      </c>
      <c r="J2692">
        <v>0</v>
      </c>
      <c r="K2692" t="str">
        <f t="shared" si="476"/>
        <v>809</v>
      </c>
      <c r="L2692">
        <v>279.3</v>
      </c>
    </row>
    <row r="2693" spans="1:12" x14ac:dyDescent="0.25">
      <c r="A2693" t="str">
        <f t="shared" si="477"/>
        <v>89301000</v>
      </c>
      <c r="B2693" t="str">
        <f t="shared" ref="B2693:B2701" si="479">"85600000"</f>
        <v>85600000</v>
      </c>
      <c r="C2693" t="str">
        <f>"85600421"</f>
        <v>85600421</v>
      </c>
      <c r="D2693">
        <v>89301042</v>
      </c>
      <c r="E2693" t="str">
        <f>"506216080"</f>
        <v>506216080</v>
      </c>
      <c r="F2693" s="1">
        <v>44986</v>
      </c>
      <c r="G2693" t="str">
        <f>"89131"</f>
        <v>89131</v>
      </c>
      <c r="H2693">
        <v>1</v>
      </c>
      <c r="I2693">
        <v>190</v>
      </c>
      <c r="J2693">
        <v>0</v>
      </c>
      <c r="K2693" t="str">
        <f t="shared" si="476"/>
        <v>809</v>
      </c>
      <c r="L2693">
        <v>279.3</v>
      </c>
    </row>
    <row r="2694" spans="1:12" x14ac:dyDescent="0.25">
      <c r="A2694" t="str">
        <f t="shared" si="477"/>
        <v>89301000</v>
      </c>
      <c r="B2694" t="str">
        <f t="shared" si="479"/>
        <v>85600000</v>
      </c>
      <c r="C2694" t="str">
        <f>"85600421"</f>
        <v>85600421</v>
      </c>
      <c r="D2694">
        <v>89301042</v>
      </c>
      <c r="E2694" t="str">
        <f>"506216080"</f>
        <v>506216080</v>
      </c>
      <c r="F2694" s="1">
        <v>44986</v>
      </c>
      <c r="G2694" t="str">
        <f>"89517"</f>
        <v>89517</v>
      </c>
      <c r="H2694">
        <v>1</v>
      </c>
      <c r="I2694">
        <v>994</v>
      </c>
      <c r="J2694">
        <v>0</v>
      </c>
      <c r="K2694" t="str">
        <f t="shared" si="476"/>
        <v>809</v>
      </c>
      <c r="L2694">
        <v>1461.18</v>
      </c>
    </row>
    <row r="2695" spans="1:12" x14ac:dyDescent="0.25">
      <c r="A2695" t="str">
        <f t="shared" si="477"/>
        <v>89301000</v>
      </c>
      <c r="B2695" t="str">
        <f t="shared" si="479"/>
        <v>85600000</v>
      </c>
      <c r="C2695" t="str">
        <f>"85600421"</f>
        <v>85600421</v>
      </c>
      <c r="D2695">
        <v>89301042</v>
      </c>
      <c r="E2695" t="str">
        <f>"506216080"</f>
        <v>506216080</v>
      </c>
      <c r="F2695" s="1">
        <v>44986</v>
      </c>
      <c r="G2695" t="str">
        <f>"89514"</f>
        <v>89514</v>
      </c>
      <c r="H2695">
        <v>1</v>
      </c>
      <c r="I2695">
        <v>378</v>
      </c>
      <c r="J2695">
        <v>0</v>
      </c>
      <c r="K2695" t="str">
        <f t="shared" si="476"/>
        <v>809</v>
      </c>
      <c r="L2695">
        <v>555.66</v>
      </c>
    </row>
    <row r="2696" spans="1:12" x14ac:dyDescent="0.25">
      <c r="A2696" t="str">
        <f t="shared" si="477"/>
        <v>89301000</v>
      </c>
      <c r="B2696" t="str">
        <f t="shared" si="479"/>
        <v>85600000</v>
      </c>
      <c r="C2696" t="str">
        <f>"85600421"</f>
        <v>85600421</v>
      </c>
      <c r="D2696">
        <v>89301042</v>
      </c>
      <c r="E2696" t="str">
        <f>"506216080"</f>
        <v>506216080</v>
      </c>
      <c r="F2696" s="1">
        <v>44986</v>
      </c>
      <c r="G2696" t="str">
        <f>"89513"</f>
        <v>89513</v>
      </c>
      <c r="H2696">
        <v>1</v>
      </c>
      <c r="I2696">
        <v>378</v>
      </c>
      <c r="J2696">
        <v>0</v>
      </c>
      <c r="K2696" t="str">
        <f t="shared" si="476"/>
        <v>809</v>
      </c>
      <c r="L2696">
        <v>555.66</v>
      </c>
    </row>
    <row r="2697" spans="1:12" x14ac:dyDescent="0.25">
      <c r="A2697" t="str">
        <f t="shared" si="477"/>
        <v>89301000</v>
      </c>
      <c r="B2697" t="str">
        <f t="shared" si="479"/>
        <v>85600000</v>
      </c>
      <c r="C2697" t="str">
        <f>"85600422"</f>
        <v>85600422</v>
      </c>
      <c r="D2697">
        <v>89301062</v>
      </c>
      <c r="E2697" t="str">
        <f>"6853200827"</f>
        <v>6853200827</v>
      </c>
      <c r="F2697" s="1">
        <v>45000</v>
      </c>
      <c r="G2697" t="str">
        <f>"89713"</f>
        <v>89713</v>
      </c>
      <c r="H2697">
        <v>1</v>
      </c>
      <c r="I2697">
        <v>5411</v>
      </c>
      <c r="J2697">
        <v>0</v>
      </c>
      <c r="K2697" t="str">
        <f>"810"</f>
        <v>810</v>
      </c>
      <c r="L2697">
        <v>3517.15</v>
      </c>
    </row>
    <row r="2698" spans="1:12" x14ac:dyDescent="0.25">
      <c r="A2698" t="str">
        <f t="shared" si="477"/>
        <v>89301000</v>
      </c>
      <c r="B2698" t="str">
        <f t="shared" si="479"/>
        <v>85600000</v>
      </c>
      <c r="C2698" t="str">
        <f>"85600422"</f>
        <v>85600422</v>
      </c>
      <c r="D2698">
        <v>89301062</v>
      </c>
      <c r="E2698" t="str">
        <f>"6853200827"</f>
        <v>6853200827</v>
      </c>
      <c r="F2698" s="1">
        <v>45000</v>
      </c>
      <c r="G2698" t="str">
        <f>"89725"</f>
        <v>89725</v>
      </c>
      <c r="H2698">
        <v>1</v>
      </c>
      <c r="I2698">
        <v>2863</v>
      </c>
      <c r="J2698">
        <v>0</v>
      </c>
      <c r="K2698" t="str">
        <f>"810"</f>
        <v>810</v>
      </c>
      <c r="L2698">
        <v>1860.95</v>
      </c>
    </row>
    <row r="2699" spans="1:12" x14ac:dyDescent="0.25">
      <c r="A2699" t="str">
        <f t="shared" si="477"/>
        <v>89301000</v>
      </c>
      <c r="B2699" t="str">
        <f t="shared" si="479"/>
        <v>85600000</v>
      </c>
      <c r="C2699" t="str">
        <f>"85600422"</f>
        <v>85600422</v>
      </c>
      <c r="D2699">
        <v>89301212</v>
      </c>
      <c r="E2699" t="str">
        <f>"9757234091"</f>
        <v>9757234091</v>
      </c>
      <c r="F2699" s="1">
        <v>44999</v>
      </c>
      <c r="G2699" t="str">
        <f>"89715"</f>
        <v>89715</v>
      </c>
      <c r="H2699">
        <v>1</v>
      </c>
      <c r="I2699">
        <v>5523</v>
      </c>
      <c r="J2699">
        <v>0</v>
      </c>
      <c r="K2699" t="str">
        <f>"810"</f>
        <v>810</v>
      </c>
      <c r="L2699">
        <v>3589.95</v>
      </c>
    </row>
    <row r="2700" spans="1:12" x14ac:dyDescent="0.25">
      <c r="A2700" t="str">
        <f t="shared" si="477"/>
        <v>89301000</v>
      </c>
      <c r="B2700" t="str">
        <f t="shared" si="479"/>
        <v>85600000</v>
      </c>
      <c r="C2700" t="str">
        <f>"85600422"</f>
        <v>85600422</v>
      </c>
      <c r="D2700">
        <v>89301212</v>
      </c>
      <c r="E2700" t="str">
        <f>"9757234091"</f>
        <v>9757234091</v>
      </c>
      <c r="F2700" s="1">
        <v>44999</v>
      </c>
      <c r="G2700" t="str">
        <f>"89725"</f>
        <v>89725</v>
      </c>
      <c r="H2700">
        <v>1</v>
      </c>
      <c r="I2700">
        <v>2863</v>
      </c>
      <c r="J2700">
        <v>0</v>
      </c>
      <c r="K2700" t="str">
        <f>"810"</f>
        <v>810</v>
      </c>
      <c r="L2700">
        <v>1860.95</v>
      </c>
    </row>
    <row r="2701" spans="1:12" x14ac:dyDescent="0.25">
      <c r="A2701" t="str">
        <f t="shared" si="477"/>
        <v>89301000</v>
      </c>
      <c r="B2701" t="str">
        <f t="shared" si="479"/>
        <v>85600000</v>
      </c>
      <c r="C2701" t="str">
        <f>"85600422"</f>
        <v>85600422</v>
      </c>
      <c r="D2701">
        <v>89301212</v>
      </c>
      <c r="E2701" t="str">
        <f>"9757234091"</f>
        <v>9757234091</v>
      </c>
      <c r="F2701" s="1">
        <v>44999</v>
      </c>
      <c r="G2701" t="str">
        <f>"0207746"</f>
        <v>0207746</v>
      </c>
      <c r="H2701">
        <v>0.2</v>
      </c>
      <c r="J2701">
        <v>1727.02</v>
      </c>
      <c r="K2701" t="str">
        <f>"810"</f>
        <v>810</v>
      </c>
      <c r="L2701">
        <v>1727.02</v>
      </c>
    </row>
    <row r="2702" spans="1:12" x14ac:dyDescent="0.25">
      <c r="A2702" t="str">
        <f t="shared" si="477"/>
        <v>89301000</v>
      </c>
      <c r="B2702" t="str">
        <f t="shared" ref="B2702:B2733" si="480">"72077000"</f>
        <v>72077000</v>
      </c>
      <c r="C2702" t="str">
        <f t="shared" ref="C2702:C2733" si="481">"72077001"</f>
        <v>72077001</v>
      </c>
      <c r="D2702">
        <v>89301152</v>
      </c>
      <c r="E2702" t="str">
        <f>"7560204410"</f>
        <v>7560204410</v>
      </c>
      <c r="F2702" s="1">
        <v>44994</v>
      </c>
      <c r="G2702" t="str">
        <f>"91465"</f>
        <v>91465</v>
      </c>
      <c r="H2702">
        <v>1</v>
      </c>
      <c r="I2702">
        <v>1412</v>
      </c>
      <c r="J2702">
        <v>0</v>
      </c>
      <c r="K2702" t="str">
        <f t="shared" ref="K2702:K2733" si="482">"813"</f>
        <v>813</v>
      </c>
      <c r="L2702">
        <v>1186.08</v>
      </c>
    </row>
    <row r="2703" spans="1:12" x14ac:dyDescent="0.25">
      <c r="A2703" t="str">
        <f t="shared" si="477"/>
        <v>89301000</v>
      </c>
      <c r="B2703" t="str">
        <f t="shared" si="480"/>
        <v>72077000</v>
      </c>
      <c r="C2703" t="str">
        <f t="shared" si="481"/>
        <v>72077001</v>
      </c>
      <c r="D2703">
        <v>89301152</v>
      </c>
      <c r="E2703" t="str">
        <f>"7560204410"</f>
        <v>7560204410</v>
      </c>
      <c r="F2703" s="1">
        <v>44995</v>
      </c>
      <c r="G2703" t="str">
        <f>"91197"</f>
        <v>91197</v>
      </c>
      <c r="H2703">
        <v>1</v>
      </c>
      <c r="I2703">
        <v>1048</v>
      </c>
      <c r="J2703">
        <v>0</v>
      </c>
      <c r="K2703" t="str">
        <f t="shared" si="482"/>
        <v>813</v>
      </c>
      <c r="L2703">
        <v>880.32</v>
      </c>
    </row>
    <row r="2704" spans="1:12" x14ac:dyDescent="0.25">
      <c r="A2704" t="str">
        <f t="shared" si="477"/>
        <v>89301000</v>
      </c>
      <c r="B2704" t="str">
        <f t="shared" si="480"/>
        <v>72077000</v>
      </c>
      <c r="C2704" t="str">
        <f t="shared" si="481"/>
        <v>72077001</v>
      </c>
      <c r="D2704">
        <v>89301152</v>
      </c>
      <c r="E2704" t="str">
        <f t="shared" ref="E2704:E2716" si="483">"9208253978"</f>
        <v>9208253978</v>
      </c>
      <c r="F2704" s="1">
        <v>44986</v>
      </c>
      <c r="G2704" t="str">
        <f>"91361"</f>
        <v>91361</v>
      </c>
      <c r="H2704">
        <v>1</v>
      </c>
      <c r="I2704">
        <v>444</v>
      </c>
      <c r="J2704">
        <v>0</v>
      </c>
      <c r="K2704" t="str">
        <f t="shared" si="482"/>
        <v>813</v>
      </c>
      <c r="L2704">
        <v>372.96</v>
      </c>
    </row>
    <row r="2705" spans="1:12" x14ac:dyDescent="0.25">
      <c r="A2705" t="str">
        <f t="shared" si="477"/>
        <v>89301000</v>
      </c>
      <c r="B2705" t="str">
        <f t="shared" si="480"/>
        <v>72077000</v>
      </c>
      <c r="C2705" t="str">
        <f t="shared" si="481"/>
        <v>72077001</v>
      </c>
      <c r="D2705">
        <v>89301152</v>
      </c>
      <c r="E2705" t="str">
        <f t="shared" si="483"/>
        <v>9208253978</v>
      </c>
      <c r="F2705" s="1">
        <v>44986</v>
      </c>
      <c r="G2705" t="str">
        <f>"91359"</f>
        <v>91359</v>
      </c>
      <c r="H2705">
        <v>1</v>
      </c>
      <c r="I2705">
        <v>205</v>
      </c>
      <c r="J2705">
        <v>0</v>
      </c>
      <c r="K2705" t="str">
        <f t="shared" si="482"/>
        <v>813</v>
      </c>
      <c r="L2705">
        <v>172.2</v>
      </c>
    </row>
    <row r="2706" spans="1:12" x14ac:dyDescent="0.25">
      <c r="A2706" t="str">
        <f t="shared" si="477"/>
        <v>89301000</v>
      </c>
      <c r="B2706" t="str">
        <f t="shared" si="480"/>
        <v>72077000</v>
      </c>
      <c r="C2706" t="str">
        <f t="shared" si="481"/>
        <v>72077001</v>
      </c>
      <c r="D2706">
        <v>89301152</v>
      </c>
      <c r="E2706" t="str">
        <f t="shared" si="483"/>
        <v>9208253978</v>
      </c>
      <c r="F2706" s="1">
        <v>44986</v>
      </c>
      <c r="G2706" t="str">
        <f>"91577"</f>
        <v>91577</v>
      </c>
      <c r="H2706">
        <v>1</v>
      </c>
      <c r="I2706">
        <v>398</v>
      </c>
      <c r="J2706">
        <v>0</v>
      </c>
      <c r="K2706" t="str">
        <f t="shared" si="482"/>
        <v>813</v>
      </c>
      <c r="L2706">
        <v>334.32</v>
      </c>
    </row>
    <row r="2707" spans="1:12" x14ac:dyDescent="0.25">
      <c r="A2707" t="str">
        <f t="shared" si="477"/>
        <v>89301000</v>
      </c>
      <c r="B2707" t="str">
        <f t="shared" si="480"/>
        <v>72077000</v>
      </c>
      <c r="C2707" t="str">
        <f t="shared" si="481"/>
        <v>72077001</v>
      </c>
      <c r="D2707">
        <v>89301152</v>
      </c>
      <c r="E2707" t="str">
        <f t="shared" si="483"/>
        <v>9208253978</v>
      </c>
      <c r="F2707" s="1">
        <v>45014</v>
      </c>
      <c r="G2707" t="str">
        <f>"91577"</f>
        <v>91577</v>
      </c>
      <c r="H2707">
        <v>1</v>
      </c>
      <c r="I2707">
        <v>398</v>
      </c>
      <c r="J2707">
        <v>0</v>
      </c>
      <c r="K2707" t="str">
        <f t="shared" si="482"/>
        <v>813</v>
      </c>
      <c r="L2707">
        <v>334.32</v>
      </c>
    </row>
    <row r="2708" spans="1:12" x14ac:dyDescent="0.25">
      <c r="A2708" t="str">
        <f t="shared" si="477"/>
        <v>89301000</v>
      </c>
      <c r="B2708" t="str">
        <f t="shared" si="480"/>
        <v>72077000</v>
      </c>
      <c r="C2708" t="str">
        <f t="shared" si="481"/>
        <v>72077001</v>
      </c>
      <c r="D2708">
        <v>89301152</v>
      </c>
      <c r="E2708" t="str">
        <f t="shared" si="483"/>
        <v>9208253978</v>
      </c>
      <c r="F2708" s="1">
        <v>45015</v>
      </c>
      <c r="G2708" t="str">
        <f>"82097"</f>
        <v>82097</v>
      </c>
      <c r="H2708">
        <v>1</v>
      </c>
      <c r="I2708">
        <v>381</v>
      </c>
      <c r="J2708">
        <v>0</v>
      </c>
      <c r="K2708" t="str">
        <f t="shared" si="482"/>
        <v>813</v>
      </c>
      <c r="L2708">
        <v>320.04000000000002</v>
      </c>
    </row>
    <row r="2709" spans="1:12" x14ac:dyDescent="0.25">
      <c r="A2709" t="str">
        <f t="shared" si="477"/>
        <v>89301000</v>
      </c>
      <c r="B2709" t="str">
        <f t="shared" si="480"/>
        <v>72077000</v>
      </c>
      <c r="C2709" t="str">
        <f t="shared" si="481"/>
        <v>72077001</v>
      </c>
      <c r="D2709">
        <v>89301152</v>
      </c>
      <c r="E2709" t="str">
        <f t="shared" si="483"/>
        <v>9208253978</v>
      </c>
      <c r="F2709" s="1">
        <v>45015</v>
      </c>
      <c r="G2709" t="str">
        <f>"82097"</f>
        <v>82097</v>
      </c>
      <c r="H2709">
        <v>1</v>
      </c>
      <c r="I2709">
        <v>381</v>
      </c>
      <c r="J2709">
        <v>0</v>
      </c>
      <c r="K2709" t="str">
        <f t="shared" si="482"/>
        <v>813</v>
      </c>
      <c r="L2709">
        <v>320.04000000000002</v>
      </c>
    </row>
    <row r="2710" spans="1:12" x14ac:dyDescent="0.25">
      <c r="A2710" t="str">
        <f t="shared" si="477"/>
        <v>89301000</v>
      </c>
      <c r="B2710" t="str">
        <f t="shared" si="480"/>
        <v>72077000</v>
      </c>
      <c r="C2710" t="str">
        <f t="shared" si="481"/>
        <v>72077001</v>
      </c>
      <c r="D2710">
        <v>89301152</v>
      </c>
      <c r="E2710" t="str">
        <f t="shared" si="483"/>
        <v>9208253978</v>
      </c>
      <c r="F2710" s="1">
        <v>45015</v>
      </c>
      <c r="G2710" t="str">
        <f t="shared" ref="G2710:G2715" si="484">"82113"</f>
        <v>82113</v>
      </c>
      <c r="H2710">
        <v>1</v>
      </c>
      <c r="I2710">
        <v>363</v>
      </c>
      <c r="J2710">
        <v>0</v>
      </c>
      <c r="K2710" t="str">
        <f t="shared" si="482"/>
        <v>813</v>
      </c>
      <c r="L2710">
        <v>304.92</v>
      </c>
    </row>
    <row r="2711" spans="1:12" x14ac:dyDescent="0.25">
      <c r="A2711" t="str">
        <f t="shared" si="477"/>
        <v>89301000</v>
      </c>
      <c r="B2711" t="str">
        <f t="shared" si="480"/>
        <v>72077000</v>
      </c>
      <c r="C2711" t="str">
        <f t="shared" si="481"/>
        <v>72077001</v>
      </c>
      <c r="D2711">
        <v>89301152</v>
      </c>
      <c r="E2711" t="str">
        <f t="shared" si="483"/>
        <v>9208253978</v>
      </c>
      <c r="F2711" s="1">
        <v>45015</v>
      </c>
      <c r="G2711" t="str">
        <f t="shared" si="484"/>
        <v>82113</v>
      </c>
      <c r="H2711">
        <v>2</v>
      </c>
      <c r="I2711">
        <v>726</v>
      </c>
      <c r="J2711">
        <v>0</v>
      </c>
      <c r="K2711" t="str">
        <f t="shared" si="482"/>
        <v>813</v>
      </c>
      <c r="L2711">
        <v>609.84</v>
      </c>
    </row>
    <row r="2712" spans="1:12" x14ac:dyDescent="0.25">
      <c r="A2712" t="str">
        <f t="shared" si="477"/>
        <v>89301000</v>
      </c>
      <c r="B2712" t="str">
        <f t="shared" si="480"/>
        <v>72077000</v>
      </c>
      <c r="C2712" t="str">
        <f t="shared" si="481"/>
        <v>72077001</v>
      </c>
      <c r="D2712">
        <v>89301152</v>
      </c>
      <c r="E2712" t="str">
        <f t="shared" si="483"/>
        <v>9208253978</v>
      </c>
      <c r="F2712" s="1">
        <v>45015</v>
      </c>
      <c r="G2712" t="str">
        <f t="shared" si="484"/>
        <v>82113</v>
      </c>
      <c r="H2712">
        <v>1</v>
      </c>
      <c r="I2712">
        <v>363</v>
      </c>
      <c r="J2712">
        <v>0</v>
      </c>
      <c r="K2712" t="str">
        <f t="shared" si="482"/>
        <v>813</v>
      </c>
      <c r="L2712">
        <v>304.92</v>
      </c>
    </row>
    <row r="2713" spans="1:12" x14ac:dyDescent="0.25">
      <c r="A2713" t="str">
        <f t="shared" si="477"/>
        <v>89301000</v>
      </c>
      <c r="B2713" t="str">
        <f t="shared" si="480"/>
        <v>72077000</v>
      </c>
      <c r="C2713" t="str">
        <f t="shared" si="481"/>
        <v>72077001</v>
      </c>
      <c r="D2713">
        <v>89301152</v>
      </c>
      <c r="E2713" t="str">
        <f t="shared" si="483"/>
        <v>9208253978</v>
      </c>
      <c r="F2713" s="1">
        <v>45015</v>
      </c>
      <c r="G2713" t="str">
        <f t="shared" si="484"/>
        <v>82113</v>
      </c>
      <c r="H2713">
        <v>1</v>
      </c>
      <c r="I2713">
        <v>363</v>
      </c>
      <c r="J2713">
        <v>0</v>
      </c>
      <c r="K2713" t="str">
        <f t="shared" si="482"/>
        <v>813</v>
      </c>
      <c r="L2713">
        <v>304.92</v>
      </c>
    </row>
    <row r="2714" spans="1:12" x14ac:dyDescent="0.25">
      <c r="A2714" t="str">
        <f t="shared" si="477"/>
        <v>89301000</v>
      </c>
      <c r="B2714" t="str">
        <f t="shared" si="480"/>
        <v>72077000</v>
      </c>
      <c r="C2714" t="str">
        <f t="shared" si="481"/>
        <v>72077001</v>
      </c>
      <c r="D2714">
        <v>89301152</v>
      </c>
      <c r="E2714" t="str">
        <f t="shared" si="483"/>
        <v>9208253978</v>
      </c>
      <c r="F2714" s="1">
        <v>45015</v>
      </c>
      <c r="G2714" t="str">
        <f t="shared" si="484"/>
        <v>82113</v>
      </c>
      <c r="H2714">
        <v>2</v>
      </c>
      <c r="I2714">
        <v>726</v>
      </c>
      <c r="J2714">
        <v>0</v>
      </c>
      <c r="K2714" t="str">
        <f t="shared" si="482"/>
        <v>813</v>
      </c>
      <c r="L2714">
        <v>609.84</v>
      </c>
    </row>
    <row r="2715" spans="1:12" x14ac:dyDescent="0.25">
      <c r="A2715" t="str">
        <f t="shared" si="477"/>
        <v>89301000</v>
      </c>
      <c r="B2715" t="str">
        <f t="shared" si="480"/>
        <v>72077000</v>
      </c>
      <c r="C2715" t="str">
        <f t="shared" si="481"/>
        <v>72077001</v>
      </c>
      <c r="D2715">
        <v>89301152</v>
      </c>
      <c r="E2715" t="str">
        <f t="shared" si="483"/>
        <v>9208253978</v>
      </c>
      <c r="F2715" s="1">
        <v>45015</v>
      </c>
      <c r="G2715" t="str">
        <f t="shared" si="484"/>
        <v>82113</v>
      </c>
      <c r="H2715">
        <v>1</v>
      </c>
      <c r="I2715">
        <v>363</v>
      </c>
      <c r="J2715">
        <v>0</v>
      </c>
      <c r="K2715" t="str">
        <f t="shared" si="482"/>
        <v>813</v>
      </c>
      <c r="L2715">
        <v>304.92</v>
      </c>
    </row>
    <row r="2716" spans="1:12" x14ac:dyDescent="0.25">
      <c r="A2716" t="str">
        <f t="shared" si="477"/>
        <v>89301000</v>
      </c>
      <c r="B2716" t="str">
        <f t="shared" si="480"/>
        <v>72077000</v>
      </c>
      <c r="C2716" t="str">
        <f t="shared" si="481"/>
        <v>72077001</v>
      </c>
      <c r="D2716">
        <v>89301152</v>
      </c>
      <c r="E2716" t="str">
        <f t="shared" si="483"/>
        <v>9208253978</v>
      </c>
      <c r="F2716" s="1">
        <v>45016</v>
      </c>
      <c r="G2716" t="str">
        <f>"91485"</f>
        <v>91485</v>
      </c>
      <c r="H2716">
        <v>1</v>
      </c>
      <c r="I2716">
        <v>268</v>
      </c>
      <c r="J2716">
        <v>0</v>
      </c>
      <c r="K2716" t="str">
        <f t="shared" si="482"/>
        <v>813</v>
      </c>
      <c r="L2716">
        <v>225.12</v>
      </c>
    </row>
    <row r="2717" spans="1:12" x14ac:dyDescent="0.25">
      <c r="A2717" t="str">
        <f t="shared" si="477"/>
        <v>89301000</v>
      </c>
      <c r="B2717" t="str">
        <f t="shared" si="480"/>
        <v>72077000</v>
      </c>
      <c r="C2717" t="str">
        <f t="shared" si="481"/>
        <v>72077001</v>
      </c>
      <c r="D2717">
        <v>89301152</v>
      </c>
      <c r="E2717" t="str">
        <f>"7756154406"</f>
        <v>7756154406</v>
      </c>
      <c r="F2717" s="1">
        <v>44986</v>
      </c>
      <c r="G2717" t="str">
        <f>"91197"</f>
        <v>91197</v>
      </c>
      <c r="H2717">
        <v>1</v>
      </c>
      <c r="I2717">
        <v>1048</v>
      </c>
      <c r="J2717">
        <v>0</v>
      </c>
      <c r="K2717" t="str">
        <f t="shared" si="482"/>
        <v>813</v>
      </c>
      <c r="L2717">
        <v>880.32</v>
      </c>
    </row>
    <row r="2718" spans="1:12" x14ac:dyDescent="0.25">
      <c r="A2718" t="str">
        <f t="shared" si="477"/>
        <v>89301000</v>
      </c>
      <c r="B2718" t="str">
        <f t="shared" si="480"/>
        <v>72077000</v>
      </c>
      <c r="C2718" t="str">
        <f t="shared" si="481"/>
        <v>72077001</v>
      </c>
      <c r="D2718">
        <v>89301152</v>
      </c>
      <c r="E2718" t="str">
        <f>"7756154406"</f>
        <v>7756154406</v>
      </c>
      <c r="F2718" s="1">
        <v>44987</v>
      </c>
      <c r="G2718" t="str">
        <f>"91465"</f>
        <v>91465</v>
      </c>
      <c r="H2718">
        <v>1</v>
      </c>
      <c r="I2718">
        <v>1412</v>
      </c>
      <c r="J2718">
        <v>0</v>
      </c>
      <c r="K2718" t="str">
        <f t="shared" si="482"/>
        <v>813</v>
      </c>
      <c r="L2718">
        <v>1186.08</v>
      </c>
    </row>
    <row r="2719" spans="1:12" x14ac:dyDescent="0.25">
      <c r="A2719" t="str">
        <f t="shared" si="477"/>
        <v>89301000</v>
      </c>
      <c r="B2719" t="str">
        <f t="shared" si="480"/>
        <v>72077000</v>
      </c>
      <c r="C2719" t="str">
        <f t="shared" si="481"/>
        <v>72077001</v>
      </c>
      <c r="D2719">
        <v>89301152</v>
      </c>
      <c r="E2719" t="str">
        <f>"9957235761"</f>
        <v>9957235761</v>
      </c>
      <c r="F2719" s="1">
        <v>45009</v>
      </c>
      <c r="G2719" t="str">
        <f>"91197"</f>
        <v>91197</v>
      </c>
      <c r="H2719">
        <v>1</v>
      </c>
      <c r="I2719">
        <v>1048</v>
      </c>
      <c r="J2719">
        <v>0</v>
      </c>
      <c r="K2719" t="str">
        <f t="shared" si="482"/>
        <v>813</v>
      </c>
      <c r="L2719">
        <v>880.32</v>
      </c>
    </row>
    <row r="2720" spans="1:12" x14ac:dyDescent="0.25">
      <c r="A2720" t="str">
        <f t="shared" si="477"/>
        <v>89301000</v>
      </c>
      <c r="B2720" t="str">
        <f t="shared" si="480"/>
        <v>72077000</v>
      </c>
      <c r="C2720" t="str">
        <f t="shared" si="481"/>
        <v>72077001</v>
      </c>
      <c r="D2720">
        <v>89301152</v>
      </c>
      <c r="E2720" t="str">
        <f>"9957235761"</f>
        <v>9957235761</v>
      </c>
      <c r="F2720" s="1">
        <v>45013</v>
      </c>
      <c r="G2720" t="str">
        <f>"91465"</f>
        <v>91465</v>
      </c>
      <c r="H2720">
        <v>1</v>
      </c>
      <c r="I2720">
        <v>1412</v>
      </c>
      <c r="J2720">
        <v>0</v>
      </c>
      <c r="K2720" t="str">
        <f t="shared" si="482"/>
        <v>813</v>
      </c>
      <c r="L2720">
        <v>1186.08</v>
      </c>
    </row>
    <row r="2721" spans="1:12" x14ac:dyDescent="0.25">
      <c r="A2721" t="str">
        <f t="shared" si="477"/>
        <v>89301000</v>
      </c>
      <c r="B2721" t="str">
        <f t="shared" si="480"/>
        <v>72077000</v>
      </c>
      <c r="C2721" t="str">
        <f t="shared" si="481"/>
        <v>72077001</v>
      </c>
      <c r="D2721">
        <v>89301152</v>
      </c>
      <c r="E2721" t="str">
        <f>"9252285570"</f>
        <v>9252285570</v>
      </c>
      <c r="F2721" s="1">
        <v>44999</v>
      </c>
      <c r="G2721" t="str">
        <f>"91359"</f>
        <v>91359</v>
      </c>
      <c r="H2721">
        <v>1</v>
      </c>
      <c r="I2721">
        <v>205</v>
      </c>
      <c r="J2721">
        <v>0</v>
      </c>
      <c r="K2721" t="str">
        <f t="shared" si="482"/>
        <v>813</v>
      </c>
      <c r="L2721">
        <v>172.2</v>
      </c>
    </row>
    <row r="2722" spans="1:12" x14ac:dyDescent="0.25">
      <c r="A2722" t="str">
        <f t="shared" si="477"/>
        <v>89301000</v>
      </c>
      <c r="B2722" t="str">
        <f t="shared" si="480"/>
        <v>72077000</v>
      </c>
      <c r="C2722" t="str">
        <f t="shared" si="481"/>
        <v>72077001</v>
      </c>
      <c r="D2722">
        <v>89301152</v>
      </c>
      <c r="E2722" t="str">
        <f>"9252285570"</f>
        <v>9252285570</v>
      </c>
      <c r="F2722" s="1">
        <v>44999</v>
      </c>
      <c r="G2722" t="str">
        <f>"91361"</f>
        <v>91361</v>
      </c>
      <c r="H2722">
        <v>1</v>
      </c>
      <c r="I2722">
        <v>444</v>
      </c>
      <c r="J2722">
        <v>0</v>
      </c>
      <c r="K2722" t="str">
        <f t="shared" si="482"/>
        <v>813</v>
      </c>
      <c r="L2722">
        <v>372.96</v>
      </c>
    </row>
    <row r="2723" spans="1:12" x14ac:dyDescent="0.25">
      <c r="A2723" t="str">
        <f t="shared" si="477"/>
        <v>89301000</v>
      </c>
      <c r="B2723" t="str">
        <f t="shared" si="480"/>
        <v>72077000</v>
      </c>
      <c r="C2723" t="str">
        <f t="shared" si="481"/>
        <v>72077001</v>
      </c>
      <c r="D2723">
        <v>89301152</v>
      </c>
      <c r="E2723" t="str">
        <f>"9252285570"</f>
        <v>9252285570</v>
      </c>
      <c r="F2723" s="1">
        <v>44999</v>
      </c>
      <c r="G2723" t="str">
        <f>"91577"</f>
        <v>91577</v>
      </c>
      <c r="H2723">
        <v>1</v>
      </c>
      <c r="I2723">
        <v>398</v>
      </c>
      <c r="J2723">
        <v>0</v>
      </c>
      <c r="K2723" t="str">
        <f t="shared" si="482"/>
        <v>813</v>
      </c>
      <c r="L2723">
        <v>334.32</v>
      </c>
    </row>
    <row r="2724" spans="1:12" x14ac:dyDescent="0.25">
      <c r="A2724" t="str">
        <f t="shared" si="477"/>
        <v>89301000</v>
      </c>
      <c r="B2724" t="str">
        <f t="shared" si="480"/>
        <v>72077000</v>
      </c>
      <c r="C2724" t="str">
        <f t="shared" si="481"/>
        <v>72077001</v>
      </c>
      <c r="D2724">
        <v>89301152</v>
      </c>
      <c r="E2724" t="str">
        <f>"9252285570"</f>
        <v>9252285570</v>
      </c>
      <c r="F2724" s="1">
        <v>44999</v>
      </c>
      <c r="G2724" t="str">
        <f>"91485"</f>
        <v>91485</v>
      </c>
      <c r="H2724">
        <v>1</v>
      </c>
      <c r="I2724">
        <v>268</v>
      </c>
      <c r="J2724">
        <v>0</v>
      </c>
      <c r="K2724" t="str">
        <f t="shared" si="482"/>
        <v>813</v>
      </c>
      <c r="L2724">
        <v>225.12</v>
      </c>
    </row>
    <row r="2725" spans="1:12" x14ac:dyDescent="0.25">
      <c r="A2725" t="str">
        <f t="shared" si="477"/>
        <v>89301000</v>
      </c>
      <c r="B2725" t="str">
        <f t="shared" si="480"/>
        <v>72077000</v>
      </c>
      <c r="C2725" t="str">
        <f t="shared" si="481"/>
        <v>72077001</v>
      </c>
      <c r="D2725">
        <v>89301152</v>
      </c>
      <c r="E2725" t="str">
        <f>"9551055712"</f>
        <v>9551055712</v>
      </c>
      <c r="F2725" s="1">
        <v>44987</v>
      </c>
      <c r="G2725" t="str">
        <f>"91213"</f>
        <v>91213</v>
      </c>
      <c r="H2725">
        <v>1</v>
      </c>
      <c r="I2725">
        <v>348</v>
      </c>
      <c r="J2725">
        <v>0</v>
      </c>
      <c r="K2725" t="str">
        <f t="shared" si="482"/>
        <v>813</v>
      </c>
      <c r="L2725">
        <v>292.32</v>
      </c>
    </row>
    <row r="2726" spans="1:12" x14ac:dyDescent="0.25">
      <c r="A2726" t="str">
        <f t="shared" si="477"/>
        <v>89301000</v>
      </c>
      <c r="B2726" t="str">
        <f t="shared" si="480"/>
        <v>72077000</v>
      </c>
      <c r="C2726" t="str">
        <f t="shared" si="481"/>
        <v>72077001</v>
      </c>
      <c r="D2726">
        <v>89301152</v>
      </c>
      <c r="E2726" t="str">
        <f>"9356295707"</f>
        <v>9356295707</v>
      </c>
      <c r="F2726" s="1">
        <v>44994</v>
      </c>
      <c r="G2726" t="str">
        <f>"91171"</f>
        <v>91171</v>
      </c>
      <c r="H2726">
        <v>1</v>
      </c>
      <c r="I2726">
        <v>362</v>
      </c>
      <c r="J2726">
        <v>0</v>
      </c>
      <c r="K2726" t="str">
        <f t="shared" si="482"/>
        <v>813</v>
      </c>
      <c r="L2726">
        <v>304.08</v>
      </c>
    </row>
    <row r="2727" spans="1:12" x14ac:dyDescent="0.25">
      <c r="A2727" t="str">
        <f t="shared" si="477"/>
        <v>89301000</v>
      </c>
      <c r="B2727" t="str">
        <f t="shared" si="480"/>
        <v>72077000</v>
      </c>
      <c r="C2727" t="str">
        <f t="shared" si="481"/>
        <v>72077001</v>
      </c>
      <c r="D2727">
        <v>89301152</v>
      </c>
      <c r="E2727" t="str">
        <f>"9356295707"</f>
        <v>9356295707</v>
      </c>
      <c r="F2727" s="1">
        <v>44994</v>
      </c>
      <c r="G2727" t="str">
        <f>"91175"</f>
        <v>91175</v>
      </c>
      <c r="H2727">
        <v>1</v>
      </c>
      <c r="I2727">
        <v>362</v>
      </c>
      <c r="J2727">
        <v>0</v>
      </c>
      <c r="K2727" t="str">
        <f t="shared" si="482"/>
        <v>813</v>
      </c>
      <c r="L2727">
        <v>304.08</v>
      </c>
    </row>
    <row r="2728" spans="1:12" x14ac:dyDescent="0.25">
      <c r="A2728" t="str">
        <f t="shared" si="477"/>
        <v>89301000</v>
      </c>
      <c r="B2728" t="str">
        <f t="shared" si="480"/>
        <v>72077000</v>
      </c>
      <c r="C2728" t="str">
        <f t="shared" si="481"/>
        <v>72077001</v>
      </c>
      <c r="D2728">
        <v>89301107</v>
      </c>
      <c r="E2728" t="str">
        <f>"1353080223"</f>
        <v>1353080223</v>
      </c>
      <c r="F2728" s="1">
        <v>44987</v>
      </c>
      <c r="G2728" t="str">
        <f>"91213"</f>
        <v>91213</v>
      </c>
      <c r="H2728">
        <v>1</v>
      </c>
      <c r="I2728">
        <v>348</v>
      </c>
      <c r="J2728">
        <v>0</v>
      </c>
      <c r="K2728" t="str">
        <f t="shared" si="482"/>
        <v>813</v>
      </c>
      <c r="L2728">
        <v>292.32</v>
      </c>
    </row>
    <row r="2729" spans="1:12" x14ac:dyDescent="0.25">
      <c r="A2729" t="str">
        <f t="shared" si="477"/>
        <v>89301000</v>
      </c>
      <c r="B2729" t="str">
        <f t="shared" si="480"/>
        <v>72077000</v>
      </c>
      <c r="C2729" t="str">
        <f t="shared" si="481"/>
        <v>72077001</v>
      </c>
      <c r="D2729">
        <v>89301107</v>
      </c>
      <c r="E2729" t="str">
        <f>"1353080223"</f>
        <v>1353080223</v>
      </c>
      <c r="F2729" s="1">
        <v>44987</v>
      </c>
      <c r="G2729" t="str">
        <f>"91213"</f>
        <v>91213</v>
      </c>
      <c r="H2729">
        <v>1</v>
      </c>
      <c r="I2729">
        <v>348</v>
      </c>
      <c r="J2729">
        <v>0</v>
      </c>
      <c r="K2729" t="str">
        <f t="shared" si="482"/>
        <v>813</v>
      </c>
      <c r="L2729">
        <v>292.32</v>
      </c>
    </row>
    <row r="2730" spans="1:12" x14ac:dyDescent="0.25">
      <c r="A2730" t="str">
        <f t="shared" si="477"/>
        <v>89301000</v>
      </c>
      <c r="B2730" t="str">
        <f t="shared" si="480"/>
        <v>72077000</v>
      </c>
      <c r="C2730" t="str">
        <f t="shared" si="481"/>
        <v>72077001</v>
      </c>
      <c r="D2730">
        <v>89301152</v>
      </c>
      <c r="E2730" t="str">
        <f>"7207275339"</f>
        <v>7207275339</v>
      </c>
      <c r="F2730" s="1">
        <v>44987</v>
      </c>
      <c r="G2730" t="str">
        <f>"91171"</f>
        <v>91171</v>
      </c>
      <c r="H2730">
        <v>1</v>
      </c>
      <c r="I2730">
        <v>362</v>
      </c>
      <c r="J2730">
        <v>0</v>
      </c>
      <c r="K2730" t="str">
        <f t="shared" si="482"/>
        <v>813</v>
      </c>
      <c r="L2730">
        <v>304.08</v>
      </c>
    </row>
    <row r="2731" spans="1:12" x14ac:dyDescent="0.25">
      <c r="A2731" t="str">
        <f t="shared" si="477"/>
        <v>89301000</v>
      </c>
      <c r="B2731" t="str">
        <f t="shared" si="480"/>
        <v>72077000</v>
      </c>
      <c r="C2731" t="str">
        <f t="shared" si="481"/>
        <v>72077001</v>
      </c>
      <c r="D2731">
        <v>89301152</v>
      </c>
      <c r="E2731" t="str">
        <f>"9402116141"</f>
        <v>9402116141</v>
      </c>
      <c r="F2731" s="1">
        <v>44986</v>
      </c>
      <c r="G2731" t="str">
        <f>"91361"</f>
        <v>91361</v>
      </c>
      <c r="H2731">
        <v>1</v>
      </c>
      <c r="I2731">
        <v>444</v>
      </c>
      <c r="J2731">
        <v>0</v>
      </c>
      <c r="K2731" t="str">
        <f t="shared" si="482"/>
        <v>813</v>
      </c>
      <c r="L2731">
        <v>372.96</v>
      </c>
    </row>
    <row r="2732" spans="1:12" x14ac:dyDescent="0.25">
      <c r="A2732" t="str">
        <f t="shared" si="477"/>
        <v>89301000</v>
      </c>
      <c r="B2732" t="str">
        <f t="shared" si="480"/>
        <v>72077000</v>
      </c>
      <c r="C2732" t="str">
        <f t="shared" si="481"/>
        <v>72077001</v>
      </c>
      <c r="D2732">
        <v>89301152</v>
      </c>
      <c r="E2732" t="str">
        <f>"9402116141"</f>
        <v>9402116141</v>
      </c>
      <c r="F2732" s="1">
        <v>44986</v>
      </c>
      <c r="G2732" t="str">
        <f>"91359"</f>
        <v>91359</v>
      </c>
      <c r="H2732">
        <v>1</v>
      </c>
      <c r="I2732">
        <v>205</v>
      </c>
      <c r="J2732">
        <v>0</v>
      </c>
      <c r="K2732" t="str">
        <f t="shared" si="482"/>
        <v>813</v>
      </c>
      <c r="L2732">
        <v>172.2</v>
      </c>
    </row>
    <row r="2733" spans="1:12" x14ac:dyDescent="0.25">
      <c r="A2733" t="str">
        <f t="shared" si="477"/>
        <v>89301000</v>
      </c>
      <c r="B2733" t="str">
        <f t="shared" si="480"/>
        <v>72077000</v>
      </c>
      <c r="C2733" t="str">
        <f t="shared" si="481"/>
        <v>72077001</v>
      </c>
      <c r="D2733">
        <v>89301152</v>
      </c>
      <c r="E2733" t="str">
        <f>"9402116141"</f>
        <v>9402116141</v>
      </c>
      <c r="F2733" s="1">
        <v>44986</v>
      </c>
      <c r="G2733" t="str">
        <f>"91577"</f>
        <v>91577</v>
      </c>
      <c r="H2733">
        <v>1</v>
      </c>
      <c r="I2733">
        <v>398</v>
      </c>
      <c r="J2733">
        <v>0</v>
      </c>
      <c r="K2733" t="str">
        <f t="shared" si="482"/>
        <v>813</v>
      </c>
      <c r="L2733">
        <v>334.32</v>
      </c>
    </row>
    <row r="2734" spans="1:12" x14ac:dyDescent="0.25">
      <c r="A2734" t="str">
        <f t="shared" si="477"/>
        <v>89301000</v>
      </c>
      <c r="B2734" t="str">
        <f t="shared" ref="B2734:B2765" si="485">"72077000"</f>
        <v>72077000</v>
      </c>
      <c r="C2734" t="str">
        <f t="shared" ref="C2734:C2765" si="486">"72077001"</f>
        <v>72077001</v>
      </c>
      <c r="D2734">
        <v>89301152</v>
      </c>
      <c r="E2734" t="str">
        <f>"8659165790"</f>
        <v>8659165790</v>
      </c>
      <c r="F2734" s="1">
        <v>44986</v>
      </c>
      <c r="G2734" t="str">
        <f>"91361"</f>
        <v>91361</v>
      </c>
      <c r="H2734">
        <v>1</v>
      </c>
      <c r="I2734">
        <v>444</v>
      </c>
      <c r="J2734">
        <v>0</v>
      </c>
      <c r="K2734" t="str">
        <f t="shared" ref="K2734:K2765" si="487">"813"</f>
        <v>813</v>
      </c>
      <c r="L2734">
        <v>372.96</v>
      </c>
    </row>
    <row r="2735" spans="1:12" x14ac:dyDescent="0.25">
      <c r="A2735" t="str">
        <f t="shared" si="477"/>
        <v>89301000</v>
      </c>
      <c r="B2735" t="str">
        <f t="shared" si="485"/>
        <v>72077000</v>
      </c>
      <c r="C2735" t="str">
        <f t="shared" si="486"/>
        <v>72077001</v>
      </c>
      <c r="D2735">
        <v>89301152</v>
      </c>
      <c r="E2735" t="str">
        <f>"8659165790"</f>
        <v>8659165790</v>
      </c>
      <c r="F2735" s="1">
        <v>44986</v>
      </c>
      <c r="G2735" t="str">
        <f>"91359"</f>
        <v>91359</v>
      </c>
      <c r="H2735">
        <v>1</v>
      </c>
      <c r="I2735">
        <v>205</v>
      </c>
      <c r="J2735">
        <v>0</v>
      </c>
      <c r="K2735" t="str">
        <f t="shared" si="487"/>
        <v>813</v>
      </c>
      <c r="L2735">
        <v>172.2</v>
      </c>
    </row>
    <row r="2736" spans="1:12" x14ac:dyDescent="0.25">
      <c r="A2736" t="str">
        <f t="shared" si="477"/>
        <v>89301000</v>
      </c>
      <c r="B2736" t="str">
        <f t="shared" si="485"/>
        <v>72077000</v>
      </c>
      <c r="C2736" t="str">
        <f t="shared" si="486"/>
        <v>72077001</v>
      </c>
      <c r="D2736">
        <v>89301152</v>
      </c>
      <c r="E2736" t="str">
        <f>"8659165790"</f>
        <v>8659165790</v>
      </c>
      <c r="F2736" s="1">
        <v>44986</v>
      </c>
      <c r="G2736" t="str">
        <f>"91577"</f>
        <v>91577</v>
      </c>
      <c r="H2736">
        <v>1</v>
      </c>
      <c r="I2736">
        <v>398</v>
      </c>
      <c r="J2736">
        <v>0</v>
      </c>
      <c r="K2736" t="str">
        <f t="shared" si="487"/>
        <v>813</v>
      </c>
      <c r="L2736">
        <v>334.32</v>
      </c>
    </row>
    <row r="2737" spans="1:12" x14ac:dyDescent="0.25">
      <c r="A2737" t="str">
        <f t="shared" si="477"/>
        <v>89301000</v>
      </c>
      <c r="B2737" t="str">
        <f t="shared" si="485"/>
        <v>72077000</v>
      </c>
      <c r="C2737" t="str">
        <f t="shared" si="486"/>
        <v>72077001</v>
      </c>
      <c r="D2737">
        <v>89301152</v>
      </c>
      <c r="E2737" t="str">
        <f>"8659165790"</f>
        <v>8659165790</v>
      </c>
      <c r="F2737" s="1">
        <v>44987</v>
      </c>
      <c r="G2737" t="str">
        <f>"91485"</f>
        <v>91485</v>
      </c>
      <c r="H2737">
        <v>1</v>
      </c>
      <c r="I2737">
        <v>268</v>
      </c>
      <c r="J2737">
        <v>0</v>
      </c>
      <c r="K2737" t="str">
        <f t="shared" si="487"/>
        <v>813</v>
      </c>
      <c r="L2737">
        <v>225.12</v>
      </c>
    </row>
    <row r="2738" spans="1:12" x14ac:dyDescent="0.25">
      <c r="A2738" t="str">
        <f t="shared" si="477"/>
        <v>89301000</v>
      </c>
      <c r="B2738" t="str">
        <f t="shared" si="485"/>
        <v>72077000</v>
      </c>
      <c r="C2738" t="str">
        <f t="shared" si="486"/>
        <v>72077001</v>
      </c>
      <c r="D2738">
        <v>89301152</v>
      </c>
      <c r="E2738" t="str">
        <f>"9156216179"</f>
        <v>9156216179</v>
      </c>
      <c r="F2738" s="1">
        <v>44991</v>
      </c>
      <c r="G2738" t="str">
        <f>"91197"</f>
        <v>91197</v>
      </c>
      <c r="H2738">
        <v>1</v>
      </c>
      <c r="I2738">
        <v>1048</v>
      </c>
      <c r="J2738">
        <v>0</v>
      </c>
      <c r="K2738" t="str">
        <f t="shared" si="487"/>
        <v>813</v>
      </c>
      <c r="L2738">
        <v>880.32</v>
      </c>
    </row>
    <row r="2739" spans="1:12" x14ac:dyDescent="0.25">
      <c r="A2739" t="str">
        <f t="shared" si="477"/>
        <v>89301000</v>
      </c>
      <c r="B2739" t="str">
        <f t="shared" si="485"/>
        <v>72077000</v>
      </c>
      <c r="C2739" t="str">
        <f t="shared" si="486"/>
        <v>72077001</v>
      </c>
      <c r="D2739">
        <v>89301152</v>
      </c>
      <c r="E2739" t="str">
        <f>"9156216179"</f>
        <v>9156216179</v>
      </c>
      <c r="F2739" s="1">
        <v>44992</v>
      </c>
      <c r="G2739" t="str">
        <f>"91465"</f>
        <v>91465</v>
      </c>
      <c r="H2739">
        <v>1</v>
      </c>
      <c r="I2739">
        <v>1412</v>
      </c>
      <c r="J2739">
        <v>0</v>
      </c>
      <c r="K2739" t="str">
        <f t="shared" si="487"/>
        <v>813</v>
      </c>
      <c r="L2739">
        <v>1186.08</v>
      </c>
    </row>
    <row r="2740" spans="1:12" x14ac:dyDescent="0.25">
      <c r="A2740" t="str">
        <f t="shared" si="477"/>
        <v>89301000</v>
      </c>
      <c r="B2740" t="str">
        <f t="shared" si="485"/>
        <v>72077000</v>
      </c>
      <c r="C2740" t="str">
        <f t="shared" si="486"/>
        <v>72077001</v>
      </c>
      <c r="D2740">
        <v>89301152</v>
      </c>
      <c r="E2740" t="str">
        <f>"9959045712"</f>
        <v>9959045712</v>
      </c>
      <c r="F2740" s="1">
        <v>44991</v>
      </c>
      <c r="G2740" t="str">
        <f>"91197"</f>
        <v>91197</v>
      </c>
      <c r="H2740">
        <v>1</v>
      </c>
      <c r="I2740">
        <v>1048</v>
      </c>
      <c r="J2740">
        <v>0</v>
      </c>
      <c r="K2740" t="str">
        <f t="shared" si="487"/>
        <v>813</v>
      </c>
      <c r="L2740">
        <v>880.32</v>
      </c>
    </row>
    <row r="2741" spans="1:12" x14ac:dyDescent="0.25">
      <c r="A2741" t="str">
        <f t="shared" si="477"/>
        <v>89301000</v>
      </c>
      <c r="B2741" t="str">
        <f t="shared" si="485"/>
        <v>72077000</v>
      </c>
      <c r="C2741" t="str">
        <f t="shared" si="486"/>
        <v>72077001</v>
      </c>
      <c r="D2741">
        <v>89301152</v>
      </c>
      <c r="E2741" t="str">
        <f>"9959045712"</f>
        <v>9959045712</v>
      </c>
      <c r="F2741" s="1">
        <v>44992</v>
      </c>
      <c r="G2741" t="str">
        <f>"91465"</f>
        <v>91465</v>
      </c>
      <c r="H2741">
        <v>1</v>
      </c>
      <c r="I2741">
        <v>1412</v>
      </c>
      <c r="J2741">
        <v>0</v>
      </c>
      <c r="K2741" t="str">
        <f t="shared" si="487"/>
        <v>813</v>
      </c>
      <c r="L2741">
        <v>1186.08</v>
      </c>
    </row>
    <row r="2742" spans="1:12" x14ac:dyDescent="0.25">
      <c r="A2742" t="str">
        <f t="shared" si="477"/>
        <v>89301000</v>
      </c>
      <c r="B2742" t="str">
        <f t="shared" si="485"/>
        <v>72077000</v>
      </c>
      <c r="C2742" t="str">
        <f t="shared" si="486"/>
        <v>72077001</v>
      </c>
      <c r="D2742">
        <v>89301152</v>
      </c>
      <c r="E2742" t="str">
        <f>"7458165528"</f>
        <v>7458165528</v>
      </c>
      <c r="F2742" s="1">
        <v>44993</v>
      </c>
      <c r="G2742" t="str">
        <f>"91485"</f>
        <v>91485</v>
      </c>
      <c r="H2742">
        <v>1</v>
      </c>
      <c r="I2742">
        <v>268</v>
      </c>
      <c r="J2742">
        <v>0</v>
      </c>
      <c r="K2742" t="str">
        <f t="shared" si="487"/>
        <v>813</v>
      </c>
      <c r="L2742">
        <v>225.12</v>
      </c>
    </row>
    <row r="2743" spans="1:12" x14ac:dyDescent="0.25">
      <c r="A2743" t="str">
        <f t="shared" si="477"/>
        <v>89301000</v>
      </c>
      <c r="B2743" t="str">
        <f t="shared" si="485"/>
        <v>72077000</v>
      </c>
      <c r="C2743" t="str">
        <f t="shared" si="486"/>
        <v>72077001</v>
      </c>
      <c r="D2743">
        <v>89301152</v>
      </c>
      <c r="E2743" t="str">
        <f>"7458165528"</f>
        <v>7458165528</v>
      </c>
      <c r="F2743" s="1">
        <v>44993</v>
      </c>
      <c r="G2743" t="str">
        <f>"91361"</f>
        <v>91361</v>
      </c>
      <c r="H2743">
        <v>1</v>
      </c>
      <c r="I2743">
        <v>444</v>
      </c>
      <c r="J2743">
        <v>0</v>
      </c>
      <c r="K2743" t="str">
        <f t="shared" si="487"/>
        <v>813</v>
      </c>
      <c r="L2743">
        <v>372.96</v>
      </c>
    </row>
    <row r="2744" spans="1:12" x14ac:dyDescent="0.25">
      <c r="A2744" t="str">
        <f t="shared" si="477"/>
        <v>89301000</v>
      </c>
      <c r="B2744" t="str">
        <f t="shared" si="485"/>
        <v>72077000</v>
      </c>
      <c r="C2744" t="str">
        <f t="shared" si="486"/>
        <v>72077001</v>
      </c>
      <c r="D2744">
        <v>89301152</v>
      </c>
      <c r="E2744" t="str">
        <f>"7458165528"</f>
        <v>7458165528</v>
      </c>
      <c r="F2744" s="1">
        <v>44993</v>
      </c>
      <c r="G2744" t="str">
        <f>"91359"</f>
        <v>91359</v>
      </c>
      <c r="H2744">
        <v>1</v>
      </c>
      <c r="I2744">
        <v>205</v>
      </c>
      <c r="J2744">
        <v>0</v>
      </c>
      <c r="K2744" t="str">
        <f t="shared" si="487"/>
        <v>813</v>
      </c>
      <c r="L2744">
        <v>172.2</v>
      </c>
    </row>
    <row r="2745" spans="1:12" x14ac:dyDescent="0.25">
      <c r="A2745" t="str">
        <f t="shared" si="477"/>
        <v>89301000</v>
      </c>
      <c r="B2745" t="str">
        <f t="shared" si="485"/>
        <v>72077000</v>
      </c>
      <c r="C2745" t="str">
        <f t="shared" si="486"/>
        <v>72077001</v>
      </c>
      <c r="D2745">
        <v>89301152</v>
      </c>
      <c r="E2745" t="str">
        <f>"7458165528"</f>
        <v>7458165528</v>
      </c>
      <c r="F2745" s="1">
        <v>44993</v>
      </c>
      <c r="G2745" t="str">
        <f>"91577"</f>
        <v>91577</v>
      </c>
      <c r="H2745">
        <v>1</v>
      </c>
      <c r="I2745">
        <v>398</v>
      </c>
      <c r="J2745">
        <v>0</v>
      </c>
      <c r="K2745" t="str">
        <f t="shared" si="487"/>
        <v>813</v>
      </c>
      <c r="L2745">
        <v>334.32</v>
      </c>
    </row>
    <row r="2746" spans="1:12" x14ac:dyDescent="0.25">
      <c r="A2746" t="str">
        <f t="shared" si="477"/>
        <v>89301000</v>
      </c>
      <c r="B2746" t="str">
        <f t="shared" si="485"/>
        <v>72077000</v>
      </c>
      <c r="C2746" t="str">
        <f t="shared" si="486"/>
        <v>72077001</v>
      </c>
      <c r="D2746">
        <v>89301152</v>
      </c>
      <c r="E2746" t="str">
        <f>"0257243932"</f>
        <v>0257243932</v>
      </c>
      <c r="F2746" s="1">
        <v>45001</v>
      </c>
      <c r="G2746" t="str">
        <f>"91197"</f>
        <v>91197</v>
      </c>
      <c r="H2746">
        <v>1</v>
      </c>
      <c r="I2746">
        <v>1048</v>
      </c>
      <c r="J2746">
        <v>0</v>
      </c>
      <c r="K2746" t="str">
        <f t="shared" si="487"/>
        <v>813</v>
      </c>
      <c r="L2746">
        <v>880.32</v>
      </c>
    </row>
    <row r="2747" spans="1:12" x14ac:dyDescent="0.25">
      <c r="A2747" t="str">
        <f t="shared" si="477"/>
        <v>89301000</v>
      </c>
      <c r="B2747" t="str">
        <f t="shared" si="485"/>
        <v>72077000</v>
      </c>
      <c r="C2747" t="str">
        <f t="shared" si="486"/>
        <v>72077001</v>
      </c>
      <c r="D2747">
        <v>89301152</v>
      </c>
      <c r="E2747" t="str">
        <f>"0257243932"</f>
        <v>0257243932</v>
      </c>
      <c r="F2747" s="1">
        <v>45001</v>
      </c>
      <c r="G2747" t="str">
        <f>"91465"</f>
        <v>91465</v>
      </c>
      <c r="H2747">
        <v>1</v>
      </c>
      <c r="I2747">
        <v>1412</v>
      </c>
      <c r="J2747">
        <v>0</v>
      </c>
      <c r="K2747" t="str">
        <f t="shared" si="487"/>
        <v>813</v>
      </c>
      <c r="L2747">
        <v>1186.08</v>
      </c>
    </row>
    <row r="2748" spans="1:12" x14ac:dyDescent="0.25">
      <c r="A2748" t="str">
        <f t="shared" si="477"/>
        <v>89301000</v>
      </c>
      <c r="B2748" t="str">
        <f t="shared" si="485"/>
        <v>72077000</v>
      </c>
      <c r="C2748" t="str">
        <f t="shared" si="486"/>
        <v>72077001</v>
      </c>
      <c r="D2748">
        <v>89301152</v>
      </c>
      <c r="E2748" t="str">
        <f>"6451161805"</f>
        <v>6451161805</v>
      </c>
      <c r="F2748" s="1">
        <v>45002</v>
      </c>
      <c r="G2748" t="str">
        <f>"91219"</f>
        <v>91219</v>
      </c>
      <c r="H2748">
        <v>1</v>
      </c>
      <c r="I2748">
        <v>343</v>
      </c>
      <c r="J2748">
        <v>0</v>
      </c>
      <c r="K2748" t="str">
        <f t="shared" si="487"/>
        <v>813</v>
      </c>
      <c r="L2748">
        <v>288.12</v>
      </c>
    </row>
    <row r="2749" spans="1:12" x14ac:dyDescent="0.25">
      <c r="A2749" t="str">
        <f t="shared" si="477"/>
        <v>89301000</v>
      </c>
      <c r="B2749" t="str">
        <f t="shared" si="485"/>
        <v>72077000</v>
      </c>
      <c r="C2749" t="str">
        <f t="shared" si="486"/>
        <v>72077001</v>
      </c>
      <c r="D2749">
        <v>89301152</v>
      </c>
      <c r="E2749" t="str">
        <f>"6451161805"</f>
        <v>6451161805</v>
      </c>
      <c r="F2749" s="1">
        <v>45002</v>
      </c>
      <c r="G2749" t="str">
        <f>"91219"</f>
        <v>91219</v>
      </c>
      <c r="H2749">
        <v>1</v>
      </c>
      <c r="I2749">
        <v>343</v>
      </c>
      <c r="J2749">
        <v>0</v>
      </c>
      <c r="K2749" t="str">
        <f t="shared" si="487"/>
        <v>813</v>
      </c>
      <c r="L2749">
        <v>288.12</v>
      </c>
    </row>
    <row r="2750" spans="1:12" x14ac:dyDescent="0.25">
      <c r="A2750" t="str">
        <f t="shared" si="477"/>
        <v>89301000</v>
      </c>
      <c r="B2750" t="str">
        <f t="shared" si="485"/>
        <v>72077000</v>
      </c>
      <c r="C2750" t="str">
        <f t="shared" si="486"/>
        <v>72077001</v>
      </c>
      <c r="D2750">
        <v>89301152</v>
      </c>
      <c r="E2750" t="str">
        <f>"6451161805"</f>
        <v>6451161805</v>
      </c>
      <c r="F2750" s="1">
        <v>45002</v>
      </c>
      <c r="G2750" t="str">
        <f>"91219"</f>
        <v>91219</v>
      </c>
      <c r="H2750">
        <v>1</v>
      </c>
      <c r="I2750">
        <v>343</v>
      </c>
      <c r="J2750">
        <v>0</v>
      </c>
      <c r="K2750" t="str">
        <f t="shared" si="487"/>
        <v>813</v>
      </c>
      <c r="L2750">
        <v>288.12</v>
      </c>
    </row>
    <row r="2751" spans="1:12" x14ac:dyDescent="0.25">
      <c r="A2751" t="str">
        <f t="shared" si="477"/>
        <v>89301000</v>
      </c>
      <c r="B2751" t="str">
        <f t="shared" si="485"/>
        <v>72077000</v>
      </c>
      <c r="C2751" t="str">
        <f t="shared" si="486"/>
        <v>72077001</v>
      </c>
      <c r="D2751">
        <v>89301152</v>
      </c>
      <c r="E2751" t="str">
        <f>"6451161805"</f>
        <v>6451161805</v>
      </c>
      <c r="F2751" s="1">
        <v>45002</v>
      </c>
      <c r="G2751" t="str">
        <f>"91219"</f>
        <v>91219</v>
      </c>
      <c r="H2751">
        <v>1</v>
      </c>
      <c r="I2751">
        <v>343</v>
      </c>
      <c r="J2751">
        <v>0</v>
      </c>
      <c r="K2751" t="str">
        <f t="shared" si="487"/>
        <v>813</v>
      </c>
      <c r="L2751">
        <v>288.12</v>
      </c>
    </row>
    <row r="2752" spans="1:12" x14ac:dyDescent="0.25">
      <c r="A2752" t="str">
        <f t="shared" si="477"/>
        <v>89301000</v>
      </c>
      <c r="B2752" t="str">
        <f t="shared" si="485"/>
        <v>72077000</v>
      </c>
      <c r="C2752" t="str">
        <f t="shared" si="486"/>
        <v>72077001</v>
      </c>
      <c r="D2752">
        <v>89301152</v>
      </c>
      <c r="E2752" t="str">
        <f t="shared" ref="E2752:E2765" si="488">"7161275847"</f>
        <v>7161275847</v>
      </c>
      <c r="F2752" s="1">
        <v>45000</v>
      </c>
      <c r="G2752" t="str">
        <f>"82079"</f>
        <v>82079</v>
      </c>
      <c r="H2752">
        <v>1</v>
      </c>
      <c r="I2752">
        <v>333</v>
      </c>
      <c r="J2752">
        <v>0</v>
      </c>
      <c r="K2752" t="str">
        <f t="shared" si="487"/>
        <v>813</v>
      </c>
      <c r="L2752">
        <v>279.72000000000003</v>
      </c>
    </row>
    <row r="2753" spans="1:12" x14ac:dyDescent="0.25">
      <c r="A2753" t="str">
        <f t="shared" si="477"/>
        <v>89301000</v>
      </c>
      <c r="B2753" t="str">
        <f t="shared" si="485"/>
        <v>72077000</v>
      </c>
      <c r="C2753" t="str">
        <f t="shared" si="486"/>
        <v>72077001</v>
      </c>
      <c r="D2753">
        <v>89301152</v>
      </c>
      <c r="E2753" t="str">
        <f t="shared" si="488"/>
        <v>7161275847</v>
      </c>
      <c r="F2753" s="1">
        <v>45000</v>
      </c>
      <c r="G2753" t="str">
        <f t="shared" ref="G2753:G2758" si="489">"82113"</f>
        <v>82113</v>
      </c>
      <c r="H2753">
        <v>1</v>
      </c>
      <c r="I2753">
        <v>363</v>
      </c>
      <c r="J2753">
        <v>0</v>
      </c>
      <c r="K2753" t="str">
        <f t="shared" si="487"/>
        <v>813</v>
      </c>
      <c r="L2753">
        <v>304.92</v>
      </c>
    </row>
    <row r="2754" spans="1:12" x14ac:dyDescent="0.25">
      <c r="A2754" t="str">
        <f t="shared" ref="A2754:A2817" si="490">"89301000"</f>
        <v>89301000</v>
      </c>
      <c r="B2754" t="str">
        <f t="shared" si="485"/>
        <v>72077000</v>
      </c>
      <c r="C2754" t="str">
        <f t="shared" si="486"/>
        <v>72077001</v>
      </c>
      <c r="D2754">
        <v>89301152</v>
      </c>
      <c r="E2754" t="str">
        <f t="shared" si="488"/>
        <v>7161275847</v>
      </c>
      <c r="F2754" s="1">
        <v>45000</v>
      </c>
      <c r="G2754" t="str">
        <f t="shared" si="489"/>
        <v>82113</v>
      </c>
      <c r="H2754">
        <v>2</v>
      </c>
      <c r="I2754">
        <v>726</v>
      </c>
      <c r="J2754">
        <v>0</v>
      </c>
      <c r="K2754" t="str">
        <f t="shared" si="487"/>
        <v>813</v>
      </c>
      <c r="L2754">
        <v>609.84</v>
      </c>
    </row>
    <row r="2755" spans="1:12" x14ac:dyDescent="0.25">
      <c r="A2755" t="str">
        <f t="shared" si="490"/>
        <v>89301000</v>
      </c>
      <c r="B2755" t="str">
        <f t="shared" si="485"/>
        <v>72077000</v>
      </c>
      <c r="C2755" t="str">
        <f t="shared" si="486"/>
        <v>72077001</v>
      </c>
      <c r="D2755">
        <v>89301152</v>
      </c>
      <c r="E2755" t="str">
        <f t="shared" si="488"/>
        <v>7161275847</v>
      </c>
      <c r="F2755" s="1">
        <v>45000</v>
      </c>
      <c r="G2755" t="str">
        <f t="shared" si="489"/>
        <v>82113</v>
      </c>
      <c r="H2755">
        <v>1</v>
      </c>
      <c r="I2755">
        <v>363</v>
      </c>
      <c r="J2755">
        <v>0</v>
      </c>
      <c r="K2755" t="str">
        <f t="shared" si="487"/>
        <v>813</v>
      </c>
      <c r="L2755">
        <v>304.92</v>
      </c>
    </row>
    <row r="2756" spans="1:12" x14ac:dyDescent="0.25">
      <c r="A2756" t="str">
        <f t="shared" si="490"/>
        <v>89301000</v>
      </c>
      <c r="B2756" t="str">
        <f t="shared" si="485"/>
        <v>72077000</v>
      </c>
      <c r="C2756" t="str">
        <f t="shared" si="486"/>
        <v>72077001</v>
      </c>
      <c r="D2756">
        <v>89301152</v>
      </c>
      <c r="E2756" t="str">
        <f t="shared" si="488"/>
        <v>7161275847</v>
      </c>
      <c r="F2756" s="1">
        <v>45000</v>
      </c>
      <c r="G2756" t="str">
        <f t="shared" si="489"/>
        <v>82113</v>
      </c>
      <c r="H2756">
        <v>1</v>
      </c>
      <c r="I2756">
        <v>363</v>
      </c>
      <c r="J2756">
        <v>0</v>
      </c>
      <c r="K2756" t="str">
        <f t="shared" si="487"/>
        <v>813</v>
      </c>
      <c r="L2756">
        <v>304.92</v>
      </c>
    </row>
    <row r="2757" spans="1:12" x14ac:dyDescent="0.25">
      <c r="A2757" t="str">
        <f t="shared" si="490"/>
        <v>89301000</v>
      </c>
      <c r="B2757" t="str">
        <f t="shared" si="485"/>
        <v>72077000</v>
      </c>
      <c r="C2757" t="str">
        <f t="shared" si="486"/>
        <v>72077001</v>
      </c>
      <c r="D2757">
        <v>89301152</v>
      </c>
      <c r="E2757" t="str">
        <f t="shared" si="488"/>
        <v>7161275847</v>
      </c>
      <c r="F2757" s="1">
        <v>45000</v>
      </c>
      <c r="G2757" t="str">
        <f t="shared" si="489"/>
        <v>82113</v>
      </c>
      <c r="H2757">
        <v>1</v>
      </c>
      <c r="I2757">
        <v>363</v>
      </c>
      <c r="J2757">
        <v>0</v>
      </c>
      <c r="K2757" t="str">
        <f t="shared" si="487"/>
        <v>813</v>
      </c>
      <c r="L2757">
        <v>304.92</v>
      </c>
    </row>
    <row r="2758" spans="1:12" x14ac:dyDescent="0.25">
      <c r="A2758" t="str">
        <f t="shared" si="490"/>
        <v>89301000</v>
      </c>
      <c r="B2758" t="str">
        <f t="shared" si="485"/>
        <v>72077000</v>
      </c>
      <c r="C2758" t="str">
        <f t="shared" si="486"/>
        <v>72077001</v>
      </c>
      <c r="D2758">
        <v>89301152</v>
      </c>
      <c r="E2758" t="str">
        <f t="shared" si="488"/>
        <v>7161275847</v>
      </c>
      <c r="F2758" s="1">
        <v>45000</v>
      </c>
      <c r="G2758" t="str">
        <f t="shared" si="489"/>
        <v>82113</v>
      </c>
      <c r="H2758">
        <v>2</v>
      </c>
      <c r="I2758">
        <v>726</v>
      </c>
      <c r="J2758">
        <v>0</v>
      </c>
      <c r="K2758" t="str">
        <f t="shared" si="487"/>
        <v>813</v>
      </c>
      <c r="L2758">
        <v>609.84</v>
      </c>
    </row>
    <row r="2759" spans="1:12" x14ac:dyDescent="0.25">
      <c r="A2759" t="str">
        <f t="shared" si="490"/>
        <v>89301000</v>
      </c>
      <c r="B2759" t="str">
        <f t="shared" si="485"/>
        <v>72077000</v>
      </c>
      <c r="C2759" t="str">
        <f t="shared" si="486"/>
        <v>72077001</v>
      </c>
      <c r="D2759">
        <v>89301152</v>
      </c>
      <c r="E2759" t="str">
        <f t="shared" si="488"/>
        <v>7161275847</v>
      </c>
      <c r="F2759" s="1">
        <v>45002</v>
      </c>
      <c r="G2759" t="str">
        <f t="shared" ref="G2759:G2765" si="491">"82079"</f>
        <v>82079</v>
      </c>
      <c r="H2759">
        <v>1</v>
      </c>
      <c r="I2759">
        <v>333</v>
      </c>
      <c r="J2759">
        <v>0</v>
      </c>
      <c r="K2759" t="str">
        <f t="shared" si="487"/>
        <v>813</v>
      </c>
      <c r="L2759">
        <v>279.72000000000003</v>
      </c>
    </row>
    <row r="2760" spans="1:12" x14ac:dyDescent="0.25">
      <c r="A2760" t="str">
        <f t="shared" si="490"/>
        <v>89301000</v>
      </c>
      <c r="B2760" t="str">
        <f t="shared" si="485"/>
        <v>72077000</v>
      </c>
      <c r="C2760" t="str">
        <f t="shared" si="486"/>
        <v>72077001</v>
      </c>
      <c r="D2760">
        <v>89301152</v>
      </c>
      <c r="E2760" t="str">
        <f t="shared" si="488"/>
        <v>7161275847</v>
      </c>
      <c r="F2760" s="1">
        <v>45002</v>
      </c>
      <c r="G2760" t="str">
        <f t="shared" si="491"/>
        <v>82079</v>
      </c>
      <c r="H2760">
        <v>1</v>
      </c>
      <c r="I2760">
        <v>333</v>
      </c>
      <c r="J2760">
        <v>0</v>
      </c>
      <c r="K2760" t="str">
        <f t="shared" si="487"/>
        <v>813</v>
      </c>
      <c r="L2760">
        <v>279.72000000000003</v>
      </c>
    </row>
    <row r="2761" spans="1:12" x14ac:dyDescent="0.25">
      <c r="A2761" t="str">
        <f t="shared" si="490"/>
        <v>89301000</v>
      </c>
      <c r="B2761" t="str">
        <f t="shared" si="485"/>
        <v>72077000</v>
      </c>
      <c r="C2761" t="str">
        <f t="shared" si="486"/>
        <v>72077001</v>
      </c>
      <c r="D2761">
        <v>89301152</v>
      </c>
      <c r="E2761" t="str">
        <f t="shared" si="488"/>
        <v>7161275847</v>
      </c>
      <c r="F2761" s="1">
        <v>45002</v>
      </c>
      <c r="G2761" t="str">
        <f t="shared" si="491"/>
        <v>82079</v>
      </c>
      <c r="H2761">
        <v>1</v>
      </c>
      <c r="I2761">
        <v>333</v>
      </c>
      <c r="J2761">
        <v>0</v>
      </c>
      <c r="K2761" t="str">
        <f t="shared" si="487"/>
        <v>813</v>
      </c>
      <c r="L2761">
        <v>279.72000000000003</v>
      </c>
    </row>
    <row r="2762" spans="1:12" x14ac:dyDescent="0.25">
      <c r="A2762" t="str">
        <f t="shared" si="490"/>
        <v>89301000</v>
      </c>
      <c r="B2762" t="str">
        <f t="shared" si="485"/>
        <v>72077000</v>
      </c>
      <c r="C2762" t="str">
        <f t="shared" si="486"/>
        <v>72077001</v>
      </c>
      <c r="D2762">
        <v>89301152</v>
      </c>
      <c r="E2762" t="str">
        <f t="shared" si="488"/>
        <v>7161275847</v>
      </c>
      <c r="F2762" s="1">
        <v>45002</v>
      </c>
      <c r="G2762" t="str">
        <f t="shared" si="491"/>
        <v>82079</v>
      </c>
      <c r="H2762">
        <v>1</v>
      </c>
      <c r="I2762">
        <v>333</v>
      </c>
      <c r="J2762">
        <v>0</v>
      </c>
      <c r="K2762" t="str">
        <f t="shared" si="487"/>
        <v>813</v>
      </c>
      <c r="L2762">
        <v>279.72000000000003</v>
      </c>
    </row>
    <row r="2763" spans="1:12" x14ac:dyDescent="0.25">
      <c r="A2763" t="str">
        <f t="shared" si="490"/>
        <v>89301000</v>
      </c>
      <c r="B2763" t="str">
        <f t="shared" si="485"/>
        <v>72077000</v>
      </c>
      <c r="C2763" t="str">
        <f t="shared" si="486"/>
        <v>72077001</v>
      </c>
      <c r="D2763">
        <v>89301152</v>
      </c>
      <c r="E2763" t="str">
        <f t="shared" si="488"/>
        <v>7161275847</v>
      </c>
      <c r="F2763" s="1">
        <v>45002</v>
      </c>
      <c r="G2763" t="str">
        <f t="shared" si="491"/>
        <v>82079</v>
      </c>
      <c r="H2763">
        <v>1</v>
      </c>
      <c r="I2763">
        <v>333</v>
      </c>
      <c r="J2763">
        <v>0</v>
      </c>
      <c r="K2763" t="str">
        <f t="shared" si="487"/>
        <v>813</v>
      </c>
      <c r="L2763">
        <v>279.72000000000003</v>
      </c>
    </row>
    <row r="2764" spans="1:12" x14ac:dyDescent="0.25">
      <c r="A2764" t="str">
        <f t="shared" si="490"/>
        <v>89301000</v>
      </c>
      <c r="B2764" t="str">
        <f t="shared" si="485"/>
        <v>72077000</v>
      </c>
      <c r="C2764" t="str">
        <f t="shared" si="486"/>
        <v>72077001</v>
      </c>
      <c r="D2764">
        <v>89301152</v>
      </c>
      <c r="E2764" t="str">
        <f t="shared" si="488"/>
        <v>7161275847</v>
      </c>
      <c r="F2764" s="1">
        <v>45002</v>
      </c>
      <c r="G2764" t="str">
        <f t="shared" si="491"/>
        <v>82079</v>
      </c>
      <c r="H2764">
        <v>1</v>
      </c>
      <c r="I2764">
        <v>333</v>
      </c>
      <c r="J2764">
        <v>0</v>
      </c>
      <c r="K2764" t="str">
        <f t="shared" si="487"/>
        <v>813</v>
      </c>
      <c r="L2764">
        <v>279.72000000000003</v>
      </c>
    </row>
    <row r="2765" spans="1:12" x14ac:dyDescent="0.25">
      <c r="A2765" t="str">
        <f t="shared" si="490"/>
        <v>89301000</v>
      </c>
      <c r="B2765" t="str">
        <f t="shared" si="485"/>
        <v>72077000</v>
      </c>
      <c r="C2765" t="str">
        <f t="shared" si="486"/>
        <v>72077001</v>
      </c>
      <c r="D2765">
        <v>89301152</v>
      </c>
      <c r="E2765" t="str">
        <f t="shared" si="488"/>
        <v>7161275847</v>
      </c>
      <c r="F2765" s="1">
        <v>45002</v>
      </c>
      <c r="G2765" t="str">
        <f t="shared" si="491"/>
        <v>82079</v>
      </c>
      <c r="H2765">
        <v>1</v>
      </c>
      <c r="I2765">
        <v>333</v>
      </c>
      <c r="J2765">
        <v>0</v>
      </c>
      <c r="K2765" t="str">
        <f t="shared" si="487"/>
        <v>813</v>
      </c>
      <c r="L2765">
        <v>279.72000000000003</v>
      </c>
    </row>
    <row r="2766" spans="1:12" x14ac:dyDescent="0.25">
      <c r="A2766" t="str">
        <f t="shared" si="490"/>
        <v>89301000</v>
      </c>
      <c r="B2766" t="str">
        <f t="shared" ref="B2766:B2797" si="492">"72077000"</f>
        <v>72077000</v>
      </c>
      <c r="C2766" t="str">
        <f t="shared" ref="C2766:C2797" si="493">"72077001"</f>
        <v>72077001</v>
      </c>
      <c r="D2766">
        <v>89301152</v>
      </c>
      <c r="E2766" t="str">
        <f>"7755015411"</f>
        <v>7755015411</v>
      </c>
      <c r="F2766" s="1">
        <v>45001</v>
      </c>
      <c r="G2766" t="str">
        <f>"91197"</f>
        <v>91197</v>
      </c>
      <c r="H2766">
        <v>1</v>
      </c>
      <c r="I2766">
        <v>1048</v>
      </c>
      <c r="J2766">
        <v>0</v>
      </c>
      <c r="K2766" t="str">
        <f t="shared" ref="K2766:K2797" si="494">"813"</f>
        <v>813</v>
      </c>
      <c r="L2766">
        <v>880.32</v>
      </c>
    </row>
    <row r="2767" spans="1:12" x14ac:dyDescent="0.25">
      <c r="A2767" t="str">
        <f t="shared" si="490"/>
        <v>89301000</v>
      </c>
      <c r="B2767" t="str">
        <f t="shared" si="492"/>
        <v>72077000</v>
      </c>
      <c r="C2767" t="str">
        <f t="shared" si="493"/>
        <v>72077001</v>
      </c>
      <c r="D2767">
        <v>89301152</v>
      </c>
      <c r="E2767" t="str">
        <f>"7755015411"</f>
        <v>7755015411</v>
      </c>
      <c r="F2767" s="1">
        <v>45001</v>
      </c>
      <c r="G2767" t="str">
        <f>"91465"</f>
        <v>91465</v>
      </c>
      <c r="H2767">
        <v>1</v>
      </c>
      <c r="I2767">
        <v>1412</v>
      </c>
      <c r="J2767">
        <v>0</v>
      </c>
      <c r="K2767" t="str">
        <f t="shared" si="494"/>
        <v>813</v>
      </c>
      <c r="L2767">
        <v>1186.08</v>
      </c>
    </row>
    <row r="2768" spans="1:12" x14ac:dyDescent="0.25">
      <c r="A2768" t="str">
        <f t="shared" si="490"/>
        <v>89301000</v>
      </c>
      <c r="B2768" t="str">
        <f t="shared" si="492"/>
        <v>72077000</v>
      </c>
      <c r="C2768" t="str">
        <f t="shared" si="493"/>
        <v>72077001</v>
      </c>
      <c r="D2768">
        <v>89301152</v>
      </c>
      <c r="E2768" t="str">
        <f>"7860124470"</f>
        <v>7860124470</v>
      </c>
      <c r="F2768" s="1">
        <v>45002</v>
      </c>
      <c r="G2768" t="str">
        <f>"91219"</f>
        <v>91219</v>
      </c>
      <c r="H2768">
        <v>4</v>
      </c>
      <c r="I2768">
        <v>1372</v>
      </c>
      <c r="J2768">
        <v>0</v>
      </c>
      <c r="K2768" t="str">
        <f t="shared" si="494"/>
        <v>813</v>
      </c>
      <c r="L2768">
        <v>1152.48</v>
      </c>
    </row>
    <row r="2769" spans="1:12" x14ac:dyDescent="0.25">
      <c r="A2769" t="str">
        <f t="shared" si="490"/>
        <v>89301000</v>
      </c>
      <c r="B2769" t="str">
        <f t="shared" si="492"/>
        <v>72077000</v>
      </c>
      <c r="C2769" t="str">
        <f t="shared" si="493"/>
        <v>72077001</v>
      </c>
      <c r="D2769">
        <v>89301152</v>
      </c>
      <c r="E2769" t="str">
        <f>"521007390"</f>
        <v>521007390</v>
      </c>
      <c r="F2769" s="1">
        <v>45006</v>
      </c>
      <c r="G2769" t="str">
        <f>"91465"</f>
        <v>91465</v>
      </c>
      <c r="H2769">
        <v>1</v>
      </c>
      <c r="I2769">
        <v>1412</v>
      </c>
      <c r="J2769">
        <v>0</v>
      </c>
      <c r="K2769" t="str">
        <f t="shared" si="494"/>
        <v>813</v>
      </c>
      <c r="L2769">
        <v>1186.08</v>
      </c>
    </row>
    <row r="2770" spans="1:12" x14ac:dyDescent="0.25">
      <c r="A2770" t="str">
        <f t="shared" si="490"/>
        <v>89301000</v>
      </c>
      <c r="B2770" t="str">
        <f t="shared" si="492"/>
        <v>72077000</v>
      </c>
      <c r="C2770" t="str">
        <f t="shared" si="493"/>
        <v>72077001</v>
      </c>
      <c r="D2770">
        <v>89301152</v>
      </c>
      <c r="E2770" t="str">
        <f>"521007390"</f>
        <v>521007390</v>
      </c>
      <c r="F2770" s="1">
        <v>45006</v>
      </c>
      <c r="G2770" t="str">
        <f>"91197"</f>
        <v>91197</v>
      </c>
      <c r="H2770">
        <v>1</v>
      </c>
      <c r="I2770">
        <v>1048</v>
      </c>
      <c r="J2770">
        <v>0</v>
      </c>
      <c r="K2770" t="str">
        <f t="shared" si="494"/>
        <v>813</v>
      </c>
      <c r="L2770">
        <v>880.32</v>
      </c>
    </row>
    <row r="2771" spans="1:12" x14ac:dyDescent="0.25">
      <c r="A2771" t="str">
        <f t="shared" si="490"/>
        <v>89301000</v>
      </c>
      <c r="B2771" t="str">
        <f t="shared" si="492"/>
        <v>72077000</v>
      </c>
      <c r="C2771" t="str">
        <f t="shared" si="493"/>
        <v>72077001</v>
      </c>
      <c r="D2771">
        <v>89301152</v>
      </c>
      <c r="E2771" t="str">
        <f>"0354206149"</f>
        <v>0354206149</v>
      </c>
      <c r="F2771" s="1">
        <v>45006</v>
      </c>
      <c r="G2771" t="str">
        <f>"91219"</f>
        <v>91219</v>
      </c>
      <c r="H2771">
        <v>1</v>
      </c>
      <c r="I2771">
        <v>343</v>
      </c>
      <c r="J2771">
        <v>0</v>
      </c>
      <c r="K2771" t="str">
        <f t="shared" si="494"/>
        <v>813</v>
      </c>
      <c r="L2771">
        <v>288.12</v>
      </c>
    </row>
    <row r="2772" spans="1:12" x14ac:dyDescent="0.25">
      <c r="A2772" t="str">
        <f t="shared" si="490"/>
        <v>89301000</v>
      </c>
      <c r="B2772" t="str">
        <f t="shared" si="492"/>
        <v>72077000</v>
      </c>
      <c r="C2772" t="str">
        <f t="shared" si="493"/>
        <v>72077001</v>
      </c>
      <c r="D2772">
        <v>89301152</v>
      </c>
      <c r="E2772" t="str">
        <f>"0354206149"</f>
        <v>0354206149</v>
      </c>
      <c r="F2772" s="1">
        <v>45006</v>
      </c>
      <c r="G2772" t="str">
        <f>"91219"</f>
        <v>91219</v>
      </c>
      <c r="H2772">
        <v>1</v>
      </c>
      <c r="I2772">
        <v>343</v>
      </c>
      <c r="J2772">
        <v>0</v>
      </c>
      <c r="K2772" t="str">
        <f t="shared" si="494"/>
        <v>813</v>
      </c>
      <c r="L2772">
        <v>288.12</v>
      </c>
    </row>
    <row r="2773" spans="1:12" x14ac:dyDescent="0.25">
      <c r="A2773" t="str">
        <f t="shared" si="490"/>
        <v>89301000</v>
      </c>
      <c r="B2773" t="str">
        <f t="shared" si="492"/>
        <v>72077000</v>
      </c>
      <c r="C2773" t="str">
        <f t="shared" si="493"/>
        <v>72077001</v>
      </c>
      <c r="D2773">
        <v>89301152</v>
      </c>
      <c r="E2773" t="str">
        <f>"0354206149"</f>
        <v>0354206149</v>
      </c>
      <c r="F2773" s="1">
        <v>45006</v>
      </c>
      <c r="G2773" t="str">
        <f>"91219"</f>
        <v>91219</v>
      </c>
      <c r="H2773">
        <v>1</v>
      </c>
      <c r="I2773">
        <v>343</v>
      </c>
      <c r="J2773">
        <v>0</v>
      </c>
      <c r="K2773" t="str">
        <f t="shared" si="494"/>
        <v>813</v>
      </c>
      <c r="L2773">
        <v>288.12</v>
      </c>
    </row>
    <row r="2774" spans="1:12" x14ac:dyDescent="0.25">
      <c r="A2774" t="str">
        <f t="shared" si="490"/>
        <v>89301000</v>
      </c>
      <c r="B2774" t="str">
        <f t="shared" si="492"/>
        <v>72077000</v>
      </c>
      <c r="C2774" t="str">
        <f t="shared" si="493"/>
        <v>72077001</v>
      </c>
      <c r="D2774">
        <v>89301152</v>
      </c>
      <c r="E2774" t="str">
        <f>"0354206149"</f>
        <v>0354206149</v>
      </c>
      <c r="F2774" s="1">
        <v>45006</v>
      </c>
      <c r="G2774" t="str">
        <f>"91219"</f>
        <v>91219</v>
      </c>
      <c r="H2774">
        <v>1</v>
      </c>
      <c r="I2774">
        <v>343</v>
      </c>
      <c r="J2774">
        <v>0</v>
      </c>
      <c r="K2774" t="str">
        <f t="shared" si="494"/>
        <v>813</v>
      </c>
      <c r="L2774">
        <v>288.12</v>
      </c>
    </row>
    <row r="2775" spans="1:12" x14ac:dyDescent="0.25">
      <c r="A2775" t="str">
        <f t="shared" si="490"/>
        <v>89301000</v>
      </c>
      <c r="B2775" t="str">
        <f t="shared" si="492"/>
        <v>72077000</v>
      </c>
      <c r="C2775" t="str">
        <f t="shared" si="493"/>
        <v>72077001</v>
      </c>
      <c r="D2775">
        <v>89301107</v>
      </c>
      <c r="E2775" t="str">
        <f>"1752280211"</f>
        <v>1752280211</v>
      </c>
      <c r="F2775" s="1">
        <v>45008</v>
      </c>
      <c r="G2775" t="str">
        <f>"91171"</f>
        <v>91171</v>
      </c>
      <c r="H2775">
        <v>1</v>
      </c>
      <c r="I2775">
        <v>362</v>
      </c>
      <c r="J2775">
        <v>0</v>
      </c>
      <c r="K2775" t="str">
        <f t="shared" si="494"/>
        <v>813</v>
      </c>
      <c r="L2775">
        <v>304.08</v>
      </c>
    </row>
    <row r="2776" spans="1:12" x14ac:dyDescent="0.25">
      <c r="A2776" t="str">
        <f t="shared" si="490"/>
        <v>89301000</v>
      </c>
      <c r="B2776" t="str">
        <f t="shared" si="492"/>
        <v>72077000</v>
      </c>
      <c r="C2776" t="str">
        <f t="shared" si="493"/>
        <v>72077001</v>
      </c>
      <c r="D2776">
        <v>89301107</v>
      </c>
      <c r="E2776" t="str">
        <f>"1752280211"</f>
        <v>1752280211</v>
      </c>
      <c r="F2776" s="1">
        <v>45008</v>
      </c>
      <c r="G2776" t="str">
        <f>"91171"</f>
        <v>91171</v>
      </c>
      <c r="H2776">
        <v>1</v>
      </c>
      <c r="I2776">
        <v>362</v>
      </c>
      <c r="J2776">
        <v>0</v>
      </c>
      <c r="K2776" t="str">
        <f t="shared" si="494"/>
        <v>813</v>
      </c>
      <c r="L2776">
        <v>304.08</v>
      </c>
    </row>
    <row r="2777" spans="1:12" x14ac:dyDescent="0.25">
      <c r="A2777" t="str">
        <f t="shared" si="490"/>
        <v>89301000</v>
      </c>
      <c r="B2777" t="str">
        <f t="shared" si="492"/>
        <v>72077000</v>
      </c>
      <c r="C2777" t="str">
        <f t="shared" si="493"/>
        <v>72077001</v>
      </c>
      <c r="D2777">
        <v>89301107</v>
      </c>
      <c r="E2777" t="str">
        <f>"1752280211"</f>
        <v>1752280211</v>
      </c>
      <c r="F2777" s="1">
        <v>45008</v>
      </c>
      <c r="G2777" t="str">
        <f>"91171"</f>
        <v>91171</v>
      </c>
      <c r="H2777">
        <v>1</v>
      </c>
      <c r="I2777">
        <v>362</v>
      </c>
      <c r="J2777">
        <v>0</v>
      </c>
      <c r="K2777" t="str">
        <f t="shared" si="494"/>
        <v>813</v>
      </c>
      <c r="L2777">
        <v>304.08</v>
      </c>
    </row>
    <row r="2778" spans="1:12" x14ac:dyDescent="0.25">
      <c r="A2778" t="str">
        <f t="shared" si="490"/>
        <v>89301000</v>
      </c>
      <c r="B2778" t="str">
        <f t="shared" si="492"/>
        <v>72077000</v>
      </c>
      <c r="C2778" t="str">
        <f t="shared" si="493"/>
        <v>72077001</v>
      </c>
      <c r="D2778">
        <v>89301152</v>
      </c>
      <c r="E2778" t="str">
        <f>"7559245375"</f>
        <v>7559245375</v>
      </c>
      <c r="F2778" s="1">
        <v>45008</v>
      </c>
      <c r="G2778" t="str">
        <f>"91465"</f>
        <v>91465</v>
      </c>
      <c r="H2778">
        <v>1</v>
      </c>
      <c r="I2778">
        <v>1412</v>
      </c>
      <c r="J2778">
        <v>0</v>
      </c>
      <c r="K2778" t="str">
        <f t="shared" si="494"/>
        <v>813</v>
      </c>
      <c r="L2778">
        <v>1186.08</v>
      </c>
    </row>
    <row r="2779" spans="1:12" x14ac:dyDescent="0.25">
      <c r="A2779" t="str">
        <f t="shared" si="490"/>
        <v>89301000</v>
      </c>
      <c r="B2779" t="str">
        <f t="shared" si="492"/>
        <v>72077000</v>
      </c>
      <c r="C2779" t="str">
        <f t="shared" si="493"/>
        <v>72077001</v>
      </c>
      <c r="D2779">
        <v>89301152</v>
      </c>
      <c r="E2779" t="str">
        <f>"7559245375"</f>
        <v>7559245375</v>
      </c>
      <c r="F2779" s="1">
        <v>45009</v>
      </c>
      <c r="G2779" t="str">
        <f>"91197"</f>
        <v>91197</v>
      </c>
      <c r="H2779">
        <v>1</v>
      </c>
      <c r="I2779">
        <v>1048</v>
      </c>
      <c r="J2779">
        <v>0</v>
      </c>
      <c r="K2779" t="str">
        <f t="shared" si="494"/>
        <v>813</v>
      </c>
      <c r="L2779">
        <v>880.32</v>
      </c>
    </row>
    <row r="2780" spans="1:12" x14ac:dyDescent="0.25">
      <c r="A2780" t="str">
        <f t="shared" si="490"/>
        <v>89301000</v>
      </c>
      <c r="B2780" t="str">
        <f t="shared" si="492"/>
        <v>72077000</v>
      </c>
      <c r="C2780" t="str">
        <f t="shared" si="493"/>
        <v>72077001</v>
      </c>
      <c r="D2780">
        <v>89301152</v>
      </c>
      <c r="E2780" t="str">
        <f>"0408203235"</f>
        <v>0408203235</v>
      </c>
      <c r="F2780" s="1">
        <v>45008</v>
      </c>
      <c r="G2780" t="str">
        <f>"91465"</f>
        <v>91465</v>
      </c>
      <c r="H2780">
        <v>1</v>
      </c>
      <c r="I2780">
        <v>1412</v>
      </c>
      <c r="J2780">
        <v>0</v>
      </c>
      <c r="K2780" t="str">
        <f t="shared" si="494"/>
        <v>813</v>
      </c>
      <c r="L2780">
        <v>1186.08</v>
      </c>
    </row>
    <row r="2781" spans="1:12" x14ac:dyDescent="0.25">
      <c r="A2781" t="str">
        <f t="shared" si="490"/>
        <v>89301000</v>
      </c>
      <c r="B2781" t="str">
        <f t="shared" si="492"/>
        <v>72077000</v>
      </c>
      <c r="C2781" t="str">
        <f t="shared" si="493"/>
        <v>72077001</v>
      </c>
      <c r="D2781">
        <v>89301152</v>
      </c>
      <c r="E2781" t="str">
        <f>"0408203235"</f>
        <v>0408203235</v>
      </c>
      <c r="F2781" s="1">
        <v>45009</v>
      </c>
      <c r="G2781" t="str">
        <f>"91197"</f>
        <v>91197</v>
      </c>
      <c r="H2781">
        <v>1</v>
      </c>
      <c r="I2781">
        <v>1048</v>
      </c>
      <c r="J2781">
        <v>0</v>
      </c>
      <c r="K2781" t="str">
        <f t="shared" si="494"/>
        <v>813</v>
      </c>
      <c r="L2781">
        <v>880.32</v>
      </c>
    </row>
    <row r="2782" spans="1:12" x14ac:dyDescent="0.25">
      <c r="A2782" t="str">
        <f t="shared" si="490"/>
        <v>89301000</v>
      </c>
      <c r="B2782" t="str">
        <f t="shared" si="492"/>
        <v>72077000</v>
      </c>
      <c r="C2782" t="str">
        <f t="shared" si="493"/>
        <v>72077001</v>
      </c>
      <c r="D2782">
        <v>89301152</v>
      </c>
      <c r="E2782" t="str">
        <f>"5657262369"</f>
        <v>5657262369</v>
      </c>
      <c r="F2782" s="1">
        <v>45013</v>
      </c>
      <c r="G2782" t="str">
        <f>"91219"</f>
        <v>91219</v>
      </c>
      <c r="H2782">
        <v>1</v>
      </c>
      <c r="I2782">
        <v>343</v>
      </c>
      <c r="J2782">
        <v>0</v>
      </c>
      <c r="K2782" t="str">
        <f t="shared" si="494"/>
        <v>813</v>
      </c>
      <c r="L2782">
        <v>288.12</v>
      </c>
    </row>
    <row r="2783" spans="1:12" x14ac:dyDescent="0.25">
      <c r="A2783" t="str">
        <f t="shared" si="490"/>
        <v>89301000</v>
      </c>
      <c r="B2783" t="str">
        <f t="shared" si="492"/>
        <v>72077000</v>
      </c>
      <c r="C2783" t="str">
        <f t="shared" si="493"/>
        <v>72077001</v>
      </c>
      <c r="D2783">
        <v>89301152</v>
      </c>
      <c r="E2783" t="str">
        <f>"5657262369"</f>
        <v>5657262369</v>
      </c>
      <c r="F2783" s="1">
        <v>45013</v>
      </c>
      <c r="G2783" t="str">
        <f>"91219"</f>
        <v>91219</v>
      </c>
      <c r="H2783">
        <v>1</v>
      </c>
      <c r="I2783">
        <v>343</v>
      </c>
      <c r="J2783">
        <v>0</v>
      </c>
      <c r="K2783" t="str">
        <f t="shared" si="494"/>
        <v>813</v>
      </c>
      <c r="L2783">
        <v>288.12</v>
      </c>
    </row>
    <row r="2784" spans="1:12" x14ac:dyDescent="0.25">
      <c r="A2784" t="str">
        <f t="shared" si="490"/>
        <v>89301000</v>
      </c>
      <c r="B2784" t="str">
        <f t="shared" si="492"/>
        <v>72077000</v>
      </c>
      <c r="C2784" t="str">
        <f t="shared" si="493"/>
        <v>72077001</v>
      </c>
      <c r="D2784">
        <v>89301152</v>
      </c>
      <c r="E2784" t="str">
        <f>"5657262369"</f>
        <v>5657262369</v>
      </c>
      <c r="F2784" s="1">
        <v>45013</v>
      </c>
      <c r="G2784" t="str">
        <f>"91219"</f>
        <v>91219</v>
      </c>
      <c r="H2784">
        <v>1</v>
      </c>
      <c r="I2784">
        <v>343</v>
      </c>
      <c r="J2784">
        <v>0</v>
      </c>
      <c r="K2784" t="str">
        <f t="shared" si="494"/>
        <v>813</v>
      </c>
      <c r="L2784">
        <v>288.12</v>
      </c>
    </row>
    <row r="2785" spans="1:12" x14ac:dyDescent="0.25">
      <c r="A2785" t="str">
        <f t="shared" si="490"/>
        <v>89301000</v>
      </c>
      <c r="B2785" t="str">
        <f t="shared" si="492"/>
        <v>72077000</v>
      </c>
      <c r="C2785" t="str">
        <f t="shared" si="493"/>
        <v>72077001</v>
      </c>
      <c r="D2785">
        <v>89301152</v>
      </c>
      <c r="E2785" t="str">
        <f>"5657262369"</f>
        <v>5657262369</v>
      </c>
      <c r="F2785" s="1">
        <v>45013</v>
      </c>
      <c r="G2785" t="str">
        <f>"91219"</f>
        <v>91219</v>
      </c>
      <c r="H2785">
        <v>1</v>
      </c>
      <c r="I2785">
        <v>343</v>
      </c>
      <c r="J2785">
        <v>0</v>
      </c>
      <c r="K2785" t="str">
        <f t="shared" si="494"/>
        <v>813</v>
      </c>
      <c r="L2785">
        <v>288.12</v>
      </c>
    </row>
    <row r="2786" spans="1:12" x14ac:dyDescent="0.25">
      <c r="A2786" t="str">
        <f t="shared" si="490"/>
        <v>89301000</v>
      </c>
      <c r="B2786" t="str">
        <f t="shared" si="492"/>
        <v>72077000</v>
      </c>
      <c r="C2786" t="str">
        <f t="shared" si="493"/>
        <v>72077001</v>
      </c>
      <c r="D2786">
        <v>89301152</v>
      </c>
      <c r="E2786" t="str">
        <f>"8860194915"</f>
        <v>8860194915</v>
      </c>
      <c r="F2786" s="1">
        <v>45009</v>
      </c>
      <c r="G2786" t="str">
        <f>"91175"</f>
        <v>91175</v>
      </c>
      <c r="H2786">
        <v>1</v>
      </c>
      <c r="I2786">
        <v>362</v>
      </c>
      <c r="J2786">
        <v>0</v>
      </c>
      <c r="K2786" t="str">
        <f t="shared" si="494"/>
        <v>813</v>
      </c>
      <c r="L2786">
        <v>304.08</v>
      </c>
    </row>
    <row r="2787" spans="1:12" x14ac:dyDescent="0.25">
      <c r="A2787" t="str">
        <f t="shared" si="490"/>
        <v>89301000</v>
      </c>
      <c r="B2787" t="str">
        <f t="shared" si="492"/>
        <v>72077000</v>
      </c>
      <c r="C2787" t="str">
        <f t="shared" si="493"/>
        <v>72077001</v>
      </c>
      <c r="D2787">
        <v>89301152</v>
      </c>
      <c r="E2787" t="str">
        <f>"8860194915"</f>
        <v>8860194915</v>
      </c>
      <c r="F2787" s="1">
        <v>45009</v>
      </c>
      <c r="G2787" t="str">
        <f>"91171"</f>
        <v>91171</v>
      </c>
      <c r="H2787">
        <v>1</v>
      </c>
      <c r="I2787">
        <v>362</v>
      </c>
      <c r="J2787">
        <v>0</v>
      </c>
      <c r="K2787" t="str">
        <f t="shared" si="494"/>
        <v>813</v>
      </c>
      <c r="L2787">
        <v>304.08</v>
      </c>
    </row>
    <row r="2788" spans="1:12" x14ac:dyDescent="0.25">
      <c r="A2788" t="str">
        <f t="shared" si="490"/>
        <v>89301000</v>
      </c>
      <c r="B2788" t="str">
        <f t="shared" si="492"/>
        <v>72077000</v>
      </c>
      <c r="C2788" t="str">
        <f t="shared" si="493"/>
        <v>72077001</v>
      </c>
      <c r="D2788">
        <v>89301152</v>
      </c>
      <c r="E2788" t="str">
        <f>"9258171021"</f>
        <v>9258171021</v>
      </c>
      <c r="F2788" s="1">
        <v>45009</v>
      </c>
      <c r="G2788" t="str">
        <f>"91485"</f>
        <v>91485</v>
      </c>
      <c r="H2788">
        <v>1</v>
      </c>
      <c r="I2788">
        <v>268</v>
      </c>
      <c r="J2788">
        <v>0</v>
      </c>
      <c r="K2788" t="str">
        <f t="shared" si="494"/>
        <v>813</v>
      </c>
      <c r="L2788">
        <v>225.12</v>
      </c>
    </row>
    <row r="2789" spans="1:12" x14ac:dyDescent="0.25">
      <c r="A2789" t="str">
        <f t="shared" si="490"/>
        <v>89301000</v>
      </c>
      <c r="B2789" t="str">
        <f t="shared" si="492"/>
        <v>72077000</v>
      </c>
      <c r="C2789" t="str">
        <f t="shared" si="493"/>
        <v>72077001</v>
      </c>
      <c r="D2789">
        <v>89301152</v>
      </c>
      <c r="E2789" t="str">
        <f>"9258171021"</f>
        <v>9258171021</v>
      </c>
      <c r="F2789" s="1">
        <v>45014</v>
      </c>
      <c r="G2789" t="str">
        <f>"91577"</f>
        <v>91577</v>
      </c>
      <c r="H2789">
        <v>1</v>
      </c>
      <c r="I2789">
        <v>398</v>
      </c>
      <c r="J2789">
        <v>0</v>
      </c>
      <c r="K2789" t="str">
        <f t="shared" si="494"/>
        <v>813</v>
      </c>
      <c r="L2789">
        <v>334.32</v>
      </c>
    </row>
    <row r="2790" spans="1:12" x14ac:dyDescent="0.25">
      <c r="A2790" t="str">
        <f t="shared" si="490"/>
        <v>89301000</v>
      </c>
      <c r="B2790" t="str">
        <f t="shared" si="492"/>
        <v>72077000</v>
      </c>
      <c r="C2790" t="str">
        <f t="shared" si="493"/>
        <v>72077001</v>
      </c>
      <c r="D2790">
        <v>89301152</v>
      </c>
      <c r="E2790" t="str">
        <f>"0157315741"</f>
        <v>0157315741</v>
      </c>
      <c r="F2790" s="1">
        <v>45013</v>
      </c>
      <c r="G2790" t="str">
        <f t="shared" ref="G2790:G2798" si="495">"91219"</f>
        <v>91219</v>
      </c>
      <c r="H2790">
        <v>1</v>
      </c>
      <c r="I2790">
        <v>343</v>
      </c>
      <c r="J2790">
        <v>0</v>
      </c>
      <c r="K2790" t="str">
        <f t="shared" si="494"/>
        <v>813</v>
      </c>
      <c r="L2790">
        <v>288.12</v>
      </c>
    </row>
    <row r="2791" spans="1:12" x14ac:dyDescent="0.25">
      <c r="A2791" t="str">
        <f t="shared" si="490"/>
        <v>89301000</v>
      </c>
      <c r="B2791" t="str">
        <f t="shared" si="492"/>
        <v>72077000</v>
      </c>
      <c r="C2791" t="str">
        <f t="shared" si="493"/>
        <v>72077001</v>
      </c>
      <c r="D2791">
        <v>89301152</v>
      </c>
      <c r="E2791" t="str">
        <f>"0157315741"</f>
        <v>0157315741</v>
      </c>
      <c r="F2791" s="1">
        <v>45013</v>
      </c>
      <c r="G2791" t="str">
        <f t="shared" si="495"/>
        <v>91219</v>
      </c>
      <c r="H2791">
        <v>1</v>
      </c>
      <c r="I2791">
        <v>343</v>
      </c>
      <c r="J2791">
        <v>0</v>
      </c>
      <c r="K2791" t="str">
        <f t="shared" si="494"/>
        <v>813</v>
      </c>
      <c r="L2791">
        <v>288.12</v>
      </c>
    </row>
    <row r="2792" spans="1:12" x14ac:dyDescent="0.25">
      <c r="A2792" t="str">
        <f t="shared" si="490"/>
        <v>89301000</v>
      </c>
      <c r="B2792" t="str">
        <f t="shared" si="492"/>
        <v>72077000</v>
      </c>
      <c r="C2792" t="str">
        <f t="shared" si="493"/>
        <v>72077001</v>
      </c>
      <c r="D2792">
        <v>89301152</v>
      </c>
      <c r="E2792" t="str">
        <f>"0157315741"</f>
        <v>0157315741</v>
      </c>
      <c r="F2792" s="1">
        <v>45013</v>
      </c>
      <c r="G2792" t="str">
        <f t="shared" si="495"/>
        <v>91219</v>
      </c>
      <c r="H2792">
        <v>1</v>
      </c>
      <c r="I2792">
        <v>343</v>
      </c>
      <c r="J2792">
        <v>0</v>
      </c>
      <c r="K2792" t="str">
        <f t="shared" si="494"/>
        <v>813</v>
      </c>
      <c r="L2792">
        <v>288.12</v>
      </c>
    </row>
    <row r="2793" spans="1:12" x14ac:dyDescent="0.25">
      <c r="A2793" t="str">
        <f t="shared" si="490"/>
        <v>89301000</v>
      </c>
      <c r="B2793" t="str">
        <f t="shared" si="492"/>
        <v>72077000</v>
      </c>
      <c r="C2793" t="str">
        <f t="shared" si="493"/>
        <v>72077001</v>
      </c>
      <c r="D2793">
        <v>89301152</v>
      </c>
      <c r="E2793" t="str">
        <f>"0157315741"</f>
        <v>0157315741</v>
      </c>
      <c r="F2793" s="1">
        <v>45013</v>
      </c>
      <c r="G2793" t="str">
        <f t="shared" si="495"/>
        <v>91219</v>
      </c>
      <c r="H2793">
        <v>1</v>
      </c>
      <c r="I2793">
        <v>343</v>
      </c>
      <c r="J2793">
        <v>0</v>
      </c>
      <c r="K2793" t="str">
        <f t="shared" si="494"/>
        <v>813</v>
      </c>
      <c r="L2793">
        <v>288.12</v>
      </c>
    </row>
    <row r="2794" spans="1:12" x14ac:dyDescent="0.25">
      <c r="A2794" t="str">
        <f t="shared" si="490"/>
        <v>89301000</v>
      </c>
      <c r="B2794" t="str">
        <f t="shared" si="492"/>
        <v>72077000</v>
      </c>
      <c r="C2794" t="str">
        <f t="shared" si="493"/>
        <v>72077001</v>
      </c>
      <c r="D2794">
        <v>89301152</v>
      </c>
      <c r="E2794" t="str">
        <f>"0157315741"</f>
        <v>0157315741</v>
      </c>
      <c r="F2794" s="1">
        <v>45013</v>
      </c>
      <c r="G2794" t="str">
        <f t="shared" si="495"/>
        <v>91219</v>
      </c>
      <c r="H2794">
        <v>1</v>
      </c>
      <c r="I2794">
        <v>343</v>
      </c>
      <c r="J2794">
        <v>0</v>
      </c>
      <c r="K2794" t="str">
        <f t="shared" si="494"/>
        <v>813</v>
      </c>
      <c r="L2794">
        <v>288.12</v>
      </c>
    </row>
    <row r="2795" spans="1:12" x14ac:dyDescent="0.25">
      <c r="A2795" t="str">
        <f t="shared" si="490"/>
        <v>89301000</v>
      </c>
      <c r="B2795" t="str">
        <f t="shared" si="492"/>
        <v>72077000</v>
      </c>
      <c r="C2795" t="str">
        <f t="shared" si="493"/>
        <v>72077001</v>
      </c>
      <c r="D2795">
        <v>89301152</v>
      </c>
      <c r="E2795" t="str">
        <f t="shared" ref="E2795:E2801" si="496">"8957188669"</f>
        <v>8957188669</v>
      </c>
      <c r="F2795" s="1">
        <v>45013</v>
      </c>
      <c r="G2795" t="str">
        <f t="shared" si="495"/>
        <v>91219</v>
      </c>
      <c r="H2795">
        <v>1</v>
      </c>
      <c r="I2795">
        <v>343</v>
      </c>
      <c r="J2795">
        <v>0</v>
      </c>
      <c r="K2795" t="str">
        <f t="shared" si="494"/>
        <v>813</v>
      </c>
      <c r="L2795">
        <v>288.12</v>
      </c>
    </row>
    <row r="2796" spans="1:12" x14ac:dyDescent="0.25">
      <c r="A2796" t="str">
        <f t="shared" si="490"/>
        <v>89301000</v>
      </c>
      <c r="B2796" t="str">
        <f t="shared" si="492"/>
        <v>72077000</v>
      </c>
      <c r="C2796" t="str">
        <f t="shared" si="493"/>
        <v>72077001</v>
      </c>
      <c r="D2796">
        <v>89301152</v>
      </c>
      <c r="E2796" t="str">
        <f t="shared" si="496"/>
        <v>8957188669</v>
      </c>
      <c r="F2796" s="1">
        <v>45013</v>
      </c>
      <c r="G2796" t="str">
        <f t="shared" si="495"/>
        <v>91219</v>
      </c>
      <c r="H2796">
        <v>1</v>
      </c>
      <c r="I2796">
        <v>343</v>
      </c>
      <c r="J2796">
        <v>0</v>
      </c>
      <c r="K2796" t="str">
        <f t="shared" si="494"/>
        <v>813</v>
      </c>
      <c r="L2796">
        <v>288.12</v>
      </c>
    </row>
    <row r="2797" spans="1:12" x14ac:dyDescent="0.25">
      <c r="A2797" t="str">
        <f t="shared" si="490"/>
        <v>89301000</v>
      </c>
      <c r="B2797" t="str">
        <f t="shared" si="492"/>
        <v>72077000</v>
      </c>
      <c r="C2797" t="str">
        <f t="shared" si="493"/>
        <v>72077001</v>
      </c>
      <c r="D2797">
        <v>89301152</v>
      </c>
      <c r="E2797" t="str">
        <f t="shared" si="496"/>
        <v>8957188669</v>
      </c>
      <c r="F2797" s="1">
        <v>45013</v>
      </c>
      <c r="G2797" t="str">
        <f t="shared" si="495"/>
        <v>91219</v>
      </c>
      <c r="H2797">
        <v>1</v>
      </c>
      <c r="I2797">
        <v>343</v>
      </c>
      <c r="J2797">
        <v>0</v>
      </c>
      <c r="K2797" t="str">
        <f t="shared" si="494"/>
        <v>813</v>
      </c>
      <c r="L2797">
        <v>288.12</v>
      </c>
    </row>
    <row r="2798" spans="1:12" x14ac:dyDescent="0.25">
      <c r="A2798" t="str">
        <f t="shared" si="490"/>
        <v>89301000</v>
      </c>
      <c r="B2798" t="str">
        <f t="shared" ref="B2798:B2831" si="497">"72077000"</f>
        <v>72077000</v>
      </c>
      <c r="C2798" t="str">
        <f t="shared" ref="C2798:C2831" si="498">"72077001"</f>
        <v>72077001</v>
      </c>
      <c r="D2798">
        <v>89301152</v>
      </c>
      <c r="E2798" t="str">
        <f t="shared" si="496"/>
        <v>8957188669</v>
      </c>
      <c r="F2798" s="1">
        <v>45014</v>
      </c>
      <c r="G2798" t="str">
        <f t="shared" si="495"/>
        <v>91219</v>
      </c>
      <c r="H2798">
        <v>1</v>
      </c>
      <c r="I2798">
        <v>343</v>
      </c>
      <c r="J2798">
        <v>0</v>
      </c>
      <c r="K2798" t="str">
        <f t="shared" ref="K2798:K2831" si="499">"813"</f>
        <v>813</v>
      </c>
      <c r="L2798">
        <v>288.12</v>
      </c>
    </row>
    <row r="2799" spans="1:12" x14ac:dyDescent="0.25">
      <c r="A2799" t="str">
        <f t="shared" si="490"/>
        <v>89301000</v>
      </c>
      <c r="B2799" t="str">
        <f t="shared" si="497"/>
        <v>72077000</v>
      </c>
      <c r="C2799" t="str">
        <f t="shared" si="498"/>
        <v>72077001</v>
      </c>
      <c r="D2799">
        <v>89301152</v>
      </c>
      <c r="E2799" t="str">
        <f t="shared" si="496"/>
        <v>8957188669</v>
      </c>
      <c r="F2799" s="1">
        <v>45015</v>
      </c>
      <c r="G2799" t="str">
        <f>"91465"</f>
        <v>91465</v>
      </c>
      <c r="H2799">
        <v>1</v>
      </c>
      <c r="I2799">
        <v>1412</v>
      </c>
      <c r="J2799">
        <v>0</v>
      </c>
      <c r="K2799" t="str">
        <f t="shared" si="499"/>
        <v>813</v>
      </c>
      <c r="L2799">
        <v>1186.08</v>
      </c>
    </row>
    <row r="2800" spans="1:12" x14ac:dyDescent="0.25">
      <c r="A2800" t="str">
        <f t="shared" si="490"/>
        <v>89301000</v>
      </c>
      <c r="B2800" t="str">
        <f t="shared" si="497"/>
        <v>72077000</v>
      </c>
      <c r="C2800" t="str">
        <f t="shared" si="498"/>
        <v>72077001</v>
      </c>
      <c r="D2800">
        <v>89301152</v>
      </c>
      <c r="E2800" t="str">
        <f t="shared" si="496"/>
        <v>8957188669</v>
      </c>
      <c r="F2800" s="1">
        <v>45015</v>
      </c>
      <c r="G2800" t="str">
        <f>"91197"</f>
        <v>91197</v>
      </c>
      <c r="H2800">
        <v>1</v>
      </c>
      <c r="I2800">
        <v>1048</v>
      </c>
      <c r="J2800">
        <v>0</v>
      </c>
      <c r="K2800" t="str">
        <f t="shared" si="499"/>
        <v>813</v>
      </c>
      <c r="L2800">
        <v>880.32</v>
      </c>
    </row>
    <row r="2801" spans="1:12" x14ac:dyDescent="0.25">
      <c r="A2801" t="str">
        <f t="shared" si="490"/>
        <v>89301000</v>
      </c>
      <c r="B2801" t="str">
        <f t="shared" si="497"/>
        <v>72077000</v>
      </c>
      <c r="C2801" t="str">
        <f t="shared" si="498"/>
        <v>72077001</v>
      </c>
      <c r="D2801">
        <v>89301152</v>
      </c>
      <c r="E2801" t="str">
        <f t="shared" si="496"/>
        <v>8957188669</v>
      </c>
      <c r="F2801" s="1">
        <v>45016</v>
      </c>
      <c r="G2801" t="str">
        <f>"91219"</f>
        <v>91219</v>
      </c>
      <c r="H2801">
        <v>1</v>
      </c>
      <c r="I2801">
        <v>343</v>
      </c>
      <c r="J2801">
        <v>0</v>
      </c>
      <c r="K2801" t="str">
        <f t="shared" si="499"/>
        <v>813</v>
      </c>
      <c r="L2801">
        <v>288.12</v>
      </c>
    </row>
    <row r="2802" spans="1:12" x14ac:dyDescent="0.25">
      <c r="A2802" t="str">
        <f t="shared" si="490"/>
        <v>89301000</v>
      </c>
      <c r="B2802" t="str">
        <f t="shared" si="497"/>
        <v>72077000</v>
      </c>
      <c r="C2802" t="str">
        <f t="shared" si="498"/>
        <v>72077001</v>
      </c>
      <c r="D2802">
        <v>89301152</v>
      </c>
      <c r="E2802" t="str">
        <f>"9456106154"</f>
        <v>9456106154</v>
      </c>
      <c r="F2802" s="1">
        <v>45015</v>
      </c>
      <c r="G2802" t="str">
        <f>"91465"</f>
        <v>91465</v>
      </c>
      <c r="H2802">
        <v>1</v>
      </c>
      <c r="I2802">
        <v>1412</v>
      </c>
      <c r="J2802">
        <v>0</v>
      </c>
      <c r="K2802" t="str">
        <f t="shared" si="499"/>
        <v>813</v>
      </c>
      <c r="L2802">
        <v>1186.08</v>
      </c>
    </row>
    <row r="2803" spans="1:12" x14ac:dyDescent="0.25">
      <c r="A2803" t="str">
        <f t="shared" si="490"/>
        <v>89301000</v>
      </c>
      <c r="B2803" t="str">
        <f t="shared" si="497"/>
        <v>72077000</v>
      </c>
      <c r="C2803" t="str">
        <f t="shared" si="498"/>
        <v>72077001</v>
      </c>
      <c r="D2803">
        <v>89301152</v>
      </c>
      <c r="E2803" t="str">
        <f>"9456106154"</f>
        <v>9456106154</v>
      </c>
      <c r="F2803" s="1">
        <v>45015</v>
      </c>
      <c r="G2803" t="str">
        <f>"91197"</f>
        <v>91197</v>
      </c>
      <c r="H2803">
        <v>1</v>
      </c>
      <c r="I2803">
        <v>1048</v>
      </c>
      <c r="J2803">
        <v>0</v>
      </c>
      <c r="K2803" t="str">
        <f t="shared" si="499"/>
        <v>813</v>
      </c>
      <c r="L2803">
        <v>880.32</v>
      </c>
    </row>
    <row r="2804" spans="1:12" x14ac:dyDescent="0.25">
      <c r="A2804" t="str">
        <f t="shared" si="490"/>
        <v>89301000</v>
      </c>
      <c r="B2804" t="str">
        <f t="shared" si="497"/>
        <v>72077000</v>
      </c>
      <c r="C2804" t="str">
        <f t="shared" si="498"/>
        <v>72077001</v>
      </c>
      <c r="D2804">
        <v>89301152</v>
      </c>
      <c r="E2804" t="str">
        <f>"9210136188"</f>
        <v>9210136188</v>
      </c>
      <c r="F2804" s="1">
        <v>45014</v>
      </c>
      <c r="G2804" t="str">
        <f>"91359"</f>
        <v>91359</v>
      </c>
      <c r="H2804">
        <v>1</v>
      </c>
      <c r="I2804">
        <v>205</v>
      </c>
      <c r="J2804">
        <v>0</v>
      </c>
      <c r="K2804" t="str">
        <f t="shared" si="499"/>
        <v>813</v>
      </c>
      <c r="L2804">
        <v>172.2</v>
      </c>
    </row>
    <row r="2805" spans="1:12" x14ac:dyDescent="0.25">
      <c r="A2805" t="str">
        <f t="shared" si="490"/>
        <v>89301000</v>
      </c>
      <c r="B2805" t="str">
        <f t="shared" si="497"/>
        <v>72077000</v>
      </c>
      <c r="C2805" t="str">
        <f t="shared" si="498"/>
        <v>72077001</v>
      </c>
      <c r="D2805">
        <v>89301152</v>
      </c>
      <c r="E2805" t="str">
        <f>"9210136188"</f>
        <v>9210136188</v>
      </c>
      <c r="F2805" s="1">
        <v>45014</v>
      </c>
      <c r="G2805" t="str">
        <f>"91361"</f>
        <v>91361</v>
      </c>
      <c r="H2805">
        <v>1</v>
      </c>
      <c r="I2805">
        <v>444</v>
      </c>
      <c r="J2805">
        <v>0</v>
      </c>
      <c r="K2805" t="str">
        <f t="shared" si="499"/>
        <v>813</v>
      </c>
      <c r="L2805">
        <v>372.96</v>
      </c>
    </row>
    <row r="2806" spans="1:12" x14ac:dyDescent="0.25">
      <c r="A2806" t="str">
        <f t="shared" si="490"/>
        <v>89301000</v>
      </c>
      <c r="B2806" t="str">
        <f t="shared" si="497"/>
        <v>72077000</v>
      </c>
      <c r="C2806" t="str">
        <f t="shared" si="498"/>
        <v>72077001</v>
      </c>
      <c r="D2806">
        <v>89301152</v>
      </c>
      <c r="E2806" t="str">
        <f>"9210136188"</f>
        <v>9210136188</v>
      </c>
      <c r="F2806" s="1">
        <v>45014</v>
      </c>
      <c r="G2806" t="str">
        <f>"91577"</f>
        <v>91577</v>
      </c>
      <c r="H2806">
        <v>1</v>
      </c>
      <c r="I2806">
        <v>398</v>
      </c>
      <c r="J2806">
        <v>0</v>
      </c>
      <c r="K2806" t="str">
        <f t="shared" si="499"/>
        <v>813</v>
      </c>
      <c r="L2806">
        <v>334.32</v>
      </c>
    </row>
    <row r="2807" spans="1:12" x14ac:dyDescent="0.25">
      <c r="A2807" t="str">
        <f t="shared" si="490"/>
        <v>89301000</v>
      </c>
      <c r="B2807" t="str">
        <f t="shared" si="497"/>
        <v>72077000</v>
      </c>
      <c r="C2807" t="str">
        <f t="shared" si="498"/>
        <v>72077001</v>
      </c>
      <c r="D2807">
        <v>89301152</v>
      </c>
      <c r="E2807" t="str">
        <f>"9210136188"</f>
        <v>9210136188</v>
      </c>
      <c r="F2807" s="1">
        <v>45016</v>
      </c>
      <c r="G2807" t="str">
        <f>"91485"</f>
        <v>91485</v>
      </c>
      <c r="H2807">
        <v>1</v>
      </c>
      <c r="I2807">
        <v>268</v>
      </c>
      <c r="J2807">
        <v>0</v>
      </c>
      <c r="K2807" t="str">
        <f t="shared" si="499"/>
        <v>813</v>
      </c>
      <c r="L2807">
        <v>225.12</v>
      </c>
    </row>
    <row r="2808" spans="1:12" x14ac:dyDescent="0.25">
      <c r="A2808" t="str">
        <f t="shared" si="490"/>
        <v>89301000</v>
      </c>
      <c r="B2808" t="str">
        <f t="shared" si="497"/>
        <v>72077000</v>
      </c>
      <c r="C2808" t="str">
        <f t="shared" si="498"/>
        <v>72077001</v>
      </c>
      <c r="D2808">
        <v>89301152</v>
      </c>
      <c r="E2808" t="str">
        <f>"490218317"</f>
        <v>490218317</v>
      </c>
      <c r="F2808" s="1">
        <v>45014</v>
      </c>
      <c r="G2808" t="str">
        <f>"91359"</f>
        <v>91359</v>
      </c>
      <c r="H2808">
        <v>1</v>
      </c>
      <c r="I2808">
        <v>205</v>
      </c>
      <c r="J2808">
        <v>0</v>
      </c>
      <c r="K2808" t="str">
        <f t="shared" si="499"/>
        <v>813</v>
      </c>
      <c r="L2808">
        <v>172.2</v>
      </c>
    </row>
    <row r="2809" spans="1:12" x14ac:dyDescent="0.25">
      <c r="A2809" t="str">
        <f t="shared" si="490"/>
        <v>89301000</v>
      </c>
      <c r="B2809" t="str">
        <f t="shared" si="497"/>
        <v>72077000</v>
      </c>
      <c r="C2809" t="str">
        <f t="shared" si="498"/>
        <v>72077001</v>
      </c>
      <c r="D2809">
        <v>89301152</v>
      </c>
      <c r="E2809" t="str">
        <f>"490218317"</f>
        <v>490218317</v>
      </c>
      <c r="F2809" s="1">
        <v>45014</v>
      </c>
      <c r="G2809" t="str">
        <f>"91361"</f>
        <v>91361</v>
      </c>
      <c r="H2809">
        <v>1</v>
      </c>
      <c r="I2809">
        <v>444</v>
      </c>
      <c r="J2809">
        <v>0</v>
      </c>
      <c r="K2809" t="str">
        <f t="shared" si="499"/>
        <v>813</v>
      </c>
      <c r="L2809">
        <v>372.96</v>
      </c>
    </row>
    <row r="2810" spans="1:12" x14ac:dyDescent="0.25">
      <c r="A2810" t="str">
        <f t="shared" si="490"/>
        <v>89301000</v>
      </c>
      <c r="B2810" t="str">
        <f t="shared" si="497"/>
        <v>72077000</v>
      </c>
      <c r="C2810" t="str">
        <f t="shared" si="498"/>
        <v>72077001</v>
      </c>
      <c r="D2810">
        <v>89301152</v>
      </c>
      <c r="E2810" t="str">
        <f>"490218317"</f>
        <v>490218317</v>
      </c>
      <c r="F2810" s="1">
        <v>45014</v>
      </c>
      <c r="G2810" t="str">
        <f>"91577"</f>
        <v>91577</v>
      </c>
      <c r="H2810">
        <v>1</v>
      </c>
      <c r="I2810">
        <v>398</v>
      </c>
      <c r="J2810">
        <v>0</v>
      </c>
      <c r="K2810" t="str">
        <f t="shared" si="499"/>
        <v>813</v>
      </c>
      <c r="L2810">
        <v>334.32</v>
      </c>
    </row>
    <row r="2811" spans="1:12" x14ac:dyDescent="0.25">
      <c r="A2811" t="str">
        <f t="shared" si="490"/>
        <v>89301000</v>
      </c>
      <c r="B2811" t="str">
        <f t="shared" si="497"/>
        <v>72077000</v>
      </c>
      <c r="C2811" t="str">
        <f t="shared" si="498"/>
        <v>72077001</v>
      </c>
      <c r="D2811">
        <v>89301152</v>
      </c>
      <c r="E2811" t="str">
        <f>"490218317"</f>
        <v>490218317</v>
      </c>
      <c r="F2811" s="1">
        <v>45016</v>
      </c>
      <c r="G2811" t="str">
        <f>"91485"</f>
        <v>91485</v>
      </c>
      <c r="H2811">
        <v>1</v>
      </c>
      <c r="I2811">
        <v>268</v>
      </c>
      <c r="J2811">
        <v>0</v>
      </c>
      <c r="K2811" t="str">
        <f t="shared" si="499"/>
        <v>813</v>
      </c>
      <c r="L2811">
        <v>225.12</v>
      </c>
    </row>
    <row r="2812" spans="1:12" x14ac:dyDescent="0.25">
      <c r="A2812" t="str">
        <f t="shared" si="490"/>
        <v>89301000</v>
      </c>
      <c r="B2812" t="str">
        <f t="shared" si="497"/>
        <v>72077000</v>
      </c>
      <c r="C2812" t="str">
        <f t="shared" si="498"/>
        <v>72077001</v>
      </c>
      <c r="D2812">
        <v>89301152</v>
      </c>
      <c r="E2812" t="str">
        <f t="shared" ref="E2812:E2823" si="500">"9208253978"</f>
        <v>9208253978</v>
      </c>
      <c r="F2812" s="1">
        <v>44984</v>
      </c>
      <c r="G2812" t="str">
        <f>"91485"</f>
        <v>91485</v>
      </c>
      <c r="H2812">
        <v>1</v>
      </c>
      <c r="I2812">
        <v>268</v>
      </c>
      <c r="J2812">
        <v>0</v>
      </c>
      <c r="K2812" t="str">
        <f t="shared" si="499"/>
        <v>813</v>
      </c>
      <c r="L2812">
        <v>225.12</v>
      </c>
    </row>
    <row r="2813" spans="1:12" x14ac:dyDescent="0.25">
      <c r="A2813" t="str">
        <f t="shared" si="490"/>
        <v>89301000</v>
      </c>
      <c r="B2813" t="str">
        <f t="shared" si="497"/>
        <v>72077000</v>
      </c>
      <c r="C2813" t="str">
        <f t="shared" si="498"/>
        <v>72077001</v>
      </c>
      <c r="D2813">
        <v>89301152</v>
      </c>
      <c r="E2813" t="str">
        <f t="shared" si="500"/>
        <v>9208253978</v>
      </c>
      <c r="F2813" s="1">
        <v>44985</v>
      </c>
      <c r="G2813" t="str">
        <f t="shared" ref="G2813:G2823" si="501">"82079"</f>
        <v>82079</v>
      </c>
      <c r="H2813">
        <v>1</v>
      </c>
      <c r="I2813">
        <v>333</v>
      </c>
      <c r="J2813">
        <v>0</v>
      </c>
      <c r="K2813" t="str">
        <f t="shared" si="499"/>
        <v>813</v>
      </c>
      <c r="L2813">
        <v>279.72000000000003</v>
      </c>
    </row>
    <row r="2814" spans="1:12" x14ac:dyDescent="0.25">
      <c r="A2814" t="str">
        <f t="shared" si="490"/>
        <v>89301000</v>
      </c>
      <c r="B2814" t="str">
        <f t="shared" si="497"/>
        <v>72077000</v>
      </c>
      <c r="C2814" t="str">
        <f t="shared" si="498"/>
        <v>72077001</v>
      </c>
      <c r="D2814">
        <v>89301152</v>
      </c>
      <c r="E2814" t="str">
        <f t="shared" si="500"/>
        <v>9208253978</v>
      </c>
      <c r="F2814" s="1">
        <v>44985</v>
      </c>
      <c r="G2814" t="str">
        <f t="shared" si="501"/>
        <v>82079</v>
      </c>
      <c r="H2814">
        <v>1</v>
      </c>
      <c r="I2814">
        <v>333</v>
      </c>
      <c r="J2814">
        <v>0</v>
      </c>
      <c r="K2814" t="str">
        <f t="shared" si="499"/>
        <v>813</v>
      </c>
      <c r="L2814">
        <v>279.72000000000003</v>
      </c>
    </row>
    <row r="2815" spans="1:12" x14ac:dyDescent="0.25">
      <c r="A2815" t="str">
        <f t="shared" si="490"/>
        <v>89301000</v>
      </c>
      <c r="B2815" t="str">
        <f t="shared" si="497"/>
        <v>72077000</v>
      </c>
      <c r="C2815" t="str">
        <f t="shared" si="498"/>
        <v>72077001</v>
      </c>
      <c r="D2815">
        <v>89301152</v>
      </c>
      <c r="E2815" t="str">
        <f t="shared" si="500"/>
        <v>9208253978</v>
      </c>
      <c r="F2815" s="1">
        <v>44985</v>
      </c>
      <c r="G2815" t="str">
        <f t="shared" si="501"/>
        <v>82079</v>
      </c>
      <c r="H2815">
        <v>1</v>
      </c>
      <c r="I2815">
        <v>333</v>
      </c>
      <c r="J2815">
        <v>0</v>
      </c>
      <c r="K2815" t="str">
        <f t="shared" si="499"/>
        <v>813</v>
      </c>
      <c r="L2815">
        <v>279.72000000000003</v>
      </c>
    </row>
    <row r="2816" spans="1:12" x14ac:dyDescent="0.25">
      <c r="A2816" t="str">
        <f t="shared" si="490"/>
        <v>89301000</v>
      </c>
      <c r="B2816" t="str">
        <f t="shared" si="497"/>
        <v>72077000</v>
      </c>
      <c r="C2816" t="str">
        <f t="shared" si="498"/>
        <v>72077001</v>
      </c>
      <c r="D2816">
        <v>89301152</v>
      </c>
      <c r="E2816" t="str">
        <f t="shared" si="500"/>
        <v>9208253978</v>
      </c>
      <c r="F2816" s="1">
        <v>44985</v>
      </c>
      <c r="G2816" t="str">
        <f t="shared" si="501"/>
        <v>82079</v>
      </c>
      <c r="H2816">
        <v>1</v>
      </c>
      <c r="I2816">
        <v>333</v>
      </c>
      <c r="J2816">
        <v>0</v>
      </c>
      <c r="K2816" t="str">
        <f t="shared" si="499"/>
        <v>813</v>
      </c>
      <c r="L2816">
        <v>279.72000000000003</v>
      </c>
    </row>
    <row r="2817" spans="1:12" x14ac:dyDescent="0.25">
      <c r="A2817" t="str">
        <f t="shared" si="490"/>
        <v>89301000</v>
      </c>
      <c r="B2817" t="str">
        <f t="shared" si="497"/>
        <v>72077000</v>
      </c>
      <c r="C2817" t="str">
        <f t="shared" si="498"/>
        <v>72077001</v>
      </c>
      <c r="D2817">
        <v>89301152</v>
      </c>
      <c r="E2817" t="str">
        <f t="shared" si="500"/>
        <v>9208253978</v>
      </c>
      <c r="F2817" s="1">
        <v>44985</v>
      </c>
      <c r="G2817" t="str">
        <f t="shared" si="501"/>
        <v>82079</v>
      </c>
      <c r="H2817">
        <v>1</v>
      </c>
      <c r="I2817">
        <v>333</v>
      </c>
      <c r="J2817">
        <v>0</v>
      </c>
      <c r="K2817" t="str">
        <f t="shared" si="499"/>
        <v>813</v>
      </c>
      <c r="L2817">
        <v>279.72000000000003</v>
      </c>
    </row>
    <row r="2818" spans="1:12" x14ac:dyDescent="0.25">
      <c r="A2818" t="str">
        <f t="shared" ref="A2818:A2881" si="502">"89301000"</f>
        <v>89301000</v>
      </c>
      <c r="B2818" t="str">
        <f t="shared" si="497"/>
        <v>72077000</v>
      </c>
      <c r="C2818" t="str">
        <f t="shared" si="498"/>
        <v>72077001</v>
      </c>
      <c r="D2818">
        <v>89301152</v>
      </c>
      <c r="E2818" t="str">
        <f t="shared" si="500"/>
        <v>9208253978</v>
      </c>
      <c r="F2818" s="1">
        <v>44985</v>
      </c>
      <c r="G2818" t="str">
        <f t="shared" si="501"/>
        <v>82079</v>
      </c>
      <c r="H2818">
        <v>1</v>
      </c>
      <c r="I2818">
        <v>333</v>
      </c>
      <c r="J2818">
        <v>0</v>
      </c>
      <c r="K2818" t="str">
        <f t="shared" si="499"/>
        <v>813</v>
      </c>
      <c r="L2818">
        <v>279.72000000000003</v>
      </c>
    </row>
    <row r="2819" spans="1:12" x14ac:dyDescent="0.25">
      <c r="A2819" t="str">
        <f t="shared" si="502"/>
        <v>89301000</v>
      </c>
      <c r="B2819" t="str">
        <f t="shared" si="497"/>
        <v>72077000</v>
      </c>
      <c r="C2819" t="str">
        <f t="shared" si="498"/>
        <v>72077001</v>
      </c>
      <c r="D2819">
        <v>89301152</v>
      </c>
      <c r="E2819" t="str">
        <f t="shared" si="500"/>
        <v>9208253978</v>
      </c>
      <c r="F2819" s="1">
        <v>44985</v>
      </c>
      <c r="G2819" t="str">
        <f t="shared" si="501"/>
        <v>82079</v>
      </c>
      <c r="H2819">
        <v>1</v>
      </c>
      <c r="I2819">
        <v>333</v>
      </c>
      <c r="J2819">
        <v>0</v>
      </c>
      <c r="K2819" t="str">
        <f t="shared" si="499"/>
        <v>813</v>
      </c>
      <c r="L2819">
        <v>279.72000000000003</v>
      </c>
    </row>
    <row r="2820" spans="1:12" x14ac:dyDescent="0.25">
      <c r="A2820" t="str">
        <f t="shared" si="502"/>
        <v>89301000</v>
      </c>
      <c r="B2820" t="str">
        <f t="shared" si="497"/>
        <v>72077000</v>
      </c>
      <c r="C2820" t="str">
        <f t="shared" si="498"/>
        <v>72077001</v>
      </c>
      <c r="D2820">
        <v>89301152</v>
      </c>
      <c r="E2820" t="str">
        <f t="shared" si="500"/>
        <v>9208253978</v>
      </c>
      <c r="F2820" s="1">
        <v>44985</v>
      </c>
      <c r="G2820" t="str">
        <f t="shared" si="501"/>
        <v>82079</v>
      </c>
      <c r="H2820">
        <v>1</v>
      </c>
      <c r="I2820">
        <v>333</v>
      </c>
      <c r="J2820">
        <v>0</v>
      </c>
      <c r="K2820" t="str">
        <f t="shared" si="499"/>
        <v>813</v>
      </c>
      <c r="L2820">
        <v>279.72000000000003</v>
      </c>
    </row>
    <row r="2821" spans="1:12" x14ac:dyDescent="0.25">
      <c r="A2821" t="str">
        <f t="shared" si="502"/>
        <v>89301000</v>
      </c>
      <c r="B2821" t="str">
        <f t="shared" si="497"/>
        <v>72077000</v>
      </c>
      <c r="C2821" t="str">
        <f t="shared" si="498"/>
        <v>72077001</v>
      </c>
      <c r="D2821">
        <v>89301152</v>
      </c>
      <c r="E2821" t="str">
        <f t="shared" si="500"/>
        <v>9208253978</v>
      </c>
      <c r="F2821" s="1">
        <v>44985</v>
      </c>
      <c r="G2821" t="str">
        <f t="shared" si="501"/>
        <v>82079</v>
      </c>
      <c r="H2821">
        <v>1</v>
      </c>
      <c r="I2821">
        <v>333</v>
      </c>
      <c r="J2821">
        <v>0</v>
      </c>
      <c r="K2821" t="str">
        <f t="shared" si="499"/>
        <v>813</v>
      </c>
      <c r="L2821">
        <v>279.72000000000003</v>
      </c>
    </row>
    <row r="2822" spans="1:12" x14ac:dyDescent="0.25">
      <c r="A2822" t="str">
        <f t="shared" si="502"/>
        <v>89301000</v>
      </c>
      <c r="B2822" t="str">
        <f t="shared" si="497"/>
        <v>72077000</v>
      </c>
      <c r="C2822" t="str">
        <f t="shared" si="498"/>
        <v>72077001</v>
      </c>
      <c r="D2822">
        <v>89301152</v>
      </c>
      <c r="E2822" t="str">
        <f t="shared" si="500"/>
        <v>9208253978</v>
      </c>
      <c r="F2822" s="1">
        <v>44985</v>
      </c>
      <c r="G2822" t="str">
        <f t="shared" si="501"/>
        <v>82079</v>
      </c>
      <c r="H2822">
        <v>1</v>
      </c>
      <c r="I2822">
        <v>333</v>
      </c>
      <c r="J2822">
        <v>0</v>
      </c>
      <c r="K2822" t="str">
        <f t="shared" si="499"/>
        <v>813</v>
      </c>
      <c r="L2822">
        <v>279.72000000000003</v>
      </c>
    </row>
    <row r="2823" spans="1:12" x14ac:dyDescent="0.25">
      <c r="A2823" t="str">
        <f t="shared" si="502"/>
        <v>89301000</v>
      </c>
      <c r="B2823" t="str">
        <f t="shared" si="497"/>
        <v>72077000</v>
      </c>
      <c r="C2823" t="str">
        <f t="shared" si="498"/>
        <v>72077001</v>
      </c>
      <c r="D2823">
        <v>89301152</v>
      </c>
      <c r="E2823" t="str">
        <f t="shared" si="500"/>
        <v>9208253978</v>
      </c>
      <c r="F2823" s="1">
        <v>44985</v>
      </c>
      <c r="G2823" t="str">
        <f t="shared" si="501"/>
        <v>82079</v>
      </c>
      <c r="H2823">
        <v>1</v>
      </c>
      <c r="I2823">
        <v>333</v>
      </c>
      <c r="J2823">
        <v>0</v>
      </c>
      <c r="K2823" t="str">
        <f t="shared" si="499"/>
        <v>813</v>
      </c>
      <c r="L2823">
        <v>279.72000000000003</v>
      </c>
    </row>
    <row r="2824" spans="1:12" x14ac:dyDescent="0.25">
      <c r="A2824" t="str">
        <f t="shared" si="502"/>
        <v>89301000</v>
      </c>
      <c r="B2824" t="str">
        <f t="shared" si="497"/>
        <v>72077000</v>
      </c>
      <c r="C2824" t="str">
        <f t="shared" si="498"/>
        <v>72077001</v>
      </c>
      <c r="D2824">
        <v>89301107</v>
      </c>
      <c r="E2824" t="str">
        <f>"1353080223"</f>
        <v>1353080223</v>
      </c>
      <c r="F2824" s="1">
        <v>44981</v>
      </c>
      <c r="G2824" t="str">
        <f>"91197"</f>
        <v>91197</v>
      </c>
      <c r="H2824">
        <v>1</v>
      </c>
      <c r="I2824">
        <v>1048</v>
      </c>
      <c r="J2824">
        <v>0</v>
      </c>
      <c r="K2824" t="str">
        <f t="shared" si="499"/>
        <v>813</v>
      </c>
      <c r="L2824">
        <v>880.32</v>
      </c>
    </row>
    <row r="2825" spans="1:12" x14ac:dyDescent="0.25">
      <c r="A2825" t="str">
        <f t="shared" si="502"/>
        <v>89301000</v>
      </c>
      <c r="B2825" t="str">
        <f t="shared" si="497"/>
        <v>72077000</v>
      </c>
      <c r="C2825" t="str">
        <f t="shared" si="498"/>
        <v>72077001</v>
      </c>
      <c r="D2825">
        <v>89301152</v>
      </c>
      <c r="E2825" t="str">
        <f t="shared" ref="E2825:E2830" si="503">"7207275339"</f>
        <v>7207275339</v>
      </c>
      <c r="F2825" s="1">
        <v>44980</v>
      </c>
      <c r="G2825" t="str">
        <f>"91171"</f>
        <v>91171</v>
      </c>
      <c r="H2825">
        <v>1</v>
      </c>
      <c r="I2825">
        <v>362</v>
      </c>
      <c r="J2825">
        <v>0</v>
      </c>
      <c r="K2825" t="str">
        <f t="shared" si="499"/>
        <v>813</v>
      </c>
      <c r="L2825">
        <v>304.08</v>
      </c>
    </row>
    <row r="2826" spans="1:12" x14ac:dyDescent="0.25">
      <c r="A2826" t="str">
        <f t="shared" si="502"/>
        <v>89301000</v>
      </c>
      <c r="B2826" t="str">
        <f t="shared" si="497"/>
        <v>72077000</v>
      </c>
      <c r="C2826" t="str">
        <f t="shared" si="498"/>
        <v>72077001</v>
      </c>
      <c r="D2826">
        <v>89301152</v>
      </c>
      <c r="E2826" t="str">
        <f t="shared" si="503"/>
        <v>7207275339</v>
      </c>
      <c r="F2826" s="1">
        <v>44985</v>
      </c>
      <c r="G2826" t="str">
        <f>"91171"</f>
        <v>91171</v>
      </c>
      <c r="H2826">
        <v>1</v>
      </c>
      <c r="I2826">
        <v>362</v>
      </c>
      <c r="J2826">
        <v>0</v>
      </c>
      <c r="K2826" t="str">
        <f t="shared" si="499"/>
        <v>813</v>
      </c>
      <c r="L2826">
        <v>304.08</v>
      </c>
    </row>
    <row r="2827" spans="1:12" x14ac:dyDescent="0.25">
      <c r="A2827" t="str">
        <f t="shared" si="502"/>
        <v>89301000</v>
      </c>
      <c r="B2827" t="str">
        <f t="shared" si="497"/>
        <v>72077000</v>
      </c>
      <c r="C2827" t="str">
        <f t="shared" si="498"/>
        <v>72077001</v>
      </c>
      <c r="D2827">
        <v>89301152</v>
      </c>
      <c r="E2827" t="str">
        <f t="shared" si="503"/>
        <v>7207275339</v>
      </c>
      <c r="F2827" s="1">
        <v>44985</v>
      </c>
      <c r="G2827" t="str">
        <f>"91259"</f>
        <v>91259</v>
      </c>
      <c r="H2827">
        <v>1</v>
      </c>
      <c r="I2827">
        <v>702</v>
      </c>
      <c r="J2827">
        <v>0</v>
      </c>
      <c r="K2827" t="str">
        <f t="shared" si="499"/>
        <v>813</v>
      </c>
      <c r="L2827">
        <v>589.67999999999995</v>
      </c>
    </row>
    <row r="2828" spans="1:12" x14ac:dyDescent="0.25">
      <c r="A2828" t="str">
        <f t="shared" si="502"/>
        <v>89301000</v>
      </c>
      <c r="B2828" t="str">
        <f t="shared" si="497"/>
        <v>72077000</v>
      </c>
      <c r="C2828" t="str">
        <f t="shared" si="498"/>
        <v>72077001</v>
      </c>
      <c r="D2828">
        <v>89301152</v>
      </c>
      <c r="E2828" t="str">
        <f t="shared" si="503"/>
        <v>7207275339</v>
      </c>
      <c r="F2828" s="1">
        <v>44985</v>
      </c>
      <c r="G2828" t="str">
        <f>"91259"</f>
        <v>91259</v>
      </c>
      <c r="H2828">
        <v>1</v>
      </c>
      <c r="I2828">
        <v>702</v>
      </c>
      <c r="J2828">
        <v>0</v>
      </c>
      <c r="K2828" t="str">
        <f t="shared" si="499"/>
        <v>813</v>
      </c>
      <c r="L2828">
        <v>589.67999999999995</v>
      </c>
    </row>
    <row r="2829" spans="1:12" x14ac:dyDescent="0.25">
      <c r="A2829" t="str">
        <f t="shared" si="502"/>
        <v>89301000</v>
      </c>
      <c r="B2829" t="str">
        <f t="shared" si="497"/>
        <v>72077000</v>
      </c>
      <c r="C2829" t="str">
        <f t="shared" si="498"/>
        <v>72077001</v>
      </c>
      <c r="D2829">
        <v>89301152</v>
      </c>
      <c r="E2829" t="str">
        <f t="shared" si="503"/>
        <v>7207275339</v>
      </c>
      <c r="F2829" s="1">
        <v>44985</v>
      </c>
      <c r="G2829" t="str">
        <f>"91329"</f>
        <v>91329</v>
      </c>
      <c r="H2829">
        <v>1</v>
      </c>
      <c r="I2829">
        <v>218</v>
      </c>
      <c r="J2829">
        <v>0</v>
      </c>
      <c r="K2829" t="str">
        <f t="shared" si="499"/>
        <v>813</v>
      </c>
      <c r="L2829">
        <v>183.12</v>
      </c>
    </row>
    <row r="2830" spans="1:12" x14ac:dyDescent="0.25">
      <c r="A2830" t="str">
        <f t="shared" si="502"/>
        <v>89301000</v>
      </c>
      <c r="B2830" t="str">
        <f t="shared" si="497"/>
        <v>72077000</v>
      </c>
      <c r="C2830" t="str">
        <f t="shared" si="498"/>
        <v>72077001</v>
      </c>
      <c r="D2830">
        <v>89301152</v>
      </c>
      <c r="E2830" t="str">
        <f t="shared" si="503"/>
        <v>7207275339</v>
      </c>
      <c r="F2830" s="1">
        <v>44985</v>
      </c>
      <c r="G2830" t="str">
        <f>"91329"</f>
        <v>91329</v>
      </c>
      <c r="H2830">
        <v>1</v>
      </c>
      <c r="I2830">
        <v>218</v>
      </c>
      <c r="J2830">
        <v>0</v>
      </c>
      <c r="K2830" t="str">
        <f t="shared" si="499"/>
        <v>813</v>
      </c>
      <c r="L2830">
        <v>183.12</v>
      </c>
    </row>
    <row r="2831" spans="1:12" x14ac:dyDescent="0.25">
      <c r="A2831" t="str">
        <f t="shared" si="502"/>
        <v>89301000</v>
      </c>
      <c r="B2831" t="str">
        <f t="shared" si="497"/>
        <v>72077000</v>
      </c>
      <c r="C2831" t="str">
        <f t="shared" si="498"/>
        <v>72077001</v>
      </c>
      <c r="D2831">
        <v>89301152</v>
      </c>
      <c r="E2831" t="str">
        <f>"9402116141"</f>
        <v>9402116141</v>
      </c>
      <c r="F2831" s="1">
        <v>44984</v>
      </c>
      <c r="G2831" t="str">
        <f>"91485"</f>
        <v>91485</v>
      </c>
      <c r="H2831">
        <v>1</v>
      </c>
      <c r="I2831">
        <v>268</v>
      </c>
      <c r="J2831">
        <v>0</v>
      </c>
      <c r="K2831" t="str">
        <f t="shared" si="499"/>
        <v>813</v>
      </c>
      <c r="L2831">
        <v>225.12</v>
      </c>
    </row>
    <row r="2832" spans="1:12" x14ac:dyDescent="0.25">
      <c r="A2832" t="str">
        <f t="shared" si="502"/>
        <v>89301000</v>
      </c>
      <c r="B2832" t="str">
        <f t="shared" ref="B2832:C2850" si="504">"91970116"</f>
        <v>91970116</v>
      </c>
      <c r="C2832" t="str">
        <f t="shared" si="504"/>
        <v>91970116</v>
      </c>
      <c r="D2832">
        <v>89301167</v>
      </c>
      <c r="E2832" t="str">
        <f t="shared" ref="E2832:E2863" si="505">"530220073"</f>
        <v>530220073</v>
      </c>
      <c r="F2832" s="1">
        <v>44988</v>
      </c>
      <c r="G2832" t="str">
        <f>"97111"</f>
        <v>97111</v>
      </c>
      <c r="H2832">
        <v>1</v>
      </c>
      <c r="I2832">
        <v>19</v>
      </c>
      <c r="J2832">
        <v>0</v>
      </c>
      <c r="K2832" t="str">
        <f t="shared" ref="K2832:K2850" si="506">"801"</f>
        <v>801</v>
      </c>
      <c r="L2832">
        <v>23.94</v>
      </c>
    </row>
    <row r="2833" spans="1:12" x14ac:dyDescent="0.25">
      <c r="A2833" t="str">
        <f t="shared" si="502"/>
        <v>89301000</v>
      </c>
      <c r="B2833" t="str">
        <f t="shared" si="504"/>
        <v>91970116</v>
      </c>
      <c r="C2833" t="str">
        <f t="shared" si="504"/>
        <v>91970116</v>
      </c>
      <c r="D2833">
        <v>89301167</v>
      </c>
      <c r="E2833" t="str">
        <f t="shared" si="505"/>
        <v>530220073</v>
      </c>
      <c r="F2833" s="1">
        <v>44988</v>
      </c>
      <c r="G2833" t="str">
        <f>"81625"</f>
        <v>81625</v>
      </c>
      <c r="H2833">
        <v>1</v>
      </c>
      <c r="I2833">
        <v>21</v>
      </c>
      <c r="J2833">
        <v>0</v>
      </c>
      <c r="K2833" t="str">
        <f t="shared" si="506"/>
        <v>801</v>
      </c>
      <c r="L2833">
        <v>17.64</v>
      </c>
    </row>
    <row r="2834" spans="1:12" x14ac:dyDescent="0.25">
      <c r="A2834" t="str">
        <f t="shared" si="502"/>
        <v>89301000</v>
      </c>
      <c r="B2834" t="str">
        <f t="shared" si="504"/>
        <v>91970116</v>
      </c>
      <c r="C2834" t="str">
        <f t="shared" si="504"/>
        <v>91970116</v>
      </c>
      <c r="D2834">
        <v>89301167</v>
      </c>
      <c r="E2834" t="str">
        <f t="shared" si="505"/>
        <v>530220073</v>
      </c>
      <c r="F2834" s="1">
        <v>44988</v>
      </c>
      <c r="G2834" t="str">
        <f>"81621"</f>
        <v>81621</v>
      </c>
      <c r="H2834">
        <v>1</v>
      </c>
      <c r="I2834">
        <v>19</v>
      </c>
      <c r="J2834">
        <v>0</v>
      </c>
      <c r="K2834" t="str">
        <f t="shared" si="506"/>
        <v>801</v>
      </c>
      <c r="L2834">
        <v>15.96</v>
      </c>
    </row>
    <row r="2835" spans="1:12" x14ac:dyDescent="0.25">
      <c r="A2835" t="str">
        <f t="shared" si="502"/>
        <v>89301000</v>
      </c>
      <c r="B2835" t="str">
        <f t="shared" si="504"/>
        <v>91970116</v>
      </c>
      <c r="C2835" t="str">
        <f t="shared" si="504"/>
        <v>91970116</v>
      </c>
      <c r="D2835">
        <v>89301167</v>
      </c>
      <c r="E2835" t="str">
        <f t="shared" si="505"/>
        <v>530220073</v>
      </c>
      <c r="F2835" s="1">
        <v>44988</v>
      </c>
      <c r="G2835" t="str">
        <f>"81499"</f>
        <v>81499</v>
      </c>
      <c r="H2835">
        <v>1</v>
      </c>
      <c r="I2835">
        <v>18</v>
      </c>
      <c r="J2835">
        <v>0</v>
      </c>
      <c r="K2835" t="str">
        <f t="shared" si="506"/>
        <v>801</v>
      </c>
      <c r="L2835">
        <v>15.12</v>
      </c>
    </row>
    <row r="2836" spans="1:12" x14ac:dyDescent="0.25">
      <c r="A2836" t="str">
        <f t="shared" si="502"/>
        <v>89301000</v>
      </c>
      <c r="B2836" t="str">
        <f t="shared" si="504"/>
        <v>91970116</v>
      </c>
      <c r="C2836" t="str">
        <f t="shared" si="504"/>
        <v>91970116</v>
      </c>
      <c r="D2836">
        <v>89301167</v>
      </c>
      <c r="E2836" t="str">
        <f t="shared" si="505"/>
        <v>530220073</v>
      </c>
      <c r="F2836" s="1">
        <v>44988</v>
      </c>
      <c r="G2836" t="str">
        <f>"81329"</f>
        <v>81329</v>
      </c>
      <c r="H2836">
        <v>1</v>
      </c>
      <c r="I2836">
        <v>17</v>
      </c>
      <c r="J2836">
        <v>0</v>
      </c>
      <c r="K2836" t="str">
        <f t="shared" si="506"/>
        <v>801</v>
      </c>
      <c r="L2836">
        <v>14.28</v>
      </c>
    </row>
    <row r="2837" spans="1:12" x14ac:dyDescent="0.25">
      <c r="A2837" t="str">
        <f t="shared" si="502"/>
        <v>89301000</v>
      </c>
      <c r="B2837" t="str">
        <f t="shared" si="504"/>
        <v>91970116</v>
      </c>
      <c r="C2837" t="str">
        <f t="shared" si="504"/>
        <v>91970116</v>
      </c>
      <c r="D2837">
        <v>89301167</v>
      </c>
      <c r="E2837" t="str">
        <f t="shared" si="505"/>
        <v>530220073</v>
      </c>
      <c r="F2837" s="1">
        <v>44988</v>
      </c>
      <c r="G2837" t="str">
        <f>"81361"</f>
        <v>81361</v>
      </c>
      <c r="H2837">
        <v>1</v>
      </c>
      <c r="I2837">
        <v>17</v>
      </c>
      <c r="J2837">
        <v>0</v>
      </c>
      <c r="K2837" t="str">
        <f t="shared" si="506"/>
        <v>801</v>
      </c>
      <c r="L2837">
        <v>14.28</v>
      </c>
    </row>
    <row r="2838" spans="1:12" x14ac:dyDescent="0.25">
      <c r="A2838" t="str">
        <f t="shared" si="502"/>
        <v>89301000</v>
      </c>
      <c r="B2838" t="str">
        <f t="shared" si="504"/>
        <v>91970116</v>
      </c>
      <c r="C2838" t="str">
        <f t="shared" si="504"/>
        <v>91970116</v>
      </c>
      <c r="D2838">
        <v>89301167</v>
      </c>
      <c r="E2838" t="str">
        <f t="shared" si="505"/>
        <v>530220073</v>
      </c>
      <c r="F2838" s="1">
        <v>44988</v>
      </c>
      <c r="G2838" t="str">
        <f>"81337"</f>
        <v>81337</v>
      </c>
      <c r="H2838">
        <v>1</v>
      </c>
      <c r="I2838">
        <v>20</v>
      </c>
      <c r="J2838">
        <v>0</v>
      </c>
      <c r="K2838" t="str">
        <f t="shared" si="506"/>
        <v>801</v>
      </c>
      <c r="L2838">
        <v>16.8</v>
      </c>
    </row>
    <row r="2839" spans="1:12" x14ac:dyDescent="0.25">
      <c r="A2839" t="str">
        <f t="shared" si="502"/>
        <v>89301000</v>
      </c>
      <c r="B2839" t="str">
        <f t="shared" si="504"/>
        <v>91970116</v>
      </c>
      <c r="C2839" t="str">
        <f t="shared" si="504"/>
        <v>91970116</v>
      </c>
      <c r="D2839">
        <v>89301167</v>
      </c>
      <c r="E2839" t="str">
        <f t="shared" si="505"/>
        <v>530220073</v>
      </c>
      <c r="F2839" s="1">
        <v>44988</v>
      </c>
      <c r="G2839" t="str">
        <f>"81357"</f>
        <v>81357</v>
      </c>
      <c r="H2839">
        <v>1</v>
      </c>
      <c r="I2839">
        <v>20</v>
      </c>
      <c r="J2839">
        <v>0</v>
      </c>
      <c r="K2839" t="str">
        <f t="shared" si="506"/>
        <v>801</v>
      </c>
      <c r="L2839">
        <v>16.8</v>
      </c>
    </row>
    <row r="2840" spans="1:12" x14ac:dyDescent="0.25">
      <c r="A2840" t="str">
        <f t="shared" si="502"/>
        <v>89301000</v>
      </c>
      <c r="B2840" t="str">
        <f t="shared" si="504"/>
        <v>91970116</v>
      </c>
      <c r="C2840" t="str">
        <f t="shared" si="504"/>
        <v>91970116</v>
      </c>
      <c r="D2840">
        <v>89301167</v>
      </c>
      <c r="E2840" t="str">
        <f t="shared" si="505"/>
        <v>530220073</v>
      </c>
      <c r="F2840" s="1">
        <v>44988</v>
      </c>
      <c r="G2840" t="str">
        <f>"81421"</f>
        <v>81421</v>
      </c>
      <c r="H2840">
        <v>1</v>
      </c>
      <c r="I2840">
        <v>19</v>
      </c>
      <c r="J2840">
        <v>0</v>
      </c>
      <c r="K2840" t="str">
        <f t="shared" si="506"/>
        <v>801</v>
      </c>
      <c r="L2840">
        <v>15.96</v>
      </c>
    </row>
    <row r="2841" spans="1:12" x14ac:dyDescent="0.25">
      <c r="A2841" t="str">
        <f t="shared" si="502"/>
        <v>89301000</v>
      </c>
      <c r="B2841" t="str">
        <f t="shared" si="504"/>
        <v>91970116</v>
      </c>
      <c r="C2841" t="str">
        <f t="shared" si="504"/>
        <v>91970116</v>
      </c>
      <c r="D2841">
        <v>89301167</v>
      </c>
      <c r="E2841" t="str">
        <f t="shared" si="505"/>
        <v>530220073</v>
      </c>
      <c r="F2841" s="1">
        <v>44988</v>
      </c>
      <c r="G2841" t="str">
        <f>"81435"</f>
        <v>81435</v>
      </c>
      <c r="H2841">
        <v>1</v>
      </c>
      <c r="I2841">
        <v>22</v>
      </c>
      <c r="J2841">
        <v>0</v>
      </c>
      <c r="K2841" t="str">
        <f t="shared" si="506"/>
        <v>801</v>
      </c>
      <c r="L2841">
        <v>18.48</v>
      </c>
    </row>
    <row r="2842" spans="1:12" x14ac:dyDescent="0.25">
      <c r="A2842" t="str">
        <f t="shared" si="502"/>
        <v>89301000</v>
      </c>
      <c r="B2842" t="str">
        <f t="shared" si="504"/>
        <v>91970116</v>
      </c>
      <c r="C2842" t="str">
        <f t="shared" si="504"/>
        <v>91970116</v>
      </c>
      <c r="D2842">
        <v>89301167</v>
      </c>
      <c r="E2842" t="str">
        <f t="shared" si="505"/>
        <v>530220073</v>
      </c>
      <c r="F2842" s="1">
        <v>44988</v>
      </c>
      <c r="G2842" t="str">
        <f>"81439"</f>
        <v>81439</v>
      </c>
      <c r="H2842">
        <v>1</v>
      </c>
      <c r="I2842">
        <v>16</v>
      </c>
      <c r="J2842">
        <v>0</v>
      </c>
      <c r="K2842" t="str">
        <f t="shared" si="506"/>
        <v>801</v>
      </c>
      <c r="L2842">
        <v>13.44</v>
      </c>
    </row>
    <row r="2843" spans="1:12" x14ac:dyDescent="0.25">
      <c r="A2843" t="str">
        <f t="shared" si="502"/>
        <v>89301000</v>
      </c>
      <c r="B2843" t="str">
        <f t="shared" si="504"/>
        <v>91970116</v>
      </c>
      <c r="C2843" t="str">
        <f t="shared" si="504"/>
        <v>91970116</v>
      </c>
      <c r="D2843">
        <v>89301167</v>
      </c>
      <c r="E2843" t="str">
        <f t="shared" si="505"/>
        <v>530220073</v>
      </c>
      <c r="F2843" s="1">
        <v>44988</v>
      </c>
      <c r="G2843" t="str">
        <f>"81471"</f>
        <v>81471</v>
      </c>
      <c r="H2843">
        <v>1</v>
      </c>
      <c r="I2843">
        <v>24</v>
      </c>
      <c r="J2843">
        <v>0</v>
      </c>
      <c r="K2843" t="str">
        <f t="shared" si="506"/>
        <v>801</v>
      </c>
      <c r="L2843">
        <v>20.16</v>
      </c>
    </row>
    <row r="2844" spans="1:12" x14ac:dyDescent="0.25">
      <c r="A2844" t="str">
        <f t="shared" si="502"/>
        <v>89301000</v>
      </c>
      <c r="B2844" t="str">
        <f t="shared" si="504"/>
        <v>91970116</v>
      </c>
      <c r="C2844" t="str">
        <f t="shared" si="504"/>
        <v>91970116</v>
      </c>
      <c r="D2844">
        <v>89301167</v>
      </c>
      <c r="E2844" t="str">
        <f t="shared" si="505"/>
        <v>530220073</v>
      </c>
      <c r="F2844" s="1">
        <v>44988</v>
      </c>
      <c r="G2844" t="str">
        <f>"81611"</f>
        <v>81611</v>
      </c>
      <c r="H2844">
        <v>1</v>
      </c>
      <c r="I2844">
        <v>30</v>
      </c>
      <c r="J2844">
        <v>0</v>
      </c>
      <c r="K2844" t="str">
        <f t="shared" si="506"/>
        <v>801</v>
      </c>
      <c r="L2844">
        <v>25.2</v>
      </c>
    </row>
    <row r="2845" spans="1:12" x14ac:dyDescent="0.25">
      <c r="A2845" t="str">
        <f t="shared" si="502"/>
        <v>89301000</v>
      </c>
      <c r="B2845" t="str">
        <f t="shared" si="504"/>
        <v>91970116</v>
      </c>
      <c r="C2845" t="str">
        <f t="shared" si="504"/>
        <v>91970116</v>
      </c>
      <c r="D2845">
        <v>89301167</v>
      </c>
      <c r="E2845" t="str">
        <f t="shared" si="505"/>
        <v>530220073</v>
      </c>
      <c r="F2845" s="1">
        <v>44988</v>
      </c>
      <c r="G2845" t="str">
        <f>"91153"</f>
        <v>91153</v>
      </c>
      <c r="H2845">
        <v>1</v>
      </c>
      <c r="I2845">
        <v>153</v>
      </c>
      <c r="J2845">
        <v>0</v>
      </c>
      <c r="K2845" t="str">
        <f t="shared" si="506"/>
        <v>801</v>
      </c>
      <c r="L2845">
        <v>128.52000000000001</v>
      </c>
    </row>
    <row r="2846" spans="1:12" x14ac:dyDescent="0.25">
      <c r="A2846" t="str">
        <f t="shared" si="502"/>
        <v>89301000</v>
      </c>
      <c r="B2846" t="str">
        <f t="shared" si="504"/>
        <v>91970116</v>
      </c>
      <c r="C2846" t="str">
        <f t="shared" si="504"/>
        <v>91970116</v>
      </c>
      <c r="D2846">
        <v>89301167</v>
      </c>
      <c r="E2846" t="str">
        <f t="shared" si="505"/>
        <v>530220073</v>
      </c>
      <c r="F2846" s="1">
        <v>44988</v>
      </c>
      <c r="G2846" t="str">
        <f>"81511"</f>
        <v>81511</v>
      </c>
      <c r="H2846">
        <v>1</v>
      </c>
      <c r="I2846">
        <v>10</v>
      </c>
      <c r="J2846">
        <v>0</v>
      </c>
      <c r="K2846" t="str">
        <f t="shared" si="506"/>
        <v>801</v>
      </c>
      <c r="L2846">
        <v>8.4</v>
      </c>
    </row>
    <row r="2847" spans="1:12" x14ac:dyDescent="0.25">
      <c r="A2847" t="str">
        <f t="shared" si="502"/>
        <v>89301000</v>
      </c>
      <c r="B2847" t="str">
        <f t="shared" si="504"/>
        <v>91970116</v>
      </c>
      <c r="C2847" t="str">
        <f t="shared" si="504"/>
        <v>91970116</v>
      </c>
      <c r="D2847">
        <v>89301167</v>
      </c>
      <c r="E2847" t="str">
        <f t="shared" si="505"/>
        <v>530220073</v>
      </c>
      <c r="F2847" s="1">
        <v>44988</v>
      </c>
      <c r="G2847" t="str">
        <f>"81593"</f>
        <v>81593</v>
      </c>
      <c r="H2847">
        <v>1</v>
      </c>
      <c r="I2847">
        <v>22</v>
      </c>
      <c r="J2847">
        <v>0</v>
      </c>
      <c r="K2847" t="str">
        <f t="shared" si="506"/>
        <v>801</v>
      </c>
      <c r="L2847">
        <v>18.48</v>
      </c>
    </row>
    <row r="2848" spans="1:12" x14ac:dyDescent="0.25">
      <c r="A2848" t="str">
        <f t="shared" si="502"/>
        <v>89301000</v>
      </c>
      <c r="B2848" t="str">
        <f t="shared" si="504"/>
        <v>91970116</v>
      </c>
      <c r="C2848" t="str">
        <f t="shared" si="504"/>
        <v>91970116</v>
      </c>
      <c r="D2848">
        <v>89301167</v>
      </c>
      <c r="E2848" t="str">
        <f t="shared" si="505"/>
        <v>530220073</v>
      </c>
      <c r="F2848" s="1">
        <v>44988</v>
      </c>
      <c r="G2848" t="str">
        <f>"81393"</f>
        <v>81393</v>
      </c>
      <c r="H2848">
        <v>1</v>
      </c>
      <c r="I2848">
        <v>24</v>
      </c>
      <c r="J2848">
        <v>0</v>
      </c>
      <c r="K2848" t="str">
        <f t="shared" si="506"/>
        <v>801</v>
      </c>
      <c r="L2848">
        <v>20.16</v>
      </c>
    </row>
    <row r="2849" spans="1:12" x14ac:dyDescent="0.25">
      <c r="A2849" t="str">
        <f t="shared" si="502"/>
        <v>89301000</v>
      </c>
      <c r="B2849" t="str">
        <f t="shared" si="504"/>
        <v>91970116</v>
      </c>
      <c r="C2849" t="str">
        <f t="shared" si="504"/>
        <v>91970116</v>
      </c>
      <c r="D2849">
        <v>89301167</v>
      </c>
      <c r="E2849" t="str">
        <f t="shared" si="505"/>
        <v>530220073</v>
      </c>
      <c r="F2849" s="1">
        <v>44988</v>
      </c>
      <c r="G2849" t="str">
        <f>"81469"</f>
        <v>81469</v>
      </c>
      <c r="H2849">
        <v>1</v>
      </c>
      <c r="I2849">
        <v>16</v>
      </c>
      <c r="J2849">
        <v>0</v>
      </c>
      <c r="K2849" t="str">
        <f t="shared" si="506"/>
        <v>801</v>
      </c>
      <c r="L2849">
        <v>13.44</v>
      </c>
    </row>
    <row r="2850" spans="1:12" x14ac:dyDescent="0.25">
      <c r="A2850" t="str">
        <f t="shared" si="502"/>
        <v>89301000</v>
      </c>
      <c r="B2850" t="str">
        <f t="shared" si="504"/>
        <v>91970116</v>
      </c>
      <c r="C2850" t="str">
        <f t="shared" si="504"/>
        <v>91970116</v>
      </c>
      <c r="D2850">
        <v>89301167</v>
      </c>
      <c r="E2850" t="str">
        <f t="shared" si="505"/>
        <v>530220073</v>
      </c>
      <c r="F2850" s="1">
        <v>44988</v>
      </c>
      <c r="G2850" t="str">
        <f>"81249"</f>
        <v>81249</v>
      </c>
      <c r="H2850">
        <v>1</v>
      </c>
      <c r="I2850">
        <v>334</v>
      </c>
      <c r="J2850">
        <v>0</v>
      </c>
      <c r="K2850" t="str">
        <f t="shared" si="506"/>
        <v>801</v>
      </c>
      <c r="L2850">
        <v>280.56</v>
      </c>
    </row>
    <row r="2851" spans="1:12" x14ac:dyDescent="0.25">
      <c r="A2851" t="str">
        <f t="shared" si="502"/>
        <v>89301000</v>
      </c>
      <c r="B2851" t="str">
        <f t="shared" ref="B2851:B2881" si="507">"91970116"</f>
        <v>91970116</v>
      </c>
      <c r="C2851" t="str">
        <f>"91970115"</f>
        <v>91970115</v>
      </c>
      <c r="D2851">
        <v>89301167</v>
      </c>
      <c r="E2851" t="str">
        <f t="shared" si="505"/>
        <v>530220073</v>
      </c>
      <c r="F2851" s="1">
        <v>44988</v>
      </c>
      <c r="G2851" t="str">
        <f>"09119"</f>
        <v>09119</v>
      </c>
      <c r="H2851">
        <v>1</v>
      </c>
      <c r="I2851">
        <v>43</v>
      </c>
      <c r="J2851">
        <v>0</v>
      </c>
      <c r="K2851" t="str">
        <f>"818"</f>
        <v>818</v>
      </c>
      <c r="L2851">
        <v>54.18</v>
      </c>
    </row>
    <row r="2852" spans="1:12" x14ac:dyDescent="0.25">
      <c r="A2852" t="str">
        <f t="shared" si="502"/>
        <v>89301000</v>
      </c>
      <c r="B2852" t="str">
        <f t="shared" si="507"/>
        <v>91970116</v>
      </c>
      <c r="C2852" t="str">
        <f>"91970115"</f>
        <v>91970115</v>
      </c>
      <c r="D2852">
        <v>89301167</v>
      </c>
      <c r="E2852" t="str">
        <f t="shared" si="505"/>
        <v>530220073</v>
      </c>
      <c r="F2852" s="1">
        <v>44988</v>
      </c>
      <c r="G2852" t="str">
        <f>"96163"</f>
        <v>96163</v>
      </c>
      <c r="H2852">
        <v>1</v>
      </c>
      <c r="I2852">
        <v>28</v>
      </c>
      <c r="J2852">
        <v>0</v>
      </c>
      <c r="K2852" t="str">
        <f>"818"</f>
        <v>818</v>
      </c>
      <c r="L2852">
        <v>27.16</v>
      </c>
    </row>
    <row r="2853" spans="1:12" x14ac:dyDescent="0.25">
      <c r="A2853" t="str">
        <f t="shared" si="502"/>
        <v>89301000</v>
      </c>
      <c r="B2853" t="str">
        <f t="shared" si="507"/>
        <v>91970116</v>
      </c>
      <c r="C2853" t="str">
        <f>"91970115"</f>
        <v>91970115</v>
      </c>
      <c r="D2853">
        <v>89301167</v>
      </c>
      <c r="E2853" t="str">
        <f t="shared" si="505"/>
        <v>530220073</v>
      </c>
      <c r="F2853" s="1">
        <v>44988</v>
      </c>
      <c r="G2853" t="str">
        <f>"96315"</f>
        <v>96315</v>
      </c>
      <c r="H2853">
        <v>1</v>
      </c>
      <c r="I2853">
        <v>30</v>
      </c>
      <c r="J2853">
        <v>0</v>
      </c>
      <c r="K2853" t="str">
        <f>"818"</f>
        <v>818</v>
      </c>
      <c r="L2853">
        <v>29.1</v>
      </c>
    </row>
    <row r="2854" spans="1:12" x14ac:dyDescent="0.25">
      <c r="A2854" t="str">
        <f t="shared" si="502"/>
        <v>89301000</v>
      </c>
      <c r="B2854" t="str">
        <f t="shared" si="507"/>
        <v>91970116</v>
      </c>
      <c r="C2854" t="str">
        <f>"91970115"</f>
        <v>91970115</v>
      </c>
      <c r="D2854">
        <v>89301167</v>
      </c>
      <c r="E2854" t="str">
        <f t="shared" si="505"/>
        <v>530220073</v>
      </c>
      <c r="F2854" s="1">
        <v>44988</v>
      </c>
      <c r="G2854" t="str">
        <f>"96711"</f>
        <v>96711</v>
      </c>
      <c r="H2854">
        <v>1</v>
      </c>
      <c r="I2854">
        <v>28</v>
      </c>
      <c r="J2854">
        <v>0</v>
      </c>
      <c r="K2854" t="str">
        <f>"818"</f>
        <v>818</v>
      </c>
      <c r="L2854">
        <v>27.16</v>
      </c>
    </row>
    <row r="2855" spans="1:12" x14ac:dyDescent="0.25">
      <c r="A2855" t="str">
        <f t="shared" si="502"/>
        <v>89301000</v>
      </c>
      <c r="B2855" t="str">
        <f t="shared" si="507"/>
        <v>91970116</v>
      </c>
      <c r="C2855" t="str">
        <f>"91970115"</f>
        <v>91970115</v>
      </c>
      <c r="D2855">
        <v>89301167</v>
      </c>
      <c r="E2855" t="str">
        <f t="shared" si="505"/>
        <v>530220073</v>
      </c>
      <c r="F2855" s="1">
        <v>44988</v>
      </c>
      <c r="G2855" t="str">
        <f>"96713"</f>
        <v>96713</v>
      </c>
      <c r="H2855">
        <v>1</v>
      </c>
      <c r="I2855">
        <v>14</v>
      </c>
      <c r="J2855">
        <v>0</v>
      </c>
      <c r="K2855" t="str">
        <f>"818"</f>
        <v>818</v>
      </c>
      <c r="L2855">
        <v>13.58</v>
      </c>
    </row>
    <row r="2856" spans="1:12" x14ac:dyDescent="0.25">
      <c r="A2856" t="str">
        <f t="shared" si="502"/>
        <v>89301000</v>
      </c>
      <c r="B2856" t="str">
        <f t="shared" si="507"/>
        <v>91970116</v>
      </c>
      <c r="C2856" t="str">
        <f t="shared" ref="C2856:C2876" si="508">"91970116"</f>
        <v>91970116</v>
      </c>
      <c r="D2856">
        <v>89301167</v>
      </c>
      <c r="E2856" t="str">
        <f t="shared" si="505"/>
        <v>530220073</v>
      </c>
      <c r="F2856" s="1">
        <v>45016</v>
      </c>
      <c r="G2856" t="str">
        <f>"97111"</f>
        <v>97111</v>
      </c>
      <c r="H2856">
        <v>1</v>
      </c>
      <c r="I2856">
        <v>19</v>
      </c>
      <c r="J2856">
        <v>0</v>
      </c>
      <c r="K2856" t="str">
        <f t="shared" ref="K2856:K2876" si="509">"801"</f>
        <v>801</v>
      </c>
      <c r="L2856">
        <v>23.94</v>
      </c>
    </row>
    <row r="2857" spans="1:12" x14ac:dyDescent="0.25">
      <c r="A2857" t="str">
        <f t="shared" si="502"/>
        <v>89301000</v>
      </c>
      <c r="B2857" t="str">
        <f t="shared" si="507"/>
        <v>91970116</v>
      </c>
      <c r="C2857" t="str">
        <f t="shared" si="508"/>
        <v>91970116</v>
      </c>
      <c r="D2857">
        <v>89301167</v>
      </c>
      <c r="E2857" t="str">
        <f t="shared" si="505"/>
        <v>530220073</v>
      </c>
      <c r="F2857" s="1">
        <v>45016</v>
      </c>
      <c r="G2857" t="str">
        <f>"81621"</f>
        <v>81621</v>
      </c>
      <c r="H2857">
        <v>1</v>
      </c>
      <c r="I2857">
        <v>19</v>
      </c>
      <c r="J2857">
        <v>0</v>
      </c>
      <c r="K2857" t="str">
        <f t="shared" si="509"/>
        <v>801</v>
      </c>
      <c r="L2857">
        <v>15.96</v>
      </c>
    </row>
    <row r="2858" spans="1:12" x14ac:dyDescent="0.25">
      <c r="A2858" t="str">
        <f t="shared" si="502"/>
        <v>89301000</v>
      </c>
      <c r="B2858" t="str">
        <f t="shared" si="507"/>
        <v>91970116</v>
      </c>
      <c r="C2858" t="str">
        <f t="shared" si="508"/>
        <v>91970116</v>
      </c>
      <c r="D2858">
        <v>89301167</v>
      </c>
      <c r="E2858" t="str">
        <f t="shared" si="505"/>
        <v>530220073</v>
      </c>
      <c r="F2858" s="1">
        <v>45016</v>
      </c>
      <c r="G2858" t="str">
        <f>"81499"</f>
        <v>81499</v>
      </c>
      <c r="H2858">
        <v>1</v>
      </c>
      <c r="I2858">
        <v>18</v>
      </c>
      <c r="J2858">
        <v>0</v>
      </c>
      <c r="K2858" t="str">
        <f t="shared" si="509"/>
        <v>801</v>
      </c>
      <c r="L2858">
        <v>15.12</v>
      </c>
    </row>
    <row r="2859" spans="1:12" x14ac:dyDescent="0.25">
      <c r="A2859" t="str">
        <f t="shared" si="502"/>
        <v>89301000</v>
      </c>
      <c r="B2859" t="str">
        <f t="shared" si="507"/>
        <v>91970116</v>
      </c>
      <c r="C2859" t="str">
        <f t="shared" si="508"/>
        <v>91970116</v>
      </c>
      <c r="D2859">
        <v>89301167</v>
      </c>
      <c r="E2859" t="str">
        <f t="shared" si="505"/>
        <v>530220073</v>
      </c>
      <c r="F2859" s="1">
        <v>45016</v>
      </c>
      <c r="G2859" t="str">
        <f>"81365"</f>
        <v>81365</v>
      </c>
      <c r="H2859">
        <v>1</v>
      </c>
      <c r="I2859">
        <v>16</v>
      </c>
      <c r="J2859">
        <v>0</v>
      </c>
      <c r="K2859" t="str">
        <f t="shared" si="509"/>
        <v>801</v>
      </c>
      <c r="L2859">
        <v>13.44</v>
      </c>
    </row>
    <row r="2860" spans="1:12" x14ac:dyDescent="0.25">
      <c r="A2860" t="str">
        <f t="shared" si="502"/>
        <v>89301000</v>
      </c>
      <c r="B2860" t="str">
        <f t="shared" si="507"/>
        <v>91970116</v>
      </c>
      <c r="C2860" t="str">
        <f t="shared" si="508"/>
        <v>91970116</v>
      </c>
      <c r="D2860">
        <v>89301167</v>
      </c>
      <c r="E2860" t="str">
        <f t="shared" si="505"/>
        <v>530220073</v>
      </c>
      <c r="F2860" s="1">
        <v>45016</v>
      </c>
      <c r="G2860" t="str">
        <f>"81329"</f>
        <v>81329</v>
      </c>
      <c r="H2860">
        <v>1</v>
      </c>
      <c r="I2860">
        <v>17</v>
      </c>
      <c r="J2860">
        <v>0</v>
      </c>
      <c r="K2860" t="str">
        <f t="shared" si="509"/>
        <v>801</v>
      </c>
      <c r="L2860">
        <v>14.28</v>
      </c>
    </row>
    <row r="2861" spans="1:12" x14ac:dyDescent="0.25">
      <c r="A2861" t="str">
        <f t="shared" si="502"/>
        <v>89301000</v>
      </c>
      <c r="B2861" t="str">
        <f t="shared" si="507"/>
        <v>91970116</v>
      </c>
      <c r="C2861" t="str">
        <f t="shared" si="508"/>
        <v>91970116</v>
      </c>
      <c r="D2861">
        <v>89301167</v>
      </c>
      <c r="E2861" t="str">
        <f t="shared" si="505"/>
        <v>530220073</v>
      </c>
      <c r="F2861" s="1">
        <v>45016</v>
      </c>
      <c r="G2861" t="str">
        <f>"81337"</f>
        <v>81337</v>
      </c>
      <c r="H2861">
        <v>1</v>
      </c>
      <c r="I2861">
        <v>20</v>
      </c>
      <c r="J2861">
        <v>0</v>
      </c>
      <c r="K2861" t="str">
        <f t="shared" si="509"/>
        <v>801</v>
      </c>
      <c r="L2861">
        <v>16.8</v>
      </c>
    </row>
    <row r="2862" spans="1:12" x14ac:dyDescent="0.25">
      <c r="A2862" t="str">
        <f t="shared" si="502"/>
        <v>89301000</v>
      </c>
      <c r="B2862" t="str">
        <f t="shared" si="507"/>
        <v>91970116</v>
      </c>
      <c r="C2862" t="str">
        <f t="shared" si="508"/>
        <v>91970116</v>
      </c>
      <c r="D2862">
        <v>89301167</v>
      </c>
      <c r="E2862" t="str">
        <f t="shared" si="505"/>
        <v>530220073</v>
      </c>
      <c r="F2862" s="1">
        <v>45016</v>
      </c>
      <c r="G2862" t="str">
        <f>"81357"</f>
        <v>81357</v>
      </c>
      <c r="H2862">
        <v>1</v>
      </c>
      <c r="I2862">
        <v>20</v>
      </c>
      <c r="J2862">
        <v>0</v>
      </c>
      <c r="K2862" t="str">
        <f t="shared" si="509"/>
        <v>801</v>
      </c>
      <c r="L2862">
        <v>16.8</v>
      </c>
    </row>
    <row r="2863" spans="1:12" x14ac:dyDescent="0.25">
      <c r="A2863" t="str">
        <f t="shared" si="502"/>
        <v>89301000</v>
      </c>
      <c r="B2863" t="str">
        <f t="shared" si="507"/>
        <v>91970116</v>
      </c>
      <c r="C2863" t="str">
        <f t="shared" si="508"/>
        <v>91970116</v>
      </c>
      <c r="D2863">
        <v>89301167</v>
      </c>
      <c r="E2863" t="str">
        <f t="shared" si="505"/>
        <v>530220073</v>
      </c>
      <c r="F2863" s="1">
        <v>45016</v>
      </c>
      <c r="G2863" t="str">
        <f>"81421"</f>
        <v>81421</v>
      </c>
      <c r="H2863">
        <v>1</v>
      </c>
      <c r="I2863">
        <v>19</v>
      </c>
      <c r="J2863">
        <v>0</v>
      </c>
      <c r="K2863" t="str">
        <f t="shared" si="509"/>
        <v>801</v>
      </c>
      <c r="L2863">
        <v>15.96</v>
      </c>
    </row>
    <row r="2864" spans="1:12" x14ac:dyDescent="0.25">
      <c r="A2864" t="str">
        <f t="shared" si="502"/>
        <v>89301000</v>
      </c>
      <c r="B2864" t="str">
        <f t="shared" si="507"/>
        <v>91970116</v>
      </c>
      <c r="C2864" t="str">
        <f t="shared" si="508"/>
        <v>91970116</v>
      </c>
      <c r="D2864">
        <v>89301167</v>
      </c>
      <c r="E2864" t="str">
        <f t="shared" ref="E2864:E2881" si="510">"530220073"</f>
        <v>530220073</v>
      </c>
      <c r="F2864" s="1">
        <v>45016</v>
      </c>
      <c r="G2864" t="str">
        <f>"81435"</f>
        <v>81435</v>
      </c>
      <c r="H2864">
        <v>1</v>
      </c>
      <c r="I2864">
        <v>22</v>
      </c>
      <c r="J2864">
        <v>0</v>
      </c>
      <c r="K2864" t="str">
        <f t="shared" si="509"/>
        <v>801</v>
      </c>
      <c r="L2864">
        <v>18.48</v>
      </c>
    </row>
    <row r="2865" spans="1:12" x14ac:dyDescent="0.25">
      <c r="A2865" t="str">
        <f t="shared" si="502"/>
        <v>89301000</v>
      </c>
      <c r="B2865" t="str">
        <f t="shared" si="507"/>
        <v>91970116</v>
      </c>
      <c r="C2865" t="str">
        <f t="shared" si="508"/>
        <v>91970116</v>
      </c>
      <c r="D2865">
        <v>89301167</v>
      </c>
      <c r="E2865" t="str">
        <f t="shared" si="510"/>
        <v>530220073</v>
      </c>
      <c r="F2865" s="1">
        <v>45016</v>
      </c>
      <c r="G2865" t="str">
        <f>"81439"</f>
        <v>81439</v>
      </c>
      <c r="H2865">
        <v>1</v>
      </c>
      <c r="I2865">
        <v>16</v>
      </c>
      <c r="J2865">
        <v>0</v>
      </c>
      <c r="K2865" t="str">
        <f t="shared" si="509"/>
        <v>801</v>
      </c>
      <c r="L2865">
        <v>13.44</v>
      </c>
    </row>
    <row r="2866" spans="1:12" x14ac:dyDescent="0.25">
      <c r="A2866" t="str">
        <f t="shared" si="502"/>
        <v>89301000</v>
      </c>
      <c r="B2866" t="str">
        <f t="shared" si="507"/>
        <v>91970116</v>
      </c>
      <c r="C2866" t="str">
        <f t="shared" si="508"/>
        <v>91970116</v>
      </c>
      <c r="D2866">
        <v>89301167</v>
      </c>
      <c r="E2866" t="str">
        <f t="shared" si="510"/>
        <v>530220073</v>
      </c>
      <c r="F2866" s="1">
        <v>45016</v>
      </c>
      <c r="G2866" t="str">
        <f>"81471"</f>
        <v>81471</v>
      </c>
      <c r="H2866">
        <v>1</v>
      </c>
      <c r="I2866">
        <v>24</v>
      </c>
      <c r="J2866">
        <v>0</v>
      </c>
      <c r="K2866" t="str">
        <f t="shared" si="509"/>
        <v>801</v>
      </c>
      <c r="L2866">
        <v>20.16</v>
      </c>
    </row>
    <row r="2867" spans="1:12" x14ac:dyDescent="0.25">
      <c r="A2867" t="str">
        <f t="shared" si="502"/>
        <v>89301000</v>
      </c>
      <c r="B2867" t="str">
        <f t="shared" si="507"/>
        <v>91970116</v>
      </c>
      <c r="C2867" t="str">
        <f t="shared" si="508"/>
        <v>91970116</v>
      </c>
      <c r="D2867">
        <v>89301167</v>
      </c>
      <c r="E2867" t="str">
        <f t="shared" si="510"/>
        <v>530220073</v>
      </c>
      <c r="F2867" s="1">
        <v>45016</v>
      </c>
      <c r="G2867" t="str">
        <f>"81611"</f>
        <v>81611</v>
      </c>
      <c r="H2867">
        <v>1</v>
      </c>
      <c r="I2867">
        <v>30</v>
      </c>
      <c r="J2867">
        <v>0</v>
      </c>
      <c r="K2867" t="str">
        <f t="shared" si="509"/>
        <v>801</v>
      </c>
      <c r="L2867">
        <v>25.2</v>
      </c>
    </row>
    <row r="2868" spans="1:12" x14ac:dyDescent="0.25">
      <c r="A2868" t="str">
        <f t="shared" si="502"/>
        <v>89301000</v>
      </c>
      <c r="B2868" t="str">
        <f t="shared" si="507"/>
        <v>91970116</v>
      </c>
      <c r="C2868" t="str">
        <f t="shared" si="508"/>
        <v>91970116</v>
      </c>
      <c r="D2868">
        <v>89301167</v>
      </c>
      <c r="E2868" t="str">
        <f t="shared" si="510"/>
        <v>530220073</v>
      </c>
      <c r="F2868" s="1">
        <v>45016</v>
      </c>
      <c r="G2868" t="str">
        <f>"91153"</f>
        <v>91153</v>
      </c>
      <c r="H2868">
        <v>1</v>
      </c>
      <c r="I2868">
        <v>153</v>
      </c>
      <c r="J2868">
        <v>0</v>
      </c>
      <c r="K2868" t="str">
        <f t="shared" si="509"/>
        <v>801</v>
      </c>
      <c r="L2868">
        <v>128.52000000000001</v>
      </c>
    </row>
    <row r="2869" spans="1:12" x14ac:dyDescent="0.25">
      <c r="A2869" t="str">
        <f t="shared" si="502"/>
        <v>89301000</v>
      </c>
      <c r="B2869" t="str">
        <f t="shared" si="507"/>
        <v>91970116</v>
      </c>
      <c r="C2869" t="str">
        <f t="shared" si="508"/>
        <v>91970116</v>
      </c>
      <c r="D2869">
        <v>89301167</v>
      </c>
      <c r="E2869" t="str">
        <f t="shared" si="510"/>
        <v>530220073</v>
      </c>
      <c r="F2869" s="1">
        <v>45016</v>
      </c>
      <c r="G2869" t="str">
        <f>"81511"</f>
        <v>81511</v>
      </c>
      <c r="H2869">
        <v>1</v>
      </c>
      <c r="I2869">
        <v>10</v>
      </c>
      <c r="J2869">
        <v>0</v>
      </c>
      <c r="K2869" t="str">
        <f t="shared" si="509"/>
        <v>801</v>
      </c>
      <c r="L2869">
        <v>8.4</v>
      </c>
    </row>
    <row r="2870" spans="1:12" x14ac:dyDescent="0.25">
      <c r="A2870" t="str">
        <f t="shared" si="502"/>
        <v>89301000</v>
      </c>
      <c r="B2870" t="str">
        <f t="shared" si="507"/>
        <v>91970116</v>
      </c>
      <c r="C2870" t="str">
        <f t="shared" si="508"/>
        <v>91970116</v>
      </c>
      <c r="D2870">
        <v>89301167</v>
      </c>
      <c r="E2870" t="str">
        <f t="shared" si="510"/>
        <v>530220073</v>
      </c>
      <c r="F2870" s="1">
        <v>45016</v>
      </c>
      <c r="G2870" t="str">
        <f>"81593"</f>
        <v>81593</v>
      </c>
      <c r="H2870">
        <v>1</v>
      </c>
      <c r="I2870">
        <v>22</v>
      </c>
      <c r="J2870">
        <v>0</v>
      </c>
      <c r="K2870" t="str">
        <f t="shared" si="509"/>
        <v>801</v>
      </c>
      <c r="L2870">
        <v>18.48</v>
      </c>
    </row>
    <row r="2871" spans="1:12" x14ac:dyDescent="0.25">
      <c r="A2871" t="str">
        <f t="shared" si="502"/>
        <v>89301000</v>
      </c>
      <c r="B2871" t="str">
        <f t="shared" si="507"/>
        <v>91970116</v>
      </c>
      <c r="C2871" t="str">
        <f t="shared" si="508"/>
        <v>91970116</v>
      </c>
      <c r="D2871">
        <v>89301167</v>
      </c>
      <c r="E2871" t="str">
        <f t="shared" si="510"/>
        <v>530220073</v>
      </c>
      <c r="F2871" s="1">
        <v>45016</v>
      </c>
      <c r="G2871" t="str">
        <f>"81393"</f>
        <v>81393</v>
      </c>
      <c r="H2871">
        <v>1</v>
      </c>
      <c r="I2871">
        <v>24</v>
      </c>
      <c r="J2871">
        <v>0</v>
      </c>
      <c r="K2871" t="str">
        <f t="shared" si="509"/>
        <v>801</v>
      </c>
      <c r="L2871">
        <v>20.16</v>
      </c>
    </row>
    <row r="2872" spans="1:12" x14ac:dyDescent="0.25">
      <c r="A2872" t="str">
        <f t="shared" si="502"/>
        <v>89301000</v>
      </c>
      <c r="B2872" t="str">
        <f t="shared" si="507"/>
        <v>91970116</v>
      </c>
      <c r="C2872" t="str">
        <f t="shared" si="508"/>
        <v>91970116</v>
      </c>
      <c r="D2872">
        <v>89301167</v>
      </c>
      <c r="E2872" t="str">
        <f t="shared" si="510"/>
        <v>530220073</v>
      </c>
      <c r="F2872" s="1">
        <v>45016</v>
      </c>
      <c r="G2872" t="str">
        <f>"81469"</f>
        <v>81469</v>
      </c>
      <c r="H2872">
        <v>1</v>
      </c>
      <c r="I2872">
        <v>16</v>
      </c>
      <c r="J2872">
        <v>0</v>
      </c>
      <c r="K2872" t="str">
        <f t="shared" si="509"/>
        <v>801</v>
      </c>
      <c r="L2872">
        <v>13.44</v>
      </c>
    </row>
    <row r="2873" spans="1:12" x14ac:dyDescent="0.25">
      <c r="A2873" t="str">
        <f t="shared" si="502"/>
        <v>89301000</v>
      </c>
      <c r="B2873" t="str">
        <f t="shared" si="507"/>
        <v>91970116</v>
      </c>
      <c r="C2873" t="str">
        <f t="shared" si="508"/>
        <v>91970116</v>
      </c>
      <c r="D2873">
        <v>89301167</v>
      </c>
      <c r="E2873" t="str">
        <f t="shared" si="510"/>
        <v>530220073</v>
      </c>
      <c r="F2873" s="1">
        <v>45016</v>
      </c>
      <c r="G2873" t="str">
        <f>"93195"</f>
        <v>93195</v>
      </c>
      <c r="H2873">
        <v>1</v>
      </c>
      <c r="I2873">
        <v>183</v>
      </c>
      <c r="J2873">
        <v>0</v>
      </c>
      <c r="K2873" t="str">
        <f t="shared" si="509"/>
        <v>801</v>
      </c>
      <c r="L2873">
        <v>153.72</v>
      </c>
    </row>
    <row r="2874" spans="1:12" x14ac:dyDescent="0.25">
      <c r="A2874" t="str">
        <f t="shared" si="502"/>
        <v>89301000</v>
      </c>
      <c r="B2874" t="str">
        <f t="shared" si="507"/>
        <v>91970116</v>
      </c>
      <c r="C2874" t="str">
        <f t="shared" si="508"/>
        <v>91970116</v>
      </c>
      <c r="D2874">
        <v>89301167</v>
      </c>
      <c r="E2874" t="str">
        <f t="shared" si="510"/>
        <v>530220073</v>
      </c>
      <c r="F2874" s="1">
        <v>45016</v>
      </c>
      <c r="G2874" t="str">
        <f>"93245"</f>
        <v>93245</v>
      </c>
      <c r="H2874">
        <v>1</v>
      </c>
      <c r="I2874">
        <v>191</v>
      </c>
      <c r="J2874">
        <v>0</v>
      </c>
      <c r="K2874" t="str">
        <f t="shared" si="509"/>
        <v>801</v>
      </c>
      <c r="L2874">
        <v>160.44</v>
      </c>
    </row>
    <row r="2875" spans="1:12" x14ac:dyDescent="0.25">
      <c r="A2875" t="str">
        <f t="shared" si="502"/>
        <v>89301000</v>
      </c>
      <c r="B2875" t="str">
        <f t="shared" si="507"/>
        <v>91970116</v>
      </c>
      <c r="C2875" t="str">
        <f t="shared" si="508"/>
        <v>91970116</v>
      </c>
      <c r="D2875">
        <v>89301167</v>
      </c>
      <c r="E2875" t="str">
        <f t="shared" si="510"/>
        <v>530220073</v>
      </c>
      <c r="F2875" s="1">
        <v>45016</v>
      </c>
      <c r="G2875" t="str">
        <f>"93189"</f>
        <v>93189</v>
      </c>
      <c r="H2875">
        <v>1</v>
      </c>
      <c r="I2875">
        <v>191</v>
      </c>
      <c r="J2875">
        <v>0</v>
      </c>
      <c r="K2875" t="str">
        <f t="shared" si="509"/>
        <v>801</v>
      </c>
      <c r="L2875">
        <v>160.44</v>
      </c>
    </row>
    <row r="2876" spans="1:12" x14ac:dyDescent="0.25">
      <c r="A2876" t="str">
        <f t="shared" si="502"/>
        <v>89301000</v>
      </c>
      <c r="B2876" t="str">
        <f t="shared" si="507"/>
        <v>91970116</v>
      </c>
      <c r="C2876" t="str">
        <f t="shared" si="508"/>
        <v>91970116</v>
      </c>
      <c r="D2876">
        <v>89301167</v>
      </c>
      <c r="E2876" t="str">
        <f t="shared" si="510"/>
        <v>530220073</v>
      </c>
      <c r="F2876" s="1">
        <v>45016</v>
      </c>
      <c r="G2876" t="str">
        <f>"81249"</f>
        <v>81249</v>
      </c>
      <c r="H2876">
        <v>1</v>
      </c>
      <c r="I2876">
        <v>334</v>
      </c>
      <c r="J2876">
        <v>0</v>
      </c>
      <c r="K2876" t="str">
        <f t="shared" si="509"/>
        <v>801</v>
      </c>
      <c r="L2876">
        <v>280.56</v>
      </c>
    </row>
    <row r="2877" spans="1:12" x14ac:dyDescent="0.25">
      <c r="A2877" t="str">
        <f t="shared" si="502"/>
        <v>89301000</v>
      </c>
      <c r="B2877" t="str">
        <f t="shared" si="507"/>
        <v>91970116</v>
      </c>
      <c r="C2877" t="str">
        <f>"91970115"</f>
        <v>91970115</v>
      </c>
      <c r="D2877">
        <v>89301167</v>
      </c>
      <c r="E2877" t="str">
        <f t="shared" si="510"/>
        <v>530220073</v>
      </c>
      <c r="F2877" s="1">
        <v>45016</v>
      </c>
      <c r="G2877" t="str">
        <f>"09119"</f>
        <v>09119</v>
      </c>
      <c r="H2877">
        <v>1</v>
      </c>
      <c r="I2877">
        <v>43</v>
      </c>
      <c r="J2877">
        <v>0</v>
      </c>
      <c r="K2877" t="str">
        <f>"818"</f>
        <v>818</v>
      </c>
      <c r="L2877">
        <v>54.18</v>
      </c>
    </row>
    <row r="2878" spans="1:12" x14ac:dyDescent="0.25">
      <c r="A2878" t="str">
        <f t="shared" si="502"/>
        <v>89301000</v>
      </c>
      <c r="B2878" t="str">
        <f t="shared" si="507"/>
        <v>91970116</v>
      </c>
      <c r="C2878" t="str">
        <f>"91970115"</f>
        <v>91970115</v>
      </c>
      <c r="D2878">
        <v>89301167</v>
      </c>
      <c r="E2878" t="str">
        <f t="shared" si="510"/>
        <v>530220073</v>
      </c>
      <c r="F2878" s="1">
        <v>45016</v>
      </c>
      <c r="G2878" t="str">
        <f>"96163"</f>
        <v>96163</v>
      </c>
      <c r="H2878">
        <v>1</v>
      </c>
      <c r="I2878">
        <v>28</v>
      </c>
      <c r="J2878">
        <v>0</v>
      </c>
      <c r="K2878" t="str">
        <f>"818"</f>
        <v>818</v>
      </c>
      <c r="L2878">
        <v>27.16</v>
      </c>
    </row>
    <row r="2879" spans="1:12" x14ac:dyDescent="0.25">
      <c r="A2879" t="str">
        <f t="shared" si="502"/>
        <v>89301000</v>
      </c>
      <c r="B2879" t="str">
        <f t="shared" si="507"/>
        <v>91970116</v>
      </c>
      <c r="C2879" t="str">
        <f>"91970115"</f>
        <v>91970115</v>
      </c>
      <c r="D2879">
        <v>89301167</v>
      </c>
      <c r="E2879" t="str">
        <f t="shared" si="510"/>
        <v>530220073</v>
      </c>
      <c r="F2879" s="1">
        <v>45016</v>
      </c>
      <c r="G2879" t="str">
        <f>"96315"</f>
        <v>96315</v>
      </c>
      <c r="H2879">
        <v>1</v>
      </c>
      <c r="I2879">
        <v>30</v>
      </c>
      <c r="J2879">
        <v>0</v>
      </c>
      <c r="K2879" t="str">
        <f>"818"</f>
        <v>818</v>
      </c>
      <c r="L2879">
        <v>29.1</v>
      </c>
    </row>
    <row r="2880" spans="1:12" x14ac:dyDescent="0.25">
      <c r="A2880" t="str">
        <f t="shared" si="502"/>
        <v>89301000</v>
      </c>
      <c r="B2880" t="str">
        <f t="shared" si="507"/>
        <v>91970116</v>
      </c>
      <c r="C2880" t="str">
        <f>"91970115"</f>
        <v>91970115</v>
      </c>
      <c r="D2880">
        <v>89301167</v>
      </c>
      <c r="E2880" t="str">
        <f t="shared" si="510"/>
        <v>530220073</v>
      </c>
      <c r="F2880" s="1">
        <v>45016</v>
      </c>
      <c r="G2880" t="str">
        <f>"96711"</f>
        <v>96711</v>
      </c>
      <c r="H2880">
        <v>1</v>
      </c>
      <c r="I2880">
        <v>28</v>
      </c>
      <c r="J2880">
        <v>0</v>
      </c>
      <c r="K2880" t="str">
        <f>"818"</f>
        <v>818</v>
      </c>
      <c r="L2880">
        <v>27.16</v>
      </c>
    </row>
    <row r="2881" spans="1:12" x14ac:dyDescent="0.25">
      <c r="A2881" t="str">
        <f t="shared" si="502"/>
        <v>89301000</v>
      </c>
      <c r="B2881" t="str">
        <f t="shared" si="507"/>
        <v>91970116</v>
      </c>
      <c r="C2881" t="str">
        <f>"91970115"</f>
        <v>91970115</v>
      </c>
      <c r="D2881">
        <v>89301167</v>
      </c>
      <c r="E2881" t="str">
        <f t="shared" si="510"/>
        <v>530220073</v>
      </c>
      <c r="F2881" s="1">
        <v>45016</v>
      </c>
      <c r="G2881" t="str">
        <f>"96713"</f>
        <v>96713</v>
      </c>
      <c r="H2881">
        <v>1</v>
      </c>
      <c r="I2881">
        <v>14</v>
      </c>
      <c r="J2881">
        <v>0</v>
      </c>
      <c r="K2881" t="str">
        <f>"818"</f>
        <v>818</v>
      </c>
      <c r="L2881">
        <v>13.58</v>
      </c>
    </row>
    <row r="2882" spans="1:12" x14ac:dyDescent="0.25">
      <c r="A2882" t="str">
        <f t="shared" ref="A2882:A2945" si="511">"89301000"</f>
        <v>89301000</v>
      </c>
      <c r="B2882" t="str">
        <f>"89148000"</f>
        <v>89148000</v>
      </c>
      <c r="C2882" t="str">
        <f>"89148212"</f>
        <v>89148212</v>
      </c>
      <c r="D2882">
        <v>89301082</v>
      </c>
      <c r="E2882" t="str">
        <f>"9356295707"</f>
        <v>9356295707</v>
      </c>
      <c r="F2882" s="1">
        <v>45014</v>
      </c>
      <c r="G2882" t="str">
        <f>"09119"</f>
        <v>09119</v>
      </c>
      <c r="H2882">
        <v>1</v>
      </c>
      <c r="I2882">
        <v>43</v>
      </c>
      <c r="J2882">
        <v>0</v>
      </c>
      <c r="K2882" t="str">
        <f t="shared" ref="K2882:K2890" si="512">"801"</f>
        <v>801</v>
      </c>
      <c r="L2882">
        <v>54.18</v>
      </c>
    </row>
    <row r="2883" spans="1:12" x14ac:dyDescent="0.25">
      <c r="A2883" t="str">
        <f t="shared" si="511"/>
        <v>89301000</v>
      </c>
      <c r="B2883" t="str">
        <f>"89148000"</f>
        <v>89148000</v>
      </c>
      <c r="C2883" t="str">
        <f>"89148212"</f>
        <v>89148212</v>
      </c>
      <c r="D2883">
        <v>89301082</v>
      </c>
      <c r="E2883" t="str">
        <f>"9356295707"</f>
        <v>9356295707</v>
      </c>
      <c r="F2883" s="1">
        <v>45014</v>
      </c>
      <c r="G2883" t="str">
        <f>"93159"</f>
        <v>93159</v>
      </c>
      <c r="H2883">
        <v>1</v>
      </c>
      <c r="I2883">
        <v>197</v>
      </c>
      <c r="J2883">
        <v>0</v>
      </c>
      <c r="K2883" t="str">
        <f t="shared" si="512"/>
        <v>801</v>
      </c>
      <c r="L2883">
        <v>165.48</v>
      </c>
    </row>
    <row r="2884" spans="1:12" x14ac:dyDescent="0.25">
      <c r="A2884" t="str">
        <f t="shared" si="511"/>
        <v>89301000</v>
      </c>
      <c r="B2884" t="str">
        <f>"89148000"</f>
        <v>89148000</v>
      </c>
      <c r="C2884" t="str">
        <f>"89148212"</f>
        <v>89148212</v>
      </c>
      <c r="D2884">
        <v>89301082</v>
      </c>
      <c r="E2884" t="str">
        <f>"9356295707"</f>
        <v>9356295707</v>
      </c>
      <c r="F2884" s="1">
        <v>45014</v>
      </c>
      <c r="G2884" t="str">
        <f>"97111"</f>
        <v>97111</v>
      </c>
      <c r="H2884">
        <v>1</v>
      </c>
      <c r="I2884">
        <v>19</v>
      </c>
      <c r="J2884">
        <v>0</v>
      </c>
      <c r="K2884" t="str">
        <f t="shared" si="512"/>
        <v>801</v>
      </c>
      <c r="L2884">
        <v>23.94</v>
      </c>
    </row>
    <row r="2885" spans="1:12" x14ac:dyDescent="0.25">
      <c r="A2885" t="str">
        <f t="shared" si="511"/>
        <v>89301000</v>
      </c>
      <c r="B2885" t="str">
        <f>"82083000"</f>
        <v>82083000</v>
      </c>
      <c r="C2885" t="str">
        <f>"82083102"</f>
        <v>82083102</v>
      </c>
      <c r="D2885">
        <v>89301082</v>
      </c>
      <c r="E2885" t="str">
        <f>"8556284253"</f>
        <v>8556284253</v>
      </c>
      <c r="F2885" s="1">
        <v>45005</v>
      </c>
      <c r="G2885" t="str">
        <f>"09119"</f>
        <v>09119</v>
      </c>
      <c r="H2885">
        <v>1</v>
      </c>
      <c r="I2885">
        <v>43</v>
      </c>
      <c r="J2885">
        <v>0</v>
      </c>
      <c r="K2885" t="str">
        <f t="shared" si="512"/>
        <v>801</v>
      </c>
      <c r="L2885">
        <v>54.18</v>
      </c>
    </row>
    <row r="2886" spans="1:12" x14ac:dyDescent="0.25">
      <c r="A2886" t="str">
        <f t="shared" si="511"/>
        <v>89301000</v>
      </c>
      <c r="B2886" t="str">
        <f>"82083000"</f>
        <v>82083000</v>
      </c>
      <c r="C2886" t="str">
        <f>"82083102"</f>
        <v>82083102</v>
      </c>
      <c r="D2886">
        <v>89301082</v>
      </c>
      <c r="E2886" t="str">
        <f>"8556284253"</f>
        <v>8556284253</v>
      </c>
      <c r="F2886" s="1">
        <v>45005</v>
      </c>
      <c r="G2886" t="str">
        <f>"93155"</f>
        <v>93155</v>
      </c>
      <c r="H2886">
        <v>1</v>
      </c>
      <c r="I2886">
        <v>204</v>
      </c>
      <c r="J2886">
        <v>0</v>
      </c>
      <c r="K2886" t="str">
        <f t="shared" si="512"/>
        <v>801</v>
      </c>
      <c r="L2886">
        <v>171.36</v>
      </c>
    </row>
    <row r="2887" spans="1:12" x14ac:dyDescent="0.25">
      <c r="A2887" t="str">
        <f t="shared" si="511"/>
        <v>89301000</v>
      </c>
      <c r="B2887" t="str">
        <f>"82083000"</f>
        <v>82083000</v>
      </c>
      <c r="C2887" t="str">
        <f>"82083102"</f>
        <v>82083102</v>
      </c>
      <c r="D2887">
        <v>89301082</v>
      </c>
      <c r="E2887" t="str">
        <f>"8556284253"</f>
        <v>8556284253</v>
      </c>
      <c r="F2887" s="1">
        <v>45005</v>
      </c>
      <c r="G2887" t="str">
        <f>"97111"</f>
        <v>97111</v>
      </c>
      <c r="H2887">
        <v>1</v>
      </c>
      <c r="I2887">
        <v>19</v>
      </c>
      <c r="J2887">
        <v>0</v>
      </c>
      <c r="K2887" t="str">
        <f t="shared" si="512"/>
        <v>801</v>
      </c>
      <c r="L2887">
        <v>23.94</v>
      </c>
    </row>
    <row r="2888" spans="1:12" x14ac:dyDescent="0.25">
      <c r="A2888" t="str">
        <f t="shared" si="511"/>
        <v>89301000</v>
      </c>
      <c r="B2888" t="str">
        <f>"01393000"</f>
        <v>01393000</v>
      </c>
      <c r="C2888" t="str">
        <f>"01393001"</f>
        <v>01393001</v>
      </c>
      <c r="D2888">
        <v>89301103</v>
      </c>
      <c r="E2888" t="str">
        <f>"1462091048"</f>
        <v>1462091048</v>
      </c>
      <c r="F2888" s="1">
        <v>44999</v>
      </c>
      <c r="G2888" t="str">
        <f>"93125"</f>
        <v>93125</v>
      </c>
      <c r="H2888">
        <v>1</v>
      </c>
      <c r="I2888">
        <v>180</v>
      </c>
      <c r="J2888">
        <v>0</v>
      </c>
      <c r="K2888" t="str">
        <f t="shared" si="512"/>
        <v>801</v>
      </c>
      <c r="L2888">
        <v>151.19999999999999</v>
      </c>
    </row>
    <row r="2889" spans="1:12" x14ac:dyDescent="0.25">
      <c r="A2889" t="str">
        <f t="shared" si="511"/>
        <v>89301000</v>
      </c>
      <c r="B2889" t="str">
        <f>"01393000"</f>
        <v>01393000</v>
      </c>
      <c r="C2889" t="str">
        <f>"01393001"</f>
        <v>01393001</v>
      </c>
      <c r="D2889">
        <v>89301103</v>
      </c>
      <c r="E2889" t="str">
        <f>"1462091048"</f>
        <v>1462091048</v>
      </c>
      <c r="F2889" s="1">
        <v>44999</v>
      </c>
      <c r="G2889" t="str">
        <f>"93179"</f>
        <v>93179</v>
      </c>
      <c r="H2889">
        <v>1</v>
      </c>
      <c r="I2889">
        <v>369</v>
      </c>
      <c r="J2889">
        <v>0</v>
      </c>
      <c r="K2889" t="str">
        <f t="shared" si="512"/>
        <v>801</v>
      </c>
      <c r="L2889">
        <v>309.95999999999998</v>
      </c>
    </row>
    <row r="2890" spans="1:12" x14ac:dyDescent="0.25">
      <c r="A2890" t="str">
        <f t="shared" si="511"/>
        <v>89301000</v>
      </c>
      <c r="B2890" t="str">
        <f>"01393000"</f>
        <v>01393000</v>
      </c>
      <c r="C2890" t="str">
        <f>"01393001"</f>
        <v>01393001</v>
      </c>
      <c r="D2890">
        <v>89301103</v>
      </c>
      <c r="E2890" t="str">
        <f>"1462091048"</f>
        <v>1462091048</v>
      </c>
      <c r="F2890" s="1">
        <v>44999</v>
      </c>
      <c r="G2890" t="str">
        <f>"93179"</f>
        <v>93179</v>
      </c>
      <c r="H2890">
        <v>1</v>
      </c>
      <c r="I2890">
        <v>369</v>
      </c>
      <c r="J2890">
        <v>0</v>
      </c>
      <c r="K2890" t="str">
        <f t="shared" si="512"/>
        <v>801</v>
      </c>
      <c r="L2890">
        <v>309.95999999999998</v>
      </c>
    </row>
    <row r="2891" spans="1:12" x14ac:dyDescent="0.25">
      <c r="A2891" t="str">
        <f t="shared" si="511"/>
        <v>89301000</v>
      </c>
      <c r="B2891" t="str">
        <f>"06515000"</f>
        <v>06515000</v>
      </c>
      <c r="C2891" t="str">
        <f>"06515030"</f>
        <v>06515030</v>
      </c>
      <c r="D2891">
        <v>89301082</v>
      </c>
      <c r="E2891" t="str">
        <f>"9257205749"</f>
        <v>9257205749</v>
      </c>
      <c r="F2891" s="1">
        <v>45008</v>
      </c>
      <c r="G2891" t="str">
        <f>"93137"</f>
        <v>93137</v>
      </c>
      <c r="H2891">
        <v>1</v>
      </c>
      <c r="I2891">
        <v>186</v>
      </c>
      <c r="J2891">
        <v>0</v>
      </c>
      <c r="K2891" t="str">
        <f>"813"</f>
        <v>813</v>
      </c>
      <c r="L2891">
        <v>156.24</v>
      </c>
    </row>
    <row r="2892" spans="1:12" x14ac:dyDescent="0.25">
      <c r="A2892" t="str">
        <f t="shared" si="511"/>
        <v>89301000</v>
      </c>
      <c r="B2892" t="str">
        <f>"04005000"</f>
        <v>04005000</v>
      </c>
      <c r="C2892" t="str">
        <f>"04005073"</f>
        <v>04005073</v>
      </c>
      <c r="D2892">
        <v>89301212</v>
      </c>
      <c r="E2892" t="str">
        <f>"5803050088"</f>
        <v>5803050088</v>
      </c>
      <c r="F2892" s="1">
        <v>44971</v>
      </c>
      <c r="G2892" t="str">
        <f>"94113"</f>
        <v>94113</v>
      </c>
      <c r="H2892">
        <v>1</v>
      </c>
      <c r="I2892">
        <v>783</v>
      </c>
      <c r="J2892">
        <v>0</v>
      </c>
      <c r="K2892" t="str">
        <f t="shared" ref="K2892:K2904" si="513">"816"</f>
        <v>816</v>
      </c>
      <c r="L2892">
        <v>704.7</v>
      </c>
    </row>
    <row r="2893" spans="1:12" x14ac:dyDescent="0.25">
      <c r="A2893" t="str">
        <f t="shared" si="511"/>
        <v>89301000</v>
      </c>
      <c r="B2893" t="str">
        <f>"04005000"</f>
        <v>04005000</v>
      </c>
      <c r="C2893" t="str">
        <f>"04005073"</f>
        <v>04005073</v>
      </c>
      <c r="D2893">
        <v>89301212</v>
      </c>
      <c r="E2893" t="str">
        <f>"5803050088"</f>
        <v>5803050088</v>
      </c>
      <c r="F2893" s="1">
        <v>44971</v>
      </c>
      <c r="G2893" t="str">
        <f>"94225"</f>
        <v>94225</v>
      </c>
      <c r="H2893">
        <v>1</v>
      </c>
      <c r="I2893">
        <v>1208</v>
      </c>
      <c r="J2893">
        <v>0</v>
      </c>
      <c r="K2893" t="str">
        <f t="shared" si="513"/>
        <v>816</v>
      </c>
      <c r="L2893">
        <v>1087.2</v>
      </c>
    </row>
    <row r="2894" spans="1:12" x14ac:dyDescent="0.25">
      <c r="A2894" t="str">
        <f t="shared" si="511"/>
        <v>89301000</v>
      </c>
      <c r="B2894" t="str">
        <f t="shared" ref="B2894:B2933" si="514">"88805000"</f>
        <v>88805000</v>
      </c>
      <c r="C2894" t="str">
        <f t="shared" ref="C2894:C2904" si="515">"88805014"</f>
        <v>88805014</v>
      </c>
      <c r="D2894">
        <v>89301282</v>
      </c>
      <c r="E2894" t="str">
        <f>"0301235704"</f>
        <v>0301235704</v>
      </c>
      <c r="F2894" s="1">
        <v>44998</v>
      </c>
      <c r="G2894" t="str">
        <f>"94331"</f>
        <v>94331</v>
      </c>
      <c r="H2894">
        <v>2</v>
      </c>
      <c r="I2894">
        <v>15732</v>
      </c>
      <c r="J2894">
        <v>0</v>
      </c>
      <c r="K2894" t="str">
        <f t="shared" si="513"/>
        <v>816</v>
      </c>
      <c r="L2894">
        <v>14158.8</v>
      </c>
    </row>
    <row r="2895" spans="1:12" x14ac:dyDescent="0.25">
      <c r="A2895" t="str">
        <f t="shared" si="511"/>
        <v>89301000</v>
      </c>
      <c r="B2895" t="str">
        <f t="shared" si="514"/>
        <v>88805000</v>
      </c>
      <c r="C2895" t="str">
        <f t="shared" si="515"/>
        <v>88805014</v>
      </c>
      <c r="D2895">
        <v>89301282</v>
      </c>
      <c r="E2895" t="str">
        <f>"0301235704"</f>
        <v>0301235704</v>
      </c>
      <c r="F2895" s="1">
        <v>44998</v>
      </c>
      <c r="G2895" t="str">
        <f>"94948"</f>
        <v>94948</v>
      </c>
      <c r="H2895">
        <v>1</v>
      </c>
      <c r="I2895">
        <v>0</v>
      </c>
      <c r="J2895">
        <v>0</v>
      </c>
      <c r="K2895" t="str">
        <f t="shared" si="513"/>
        <v>816</v>
      </c>
      <c r="L2895">
        <v>0</v>
      </c>
    </row>
    <row r="2896" spans="1:12" x14ac:dyDescent="0.25">
      <c r="A2896" t="str">
        <f t="shared" si="511"/>
        <v>89301000</v>
      </c>
      <c r="B2896" t="str">
        <f t="shared" si="514"/>
        <v>88805000</v>
      </c>
      <c r="C2896" t="str">
        <f t="shared" si="515"/>
        <v>88805014</v>
      </c>
      <c r="D2896">
        <v>89301282</v>
      </c>
      <c r="E2896" t="str">
        <f>"8910156145"</f>
        <v>8910156145</v>
      </c>
      <c r="F2896" s="1">
        <v>44995</v>
      </c>
      <c r="G2896" t="str">
        <f>"94345"</f>
        <v>94345</v>
      </c>
      <c r="H2896">
        <v>2</v>
      </c>
      <c r="I2896">
        <v>9324</v>
      </c>
      <c r="J2896">
        <v>0</v>
      </c>
      <c r="K2896" t="str">
        <f t="shared" si="513"/>
        <v>816</v>
      </c>
      <c r="L2896">
        <v>8391.6</v>
      </c>
    </row>
    <row r="2897" spans="1:12" x14ac:dyDescent="0.25">
      <c r="A2897" t="str">
        <f t="shared" si="511"/>
        <v>89301000</v>
      </c>
      <c r="B2897" t="str">
        <f t="shared" si="514"/>
        <v>88805000</v>
      </c>
      <c r="C2897" t="str">
        <f t="shared" si="515"/>
        <v>88805014</v>
      </c>
      <c r="D2897">
        <v>89301282</v>
      </c>
      <c r="E2897" t="str">
        <f>"0502256161"</f>
        <v>0502256161</v>
      </c>
      <c r="F2897" s="1">
        <v>44999</v>
      </c>
      <c r="G2897" t="str">
        <f>"94982"</f>
        <v>94982</v>
      </c>
      <c r="H2897">
        <v>1</v>
      </c>
      <c r="I2897">
        <v>0</v>
      </c>
      <c r="J2897">
        <v>27500</v>
      </c>
      <c r="K2897" t="str">
        <f t="shared" si="513"/>
        <v>816</v>
      </c>
      <c r="L2897">
        <v>27500</v>
      </c>
    </row>
    <row r="2898" spans="1:12" x14ac:dyDescent="0.25">
      <c r="A2898" t="str">
        <f t="shared" si="511"/>
        <v>89301000</v>
      </c>
      <c r="B2898" t="str">
        <f t="shared" si="514"/>
        <v>88805000</v>
      </c>
      <c r="C2898" t="str">
        <f t="shared" si="515"/>
        <v>88805014</v>
      </c>
      <c r="D2898">
        <v>89301282</v>
      </c>
      <c r="E2898" t="str">
        <f>"0502256161"</f>
        <v>0502256161</v>
      </c>
      <c r="F2898" s="1">
        <v>44999</v>
      </c>
      <c r="G2898" t="str">
        <f>"94996"</f>
        <v>94996</v>
      </c>
      <c r="H2898">
        <v>1</v>
      </c>
      <c r="I2898">
        <v>0</v>
      </c>
      <c r="J2898">
        <v>0</v>
      </c>
      <c r="K2898" t="str">
        <f t="shared" si="513"/>
        <v>816</v>
      </c>
      <c r="L2898">
        <v>0</v>
      </c>
    </row>
    <row r="2899" spans="1:12" x14ac:dyDescent="0.25">
      <c r="A2899" t="str">
        <f t="shared" si="511"/>
        <v>89301000</v>
      </c>
      <c r="B2899" t="str">
        <f t="shared" si="514"/>
        <v>88805000</v>
      </c>
      <c r="C2899" t="str">
        <f t="shared" si="515"/>
        <v>88805014</v>
      </c>
      <c r="D2899">
        <v>89301282</v>
      </c>
      <c r="E2899" t="str">
        <f>"2205160639"</f>
        <v>2205160639</v>
      </c>
      <c r="F2899" s="1">
        <v>45009</v>
      </c>
      <c r="G2899" t="str">
        <f>"94982"</f>
        <v>94982</v>
      </c>
      <c r="H2899">
        <v>1</v>
      </c>
      <c r="I2899">
        <v>0</v>
      </c>
      <c r="J2899">
        <v>27500</v>
      </c>
      <c r="K2899" t="str">
        <f t="shared" si="513"/>
        <v>816</v>
      </c>
      <c r="L2899">
        <v>27500</v>
      </c>
    </row>
    <row r="2900" spans="1:12" x14ac:dyDescent="0.25">
      <c r="A2900" t="str">
        <f t="shared" si="511"/>
        <v>89301000</v>
      </c>
      <c r="B2900" t="str">
        <f t="shared" si="514"/>
        <v>88805000</v>
      </c>
      <c r="C2900" t="str">
        <f t="shared" si="515"/>
        <v>88805014</v>
      </c>
      <c r="D2900">
        <v>89301282</v>
      </c>
      <c r="E2900" t="str">
        <f>"2205160639"</f>
        <v>2205160639</v>
      </c>
      <c r="F2900" s="1">
        <v>45009</v>
      </c>
      <c r="G2900" t="str">
        <f>"94996"</f>
        <v>94996</v>
      </c>
      <c r="H2900">
        <v>1</v>
      </c>
      <c r="I2900">
        <v>0</v>
      </c>
      <c r="J2900">
        <v>0</v>
      </c>
      <c r="K2900" t="str">
        <f t="shared" si="513"/>
        <v>816</v>
      </c>
      <c r="L2900">
        <v>0</v>
      </c>
    </row>
    <row r="2901" spans="1:12" x14ac:dyDescent="0.25">
      <c r="A2901" t="str">
        <f t="shared" si="511"/>
        <v>89301000</v>
      </c>
      <c r="B2901" t="str">
        <f t="shared" si="514"/>
        <v>88805000</v>
      </c>
      <c r="C2901" t="str">
        <f t="shared" si="515"/>
        <v>88805014</v>
      </c>
      <c r="D2901">
        <v>89301282</v>
      </c>
      <c r="E2901" t="str">
        <f>"7205145772"</f>
        <v>7205145772</v>
      </c>
      <c r="F2901" s="1">
        <v>44999</v>
      </c>
      <c r="G2901" t="str">
        <f>"94983"</f>
        <v>94983</v>
      </c>
      <c r="H2901">
        <v>1</v>
      </c>
      <c r="I2901">
        <v>0</v>
      </c>
      <c r="J2901">
        <v>39600</v>
      </c>
      <c r="K2901" t="str">
        <f t="shared" si="513"/>
        <v>816</v>
      </c>
      <c r="L2901">
        <v>39600</v>
      </c>
    </row>
    <row r="2902" spans="1:12" x14ac:dyDescent="0.25">
      <c r="A2902" t="str">
        <f t="shared" si="511"/>
        <v>89301000</v>
      </c>
      <c r="B2902" t="str">
        <f t="shared" si="514"/>
        <v>88805000</v>
      </c>
      <c r="C2902" t="str">
        <f t="shared" si="515"/>
        <v>88805014</v>
      </c>
      <c r="D2902">
        <v>89301282</v>
      </c>
      <c r="E2902" t="str">
        <f>"7205145772"</f>
        <v>7205145772</v>
      </c>
      <c r="F2902" s="1">
        <v>44999</v>
      </c>
      <c r="G2902" t="str">
        <f>"94996"</f>
        <v>94996</v>
      </c>
      <c r="H2902">
        <v>1</v>
      </c>
      <c r="I2902">
        <v>0</v>
      </c>
      <c r="J2902">
        <v>0</v>
      </c>
      <c r="K2902" t="str">
        <f t="shared" si="513"/>
        <v>816</v>
      </c>
      <c r="L2902">
        <v>0</v>
      </c>
    </row>
    <row r="2903" spans="1:12" x14ac:dyDescent="0.25">
      <c r="A2903" t="str">
        <f t="shared" si="511"/>
        <v>89301000</v>
      </c>
      <c r="B2903" t="str">
        <f t="shared" si="514"/>
        <v>88805000</v>
      </c>
      <c r="C2903" t="str">
        <f t="shared" si="515"/>
        <v>88805014</v>
      </c>
      <c r="D2903">
        <v>89301282</v>
      </c>
      <c r="E2903" t="str">
        <f>"0303274851"</f>
        <v>0303274851</v>
      </c>
      <c r="F2903" s="1">
        <v>45012</v>
      </c>
      <c r="G2903" t="str">
        <f>"94983"</f>
        <v>94983</v>
      </c>
      <c r="H2903">
        <v>1</v>
      </c>
      <c r="I2903">
        <v>0</v>
      </c>
      <c r="J2903">
        <v>39600</v>
      </c>
      <c r="K2903" t="str">
        <f t="shared" si="513"/>
        <v>816</v>
      </c>
      <c r="L2903">
        <v>39600</v>
      </c>
    </row>
    <row r="2904" spans="1:12" x14ac:dyDescent="0.25">
      <c r="A2904" t="str">
        <f t="shared" si="511"/>
        <v>89301000</v>
      </c>
      <c r="B2904" t="str">
        <f t="shared" si="514"/>
        <v>88805000</v>
      </c>
      <c r="C2904" t="str">
        <f t="shared" si="515"/>
        <v>88805014</v>
      </c>
      <c r="D2904">
        <v>89301282</v>
      </c>
      <c r="E2904" t="str">
        <f>"0303274851"</f>
        <v>0303274851</v>
      </c>
      <c r="F2904" s="1">
        <v>45012</v>
      </c>
      <c r="G2904" t="str">
        <f>"94996"</f>
        <v>94996</v>
      </c>
      <c r="H2904">
        <v>1</v>
      </c>
      <c r="I2904">
        <v>0</v>
      </c>
      <c r="J2904">
        <v>0</v>
      </c>
      <c r="K2904" t="str">
        <f t="shared" si="513"/>
        <v>816</v>
      </c>
      <c r="L2904">
        <v>0</v>
      </c>
    </row>
    <row r="2905" spans="1:12" x14ac:dyDescent="0.25">
      <c r="A2905" t="str">
        <f t="shared" si="511"/>
        <v>89301000</v>
      </c>
      <c r="B2905" t="str">
        <f t="shared" si="514"/>
        <v>88805000</v>
      </c>
      <c r="C2905" t="str">
        <f t="shared" ref="C2905:C2933" si="516">"88805001"</f>
        <v>88805001</v>
      </c>
      <c r="D2905">
        <v>89301108</v>
      </c>
      <c r="E2905" t="str">
        <f>"1853300537"</f>
        <v>1853300537</v>
      </c>
      <c r="F2905" s="1">
        <v>45001</v>
      </c>
      <c r="G2905" t="str">
        <f t="shared" ref="G2905:G2911" si="517">"97111"</f>
        <v>97111</v>
      </c>
      <c r="H2905">
        <v>1</v>
      </c>
      <c r="I2905">
        <v>19</v>
      </c>
      <c r="J2905">
        <v>0</v>
      </c>
      <c r="K2905" t="str">
        <f t="shared" ref="K2905:K2933" si="518">"801"</f>
        <v>801</v>
      </c>
      <c r="L2905">
        <v>23.94</v>
      </c>
    </row>
    <row r="2906" spans="1:12" x14ac:dyDescent="0.25">
      <c r="A2906" t="str">
        <f t="shared" si="511"/>
        <v>89301000</v>
      </c>
      <c r="B2906" t="str">
        <f t="shared" si="514"/>
        <v>88805000</v>
      </c>
      <c r="C2906" t="str">
        <f t="shared" si="516"/>
        <v>88805001</v>
      </c>
      <c r="D2906">
        <v>89301108</v>
      </c>
      <c r="E2906" t="str">
        <f>"1509230470"</f>
        <v>1509230470</v>
      </c>
      <c r="F2906" s="1">
        <v>45001</v>
      </c>
      <c r="G2906" t="str">
        <f t="shared" si="517"/>
        <v>97111</v>
      </c>
      <c r="H2906">
        <v>1</v>
      </c>
      <c r="I2906">
        <v>19</v>
      </c>
      <c r="J2906">
        <v>0</v>
      </c>
      <c r="K2906" t="str">
        <f t="shared" si="518"/>
        <v>801</v>
      </c>
      <c r="L2906">
        <v>23.94</v>
      </c>
    </row>
    <row r="2907" spans="1:12" x14ac:dyDescent="0.25">
      <c r="A2907" t="str">
        <f t="shared" si="511"/>
        <v>89301000</v>
      </c>
      <c r="B2907" t="str">
        <f t="shared" si="514"/>
        <v>88805000</v>
      </c>
      <c r="C2907" t="str">
        <f t="shared" si="516"/>
        <v>88805001</v>
      </c>
      <c r="D2907">
        <v>89301108</v>
      </c>
      <c r="E2907" t="str">
        <f>"2101220176"</f>
        <v>2101220176</v>
      </c>
      <c r="F2907" s="1">
        <v>45007</v>
      </c>
      <c r="G2907" t="str">
        <f t="shared" si="517"/>
        <v>97111</v>
      </c>
      <c r="H2907">
        <v>1</v>
      </c>
      <c r="I2907">
        <v>19</v>
      </c>
      <c r="J2907">
        <v>0</v>
      </c>
      <c r="K2907" t="str">
        <f t="shared" si="518"/>
        <v>801</v>
      </c>
      <c r="L2907">
        <v>23.94</v>
      </c>
    </row>
    <row r="2908" spans="1:12" x14ac:dyDescent="0.25">
      <c r="A2908" t="str">
        <f t="shared" si="511"/>
        <v>89301000</v>
      </c>
      <c r="B2908" t="str">
        <f t="shared" si="514"/>
        <v>88805000</v>
      </c>
      <c r="C2908" t="str">
        <f t="shared" si="516"/>
        <v>88805001</v>
      </c>
      <c r="D2908">
        <v>89301702</v>
      </c>
      <c r="E2908" t="str">
        <f>"2060160608"</f>
        <v>2060160608</v>
      </c>
      <c r="F2908" s="1">
        <v>45001</v>
      </c>
      <c r="G2908" t="str">
        <f t="shared" si="517"/>
        <v>97111</v>
      </c>
      <c r="H2908">
        <v>1</v>
      </c>
      <c r="I2908">
        <v>19</v>
      </c>
      <c r="J2908">
        <v>0</v>
      </c>
      <c r="K2908" t="str">
        <f t="shared" si="518"/>
        <v>801</v>
      </c>
      <c r="L2908">
        <v>23.94</v>
      </c>
    </row>
    <row r="2909" spans="1:12" x14ac:dyDescent="0.25">
      <c r="A2909" t="str">
        <f t="shared" si="511"/>
        <v>89301000</v>
      </c>
      <c r="B2909" t="str">
        <f t="shared" si="514"/>
        <v>88805000</v>
      </c>
      <c r="C2909" t="str">
        <f t="shared" si="516"/>
        <v>88805001</v>
      </c>
      <c r="D2909">
        <v>89301102</v>
      </c>
      <c r="E2909" t="str">
        <f>"2157022043"</f>
        <v>2157022043</v>
      </c>
      <c r="F2909" s="1">
        <v>44988</v>
      </c>
      <c r="G2909" t="str">
        <f t="shared" si="517"/>
        <v>97111</v>
      </c>
      <c r="H2909">
        <v>1</v>
      </c>
      <c r="I2909">
        <v>19</v>
      </c>
      <c r="J2909">
        <v>0</v>
      </c>
      <c r="K2909" t="str">
        <f t="shared" si="518"/>
        <v>801</v>
      </c>
      <c r="L2909">
        <v>23.94</v>
      </c>
    </row>
    <row r="2910" spans="1:12" x14ac:dyDescent="0.25">
      <c r="A2910" t="str">
        <f t="shared" si="511"/>
        <v>89301000</v>
      </c>
      <c r="B2910" t="str">
        <f t="shared" si="514"/>
        <v>88805000</v>
      </c>
      <c r="C2910" t="str">
        <f t="shared" si="516"/>
        <v>88805001</v>
      </c>
      <c r="D2910">
        <v>89301031</v>
      </c>
      <c r="E2910" t="str">
        <f>"0260055708"</f>
        <v>0260055708</v>
      </c>
      <c r="F2910" s="1">
        <v>44987</v>
      </c>
      <c r="G2910" t="str">
        <f t="shared" si="517"/>
        <v>97111</v>
      </c>
      <c r="H2910">
        <v>1</v>
      </c>
      <c r="I2910">
        <v>19</v>
      </c>
      <c r="J2910">
        <v>0</v>
      </c>
      <c r="K2910" t="str">
        <f t="shared" si="518"/>
        <v>801</v>
      </c>
      <c r="L2910">
        <v>23.94</v>
      </c>
    </row>
    <row r="2911" spans="1:12" x14ac:dyDescent="0.25">
      <c r="A2911" t="str">
        <f t="shared" si="511"/>
        <v>89301000</v>
      </c>
      <c r="B2911" t="str">
        <f t="shared" si="514"/>
        <v>88805000</v>
      </c>
      <c r="C2911" t="str">
        <f t="shared" si="516"/>
        <v>88805001</v>
      </c>
      <c r="D2911">
        <v>89301101</v>
      </c>
      <c r="E2911" t="str">
        <f>"1106120048"</f>
        <v>1106120048</v>
      </c>
      <c r="F2911" s="1">
        <v>45014</v>
      </c>
      <c r="G2911" t="str">
        <f t="shared" si="517"/>
        <v>97111</v>
      </c>
      <c r="H2911">
        <v>1</v>
      </c>
      <c r="I2911">
        <v>19</v>
      </c>
      <c r="J2911">
        <v>0</v>
      </c>
      <c r="K2911" t="str">
        <f t="shared" si="518"/>
        <v>801</v>
      </c>
      <c r="L2911">
        <v>23.94</v>
      </c>
    </row>
    <row r="2912" spans="1:12" x14ac:dyDescent="0.25">
      <c r="A2912" t="str">
        <f t="shared" si="511"/>
        <v>89301000</v>
      </c>
      <c r="B2912" t="str">
        <f t="shared" si="514"/>
        <v>88805000</v>
      </c>
      <c r="C2912" t="str">
        <f t="shared" si="516"/>
        <v>88805001</v>
      </c>
      <c r="D2912">
        <v>89301167</v>
      </c>
      <c r="E2912" t="str">
        <f>"5707200807"</f>
        <v>5707200807</v>
      </c>
      <c r="F2912" s="1">
        <v>44991</v>
      </c>
      <c r="G2912" t="str">
        <f>"91153"</f>
        <v>91153</v>
      </c>
      <c r="H2912">
        <v>1</v>
      </c>
      <c r="I2912">
        <v>153</v>
      </c>
      <c r="J2912">
        <v>0</v>
      </c>
      <c r="K2912" t="str">
        <f t="shared" si="518"/>
        <v>801</v>
      </c>
      <c r="L2912">
        <v>128.52000000000001</v>
      </c>
    </row>
    <row r="2913" spans="1:12" x14ac:dyDescent="0.25">
      <c r="A2913" t="str">
        <f t="shared" si="511"/>
        <v>89301000</v>
      </c>
      <c r="B2913" t="str">
        <f t="shared" si="514"/>
        <v>88805000</v>
      </c>
      <c r="C2913" t="str">
        <f t="shared" si="516"/>
        <v>88805001</v>
      </c>
      <c r="D2913">
        <v>89301167</v>
      </c>
      <c r="E2913" t="str">
        <f>"5707200807"</f>
        <v>5707200807</v>
      </c>
      <c r="F2913" s="1">
        <v>44991</v>
      </c>
      <c r="G2913" t="str">
        <f>"09119"</f>
        <v>09119</v>
      </c>
      <c r="H2913">
        <v>1</v>
      </c>
      <c r="I2913">
        <v>43</v>
      </c>
      <c r="J2913">
        <v>0</v>
      </c>
      <c r="K2913" t="str">
        <f t="shared" si="518"/>
        <v>801</v>
      </c>
      <c r="L2913">
        <v>54.18</v>
      </c>
    </row>
    <row r="2914" spans="1:12" x14ac:dyDescent="0.25">
      <c r="A2914" t="str">
        <f t="shared" si="511"/>
        <v>89301000</v>
      </c>
      <c r="B2914" t="str">
        <f t="shared" si="514"/>
        <v>88805000</v>
      </c>
      <c r="C2914" t="str">
        <f t="shared" si="516"/>
        <v>88805001</v>
      </c>
      <c r="D2914">
        <v>89301167</v>
      </c>
      <c r="E2914" t="str">
        <f>"5707200807"</f>
        <v>5707200807</v>
      </c>
      <c r="F2914" s="1">
        <v>44998</v>
      </c>
      <c r="G2914" t="str">
        <f>"91153"</f>
        <v>91153</v>
      </c>
      <c r="H2914">
        <v>1</v>
      </c>
      <c r="I2914">
        <v>153</v>
      </c>
      <c r="J2914">
        <v>0</v>
      </c>
      <c r="K2914" t="str">
        <f t="shared" si="518"/>
        <v>801</v>
      </c>
      <c r="L2914">
        <v>128.52000000000001</v>
      </c>
    </row>
    <row r="2915" spans="1:12" x14ac:dyDescent="0.25">
      <c r="A2915" t="str">
        <f t="shared" si="511"/>
        <v>89301000</v>
      </c>
      <c r="B2915" t="str">
        <f t="shared" si="514"/>
        <v>88805000</v>
      </c>
      <c r="C2915" t="str">
        <f t="shared" si="516"/>
        <v>88805001</v>
      </c>
      <c r="D2915">
        <v>89301167</v>
      </c>
      <c r="E2915" t="str">
        <f>"5707200807"</f>
        <v>5707200807</v>
      </c>
      <c r="F2915" s="1">
        <v>44998</v>
      </c>
      <c r="G2915" t="str">
        <f>"09119"</f>
        <v>09119</v>
      </c>
      <c r="H2915">
        <v>1</v>
      </c>
      <c r="I2915">
        <v>43</v>
      </c>
      <c r="J2915">
        <v>0</v>
      </c>
      <c r="K2915" t="str">
        <f t="shared" si="518"/>
        <v>801</v>
      </c>
      <c r="L2915">
        <v>54.18</v>
      </c>
    </row>
    <row r="2916" spans="1:12" x14ac:dyDescent="0.25">
      <c r="A2916" t="str">
        <f t="shared" si="511"/>
        <v>89301000</v>
      </c>
      <c r="B2916" t="str">
        <f t="shared" si="514"/>
        <v>88805000</v>
      </c>
      <c r="C2916" t="str">
        <f t="shared" si="516"/>
        <v>88805001</v>
      </c>
      <c r="D2916">
        <v>89301108</v>
      </c>
      <c r="E2916" t="str">
        <f>"1853300537"</f>
        <v>1853300537</v>
      </c>
      <c r="F2916" s="1">
        <v>45001</v>
      </c>
      <c r="G2916" t="str">
        <f>"81631"</f>
        <v>81631</v>
      </c>
      <c r="H2916">
        <v>1</v>
      </c>
      <c r="I2916">
        <v>299</v>
      </c>
      <c r="J2916">
        <v>0</v>
      </c>
      <c r="K2916" t="str">
        <f t="shared" si="518"/>
        <v>801</v>
      </c>
      <c r="L2916">
        <v>251.16</v>
      </c>
    </row>
    <row r="2917" spans="1:12" x14ac:dyDescent="0.25">
      <c r="A2917" t="str">
        <f t="shared" si="511"/>
        <v>89301000</v>
      </c>
      <c r="B2917" t="str">
        <f t="shared" si="514"/>
        <v>88805000</v>
      </c>
      <c r="C2917" t="str">
        <f t="shared" si="516"/>
        <v>88805001</v>
      </c>
      <c r="D2917">
        <v>89301108</v>
      </c>
      <c r="E2917" t="str">
        <f>"1853300537"</f>
        <v>1853300537</v>
      </c>
      <c r="F2917" s="1">
        <v>45001</v>
      </c>
      <c r="G2917" t="str">
        <f>"92143"</f>
        <v>92143</v>
      </c>
      <c r="H2917">
        <v>1</v>
      </c>
      <c r="I2917">
        <v>1772</v>
      </c>
      <c r="J2917">
        <v>0</v>
      </c>
      <c r="K2917" t="str">
        <f t="shared" si="518"/>
        <v>801</v>
      </c>
      <c r="L2917">
        <v>1488.48</v>
      </c>
    </row>
    <row r="2918" spans="1:12" x14ac:dyDescent="0.25">
      <c r="A2918" t="str">
        <f t="shared" si="511"/>
        <v>89301000</v>
      </c>
      <c r="B2918" t="str">
        <f t="shared" si="514"/>
        <v>88805000</v>
      </c>
      <c r="C2918" t="str">
        <f t="shared" si="516"/>
        <v>88805001</v>
      </c>
      <c r="D2918">
        <v>89301108</v>
      </c>
      <c r="E2918" t="str">
        <f>"1509230470"</f>
        <v>1509230470</v>
      </c>
      <c r="F2918" s="1">
        <v>45001</v>
      </c>
      <c r="G2918" t="str">
        <f>"81631"</f>
        <v>81631</v>
      </c>
      <c r="H2918">
        <v>1</v>
      </c>
      <c r="I2918">
        <v>299</v>
      </c>
      <c r="J2918">
        <v>0</v>
      </c>
      <c r="K2918" t="str">
        <f t="shared" si="518"/>
        <v>801</v>
      </c>
      <c r="L2918">
        <v>251.16</v>
      </c>
    </row>
    <row r="2919" spans="1:12" x14ac:dyDescent="0.25">
      <c r="A2919" t="str">
        <f t="shared" si="511"/>
        <v>89301000</v>
      </c>
      <c r="B2919" t="str">
        <f t="shared" si="514"/>
        <v>88805000</v>
      </c>
      <c r="C2919" t="str">
        <f t="shared" si="516"/>
        <v>88805001</v>
      </c>
      <c r="D2919">
        <v>89301108</v>
      </c>
      <c r="E2919" t="str">
        <f>"1509230470"</f>
        <v>1509230470</v>
      </c>
      <c r="F2919" s="1">
        <v>45001</v>
      </c>
      <c r="G2919" t="str">
        <f>"92143"</f>
        <v>92143</v>
      </c>
      <c r="H2919">
        <v>1</v>
      </c>
      <c r="I2919">
        <v>1772</v>
      </c>
      <c r="J2919">
        <v>0</v>
      </c>
      <c r="K2919" t="str">
        <f t="shared" si="518"/>
        <v>801</v>
      </c>
      <c r="L2919">
        <v>1488.48</v>
      </c>
    </row>
    <row r="2920" spans="1:12" x14ac:dyDescent="0.25">
      <c r="A2920" t="str">
        <f t="shared" si="511"/>
        <v>89301000</v>
      </c>
      <c r="B2920" t="str">
        <f t="shared" si="514"/>
        <v>88805000</v>
      </c>
      <c r="C2920" t="str">
        <f t="shared" si="516"/>
        <v>88805001</v>
      </c>
      <c r="D2920">
        <v>89301108</v>
      </c>
      <c r="E2920" t="str">
        <f>"2101220176"</f>
        <v>2101220176</v>
      </c>
      <c r="F2920" s="1">
        <v>45007</v>
      </c>
      <c r="G2920" t="str">
        <f>"81631"</f>
        <v>81631</v>
      </c>
      <c r="H2920">
        <v>1</v>
      </c>
      <c r="I2920">
        <v>299</v>
      </c>
      <c r="J2920">
        <v>0</v>
      </c>
      <c r="K2920" t="str">
        <f t="shared" si="518"/>
        <v>801</v>
      </c>
      <c r="L2920">
        <v>251.16</v>
      </c>
    </row>
    <row r="2921" spans="1:12" x14ac:dyDescent="0.25">
      <c r="A2921" t="str">
        <f t="shared" si="511"/>
        <v>89301000</v>
      </c>
      <c r="B2921" t="str">
        <f t="shared" si="514"/>
        <v>88805000</v>
      </c>
      <c r="C2921" t="str">
        <f t="shared" si="516"/>
        <v>88805001</v>
      </c>
      <c r="D2921">
        <v>89301108</v>
      </c>
      <c r="E2921" t="str">
        <f>"2101220176"</f>
        <v>2101220176</v>
      </c>
      <c r="F2921" s="1">
        <v>45007</v>
      </c>
      <c r="G2921" t="str">
        <f>"92143"</f>
        <v>92143</v>
      </c>
      <c r="H2921">
        <v>1</v>
      </c>
      <c r="I2921">
        <v>1772</v>
      </c>
      <c r="J2921">
        <v>0</v>
      </c>
      <c r="K2921" t="str">
        <f t="shared" si="518"/>
        <v>801</v>
      </c>
      <c r="L2921">
        <v>1488.48</v>
      </c>
    </row>
    <row r="2922" spans="1:12" x14ac:dyDescent="0.25">
      <c r="A2922" t="str">
        <f t="shared" si="511"/>
        <v>89301000</v>
      </c>
      <c r="B2922" t="str">
        <f t="shared" si="514"/>
        <v>88805000</v>
      </c>
      <c r="C2922" t="str">
        <f t="shared" si="516"/>
        <v>88805001</v>
      </c>
      <c r="D2922">
        <v>89301702</v>
      </c>
      <c r="E2922" t="str">
        <f>"2060160608"</f>
        <v>2060160608</v>
      </c>
      <c r="F2922" s="1">
        <v>45001</v>
      </c>
      <c r="G2922" t="str">
        <f>"81631"</f>
        <v>81631</v>
      </c>
      <c r="H2922">
        <v>1</v>
      </c>
      <c r="I2922">
        <v>299</v>
      </c>
      <c r="J2922">
        <v>0</v>
      </c>
      <c r="K2922" t="str">
        <f t="shared" si="518"/>
        <v>801</v>
      </c>
      <c r="L2922">
        <v>251.16</v>
      </c>
    </row>
    <row r="2923" spans="1:12" x14ac:dyDescent="0.25">
      <c r="A2923" t="str">
        <f t="shared" si="511"/>
        <v>89301000</v>
      </c>
      <c r="B2923" t="str">
        <f t="shared" si="514"/>
        <v>88805000</v>
      </c>
      <c r="C2923" t="str">
        <f t="shared" si="516"/>
        <v>88805001</v>
      </c>
      <c r="D2923">
        <v>89301702</v>
      </c>
      <c r="E2923" t="str">
        <f>"2060160608"</f>
        <v>2060160608</v>
      </c>
      <c r="F2923" s="1">
        <v>45001</v>
      </c>
      <c r="G2923" t="str">
        <f>"92143"</f>
        <v>92143</v>
      </c>
      <c r="H2923">
        <v>1</v>
      </c>
      <c r="I2923">
        <v>1772</v>
      </c>
      <c r="J2923">
        <v>0</v>
      </c>
      <c r="K2923" t="str">
        <f t="shared" si="518"/>
        <v>801</v>
      </c>
      <c r="L2923">
        <v>1488.48</v>
      </c>
    </row>
    <row r="2924" spans="1:12" x14ac:dyDescent="0.25">
      <c r="A2924" t="str">
        <f t="shared" si="511"/>
        <v>89301000</v>
      </c>
      <c r="B2924" t="str">
        <f t="shared" si="514"/>
        <v>88805000</v>
      </c>
      <c r="C2924" t="str">
        <f t="shared" si="516"/>
        <v>88805001</v>
      </c>
      <c r="D2924">
        <v>89301102</v>
      </c>
      <c r="E2924" t="str">
        <f>"2157022043"</f>
        <v>2157022043</v>
      </c>
      <c r="F2924" s="1">
        <v>44988</v>
      </c>
      <c r="G2924" t="str">
        <f>"81631"</f>
        <v>81631</v>
      </c>
      <c r="H2924">
        <v>1</v>
      </c>
      <c r="I2924">
        <v>299</v>
      </c>
      <c r="J2924">
        <v>0</v>
      </c>
      <c r="K2924" t="str">
        <f t="shared" si="518"/>
        <v>801</v>
      </c>
      <c r="L2924">
        <v>251.16</v>
      </c>
    </row>
    <row r="2925" spans="1:12" x14ac:dyDescent="0.25">
      <c r="A2925" t="str">
        <f t="shared" si="511"/>
        <v>89301000</v>
      </c>
      <c r="B2925" t="str">
        <f t="shared" si="514"/>
        <v>88805000</v>
      </c>
      <c r="C2925" t="str">
        <f t="shared" si="516"/>
        <v>88805001</v>
      </c>
      <c r="D2925">
        <v>89301102</v>
      </c>
      <c r="E2925" t="str">
        <f>"2157022043"</f>
        <v>2157022043</v>
      </c>
      <c r="F2925" s="1">
        <v>44988</v>
      </c>
      <c r="G2925" t="str">
        <f>"81681"</f>
        <v>81681</v>
      </c>
      <c r="H2925">
        <v>1</v>
      </c>
      <c r="I2925">
        <v>1516</v>
      </c>
      <c r="J2925">
        <v>0</v>
      </c>
      <c r="K2925" t="str">
        <f t="shared" si="518"/>
        <v>801</v>
      </c>
      <c r="L2925">
        <v>1273.44</v>
      </c>
    </row>
    <row r="2926" spans="1:12" x14ac:dyDescent="0.25">
      <c r="A2926" t="str">
        <f t="shared" si="511"/>
        <v>89301000</v>
      </c>
      <c r="B2926" t="str">
        <f t="shared" si="514"/>
        <v>88805000</v>
      </c>
      <c r="C2926" t="str">
        <f t="shared" si="516"/>
        <v>88805001</v>
      </c>
      <c r="D2926">
        <v>89301102</v>
      </c>
      <c r="E2926" t="str">
        <f>"2157022043"</f>
        <v>2157022043</v>
      </c>
      <c r="F2926" s="1">
        <v>44988</v>
      </c>
      <c r="G2926" t="str">
        <f>"92143"</f>
        <v>92143</v>
      </c>
      <c r="H2926">
        <v>1</v>
      </c>
      <c r="I2926">
        <v>1772</v>
      </c>
      <c r="J2926">
        <v>0</v>
      </c>
      <c r="K2926" t="str">
        <f t="shared" si="518"/>
        <v>801</v>
      </c>
      <c r="L2926">
        <v>1488.48</v>
      </c>
    </row>
    <row r="2927" spans="1:12" x14ac:dyDescent="0.25">
      <c r="A2927" t="str">
        <f t="shared" si="511"/>
        <v>89301000</v>
      </c>
      <c r="B2927" t="str">
        <f t="shared" si="514"/>
        <v>88805000</v>
      </c>
      <c r="C2927" t="str">
        <f t="shared" si="516"/>
        <v>88805001</v>
      </c>
      <c r="D2927">
        <v>89301108</v>
      </c>
      <c r="E2927" t="str">
        <f>"0961113241"</f>
        <v>0961113241</v>
      </c>
      <c r="F2927" s="1">
        <v>45007</v>
      </c>
      <c r="G2927" t="str">
        <f>"81631"</f>
        <v>81631</v>
      </c>
      <c r="H2927">
        <v>1</v>
      </c>
      <c r="I2927">
        <v>299</v>
      </c>
      <c r="J2927">
        <v>0</v>
      </c>
      <c r="K2927" t="str">
        <f t="shared" si="518"/>
        <v>801</v>
      </c>
      <c r="L2927">
        <v>251.16</v>
      </c>
    </row>
    <row r="2928" spans="1:12" x14ac:dyDescent="0.25">
      <c r="A2928" t="str">
        <f t="shared" si="511"/>
        <v>89301000</v>
      </c>
      <c r="B2928" t="str">
        <f t="shared" si="514"/>
        <v>88805000</v>
      </c>
      <c r="C2928" t="str">
        <f t="shared" si="516"/>
        <v>88805001</v>
      </c>
      <c r="D2928">
        <v>89301108</v>
      </c>
      <c r="E2928" t="str">
        <f>"0961113241"</f>
        <v>0961113241</v>
      </c>
      <c r="F2928" s="1">
        <v>45007</v>
      </c>
      <c r="G2928" t="str">
        <f>"92143"</f>
        <v>92143</v>
      </c>
      <c r="H2928">
        <v>1</v>
      </c>
      <c r="I2928">
        <v>1772</v>
      </c>
      <c r="J2928">
        <v>0</v>
      </c>
      <c r="K2928" t="str">
        <f t="shared" si="518"/>
        <v>801</v>
      </c>
      <c r="L2928">
        <v>1488.48</v>
      </c>
    </row>
    <row r="2929" spans="1:12" x14ac:dyDescent="0.25">
      <c r="A2929" t="str">
        <f t="shared" si="511"/>
        <v>89301000</v>
      </c>
      <c r="B2929" t="str">
        <f t="shared" si="514"/>
        <v>88805000</v>
      </c>
      <c r="C2929" t="str">
        <f t="shared" si="516"/>
        <v>88805001</v>
      </c>
      <c r="D2929">
        <v>89301101</v>
      </c>
      <c r="E2929" t="str">
        <f>"1106120048"</f>
        <v>1106120048</v>
      </c>
      <c r="F2929" s="1">
        <v>45014</v>
      </c>
      <c r="G2929" t="str">
        <f>"81631"</f>
        <v>81631</v>
      </c>
      <c r="H2929">
        <v>1</v>
      </c>
      <c r="I2929">
        <v>299</v>
      </c>
      <c r="J2929">
        <v>0</v>
      </c>
      <c r="K2929" t="str">
        <f t="shared" si="518"/>
        <v>801</v>
      </c>
      <c r="L2929">
        <v>251.16</v>
      </c>
    </row>
    <row r="2930" spans="1:12" x14ac:dyDescent="0.25">
      <c r="A2930" t="str">
        <f t="shared" si="511"/>
        <v>89301000</v>
      </c>
      <c r="B2930" t="str">
        <f t="shared" si="514"/>
        <v>88805000</v>
      </c>
      <c r="C2930" t="str">
        <f t="shared" si="516"/>
        <v>88805001</v>
      </c>
      <c r="D2930">
        <v>89301101</v>
      </c>
      <c r="E2930" t="str">
        <f>"1106120048"</f>
        <v>1106120048</v>
      </c>
      <c r="F2930" s="1">
        <v>45014</v>
      </c>
      <c r="G2930" t="str">
        <f>"92143"</f>
        <v>92143</v>
      </c>
      <c r="H2930">
        <v>1</v>
      </c>
      <c r="I2930">
        <v>1772</v>
      </c>
      <c r="J2930">
        <v>0</v>
      </c>
      <c r="K2930" t="str">
        <f t="shared" si="518"/>
        <v>801</v>
      </c>
      <c r="L2930">
        <v>1488.48</v>
      </c>
    </row>
    <row r="2931" spans="1:12" x14ac:dyDescent="0.25">
      <c r="A2931" t="str">
        <f t="shared" si="511"/>
        <v>89301000</v>
      </c>
      <c r="B2931" t="str">
        <f t="shared" si="514"/>
        <v>88805000</v>
      </c>
      <c r="C2931" t="str">
        <f t="shared" si="516"/>
        <v>88805001</v>
      </c>
      <c r="D2931">
        <v>89301031</v>
      </c>
      <c r="E2931" t="str">
        <f>"0260055708"</f>
        <v>0260055708</v>
      </c>
      <c r="F2931" s="1">
        <v>44987</v>
      </c>
      <c r="G2931" t="str">
        <f>"81643"</f>
        <v>81643</v>
      </c>
      <c r="H2931">
        <v>1</v>
      </c>
      <c r="I2931">
        <v>104</v>
      </c>
      <c r="J2931">
        <v>0</v>
      </c>
      <c r="K2931" t="str">
        <f t="shared" si="518"/>
        <v>801</v>
      </c>
      <c r="L2931">
        <v>87.36</v>
      </c>
    </row>
    <row r="2932" spans="1:12" x14ac:dyDescent="0.25">
      <c r="A2932" t="str">
        <f t="shared" si="511"/>
        <v>89301000</v>
      </c>
      <c r="B2932" t="str">
        <f t="shared" si="514"/>
        <v>88805000</v>
      </c>
      <c r="C2932" t="str">
        <f t="shared" si="516"/>
        <v>88805001</v>
      </c>
      <c r="D2932">
        <v>89301102</v>
      </c>
      <c r="E2932" t="str">
        <f>"2157022043"</f>
        <v>2157022043</v>
      </c>
      <c r="F2932" s="1">
        <v>44988</v>
      </c>
      <c r="G2932" t="str">
        <f>"81679"</f>
        <v>81679</v>
      </c>
      <c r="H2932">
        <v>1</v>
      </c>
      <c r="I2932">
        <v>1820</v>
      </c>
      <c r="J2932">
        <v>0</v>
      </c>
      <c r="K2932" t="str">
        <f t="shared" si="518"/>
        <v>801</v>
      </c>
      <c r="L2932">
        <v>1528.8</v>
      </c>
    </row>
    <row r="2933" spans="1:12" x14ac:dyDescent="0.25">
      <c r="A2933" t="str">
        <f t="shared" si="511"/>
        <v>89301000</v>
      </c>
      <c r="B2933" t="str">
        <f t="shared" si="514"/>
        <v>88805000</v>
      </c>
      <c r="C2933" t="str">
        <f t="shared" si="516"/>
        <v>88805001</v>
      </c>
      <c r="D2933">
        <v>89301102</v>
      </c>
      <c r="E2933" t="str">
        <f>"2157022043"</f>
        <v>2157022043</v>
      </c>
      <c r="F2933" s="1">
        <v>44988</v>
      </c>
      <c r="G2933" t="str">
        <f>"81643"</f>
        <v>81643</v>
      </c>
      <c r="H2933">
        <v>1</v>
      </c>
      <c r="I2933">
        <v>104</v>
      </c>
      <c r="J2933">
        <v>0</v>
      </c>
      <c r="K2933" t="str">
        <f t="shared" si="518"/>
        <v>801</v>
      </c>
      <c r="L2933">
        <v>87.36</v>
      </c>
    </row>
    <row r="2934" spans="1:12" x14ac:dyDescent="0.25">
      <c r="A2934" t="str">
        <f t="shared" si="511"/>
        <v>89301000</v>
      </c>
      <c r="B2934" t="str">
        <f t="shared" ref="B2934:B2945" si="519">"92401000"</f>
        <v>92401000</v>
      </c>
      <c r="C2934" t="str">
        <f t="shared" ref="C2934:C2945" si="520">"92401001"</f>
        <v>92401001</v>
      </c>
      <c r="D2934">
        <v>89301212</v>
      </c>
      <c r="E2934" t="str">
        <f t="shared" ref="E2934:E2945" si="521">"7754600535"</f>
        <v>7754600535</v>
      </c>
      <c r="F2934" s="1">
        <v>44992</v>
      </c>
      <c r="G2934" t="str">
        <f>"09111"</f>
        <v>09111</v>
      </c>
      <c r="H2934">
        <v>1</v>
      </c>
      <c r="I2934">
        <v>36</v>
      </c>
      <c r="J2934">
        <v>0</v>
      </c>
      <c r="K2934" t="str">
        <f t="shared" ref="K2934:K2945" si="522">"818"</f>
        <v>818</v>
      </c>
      <c r="L2934">
        <v>45.36</v>
      </c>
    </row>
    <row r="2935" spans="1:12" x14ac:dyDescent="0.25">
      <c r="A2935" t="str">
        <f t="shared" si="511"/>
        <v>89301000</v>
      </c>
      <c r="B2935" t="str">
        <f t="shared" si="519"/>
        <v>92401000</v>
      </c>
      <c r="C2935" t="str">
        <f t="shared" si="520"/>
        <v>92401001</v>
      </c>
      <c r="D2935">
        <v>89301212</v>
      </c>
      <c r="E2935" t="str">
        <f t="shared" si="521"/>
        <v>7754600535</v>
      </c>
      <c r="F2935" s="1">
        <v>44992</v>
      </c>
      <c r="G2935" t="str">
        <f>"96163"</f>
        <v>96163</v>
      </c>
      <c r="H2935">
        <v>1</v>
      </c>
      <c r="I2935">
        <v>28</v>
      </c>
      <c r="J2935">
        <v>0</v>
      </c>
      <c r="K2935" t="str">
        <f t="shared" si="522"/>
        <v>818</v>
      </c>
      <c r="L2935">
        <v>27.16</v>
      </c>
    </row>
    <row r="2936" spans="1:12" x14ac:dyDescent="0.25">
      <c r="A2936" t="str">
        <f t="shared" si="511"/>
        <v>89301000</v>
      </c>
      <c r="B2936" t="str">
        <f t="shared" si="519"/>
        <v>92401000</v>
      </c>
      <c r="C2936" t="str">
        <f t="shared" si="520"/>
        <v>92401001</v>
      </c>
      <c r="D2936">
        <v>89301212</v>
      </c>
      <c r="E2936" t="str">
        <f t="shared" si="521"/>
        <v>7754600535</v>
      </c>
      <c r="F2936" s="1">
        <v>44992</v>
      </c>
      <c r="G2936" t="str">
        <f>"96167"</f>
        <v>96167</v>
      </c>
      <c r="H2936">
        <v>1</v>
      </c>
      <c r="I2936">
        <v>67</v>
      </c>
      <c r="J2936">
        <v>0</v>
      </c>
      <c r="K2936" t="str">
        <f t="shared" si="522"/>
        <v>818</v>
      </c>
      <c r="L2936">
        <v>64.989999999999995</v>
      </c>
    </row>
    <row r="2937" spans="1:12" x14ac:dyDescent="0.25">
      <c r="A2937" t="str">
        <f t="shared" si="511"/>
        <v>89301000</v>
      </c>
      <c r="B2937" t="str">
        <f t="shared" si="519"/>
        <v>92401000</v>
      </c>
      <c r="C2937" t="str">
        <f t="shared" si="520"/>
        <v>92401001</v>
      </c>
      <c r="D2937">
        <v>89301212</v>
      </c>
      <c r="E2937" t="str">
        <f t="shared" si="521"/>
        <v>7754600535</v>
      </c>
      <c r="F2937" s="1">
        <v>45000</v>
      </c>
      <c r="G2937" t="str">
        <f>"09111"</f>
        <v>09111</v>
      </c>
      <c r="H2937">
        <v>1</v>
      </c>
      <c r="I2937">
        <v>36</v>
      </c>
      <c r="J2937">
        <v>0</v>
      </c>
      <c r="K2937" t="str">
        <f t="shared" si="522"/>
        <v>818</v>
      </c>
      <c r="L2937">
        <v>45.36</v>
      </c>
    </row>
    <row r="2938" spans="1:12" x14ac:dyDescent="0.25">
      <c r="A2938" t="str">
        <f t="shared" si="511"/>
        <v>89301000</v>
      </c>
      <c r="B2938" t="str">
        <f t="shared" si="519"/>
        <v>92401000</v>
      </c>
      <c r="C2938" t="str">
        <f t="shared" si="520"/>
        <v>92401001</v>
      </c>
      <c r="D2938">
        <v>89301212</v>
      </c>
      <c r="E2938" t="str">
        <f t="shared" si="521"/>
        <v>7754600535</v>
      </c>
      <c r="F2938" s="1">
        <v>45000</v>
      </c>
      <c r="G2938" t="str">
        <f>"96163"</f>
        <v>96163</v>
      </c>
      <c r="H2938">
        <v>1</v>
      </c>
      <c r="I2938">
        <v>28</v>
      </c>
      <c r="J2938">
        <v>0</v>
      </c>
      <c r="K2938" t="str">
        <f t="shared" si="522"/>
        <v>818</v>
      </c>
      <c r="L2938">
        <v>27.16</v>
      </c>
    </row>
    <row r="2939" spans="1:12" x14ac:dyDescent="0.25">
      <c r="A2939" t="str">
        <f t="shared" si="511"/>
        <v>89301000</v>
      </c>
      <c r="B2939" t="str">
        <f t="shared" si="519"/>
        <v>92401000</v>
      </c>
      <c r="C2939" t="str">
        <f t="shared" si="520"/>
        <v>92401001</v>
      </c>
      <c r="D2939">
        <v>89301212</v>
      </c>
      <c r="E2939" t="str">
        <f t="shared" si="521"/>
        <v>7754600535</v>
      </c>
      <c r="F2939" s="1">
        <v>45000</v>
      </c>
      <c r="G2939" t="str">
        <f>"96167"</f>
        <v>96167</v>
      </c>
      <c r="H2939">
        <v>1</v>
      </c>
      <c r="I2939">
        <v>67</v>
      </c>
      <c r="J2939">
        <v>0</v>
      </c>
      <c r="K2939" t="str">
        <f t="shared" si="522"/>
        <v>818</v>
      </c>
      <c r="L2939">
        <v>64.989999999999995</v>
      </c>
    </row>
    <row r="2940" spans="1:12" x14ac:dyDescent="0.25">
      <c r="A2940" t="str">
        <f t="shared" si="511"/>
        <v>89301000</v>
      </c>
      <c r="B2940" t="str">
        <f t="shared" si="519"/>
        <v>92401000</v>
      </c>
      <c r="C2940" t="str">
        <f t="shared" si="520"/>
        <v>92401001</v>
      </c>
      <c r="D2940">
        <v>89301212</v>
      </c>
      <c r="E2940" t="str">
        <f t="shared" si="521"/>
        <v>7754600535</v>
      </c>
      <c r="F2940" s="1">
        <v>45007</v>
      </c>
      <c r="G2940" t="str">
        <f>"09111"</f>
        <v>09111</v>
      </c>
      <c r="H2940">
        <v>1</v>
      </c>
      <c r="I2940">
        <v>36</v>
      </c>
      <c r="J2940">
        <v>0</v>
      </c>
      <c r="K2940" t="str">
        <f t="shared" si="522"/>
        <v>818</v>
      </c>
      <c r="L2940">
        <v>45.36</v>
      </c>
    </row>
    <row r="2941" spans="1:12" x14ac:dyDescent="0.25">
      <c r="A2941" t="str">
        <f t="shared" si="511"/>
        <v>89301000</v>
      </c>
      <c r="B2941" t="str">
        <f t="shared" si="519"/>
        <v>92401000</v>
      </c>
      <c r="C2941" t="str">
        <f t="shared" si="520"/>
        <v>92401001</v>
      </c>
      <c r="D2941">
        <v>89301212</v>
      </c>
      <c r="E2941" t="str">
        <f t="shared" si="521"/>
        <v>7754600535</v>
      </c>
      <c r="F2941" s="1">
        <v>45007</v>
      </c>
      <c r="G2941" t="str">
        <f>"96163"</f>
        <v>96163</v>
      </c>
      <c r="H2941">
        <v>1</v>
      </c>
      <c r="I2941">
        <v>28</v>
      </c>
      <c r="J2941">
        <v>0</v>
      </c>
      <c r="K2941" t="str">
        <f t="shared" si="522"/>
        <v>818</v>
      </c>
      <c r="L2941">
        <v>27.16</v>
      </c>
    </row>
    <row r="2942" spans="1:12" x14ac:dyDescent="0.25">
      <c r="A2942" t="str">
        <f t="shared" si="511"/>
        <v>89301000</v>
      </c>
      <c r="B2942" t="str">
        <f t="shared" si="519"/>
        <v>92401000</v>
      </c>
      <c r="C2942" t="str">
        <f t="shared" si="520"/>
        <v>92401001</v>
      </c>
      <c r="D2942">
        <v>89301212</v>
      </c>
      <c r="E2942" t="str">
        <f t="shared" si="521"/>
        <v>7754600535</v>
      </c>
      <c r="F2942" s="1">
        <v>45007</v>
      </c>
      <c r="G2942" t="str">
        <f>"96167"</f>
        <v>96167</v>
      </c>
      <c r="H2942">
        <v>1</v>
      </c>
      <c r="I2942">
        <v>67</v>
      </c>
      <c r="J2942">
        <v>0</v>
      </c>
      <c r="K2942" t="str">
        <f t="shared" si="522"/>
        <v>818</v>
      </c>
      <c r="L2942">
        <v>64.989999999999995</v>
      </c>
    </row>
    <row r="2943" spans="1:12" x14ac:dyDescent="0.25">
      <c r="A2943" t="str">
        <f t="shared" si="511"/>
        <v>89301000</v>
      </c>
      <c r="B2943" t="str">
        <f t="shared" si="519"/>
        <v>92401000</v>
      </c>
      <c r="C2943" t="str">
        <f t="shared" si="520"/>
        <v>92401001</v>
      </c>
      <c r="D2943">
        <v>89301212</v>
      </c>
      <c r="E2943" t="str">
        <f t="shared" si="521"/>
        <v>7754600535</v>
      </c>
      <c r="F2943" s="1">
        <v>45013</v>
      </c>
      <c r="G2943" t="str">
        <f>"09111"</f>
        <v>09111</v>
      </c>
      <c r="H2943">
        <v>1</v>
      </c>
      <c r="I2943">
        <v>36</v>
      </c>
      <c r="J2943">
        <v>0</v>
      </c>
      <c r="K2943" t="str">
        <f t="shared" si="522"/>
        <v>818</v>
      </c>
      <c r="L2943">
        <v>45.36</v>
      </c>
    </row>
    <row r="2944" spans="1:12" x14ac:dyDescent="0.25">
      <c r="A2944" t="str">
        <f t="shared" si="511"/>
        <v>89301000</v>
      </c>
      <c r="B2944" t="str">
        <f t="shared" si="519"/>
        <v>92401000</v>
      </c>
      <c r="C2944" t="str">
        <f t="shared" si="520"/>
        <v>92401001</v>
      </c>
      <c r="D2944">
        <v>89301212</v>
      </c>
      <c r="E2944" t="str">
        <f t="shared" si="521"/>
        <v>7754600535</v>
      </c>
      <c r="F2944" s="1">
        <v>45013</v>
      </c>
      <c r="G2944" t="str">
        <f>"96163"</f>
        <v>96163</v>
      </c>
      <c r="H2944">
        <v>1</v>
      </c>
      <c r="I2944">
        <v>28</v>
      </c>
      <c r="J2944">
        <v>0</v>
      </c>
      <c r="K2944" t="str">
        <f t="shared" si="522"/>
        <v>818</v>
      </c>
      <c r="L2944">
        <v>27.16</v>
      </c>
    </row>
    <row r="2945" spans="1:12" x14ac:dyDescent="0.25">
      <c r="A2945" t="str">
        <f t="shared" si="511"/>
        <v>89301000</v>
      </c>
      <c r="B2945" t="str">
        <f t="shared" si="519"/>
        <v>92401000</v>
      </c>
      <c r="C2945" t="str">
        <f t="shared" si="520"/>
        <v>92401001</v>
      </c>
      <c r="D2945">
        <v>89301212</v>
      </c>
      <c r="E2945" t="str">
        <f t="shared" si="521"/>
        <v>7754600535</v>
      </c>
      <c r="F2945" s="1">
        <v>45013</v>
      </c>
      <c r="G2945" t="str">
        <f>"96167"</f>
        <v>96167</v>
      </c>
      <c r="H2945">
        <v>1</v>
      </c>
      <c r="I2945">
        <v>67</v>
      </c>
      <c r="J2945">
        <v>0</v>
      </c>
      <c r="K2945" t="str">
        <f t="shared" si="522"/>
        <v>818</v>
      </c>
      <c r="L2945">
        <v>64.989999999999995</v>
      </c>
    </row>
    <row r="2946" spans="1:12" x14ac:dyDescent="0.25">
      <c r="A2946" t="str">
        <f t="shared" ref="A2946:A3009" si="523">"89301000"</f>
        <v>89301000</v>
      </c>
      <c r="B2946" t="str">
        <f>"85200000"</f>
        <v>85200000</v>
      </c>
      <c r="C2946" t="str">
        <f>"85200048"</f>
        <v>85200048</v>
      </c>
      <c r="D2946">
        <v>89301082</v>
      </c>
      <c r="E2946" t="str">
        <f>"9352115300"</f>
        <v>9352115300</v>
      </c>
      <c r="F2946" s="1">
        <v>44987</v>
      </c>
      <c r="G2946" t="str">
        <f>"91153"</f>
        <v>91153</v>
      </c>
      <c r="H2946">
        <v>1</v>
      </c>
      <c r="I2946">
        <v>153</v>
      </c>
      <c r="J2946">
        <v>0</v>
      </c>
      <c r="K2946" t="str">
        <f>"801"</f>
        <v>801</v>
      </c>
      <c r="L2946">
        <v>128.52000000000001</v>
      </c>
    </row>
    <row r="2947" spans="1:12" x14ac:dyDescent="0.25">
      <c r="A2947" t="str">
        <f t="shared" si="523"/>
        <v>89301000</v>
      </c>
      <c r="B2947" t="str">
        <f>"85200000"</f>
        <v>85200000</v>
      </c>
      <c r="C2947" t="str">
        <f>"85200048"</f>
        <v>85200048</v>
      </c>
      <c r="D2947">
        <v>89301082</v>
      </c>
      <c r="E2947" t="str">
        <f>"9352115300"</f>
        <v>9352115300</v>
      </c>
      <c r="F2947" s="1">
        <v>44987</v>
      </c>
      <c r="G2947" t="str">
        <f>"96163"</f>
        <v>96163</v>
      </c>
      <c r="H2947">
        <v>1</v>
      </c>
      <c r="I2947">
        <v>28</v>
      </c>
      <c r="J2947">
        <v>0</v>
      </c>
      <c r="K2947" t="str">
        <f>"801"</f>
        <v>801</v>
      </c>
      <c r="L2947">
        <v>23.52</v>
      </c>
    </row>
    <row r="2948" spans="1:12" x14ac:dyDescent="0.25">
      <c r="A2948" t="str">
        <f t="shared" si="523"/>
        <v>89301000</v>
      </c>
      <c r="B2948" t="str">
        <f>"85200000"</f>
        <v>85200000</v>
      </c>
      <c r="C2948" t="str">
        <f>"85200048"</f>
        <v>85200048</v>
      </c>
      <c r="D2948">
        <v>89301082</v>
      </c>
      <c r="E2948" t="str">
        <f>"9352115300"</f>
        <v>9352115300</v>
      </c>
      <c r="F2948" s="1">
        <v>44987</v>
      </c>
      <c r="G2948" t="str">
        <f>"97111"</f>
        <v>97111</v>
      </c>
      <c r="H2948">
        <v>1</v>
      </c>
      <c r="I2948">
        <v>19</v>
      </c>
      <c r="J2948">
        <v>0</v>
      </c>
      <c r="K2948" t="str">
        <f>"801"</f>
        <v>801</v>
      </c>
      <c r="L2948">
        <v>23.94</v>
      </c>
    </row>
    <row r="2949" spans="1:12" x14ac:dyDescent="0.25">
      <c r="A2949" t="str">
        <f t="shared" si="523"/>
        <v>89301000</v>
      </c>
      <c r="B2949" t="str">
        <f>"88001000"</f>
        <v>88001000</v>
      </c>
      <c r="C2949" t="str">
        <f>"88001842"</f>
        <v>88001842</v>
      </c>
      <c r="D2949">
        <v>89301142</v>
      </c>
      <c r="E2949" t="str">
        <f>"7005093524"</f>
        <v>7005093524</v>
      </c>
      <c r="F2949" s="1">
        <v>45006</v>
      </c>
      <c r="G2949" t="str">
        <f>"89713"</f>
        <v>89713</v>
      </c>
      <c r="H2949">
        <v>1</v>
      </c>
      <c r="I2949">
        <v>5411</v>
      </c>
      <c r="J2949">
        <v>0</v>
      </c>
      <c r="K2949" t="str">
        <f t="shared" ref="K2949:K2973" si="524">"809"</f>
        <v>809</v>
      </c>
      <c r="L2949">
        <v>3517.15</v>
      </c>
    </row>
    <row r="2950" spans="1:12" x14ac:dyDescent="0.25">
      <c r="A2950" t="str">
        <f t="shared" si="523"/>
        <v>89301000</v>
      </c>
      <c r="B2950" t="str">
        <f>"88001000"</f>
        <v>88001000</v>
      </c>
      <c r="C2950" t="str">
        <f>"88001842"</f>
        <v>88001842</v>
      </c>
      <c r="D2950">
        <v>89301142</v>
      </c>
      <c r="E2950" t="str">
        <f>"7005093524"</f>
        <v>7005093524</v>
      </c>
      <c r="F2950" s="1">
        <v>45006</v>
      </c>
      <c r="G2950" t="str">
        <f>"89725"</f>
        <v>89725</v>
      </c>
      <c r="H2950">
        <v>1</v>
      </c>
      <c r="I2950">
        <v>2863</v>
      </c>
      <c r="J2950">
        <v>0</v>
      </c>
      <c r="K2950" t="str">
        <f t="shared" si="524"/>
        <v>809</v>
      </c>
      <c r="L2950">
        <v>1860.95</v>
      </c>
    </row>
    <row r="2951" spans="1:12" x14ac:dyDescent="0.25">
      <c r="A2951" t="str">
        <f t="shared" si="523"/>
        <v>89301000</v>
      </c>
      <c r="B2951" t="str">
        <f>"88001000"</f>
        <v>88001000</v>
      </c>
      <c r="C2951" t="str">
        <f>"88001842"</f>
        <v>88001842</v>
      </c>
      <c r="D2951">
        <v>89301142</v>
      </c>
      <c r="E2951" t="str">
        <f>"7005093524"</f>
        <v>7005093524</v>
      </c>
      <c r="F2951" s="1">
        <v>45006</v>
      </c>
      <c r="G2951" t="str">
        <f>"89713"</f>
        <v>89713</v>
      </c>
      <c r="H2951">
        <v>1</v>
      </c>
      <c r="I2951">
        <v>5411</v>
      </c>
      <c r="J2951">
        <v>0</v>
      </c>
      <c r="K2951" t="str">
        <f t="shared" si="524"/>
        <v>809</v>
      </c>
      <c r="L2951">
        <v>3517.15</v>
      </c>
    </row>
    <row r="2952" spans="1:12" x14ac:dyDescent="0.25">
      <c r="A2952" t="str">
        <f t="shared" si="523"/>
        <v>89301000</v>
      </c>
      <c r="B2952" t="str">
        <f>"88001000"</f>
        <v>88001000</v>
      </c>
      <c r="C2952" t="str">
        <f>"88001842"</f>
        <v>88001842</v>
      </c>
      <c r="D2952">
        <v>89301142</v>
      </c>
      <c r="E2952" t="str">
        <f>"7005093524"</f>
        <v>7005093524</v>
      </c>
      <c r="F2952" s="1">
        <v>45006</v>
      </c>
      <c r="G2952" t="str">
        <f>"0234021"</f>
        <v>0234021</v>
      </c>
      <c r="H2952">
        <v>2.5000000000000001E-2</v>
      </c>
      <c r="J2952">
        <v>2.44</v>
      </c>
      <c r="K2952" t="str">
        <f t="shared" si="524"/>
        <v>809</v>
      </c>
      <c r="L2952">
        <v>2.44</v>
      </c>
    </row>
    <row r="2953" spans="1:12" x14ac:dyDescent="0.25">
      <c r="A2953" t="str">
        <f t="shared" si="523"/>
        <v>89301000</v>
      </c>
      <c r="B2953" t="str">
        <f>"88001000"</f>
        <v>88001000</v>
      </c>
      <c r="C2953" t="str">
        <f>"88001842"</f>
        <v>88001842</v>
      </c>
      <c r="D2953">
        <v>89301142</v>
      </c>
      <c r="E2953" t="str">
        <f>"7005093524"</f>
        <v>7005093524</v>
      </c>
      <c r="F2953" s="1">
        <v>45006</v>
      </c>
      <c r="G2953" t="str">
        <f>"0207745"</f>
        <v>0207745</v>
      </c>
      <c r="H2953">
        <v>0.2</v>
      </c>
      <c r="J2953">
        <v>1295.26</v>
      </c>
      <c r="K2953" t="str">
        <f t="shared" si="524"/>
        <v>809</v>
      </c>
      <c r="L2953">
        <v>1295.26</v>
      </c>
    </row>
    <row r="2954" spans="1:12" x14ac:dyDescent="0.25">
      <c r="A2954" t="str">
        <f t="shared" si="523"/>
        <v>89301000</v>
      </c>
      <c r="B2954" t="str">
        <f t="shared" ref="B2954:B2973" si="525">"89895000"</f>
        <v>89895000</v>
      </c>
      <c r="C2954" t="str">
        <f t="shared" ref="C2954:C2973" si="526">"89895002"</f>
        <v>89895002</v>
      </c>
      <c r="D2954">
        <v>89301292</v>
      </c>
      <c r="E2954" t="str">
        <f>"0860013242"</f>
        <v>0860013242</v>
      </c>
      <c r="F2954" s="1">
        <v>45000</v>
      </c>
      <c r="G2954" t="str">
        <f>"89512"</f>
        <v>89512</v>
      </c>
      <c r="H2954">
        <v>1</v>
      </c>
      <c r="I2954">
        <v>283</v>
      </c>
      <c r="J2954">
        <v>0</v>
      </c>
      <c r="K2954" t="str">
        <f t="shared" si="524"/>
        <v>809</v>
      </c>
      <c r="L2954">
        <v>416.01</v>
      </c>
    </row>
    <row r="2955" spans="1:12" x14ac:dyDescent="0.25">
      <c r="A2955" t="str">
        <f t="shared" si="523"/>
        <v>89301000</v>
      </c>
      <c r="B2955" t="str">
        <f t="shared" si="525"/>
        <v>89895000</v>
      </c>
      <c r="C2955" t="str">
        <f t="shared" si="526"/>
        <v>89895002</v>
      </c>
      <c r="D2955">
        <v>89301212</v>
      </c>
      <c r="E2955" t="str">
        <f>"405510426"</f>
        <v>405510426</v>
      </c>
      <c r="F2955" s="1">
        <v>44987</v>
      </c>
      <c r="G2955" t="str">
        <f>"89180"</f>
        <v>89180</v>
      </c>
      <c r="H2955">
        <v>2</v>
      </c>
      <c r="I2955">
        <v>762</v>
      </c>
      <c r="J2955">
        <v>0</v>
      </c>
      <c r="K2955" t="str">
        <f t="shared" si="524"/>
        <v>809</v>
      </c>
      <c r="L2955">
        <v>1120.1400000000001</v>
      </c>
    </row>
    <row r="2956" spans="1:12" x14ac:dyDescent="0.25">
      <c r="A2956" t="str">
        <f t="shared" si="523"/>
        <v>89301000</v>
      </c>
      <c r="B2956" t="str">
        <f t="shared" si="525"/>
        <v>89895000</v>
      </c>
      <c r="C2956" t="str">
        <f t="shared" si="526"/>
        <v>89895002</v>
      </c>
      <c r="D2956">
        <v>89301212</v>
      </c>
      <c r="E2956" t="str">
        <f>"436219474"</f>
        <v>436219474</v>
      </c>
      <c r="F2956" s="1">
        <v>45014</v>
      </c>
      <c r="G2956" t="str">
        <f>"89180"</f>
        <v>89180</v>
      </c>
      <c r="H2956">
        <v>2</v>
      </c>
      <c r="I2956">
        <v>762</v>
      </c>
      <c r="J2956">
        <v>0</v>
      </c>
      <c r="K2956" t="str">
        <f t="shared" si="524"/>
        <v>809</v>
      </c>
      <c r="L2956">
        <v>1120.1400000000001</v>
      </c>
    </row>
    <row r="2957" spans="1:12" x14ac:dyDescent="0.25">
      <c r="A2957" t="str">
        <f t="shared" si="523"/>
        <v>89301000</v>
      </c>
      <c r="B2957" t="str">
        <f t="shared" si="525"/>
        <v>89895000</v>
      </c>
      <c r="C2957" t="str">
        <f t="shared" si="526"/>
        <v>89895002</v>
      </c>
      <c r="D2957">
        <v>89301212</v>
      </c>
      <c r="E2957" t="str">
        <f>"436219474"</f>
        <v>436219474</v>
      </c>
      <c r="F2957" s="1">
        <v>45014</v>
      </c>
      <c r="G2957" t="str">
        <f>"89513"</f>
        <v>89513</v>
      </c>
      <c r="H2957">
        <v>1</v>
      </c>
      <c r="I2957">
        <v>378</v>
      </c>
      <c r="J2957">
        <v>0</v>
      </c>
      <c r="K2957" t="str">
        <f t="shared" si="524"/>
        <v>809</v>
      </c>
      <c r="L2957">
        <v>555.66</v>
      </c>
    </row>
    <row r="2958" spans="1:12" x14ac:dyDescent="0.25">
      <c r="A2958" t="str">
        <f t="shared" si="523"/>
        <v>89301000</v>
      </c>
      <c r="B2958" t="str">
        <f t="shared" si="525"/>
        <v>89895000</v>
      </c>
      <c r="C2958" t="str">
        <f t="shared" si="526"/>
        <v>89895002</v>
      </c>
      <c r="D2958">
        <v>89301212</v>
      </c>
      <c r="E2958" t="str">
        <f>"436219474"</f>
        <v>436219474</v>
      </c>
      <c r="F2958" s="1">
        <v>45014</v>
      </c>
      <c r="G2958" t="str">
        <f>"89514"</f>
        <v>89514</v>
      </c>
      <c r="H2958">
        <v>1</v>
      </c>
      <c r="I2958">
        <v>378</v>
      </c>
      <c r="J2958">
        <v>0</v>
      </c>
      <c r="K2958" t="str">
        <f t="shared" si="524"/>
        <v>809</v>
      </c>
      <c r="L2958">
        <v>555.66</v>
      </c>
    </row>
    <row r="2959" spans="1:12" x14ac:dyDescent="0.25">
      <c r="A2959" t="str">
        <f t="shared" si="523"/>
        <v>89301000</v>
      </c>
      <c r="B2959" t="str">
        <f t="shared" si="525"/>
        <v>89895000</v>
      </c>
      <c r="C2959" t="str">
        <f t="shared" si="526"/>
        <v>89895002</v>
      </c>
      <c r="D2959">
        <v>89301212</v>
      </c>
      <c r="E2959" t="str">
        <f>"436219474"</f>
        <v>436219474</v>
      </c>
      <c r="F2959" s="1">
        <v>45014</v>
      </c>
      <c r="G2959" t="str">
        <f>"89512"</f>
        <v>89512</v>
      </c>
      <c r="H2959">
        <v>1</v>
      </c>
      <c r="I2959">
        <v>283</v>
      </c>
      <c r="J2959">
        <v>0</v>
      </c>
      <c r="K2959" t="str">
        <f t="shared" si="524"/>
        <v>809</v>
      </c>
      <c r="L2959">
        <v>416.01</v>
      </c>
    </row>
    <row r="2960" spans="1:12" x14ac:dyDescent="0.25">
      <c r="A2960" t="str">
        <f t="shared" si="523"/>
        <v>89301000</v>
      </c>
      <c r="B2960" t="str">
        <f t="shared" si="525"/>
        <v>89895000</v>
      </c>
      <c r="C2960" t="str">
        <f t="shared" si="526"/>
        <v>89895002</v>
      </c>
      <c r="D2960">
        <v>89301212</v>
      </c>
      <c r="E2960" t="str">
        <f>"436228445"</f>
        <v>436228445</v>
      </c>
      <c r="F2960" s="1">
        <v>44991</v>
      </c>
      <c r="G2960" t="str">
        <f>"89180"</f>
        <v>89180</v>
      </c>
      <c r="H2960">
        <v>2</v>
      </c>
      <c r="I2960">
        <v>762</v>
      </c>
      <c r="J2960">
        <v>0</v>
      </c>
      <c r="K2960" t="str">
        <f t="shared" si="524"/>
        <v>809</v>
      </c>
      <c r="L2960">
        <v>1120.1400000000001</v>
      </c>
    </row>
    <row r="2961" spans="1:12" x14ac:dyDescent="0.25">
      <c r="A2961" t="str">
        <f t="shared" si="523"/>
        <v>89301000</v>
      </c>
      <c r="B2961" t="str">
        <f t="shared" si="525"/>
        <v>89895000</v>
      </c>
      <c r="C2961" t="str">
        <f t="shared" si="526"/>
        <v>89895002</v>
      </c>
      <c r="D2961">
        <v>89301212</v>
      </c>
      <c r="E2961" t="str">
        <f>"475419412"</f>
        <v>475419412</v>
      </c>
      <c r="F2961" s="1">
        <v>45014</v>
      </c>
      <c r="G2961" t="str">
        <f>"89512"</f>
        <v>89512</v>
      </c>
      <c r="H2961">
        <v>1</v>
      </c>
      <c r="I2961">
        <v>283</v>
      </c>
      <c r="J2961">
        <v>0</v>
      </c>
      <c r="K2961" t="str">
        <f t="shared" si="524"/>
        <v>809</v>
      </c>
      <c r="L2961">
        <v>416.01</v>
      </c>
    </row>
    <row r="2962" spans="1:12" x14ac:dyDescent="0.25">
      <c r="A2962" t="str">
        <f t="shared" si="523"/>
        <v>89301000</v>
      </c>
      <c r="B2962" t="str">
        <f t="shared" si="525"/>
        <v>89895000</v>
      </c>
      <c r="C2962" t="str">
        <f t="shared" si="526"/>
        <v>89895002</v>
      </c>
      <c r="D2962">
        <v>89301212</v>
      </c>
      <c r="E2962" t="str">
        <f>"535703124"</f>
        <v>535703124</v>
      </c>
      <c r="F2962" s="1">
        <v>45002</v>
      </c>
      <c r="G2962" t="str">
        <f>"89180"</f>
        <v>89180</v>
      </c>
      <c r="H2962">
        <v>2</v>
      </c>
      <c r="I2962">
        <v>762</v>
      </c>
      <c r="J2962">
        <v>0</v>
      </c>
      <c r="K2962" t="str">
        <f t="shared" si="524"/>
        <v>809</v>
      </c>
      <c r="L2962">
        <v>1120.1400000000001</v>
      </c>
    </row>
    <row r="2963" spans="1:12" x14ac:dyDescent="0.25">
      <c r="A2963" t="str">
        <f t="shared" si="523"/>
        <v>89301000</v>
      </c>
      <c r="B2963" t="str">
        <f t="shared" si="525"/>
        <v>89895000</v>
      </c>
      <c r="C2963" t="str">
        <f t="shared" si="526"/>
        <v>89895002</v>
      </c>
      <c r="D2963">
        <v>89301212</v>
      </c>
      <c r="E2963" t="str">
        <f>"5759291967"</f>
        <v>5759291967</v>
      </c>
      <c r="F2963" s="1">
        <v>45005</v>
      </c>
      <c r="G2963" t="str">
        <f>"89512"</f>
        <v>89512</v>
      </c>
      <c r="H2963">
        <v>1</v>
      </c>
      <c r="I2963">
        <v>283</v>
      </c>
      <c r="J2963">
        <v>0</v>
      </c>
      <c r="K2963" t="str">
        <f t="shared" si="524"/>
        <v>809</v>
      </c>
      <c r="L2963">
        <v>416.01</v>
      </c>
    </row>
    <row r="2964" spans="1:12" x14ac:dyDescent="0.25">
      <c r="A2964" t="str">
        <f t="shared" si="523"/>
        <v>89301000</v>
      </c>
      <c r="B2964" t="str">
        <f t="shared" si="525"/>
        <v>89895000</v>
      </c>
      <c r="C2964" t="str">
        <f t="shared" si="526"/>
        <v>89895002</v>
      </c>
      <c r="D2964">
        <v>89301212</v>
      </c>
      <c r="E2964" t="str">
        <f>"5956232249"</f>
        <v>5956232249</v>
      </c>
      <c r="F2964" s="1">
        <v>44999</v>
      </c>
      <c r="G2964" t="str">
        <f>"89180"</f>
        <v>89180</v>
      </c>
      <c r="H2964">
        <v>2</v>
      </c>
      <c r="I2964">
        <v>762</v>
      </c>
      <c r="J2964">
        <v>0</v>
      </c>
      <c r="K2964" t="str">
        <f t="shared" si="524"/>
        <v>809</v>
      </c>
      <c r="L2964">
        <v>1120.1400000000001</v>
      </c>
    </row>
    <row r="2965" spans="1:12" x14ac:dyDescent="0.25">
      <c r="A2965" t="str">
        <f t="shared" si="523"/>
        <v>89301000</v>
      </c>
      <c r="B2965" t="str">
        <f t="shared" si="525"/>
        <v>89895000</v>
      </c>
      <c r="C2965" t="str">
        <f t="shared" si="526"/>
        <v>89895002</v>
      </c>
      <c r="D2965">
        <v>89301212</v>
      </c>
      <c r="E2965" t="str">
        <f>"5956232249"</f>
        <v>5956232249</v>
      </c>
      <c r="F2965" s="1">
        <v>44999</v>
      </c>
      <c r="G2965" t="str">
        <f>"89512"</f>
        <v>89512</v>
      </c>
      <c r="H2965">
        <v>1</v>
      </c>
      <c r="I2965">
        <v>283</v>
      </c>
      <c r="J2965">
        <v>0</v>
      </c>
      <c r="K2965" t="str">
        <f t="shared" si="524"/>
        <v>809</v>
      </c>
      <c r="L2965">
        <v>416.01</v>
      </c>
    </row>
    <row r="2966" spans="1:12" x14ac:dyDescent="0.25">
      <c r="A2966" t="str">
        <f t="shared" si="523"/>
        <v>89301000</v>
      </c>
      <c r="B2966" t="str">
        <f t="shared" si="525"/>
        <v>89895000</v>
      </c>
      <c r="C2966" t="str">
        <f t="shared" si="526"/>
        <v>89895002</v>
      </c>
      <c r="D2966">
        <v>89301212</v>
      </c>
      <c r="E2966" t="str">
        <f>"5958051473"</f>
        <v>5958051473</v>
      </c>
      <c r="F2966" s="1">
        <v>44991</v>
      </c>
      <c r="G2966" t="str">
        <f>"89513"</f>
        <v>89513</v>
      </c>
      <c r="H2966">
        <v>1</v>
      </c>
      <c r="I2966">
        <v>378</v>
      </c>
      <c r="J2966">
        <v>0</v>
      </c>
      <c r="K2966" t="str">
        <f t="shared" si="524"/>
        <v>809</v>
      </c>
      <c r="L2966">
        <v>555.66</v>
      </c>
    </row>
    <row r="2967" spans="1:12" x14ac:dyDescent="0.25">
      <c r="A2967" t="str">
        <f t="shared" si="523"/>
        <v>89301000</v>
      </c>
      <c r="B2967" t="str">
        <f t="shared" si="525"/>
        <v>89895000</v>
      </c>
      <c r="C2967" t="str">
        <f t="shared" si="526"/>
        <v>89895002</v>
      </c>
      <c r="D2967">
        <v>89301212</v>
      </c>
      <c r="E2967" t="str">
        <f>"5958051473"</f>
        <v>5958051473</v>
      </c>
      <c r="F2967" s="1">
        <v>44991</v>
      </c>
      <c r="G2967" t="str">
        <f>"89514"</f>
        <v>89514</v>
      </c>
      <c r="H2967">
        <v>1</v>
      </c>
      <c r="I2967">
        <v>378</v>
      </c>
      <c r="J2967">
        <v>0</v>
      </c>
      <c r="K2967" t="str">
        <f t="shared" si="524"/>
        <v>809</v>
      </c>
      <c r="L2967">
        <v>555.66</v>
      </c>
    </row>
    <row r="2968" spans="1:12" x14ac:dyDescent="0.25">
      <c r="A2968" t="str">
        <f t="shared" si="523"/>
        <v>89301000</v>
      </c>
      <c r="B2968" t="str">
        <f t="shared" si="525"/>
        <v>89895000</v>
      </c>
      <c r="C2968" t="str">
        <f t="shared" si="526"/>
        <v>89895002</v>
      </c>
      <c r="D2968">
        <v>89301212</v>
      </c>
      <c r="E2968" t="str">
        <f>"6152250907"</f>
        <v>6152250907</v>
      </c>
      <c r="F2968" s="1">
        <v>44991</v>
      </c>
      <c r="G2968" t="str">
        <f>"89180"</f>
        <v>89180</v>
      </c>
      <c r="H2968">
        <v>2</v>
      </c>
      <c r="I2968">
        <v>762</v>
      </c>
      <c r="J2968">
        <v>0</v>
      </c>
      <c r="K2968" t="str">
        <f t="shared" si="524"/>
        <v>809</v>
      </c>
      <c r="L2968">
        <v>1120.1400000000001</v>
      </c>
    </row>
    <row r="2969" spans="1:12" x14ac:dyDescent="0.25">
      <c r="A2969" t="str">
        <f t="shared" si="523"/>
        <v>89301000</v>
      </c>
      <c r="B2969" t="str">
        <f t="shared" si="525"/>
        <v>89895000</v>
      </c>
      <c r="C2969" t="str">
        <f t="shared" si="526"/>
        <v>89895002</v>
      </c>
      <c r="D2969">
        <v>89301212</v>
      </c>
      <c r="E2969" t="str">
        <f>"6152250907"</f>
        <v>6152250907</v>
      </c>
      <c r="F2969" s="1">
        <v>44991</v>
      </c>
      <c r="G2969" t="str">
        <f>"89513"</f>
        <v>89513</v>
      </c>
      <c r="H2969">
        <v>1</v>
      </c>
      <c r="I2969">
        <v>378</v>
      </c>
      <c r="J2969">
        <v>0</v>
      </c>
      <c r="K2969" t="str">
        <f t="shared" si="524"/>
        <v>809</v>
      </c>
      <c r="L2969">
        <v>555.66</v>
      </c>
    </row>
    <row r="2970" spans="1:12" x14ac:dyDescent="0.25">
      <c r="A2970" t="str">
        <f t="shared" si="523"/>
        <v>89301000</v>
      </c>
      <c r="B2970" t="str">
        <f t="shared" si="525"/>
        <v>89895000</v>
      </c>
      <c r="C2970" t="str">
        <f t="shared" si="526"/>
        <v>89895002</v>
      </c>
      <c r="D2970">
        <v>89301212</v>
      </c>
      <c r="E2970" t="str">
        <f>"6152250907"</f>
        <v>6152250907</v>
      </c>
      <c r="F2970" s="1">
        <v>44991</v>
      </c>
      <c r="G2970" t="str">
        <f>"89514"</f>
        <v>89514</v>
      </c>
      <c r="H2970">
        <v>1</v>
      </c>
      <c r="I2970">
        <v>378</v>
      </c>
      <c r="J2970">
        <v>0</v>
      </c>
      <c r="K2970" t="str">
        <f t="shared" si="524"/>
        <v>809</v>
      </c>
      <c r="L2970">
        <v>555.66</v>
      </c>
    </row>
    <row r="2971" spans="1:12" x14ac:dyDescent="0.25">
      <c r="A2971" t="str">
        <f t="shared" si="523"/>
        <v>89301000</v>
      </c>
      <c r="B2971" t="str">
        <f t="shared" si="525"/>
        <v>89895000</v>
      </c>
      <c r="C2971" t="str">
        <f t="shared" si="526"/>
        <v>89895002</v>
      </c>
      <c r="D2971">
        <v>89301212</v>
      </c>
      <c r="E2971" t="str">
        <f>"6253100040"</f>
        <v>6253100040</v>
      </c>
      <c r="F2971" s="1">
        <v>44993</v>
      </c>
      <c r="G2971" t="str">
        <f>"89180"</f>
        <v>89180</v>
      </c>
      <c r="H2971">
        <v>1</v>
      </c>
      <c r="I2971">
        <v>381</v>
      </c>
      <c r="J2971">
        <v>0</v>
      </c>
      <c r="K2971" t="str">
        <f t="shared" si="524"/>
        <v>809</v>
      </c>
      <c r="L2971">
        <v>560.07000000000005</v>
      </c>
    </row>
    <row r="2972" spans="1:12" x14ac:dyDescent="0.25">
      <c r="A2972" t="str">
        <f t="shared" si="523"/>
        <v>89301000</v>
      </c>
      <c r="B2972" t="str">
        <f t="shared" si="525"/>
        <v>89895000</v>
      </c>
      <c r="C2972" t="str">
        <f t="shared" si="526"/>
        <v>89895002</v>
      </c>
      <c r="D2972">
        <v>89301212</v>
      </c>
      <c r="E2972" t="str">
        <f>"6360290673"</f>
        <v>6360290673</v>
      </c>
      <c r="F2972" s="1">
        <v>45012</v>
      </c>
      <c r="G2972" t="str">
        <f>"89180"</f>
        <v>89180</v>
      </c>
      <c r="H2972">
        <v>2</v>
      </c>
      <c r="I2972">
        <v>762</v>
      </c>
      <c r="J2972">
        <v>0</v>
      </c>
      <c r="K2972" t="str">
        <f t="shared" si="524"/>
        <v>809</v>
      </c>
      <c r="L2972">
        <v>1120.1400000000001</v>
      </c>
    </row>
    <row r="2973" spans="1:12" x14ac:dyDescent="0.25">
      <c r="A2973" t="str">
        <f t="shared" si="523"/>
        <v>89301000</v>
      </c>
      <c r="B2973" t="str">
        <f t="shared" si="525"/>
        <v>89895000</v>
      </c>
      <c r="C2973" t="str">
        <f t="shared" si="526"/>
        <v>89895002</v>
      </c>
      <c r="D2973">
        <v>89301212</v>
      </c>
      <c r="E2973" t="str">
        <f>"7554275696"</f>
        <v>7554275696</v>
      </c>
      <c r="F2973" s="1">
        <v>45012</v>
      </c>
      <c r="G2973" t="str">
        <f>"89180"</f>
        <v>89180</v>
      </c>
      <c r="H2973">
        <v>2</v>
      </c>
      <c r="I2973">
        <v>762</v>
      </c>
      <c r="J2973">
        <v>0</v>
      </c>
      <c r="K2973" t="str">
        <f t="shared" si="524"/>
        <v>809</v>
      </c>
      <c r="L2973">
        <v>1120.1400000000001</v>
      </c>
    </row>
    <row r="2974" spans="1:12" x14ac:dyDescent="0.25">
      <c r="A2974" t="str">
        <f t="shared" si="523"/>
        <v>89301000</v>
      </c>
      <c r="B2974" t="str">
        <f t="shared" ref="B2974:B3037" si="527">"06539000"</f>
        <v>06539000</v>
      </c>
      <c r="C2974" t="str">
        <f>"06539001"</f>
        <v>06539001</v>
      </c>
      <c r="D2974">
        <v>89301171</v>
      </c>
      <c r="E2974" t="str">
        <f t="shared" ref="E2974:E3015" si="528">"0308094842"</f>
        <v>0308094842</v>
      </c>
      <c r="F2974" s="1">
        <v>44960</v>
      </c>
      <c r="G2974" t="str">
        <f>"81329"</f>
        <v>81329</v>
      </c>
      <c r="H2974">
        <v>1</v>
      </c>
      <c r="I2974">
        <v>17</v>
      </c>
      <c r="J2974">
        <v>0</v>
      </c>
      <c r="K2974" t="str">
        <f>"801"</f>
        <v>801</v>
      </c>
      <c r="L2974">
        <v>14.28</v>
      </c>
    </row>
    <row r="2975" spans="1:12" x14ac:dyDescent="0.25">
      <c r="A2975" t="str">
        <f t="shared" si="523"/>
        <v>89301000</v>
      </c>
      <c r="B2975" t="str">
        <f t="shared" si="527"/>
        <v>06539000</v>
      </c>
      <c r="C2975" t="str">
        <f>"06539001"</f>
        <v>06539001</v>
      </c>
      <c r="D2975">
        <v>89301171</v>
      </c>
      <c r="E2975" t="str">
        <f t="shared" si="528"/>
        <v>0308094842</v>
      </c>
      <c r="F2975" s="1">
        <v>44960</v>
      </c>
      <c r="G2975" t="str">
        <f>"81331"</f>
        <v>81331</v>
      </c>
      <c r="H2975">
        <v>1</v>
      </c>
      <c r="I2975">
        <v>193</v>
      </c>
      <c r="J2975">
        <v>0</v>
      </c>
      <c r="K2975" t="str">
        <f>"801"</f>
        <v>801</v>
      </c>
      <c r="L2975">
        <v>162.12</v>
      </c>
    </row>
    <row r="2976" spans="1:12" x14ac:dyDescent="0.25">
      <c r="A2976" t="str">
        <f t="shared" si="523"/>
        <v>89301000</v>
      </c>
      <c r="B2976" t="str">
        <f t="shared" si="527"/>
        <v>06539000</v>
      </c>
      <c r="C2976" t="str">
        <f t="shared" ref="C2976:C2983" si="529">"06539002"</f>
        <v>06539002</v>
      </c>
      <c r="D2976">
        <v>89301171</v>
      </c>
      <c r="E2976" t="str">
        <f t="shared" si="528"/>
        <v>0308094842</v>
      </c>
      <c r="F2976" s="1">
        <v>44960</v>
      </c>
      <c r="G2976" t="str">
        <f t="shared" ref="G2976:G2983" si="530">"82097"</f>
        <v>82097</v>
      </c>
      <c r="H2976">
        <v>1</v>
      </c>
      <c r="I2976">
        <v>381</v>
      </c>
      <c r="J2976">
        <v>0</v>
      </c>
      <c r="K2976" t="str">
        <f t="shared" ref="K2976:K2983" si="531">"802"</f>
        <v>802</v>
      </c>
      <c r="L2976">
        <v>369.57</v>
      </c>
    </row>
    <row r="2977" spans="1:12" x14ac:dyDescent="0.25">
      <c r="A2977" t="str">
        <f t="shared" si="523"/>
        <v>89301000</v>
      </c>
      <c r="B2977" t="str">
        <f t="shared" si="527"/>
        <v>06539000</v>
      </c>
      <c r="C2977" t="str">
        <f t="shared" si="529"/>
        <v>06539002</v>
      </c>
      <c r="D2977">
        <v>89301171</v>
      </c>
      <c r="E2977" t="str">
        <f t="shared" si="528"/>
        <v>0308094842</v>
      </c>
      <c r="F2977" s="1">
        <v>44960</v>
      </c>
      <c r="G2977" t="str">
        <f t="shared" si="530"/>
        <v>82097</v>
      </c>
      <c r="H2977">
        <v>1</v>
      </c>
      <c r="I2977">
        <v>381</v>
      </c>
      <c r="J2977">
        <v>0</v>
      </c>
      <c r="K2977" t="str">
        <f t="shared" si="531"/>
        <v>802</v>
      </c>
      <c r="L2977">
        <v>369.57</v>
      </c>
    </row>
    <row r="2978" spans="1:12" x14ac:dyDescent="0.25">
      <c r="A2978" t="str">
        <f t="shared" si="523"/>
        <v>89301000</v>
      </c>
      <c r="B2978" t="str">
        <f t="shared" si="527"/>
        <v>06539000</v>
      </c>
      <c r="C2978" t="str">
        <f t="shared" si="529"/>
        <v>06539002</v>
      </c>
      <c r="D2978">
        <v>89301171</v>
      </c>
      <c r="E2978" t="str">
        <f t="shared" si="528"/>
        <v>0308094842</v>
      </c>
      <c r="F2978" s="1">
        <v>44960</v>
      </c>
      <c r="G2978" t="str">
        <f t="shared" si="530"/>
        <v>82097</v>
      </c>
      <c r="H2978">
        <v>1</v>
      </c>
      <c r="I2978">
        <v>381</v>
      </c>
      <c r="J2978">
        <v>0</v>
      </c>
      <c r="K2978" t="str">
        <f t="shared" si="531"/>
        <v>802</v>
      </c>
      <c r="L2978">
        <v>369.57</v>
      </c>
    </row>
    <row r="2979" spans="1:12" x14ac:dyDescent="0.25">
      <c r="A2979" t="str">
        <f t="shared" si="523"/>
        <v>89301000</v>
      </c>
      <c r="B2979" t="str">
        <f t="shared" si="527"/>
        <v>06539000</v>
      </c>
      <c r="C2979" t="str">
        <f t="shared" si="529"/>
        <v>06539002</v>
      </c>
      <c r="D2979">
        <v>89301171</v>
      </c>
      <c r="E2979" t="str">
        <f t="shared" si="528"/>
        <v>0308094842</v>
      </c>
      <c r="F2979" s="1">
        <v>44960</v>
      </c>
      <c r="G2979" t="str">
        <f t="shared" si="530"/>
        <v>82097</v>
      </c>
      <c r="H2979">
        <v>1</v>
      </c>
      <c r="I2979">
        <v>381</v>
      </c>
      <c r="J2979">
        <v>0</v>
      </c>
      <c r="K2979" t="str">
        <f t="shared" si="531"/>
        <v>802</v>
      </c>
      <c r="L2979">
        <v>369.57</v>
      </c>
    </row>
    <row r="2980" spans="1:12" x14ac:dyDescent="0.25">
      <c r="A2980" t="str">
        <f t="shared" si="523"/>
        <v>89301000</v>
      </c>
      <c r="B2980" t="str">
        <f t="shared" si="527"/>
        <v>06539000</v>
      </c>
      <c r="C2980" t="str">
        <f t="shared" si="529"/>
        <v>06539002</v>
      </c>
      <c r="D2980">
        <v>89301171</v>
      </c>
      <c r="E2980" t="str">
        <f t="shared" si="528"/>
        <v>0308094842</v>
      </c>
      <c r="F2980" s="1">
        <v>44960</v>
      </c>
      <c r="G2980" t="str">
        <f t="shared" si="530"/>
        <v>82097</v>
      </c>
      <c r="H2980">
        <v>1</v>
      </c>
      <c r="I2980">
        <v>381</v>
      </c>
      <c r="J2980">
        <v>0</v>
      </c>
      <c r="K2980" t="str">
        <f t="shared" si="531"/>
        <v>802</v>
      </c>
      <c r="L2980">
        <v>369.57</v>
      </c>
    </row>
    <row r="2981" spans="1:12" x14ac:dyDescent="0.25">
      <c r="A2981" t="str">
        <f t="shared" si="523"/>
        <v>89301000</v>
      </c>
      <c r="B2981" t="str">
        <f t="shared" si="527"/>
        <v>06539000</v>
      </c>
      <c r="C2981" t="str">
        <f t="shared" si="529"/>
        <v>06539002</v>
      </c>
      <c r="D2981">
        <v>89301171</v>
      </c>
      <c r="E2981" t="str">
        <f t="shared" si="528"/>
        <v>0308094842</v>
      </c>
      <c r="F2981" s="1">
        <v>44960</v>
      </c>
      <c r="G2981" t="str">
        <f t="shared" si="530"/>
        <v>82097</v>
      </c>
      <c r="H2981">
        <v>1</v>
      </c>
      <c r="I2981">
        <v>381</v>
      </c>
      <c r="J2981">
        <v>0</v>
      </c>
      <c r="K2981" t="str">
        <f t="shared" si="531"/>
        <v>802</v>
      </c>
      <c r="L2981">
        <v>369.57</v>
      </c>
    </row>
    <row r="2982" spans="1:12" x14ac:dyDescent="0.25">
      <c r="A2982" t="str">
        <f t="shared" si="523"/>
        <v>89301000</v>
      </c>
      <c r="B2982" t="str">
        <f t="shared" si="527"/>
        <v>06539000</v>
      </c>
      <c r="C2982" t="str">
        <f t="shared" si="529"/>
        <v>06539002</v>
      </c>
      <c r="D2982">
        <v>89301171</v>
      </c>
      <c r="E2982" t="str">
        <f t="shared" si="528"/>
        <v>0308094842</v>
      </c>
      <c r="F2982" s="1">
        <v>44960</v>
      </c>
      <c r="G2982" t="str">
        <f t="shared" si="530"/>
        <v>82097</v>
      </c>
      <c r="H2982">
        <v>1</v>
      </c>
      <c r="I2982">
        <v>381</v>
      </c>
      <c r="J2982">
        <v>0</v>
      </c>
      <c r="K2982" t="str">
        <f t="shared" si="531"/>
        <v>802</v>
      </c>
      <c r="L2982">
        <v>369.57</v>
      </c>
    </row>
    <row r="2983" spans="1:12" x14ac:dyDescent="0.25">
      <c r="A2983" t="str">
        <f t="shared" si="523"/>
        <v>89301000</v>
      </c>
      <c r="B2983" t="str">
        <f t="shared" si="527"/>
        <v>06539000</v>
      </c>
      <c r="C2983" t="str">
        <f t="shared" si="529"/>
        <v>06539002</v>
      </c>
      <c r="D2983">
        <v>89301171</v>
      </c>
      <c r="E2983" t="str">
        <f t="shared" si="528"/>
        <v>0308094842</v>
      </c>
      <c r="F2983" s="1">
        <v>44960</v>
      </c>
      <c r="G2983" t="str">
        <f t="shared" si="530"/>
        <v>82097</v>
      </c>
      <c r="H2983">
        <v>1</v>
      </c>
      <c r="I2983">
        <v>381</v>
      </c>
      <c r="J2983">
        <v>0</v>
      </c>
      <c r="K2983" t="str">
        <f t="shared" si="531"/>
        <v>802</v>
      </c>
      <c r="L2983">
        <v>369.57</v>
      </c>
    </row>
    <row r="2984" spans="1:12" x14ac:dyDescent="0.25">
      <c r="A2984" t="str">
        <f t="shared" si="523"/>
        <v>89301000</v>
      </c>
      <c r="B2984" t="str">
        <f t="shared" si="527"/>
        <v>06539000</v>
      </c>
      <c r="C2984" t="str">
        <f t="shared" ref="C2984:C3015" si="532">"06539003"</f>
        <v>06539003</v>
      </c>
      <c r="D2984">
        <v>89301171</v>
      </c>
      <c r="E2984" t="str">
        <f t="shared" si="528"/>
        <v>0308094842</v>
      </c>
      <c r="F2984" s="1">
        <v>44963</v>
      </c>
      <c r="G2984" t="str">
        <f t="shared" ref="G2984:G2993" si="533">"91413"</f>
        <v>91413</v>
      </c>
      <c r="H2984">
        <v>1</v>
      </c>
      <c r="I2984">
        <v>868</v>
      </c>
      <c r="J2984">
        <v>0</v>
      </c>
      <c r="K2984" t="str">
        <f t="shared" ref="K2984:K3015" si="534">"813"</f>
        <v>813</v>
      </c>
      <c r="L2984">
        <v>729.12</v>
      </c>
    </row>
    <row r="2985" spans="1:12" x14ac:dyDescent="0.25">
      <c r="A2985" t="str">
        <f t="shared" si="523"/>
        <v>89301000</v>
      </c>
      <c r="B2985" t="str">
        <f t="shared" si="527"/>
        <v>06539000</v>
      </c>
      <c r="C2985" t="str">
        <f t="shared" si="532"/>
        <v>06539003</v>
      </c>
      <c r="D2985">
        <v>89301171</v>
      </c>
      <c r="E2985" t="str">
        <f t="shared" si="528"/>
        <v>0308094842</v>
      </c>
      <c r="F2985" s="1">
        <v>44963</v>
      </c>
      <c r="G2985" t="str">
        <f t="shared" si="533"/>
        <v>91413</v>
      </c>
      <c r="H2985">
        <v>1</v>
      </c>
      <c r="I2985">
        <v>868</v>
      </c>
      <c r="J2985">
        <v>0</v>
      </c>
      <c r="K2985" t="str">
        <f t="shared" si="534"/>
        <v>813</v>
      </c>
      <c r="L2985">
        <v>729.12</v>
      </c>
    </row>
    <row r="2986" spans="1:12" x14ac:dyDescent="0.25">
      <c r="A2986" t="str">
        <f t="shared" si="523"/>
        <v>89301000</v>
      </c>
      <c r="B2986" t="str">
        <f t="shared" si="527"/>
        <v>06539000</v>
      </c>
      <c r="C2986" t="str">
        <f t="shared" si="532"/>
        <v>06539003</v>
      </c>
      <c r="D2986">
        <v>89301171</v>
      </c>
      <c r="E2986" t="str">
        <f t="shared" si="528"/>
        <v>0308094842</v>
      </c>
      <c r="F2986" s="1">
        <v>44979</v>
      </c>
      <c r="G2986" t="str">
        <f t="shared" si="533"/>
        <v>91413</v>
      </c>
      <c r="H2986">
        <v>1</v>
      </c>
      <c r="I2986">
        <v>868</v>
      </c>
      <c r="J2986">
        <v>0</v>
      </c>
      <c r="K2986" t="str">
        <f t="shared" si="534"/>
        <v>813</v>
      </c>
      <c r="L2986">
        <v>729.12</v>
      </c>
    </row>
    <row r="2987" spans="1:12" x14ac:dyDescent="0.25">
      <c r="A2987" t="str">
        <f t="shared" si="523"/>
        <v>89301000</v>
      </c>
      <c r="B2987" t="str">
        <f t="shared" si="527"/>
        <v>06539000</v>
      </c>
      <c r="C2987" t="str">
        <f t="shared" si="532"/>
        <v>06539003</v>
      </c>
      <c r="D2987">
        <v>89301171</v>
      </c>
      <c r="E2987" t="str">
        <f t="shared" si="528"/>
        <v>0308094842</v>
      </c>
      <c r="F2987" s="1">
        <v>44979</v>
      </c>
      <c r="G2987" t="str">
        <f t="shared" si="533"/>
        <v>91413</v>
      </c>
      <c r="H2987">
        <v>1</v>
      </c>
      <c r="I2987">
        <v>868</v>
      </c>
      <c r="J2987">
        <v>0</v>
      </c>
      <c r="K2987" t="str">
        <f t="shared" si="534"/>
        <v>813</v>
      </c>
      <c r="L2987">
        <v>729.12</v>
      </c>
    </row>
    <row r="2988" spans="1:12" x14ac:dyDescent="0.25">
      <c r="A2988" t="str">
        <f t="shared" si="523"/>
        <v>89301000</v>
      </c>
      <c r="B2988" t="str">
        <f t="shared" si="527"/>
        <v>06539000</v>
      </c>
      <c r="C2988" t="str">
        <f t="shared" si="532"/>
        <v>06539003</v>
      </c>
      <c r="D2988">
        <v>89301171</v>
      </c>
      <c r="E2988" t="str">
        <f t="shared" si="528"/>
        <v>0308094842</v>
      </c>
      <c r="F2988" s="1">
        <v>44974</v>
      </c>
      <c r="G2988" t="str">
        <f t="shared" si="533"/>
        <v>91413</v>
      </c>
      <c r="H2988">
        <v>1</v>
      </c>
      <c r="I2988">
        <v>868</v>
      </c>
      <c r="J2988">
        <v>0</v>
      </c>
      <c r="K2988" t="str">
        <f t="shared" si="534"/>
        <v>813</v>
      </c>
      <c r="L2988">
        <v>729.12</v>
      </c>
    </row>
    <row r="2989" spans="1:12" x14ac:dyDescent="0.25">
      <c r="A2989" t="str">
        <f t="shared" si="523"/>
        <v>89301000</v>
      </c>
      <c r="B2989" t="str">
        <f t="shared" si="527"/>
        <v>06539000</v>
      </c>
      <c r="C2989" t="str">
        <f t="shared" si="532"/>
        <v>06539003</v>
      </c>
      <c r="D2989">
        <v>89301171</v>
      </c>
      <c r="E2989" t="str">
        <f t="shared" si="528"/>
        <v>0308094842</v>
      </c>
      <c r="F2989" s="1">
        <v>44974</v>
      </c>
      <c r="G2989" t="str">
        <f t="shared" si="533"/>
        <v>91413</v>
      </c>
      <c r="H2989">
        <v>1</v>
      </c>
      <c r="I2989">
        <v>868</v>
      </c>
      <c r="J2989">
        <v>0</v>
      </c>
      <c r="K2989" t="str">
        <f t="shared" si="534"/>
        <v>813</v>
      </c>
      <c r="L2989">
        <v>729.12</v>
      </c>
    </row>
    <row r="2990" spans="1:12" x14ac:dyDescent="0.25">
      <c r="A2990" t="str">
        <f t="shared" si="523"/>
        <v>89301000</v>
      </c>
      <c r="B2990" t="str">
        <f t="shared" si="527"/>
        <v>06539000</v>
      </c>
      <c r="C2990" t="str">
        <f t="shared" si="532"/>
        <v>06539003</v>
      </c>
      <c r="D2990">
        <v>89301171</v>
      </c>
      <c r="E2990" t="str">
        <f t="shared" si="528"/>
        <v>0308094842</v>
      </c>
      <c r="F2990" s="1">
        <v>44987</v>
      </c>
      <c r="G2990" t="str">
        <f t="shared" si="533"/>
        <v>91413</v>
      </c>
      <c r="H2990">
        <v>1</v>
      </c>
      <c r="I2990">
        <v>868</v>
      </c>
      <c r="J2990">
        <v>0</v>
      </c>
      <c r="K2990" t="str">
        <f t="shared" si="534"/>
        <v>813</v>
      </c>
      <c r="L2990">
        <v>729.12</v>
      </c>
    </row>
    <row r="2991" spans="1:12" x14ac:dyDescent="0.25">
      <c r="A2991" t="str">
        <f t="shared" si="523"/>
        <v>89301000</v>
      </c>
      <c r="B2991" t="str">
        <f t="shared" si="527"/>
        <v>06539000</v>
      </c>
      <c r="C2991" t="str">
        <f t="shared" si="532"/>
        <v>06539003</v>
      </c>
      <c r="D2991">
        <v>89301171</v>
      </c>
      <c r="E2991" t="str">
        <f t="shared" si="528"/>
        <v>0308094842</v>
      </c>
      <c r="F2991" s="1">
        <v>44987</v>
      </c>
      <c r="G2991" t="str">
        <f t="shared" si="533"/>
        <v>91413</v>
      </c>
      <c r="H2991">
        <v>1</v>
      </c>
      <c r="I2991">
        <v>868</v>
      </c>
      <c r="J2991">
        <v>0</v>
      </c>
      <c r="K2991" t="str">
        <f t="shared" si="534"/>
        <v>813</v>
      </c>
      <c r="L2991">
        <v>729.12</v>
      </c>
    </row>
    <row r="2992" spans="1:12" x14ac:dyDescent="0.25">
      <c r="A2992" t="str">
        <f t="shared" si="523"/>
        <v>89301000</v>
      </c>
      <c r="B2992" t="str">
        <f t="shared" si="527"/>
        <v>06539000</v>
      </c>
      <c r="C2992" t="str">
        <f t="shared" si="532"/>
        <v>06539003</v>
      </c>
      <c r="D2992">
        <v>89301171</v>
      </c>
      <c r="E2992" t="str">
        <f t="shared" si="528"/>
        <v>0308094842</v>
      </c>
      <c r="F2992" s="1">
        <v>44987</v>
      </c>
      <c r="G2992" t="str">
        <f t="shared" si="533"/>
        <v>91413</v>
      </c>
      <c r="H2992">
        <v>1</v>
      </c>
      <c r="I2992">
        <v>868</v>
      </c>
      <c r="J2992">
        <v>0</v>
      </c>
      <c r="K2992" t="str">
        <f t="shared" si="534"/>
        <v>813</v>
      </c>
      <c r="L2992">
        <v>729.12</v>
      </c>
    </row>
    <row r="2993" spans="1:12" x14ac:dyDescent="0.25">
      <c r="A2993" t="str">
        <f t="shared" si="523"/>
        <v>89301000</v>
      </c>
      <c r="B2993" t="str">
        <f t="shared" si="527"/>
        <v>06539000</v>
      </c>
      <c r="C2993" t="str">
        <f t="shared" si="532"/>
        <v>06539003</v>
      </c>
      <c r="D2993">
        <v>89301171</v>
      </c>
      <c r="E2993" t="str">
        <f t="shared" si="528"/>
        <v>0308094842</v>
      </c>
      <c r="F2993" s="1">
        <v>44987</v>
      </c>
      <c r="G2993" t="str">
        <f t="shared" si="533"/>
        <v>91413</v>
      </c>
      <c r="H2993">
        <v>1</v>
      </c>
      <c r="I2993">
        <v>868</v>
      </c>
      <c r="J2993">
        <v>0</v>
      </c>
      <c r="K2993" t="str">
        <f t="shared" si="534"/>
        <v>813</v>
      </c>
      <c r="L2993">
        <v>729.12</v>
      </c>
    </row>
    <row r="2994" spans="1:12" x14ac:dyDescent="0.25">
      <c r="A2994" t="str">
        <f t="shared" si="523"/>
        <v>89301000</v>
      </c>
      <c r="B2994" t="str">
        <f t="shared" si="527"/>
        <v>06539000</v>
      </c>
      <c r="C2994" t="str">
        <f t="shared" si="532"/>
        <v>06539003</v>
      </c>
      <c r="D2994">
        <v>89301171</v>
      </c>
      <c r="E2994" t="str">
        <f t="shared" si="528"/>
        <v>0308094842</v>
      </c>
      <c r="F2994" s="1">
        <v>44960</v>
      </c>
      <c r="G2994" t="str">
        <f t="shared" ref="G2994:G3000" si="535">"91197"</f>
        <v>91197</v>
      </c>
      <c r="H2994">
        <v>1</v>
      </c>
      <c r="I2994">
        <v>1048</v>
      </c>
      <c r="J2994">
        <v>0</v>
      </c>
      <c r="K2994" t="str">
        <f t="shared" si="534"/>
        <v>813</v>
      </c>
      <c r="L2994">
        <v>880.32</v>
      </c>
    </row>
    <row r="2995" spans="1:12" x14ac:dyDescent="0.25">
      <c r="A2995" t="str">
        <f t="shared" si="523"/>
        <v>89301000</v>
      </c>
      <c r="B2995" t="str">
        <f t="shared" si="527"/>
        <v>06539000</v>
      </c>
      <c r="C2995" t="str">
        <f t="shared" si="532"/>
        <v>06539003</v>
      </c>
      <c r="D2995">
        <v>89301171</v>
      </c>
      <c r="E2995" t="str">
        <f t="shared" si="528"/>
        <v>0308094842</v>
      </c>
      <c r="F2995" s="1">
        <v>44963</v>
      </c>
      <c r="G2995" t="str">
        <f t="shared" si="535"/>
        <v>91197</v>
      </c>
      <c r="H2995">
        <v>1</v>
      </c>
      <c r="I2995">
        <v>1048</v>
      </c>
      <c r="J2995">
        <v>0</v>
      </c>
      <c r="K2995" t="str">
        <f t="shared" si="534"/>
        <v>813</v>
      </c>
      <c r="L2995">
        <v>880.32</v>
      </c>
    </row>
    <row r="2996" spans="1:12" x14ac:dyDescent="0.25">
      <c r="A2996" t="str">
        <f t="shared" si="523"/>
        <v>89301000</v>
      </c>
      <c r="B2996" t="str">
        <f t="shared" si="527"/>
        <v>06539000</v>
      </c>
      <c r="C2996" t="str">
        <f t="shared" si="532"/>
        <v>06539003</v>
      </c>
      <c r="D2996">
        <v>89301171</v>
      </c>
      <c r="E2996" t="str">
        <f t="shared" si="528"/>
        <v>0308094842</v>
      </c>
      <c r="F2996" s="1">
        <v>44963</v>
      </c>
      <c r="G2996" t="str">
        <f t="shared" si="535"/>
        <v>91197</v>
      </c>
      <c r="H2996">
        <v>1</v>
      </c>
      <c r="I2996">
        <v>1048</v>
      </c>
      <c r="J2996">
        <v>0</v>
      </c>
      <c r="K2996" t="str">
        <f t="shared" si="534"/>
        <v>813</v>
      </c>
      <c r="L2996">
        <v>880.32</v>
      </c>
    </row>
    <row r="2997" spans="1:12" x14ac:dyDescent="0.25">
      <c r="A2997" t="str">
        <f t="shared" si="523"/>
        <v>89301000</v>
      </c>
      <c r="B2997" t="str">
        <f t="shared" si="527"/>
        <v>06539000</v>
      </c>
      <c r="C2997" t="str">
        <f t="shared" si="532"/>
        <v>06539003</v>
      </c>
      <c r="D2997">
        <v>89301171</v>
      </c>
      <c r="E2997" t="str">
        <f t="shared" si="528"/>
        <v>0308094842</v>
      </c>
      <c r="F2997" s="1">
        <v>44962</v>
      </c>
      <c r="G2997" t="str">
        <f t="shared" si="535"/>
        <v>91197</v>
      </c>
      <c r="H2997">
        <v>1</v>
      </c>
      <c r="I2997">
        <v>1048</v>
      </c>
      <c r="J2997">
        <v>0</v>
      </c>
      <c r="K2997" t="str">
        <f t="shared" si="534"/>
        <v>813</v>
      </c>
      <c r="L2997">
        <v>880.32</v>
      </c>
    </row>
    <row r="2998" spans="1:12" x14ac:dyDescent="0.25">
      <c r="A2998" t="str">
        <f t="shared" si="523"/>
        <v>89301000</v>
      </c>
      <c r="B2998" t="str">
        <f t="shared" si="527"/>
        <v>06539000</v>
      </c>
      <c r="C2998" t="str">
        <f t="shared" si="532"/>
        <v>06539003</v>
      </c>
      <c r="D2998">
        <v>89301171</v>
      </c>
      <c r="E2998" t="str">
        <f t="shared" si="528"/>
        <v>0308094842</v>
      </c>
      <c r="F2998" s="1">
        <v>44962</v>
      </c>
      <c r="G2998" t="str">
        <f t="shared" si="535"/>
        <v>91197</v>
      </c>
      <c r="H2998">
        <v>1</v>
      </c>
      <c r="I2998">
        <v>1048</v>
      </c>
      <c r="J2998">
        <v>0</v>
      </c>
      <c r="K2998" t="str">
        <f t="shared" si="534"/>
        <v>813</v>
      </c>
      <c r="L2998">
        <v>880.32</v>
      </c>
    </row>
    <row r="2999" spans="1:12" x14ac:dyDescent="0.25">
      <c r="A2999" t="str">
        <f t="shared" si="523"/>
        <v>89301000</v>
      </c>
      <c r="B2999" t="str">
        <f t="shared" si="527"/>
        <v>06539000</v>
      </c>
      <c r="C2999" t="str">
        <f t="shared" si="532"/>
        <v>06539003</v>
      </c>
      <c r="D2999">
        <v>89301171</v>
      </c>
      <c r="E2999" t="str">
        <f t="shared" si="528"/>
        <v>0308094842</v>
      </c>
      <c r="F2999" s="1">
        <v>44961</v>
      </c>
      <c r="G2999" t="str">
        <f t="shared" si="535"/>
        <v>91197</v>
      </c>
      <c r="H2999">
        <v>1</v>
      </c>
      <c r="I2999">
        <v>1048</v>
      </c>
      <c r="J2999">
        <v>0</v>
      </c>
      <c r="K2999" t="str">
        <f t="shared" si="534"/>
        <v>813</v>
      </c>
      <c r="L2999">
        <v>880.32</v>
      </c>
    </row>
    <row r="3000" spans="1:12" x14ac:dyDescent="0.25">
      <c r="A3000" t="str">
        <f t="shared" si="523"/>
        <v>89301000</v>
      </c>
      <c r="B3000" t="str">
        <f t="shared" si="527"/>
        <v>06539000</v>
      </c>
      <c r="C3000" t="str">
        <f t="shared" si="532"/>
        <v>06539003</v>
      </c>
      <c r="D3000">
        <v>89301171</v>
      </c>
      <c r="E3000" t="str">
        <f t="shared" si="528"/>
        <v>0308094842</v>
      </c>
      <c r="F3000" s="1">
        <v>44961</v>
      </c>
      <c r="G3000" t="str">
        <f t="shared" si="535"/>
        <v>91197</v>
      </c>
      <c r="H3000">
        <v>1</v>
      </c>
      <c r="I3000">
        <v>1048</v>
      </c>
      <c r="J3000">
        <v>0</v>
      </c>
      <c r="K3000" t="str">
        <f t="shared" si="534"/>
        <v>813</v>
      </c>
      <c r="L3000">
        <v>880.32</v>
      </c>
    </row>
    <row r="3001" spans="1:12" x14ac:dyDescent="0.25">
      <c r="A3001" t="str">
        <f t="shared" si="523"/>
        <v>89301000</v>
      </c>
      <c r="B3001" t="str">
        <f t="shared" si="527"/>
        <v>06539000</v>
      </c>
      <c r="C3001" t="str">
        <f t="shared" si="532"/>
        <v>06539003</v>
      </c>
      <c r="D3001">
        <v>89301171</v>
      </c>
      <c r="E3001" t="str">
        <f t="shared" si="528"/>
        <v>0308094842</v>
      </c>
      <c r="F3001" s="1">
        <v>44987</v>
      </c>
      <c r="G3001" t="str">
        <f>"91329"</f>
        <v>91329</v>
      </c>
      <c r="H3001">
        <v>2</v>
      </c>
      <c r="I3001">
        <v>436</v>
      </c>
      <c r="J3001">
        <v>0</v>
      </c>
      <c r="K3001" t="str">
        <f t="shared" si="534"/>
        <v>813</v>
      </c>
      <c r="L3001">
        <v>366.24</v>
      </c>
    </row>
    <row r="3002" spans="1:12" x14ac:dyDescent="0.25">
      <c r="A3002" t="str">
        <f t="shared" si="523"/>
        <v>89301000</v>
      </c>
      <c r="B3002" t="str">
        <f t="shared" si="527"/>
        <v>06539000</v>
      </c>
      <c r="C3002" t="str">
        <f t="shared" si="532"/>
        <v>06539003</v>
      </c>
      <c r="D3002">
        <v>89301171</v>
      </c>
      <c r="E3002" t="str">
        <f t="shared" si="528"/>
        <v>0308094842</v>
      </c>
      <c r="F3002" s="1">
        <v>44987</v>
      </c>
      <c r="G3002" t="str">
        <f>"91329"</f>
        <v>91329</v>
      </c>
      <c r="H3002">
        <v>2</v>
      </c>
      <c r="I3002">
        <v>436</v>
      </c>
      <c r="J3002">
        <v>0</v>
      </c>
      <c r="K3002" t="str">
        <f t="shared" si="534"/>
        <v>813</v>
      </c>
      <c r="L3002">
        <v>366.24</v>
      </c>
    </row>
    <row r="3003" spans="1:12" x14ac:dyDescent="0.25">
      <c r="A3003" t="str">
        <f t="shared" si="523"/>
        <v>89301000</v>
      </c>
      <c r="B3003" t="str">
        <f t="shared" si="527"/>
        <v>06539000</v>
      </c>
      <c r="C3003" t="str">
        <f t="shared" si="532"/>
        <v>06539003</v>
      </c>
      <c r="D3003">
        <v>89301171</v>
      </c>
      <c r="E3003" t="str">
        <f t="shared" si="528"/>
        <v>0308094842</v>
      </c>
      <c r="F3003" s="1">
        <v>44987</v>
      </c>
      <c r="G3003" t="str">
        <f>"91329"</f>
        <v>91329</v>
      </c>
      <c r="H3003">
        <v>2</v>
      </c>
      <c r="I3003">
        <v>436</v>
      </c>
      <c r="J3003">
        <v>0</v>
      </c>
      <c r="K3003" t="str">
        <f t="shared" si="534"/>
        <v>813</v>
      </c>
      <c r="L3003">
        <v>366.24</v>
      </c>
    </row>
    <row r="3004" spans="1:12" x14ac:dyDescent="0.25">
      <c r="A3004" t="str">
        <f t="shared" si="523"/>
        <v>89301000</v>
      </c>
      <c r="B3004" t="str">
        <f t="shared" si="527"/>
        <v>06539000</v>
      </c>
      <c r="C3004" t="str">
        <f t="shared" si="532"/>
        <v>06539003</v>
      </c>
      <c r="D3004">
        <v>89301171</v>
      </c>
      <c r="E3004" t="str">
        <f t="shared" si="528"/>
        <v>0308094842</v>
      </c>
      <c r="F3004" s="1">
        <v>44987</v>
      </c>
      <c r="G3004" t="str">
        <f>"91329"</f>
        <v>91329</v>
      </c>
      <c r="H3004">
        <v>2</v>
      </c>
      <c r="I3004">
        <v>436</v>
      </c>
      <c r="J3004">
        <v>0</v>
      </c>
      <c r="K3004" t="str">
        <f t="shared" si="534"/>
        <v>813</v>
      </c>
      <c r="L3004">
        <v>366.24</v>
      </c>
    </row>
    <row r="3005" spans="1:12" x14ac:dyDescent="0.25">
      <c r="A3005" t="str">
        <f t="shared" si="523"/>
        <v>89301000</v>
      </c>
      <c r="B3005" t="str">
        <f t="shared" si="527"/>
        <v>06539000</v>
      </c>
      <c r="C3005" t="str">
        <f t="shared" si="532"/>
        <v>06539003</v>
      </c>
      <c r="D3005">
        <v>89301171</v>
      </c>
      <c r="E3005" t="str">
        <f t="shared" si="528"/>
        <v>0308094842</v>
      </c>
      <c r="F3005" s="1">
        <v>44960</v>
      </c>
      <c r="G3005" t="str">
        <f>"91129"</f>
        <v>91129</v>
      </c>
      <c r="H3005">
        <v>1</v>
      </c>
      <c r="I3005">
        <v>175</v>
      </c>
      <c r="J3005">
        <v>0</v>
      </c>
      <c r="K3005" t="str">
        <f t="shared" si="534"/>
        <v>813</v>
      </c>
      <c r="L3005">
        <v>147</v>
      </c>
    </row>
    <row r="3006" spans="1:12" x14ac:dyDescent="0.25">
      <c r="A3006" t="str">
        <f t="shared" si="523"/>
        <v>89301000</v>
      </c>
      <c r="B3006" t="str">
        <f t="shared" si="527"/>
        <v>06539000</v>
      </c>
      <c r="C3006" t="str">
        <f t="shared" si="532"/>
        <v>06539003</v>
      </c>
      <c r="D3006">
        <v>89301171</v>
      </c>
      <c r="E3006" t="str">
        <f t="shared" si="528"/>
        <v>0308094842</v>
      </c>
      <c r="F3006" s="1">
        <v>44960</v>
      </c>
      <c r="G3006" t="str">
        <f>"91131"</f>
        <v>91131</v>
      </c>
      <c r="H3006">
        <v>1</v>
      </c>
      <c r="I3006">
        <v>171</v>
      </c>
      <c r="J3006">
        <v>0</v>
      </c>
      <c r="K3006" t="str">
        <f t="shared" si="534"/>
        <v>813</v>
      </c>
      <c r="L3006">
        <v>143.63999999999999</v>
      </c>
    </row>
    <row r="3007" spans="1:12" x14ac:dyDescent="0.25">
      <c r="A3007" t="str">
        <f t="shared" si="523"/>
        <v>89301000</v>
      </c>
      <c r="B3007" t="str">
        <f t="shared" si="527"/>
        <v>06539000</v>
      </c>
      <c r="C3007" t="str">
        <f t="shared" si="532"/>
        <v>06539003</v>
      </c>
      <c r="D3007">
        <v>89301171</v>
      </c>
      <c r="E3007" t="str">
        <f t="shared" si="528"/>
        <v>0308094842</v>
      </c>
      <c r="F3007" s="1">
        <v>44960</v>
      </c>
      <c r="G3007" t="str">
        <f>"91133"</f>
        <v>91133</v>
      </c>
      <c r="H3007">
        <v>1</v>
      </c>
      <c r="I3007">
        <v>177</v>
      </c>
      <c r="J3007">
        <v>0</v>
      </c>
      <c r="K3007" t="str">
        <f t="shared" si="534"/>
        <v>813</v>
      </c>
      <c r="L3007">
        <v>148.68</v>
      </c>
    </row>
    <row r="3008" spans="1:12" x14ac:dyDescent="0.25">
      <c r="A3008" t="str">
        <f t="shared" si="523"/>
        <v>89301000</v>
      </c>
      <c r="B3008" t="str">
        <f t="shared" si="527"/>
        <v>06539000</v>
      </c>
      <c r="C3008" t="str">
        <f t="shared" si="532"/>
        <v>06539003</v>
      </c>
      <c r="D3008">
        <v>89301171</v>
      </c>
      <c r="E3008" t="str">
        <f t="shared" si="528"/>
        <v>0308094842</v>
      </c>
      <c r="F3008" s="1">
        <v>44960</v>
      </c>
      <c r="G3008" t="str">
        <f>"91171"</f>
        <v>91171</v>
      </c>
      <c r="H3008">
        <v>1</v>
      </c>
      <c r="I3008">
        <v>362</v>
      </c>
      <c r="J3008">
        <v>0</v>
      </c>
      <c r="K3008" t="str">
        <f t="shared" si="534"/>
        <v>813</v>
      </c>
      <c r="L3008">
        <v>304.08</v>
      </c>
    </row>
    <row r="3009" spans="1:12" x14ac:dyDescent="0.25">
      <c r="A3009" t="str">
        <f t="shared" si="523"/>
        <v>89301000</v>
      </c>
      <c r="B3009" t="str">
        <f t="shared" si="527"/>
        <v>06539000</v>
      </c>
      <c r="C3009" t="str">
        <f t="shared" si="532"/>
        <v>06539003</v>
      </c>
      <c r="D3009">
        <v>89301171</v>
      </c>
      <c r="E3009" t="str">
        <f t="shared" si="528"/>
        <v>0308094842</v>
      </c>
      <c r="F3009" s="1">
        <v>44960</v>
      </c>
      <c r="G3009" t="str">
        <f>"91173"</f>
        <v>91173</v>
      </c>
      <c r="H3009">
        <v>1</v>
      </c>
      <c r="I3009">
        <v>337</v>
      </c>
      <c r="J3009">
        <v>0</v>
      </c>
      <c r="K3009" t="str">
        <f t="shared" si="534"/>
        <v>813</v>
      </c>
      <c r="L3009">
        <v>283.08</v>
      </c>
    </row>
    <row r="3010" spans="1:12" x14ac:dyDescent="0.25">
      <c r="A3010" t="str">
        <f t="shared" ref="A3010:A3073" si="536">"89301000"</f>
        <v>89301000</v>
      </c>
      <c r="B3010" t="str">
        <f t="shared" si="527"/>
        <v>06539000</v>
      </c>
      <c r="C3010" t="str">
        <f t="shared" si="532"/>
        <v>06539003</v>
      </c>
      <c r="D3010">
        <v>89301171</v>
      </c>
      <c r="E3010" t="str">
        <f t="shared" si="528"/>
        <v>0308094842</v>
      </c>
      <c r="F3010" s="1">
        <v>44960</v>
      </c>
      <c r="G3010" t="str">
        <f>"91175"</f>
        <v>91175</v>
      </c>
      <c r="H3010">
        <v>1</v>
      </c>
      <c r="I3010">
        <v>362</v>
      </c>
      <c r="J3010">
        <v>0</v>
      </c>
      <c r="K3010" t="str">
        <f t="shared" si="534"/>
        <v>813</v>
      </c>
      <c r="L3010">
        <v>304.08</v>
      </c>
    </row>
    <row r="3011" spans="1:12" x14ac:dyDescent="0.25">
      <c r="A3011" t="str">
        <f t="shared" si="536"/>
        <v>89301000</v>
      </c>
      <c r="B3011" t="str">
        <f t="shared" si="527"/>
        <v>06539000</v>
      </c>
      <c r="C3011" t="str">
        <f t="shared" si="532"/>
        <v>06539003</v>
      </c>
      <c r="D3011">
        <v>89301171</v>
      </c>
      <c r="E3011" t="str">
        <f t="shared" si="528"/>
        <v>0308094842</v>
      </c>
      <c r="F3011" s="1">
        <v>44961</v>
      </c>
      <c r="G3011" t="str">
        <f>"91167"</f>
        <v>91167</v>
      </c>
      <c r="H3011">
        <v>1</v>
      </c>
      <c r="I3011">
        <v>426</v>
      </c>
      <c r="J3011">
        <v>0</v>
      </c>
      <c r="K3011" t="str">
        <f t="shared" si="534"/>
        <v>813</v>
      </c>
      <c r="L3011">
        <v>357.84</v>
      </c>
    </row>
    <row r="3012" spans="1:12" x14ac:dyDescent="0.25">
      <c r="A3012" t="str">
        <f t="shared" si="536"/>
        <v>89301000</v>
      </c>
      <c r="B3012" t="str">
        <f t="shared" si="527"/>
        <v>06539000</v>
      </c>
      <c r="C3012" t="str">
        <f t="shared" si="532"/>
        <v>06539003</v>
      </c>
      <c r="D3012">
        <v>89301171</v>
      </c>
      <c r="E3012" t="str">
        <f t="shared" si="528"/>
        <v>0308094842</v>
      </c>
      <c r="F3012" s="1">
        <v>44961</v>
      </c>
      <c r="G3012" t="str">
        <f>"91169"</f>
        <v>91169</v>
      </c>
      <c r="H3012">
        <v>1</v>
      </c>
      <c r="I3012">
        <v>426</v>
      </c>
      <c r="J3012">
        <v>0</v>
      </c>
      <c r="K3012" t="str">
        <f t="shared" si="534"/>
        <v>813</v>
      </c>
      <c r="L3012">
        <v>357.84</v>
      </c>
    </row>
    <row r="3013" spans="1:12" x14ac:dyDescent="0.25">
      <c r="A3013" t="str">
        <f t="shared" si="536"/>
        <v>89301000</v>
      </c>
      <c r="B3013" t="str">
        <f t="shared" si="527"/>
        <v>06539000</v>
      </c>
      <c r="C3013" t="str">
        <f t="shared" si="532"/>
        <v>06539003</v>
      </c>
      <c r="D3013">
        <v>89301171</v>
      </c>
      <c r="E3013" t="str">
        <f t="shared" si="528"/>
        <v>0308094842</v>
      </c>
      <c r="F3013" s="1">
        <v>44960</v>
      </c>
      <c r="G3013" t="str">
        <f>"91167"</f>
        <v>91167</v>
      </c>
      <c r="H3013">
        <v>1</v>
      </c>
      <c r="I3013">
        <v>426</v>
      </c>
      <c r="J3013">
        <v>0</v>
      </c>
      <c r="K3013" t="str">
        <f t="shared" si="534"/>
        <v>813</v>
      </c>
      <c r="L3013">
        <v>357.84</v>
      </c>
    </row>
    <row r="3014" spans="1:12" x14ac:dyDescent="0.25">
      <c r="A3014" t="str">
        <f t="shared" si="536"/>
        <v>89301000</v>
      </c>
      <c r="B3014" t="str">
        <f t="shared" si="527"/>
        <v>06539000</v>
      </c>
      <c r="C3014" t="str">
        <f t="shared" si="532"/>
        <v>06539003</v>
      </c>
      <c r="D3014">
        <v>89301171</v>
      </c>
      <c r="E3014" t="str">
        <f t="shared" si="528"/>
        <v>0308094842</v>
      </c>
      <c r="F3014" s="1">
        <v>44960</v>
      </c>
      <c r="G3014" t="str">
        <f>"91169"</f>
        <v>91169</v>
      </c>
      <c r="H3014">
        <v>1</v>
      </c>
      <c r="I3014">
        <v>426</v>
      </c>
      <c r="J3014">
        <v>0</v>
      </c>
      <c r="K3014" t="str">
        <f t="shared" si="534"/>
        <v>813</v>
      </c>
      <c r="L3014">
        <v>357.84</v>
      </c>
    </row>
    <row r="3015" spans="1:12" x14ac:dyDescent="0.25">
      <c r="A3015" t="str">
        <f t="shared" si="536"/>
        <v>89301000</v>
      </c>
      <c r="B3015" t="str">
        <f t="shared" si="527"/>
        <v>06539000</v>
      </c>
      <c r="C3015" t="str">
        <f t="shared" si="532"/>
        <v>06539003</v>
      </c>
      <c r="D3015">
        <v>89301171</v>
      </c>
      <c r="E3015" t="str">
        <f t="shared" si="528"/>
        <v>0308094842</v>
      </c>
      <c r="F3015" s="1">
        <v>44974</v>
      </c>
      <c r="G3015" t="str">
        <f>"91475"</f>
        <v>91475</v>
      </c>
      <c r="H3015">
        <v>1</v>
      </c>
      <c r="I3015">
        <v>213</v>
      </c>
      <c r="J3015">
        <v>0</v>
      </c>
      <c r="K3015" t="str">
        <f t="shared" si="534"/>
        <v>813</v>
      </c>
      <c r="L3015">
        <v>178.92</v>
      </c>
    </row>
    <row r="3016" spans="1:12" x14ac:dyDescent="0.25">
      <c r="A3016" t="str">
        <f t="shared" si="536"/>
        <v>89301000</v>
      </c>
      <c r="B3016" t="str">
        <f t="shared" si="527"/>
        <v>06539000</v>
      </c>
      <c r="C3016" t="str">
        <f>"06539001"</f>
        <v>06539001</v>
      </c>
      <c r="D3016">
        <v>89301171</v>
      </c>
      <c r="E3016" t="str">
        <f t="shared" ref="E3016:E3057" si="537">"6103270239"</f>
        <v>6103270239</v>
      </c>
      <c r="F3016" s="1">
        <v>44960</v>
      </c>
      <c r="G3016" t="str">
        <f>"81329"</f>
        <v>81329</v>
      </c>
      <c r="H3016">
        <v>1</v>
      </c>
      <c r="I3016">
        <v>17</v>
      </c>
      <c r="J3016">
        <v>0</v>
      </c>
      <c r="K3016" t="str">
        <f>"801"</f>
        <v>801</v>
      </c>
      <c r="L3016">
        <v>14.28</v>
      </c>
    </row>
    <row r="3017" spans="1:12" x14ac:dyDescent="0.25">
      <c r="A3017" t="str">
        <f t="shared" si="536"/>
        <v>89301000</v>
      </c>
      <c r="B3017" t="str">
        <f t="shared" si="527"/>
        <v>06539000</v>
      </c>
      <c r="C3017" t="str">
        <f>"06539001"</f>
        <v>06539001</v>
      </c>
      <c r="D3017">
        <v>89301171</v>
      </c>
      <c r="E3017" t="str">
        <f t="shared" si="537"/>
        <v>6103270239</v>
      </c>
      <c r="F3017" s="1">
        <v>44960</v>
      </c>
      <c r="G3017" t="str">
        <f>"81331"</f>
        <v>81331</v>
      </c>
      <c r="H3017">
        <v>1</v>
      </c>
      <c r="I3017">
        <v>193</v>
      </c>
      <c r="J3017">
        <v>0</v>
      </c>
      <c r="K3017" t="str">
        <f>"801"</f>
        <v>801</v>
      </c>
      <c r="L3017">
        <v>162.12</v>
      </c>
    </row>
    <row r="3018" spans="1:12" x14ac:dyDescent="0.25">
      <c r="A3018" t="str">
        <f t="shared" si="536"/>
        <v>89301000</v>
      </c>
      <c r="B3018" t="str">
        <f t="shared" si="527"/>
        <v>06539000</v>
      </c>
      <c r="C3018" t="str">
        <f t="shared" ref="C3018:C3025" si="538">"06539002"</f>
        <v>06539002</v>
      </c>
      <c r="D3018">
        <v>89301171</v>
      </c>
      <c r="E3018" t="str">
        <f t="shared" si="537"/>
        <v>6103270239</v>
      </c>
      <c r="F3018" s="1">
        <v>44960</v>
      </c>
      <c r="G3018" t="str">
        <f t="shared" ref="G3018:G3025" si="539">"82097"</f>
        <v>82097</v>
      </c>
      <c r="H3018">
        <v>1</v>
      </c>
      <c r="I3018">
        <v>381</v>
      </c>
      <c r="J3018">
        <v>0</v>
      </c>
      <c r="K3018" t="str">
        <f t="shared" ref="K3018:K3025" si="540">"802"</f>
        <v>802</v>
      </c>
      <c r="L3018">
        <v>369.57</v>
      </c>
    </row>
    <row r="3019" spans="1:12" x14ac:dyDescent="0.25">
      <c r="A3019" t="str">
        <f t="shared" si="536"/>
        <v>89301000</v>
      </c>
      <c r="B3019" t="str">
        <f t="shared" si="527"/>
        <v>06539000</v>
      </c>
      <c r="C3019" t="str">
        <f t="shared" si="538"/>
        <v>06539002</v>
      </c>
      <c r="D3019">
        <v>89301171</v>
      </c>
      <c r="E3019" t="str">
        <f t="shared" si="537"/>
        <v>6103270239</v>
      </c>
      <c r="F3019" s="1">
        <v>44960</v>
      </c>
      <c r="G3019" t="str">
        <f t="shared" si="539"/>
        <v>82097</v>
      </c>
      <c r="H3019">
        <v>1</v>
      </c>
      <c r="I3019">
        <v>381</v>
      </c>
      <c r="J3019">
        <v>0</v>
      </c>
      <c r="K3019" t="str">
        <f t="shared" si="540"/>
        <v>802</v>
      </c>
      <c r="L3019">
        <v>369.57</v>
      </c>
    </row>
    <row r="3020" spans="1:12" x14ac:dyDescent="0.25">
      <c r="A3020" t="str">
        <f t="shared" si="536"/>
        <v>89301000</v>
      </c>
      <c r="B3020" t="str">
        <f t="shared" si="527"/>
        <v>06539000</v>
      </c>
      <c r="C3020" t="str">
        <f t="shared" si="538"/>
        <v>06539002</v>
      </c>
      <c r="D3020">
        <v>89301171</v>
      </c>
      <c r="E3020" t="str">
        <f t="shared" si="537"/>
        <v>6103270239</v>
      </c>
      <c r="F3020" s="1">
        <v>44960</v>
      </c>
      <c r="G3020" t="str">
        <f t="shared" si="539"/>
        <v>82097</v>
      </c>
      <c r="H3020">
        <v>1</v>
      </c>
      <c r="I3020">
        <v>381</v>
      </c>
      <c r="J3020">
        <v>0</v>
      </c>
      <c r="K3020" t="str">
        <f t="shared" si="540"/>
        <v>802</v>
      </c>
      <c r="L3020">
        <v>369.57</v>
      </c>
    </row>
    <row r="3021" spans="1:12" x14ac:dyDescent="0.25">
      <c r="A3021" t="str">
        <f t="shared" si="536"/>
        <v>89301000</v>
      </c>
      <c r="B3021" t="str">
        <f t="shared" si="527"/>
        <v>06539000</v>
      </c>
      <c r="C3021" t="str">
        <f t="shared" si="538"/>
        <v>06539002</v>
      </c>
      <c r="D3021">
        <v>89301171</v>
      </c>
      <c r="E3021" t="str">
        <f t="shared" si="537"/>
        <v>6103270239</v>
      </c>
      <c r="F3021" s="1">
        <v>44960</v>
      </c>
      <c r="G3021" t="str">
        <f t="shared" si="539"/>
        <v>82097</v>
      </c>
      <c r="H3021">
        <v>1</v>
      </c>
      <c r="I3021">
        <v>381</v>
      </c>
      <c r="J3021">
        <v>0</v>
      </c>
      <c r="K3021" t="str">
        <f t="shared" si="540"/>
        <v>802</v>
      </c>
      <c r="L3021">
        <v>369.57</v>
      </c>
    </row>
    <row r="3022" spans="1:12" x14ac:dyDescent="0.25">
      <c r="A3022" t="str">
        <f t="shared" si="536"/>
        <v>89301000</v>
      </c>
      <c r="B3022" t="str">
        <f t="shared" si="527"/>
        <v>06539000</v>
      </c>
      <c r="C3022" t="str">
        <f t="shared" si="538"/>
        <v>06539002</v>
      </c>
      <c r="D3022">
        <v>89301171</v>
      </c>
      <c r="E3022" t="str">
        <f t="shared" si="537"/>
        <v>6103270239</v>
      </c>
      <c r="F3022" s="1">
        <v>44960</v>
      </c>
      <c r="G3022" t="str">
        <f t="shared" si="539"/>
        <v>82097</v>
      </c>
      <c r="H3022">
        <v>1</v>
      </c>
      <c r="I3022">
        <v>381</v>
      </c>
      <c r="J3022">
        <v>0</v>
      </c>
      <c r="K3022" t="str">
        <f t="shared" si="540"/>
        <v>802</v>
      </c>
      <c r="L3022">
        <v>369.57</v>
      </c>
    </row>
    <row r="3023" spans="1:12" x14ac:dyDescent="0.25">
      <c r="A3023" t="str">
        <f t="shared" si="536"/>
        <v>89301000</v>
      </c>
      <c r="B3023" t="str">
        <f t="shared" si="527"/>
        <v>06539000</v>
      </c>
      <c r="C3023" t="str">
        <f t="shared" si="538"/>
        <v>06539002</v>
      </c>
      <c r="D3023">
        <v>89301171</v>
      </c>
      <c r="E3023" t="str">
        <f t="shared" si="537"/>
        <v>6103270239</v>
      </c>
      <c r="F3023" s="1">
        <v>44960</v>
      </c>
      <c r="G3023" t="str">
        <f t="shared" si="539"/>
        <v>82097</v>
      </c>
      <c r="H3023">
        <v>1</v>
      </c>
      <c r="I3023">
        <v>381</v>
      </c>
      <c r="J3023">
        <v>0</v>
      </c>
      <c r="K3023" t="str">
        <f t="shared" si="540"/>
        <v>802</v>
      </c>
      <c r="L3023">
        <v>369.57</v>
      </c>
    </row>
    <row r="3024" spans="1:12" x14ac:dyDescent="0.25">
      <c r="A3024" t="str">
        <f t="shared" si="536"/>
        <v>89301000</v>
      </c>
      <c r="B3024" t="str">
        <f t="shared" si="527"/>
        <v>06539000</v>
      </c>
      <c r="C3024" t="str">
        <f t="shared" si="538"/>
        <v>06539002</v>
      </c>
      <c r="D3024">
        <v>89301171</v>
      </c>
      <c r="E3024" t="str">
        <f t="shared" si="537"/>
        <v>6103270239</v>
      </c>
      <c r="F3024" s="1">
        <v>44960</v>
      </c>
      <c r="G3024" t="str">
        <f t="shared" si="539"/>
        <v>82097</v>
      </c>
      <c r="H3024">
        <v>1</v>
      </c>
      <c r="I3024">
        <v>381</v>
      </c>
      <c r="J3024">
        <v>0</v>
      </c>
      <c r="K3024" t="str">
        <f t="shared" si="540"/>
        <v>802</v>
      </c>
      <c r="L3024">
        <v>369.57</v>
      </c>
    </row>
    <row r="3025" spans="1:12" x14ac:dyDescent="0.25">
      <c r="A3025" t="str">
        <f t="shared" si="536"/>
        <v>89301000</v>
      </c>
      <c r="B3025" t="str">
        <f t="shared" si="527"/>
        <v>06539000</v>
      </c>
      <c r="C3025" t="str">
        <f t="shared" si="538"/>
        <v>06539002</v>
      </c>
      <c r="D3025">
        <v>89301171</v>
      </c>
      <c r="E3025" t="str">
        <f t="shared" si="537"/>
        <v>6103270239</v>
      </c>
      <c r="F3025" s="1">
        <v>44960</v>
      </c>
      <c r="G3025" t="str">
        <f t="shared" si="539"/>
        <v>82097</v>
      </c>
      <c r="H3025">
        <v>1</v>
      </c>
      <c r="I3025">
        <v>381</v>
      </c>
      <c r="J3025">
        <v>0</v>
      </c>
      <c r="K3025" t="str">
        <f t="shared" si="540"/>
        <v>802</v>
      </c>
      <c r="L3025">
        <v>369.57</v>
      </c>
    </row>
    <row r="3026" spans="1:12" x14ac:dyDescent="0.25">
      <c r="A3026" t="str">
        <f t="shared" si="536"/>
        <v>89301000</v>
      </c>
      <c r="B3026" t="str">
        <f t="shared" si="527"/>
        <v>06539000</v>
      </c>
      <c r="C3026" t="str">
        <f t="shared" ref="C3026:C3066" si="541">"06539003"</f>
        <v>06539003</v>
      </c>
      <c r="D3026">
        <v>89301171</v>
      </c>
      <c r="E3026" t="str">
        <f t="shared" si="537"/>
        <v>6103270239</v>
      </c>
      <c r="F3026" s="1">
        <v>44963</v>
      </c>
      <c r="G3026" t="str">
        <f t="shared" ref="G3026:G3035" si="542">"91413"</f>
        <v>91413</v>
      </c>
      <c r="H3026">
        <v>1</v>
      </c>
      <c r="I3026">
        <v>868</v>
      </c>
      <c r="J3026">
        <v>0</v>
      </c>
      <c r="K3026" t="str">
        <f t="shared" ref="K3026:K3066" si="543">"813"</f>
        <v>813</v>
      </c>
      <c r="L3026">
        <v>729.12</v>
      </c>
    </row>
    <row r="3027" spans="1:12" x14ac:dyDescent="0.25">
      <c r="A3027" t="str">
        <f t="shared" si="536"/>
        <v>89301000</v>
      </c>
      <c r="B3027" t="str">
        <f t="shared" si="527"/>
        <v>06539000</v>
      </c>
      <c r="C3027" t="str">
        <f t="shared" si="541"/>
        <v>06539003</v>
      </c>
      <c r="D3027">
        <v>89301171</v>
      </c>
      <c r="E3027" t="str">
        <f t="shared" si="537"/>
        <v>6103270239</v>
      </c>
      <c r="F3027" s="1">
        <v>44963</v>
      </c>
      <c r="G3027" t="str">
        <f t="shared" si="542"/>
        <v>91413</v>
      </c>
      <c r="H3027">
        <v>1</v>
      </c>
      <c r="I3027">
        <v>868</v>
      </c>
      <c r="J3027">
        <v>0</v>
      </c>
      <c r="K3027" t="str">
        <f t="shared" si="543"/>
        <v>813</v>
      </c>
      <c r="L3027">
        <v>729.12</v>
      </c>
    </row>
    <row r="3028" spans="1:12" x14ac:dyDescent="0.25">
      <c r="A3028" t="str">
        <f t="shared" si="536"/>
        <v>89301000</v>
      </c>
      <c r="B3028" t="str">
        <f t="shared" si="527"/>
        <v>06539000</v>
      </c>
      <c r="C3028" t="str">
        <f t="shared" si="541"/>
        <v>06539003</v>
      </c>
      <c r="D3028">
        <v>89301171</v>
      </c>
      <c r="E3028" t="str">
        <f t="shared" si="537"/>
        <v>6103270239</v>
      </c>
      <c r="F3028" s="1">
        <v>44979</v>
      </c>
      <c r="G3028" t="str">
        <f t="shared" si="542"/>
        <v>91413</v>
      </c>
      <c r="H3028">
        <v>1</v>
      </c>
      <c r="I3028">
        <v>868</v>
      </c>
      <c r="J3028">
        <v>0</v>
      </c>
      <c r="K3028" t="str">
        <f t="shared" si="543"/>
        <v>813</v>
      </c>
      <c r="L3028">
        <v>729.12</v>
      </c>
    </row>
    <row r="3029" spans="1:12" x14ac:dyDescent="0.25">
      <c r="A3029" t="str">
        <f t="shared" si="536"/>
        <v>89301000</v>
      </c>
      <c r="B3029" t="str">
        <f t="shared" si="527"/>
        <v>06539000</v>
      </c>
      <c r="C3029" t="str">
        <f t="shared" si="541"/>
        <v>06539003</v>
      </c>
      <c r="D3029">
        <v>89301171</v>
      </c>
      <c r="E3029" t="str">
        <f t="shared" si="537"/>
        <v>6103270239</v>
      </c>
      <c r="F3029" s="1">
        <v>44979</v>
      </c>
      <c r="G3029" t="str">
        <f t="shared" si="542"/>
        <v>91413</v>
      </c>
      <c r="H3029">
        <v>1</v>
      </c>
      <c r="I3029">
        <v>868</v>
      </c>
      <c r="J3029">
        <v>0</v>
      </c>
      <c r="K3029" t="str">
        <f t="shared" si="543"/>
        <v>813</v>
      </c>
      <c r="L3029">
        <v>729.12</v>
      </c>
    </row>
    <row r="3030" spans="1:12" x14ac:dyDescent="0.25">
      <c r="A3030" t="str">
        <f t="shared" si="536"/>
        <v>89301000</v>
      </c>
      <c r="B3030" t="str">
        <f t="shared" si="527"/>
        <v>06539000</v>
      </c>
      <c r="C3030" t="str">
        <f t="shared" si="541"/>
        <v>06539003</v>
      </c>
      <c r="D3030">
        <v>89301171</v>
      </c>
      <c r="E3030" t="str">
        <f t="shared" si="537"/>
        <v>6103270239</v>
      </c>
      <c r="F3030" s="1">
        <v>44974</v>
      </c>
      <c r="G3030" t="str">
        <f t="shared" si="542"/>
        <v>91413</v>
      </c>
      <c r="H3030">
        <v>1</v>
      </c>
      <c r="I3030">
        <v>868</v>
      </c>
      <c r="J3030">
        <v>0</v>
      </c>
      <c r="K3030" t="str">
        <f t="shared" si="543"/>
        <v>813</v>
      </c>
      <c r="L3030">
        <v>729.12</v>
      </c>
    </row>
    <row r="3031" spans="1:12" x14ac:dyDescent="0.25">
      <c r="A3031" t="str">
        <f t="shared" si="536"/>
        <v>89301000</v>
      </c>
      <c r="B3031" t="str">
        <f t="shared" si="527"/>
        <v>06539000</v>
      </c>
      <c r="C3031" t="str">
        <f t="shared" si="541"/>
        <v>06539003</v>
      </c>
      <c r="D3031">
        <v>89301171</v>
      </c>
      <c r="E3031" t="str">
        <f t="shared" si="537"/>
        <v>6103270239</v>
      </c>
      <c r="F3031" s="1">
        <v>44974</v>
      </c>
      <c r="G3031" t="str">
        <f t="shared" si="542"/>
        <v>91413</v>
      </c>
      <c r="H3031">
        <v>1</v>
      </c>
      <c r="I3031">
        <v>868</v>
      </c>
      <c r="J3031">
        <v>0</v>
      </c>
      <c r="K3031" t="str">
        <f t="shared" si="543"/>
        <v>813</v>
      </c>
      <c r="L3031">
        <v>729.12</v>
      </c>
    </row>
    <row r="3032" spans="1:12" x14ac:dyDescent="0.25">
      <c r="A3032" t="str">
        <f t="shared" si="536"/>
        <v>89301000</v>
      </c>
      <c r="B3032" t="str">
        <f t="shared" si="527"/>
        <v>06539000</v>
      </c>
      <c r="C3032" t="str">
        <f t="shared" si="541"/>
        <v>06539003</v>
      </c>
      <c r="D3032">
        <v>89301171</v>
      </c>
      <c r="E3032" t="str">
        <f t="shared" si="537"/>
        <v>6103270239</v>
      </c>
      <c r="F3032" s="1">
        <v>44987</v>
      </c>
      <c r="G3032" t="str">
        <f t="shared" si="542"/>
        <v>91413</v>
      </c>
      <c r="H3032">
        <v>1</v>
      </c>
      <c r="I3032">
        <v>868</v>
      </c>
      <c r="J3032">
        <v>0</v>
      </c>
      <c r="K3032" t="str">
        <f t="shared" si="543"/>
        <v>813</v>
      </c>
      <c r="L3032">
        <v>729.12</v>
      </c>
    </row>
    <row r="3033" spans="1:12" x14ac:dyDescent="0.25">
      <c r="A3033" t="str">
        <f t="shared" si="536"/>
        <v>89301000</v>
      </c>
      <c r="B3033" t="str">
        <f t="shared" si="527"/>
        <v>06539000</v>
      </c>
      <c r="C3033" t="str">
        <f t="shared" si="541"/>
        <v>06539003</v>
      </c>
      <c r="D3033">
        <v>89301171</v>
      </c>
      <c r="E3033" t="str">
        <f t="shared" si="537"/>
        <v>6103270239</v>
      </c>
      <c r="F3033" s="1">
        <v>44987</v>
      </c>
      <c r="G3033" t="str">
        <f t="shared" si="542"/>
        <v>91413</v>
      </c>
      <c r="H3033">
        <v>1</v>
      </c>
      <c r="I3033">
        <v>868</v>
      </c>
      <c r="J3033">
        <v>0</v>
      </c>
      <c r="K3033" t="str">
        <f t="shared" si="543"/>
        <v>813</v>
      </c>
      <c r="L3033">
        <v>729.12</v>
      </c>
    </row>
    <row r="3034" spans="1:12" x14ac:dyDescent="0.25">
      <c r="A3034" t="str">
        <f t="shared" si="536"/>
        <v>89301000</v>
      </c>
      <c r="B3034" t="str">
        <f t="shared" si="527"/>
        <v>06539000</v>
      </c>
      <c r="C3034" t="str">
        <f t="shared" si="541"/>
        <v>06539003</v>
      </c>
      <c r="D3034">
        <v>89301171</v>
      </c>
      <c r="E3034" t="str">
        <f t="shared" si="537"/>
        <v>6103270239</v>
      </c>
      <c r="F3034" s="1">
        <v>44987</v>
      </c>
      <c r="G3034" t="str">
        <f t="shared" si="542"/>
        <v>91413</v>
      </c>
      <c r="H3034">
        <v>1</v>
      </c>
      <c r="I3034">
        <v>868</v>
      </c>
      <c r="J3034">
        <v>0</v>
      </c>
      <c r="K3034" t="str">
        <f t="shared" si="543"/>
        <v>813</v>
      </c>
      <c r="L3034">
        <v>729.12</v>
      </c>
    </row>
    <row r="3035" spans="1:12" x14ac:dyDescent="0.25">
      <c r="A3035" t="str">
        <f t="shared" si="536"/>
        <v>89301000</v>
      </c>
      <c r="B3035" t="str">
        <f t="shared" si="527"/>
        <v>06539000</v>
      </c>
      <c r="C3035" t="str">
        <f t="shared" si="541"/>
        <v>06539003</v>
      </c>
      <c r="D3035">
        <v>89301171</v>
      </c>
      <c r="E3035" t="str">
        <f t="shared" si="537"/>
        <v>6103270239</v>
      </c>
      <c r="F3035" s="1">
        <v>44987</v>
      </c>
      <c r="G3035" t="str">
        <f t="shared" si="542"/>
        <v>91413</v>
      </c>
      <c r="H3035">
        <v>1</v>
      </c>
      <c r="I3035">
        <v>868</v>
      </c>
      <c r="J3035">
        <v>0</v>
      </c>
      <c r="K3035" t="str">
        <f t="shared" si="543"/>
        <v>813</v>
      </c>
      <c r="L3035">
        <v>729.12</v>
      </c>
    </row>
    <row r="3036" spans="1:12" x14ac:dyDescent="0.25">
      <c r="A3036" t="str">
        <f t="shared" si="536"/>
        <v>89301000</v>
      </c>
      <c r="B3036" t="str">
        <f t="shared" si="527"/>
        <v>06539000</v>
      </c>
      <c r="C3036" t="str">
        <f t="shared" si="541"/>
        <v>06539003</v>
      </c>
      <c r="D3036">
        <v>89301171</v>
      </c>
      <c r="E3036" t="str">
        <f t="shared" si="537"/>
        <v>6103270239</v>
      </c>
      <c r="F3036" s="1">
        <v>44960</v>
      </c>
      <c r="G3036" t="str">
        <f t="shared" ref="G3036:G3042" si="544">"91197"</f>
        <v>91197</v>
      </c>
      <c r="H3036">
        <v>1</v>
      </c>
      <c r="I3036">
        <v>1048</v>
      </c>
      <c r="J3036">
        <v>0</v>
      </c>
      <c r="K3036" t="str">
        <f t="shared" si="543"/>
        <v>813</v>
      </c>
      <c r="L3036">
        <v>880.32</v>
      </c>
    </row>
    <row r="3037" spans="1:12" x14ac:dyDescent="0.25">
      <c r="A3037" t="str">
        <f t="shared" si="536"/>
        <v>89301000</v>
      </c>
      <c r="B3037" t="str">
        <f t="shared" si="527"/>
        <v>06539000</v>
      </c>
      <c r="C3037" t="str">
        <f t="shared" si="541"/>
        <v>06539003</v>
      </c>
      <c r="D3037">
        <v>89301171</v>
      </c>
      <c r="E3037" t="str">
        <f t="shared" si="537"/>
        <v>6103270239</v>
      </c>
      <c r="F3037" s="1">
        <v>44963</v>
      </c>
      <c r="G3037" t="str">
        <f t="shared" si="544"/>
        <v>91197</v>
      </c>
      <c r="H3037">
        <v>1</v>
      </c>
      <c r="I3037">
        <v>1048</v>
      </c>
      <c r="J3037">
        <v>0</v>
      </c>
      <c r="K3037" t="str">
        <f t="shared" si="543"/>
        <v>813</v>
      </c>
      <c r="L3037">
        <v>880.32</v>
      </c>
    </row>
    <row r="3038" spans="1:12" x14ac:dyDescent="0.25">
      <c r="A3038" t="str">
        <f t="shared" si="536"/>
        <v>89301000</v>
      </c>
      <c r="B3038" t="str">
        <f t="shared" ref="B3038:B3101" si="545">"06539000"</f>
        <v>06539000</v>
      </c>
      <c r="C3038" t="str">
        <f t="shared" si="541"/>
        <v>06539003</v>
      </c>
      <c r="D3038">
        <v>89301171</v>
      </c>
      <c r="E3038" t="str">
        <f t="shared" si="537"/>
        <v>6103270239</v>
      </c>
      <c r="F3038" s="1">
        <v>44963</v>
      </c>
      <c r="G3038" t="str">
        <f t="shared" si="544"/>
        <v>91197</v>
      </c>
      <c r="H3038">
        <v>1</v>
      </c>
      <c r="I3038">
        <v>1048</v>
      </c>
      <c r="J3038">
        <v>0</v>
      </c>
      <c r="K3038" t="str">
        <f t="shared" si="543"/>
        <v>813</v>
      </c>
      <c r="L3038">
        <v>880.32</v>
      </c>
    </row>
    <row r="3039" spans="1:12" x14ac:dyDescent="0.25">
      <c r="A3039" t="str">
        <f t="shared" si="536"/>
        <v>89301000</v>
      </c>
      <c r="B3039" t="str">
        <f t="shared" si="545"/>
        <v>06539000</v>
      </c>
      <c r="C3039" t="str">
        <f t="shared" si="541"/>
        <v>06539003</v>
      </c>
      <c r="D3039">
        <v>89301171</v>
      </c>
      <c r="E3039" t="str">
        <f t="shared" si="537"/>
        <v>6103270239</v>
      </c>
      <c r="F3039" s="1">
        <v>44962</v>
      </c>
      <c r="G3039" t="str">
        <f t="shared" si="544"/>
        <v>91197</v>
      </c>
      <c r="H3039">
        <v>1</v>
      </c>
      <c r="I3039">
        <v>1048</v>
      </c>
      <c r="J3039">
        <v>0</v>
      </c>
      <c r="K3039" t="str">
        <f t="shared" si="543"/>
        <v>813</v>
      </c>
      <c r="L3039">
        <v>880.32</v>
      </c>
    </row>
    <row r="3040" spans="1:12" x14ac:dyDescent="0.25">
      <c r="A3040" t="str">
        <f t="shared" si="536"/>
        <v>89301000</v>
      </c>
      <c r="B3040" t="str">
        <f t="shared" si="545"/>
        <v>06539000</v>
      </c>
      <c r="C3040" t="str">
        <f t="shared" si="541"/>
        <v>06539003</v>
      </c>
      <c r="D3040">
        <v>89301171</v>
      </c>
      <c r="E3040" t="str">
        <f t="shared" si="537"/>
        <v>6103270239</v>
      </c>
      <c r="F3040" s="1">
        <v>44962</v>
      </c>
      <c r="G3040" t="str">
        <f t="shared" si="544"/>
        <v>91197</v>
      </c>
      <c r="H3040">
        <v>1</v>
      </c>
      <c r="I3040">
        <v>1048</v>
      </c>
      <c r="J3040">
        <v>0</v>
      </c>
      <c r="K3040" t="str">
        <f t="shared" si="543"/>
        <v>813</v>
      </c>
      <c r="L3040">
        <v>880.32</v>
      </c>
    </row>
    <row r="3041" spans="1:12" x14ac:dyDescent="0.25">
      <c r="A3041" t="str">
        <f t="shared" si="536"/>
        <v>89301000</v>
      </c>
      <c r="B3041" t="str">
        <f t="shared" si="545"/>
        <v>06539000</v>
      </c>
      <c r="C3041" t="str">
        <f t="shared" si="541"/>
        <v>06539003</v>
      </c>
      <c r="D3041">
        <v>89301171</v>
      </c>
      <c r="E3041" t="str">
        <f t="shared" si="537"/>
        <v>6103270239</v>
      </c>
      <c r="F3041" s="1">
        <v>44961</v>
      </c>
      <c r="G3041" t="str">
        <f t="shared" si="544"/>
        <v>91197</v>
      </c>
      <c r="H3041">
        <v>1</v>
      </c>
      <c r="I3041">
        <v>1048</v>
      </c>
      <c r="J3041">
        <v>0</v>
      </c>
      <c r="K3041" t="str">
        <f t="shared" si="543"/>
        <v>813</v>
      </c>
      <c r="L3041">
        <v>880.32</v>
      </c>
    </row>
    <row r="3042" spans="1:12" x14ac:dyDescent="0.25">
      <c r="A3042" t="str">
        <f t="shared" si="536"/>
        <v>89301000</v>
      </c>
      <c r="B3042" t="str">
        <f t="shared" si="545"/>
        <v>06539000</v>
      </c>
      <c r="C3042" t="str">
        <f t="shared" si="541"/>
        <v>06539003</v>
      </c>
      <c r="D3042">
        <v>89301171</v>
      </c>
      <c r="E3042" t="str">
        <f t="shared" si="537"/>
        <v>6103270239</v>
      </c>
      <c r="F3042" s="1">
        <v>44961</v>
      </c>
      <c r="G3042" t="str">
        <f t="shared" si="544"/>
        <v>91197</v>
      </c>
      <c r="H3042">
        <v>1</v>
      </c>
      <c r="I3042">
        <v>1048</v>
      </c>
      <c r="J3042">
        <v>0</v>
      </c>
      <c r="K3042" t="str">
        <f t="shared" si="543"/>
        <v>813</v>
      </c>
      <c r="L3042">
        <v>880.32</v>
      </c>
    </row>
    <row r="3043" spans="1:12" x14ac:dyDescent="0.25">
      <c r="A3043" t="str">
        <f t="shared" si="536"/>
        <v>89301000</v>
      </c>
      <c r="B3043" t="str">
        <f t="shared" si="545"/>
        <v>06539000</v>
      </c>
      <c r="C3043" t="str">
        <f t="shared" si="541"/>
        <v>06539003</v>
      </c>
      <c r="D3043">
        <v>89301171</v>
      </c>
      <c r="E3043" t="str">
        <f t="shared" si="537"/>
        <v>6103270239</v>
      </c>
      <c r="F3043" s="1">
        <v>44987</v>
      </c>
      <c r="G3043" t="str">
        <f>"91329"</f>
        <v>91329</v>
      </c>
      <c r="H3043">
        <v>2</v>
      </c>
      <c r="I3043">
        <v>436</v>
      </c>
      <c r="J3043">
        <v>0</v>
      </c>
      <c r="K3043" t="str">
        <f t="shared" si="543"/>
        <v>813</v>
      </c>
      <c r="L3043">
        <v>366.24</v>
      </c>
    </row>
    <row r="3044" spans="1:12" x14ac:dyDescent="0.25">
      <c r="A3044" t="str">
        <f t="shared" si="536"/>
        <v>89301000</v>
      </c>
      <c r="B3044" t="str">
        <f t="shared" si="545"/>
        <v>06539000</v>
      </c>
      <c r="C3044" t="str">
        <f t="shared" si="541"/>
        <v>06539003</v>
      </c>
      <c r="D3044">
        <v>89301171</v>
      </c>
      <c r="E3044" t="str">
        <f t="shared" si="537"/>
        <v>6103270239</v>
      </c>
      <c r="F3044" s="1">
        <v>44987</v>
      </c>
      <c r="G3044" t="str">
        <f>"91329"</f>
        <v>91329</v>
      </c>
      <c r="H3044">
        <v>2</v>
      </c>
      <c r="I3044">
        <v>436</v>
      </c>
      <c r="J3044">
        <v>0</v>
      </c>
      <c r="K3044" t="str">
        <f t="shared" si="543"/>
        <v>813</v>
      </c>
      <c r="L3044">
        <v>366.24</v>
      </c>
    </row>
    <row r="3045" spans="1:12" x14ac:dyDescent="0.25">
      <c r="A3045" t="str">
        <f t="shared" si="536"/>
        <v>89301000</v>
      </c>
      <c r="B3045" t="str">
        <f t="shared" si="545"/>
        <v>06539000</v>
      </c>
      <c r="C3045" t="str">
        <f t="shared" si="541"/>
        <v>06539003</v>
      </c>
      <c r="D3045">
        <v>89301171</v>
      </c>
      <c r="E3045" t="str">
        <f t="shared" si="537"/>
        <v>6103270239</v>
      </c>
      <c r="F3045" s="1">
        <v>44987</v>
      </c>
      <c r="G3045" t="str">
        <f>"91329"</f>
        <v>91329</v>
      </c>
      <c r="H3045">
        <v>2</v>
      </c>
      <c r="I3045">
        <v>436</v>
      </c>
      <c r="J3045">
        <v>0</v>
      </c>
      <c r="K3045" t="str">
        <f t="shared" si="543"/>
        <v>813</v>
      </c>
      <c r="L3045">
        <v>366.24</v>
      </c>
    </row>
    <row r="3046" spans="1:12" x14ac:dyDescent="0.25">
      <c r="A3046" t="str">
        <f t="shared" si="536"/>
        <v>89301000</v>
      </c>
      <c r="B3046" t="str">
        <f t="shared" si="545"/>
        <v>06539000</v>
      </c>
      <c r="C3046" t="str">
        <f t="shared" si="541"/>
        <v>06539003</v>
      </c>
      <c r="D3046">
        <v>89301171</v>
      </c>
      <c r="E3046" t="str">
        <f t="shared" si="537"/>
        <v>6103270239</v>
      </c>
      <c r="F3046" s="1">
        <v>44964</v>
      </c>
      <c r="G3046" t="str">
        <f>"91329"</f>
        <v>91329</v>
      </c>
      <c r="H3046">
        <v>2</v>
      </c>
      <c r="I3046">
        <v>436</v>
      </c>
      <c r="J3046">
        <v>0</v>
      </c>
      <c r="K3046" t="str">
        <f t="shared" si="543"/>
        <v>813</v>
      </c>
      <c r="L3046">
        <v>366.24</v>
      </c>
    </row>
    <row r="3047" spans="1:12" x14ac:dyDescent="0.25">
      <c r="A3047" t="str">
        <f t="shared" si="536"/>
        <v>89301000</v>
      </c>
      <c r="B3047" t="str">
        <f t="shared" si="545"/>
        <v>06539000</v>
      </c>
      <c r="C3047" t="str">
        <f t="shared" si="541"/>
        <v>06539003</v>
      </c>
      <c r="D3047">
        <v>89301171</v>
      </c>
      <c r="E3047" t="str">
        <f t="shared" si="537"/>
        <v>6103270239</v>
      </c>
      <c r="F3047" s="1">
        <v>44960</v>
      </c>
      <c r="G3047" t="str">
        <f>"91129"</f>
        <v>91129</v>
      </c>
      <c r="H3047">
        <v>1</v>
      </c>
      <c r="I3047">
        <v>175</v>
      </c>
      <c r="J3047">
        <v>0</v>
      </c>
      <c r="K3047" t="str">
        <f t="shared" si="543"/>
        <v>813</v>
      </c>
      <c r="L3047">
        <v>147</v>
      </c>
    </row>
    <row r="3048" spans="1:12" x14ac:dyDescent="0.25">
      <c r="A3048" t="str">
        <f t="shared" si="536"/>
        <v>89301000</v>
      </c>
      <c r="B3048" t="str">
        <f t="shared" si="545"/>
        <v>06539000</v>
      </c>
      <c r="C3048" t="str">
        <f t="shared" si="541"/>
        <v>06539003</v>
      </c>
      <c r="D3048">
        <v>89301171</v>
      </c>
      <c r="E3048" t="str">
        <f t="shared" si="537"/>
        <v>6103270239</v>
      </c>
      <c r="F3048" s="1">
        <v>44960</v>
      </c>
      <c r="G3048" t="str">
        <f>"91131"</f>
        <v>91131</v>
      </c>
      <c r="H3048">
        <v>1</v>
      </c>
      <c r="I3048">
        <v>171</v>
      </c>
      <c r="J3048">
        <v>0</v>
      </c>
      <c r="K3048" t="str">
        <f t="shared" si="543"/>
        <v>813</v>
      </c>
      <c r="L3048">
        <v>143.63999999999999</v>
      </c>
    </row>
    <row r="3049" spans="1:12" x14ac:dyDescent="0.25">
      <c r="A3049" t="str">
        <f t="shared" si="536"/>
        <v>89301000</v>
      </c>
      <c r="B3049" t="str">
        <f t="shared" si="545"/>
        <v>06539000</v>
      </c>
      <c r="C3049" t="str">
        <f t="shared" si="541"/>
        <v>06539003</v>
      </c>
      <c r="D3049">
        <v>89301171</v>
      </c>
      <c r="E3049" t="str">
        <f t="shared" si="537"/>
        <v>6103270239</v>
      </c>
      <c r="F3049" s="1">
        <v>44960</v>
      </c>
      <c r="G3049" t="str">
        <f>"91133"</f>
        <v>91133</v>
      </c>
      <c r="H3049">
        <v>1</v>
      </c>
      <c r="I3049">
        <v>177</v>
      </c>
      <c r="J3049">
        <v>0</v>
      </c>
      <c r="K3049" t="str">
        <f t="shared" si="543"/>
        <v>813</v>
      </c>
      <c r="L3049">
        <v>148.68</v>
      </c>
    </row>
    <row r="3050" spans="1:12" x14ac:dyDescent="0.25">
      <c r="A3050" t="str">
        <f t="shared" si="536"/>
        <v>89301000</v>
      </c>
      <c r="B3050" t="str">
        <f t="shared" si="545"/>
        <v>06539000</v>
      </c>
      <c r="C3050" t="str">
        <f t="shared" si="541"/>
        <v>06539003</v>
      </c>
      <c r="D3050">
        <v>89301171</v>
      </c>
      <c r="E3050" t="str">
        <f t="shared" si="537"/>
        <v>6103270239</v>
      </c>
      <c r="F3050" s="1">
        <v>44960</v>
      </c>
      <c r="G3050" t="str">
        <f>"91171"</f>
        <v>91171</v>
      </c>
      <c r="H3050">
        <v>1</v>
      </c>
      <c r="I3050">
        <v>362</v>
      </c>
      <c r="J3050">
        <v>0</v>
      </c>
      <c r="K3050" t="str">
        <f t="shared" si="543"/>
        <v>813</v>
      </c>
      <c r="L3050">
        <v>304.08</v>
      </c>
    </row>
    <row r="3051" spans="1:12" x14ac:dyDescent="0.25">
      <c r="A3051" t="str">
        <f t="shared" si="536"/>
        <v>89301000</v>
      </c>
      <c r="B3051" t="str">
        <f t="shared" si="545"/>
        <v>06539000</v>
      </c>
      <c r="C3051" t="str">
        <f t="shared" si="541"/>
        <v>06539003</v>
      </c>
      <c r="D3051">
        <v>89301171</v>
      </c>
      <c r="E3051" t="str">
        <f t="shared" si="537"/>
        <v>6103270239</v>
      </c>
      <c r="F3051" s="1">
        <v>44960</v>
      </c>
      <c r="G3051" t="str">
        <f>"91173"</f>
        <v>91173</v>
      </c>
      <c r="H3051">
        <v>1</v>
      </c>
      <c r="I3051">
        <v>337</v>
      </c>
      <c r="J3051">
        <v>0</v>
      </c>
      <c r="K3051" t="str">
        <f t="shared" si="543"/>
        <v>813</v>
      </c>
      <c r="L3051">
        <v>283.08</v>
      </c>
    </row>
    <row r="3052" spans="1:12" x14ac:dyDescent="0.25">
      <c r="A3052" t="str">
        <f t="shared" si="536"/>
        <v>89301000</v>
      </c>
      <c r="B3052" t="str">
        <f t="shared" si="545"/>
        <v>06539000</v>
      </c>
      <c r="C3052" t="str">
        <f t="shared" si="541"/>
        <v>06539003</v>
      </c>
      <c r="D3052">
        <v>89301171</v>
      </c>
      <c r="E3052" t="str">
        <f t="shared" si="537"/>
        <v>6103270239</v>
      </c>
      <c r="F3052" s="1">
        <v>44960</v>
      </c>
      <c r="G3052" t="str">
        <f>"91175"</f>
        <v>91175</v>
      </c>
      <c r="H3052">
        <v>1</v>
      </c>
      <c r="I3052">
        <v>362</v>
      </c>
      <c r="J3052">
        <v>0</v>
      </c>
      <c r="K3052" t="str">
        <f t="shared" si="543"/>
        <v>813</v>
      </c>
      <c r="L3052">
        <v>304.08</v>
      </c>
    </row>
    <row r="3053" spans="1:12" x14ac:dyDescent="0.25">
      <c r="A3053" t="str">
        <f t="shared" si="536"/>
        <v>89301000</v>
      </c>
      <c r="B3053" t="str">
        <f t="shared" si="545"/>
        <v>06539000</v>
      </c>
      <c r="C3053" t="str">
        <f t="shared" si="541"/>
        <v>06539003</v>
      </c>
      <c r="D3053">
        <v>89301171</v>
      </c>
      <c r="E3053" t="str">
        <f t="shared" si="537"/>
        <v>6103270239</v>
      </c>
      <c r="F3053" s="1">
        <v>44961</v>
      </c>
      <c r="G3053" t="str">
        <f>"91167"</f>
        <v>91167</v>
      </c>
      <c r="H3053">
        <v>1</v>
      </c>
      <c r="I3053">
        <v>426</v>
      </c>
      <c r="J3053">
        <v>0</v>
      </c>
      <c r="K3053" t="str">
        <f t="shared" si="543"/>
        <v>813</v>
      </c>
      <c r="L3053">
        <v>357.84</v>
      </c>
    </row>
    <row r="3054" spans="1:12" x14ac:dyDescent="0.25">
      <c r="A3054" t="str">
        <f t="shared" si="536"/>
        <v>89301000</v>
      </c>
      <c r="B3054" t="str">
        <f t="shared" si="545"/>
        <v>06539000</v>
      </c>
      <c r="C3054" t="str">
        <f t="shared" si="541"/>
        <v>06539003</v>
      </c>
      <c r="D3054">
        <v>89301171</v>
      </c>
      <c r="E3054" t="str">
        <f t="shared" si="537"/>
        <v>6103270239</v>
      </c>
      <c r="F3054" s="1">
        <v>44961</v>
      </c>
      <c r="G3054" t="str">
        <f>"91169"</f>
        <v>91169</v>
      </c>
      <c r="H3054">
        <v>1</v>
      </c>
      <c r="I3054">
        <v>426</v>
      </c>
      <c r="J3054">
        <v>0</v>
      </c>
      <c r="K3054" t="str">
        <f t="shared" si="543"/>
        <v>813</v>
      </c>
      <c r="L3054">
        <v>357.84</v>
      </c>
    </row>
    <row r="3055" spans="1:12" x14ac:dyDescent="0.25">
      <c r="A3055" t="str">
        <f t="shared" si="536"/>
        <v>89301000</v>
      </c>
      <c r="B3055" t="str">
        <f t="shared" si="545"/>
        <v>06539000</v>
      </c>
      <c r="C3055" t="str">
        <f t="shared" si="541"/>
        <v>06539003</v>
      </c>
      <c r="D3055">
        <v>89301171</v>
      </c>
      <c r="E3055" t="str">
        <f t="shared" si="537"/>
        <v>6103270239</v>
      </c>
      <c r="F3055" s="1">
        <v>44960</v>
      </c>
      <c r="G3055" t="str">
        <f>"91167"</f>
        <v>91167</v>
      </c>
      <c r="H3055">
        <v>1</v>
      </c>
      <c r="I3055">
        <v>426</v>
      </c>
      <c r="J3055">
        <v>0</v>
      </c>
      <c r="K3055" t="str">
        <f t="shared" si="543"/>
        <v>813</v>
      </c>
      <c r="L3055">
        <v>357.84</v>
      </c>
    </row>
    <row r="3056" spans="1:12" x14ac:dyDescent="0.25">
      <c r="A3056" t="str">
        <f t="shared" si="536"/>
        <v>89301000</v>
      </c>
      <c r="B3056" t="str">
        <f t="shared" si="545"/>
        <v>06539000</v>
      </c>
      <c r="C3056" t="str">
        <f t="shared" si="541"/>
        <v>06539003</v>
      </c>
      <c r="D3056">
        <v>89301171</v>
      </c>
      <c r="E3056" t="str">
        <f t="shared" si="537"/>
        <v>6103270239</v>
      </c>
      <c r="F3056" s="1">
        <v>44960</v>
      </c>
      <c r="G3056" t="str">
        <f>"91169"</f>
        <v>91169</v>
      </c>
      <c r="H3056">
        <v>1</v>
      </c>
      <c r="I3056">
        <v>426</v>
      </c>
      <c r="J3056">
        <v>0</v>
      </c>
      <c r="K3056" t="str">
        <f t="shared" si="543"/>
        <v>813</v>
      </c>
      <c r="L3056">
        <v>357.84</v>
      </c>
    </row>
    <row r="3057" spans="1:12" x14ac:dyDescent="0.25">
      <c r="A3057" t="str">
        <f t="shared" si="536"/>
        <v>89301000</v>
      </c>
      <c r="B3057" t="str">
        <f t="shared" si="545"/>
        <v>06539000</v>
      </c>
      <c r="C3057" t="str">
        <f t="shared" si="541"/>
        <v>06539003</v>
      </c>
      <c r="D3057">
        <v>89301171</v>
      </c>
      <c r="E3057" t="str">
        <f t="shared" si="537"/>
        <v>6103270239</v>
      </c>
      <c r="F3057" s="1">
        <v>44965</v>
      </c>
      <c r="G3057" t="str">
        <f>"91475"</f>
        <v>91475</v>
      </c>
      <c r="H3057">
        <v>1</v>
      </c>
      <c r="I3057">
        <v>213</v>
      </c>
      <c r="J3057">
        <v>0</v>
      </c>
      <c r="K3057" t="str">
        <f t="shared" si="543"/>
        <v>813</v>
      </c>
      <c r="L3057">
        <v>178.92</v>
      </c>
    </row>
    <row r="3058" spans="1:12" x14ac:dyDescent="0.25">
      <c r="A3058" t="str">
        <f t="shared" si="536"/>
        <v>89301000</v>
      </c>
      <c r="B3058" t="str">
        <f t="shared" si="545"/>
        <v>06539000</v>
      </c>
      <c r="C3058" t="str">
        <f t="shared" si="541"/>
        <v>06539003</v>
      </c>
      <c r="D3058">
        <v>89301171</v>
      </c>
      <c r="E3058" t="str">
        <f t="shared" ref="E3058:E3066" si="546">"6857302034"</f>
        <v>6857302034</v>
      </c>
      <c r="F3058" s="1">
        <v>44979</v>
      </c>
      <c r="G3058" t="str">
        <f t="shared" ref="G3058:G3065" si="547">"91413"</f>
        <v>91413</v>
      </c>
      <c r="H3058">
        <v>1</v>
      </c>
      <c r="I3058">
        <v>868</v>
      </c>
      <c r="J3058">
        <v>0</v>
      </c>
      <c r="K3058" t="str">
        <f t="shared" si="543"/>
        <v>813</v>
      </c>
      <c r="L3058">
        <v>729.12</v>
      </c>
    </row>
    <row r="3059" spans="1:12" x14ac:dyDescent="0.25">
      <c r="A3059" t="str">
        <f t="shared" si="536"/>
        <v>89301000</v>
      </c>
      <c r="B3059" t="str">
        <f t="shared" si="545"/>
        <v>06539000</v>
      </c>
      <c r="C3059" t="str">
        <f t="shared" si="541"/>
        <v>06539003</v>
      </c>
      <c r="D3059">
        <v>89301171</v>
      </c>
      <c r="E3059" t="str">
        <f t="shared" si="546"/>
        <v>6857302034</v>
      </c>
      <c r="F3059" s="1">
        <v>44979</v>
      </c>
      <c r="G3059" t="str">
        <f t="shared" si="547"/>
        <v>91413</v>
      </c>
      <c r="H3059">
        <v>1</v>
      </c>
      <c r="I3059">
        <v>868</v>
      </c>
      <c r="J3059">
        <v>0</v>
      </c>
      <c r="K3059" t="str">
        <f t="shared" si="543"/>
        <v>813</v>
      </c>
      <c r="L3059">
        <v>729.12</v>
      </c>
    </row>
    <row r="3060" spans="1:12" x14ac:dyDescent="0.25">
      <c r="A3060" t="str">
        <f t="shared" si="536"/>
        <v>89301000</v>
      </c>
      <c r="B3060" t="str">
        <f t="shared" si="545"/>
        <v>06539000</v>
      </c>
      <c r="C3060" t="str">
        <f t="shared" si="541"/>
        <v>06539003</v>
      </c>
      <c r="D3060">
        <v>89301171</v>
      </c>
      <c r="E3060" t="str">
        <f t="shared" si="546"/>
        <v>6857302034</v>
      </c>
      <c r="F3060" s="1">
        <v>44977</v>
      </c>
      <c r="G3060" t="str">
        <f t="shared" si="547"/>
        <v>91413</v>
      </c>
      <c r="H3060">
        <v>1</v>
      </c>
      <c r="I3060">
        <v>868</v>
      </c>
      <c r="J3060">
        <v>0</v>
      </c>
      <c r="K3060" t="str">
        <f t="shared" si="543"/>
        <v>813</v>
      </c>
      <c r="L3060">
        <v>729.12</v>
      </c>
    </row>
    <row r="3061" spans="1:12" x14ac:dyDescent="0.25">
      <c r="A3061" t="str">
        <f t="shared" si="536"/>
        <v>89301000</v>
      </c>
      <c r="B3061" t="str">
        <f t="shared" si="545"/>
        <v>06539000</v>
      </c>
      <c r="C3061" t="str">
        <f t="shared" si="541"/>
        <v>06539003</v>
      </c>
      <c r="D3061">
        <v>89301171</v>
      </c>
      <c r="E3061" t="str">
        <f t="shared" si="546"/>
        <v>6857302034</v>
      </c>
      <c r="F3061" s="1">
        <v>44977</v>
      </c>
      <c r="G3061" t="str">
        <f t="shared" si="547"/>
        <v>91413</v>
      </c>
      <c r="H3061">
        <v>1</v>
      </c>
      <c r="I3061">
        <v>868</v>
      </c>
      <c r="J3061">
        <v>0</v>
      </c>
      <c r="K3061" t="str">
        <f t="shared" si="543"/>
        <v>813</v>
      </c>
      <c r="L3061">
        <v>729.12</v>
      </c>
    </row>
    <row r="3062" spans="1:12" x14ac:dyDescent="0.25">
      <c r="A3062" t="str">
        <f t="shared" si="536"/>
        <v>89301000</v>
      </c>
      <c r="B3062" t="str">
        <f t="shared" si="545"/>
        <v>06539000</v>
      </c>
      <c r="C3062" t="str">
        <f t="shared" si="541"/>
        <v>06539003</v>
      </c>
      <c r="D3062">
        <v>89301171</v>
      </c>
      <c r="E3062" t="str">
        <f t="shared" si="546"/>
        <v>6857302034</v>
      </c>
      <c r="F3062" s="1">
        <v>44987</v>
      </c>
      <c r="G3062" t="str">
        <f t="shared" si="547"/>
        <v>91413</v>
      </c>
      <c r="H3062">
        <v>1</v>
      </c>
      <c r="I3062">
        <v>868</v>
      </c>
      <c r="J3062">
        <v>0</v>
      </c>
      <c r="K3062" t="str">
        <f t="shared" si="543"/>
        <v>813</v>
      </c>
      <c r="L3062">
        <v>729.12</v>
      </c>
    </row>
    <row r="3063" spans="1:12" x14ac:dyDescent="0.25">
      <c r="A3063" t="str">
        <f t="shared" si="536"/>
        <v>89301000</v>
      </c>
      <c r="B3063" t="str">
        <f t="shared" si="545"/>
        <v>06539000</v>
      </c>
      <c r="C3063" t="str">
        <f t="shared" si="541"/>
        <v>06539003</v>
      </c>
      <c r="D3063">
        <v>89301171</v>
      </c>
      <c r="E3063" t="str">
        <f t="shared" si="546"/>
        <v>6857302034</v>
      </c>
      <c r="F3063" s="1">
        <v>44987</v>
      </c>
      <c r="G3063" t="str">
        <f t="shared" si="547"/>
        <v>91413</v>
      </c>
      <c r="H3063">
        <v>1</v>
      </c>
      <c r="I3063">
        <v>868</v>
      </c>
      <c r="J3063">
        <v>0</v>
      </c>
      <c r="K3063" t="str">
        <f t="shared" si="543"/>
        <v>813</v>
      </c>
      <c r="L3063">
        <v>729.12</v>
      </c>
    </row>
    <row r="3064" spans="1:12" x14ac:dyDescent="0.25">
      <c r="A3064" t="str">
        <f t="shared" si="536"/>
        <v>89301000</v>
      </c>
      <c r="B3064" t="str">
        <f t="shared" si="545"/>
        <v>06539000</v>
      </c>
      <c r="C3064" t="str">
        <f t="shared" si="541"/>
        <v>06539003</v>
      </c>
      <c r="D3064">
        <v>89301171</v>
      </c>
      <c r="E3064" t="str">
        <f t="shared" si="546"/>
        <v>6857302034</v>
      </c>
      <c r="F3064" s="1">
        <v>44987</v>
      </c>
      <c r="G3064" t="str">
        <f t="shared" si="547"/>
        <v>91413</v>
      </c>
      <c r="H3064">
        <v>1</v>
      </c>
      <c r="I3064">
        <v>868</v>
      </c>
      <c r="J3064">
        <v>0</v>
      </c>
      <c r="K3064" t="str">
        <f t="shared" si="543"/>
        <v>813</v>
      </c>
      <c r="L3064">
        <v>729.12</v>
      </c>
    </row>
    <row r="3065" spans="1:12" x14ac:dyDescent="0.25">
      <c r="A3065" t="str">
        <f t="shared" si="536"/>
        <v>89301000</v>
      </c>
      <c r="B3065" t="str">
        <f t="shared" si="545"/>
        <v>06539000</v>
      </c>
      <c r="C3065" t="str">
        <f t="shared" si="541"/>
        <v>06539003</v>
      </c>
      <c r="D3065">
        <v>89301171</v>
      </c>
      <c r="E3065" t="str">
        <f t="shared" si="546"/>
        <v>6857302034</v>
      </c>
      <c r="F3065" s="1">
        <v>44987</v>
      </c>
      <c r="G3065" t="str">
        <f t="shared" si="547"/>
        <v>91413</v>
      </c>
      <c r="H3065">
        <v>1</v>
      </c>
      <c r="I3065">
        <v>868</v>
      </c>
      <c r="J3065">
        <v>0</v>
      </c>
      <c r="K3065" t="str">
        <f t="shared" si="543"/>
        <v>813</v>
      </c>
      <c r="L3065">
        <v>729.12</v>
      </c>
    </row>
    <row r="3066" spans="1:12" x14ac:dyDescent="0.25">
      <c r="A3066" t="str">
        <f t="shared" si="536"/>
        <v>89301000</v>
      </c>
      <c r="B3066" t="str">
        <f t="shared" si="545"/>
        <v>06539000</v>
      </c>
      <c r="C3066" t="str">
        <f t="shared" si="541"/>
        <v>06539003</v>
      </c>
      <c r="D3066">
        <v>89301171</v>
      </c>
      <c r="E3066" t="str">
        <f t="shared" si="546"/>
        <v>6857302034</v>
      </c>
      <c r="F3066" s="1">
        <v>44987</v>
      </c>
      <c r="G3066" t="str">
        <f>"91475"</f>
        <v>91475</v>
      </c>
      <c r="H3066">
        <v>1</v>
      </c>
      <c r="I3066">
        <v>213</v>
      </c>
      <c r="J3066">
        <v>0</v>
      </c>
      <c r="K3066" t="str">
        <f t="shared" si="543"/>
        <v>813</v>
      </c>
      <c r="L3066">
        <v>178.92</v>
      </c>
    </row>
    <row r="3067" spans="1:12" x14ac:dyDescent="0.25">
      <c r="A3067" t="str">
        <f t="shared" si="536"/>
        <v>89301000</v>
      </c>
      <c r="B3067" t="str">
        <f t="shared" si="545"/>
        <v>06539000</v>
      </c>
      <c r="C3067" t="str">
        <f>"06539001"</f>
        <v>06539001</v>
      </c>
      <c r="D3067">
        <v>89301171</v>
      </c>
      <c r="E3067" t="str">
        <f t="shared" ref="E3067:E3108" si="548">"5806160613"</f>
        <v>5806160613</v>
      </c>
      <c r="F3067" s="1">
        <v>44967</v>
      </c>
      <c r="G3067" t="str">
        <f>"81329"</f>
        <v>81329</v>
      </c>
      <c r="H3067">
        <v>1</v>
      </c>
      <c r="I3067">
        <v>17</v>
      </c>
      <c r="J3067">
        <v>0</v>
      </c>
      <c r="K3067" t="str">
        <f>"801"</f>
        <v>801</v>
      </c>
      <c r="L3067">
        <v>14.28</v>
      </c>
    </row>
    <row r="3068" spans="1:12" x14ac:dyDescent="0.25">
      <c r="A3068" t="str">
        <f t="shared" si="536"/>
        <v>89301000</v>
      </c>
      <c r="B3068" t="str">
        <f t="shared" si="545"/>
        <v>06539000</v>
      </c>
      <c r="C3068" t="str">
        <f>"06539001"</f>
        <v>06539001</v>
      </c>
      <c r="D3068">
        <v>89301171</v>
      </c>
      <c r="E3068" t="str">
        <f t="shared" si="548"/>
        <v>5806160613</v>
      </c>
      <c r="F3068" s="1">
        <v>44967</v>
      </c>
      <c r="G3068" t="str">
        <f>"81331"</f>
        <v>81331</v>
      </c>
      <c r="H3068">
        <v>1</v>
      </c>
      <c r="I3068">
        <v>193</v>
      </c>
      <c r="J3068">
        <v>0</v>
      </c>
      <c r="K3068" t="str">
        <f>"801"</f>
        <v>801</v>
      </c>
      <c r="L3068">
        <v>162.12</v>
      </c>
    </row>
    <row r="3069" spans="1:12" x14ac:dyDescent="0.25">
      <c r="A3069" t="str">
        <f t="shared" si="536"/>
        <v>89301000</v>
      </c>
      <c r="B3069" t="str">
        <f t="shared" si="545"/>
        <v>06539000</v>
      </c>
      <c r="C3069" t="str">
        <f t="shared" ref="C3069:C3076" si="549">"06539002"</f>
        <v>06539002</v>
      </c>
      <c r="D3069">
        <v>89301171</v>
      </c>
      <c r="E3069" t="str">
        <f t="shared" si="548"/>
        <v>5806160613</v>
      </c>
      <c r="F3069" s="1">
        <v>44967</v>
      </c>
      <c r="G3069" t="str">
        <f t="shared" ref="G3069:G3076" si="550">"82097"</f>
        <v>82097</v>
      </c>
      <c r="H3069">
        <v>1</v>
      </c>
      <c r="I3069">
        <v>381</v>
      </c>
      <c r="J3069">
        <v>0</v>
      </c>
      <c r="K3069" t="str">
        <f t="shared" ref="K3069:K3076" si="551">"802"</f>
        <v>802</v>
      </c>
      <c r="L3069">
        <v>369.57</v>
      </c>
    </row>
    <row r="3070" spans="1:12" x14ac:dyDescent="0.25">
      <c r="A3070" t="str">
        <f t="shared" si="536"/>
        <v>89301000</v>
      </c>
      <c r="B3070" t="str">
        <f t="shared" si="545"/>
        <v>06539000</v>
      </c>
      <c r="C3070" t="str">
        <f t="shared" si="549"/>
        <v>06539002</v>
      </c>
      <c r="D3070">
        <v>89301171</v>
      </c>
      <c r="E3070" t="str">
        <f t="shared" si="548"/>
        <v>5806160613</v>
      </c>
      <c r="F3070" s="1">
        <v>44967</v>
      </c>
      <c r="G3070" t="str">
        <f t="shared" si="550"/>
        <v>82097</v>
      </c>
      <c r="H3070">
        <v>1</v>
      </c>
      <c r="I3070">
        <v>381</v>
      </c>
      <c r="J3070">
        <v>0</v>
      </c>
      <c r="K3070" t="str">
        <f t="shared" si="551"/>
        <v>802</v>
      </c>
      <c r="L3070">
        <v>369.57</v>
      </c>
    </row>
    <row r="3071" spans="1:12" x14ac:dyDescent="0.25">
      <c r="A3071" t="str">
        <f t="shared" si="536"/>
        <v>89301000</v>
      </c>
      <c r="B3071" t="str">
        <f t="shared" si="545"/>
        <v>06539000</v>
      </c>
      <c r="C3071" t="str">
        <f t="shared" si="549"/>
        <v>06539002</v>
      </c>
      <c r="D3071">
        <v>89301171</v>
      </c>
      <c r="E3071" t="str">
        <f t="shared" si="548"/>
        <v>5806160613</v>
      </c>
      <c r="F3071" s="1">
        <v>44967</v>
      </c>
      <c r="G3071" t="str">
        <f t="shared" si="550"/>
        <v>82097</v>
      </c>
      <c r="H3071">
        <v>1</v>
      </c>
      <c r="I3071">
        <v>381</v>
      </c>
      <c r="J3071">
        <v>0</v>
      </c>
      <c r="K3071" t="str">
        <f t="shared" si="551"/>
        <v>802</v>
      </c>
      <c r="L3071">
        <v>369.57</v>
      </c>
    </row>
    <row r="3072" spans="1:12" x14ac:dyDescent="0.25">
      <c r="A3072" t="str">
        <f t="shared" si="536"/>
        <v>89301000</v>
      </c>
      <c r="B3072" t="str">
        <f t="shared" si="545"/>
        <v>06539000</v>
      </c>
      <c r="C3072" t="str">
        <f t="shared" si="549"/>
        <v>06539002</v>
      </c>
      <c r="D3072">
        <v>89301171</v>
      </c>
      <c r="E3072" t="str">
        <f t="shared" si="548"/>
        <v>5806160613</v>
      </c>
      <c r="F3072" s="1">
        <v>44967</v>
      </c>
      <c r="G3072" t="str">
        <f t="shared" si="550"/>
        <v>82097</v>
      </c>
      <c r="H3072">
        <v>1</v>
      </c>
      <c r="I3072">
        <v>381</v>
      </c>
      <c r="J3072">
        <v>0</v>
      </c>
      <c r="K3072" t="str">
        <f t="shared" si="551"/>
        <v>802</v>
      </c>
      <c r="L3072">
        <v>369.57</v>
      </c>
    </row>
    <row r="3073" spans="1:12" x14ac:dyDescent="0.25">
      <c r="A3073" t="str">
        <f t="shared" si="536"/>
        <v>89301000</v>
      </c>
      <c r="B3073" t="str">
        <f t="shared" si="545"/>
        <v>06539000</v>
      </c>
      <c r="C3073" t="str">
        <f t="shared" si="549"/>
        <v>06539002</v>
      </c>
      <c r="D3073">
        <v>89301171</v>
      </c>
      <c r="E3073" t="str">
        <f t="shared" si="548"/>
        <v>5806160613</v>
      </c>
      <c r="F3073" s="1">
        <v>44967</v>
      </c>
      <c r="G3073" t="str">
        <f t="shared" si="550"/>
        <v>82097</v>
      </c>
      <c r="H3073">
        <v>2</v>
      </c>
      <c r="I3073">
        <v>762</v>
      </c>
      <c r="J3073">
        <v>0</v>
      </c>
      <c r="K3073" t="str">
        <f t="shared" si="551"/>
        <v>802</v>
      </c>
      <c r="L3073">
        <v>739.14</v>
      </c>
    </row>
    <row r="3074" spans="1:12" x14ac:dyDescent="0.25">
      <c r="A3074" t="str">
        <f t="shared" ref="A3074:A3137" si="552">"89301000"</f>
        <v>89301000</v>
      </c>
      <c r="B3074" t="str">
        <f t="shared" si="545"/>
        <v>06539000</v>
      </c>
      <c r="C3074" t="str">
        <f t="shared" si="549"/>
        <v>06539002</v>
      </c>
      <c r="D3074">
        <v>89301171</v>
      </c>
      <c r="E3074" t="str">
        <f t="shared" si="548"/>
        <v>5806160613</v>
      </c>
      <c r="F3074" s="1">
        <v>44967</v>
      </c>
      <c r="G3074" t="str">
        <f t="shared" si="550"/>
        <v>82097</v>
      </c>
      <c r="H3074">
        <v>2</v>
      </c>
      <c r="I3074">
        <v>762</v>
      </c>
      <c r="J3074">
        <v>0</v>
      </c>
      <c r="K3074" t="str">
        <f t="shared" si="551"/>
        <v>802</v>
      </c>
      <c r="L3074">
        <v>739.14</v>
      </c>
    </row>
    <row r="3075" spans="1:12" x14ac:dyDescent="0.25">
      <c r="A3075" t="str">
        <f t="shared" si="552"/>
        <v>89301000</v>
      </c>
      <c r="B3075" t="str">
        <f t="shared" si="545"/>
        <v>06539000</v>
      </c>
      <c r="C3075" t="str">
        <f t="shared" si="549"/>
        <v>06539002</v>
      </c>
      <c r="D3075">
        <v>89301171</v>
      </c>
      <c r="E3075" t="str">
        <f t="shared" si="548"/>
        <v>5806160613</v>
      </c>
      <c r="F3075" s="1">
        <v>44967</v>
      </c>
      <c r="G3075" t="str">
        <f t="shared" si="550"/>
        <v>82097</v>
      </c>
      <c r="H3075">
        <v>1</v>
      </c>
      <c r="I3075">
        <v>381</v>
      </c>
      <c r="J3075">
        <v>0</v>
      </c>
      <c r="K3075" t="str">
        <f t="shared" si="551"/>
        <v>802</v>
      </c>
      <c r="L3075">
        <v>369.57</v>
      </c>
    </row>
    <row r="3076" spans="1:12" x14ac:dyDescent="0.25">
      <c r="A3076" t="str">
        <f t="shared" si="552"/>
        <v>89301000</v>
      </c>
      <c r="B3076" t="str">
        <f t="shared" si="545"/>
        <v>06539000</v>
      </c>
      <c r="C3076" t="str">
        <f t="shared" si="549"/>
        <v>06539002</v>
      </c>
      <c r="D3076">
        <v>89301171</v>
      </c>
      <c r="E3076" t="str">
        <f t="shared" si="548"/>
        <v>5806160613</v>
      </c>
      <c r="F3076" s="1">
        <v>44967</v>
      </c>
      <c r="G3076" t="str">
        <f t="shared" si="550"/>
        <v>82097</v>
      </c>
      <c r="H3076">
        <v>1</v>
      </c>
      <c r="I3076">
        <v>381</v>
      </c>
      <c r="J3076">
        <v>0</v>
      </c>
      <c r="K3076" t="str">
        <f t="shared" si="551"/>
        <v>802</v>
      </c>
      <c r="L3076">
        <v>369.57</v>
      </c>
    </row>
    <row r="3077" spans="1:12" x14ac:dyDescent="0.25">
      <c r="A3077" t="str">
        <f t="shared" si="552"/>
        <v>89301000</v>
      </c>
      <c r="B3077" t="str">
        <f t="shared" si="545"/>
        <v>06539000</v>
      </c>
      <c r="C3077" t="str">
        <f t="shared" ref="C3077:C3108" si="553">"06539003"</f>
        <v>06539003</v>
      </c>
      <c r="D3077">
        <v>89301171</v>
      </c>
      <c r="E3077" t="str">
        <f t="shared" si="548"/>
        <v>5806160613</v>
      </c>
      <c r="F3077" s="1">
        <v>44970</v>
      </c>
      <c r="G3077" t="str">
        <f t="shared" ref="G3077:G3086" si="554">"91413"</f>
        <v>91413</v>
      </c>
      <c r="H3077">
        <v>1</v>
      </c>
      <c r="I3077">
        <v>868</v>
      </c>
      <c r="J3077">
        <v>0</v>
      </c>
      <c r="K3077" t="str">
        <f t="shared" ref="K3077:K3108" si="555">"813"</f>
        <v>813</v>
      </c>
      <c r="L3077">
        <v>729.12</v>
      </c>
    </row>
    <row r="3078" spans="1:12" x14ac:dyDescent="0.25">
      <c r="A3078" t="str">
        <f t="shared" si="552"/>
        <v>89301000</v>
      </c>
      <c r="B3078" t="str">
        <f t="shared" si="545"/>
        <v>06539000</v>
      </c>
      <c r="C3078" t="str">
        <f t="shared" si="553"/>
        <v>06539003</v>
      </c>
      <c r="D3078">
        <v>89301171</v>
      </c>
      <c r="E3078" t="str">
        <f t="shared" si="548"/>
        <v>5806160613</v>
      </c>
      <c r="F3078" s="1">
        <v>44970</v>
      </c>
      <c r="G3078" t="str">
        <f t="shared" si="554"/>
        <v>91413</v>
      </c>
      <c r="H3078">
        <v>1</v>
      </c>
      <c r="I3078">
        <v>868</v>
      </c>
      <c r="J3078">
        <v>0</v>
      </c>
      <c r="K3078" t="str">
        <f t="shared" si="555"/>
        <v>813</v>
      </c>
      <c r="L3078">
        <v>729.12</v>
      </c>
    </row>
    <row r="3079" spans="1:12" x14ac:dyDescent="0.25">
      <c r="A3079" t="str">
        <f t="shared" si="552"/>
        <v>89301000</v>
      </c>
      <c r="B3079" t="str">
        <f t="shared" si="545"/>
        <v>06539000</v>
      </c>
      <c r="C3079" t="str">
        <f t="shared" si="553"/>
        <v>06539003</v>
      </c>
      <c r="D3079">
        <v>89301171</v>
      </c>
      <c r="E3079" t="str">
        <f t="shared" si="548"/>
        <v>5806160613</v>
      </c>
      <c r="F3079" s="1">
        <v>44984</v>
      </c>
      <c r="G3079" t="str">
        <f t="shared" si="554"/>
        <v>91413</v>
      </c>
      <c r="H3079">
        <v>1</v>
      </c>
      <c r="I3079">
        <v>868</v>
      </c>
      <c r="J3079">
        <v>0</v>
      </c>
      <c r="K3079" t="str">
        <f t="shared" si="555"/>
        <v>813</v>
      </c>
      <c r="L3079">
        <v>729.12</v>
      </c>
    </row>
    <row r="3080" spans="1:12" x14ac:dyDescent="0.25">
      <c r="A3080" t="str">
        <f t="shared" si="552"/>
        <v>89301000</v>
      </c>
      <c r="B3080" t="str">
        <f t="shared" si="545"/>
        <v>06539000</v>
      </c>
      <c r="C3080" t="str">
        <f t="shared" si="553"/>
        <v>06539003</v>
      </c>
      <c r="D3080">
        <v>89301171</v>
      </c>
      <c r="E3080" t="str">
        <f t="shared" si="548"/>
        <v>5806160613</v>
      </c>
      <c r="F3080" s="1">
        <v>44984</v>
      </c>
      <c r="G3080" t="str">
        <f t="shared" si="554"/>
        <v>91413</v>
      </c>
      <c r="H3080">
        <v>1</v>
      </c>
      <c r="I3080">
        <v>868</v>
      </c>
      <c r="J3080">
        <v>0</v>
      </c>
      <c r="K3080" t="str">
        <f t="shared" si="555"/>
        <v>813</v>
      </c>
      <c r="L3080">
        <v>729.12</v>
      </c>
    </row>
    <row r="3081" spans="1:12" x14ac:dyDescent="0.25">
      <c r="A3081" t="str">
        <f t="shared" si="552"/>
        <v>89301000</v>
      </c>
      <c r="B3081" t="str">
        <f t="shared" si="545"/>
        <v>06539000</v>
      </c>
      <c r="C3081" t="str">
        <f t="shared" si="553"/>
        <v>06539003</v>
      </c>
      <c r="D3081">
        <v>89301171</v>
      </c>
      <c r="E3081" t="str">
        <f t="shared" si="548"/>
        <v>5806160613</v>
      </c>
      <c r="F3081" s="1">
        <v>44984</v>
      </c>
      <c r="G3081" t="str">
        <f t="shared" si="554"/>
        <v>91413</v>
      </c>
      <c r="H3081">
        <v>1</v>
      </c>
      <c r="I3081">
        <v>868</v>
      </c>
      <c r="J3081">
        <v>0</v>
      </c>
      <c r="K3081" t="str">
        <f t="shared" si="555"/>
        <v>813</v>
      </c>
      <c r="L3081">
        <v>729.12</v>
      </c>
    </row>
    <row r="3082" spans="1:12" x14ac:dyDescent="0.25">
      <c r="A3082" t="str">
        <f t="shared" si="552"/>
        <v>89301000</v>
      </c>
      <c r="B3082" t="str">
        <f t="shared" si="545"/>
        <v>06539000</v>
      </c>
      <c r="C3082" t="str">
        <f t="shared" si="553"/>
        <v>06539003</v>
      </c>
      <c r="D3082">
        <v>89301171</v>
      </c>
      <c r="E3082" t="str">
        <f t="shared" si="548"/>
        <v>5806160613</v>
      </c>
      <c r="F3082" s="1">
        <v>44984</v>
      </c>
      <c r="G3082" t="str">
        <f t="shared" si="554"/>
        <v>91413</v>
      </c>
      <c r="H3082">
        <v>1</v>
      </c>
      <c r="I3082">
        <v>868</v>
      </c>
      <c r="J3082">
        <v>0</v>
      </c>
      <c r="K3082" t="str">
        <f t="shared" si="555"/>
        <v>813</v>
      </c>
      <c r="L3082">
        <v>729.12</v>
      </c>
    </row>
    <row r="3083" spans="1:12" x14ac:dyDescent="0.25">
      <c r="A3083" t="str">
        <f t="shared" si="552"/>
        <v>89301000</v>
      </c>
      <c r="B3083" t="str">
        <f t="shared" si="545"/>
        <v>06539000</v>
      </c>
      <c r="C3083" t="str">
        <f t="shared" si="553"/>
        <v>06539003</v>
      </c>
      <c r="D3083">
        <v>89301171</v>
      </c>
      <c r="E3083" t="str">
        <f t="shared" si="548"/>
        <v>5806160613</v>
      </c>
      <c r="F3083" s="1">
        <v>44994</v>
      </c>
      <c r="G3083" t="str">
        <f t="shared" si="554"/>
        <v>91413</v>
      </c>
      <c r="H3083">
        <v>1</v>
      </c>
      <c r="I3083">
        <v>868</v>
      </c>
      <c r="J3083">
        <v>0</v>
      </c>
      <c r="K3083" t="str">
        <f t="shared" si="555"/>
        <v>813</v>
      </c>
      <c r="L3083">
        <v>729.12</v>
      </c>
    </row>
    <row r="3084" spans="1:12" x14ac:dyDescent="0.25">
      <c r="A3084" t="str">
        <f t="shared" si="552"/>
        <v>89301000</v>
      </c>
      <c r="B3084" t="str">
        <f t="shared" si="545"/>
        <v>06539000</v>
      </c>
      <c r="C3084" t="str">
        <f t="shared" si="553"/>
        <v>06539003</v>
      </c>
      <c r="D3084">
        <v>89301171</v>
      </c>
      <c r="E3084" t="str">
        <f t="shared" si="548"/>
        <v>5806160613</v>
      </c>
      <c r="F3084" s="1">
        <v>44994</v>
      </c>
      <c r="G3084" t="str">
        <f t="shared" si="554"/>
        <v>91413</v>
      </c>
      <c r="H3084">
        <v>1</v>
      </c>
      <c r="I3084">
        <v>868</v>
      </c>
      <c r="J3084">
        <v>0</v>
      </c>
      <c r="K3084" t="str">
        <f t="shared" si="555"/>
        <v>813</v>
      </c>
      <c r="L3084">
        <v>729.12</v>
      </c>
    </row>
    <row r="3085" spans="1:12" x14ac:dyDescent="0.25">
      <c r="A3085" t="str">
        <f t="shared" si="552"/>
        <v>89301000</v>
      </c>
      <c r="B3085" t="str">
        <f t="shared" si="545"/>
        <v>06539000</v>
      </c>
      <c r="C3085" t="str">
        <f t="shared" si="553"/>
        <v>06539003</v>
      </c>
      <c r="D3085">
        <v>89301171</v>
      </c>
      <c r="E3085" t="str">
        <f t="shared" si="548"/>
        <v>5806160613</v>
      </c>
      <c r="F3085" s="1">
        <v>44994</v>
      </c>
      <c r="G3085" t="str">
        <f t="shared" si="554"/>
        <v>91413</v>
      </c>
      <c r="H3085">
        <v>1</v>
      </c>
      <c r="I3085">
        <v>868</v>
      </c>
      <c r="J3085">
        <v>0</v>
      </c>
      <c r="K3085" t="str">
        <f t="shared" si="555"/>
        <v>813</v>
      </c>
      <c r="L3085">
        <v>729.12</v>
      </c>
    </row>
    <row r="3086" spans="1:12" x14ac:dyDescent="0.25">
      <c r="A3086" t="str">
        <f t="shared" si="552"/>
        <v>89301000</v>
      </c>
      <c r="B3086" t="str">
        <f t="shared" si="545"/>
        <v>06539000</v>
      </c>
      <c r="C3086" t="str">
        <f t="shared" si="553"/>
        <v>06539003</v>
      </c>
      <c r="D3086">
        <v>89301171</v>
      </c>
      <c r="E3086" t="str">
        <f t="shared" si="548"/>
        <v>5806160613</v>
      </c>
      <c r="F3086" s="1">
        <v>44994</v>
      </c>
      <c r="G3086" t="str">
        <f t="shared" si="554"/>
        <v>91413</v>
      </c>
      <c r="H3086">
        <v>1</v>
      </c>
      <c r="I3086">
        <v>868</v>
      </c>
      <c r="J3086">
        <v>0</v>
      </c>
      <c r="K3086" t="str">
        <f t="shared" si="555"/>
        <v>813</v>
      </c>
      <c r="L3086">
        <v>729.12</v>
      </c>
    </row>
    <row r="3087" spans="1:12" x14ac:dyDescent="0.25">
      <c r="A3087" t="str">
        <f t="shared" si="552"/>
        <v>89301000</v>
      </c>
      <c r="B3087" t="str">
        <f t="shared" si="545"/>
        <v>06539000</v>
      </c>
      <c r="C3087" t="str">
        <f t="shared" si="553"/>
        <v>06539003</v>
      </c>
      <c r="D3087">
        <v>89301171</v>
      </c>
      <c r="E3087" t="str">
        <f t="shared" si="548"/>
        <v>5806160613</v>
      </c>
      <c r="F3087" s="1">
        <v>44967</v>
      </c>
      <c r="G3087" t="str">
        <f t="shared" ref="G3087:G3093" si="556">"91197"</f>
        <v>91197</v>
      </c>
      <c r="H3087">
        <v>1</v>
      </c>
      <c r="I3087">
        <v>1048</v>
      </c>
      <c r="J3087">
        <v>0</v>
      </c>
      <c r="K3087" t="str">
        <f t="shared" si="555"/>
        <v>813</v>
      </c>
      <c r="L3087">
        <v>880.32</v>
      </c>
    </row>
    <row r="3088" spans="1:12" x14ac:dyDescent="0.25">
      <c r="A3088" t="str">
        <f t="shared" si="552"/>
        <v>89301000</v>
      </c>
      <c r="B3088" t="str">
        <f t="shared" si="545"/>
        <v>06539000</v>
      </c>
      <c r="C3088" t="str">
        <f t="shared" si="553"/>
        <v>06539003</v>
      </c>
      <c r="D3088">
        <v>89301171</v>
      </c>
      <c r="E3088" t="str">
        <f t="shared" si="548"/>
        <v>5806160613</v>
      </c>
      <c r="F3088" s="1">
        <v>44970</v>
      </c>
      <c r="G3088" t="str">
        <f t="shared" si="556"/>
        <v>91197</v>
      </c>
      <c r="H3088">
        <v>1</v>
      </c>
      <c r="I3088">
        <v>1048</v>
      </c>
      <c r="J3088">
        <v>0</v>
      </c>
      <c r="K3088" t="str">
        <f t="shared" si="555"/>
        <v>813</v>
      </c>
      <c r="L3088">
        <v>880.32</v>
      </c>
    </row>
    <row r="3089" spans="1:12" x14ac:dyDescent="0.25">
      <c r="A3089" t="str">
        <f t="shared" si="552"/>
        <v>89301000</v>
      </c>
      <c r="B3089" t="str">
        <f t="shared" si="545"/>
        <v>06539000</v>
      </c>
      <c r="C3089" t="str">
        <f t="shared" si="553"/>
        <v>06539003</v>
      </c>
      <c r="D3089">
        <v>89301171</v>
      </c>
      <c r="E3089" t="str">
        <f t="shared" si="548"/>
        <v>5806160613</v>
      </c>
      <c r="F3089" s="1">
        <v>44970</v>
      </c>
      <c r="G3089" t="str">
        <f t="shared" si="556"/>
        <v>91197</v>
      </c>
      <c r="H3089">
        <v>1</v>
      </c>
      <c r="I3089">
        <v>1048</v>
      </c>
      <c r="J3089">
        <v>0</v>
      </c>
      <c r="K3089" t="str">
        <f t="shared" si="555"/>
        <v>813</v>
      </c>
      <c r="L3089">
        <v>880.32</v>
      </c>
    </row>
    <row r="3090" spans="1:12" x14ac:dyDescent="0.25">
      <c r="A3090" t="str">
        <f t="shared" si="552"/>
        <v>89301000</v>
      </c>
      <c r="B3090" t="str">
        <f t="shared" si="545"/>
        <v>06539000</v>
      </c>
      <c r="C3090" t="str">
        <f t="shared" si="553"/>
        <v>06539003</v>
      </c>
      <c r="D3090">
        <v>89301171</v>
      </c>
      <c r="E3090" t="str">
        <f t="shared" si="548"/>
        <v>5806160613</v>
      </c>
      <c r="F3090" s="1">
        <v>44969</v>
      </c>
      <c r="G3090" t="str">
        <f t="shared" si="556"/>
        <v>91197</v>
      </c>
      <c r="H3090">
        <v>1</v>
      </c>
      <c r="I3090">
        <v>1048</v>
      </c>
      <c r="J3090">
        <v>0</v>
      </c>
      <c r="K3090" t="str">
        <f t="shared" si="555"/>
        <v>813</v>
      </c>
      <c r="L3090">
        <v>880.32</v>
      </c>
    </row>
    <row r="3091" spans="1:12" x14ac:dyDescent="0.25">
      <c r="A3091" t="str">
        <f t="shared" si="552"/>
        <v>89301000</v>
      </c>
      <c r="B3091" t="str">
        <f t="shared" si="545"/>
        <v>06539000</v>
      </c>
      <c r="C3091" t="str">
        <f t="shared" si="553"/>
        <v>06539003</v>
      </c>
      <c r="D3091">
        <v>89301171</v>
      </c>
      <c r="E3091" t="str">
        <f t="shared" si="548"/>
        <v>5806160613</v>
      </c>
      <c r="F3091" s="1">
        <v>44969</v>
      </c>
      <c r="G3091" t="str">
        <f t="shared" si="556"/>
        <v>91197</v>
      </c>
      <c r="H3091">
        <v>1</v>
      </c>
      <c r="I3091">
        <v>1048</v>
      </c>
      <c r="J3091">
        <v>0</v>
      </c>
      <c r="K3091" t="str">
        <f t="shared" si="555"/>
        <v>813</v>
      </c>
      <c r="L3091">
        <v>880.32</v>
      </c>
    </row>
    <row r="3092" spans="1:12" x14ac:dyDescent="0.25">
      <c r="A3092" t="str">
        <f t="shared" si="552"/>
        <v>89301000</v>
      </c>
      <c r="B3092" t="str">
        <f t="shared" si="545"/>
        <v>06539000</v>
      </c>
      <c r="C3092" t="str">
        <f t="shared" si="553"/>
        <v>06539003</v>
      </c>
      <c r="D3092">
        <v>89301171</v>
      </c>
      <c r="E3092" t="str">
        <f t="shared" si="548"/>
        <v>5806160613</v>
      </c>
      <c r="F3092" s="1">
        <v>44968</v>
      </c>
      <c r="G3092" t="str">
        <f t="shared" si="556"/>
        <v>91197</v>
      </c>
      <c r="H3092">
        <v>1</v>
      </c>
      <c r="I3092">
        <v>1048</v>
      </c>
      <c r="J3092">
        <v>0</v>
      </c>
      <c r="K3092" t="str">
        <f t="shared" si="555"/>
        <v>813</v>
      </c>
      <c r="L3092">
        <v>880.32</v>
      </c>
    </row>
    <row r="3093" spans="1:12" x14ac:dyDescent="0.25">
      <c r="A3093" t="str">
        <f t="shared" si="552"/>
        <v>89301000</v>
      </c>
      <c r="B3093" t="str">
        <f t="shared" si="545"/>
        <v>06539000</v>
      </c>
      <c r="C3093" t="str">
        <f t="shared" si="553"/>
        <v>06539003</v>
      </c>
      <c r="D3093">
        <v>89301171</v>
      </c>
      <c r="E3093" t="str">
        <f t="shared" si="548"/>
        <v>5806160613</v>
      </c>
      <c r="F3093" s="1">
        <v>44968</v>
      </c>
      <c r="G3093" t="str">
        <f t="shared" si="556"/>
        <v>91197</v>
      </c>
      <c r="H3093">
        <v>1</v>
      </c>
      <c r="I3093">
        <v>1048</v>
      </c>
      <c r="J3093">
        <v>0</v>
      </c>
      <c r="K3093" t="str">
        <f t="shared" si="555"/>
        <v>813</v>
      </c>
      <c r="L3093">
        <v>880.32</v>
      </c>
    </row>
    <row r="3094" spans="1:12" x14ac:dyDescent="0.25">
      <c r="A3094" t="str">
        <f t="shared" si="552"/>
        <v>89301000</v>
      </c>
      <c r="B3094" t="str">
        <f t="shared" si="545"/>
        <v>06539000</v>
      </c>
      <c r="C3094" t="str">
        <f t="shared" si="553"/>
        <v>06539003</v>
      </c>
      <c r="D3094">
        <v>89301171</v>
      </c>
      <c r="E3094" t="str">
        <f t="shared" si="548"/>
        <v>5806160613</v>
      </c>
      <c r="F3094" s="1">
        <v>44970</v>
      </c>
      <c r="G3094" t="str">
        <f>"91329"</f>
        <v>91329</v>
      </c>
      <c r="H3094">
        <v>2</v>
      </c>
      <c r="I3094">
        <v>436</v>
      </c>
      <c r="J3094">
        <v>0</v>
      </c>
      <c r="K3094" t="str">
        <f t="shared" si="555"/>
        <v>813</v>
      </c>
      <c r="L3094">
        <v>366.24</v>
      </c>
    </row>
    <row r="3095" spans="1:12" x14ac:dyDescent="0.25">
      <c r="A3095" t="str">
        <f t="shared" si="552"/>
        <v>89301000</v>
      </c>
      <c r="B3095" t="str">
        <f t="shared" si="545"/>
        <v>06539000</v>
      </c>
      <c r="C3095" t="str">
        <f t="shared" si="553"/>
        <v>06539003</v>
      </c>
      <c r="D3095">
        <v>89301171</v>
      </c>
      <c r="E3095" t="str">
        <f t="shared" si="548"/>
        <v>5806160613</v>
      </c>
      <c r="F3095" s="1">
        <v>44970</v>
      </c>
      <c r="G3095" t="str">
        <f>"91329"</f>
        <v>91329</v>
      </c>
      <c r="H3095">
        <v>2</v>
      </c>
      <c r="I3095">
        <v>436</v>
      </c>
      <c r="J3095">
        <v>0</v>
      </c>
      <c r="K3095" t="str">
        <f t="shared" si="555"/>
        <v>813</v>
      </c>
      <c r="L3095">
        <v>366.24</v>
      </c>
    </row>
    <row r="3096" spans="1:12" x14ac:dyDescent="0.25">
      <c r="A3096" t="str">
        <f t="shared" si="552"/>
        <v>89301000</v>
      </c>
      <c r="B3096" t="str">
        <f t="shared" si="545"/>
        <v>06539000</v>
      </c>
      <c r="C3096" t="str">
        <f t="shared" si="553"/>
        <v>06539003</v>
      </c>
      <c r="D3096">
        <v>89301171</v>
      </c>
      <c r="E3096" t="str">
        <f t="shared" si="548"/>
        <v>5806160613</v>
      </c>
      <c r="F3096" s="1">
        <v>44970</v>
      </c>
      <c r="G3096" t="str">
        <f>"91329"</f>
        <v>91329</v>
      </c>
      <c r="H3096">
        <v>2</v>
      </c>
      <c r="I3096">
        <v>436</v>
      </c>
      <c r="J3096">
        <v>0</v>
      </c>
      <c r="K3096" t="str">
        <f t="shared" si="555"/>
        <v>813</v>
      </c>
      <c r="L3096">
        <v>366.24</v>
      </c>
    </row>
    <row r="3097" spans="1:12" x14ac:dyDescent="0.25">
      <c r="A3097" t="str">
        <f t="shared" si="552"/>
        <v>89301000</v>
      </c>
      <c r="B3097" t="str">
        <f t="shared" si="545"/>
        <v>06539000</v>
      </c>
      <c r="C3097" t="str">
        <f t="shared" si="553"/>
        <v>06539003</v>
      </c>
      <c r="D3097">
        <v>89301171</v>
      </c>
      <c r="E3097" t="str">
        <f t="shared" si="548"/>
        <v>5806160613</v>
      </c>
      <c r="F3097" s="1">
        <v>44970</v>
      </c>
      <c r="G3097" t="str">
        <f>"91329"</f>
        <v>91329</v>
      </c>
      <c r="H3097">
        <v>2</v>
      </c>
      <c r="I3097">
        <v>436</v>
      </c>
      <c r="J3097">
        <v>0</v>
      </c>
      <c r="K3097" t="str">
        <f t="shared" si="555"/>
        <v>813</v>
      </c>
      <c r="L3097">
        <v>366.24</v>
      </c>
    </row>
    <row r="3098" spans="1:12" x14ac:dyDescent="0.25">
      <c r="A3098" t="str">
        <f t="shared" si="552"/>
        <v>89301000</v>
      </c>
      <c r="B3098" t="str">
        <f t="shared" si="545"/>
        <v>06539000</v>
      </c>
      <c r="C3098" t="str">
        <f t="shared" si="553"/>
        <v>06539003</v>
      </c>
      <c r="D3098">
        <v>89301171</v>
      </c>
      <c r="E3098" t="str">
        <f t="shared" si="548"/>
        <v>5806160613</v>
      </c>
      <c r="F3098" s="1">
        <v>44967</v>
      </c>
      <c r="G3098" t="str">
        <f>"91129"</f>
        <v>91129</v>
      </c>
      <c r="H3098">
        <v>1</v>
      </c>
      <c r="I3098">
        <v>175</v>
      </c>
      <c r="J3098">
        <v>0</v>
      </c>
      <c r="K3098" t="str">
        <f t="shared" si="555"/>
        <v>813</v>
      </c>
      <c r="L3098">
        <v>147</v>
      </c>
    </row>
    <row r="3099" spans="1:12" x14ac:dyDescent="0.25">
      <c r="A3099" t="str">
        <f t="shared" si="552"/>
        <v>89301000</v>
      </c>
      <c r="B3099" t="str">
        <f t="shared" si="545"/>
        <v>06539000</v>
      </c>
      <c r="C3099" t="str">
        <f t="shared" si="553"/>
        <v>06539003</v>
      </c>
      <c r="D3099">
        <v>89301171</v>
      </c>
      <c r="E3099" t="str">
        <f t="shared" si="548"/>
        <v>5806160613</v>
      </c>
      <c r="F3099" s="1">
        <v>44967</v>
      </c>
      <c r="G3099" t="str">
        <f>"91131"</f>
        <v>91131</v>
      </c>
      <c r="H3099">
        <v>1</v>
      </c>
      <c r="I3099">
        <v>171</v>
      </c>
      <c r="J3099">
        <v>0</v>
      </c>
      <c r="K3099" t="str">
        <f t="shared" si="555"/>
        <v>813</v>
      </c>
      <c r="L3099">
        <v>143.63999999999999</v>
      </c>
    </row>
    <row r="3100" spans="1:12" x14ac:dyDescent="0.25">
      <c r="A3100" t="str">
        <f t="shared" si="552"/>
        <v>89301000</v>
      </c>
      <c r="B3100" t="str">
        <f t="shared" si="545"/>
        <v>06539000</v>
      </c>
      <c r="C3100" t="str">
        <f t="shared" si="553"/>
        <v>06539003</v>
      </c>
      <c r="D3100">
        <v>89301171</v>
      </c>
      <c r="E3100" t="str">
        <f t="shared" si="548"/>
        <v>5806160613</v>
      </c>
      <c r="F3100" s="1">
        <v>44967</v>
      </c>
      <c r="G3100" t="str">
        <f>"91133"</f>
        <v>91133</v>
      </c>
      <c r="H3100">
        <v>1</v>
      </c>
      <c r="I3100">
        <v>177</v>
      </c>
      <c r="J3100">
        <v>0</v>
      </c>
      <c r="K3100" t="str">
        <f t="shared" si="555"/>
        <v>813</v>
      </c>
      <c r="L3100">
        <v>148.68</v>
      </c>
    </row>
    <row r="3101" spans="1:12" x14ac:dyDescent="0.25">
      <c r="A3101" t="str">
        <f t="shared" si="552"/>
        <v>89301000</v>
      </c>
      <c r="B3101" t="str">
        <f t="shared" si="545"/>
        <v>06539000</v>
      </c>
      <c r="C3101" t="str">
        <f t="shared" si="553"/>
        <v>06539003</v>
      </c>
      <c r="D3101">
        <v>89301171</v>
      </c>
      <c r="E3101" t="str">
        <f t="shared" si="548"/>
        <v>5806160613</v>
      </c>
      <c r="F3101" s="1">
        <v>44967</v>
      </c>
      <c r="G3101" t="str">
        <f>"91171"</f>
        <v>91171</v>
      </c>
      <c r="H3101">
        <v>1</v>
      </c>
      <c r="I3101">
        <v>362</v>
      </c>
      <c r="J3101">
        <v>0</v>
      </c>
      <c r="K3101" t="str">
        <f t="shared" si="555"/>
        <v>813</v>
      </c>
      <c r="L3101">
        <v>304.08</v>
      </c>
    </row>
    <row r="3102" spans="1:12" x14ac:dyDescent="0.25">
      <c r="A3102" t="str">
        <f t="shared" si="552"/>
        <v>89301000</v>
      </c>
      <c r="B3102" t="str">
        <f t="shared" ref="B3102:B3165" si="557">"06539000"</f>
        <v>06539000</v>
      </c>
      <c r="C3102" t="str">
        <f t="shared" si="553"/>
        <v>06539003</v>
      </c>
      <c r="D3102">
        <v>89301171</v>
      </c>
      <c r="E3102" t="str">
        <f t="shared" si="548"/>
        <v>5806160613</v>
      </c>
      <c r="F3102" s="1">
        <v>44967</v>
      </c>
      <c r="G3102" t="str">
        <f>"91173"</f>
        <v>91173</v>
      </c>
      <c r="H3102">
        <v>1</v>
      </c>
      <c r="I3102">
        <v>337</v>
      </c>
      <c r="J3102">
        <v>0</v>
      </c>
      <c r="K3102" t="str">
        <f t="shared" si="555"/>
        <v>813</v>
      </c>
      <c r="L3102">
        <v>283.08</v>
      </c>
    </row>
    <row r="3103" spans="1:12" x14ac:dyDescent="0.25">
      <c r="A3103" t="str">
        <f t="shared" si="552"/>
        <v>89301000</v>
      </c>
      <c r="B3103" t="str">
        <f t="shared" si="557"/>
        <v>06539000</v>
      </c>
      <c r="C3103" t="str">
        <f t="shared" si="553"/>
        <v>06539003</v>
      </c>
      <c r="D3103">
        <v>89301171</v>
      </c>
      <c r="E3103" t="str">
        <f t="shared" si="548"/>
        <v>5806160613</v>
      </c>
      <c r="F3103" s="1">
        <v>44967</v>
      </c>
      <c r="G3103" t="str">
        <f>"91175"</f>
        <v>91175</v>
      </c>
      <c r="H3103">
        <v>1</v>
      </c>
      <c r="I3103">
        <v>362</v>
      </c>
      <c r="J3103">
        <v>0</v>
      </c>
      <c r="K3103" t="str">
        <f t="shared" si="555"/>
        <v>813</v>
      </c>
      <c r="L3103">
        <v>304.08</v>
      </c>
    </row>
    <row r="3104" spans="1:12" x14ac:dyDescent="0.25">
      <c r="A3104" t="str">
        <f t="shared" si="552"/>
        <v>89301000</v>
      </c>
      <c r="B3104" t="str">
        <f t="shared" si="557"/>
        <v>06539000</v>
      </c>
      <c r="C3104" t="str">
        <f t="shared" si="553"/>
        <v>06539003</v>
      </c>
      <c r="D3104">
        <v>89301171</v>
      </c>
      <c r="E3104" t="str">
        <f t="shared" si="548"/>
        <v>5806160613</v>
      </c>
      <c r="F3104" s="1">
        <v>44968</v>
      </c>
      <c r="G3104" t="str">
        <f>"91167"</f>
        <v>91167</v>
      </c>
      <c r="H3104">
        <v>1</v>
      </c>
      <c r="I3104">
        <v>426</v>
      </c>
      <c r="J3104">
        <v>0</v>
      </c>
      <c r="K3104" t="str">
        <f t="shared" si="555"/>
        <v>813</v>
      </c>
      <c r="L3104">
        <v>357.84</v>
      </c>
    </row>
    <row r="3105" spans="1:12" x14ac:dyDescent="0.25">
      <c r="A3105" t="str">
        <f t="shared" si="552"/>
        <v>89301000</v>
      </c>
      <c r="B3105" t="str">
        <f t="shared" si="557"/>
        <v>06539000</v>
      </c>
      <c r="C3105" t="str">
        <f t="shared" si="553"/>
        <v>06539003</v>
      </c>
      <c r="D3105">
        <v>89301171</v>
      </c>
      <c r="E3105" t="str">
        <f t="shared" si="548"/>
        <v>5806160613</v>
      </c>
      <c r="F3105" s="1">
        <v>44968</v>
      </c>
      <c r="G3105" t="str">
        <f>"91169"</f>
        <v>91169</v>
      </c>
      <c r="H3105">
        <v>1</v>
      </c>
      <c r="I3105">
        <v>426</v>
      </c>
      <c r="J3105">
        <v>0</v>
      </c>
      <c r="K3105" t="str">
        <f t="shared" si="555"/>
        <v>813</v>
      </c>
      <c r="L3105">
        <v>357.84</v>
      </c>
    </row>
    <row r="3106" spans="1:12" x14ac:dyDescent="0.25">
      <c r="A3106" t="str">
        <f t="shared" si="552"/>
        <v>89301000</v>
      </c>
      <c r="B3106" t="str">
        <f t="shared" si="557"/>
        <v>06539000</v>
      </c>
      <c r="C3106" t="str">
        <f t="shared" si="553"/>
        <v>06539003</v>
      </c>
      <c r="D3106">
        <v>89301171</v>
      </c>
      <c r="E3106" t="str">
        <f t="shared" si="548"/>
        <v>5806160613</v>
      </c>
      <c r="F3106" s="1">
        <v>44967</v>
      </c>
      <c r="G3106" t="str">
        <f>"91167"</f>
        <v>91167</v>
      </c>
      <c r="H3106">
        <v>1</v>
      </c>
      <c r="I3106">
        <v>426</v>
      </c>
      <c r="J3106">
        <v>0</v>
      </c>
      <c r="K3106" t="str">
        <f t="shared" si="555"/>
        <v>813</v>
      </c>
      <c r="L3106">
        <v>357.84</v>
      </c>
    </row>
    <row r="3107" spans="1:12" x14ac:dyDescent="0.25">
      <c r="A3107" t="str">
        <f t="shared" si="552"/>
        <v>89301000</v>
      </c>
      <c r="B3107" t="str">
        <f t="shared" si="557"/>
        <v>06539000</v>
      </c>
      <c r="C3107" t="str">
        <f t="shared" si="553"/>
        <v>06539003</v>
      </c>
      <c r="D3107">
        <v>89301171</v>
      </c>
      <c r="E3107" t="str">
        <f t="shared" si="548"/>
        <v>5806160613</v>
      </c>
      <c r="F3107" s="1">
        <v>44967</v>
      </c>
      <c r="G3107" t="str">
        <f>"91169"</f>
        <v>91169</v>
      </c>
      <c r="H3107">
        <v>1</v>
      </c>
      <c r="I3107">
        <v>426</v>
      </c>
      <c r="J3107">
        <v>0</v>
      </c>
      <c r="K3107" t="str">
        <f t="shared" si="555"/>
        <v>813</v>
      </c>
      <c r="L3107">
        <v>357.84</v>
      </c>
    </row>
    <row r="3108" spans="1:12" x14ac:dyDescent="0.25">
      <c r="A3108" t="str">
        <f t="shared" si="552"/>
        <v>89301000</v>
      </c>
      <c r="B3108" t="str">
        <f t="shared" si="557"/>
        <v>06539000</v>
      </c>
      <c r="C3108" t="str">
        <f t="shared" si="553"/>
        <v>06539003</v>
      </c>
      <c r="D3108">
        <v>89301171</v>
      </c>
      <c r="E3108" t="str">
        <f t="shared" si="548"/>
        <v>5806160613</v>
      </c>
      <c r="F3108" s="1">
        <v>44971</v>
      </c>
      <c r="G3108" t="str">
        <f>"91475"</f>
        <v>91475</v>
      </c>
      <c r="H3108">
        <v>1</v>
      </c>
      <c r="I3108">
        <v>213</v>
      </c>
      <c r="J3108">
        <v>0</v>
      </c>
      <c r="K3108" t="str">
        <f t="shared" si="555"/>
        <v>813</v>
      </c>
      <c r="L3108">
        <v>178.92</v>
      </c>
    </row>
    <row r="3109" spans="1:12" x14ac:dyDescent="0.25">
      <c r="A3109" t="str">
        <f t="shared" si="552"/>
        <v>89301000</v>
      </c>
      <c r="B3109" t="str">
        <f t="shared" si="557"/>
        <v>06539000</v>
      </c>
      <c r="C3109" t="str">
        <f t="shared" ref="C3109:C3140" si="558">"06539003"</f>
        <v>06539003</v>
      </c>
      <c r="D3109">
        <v>89301171</v>
      </c>
      <c r="E3109" t="str">
        <f t="shared" ref="E3109:E3136" si="559">"6754170797"</f>
        <v>6754170797</v>
      </c>
      <c r="F3109" s="1">
        <v>44972</v>
      </c>
      <c r="G3109" t="str">
        <f t="shared" ref="G3109:G3118" si="560">"91413"</f>
        <v>91413</v>
      </c>
      <c r="H3109">
        <v>1</v>
      </c>
      <c r="I3109">
        <v>868</v>
      </c>
      <c r="J3109">
        <v>0</v>
      </c>
      <c r="K3109" t="str">
        <f t="shared" ref="K3109:K3140" si="561">"813"</f>
        <v>813</v>
      </c>
      <c r="L3109">
        <v>729.12</v>
      </c>
    </row>
    <row r="3110" spans="1:12" x14ac:dyDescent="0.25">
      <c r="A3110" t="str">
        <f t="shared" si="552"/>
        <v>89301000</v>
      </c>
      <c r="B3110" t="str">
        <f t="shared" si="557"/>
        <v>06539000</v>
      </c>
      <c r="C3110" t="str">
        <f t="shared" si="558"/>
        <v>06539003</v>
      </c>
      <c r="D3110">
        <v>89301171</v>
      </c>
      <c r="E3110" t="str">
        <f t="shared" si="559"/>
        <v>6754170797</v>
      </c>
      <c r="F3110" s="1">
        <v>44972</v>
      </c>
      <c r="G3110" t="str">
        <f t="shared" si="560"/>
        <v>91413</v>
      </c>
      <c r="H3110">
        <v>1</v>
      </c>
      <c r="I3110">
        <v>868</v>
      </c>
      <c r="J3110">
        <v>0</v>
      </c>
      <c r="K3110" t="str">
        <f t="shared" si="561"/>
        <v>813</v>
      </c>
      <c r="L3110">
        <v>729.12</v>
      </c>
    </row>
    <row r="3111" spans="1:12" x14ac:dyDescent="0.25">
      <c r="A3111" t="str">
        <f t="shared" si="552"/>
        <v>89301000</v>
      </c>
      <c r="B3111" t="str">
        <f t="shared" si="557"/>
        <v>06539000</v>
      </c>
      <c r="C3111" t="str">
        <f t="shared" si="558"/>
        <v>06539003</v>
      </c>
      <c r="D3111">
        <v>89301171</v>
      </c>
      <c r="E3111" t="str">
        <f t="shared" si="559"/>
        <v>6754170797</v>
      </c>
      <c r="F3111" s="1">
        <v>44984</v>
      </c>
      <c r="G3111" t="str">
        <f t="shared" si="560"/>
        <v>91413</v>
      </c>
      <c r="H3111">
        <v>1</v>
      </c>
      <c r="I3111">
        <v>868</v>
      </c>
      <c r="J3111">
        <v>0</v>
      </c>
      <c r="K3111" t="str">
        <f t="shared" si="561"/>
        <v>813</v>
      </c>
      <c r="L3111">
        <v>729.12</v>
      </c>
    </row>
    <row r="3112" spans="1:12" x14ac:dyDescent="0.25">
      <c r="A3112" t="str">
        <f t="shared" si="552"/>
        <v>89301000</v>
      </c>
      <c r="B3112" t="str">
        <f t="shared" si="557"/>
        <v>06539000</v>
      </c>
      <c r="C3112" t="str">
        <f t="shared" si="558"/>
        <v>06539003</v>
      </c>
      <c r="D3112">
        <v>89301171</v>
      </c>
      <c r="E3112" t="str">
        <f t="shared" si="559"/>
        <v>6754170797</v>
      </c>
      <c r="F3112" s="1">
        <v>44984</v>
      </c>
      <c r="G3112" t="str">
        <f t="shared" si="560"/>
        <v>91413</v>
      </c>
      <c r="H3112">
        <v>1</v>
      </c>
      <c r="I3112">
        <v>868</v>
      </c>
      <c r="J3112">
        <v>0</v>
      </c>
      <c r="K3112" t="str">
        <f t="shared" si="561"/>
        <v>813</v>
      </c>
      <c r="L3112">
        <v>729.12</v>
      </c>
    </row>
    <row r="3113" spans="1:12" x14ac:dyDescent="0.25">
      <c r="A3113" t="str">
        <f t="shared" si="552"/>
        <v>89301000</v>
      </c>
      <c r="B3113" t="str">
        <f t="shared" si="557"/>
        <v>06539000</v>
      </c>
      <c r="C3113" t="str">
        <f t="shared" si="558"/>
        <v>06539003</v>
      </c>
      <c r="D3113">
        <v>89301171</v>
      </c>
      <c r="E3113" t="str">
        <f t="shared" si="559"/>
        <v>6754170797</v>
      </c>
      <c r="F3113" s="1">
        <v>44984</v>
      </c>
      <c r="G3113" t="str">
        <f t="shared" si="560"/>
        <v>91413</v>
      </c>
      <c r="H3113">
        <v>1</v>
      </c>
      <c r="I3113">
        <v>868</v>
      </c>
      <c r="J3113">
        <v>0</v>
      </c>
      <c r="K3113" t="str">
        <f t="shared" si="561"/>
        <v>813</v>
      </c>
      <c r="L3113">
        <v>729.12</v>
      </c>
    </row>
    <row r="3114" spans="1:12" x14ac:dyDescent="0.25">
      <c r="A3114" t="str">
        <f t="shared" si="552"/>
        <v>89301000</v>
      </c>
      <c r="B3114" t="str">
        <f t="shared" si="557"/>
        <v>06539000</v>
      </c>
      <c r="C3114" t="str">
        <f t="shared" si="558"/>
        <v>06539003</v>
      </c>
      <c r="D3114">
        <v>89301171</v>
      </c>
      <c r="E3114" t="str">
        <f t="shared" si="559"/>
        <v>6754170797</v>
      </c>
      <c r="F3114" s="1">
        <v>44984</v>
      </c>
      <c r="G3114" t="str">
        <f t="shared" si="560"/>
        <v>91413</v>
      </c>
      <c r="H3114">
        <v>1</v>
      </c>
      <c r="I3114">
        <v>868</v>
      </c>
      <c r="J3114">
        <v>0</v>
      </c>
      <c r="K3114" t="str">
        <f t="shared" si="561"/>
        <v>813</v>
      </c>
      <c r="L3114">
        <v>729.12</v>
      </c>
    </row>
    <row r="3115" spans="1:12" x14ac:dyDescent="0.25">
      <c r="A3115" t="str">
        <f t="shared" si="552"/>
        <v>89301000</v>
      </c>
      <c r="B3115" t="str">
        <f t="shared" si="557"/>
        <v>06539000</v>
      </c>
      <c r="C3115" t="str">
        <f t="shared" si="558"/>
        <v>06539003</v>
      </c>
      <c r="D3115">
        <v>89301171</v>
      </c>
      <c r="E3115" t="str">
        <f t="shared" si="559"/>
        <v>6754170797</v>
      </c>
      <c r="F3115" s="1">
        <v>44994</v>
      </c>
      <c r="G3115" t="str">
        <f t="shared" si="560"/>
        <v>91413</v>
      </c>
      <c r="H3115">
        <v>1</v>
      </c>
      <c r="I3115">
        <v>868</v>
      </c>
      <c r="J3115">
        <v>0</v>
      </c>
      <c r="K3115" t="str">
        <f t="shared" si="561"/>
        <v>813</v>
      </c>
      <c r="L3115">
        <v>729.12</v>
      </c>
    </row>
    <row r="3116" spans="1:12" x14ac:dyDescent="0.25">
      <c r="A3116" t="str">
        <f t="shared" si="552"/>
        <v>89301000</v>
      </c>
      <c r="B3116" t="str">
        <f t="shared" si="557"/>
        <v>06539000</v>
      </c>
      <c r="C3116" t="str">
        <f t="shared" si="558"/>
        <v>06539003</v>
      </c>
      <c r="D3116">
        <v>89301171</v>
      </c>
      <c r="E3116" t="str">
        <f t="shared" si="559"/>
        <v>6754170797</v>
      </c>
      <c r="F3116" s="1">
        <v>44994</v>
      </c>
      <c r="G3116" t="str">
        <f t="shared" si="560"/>
        <v>91413</v>
      </c>
      <c r="H3116">
        <v>1</v>
      </c>
      <c r="I3116">
        <v>868</v>
      </c>
      <c r="J3116">
        <v>0</v>
      </c>
      <c r="K3116" t="str">
        <f t="shared" si="561"/>
        <v>813</v>
      </c>
      <c r="L3116">
        <v>729.12</v>
      </c>
    </row>
    <row r="3117" spans="1:12" x14ac:dyDescent="0.25">
      <c r="A3117" t="str">
        <f t="shared" si="552"/>
        <v>89301000</v>
      </c>
      <c r="B3117" t="str">
        <f t="shared" si="557"/>
        <v>06539000</v>
      </c>
      <c r="C3117" t="str">
        <f t="shared" si="558"/>
        <v>06539003</v>
      </c>
      <c r="D3117">
        <v>89301171</v>
      </c>
      <c r="E3117" t="str">
        <f t="shared" si="559"/>
        <v>6754170797</v>
      </c>
      <c r="F3117" s="1">
        <v>44994</v>
      </c>
      <c r="G3117" t="str">
        <f t="shared" si="560"/>
        <v>91413</v>
      </c>
      <c r="H3117">
        <v>1</v>
      </c>
      <c r="I3117">
        <v>868</v>
      </c>
      <c r="J3117">
        <v>0</v>
      </c>
      <c r="K3117" t="str">
        <f t="shared" si="561"/>
        <v>813</v>
      </c>
      <c r="L3117">
        <v>729.12</v>
      </c>
    </row>
    <row r="3118" spans="1:12" x14ac:dyDescent="0.25">
      <c r="A3118" t="str">
        <f t="shared" si="552"/>
        <v>89301000</v>
      </c>
      <c r="B3118" t="str">
        <f t="shared" si="557"/>
        <v>06539000</v>
      </c>
      <c r="C3118" t="str">
        <f t="shared" si="558"/>
        <v>06539003</v>
      </c>
      <c r="D3118">
        <v>89301171</v>
      </c>
      <c r="E3118" t="str">
        <f t="shared" si="559"/>
        <v>6754170797</v>
      </c>
      <c r="F3118" s="1">
        <v>44994</v>
      </c>
      <c r="G3118" t="str">
        <f t="shared" si="560"/>
        <v>91413</v>
      </c>
      <c r="H3118">
        <v>1</v>
      </c>
      <c r="I3118">
        <v>868</v>
      </c>
      <c r="J3118">
        <v>0</v>
      </c>
      <c r="K3118" t="str">
        <f t="shared" si="561"/>
        <v>813</v>
      </c>
      <c r="L3118">
        <v>729.12</v>
      </c>
    </row>
    <row r="3119" spans="1:12" x14ac:dyDescent="0.25">
      <c r="A3119" t="str">
        <f t="shared" si="552"/>
        <v>89301000</v>
      </c>
      <c r="B3119" t="str">
        <f t="shared" si="557"/>
        <v>06539000</v>
      </c>
      <c r="C3119" t="str">
        <f t="shared" si="558"/>
        <v>06539003</v>
      </c>
      <c r="D3119">
        <v>89301171</v>
      </c>
      <c r="E3119" t="str">
        <f t="shared" si="559"/>
        <v>6754170797</v>
      </c>
      <c r="F3119" s="1">
        <v>44970</v>
      </c>
      <c r="G3119" t="str">
        <f t="shared" ref="G3119:G3124" si="562">"91197"</f>
        <v>91197</v>
      </c>
      <c r="H3119">
        <v>1</v>
      </c>
      <c r="I3119">
        <v>1048</v>
      </c>
      <c r="J3119">
        <v>0</v>
      </c>
      <c r="K3119" t="str">
        <f t="shared" si="561"/>
        <v>813</v>
      </c>
      <c r="L3119">
        <v>880.32</v>
      </c>
    </row>
    <row r="3120" spans="1:12" x14ac:dyDescent="0.25">
      <c r="A3120" t="str">
        <f t="shared" si="552"/>
        <v>89301000</v>
      </c>
      <c r="B3120" t="str">
        <f t="shared" si="557"/>
        <v>06539000</v>
      </c>
      <c r="C3120" t="str">
        <f t="shared" si="558"/>
        <v>06539003</v>
      </c>
      <c r="D3120">
        <v>89301171</v>
      </c>
      <c r="E3120" t="str">
        <f t="shared" si="559"/>
        <v>6754170797</v>
      </c>
      <c r="F3120" s="1">
        <v>44970</v>
      </c>
      <c r="G3120" t="str">
        <f t="shared" si="562"/>
        <v>91197</v>
      </c>
      <c r="H3120">
        <v>1</v>
      </c>
      <c r="I3120">
        <v>1048</v>
      </c>
      <c r="J3120">
        <v>0</v>
      </c>
      <c r="K3120" t="str">
        <f t="shared" si="561"/>
        <v>813</v>
      </c>
      <c r="L3120">
        <v>880.32</v>
      </c>
    </row>
    <row r="3121" spans="1:12" x14ac:dyDescent="0.25">
      <c r="A3121" t="str">
        <f t="shared" si="552"/>
        <v>89301000</v>
      </c>
      <c r="B3121" t="str">
        <f t="shared" si="557"/>
        <v>06539000</v>
      </c>
      <c r="C3121" t="str">
        <f t="shared" si="558"/>
        <v>06539003</v>
      </c>
      <c r="D3121">
        <v>89301171</v>
      </c>
      <c r="E3121" t="str">
        <f t="shared" si="559"/>
        <v>6754170797</v>
      </c>
      <c r="F3121" s="1">
        <v>44969</v>
      </c>
      <c r="G3121" t="str">
        <f t="shared" si="562"/>
        <v>91197</v>
      </c>
      <c r="H3121">
        <v>1</v>
      </c>
      <c r="I3121">
        <v>1048</v>
      </c>
      <c r="J3121">
        <v>0</v>
      </c>
      <c r="K3121" t="str">
        <f t="shared" si="561"/>
        <v>813</v>
      </c>
      <c r="L3121">
        <v>880.32</v>
      </c>
    </row>
    <row r="3122" spans="1:12" x14ac:dyDescent="0.25">
      <c r="A3122" t="str">
        <f t="shared" si="552"/>
        <v>89301000</v>
      </c>
      <c r="B3122" t="str">
        <f t="shared" si="557"/>
        <v>06539000</v>
      </c>
      <c r="C3122" t="str">
        <f t="shared" si="558"/>
        <v>06539003</v>
      </c>
      <c r="D3122">
        <v>89301171</v>
      </c>
      <c r="E3122" t="str">
        <f t="shared" si="559"/>
        <v>6754170797</v>
      </c>
      <c r="F3122" s="1">
        <v>44969</v>
      </c>
      <c r="G3122" t="str">
        <f t="shared" si="562"/>
        <v>91197</v>
      </c>
      <c r="H3122">
        <v>1</v>
      </c>
      <c r="I3122">
        <v>1048</v>
      </c>
      <c r="J3122">
        <v>0</v>
      </c>
      <c r="K3122" t="str">
        <f t="shared" si="561"/>
        <v>813</v>
      </c>
      <c r="L3122">
        <v>880.32</v>
      </c>
    </row>
    <row r="3123" spans="1:12" x14ac:dyDescent="0.25">
      <c r="A3123" t="str">
        <f t="shared" si="552"/>
        <v>89301000</v>
      </c>
      <c r="B3123" t="str">
        <f t="shared" si="557"/>
        <v>06539000</v>
      </c>
      <c r="C3123" t="str">
        <f t="shared" si="558"/>
        <v>06539003</v>
      </c>
      <c r="D3123">
        <v>89301171</v>
      </c>
      <c r="E3123" t="str">
        <f t="shared" si="559"/>
        <v>6754170797</v>
      </c>
      <c r="F3123" s="1">
        <v>44968</v>
      </c>
      <c r="G3123" t="str">
        <f t="shared" si="562"/>
        <v>91197</v>
      </c>
      <c r="H3123">
        <v>1</v>
      </c>
      <c r="I3123">
        <v>1048</v>
      </c>
      <c r="J3123">
        <v>0</v>
      </c>
      <c r="K3123" t="str">
        <f t="shared" si="561"/>
        <v>813</v>
      </c>
      <c r="L3123">
        <v>880.32</v>
      </c>
    </row>
    <row r="3124" spans="1:12" x14ac:dyDescent="0.25">
      <c r="A3124" t="str">
        <f t="shared" si="552"/>
        <v>89301000</v>
      </c>
      <c r="B3124" t="str">
        <f t="shared" si="557"/>
        <v>06539000</v>
      </c>
      <c r="C3124" t="str">
        <f t="shared" si="558"/>
        <v>06539003</v>
      </c>
      <c r="D3124">
        <v>89301171</v>
      </c>
      <c r="E3124" t="str">
        <f t="shared" si="559"/>
        <v>6754170797</v>
      </c>
      <c r="F3124" s="1">
        <v>44968</v>
      </c>
      <c r="G3124" t="str">
        <f t="shared" si="562"/>
        <v>91197</v>
      </c>
      <c r="H3124">
        <v>1</v>
      </c>
      <c r="I3124">
        <v>1048</v>
      </c>
      <c r="J3124">
        <v>0</v>
      </c>
      <c r="K3124" t="str">
        <f t="shared" si="561"/>
        <v>813</v>
      </c>
      <c r="L3124">
        <v>880.32</v>
      </c>
    </row>
    <row r="3125" spans="1:12" x14ac:dyDescent="0.25">
      <c r="A3125" t="str">
        <f t="shared" si="552"/>
        <v>89301000</v>
      </c>
      <c r="B3125" t="str">
        <f t="shared" si="557"/>
        <v>06539000</v>
      </c>
      <c r="C3125" t="str">
        <f t="shared" si="558"/>
        <v>06539003</v>
      </c>
      <c r="D3125">
        <v>89301171</v>
      </c>
      <c r="E3125" t="str">
        <f t="shared" si="559"/>
        <v>6754170797</v>
      </c>
      <c r="F3125" s="1">
        <v>44994</v>
      </c>
      <c r="G3125" t="str">
        <f>"91329"</f>
        <v>91329</v>
      </c>
      <c r="H3125">
        <v>2</v>
      </c>
      <c r="I3125">
        <v>436</v>
      </c>
      <c r="J3125">
        <v>0</v>
      </c>
      <c r="K3125" t="str">
        <f t="shared" si="561"/>
        <v>813</v>
      </c>
      <c r="L3125">
        <v>366.24</v>
      </c>
    </row>
    <row r="3126" spans="1:12" x14ac:dyDescent="0.25">
      <c r="A3126" t="str">
        <f t="shared" si="552"/>
        <v>89301000</v>
      </c>
      <c r="B3126" t="str">
        <f t="shared" si="557"/>
        <v>06539000</v>
      </c>
      <c r="C3126" t="str">
        <f t="shared" si="558"/>
        <v>06539003</v>
      </c>
      <c r="D3126">
        <v>89301171</v>
      </c>
      <c r="E3126" t="str">
        <f t="shared" si="559"/>
        <v>6754170797</v>
      </c>
      <c r="F3126" s="1">
        <v>44994</v>
      </c>
      <c r="G3126" t="str">
        <f>"91329"</f>
        <v>91329</v>
      </c>
      <c r="H3126">
        <v>2</v>
      </c>
      <c r="I3126">
        <v>436</v>
      </c>
      <c r="J3126">
        <v>0</v>
      </c>
      <c r="K3126" t="str">
        <f t="shared" si="561"/>
        <v>813</v>
      </c>
      <c r="L3126">
        <v>366.24</v>
      </c>
    </row>
    <row r="3127" spans="1:12" x14ac:dyDescent="0.25">
      <c r="A3127" t="str">
        <f t="shared" si="552"/>
        <v>89301000</v>
      </c>
      <c r="B3127" t="str">
        <f t="shared" si="557"/>
        <v>06539000</v>
      </c>
      <c r="C3127" t="str">
        <f t="shared" si="558"/>
        <v>06539003</v>
      </c>
      <c r="D3127">
        <v>89301171</v>
      </c>
      <c r="E3127" t="str">
        <f t="shared" si="559"/>
        <v>6754170797</v>
      </c>
      <c r="F3127" s="1">
        <v>44994</v>
      </c>
      <c r="G3127" t="str">
        <f>"91329"</f>
        <v>91329</v>
      </c>
      <c r="H3127">
        <v>2</v>
      </c>
      <c r="I3127">
        <v>436</v>
      </c>
      <c r="J3127">
        <v>0</v>
      </c>
      <c r="K3127" t="str">
        <f t="shared" si="561"/>
        <v>813</v>
      </c>
      <c r="L3127">
        <v>366.24</v>
      </c>
    </row>
    <row r="3128" spans="1:12" x14ac:dyDescent="0.25">
      <c r="A3128" t="str">
        <f t="shared" si="552"/>
        <v>89301000</v>
      </c>
      <c r="B3128" t="str">
        <f t="shared" si="557"/>
        <v>06539000</v>
      </c>
      <c r="C3128" t="str">
        <f t="shared" si="558"/>
        <v>06539003</v>
      </c>
      <c r="D3128">
        <v>89301171</v>
      </c>
      <c r="E3128" t="str">
        <f t="shared" si="559"/>
        <v>6754170797</v>
      </c>
      <c r="F3128" s="1">
        <v>44994</v>
      </c>
      <c r="G3128" t="str">
        <f>"91329"</f>
        <v>91329</v>
      </c>
      <c r="H3128">
        <v>2</v>
      </c>
      <c r="I3128">
        <v>436</v>
      </c>
      <c r="J3128">
        <v>0</v>
      </c>
      <c r="K3128" t="str">
        <f t="shared" si="561"/>
        <v>813</v>
      </c>
      <c r="L3128">
        <v>366.24</v>
      </c>
    </row>
    <row r="3129" spans="1:12" x14ac:dyDescent="0.25">
      <c r="A3129" t="str">
        <f t="shared" si="552"/>
        <v>89301000</v>
      </c>
      <c r="B3129" t="str">
        <f t="shared" si="557"/>
        <v>06539000</v>
      </c>
      <c r="C3129" t="str">
        <f t="shared" si="558"/>
        <v>06539003</v>
      </c>
      <c r="D3129">
        <v>89301171</v>
      </c>
      <c r="E3129" t="str">
        <f t="shared" si="559"/>
        <v>6754170797</v>
      </c>
      <c r="F3129" s="1">
        <v>44970</v>
      </c>
      <c r="G3129" t="str">
        <f>"91129"</f>
        <v>91129</v>
      </c>
      <c r="H3129">
        <v>1</v>
      </c>
      <c r="I3129">
        <v>175</v>
      </c>
      <c r="J3129">
        <v>0</v>
      </c>
      <c r="K3129" t="str">
        <f t="shared" si="561"/>
        <v>813</v>
      </c>
      <c r="L3129">
        <v>147</v>
      </c>
    </row>
    <row r="3130" spans="1:12" x14ac:dyDescent="0.25">
      <c r="A3130" t="str">
        <f t="shared" si="552"/>
        <v>89301000</v>
      </c>
      <c r="B3130" t="str">
        <f t="shared" si="557"/>
        <v>06539000</v>
      </c>
      <c r="C3130" t="str">
        <f t="shared" si="558"/>
        <v>06539003</v>
      </c>
      <c r="D3130">
        <v>89301171</v>
      </c>
      <c r="E3130" t="str">
        <f t="shared" si="559"/>
        <v>6754170797</v>
      </c>
      <c r="F3130" s="1">
        <v>44970</v>
      </c>
      <c r="G3130" t="str">
        <f>"91131"</f>
        <v>91131</v>
      </c>
      <c r="H3130">
        <v>1</v>
      </c>
      <c r="I3130">
        <v>171</v>
      </c>
      <c r="J3130">
        <v>0</v>
      </c>
      <c r="K3130" t="str">
        <f t="shared" si="561"/>
        <v>813</v>
      </c>
      <c r="L3130">
        <v>143.63999999999999</v>
      </c>
    </row>
    <row r="3131" spans="1:12" x14ac:dyDescent="0.25">
      <c r="A3131" t="str">
        <f t="shared" si="552"/>
        <v>89301000</v>
      </c>
      <c r="B3131" t="str">
        <f t="shared" si="557"/>
        <v>06539000</v>
      </c>
      <c r="C3131" t="str">
        <f t="shared" si="558"/>
        <v>06539003</v>
      </c>
      <c r="D3131">
        <v>89301171</v>
      </c>
      <c r="E3131" t="str">
        <f t="shared" si="559"/>
        <v>6754170797</v>
      </c>
      <c r="F3131" s="1">
        <v>44970</v>
      </c>
      <c r="G3131" t="str">
        <f>"91133"</f>
        <v>91133</v>
      </c>
      <c r="H3131">
        <v>1</v>
      </c>
      <c r="I3131">
        <v>177</v>
      </c>
      <c r="J3131">
        <v>0</v>
      </c>
      <c r="K3131" t="str">
        <f t="shared" si="561"/>
        <v>813</v>
      </c>
      <c r="L3131">
        <v>148.68</v>
      </c>
    </row>
    <row r="3132" spans="1:12" x14ac:dyDescent="0.25">
      <c r="A3132" t="str">
        <f t="shared" si="552"/>
        <v>89301000</v>
      </c>
      <c r="B3132" t="str">
        <f t="shared" si="557"/>
        <v>06539000</v>
      </c>
      <c r="C3132" t="str">
        <f t="shared" si="558"/>
        <v>06539003</v>
      </c>
      <c r="D3132">
        <v>89301171</v>
      </c>
      <c r="E3132" t="str">
        <f t="shared" si="559"/>
        <v>6754170797</v>
      </c>
      <c r="F3132" s="1">
        <v>44970</v>
      </c>
      <c r="G3132" t="str">
        <f>"91171"</f>
        <v>91171</v>
      </c>
      <c r="H3132">
        <v>1</v>
      </c>
      <c r="I3132">
        <v>362</v>
      </c>
      <c r="J3132">
        <v>0</v>
      </c>
      <c r="K3132" t="str">
        <f t="shared" si="561"/>
        <v>813</v>
      </c>
      <c r="L3132">
        <v>304.08</v>
      </c>
    </row>
    <row r="3133" spans="1:12" x14ac:dyDescent="0.25">
      <c r="A3133" t="str">
        <f t="shared" si="552"/>
        <v>89301000</v>
      </c>
      <c r="B3133" t="str">
        <f t="shared" si="557"/>
        <v>06539000</v>
      </c>
      <c r="C3133" t="str">
        <f t="shared" si="558"/>
        <v>06539003</v>
      </c>
      <c r="D3133">
        <v>89301171</v>
      </c>
      <c r="E3133" t="str">
        <f t="shared" si="559"/>
        <v>6754170797</v>
      </c>
      <c r="F3133" s="1">
        <v>44970</v>
      </c>
      <c r="G3133" t="str">
        <f>"91175"</f>
        <v>91175</v>
      </c>
      <c r="H3133">
        <v>1</v>
      </c>
      <c r="I3133">
        <v>362</v>
      </c>
      <c r="J3133">
        <v>0</v>
      </c>
      <c r="K3133" t="str">
        <f t="shared" si="561"/>
        <v>813</v>
      </c>
      <c r="L3133">
        <v>304.08</v>
      </c>
    </row>
    <row r="3134" spans="1:12" x14ac:dyDescent="0.25">
      <c r="A3134" t="str">
        <f t="shared" si="552"/>
        <v>89301000</v>
      </c>
      <c r="B3134" t="str">
        <f t="shared" si="557"/>
        <v>06539000</v>
      </c>
      <c r="C3134" t="str">
        <f t="shared" si="558"/>
        <v>06539003</v>
      </c>
      <c r="D3134">
        <v>89301171</v>
      </c>
      <c r="E3134" t="str">
        <f t="shared" si="559"/>
        <v>6754170797</v>
      </c>
      <c r="F3134" s="1">
        <v>44968</v>
      </c>
      <c r="G3134" t="str">
        <f>"91167"</f>
        <v>91167</v>
      </c>
      <c r="H3134">
        <v>1</v>
      </c>
      <c r="I3134">
        <v>426</v>
      </c>
      <c r="J3134">
        <v>0</v>
      </c>
      <c r="K3134" t="str">
        <f t="shared" si="561"/>
        <v>813</v>
      </c>
      <c r="L3134">
        <v>357.84</v>
      </c>
    </row>
    <row r="3135" spans="1:12" x14ac:dyDescent="0.25">
      <c r="A3135" t="str">
        <f t="shared" si="552"/>
        <v>89301000</v>
      </c>
      <c r="B3135" t="str">
        <f t="shared" si="557"/>
        <v>06539000</v>
      </c>
      <c r="C3135" t="str">
        <f t="shared" si="558"/>
        <v>06539003</v>
      </c>
      <c r="D3135">
        <v>89301171</v>
      </c>
      <c r="E3135" t="str">
        <f t="shared" si="559"/>
        <v>6754170797</v>
      </c>
      <c r="F3135" s="1">
        <v>44968</v>
      </c>
      <c r="G3135" t="str">
        <f>"91169"</f>
        <v>91169</v>
      </c>
      <c r="H3135">
        <v>1</v>
      </c>
      <c r="I3135">
        <v>426</v>
      </c>
      <c r="J3135">
        <v>0</v>
      </c>
      <c r="K3135" t="str">
        <f t="shared" si="561"/>
        <v>813</v>
      </c>
      <c r="L3135">
        <v>357.84</v>
      </c>
    </row>
    <row r="3136" spans="1:12" x14ac:dyDescent="0.25">
      <c r="A3136" t="str">
        <f t="shared" si="552"/>
        <v>89301000</v>
      </c>
      <c r="B3136" t="str">
        <f t="shared" si="557"/>
        <v>06539000</v>
      </c>
      <c r="C3136" t="str">
        <f t="shared" si="558"/>
        <v>06539003</v>
      </c>
      <c r="D3136">
        <v>89301171</v>
      </c>
      <c r="E3136" t="str">
        <f t="shared" si="559"/>
        <v>6754170797</v>
      </c>
      <c r="F3136" s="1">
        <v>44994</v>
      </c>
      <c r="G3136" t="str">
        <f>"91475"</f>
        <v>91475</v>
      </c>
      <c r="H3136">
        <v>1</v>
      </c>
      <c r="I3136">
        <v>213</v>
      </c>
      <c r="J3136">
        <v>0</v>
      </c>
      <c r="K3136" t="str">
        <f t="shared" si="561"/>
        <v>813</v>
      </c>
      <c r="L3136">
        <v>178.92</v>
      </c>
    </row>
    <row r="3137" spans="1:12" x14ac:dyDescent="0.25">
      <c r="A3137" t="str">
        <f t="shared" si="552"/>
        <v>89301000</v>
      </c>
      <c r="B3137" t="str">
        <f t="shared" si="557"/>
        <v>06539000</v>
      </c>
      <c r="C3137" t="str">
        <f t="shared" si="558"/>
        <v>06539003</v>
      </c>
      <c r="D3137">
        <v>89301171</v>
      </c>
      <c r="E3137" t="str">
        <f t="shared" ref="E3137:E3164" si="563">"9858245749"</f>
        <v>9858245749</v>
      </c>
      <c r="F3137" s="1">
        <v>44984</v>
      </c>
      <c r="G3137" t="str">
        <f t="shared" ref="G3137:G3146" si="564">"91413"</f>
        <v>91413</v>
      </c>
      <c r="H3137">
        <v>1</v>
      </c>
      <c r="I3137">
        <v>868</v>
      </c>
      <c r="J3137">
        <v>0</v>
      </c>
      <c r="K3137" t="str">
        <f t="shared" si="561"/>
        <v>813</v>
      </c>
      <c r="L3137">
        <v>729.12</v>
      </c>
    </row>
    <row r="3138" spans="1:12" x14ac:dyDescent="0.25">
      <c r="A3138" t="str">
        <f t="shared" ref="A3138:A3201" si="565">"89301000"</f>
        <v>89301000</v>
      </c>
      <c r="B3138" t="str">
        <f t="shared" si="557"/>
        <v>06539000</v>
      </c>
      <c r="C3138" t="str">
        <f t="shared" si="558"/>
        <v>06539003</v>
      </c>
      <c r="D3138">
        <v>89301171</v>
      </c>
      <c r="E3138" t="str">
        <f t="shared" si="563"/>
        <v>9858245749</v>
      </c>
      <c r="F3138" s="1">
        <v>44984</v>
      </c>
      <c r="G3138" t="str">
        <f t="shared" si="564"/>
        <v>91413</v>
      </c>
      <c r="H3138">
        <v>1</v>
      </c>
      <c r="I3138">
        <v>868</v>
      </c>
      <c r="J3138">
        <v>0</v>
      </c>
      <c r="K3138" t="str">
        <f t="shared" si="561"/>
        <v>813</v>
      </c>
      <c r="L3138">
        <v>729.12</v>
      </c>
    </row>
    <row r="3139" spans="1:12" x14ac:dyDescent="0.25">
      <c r="A3139" t="str">
        <f t="shared" si="565"/>
        <v>89301000</v>
      </c>
      <c r="B3139" t="str">
        <f t="shared" si="557"/>
        <v>06539000</v>
      </c>
      <c r="C3139" t="str">
        <f t="shared" si="558"/>
        <v>06539003</v>
      </c>
      <c r="D3139">
        <v>89301171</v>
      </c>
      <c r="E3139" t="str">
        <f t="shared" si="563"/>
        <v>9858245749</v>
      </c>
      <c r="F3139" s="1">
        <v>44993</v>
      </c>
      <c r="G3139" t="str">
        <f t="shared" si="564"/>
        <v>91413</v>
      </c>
      <c r="H3139">
        <v>1</v>
      </c>
      <c r="I3139">
        <v>868</v>
      </c>
      <c r="J3139">
        <v>0</v>
      </c>
      <c r="K3139" t="str">
        <f t="shared" si="561"/>
        <v>813</v>
      </c>
      <c r="L3139">
        <v>729.12</v>
      </c>
    </row>
    <row r="3140" spans="1:12" x14ac:dyDescent="0.25">
      <c r="A3140" t="str">
        <f t="shared" si="565"/>
        <v>89301000</v>
      </c>
      <c r="B3140" t="str">
        <f t="shared" si="557"/>
        <v>06539000</v>
      </c>
      <c r="C3140" t="str">
        <f t="shared" si="558"/>
        <v>06539003</v>
      </c>
      <c r="D3140">
        <v>89301171</v>
      </c>
      <c r="E3140" t="str">
        <f t="shared" si="563"/>
        <v>9858245749</v>
      </c>
      <c r="F3140" s="1">
        <v>44993</v>
      </c>
      <c r="G3140" t="str">
        <f t="shared" si="564"/>
        <v>91413</v>
      </c>
      <c r="H3140">
        <v>1</v>
      </c>
      <c r="I3140">
        <v>868</v>
      </c>
      <c r="J3140">
        <v>0</v>
      </c>
      <c r="K3140" t="str">
        <f t="shared" si="561"/>
        <v>813</v>
      </c>
      <c r="L3140">
        <v>729.12</v>
      </c>
    </row>
    <row r="3141" spans="1:12" x14ac:dyDescent="0.25">
      <c r="A3141" t="str">
        <f t="shared" si="565"/>
        <v>89301000</v>
      </c>
      <c r="B3141" t="str">
        <f t="shared" si="557"/>
        <v>06539000</v>
      </c>
      <c r="C3141" t="str">
        <f t="shared" ref="C3141:C3175" si="566">"06539003"</f>
        <v>06539003</v>
      </c>
      <c r="D3141">
        <v>89301171</v>
      </c>
      <c r="E3141" t="str">
        <f t="shared" si="563"/>
        <v>9858245749</v>
      </c>
      <c r="F3141" s="1">
        <v>44994</v>
      </c>
      <c r="G3141" t="str">
        <f t="shared" si="564"/>
        <v>91413</v>
      </c>
      <c r="H3141">
        <v>1</v>
      </c>
      <c r="I3141">
        <v>868</v>
      </c>
      <c r="J3141">
        <v>0</v>
      </c>
      <c r="K3141" t="str">
        <f t="shared" ref="K3141:K3175" si="567">"813"</f>
        <v>813</v>
      </c>
      <c r="L3141">
        <v>729.12</v>
      </c>
    </row>
    <row r="3142" spans="1:12" x14ac:dyDescent="0.25">
      <c r="A3142" t="str">
        <f t="shared" si="565"/>
        <v>89301000</v>
      </c>
      <c r="B3142" t="str">
        <f t="shared" si="557"/>
        <v>06539000</v>
      </c>
      <c r="C3142" t="str">
        <f t="shared" si="566"/>
        <v>06539003</v>
      </c>
      <c r="D3142">
        <v>89301171</v>
      </c>
      <c r="E3142" t="str">
        <f t="shared" si="563"/>
        <v>9858245749</v>
      </c>
      <c r="F3142" s="1">
        <v>44994</v>
      </c>
      <c r="G3142" t="str">
        <f t="shared" si="564"/>
        <v>91413</v>
      </c>
      <c r="H3142">
        <v>1</v>
      </c>
      <c r="I3142">
        <v>868</v>
      </c>
      <c r="J3142">
        <v>0</v>
      </c>
      <c r="K3142" t="str">
        <f t="shared" si="567"/>
        <v>813</v>
      </c>
      <c r="L3142">
        <v>729.12</v>
      </c>
    </row>
    <row r="3143" spans="1:12" x14ac:dyDescent="0.25">
      <c r="A3143" t="str">
        <f t="shared" si="565"/>
        <v>89301000</v>
      </c>
      <c r="B3143" t="str">
        <f t="shared" si="557"/>
        <v>06539000</v>
      </c>
      <c r="C3143" t="str">
        <f t="shared" si="566"/>
        <v>06539003</v>
      </c>
      <c r="D3143">
        <v>89301171</v>
      </c>
      <c r="E3143" t="str">
        <f t="shared" si="563"/>
        <v>9858245749</v>
      </c>
      <c r="F3143" s="1">
        <v>44995</v>
      </c>
      <c r="G3143" t="str">
        <f t="shared" si="564"/>
        <v>91413</v>
      </c>
      <c r="H3143">
        <v>1</v>
      </c>
      <c r="I3143">
        <v>868</v>
      </c>
      <c r="J3143">
        <v>0</v>
      </c>
      <c r="K3143" t="str">
        <f t="shared" si="567"/>
        <v>813</v>
      </c>
      <c r="L3143">
        <v>729.12</v>
      </c>
    </row>
    <row r="3144" spans="1:12" x14ac:dyDescent="0.25">
      <c r="A3144" t="str">
        <f t="shared" si="565"/>
        <v>89301000</v>
      </c>
      <c r="B3144" t="str">
        <f t="shared" si="557"/>
        <v>06539000</v>
      </c>
      <c r="C3144" t="str">
        <f t="shared" si="566"/>
        <v>06539003</v>
      </c>
      <c r="D3144">
        <v>89301171</v>
      </c>
      <c r="E3144" t="str">
        <f t="shared" si="563"/>
        <v>9858245749</v>
      </c>
      <c r="F3144" s="1">
        <v>44995</v>
      </c>
      <c r="G3144" t="str">
        <f t="shared" si="564"/>
        <v>91413</v>
      </c>
      <c r="H3144">
        <v>1</v>
      </c>
      <c r="I3144">
        <v>868</v>
      </c>
      <c r="J3144">
        <v>0</v>
      </c>
      <c r="K3144" t="str">
        <f t="shared" si="567"/>
        <v>813</v>
      </c>
      <c r="L3144">
        <v>729.12</v>
      </c>
    </row>
    <row r="3145" spans="1:12" x14ac:dyDescent="0.25">
      <c r="A3145" t="str">
        <f t="shared" si="565"/>
        <v>89301000</v>
      </c>
      <c r="B3145" t="str">
        <f t="shared" si="557"/>
        <v>06539000</v>
      </c>
      <c r="C3145" t="str">
        <f t="shared" si="566"/>
        <v>06539003</v>
      </c>
      <c r="D3145">
        <v>89301171</v>
      </c>
      <c r="E3145" t="str">
        <f t="shared" si="563"/>
        <v>9858245749</v>
      </c>
      <c r="F3145" s="1">
        <v>44995</v>
      </c>
      <c r="G3145" t="str">
        <f t="shared" si="564"/>
        <v>91413</v>
      </c>
      <c r="H3145">
        <v>1</v>
      </c>
      <c r="I3145">
        <v>868</v>
      </c>
      <c r="J3145">
        <v>0</v>
      </c>
      <c r="K3145" t="str">
        <f t="shared" si="567"/>
        <v>813</v>
      </c>
      <c r="L3145">
        <v>729.12</v>
      </c>
    </row>
    <row r="3146" spans="1:12" x14ac:dyDescent="0.25">
      <c r="A3146" t="str">
        <f t="shared" si="565"/>
        <v>89301000</v>
      </c>
      <c r="B3146" t="str">
        <f t="shared" si="557"/>
        <v>06539000</v>
      </c>
      <c r="C3146" t="str">
        <f t="shared" si="566"/>
        <v>06539003</v>
      </c>
      <c r="D3146">
        <v>89301171</v>
      </c>
      <c r="E3146" t="str">
        <f t="shared" si="563"/>
        <v>9858245749</v>
      </c>
      <c r="F3146" s="1">
        <v>44995</v>
      </c>
      <c r="G3146" t="str">
        <f t="shared" si="564"/>
        <v>91413</v>
      </c>
      <c r="H3146">
        <v>1</v>
      </c>
      <c r="I3146">
        <v>868</v>
      </c>
      <c r="J3146">
        <v>0</v>
      </c>
      <c r="K3146" t="str">
        <f t="shared" si="567"/>
        <v>813</v>
      </c>
      <c r="L3146">
        <v>729.12</v>
      </c>
    </row>
    <row r="3147" spans="1:12" x14ac:dyDescent="0.25">
      <c r="A3147" t="str">
        <f t="shared" si="565"/>
        <v>89301000</v>
      </c>
      <c r="B3147" t="str">
        <f t="shared" si="557"/>
        <v>06539000</v>
      </c>
      <c r="C3147" t="str">
        <f t="shared" si="566"/>
        <v>06539003</v>
      </c>
      <c r="D3147">
        <v>89301171</v>
      </c>
      <c r="E3147" t="str">
        <f t="shared" si="563"/>
        <v>9858245749</v>
      </c>
      <c r="F3147" s="1">
        <v>44995</v>
      </c>
      <c r="G3147" t="str">
        <f>"91329"</f>
        <v>91329</v>
      </c>
      <c r="H3147">
        <v>2</v>
      </c>
      <c r="I3147">
        <v>436</v>
      </c>
      <c r="J3147">
        <v>0</v>
      </c>
      <c r="K3147" t="str">
        <f t="shared" si="567"/>
        <v>813</v>
      </c>
      <c r="L3147">
        <v>366.24</v>
      </c>
    </row>
    <row r="3148" spans="1:12" x14ac:dyDescent="0.25">
      <c r="A3148" t="str">
        <f t="shared" si="565"/>
        <v>89301000</v>
      </c>
      <c r="B3148" t="str">
        <f t="shared" si="557"/>
        <v>06539000</v>
      </c>
      <c r="C3148" t="str">
        <f t="shared" si="566"/>
        <v>06539003</v>
      </c>
      <c r="D3148">
        <v>89301171</v>
      </c>
      <c r="E3148" t="str">
        <f t="shared" si="563"/>
        <v>9858245749</v>
      </c>
      <c r="F3148" s="1">
        <v>44995</v>
      </c>
      <c r="G3148" t="str">
        <f>"91329"</f>
        <v>91329</v>
      </c>
      <c r="H3148">
        <v>2</v>
      </c>
      <c r="I3148">
        <v>436</v>
      </c>
      <c r="J3148">
        <v>0</v>
      </c>
      <c r="K3148" t="str">
        <f t="shared" si="567"/>
        <v>813</v>
      </c>
      <c r="L3148">
        <v>366.24</v>
      </c>
    </row>
    <row r="3149" spans="1:12" x14ac:dyDescent="0.25">
      <c r="A3149" t="str">
        <f t="shared" si="565"/>
        <v>89301000</v>
      </c>
      <c r="B3149" t="str">
        <f t="shared" si="557"/>
        <v>06539000</v>
      </c>
      <c r="C3149" t="str">
        <f t="shared" si="566"/>
        <v>06539003</v>
      </c>
      <c r="D3149">
        <v>89301171</v>
      </c>
      <c r="E3149" t="str">
        <f t="shared" si="563"/>
        <v>9858245749</v>
      </c>
      <c r="F3149" s="1">
        <v>44995</v>
      </c>
      <c r="G3149" t="str">
        <f>"91329"</f>
        <v>91329</v>
      </c>
      <c r="H3149">
        <v>2</v>
      </c>
      <c r="I3149">
        <v>436</v>
      </c>
      <c r="J3149">
        <v>0</v>
      </c>
      <c r="K3149" t="str">
        <f t="shared" si="567"/>
        <v>813</v>
      </c>
      <c r="L3149">
        <v>366.24</v>
      </c>
    </row>
    <row r="3150" spans="1:12" x14ac:dyDescent="0.25">
      <c r="A3150" t="str">
        <f t="shared" si="565"/>
        <v>89301000</v>
      </c>
      <c r="B3150" t="str">
        <f t="shared" si="557"/>
        <v>06539000</v>
      </c>
      <c r="C3150" t="str">
        <f t="shared" si="566"/>
        <v>06539003</v>
      </c>
      <c r="D3150">
        <v>89301171</v>
      </c>
      <c r="E3150" t="str">
        <f t="shared" si="563"/>
        <v>9858245749</v>
      </c>
      <c r="F3150" s="1">
        <v>44995</v>
      </c>
      <c r="G3150" t="str">
        <f>"91329"</f>
        <v>91329</v>
      </c>
      <c r="H3150">
        <v>2</v>
      </c>
      <c r="I3150">
        <v>436</v>
      </c>
      <c r="J3150">
        <v>0</v>
      </c>
      <c r="K3150" t="str">
        <f t="shared" si="567"/>
        <v>813</v>
      </c>
      <c r="L3150">
        <v>366.24</v>
      </c>
    </row>
    <row r="3151" spans="1:12" x14ac:dyDescent="0.25">
      <c r="A3151" t="str">
        <f t="shared" si="565"/>
        <v>89301000</v>
      </c>
      <c r="B3151" t="str">
        <f t="shared" si="557"/>
        <v>06539000</v>
      </c>
      <c r="C3151" t="str">
        <f t="shared" si="566"/>
        <v>06539003</v>
      </c>
      <c r="D3151">
        <v>89301171</v>
      </c>
      <c r="E3151" t="str">
        <f t="shared" si="563"/>
        <v>9858245749</v>
      </c>
      <c r="F3151" s="1">
        <v>44977</v>
      </c>
      <c r="G3151" t="str">
        <f t="shared" ref="G3151:G3156" si="568">"91197"</f>
        <v>91197</v>
      </c>
      <c r="H3151">
        <v>1</v>
      </c>
      <c r="I3151">
        <v>1048</v>
      </c>
      <c r="J3151">
        <v>0</v>
      </c>
      <c r="K3151" t="str">
        <f t="shared" si="567"/>
        <v>813</v>
      </c>
      <c r="L3151">
        <v>880.32</v>
      </c>
    </row>
    <row r="3152" spans="1:12" x14ac:dyDescent="0.25">
      <c r="A3152" t="str">
        <f t="shared" si="565"/>
        <v>89301000</v>
      </c>
      <c r="B3152" t="str">
        <f t="shared" si="557"/>
        <v>06539000</v>
      </c>
      <c r="C3152" t="str">
        <f t="shared" si="566"/>
        <v>06539003</v>
      </c>
      <c r="D3152">
        <v>89301171</v>
      </c>
      <c r="E3152" t="str">
        <f t="shared" si="563"/>
        <v>9858245749</v>
      </c>
      <c r="F3152" s="1">
        <v>44977</v>
      </c>
      <c r="G3152" t="str">
        <f t="shared" si="568"/>
        <v>91197</v>
      </c>
      <c r="H3152">
        <v>1</v>
      </c>
      <c r="I3152">
        <v>1048</v>
      </c>
      <c r="J3152">
        <v>0</v>
      </c>
      <c r="K3152" t="str">
        <f t="shared" si="567"/>
        <v>813</v>
      </c>
      <c r="L3152">
        <v>880.32</v>
      </c>
    </row>
    <row r="3153" spans="1:12" x14ac:dyDescent="0.25">
      <c r="A3153" t="str">
        <f t="shared" si="565"/>
        <v>89301000</v>
      </c>
      <c r="B3153" t="str">
        <f t="shared" si="557"/>
        <v>06539000</v>
      </c>
      <c r="C3153" t="str">
        <f t="shared" si="566"/>
        <v>06539003</v>
      </c>
      <c r="D3153">
        <v>89301171</v>
      </c>
      <c r="E3153" t="str">
        <f t="shared" si="563"/>
        <v>9858245749</v>
      </c>
      <c r="F3153" s="1">
        <v>44976</v>
      </c>
      <c r="G3153" t="str">
        <f t="shared" si="568"/>
        <v>91197</v>
      </c>
      <c r="H3153">
        <v>1</v>
      </c>
      <c r="I3153">
        <v>1048</v>
      </c>
      <c r="J3153">
        <v>0</v>
      </c>
      <c r="K3153" t="str">
        <f t="shared" si="567"/>
        <v>813</v>
      </c>
      <c r="L3153">
        <v>880.32</v>
      </c>
    </row>
    <row r="3154" spans="1:12" x14ac:dyDescent="0.25">
      <c r="A3154" t="str">
        <f t="shared" si="565"/>
        <v>89301000</v>
      </c>
      <c r="B3154" t="str">
        <f t="shared" si="557"/>
        <v>06539000</v>
      </c>
      <c r="C3154" t="str">
        <f t="shared" si="566"/>
        <v>06539003</v>
      </c>
      <c r="D3154">
        <v>89301171</v>
      </c>
      <c r="E3154" t="str">
        <f t="shared" si="563"/>
        <v>9858245749</v>
      </c>
      <c r="F3154" s="1">
        <v>44976</v>
      </c>
      <c r="G3154" t="str">
        <f t="shared" si="568"/>
        <v>91197</v>
      </c>
      <c r="H3154">
        <v>1</v>
      </c>
      <c r="I3154">
        <v>1048</v>
      </c>
      <c r="J3154">
        <v>0</v>
      </c>
      <c r="K3154" t="str">
        <f t="shared" si="567"/>
        <v>813</v>
      </c>
      <c r="L3154">
        <v>880.32</v>
      </c>
    </row>
    <row r="3155" spans="1:12" x14ac:dyDescent="0.25">
      <c r="A3155" t="str">
        <f t="shared" si="565"/>
        <v>89301000</v>
      </c>
      <c r="B3155" t="str">
        <f t="shared" si="557"/>
        <v>06539000</v>
      </c>
      <c r="C3155" t="str">
        <f t="shared" si="566"/>
        <v>06539003</v>
      </c>
      <c r="D3155">
        <v>89301171</v>
      </c>
      <c r="E3155" t="str">
        <f t="shared" si="563"/>
        <v>9858245749</v>
      </c>
      <c r="F3155" s="1">
        <v>44975</v>
      </c>
      <c r="G3155" t="str">
        <f t="shared" si="568"/>
        <v>91197</v>
      </c>
      <c r="H3155">
        <v>1</v>
      </c>
      <c r="I3155">
        <v>1048</v>
      </c>
      <c r="J3155">
        <v>0</v>
      </c>
      <c r="K3155" t="str">
        <f t="shared" si="567"/>
        <v>813</v>
      </c>
      <c r="L3155">
        <v>880.32</v>
      </c>
    </row>
    <row r="3156" spans="1:12" x14ac:dyDescent="0.25">
      <c r="A3156" t="str">
        <f t="shared" si="565"/>
        <v>89301000</v>
      </c>
      <c r="B3156" t="str">
        <f t="shared" si="557"/>
        <v>06539000</v>
      </c>
      <c r="C3156" t="str">
        <f t="shared" si="566"/>
        <v>06539003</v>
      </c>
      <c r="D3156">
        <v>89301171</v>
      </c>
      <c r="E3156" t="str">
        <f t="shared" si="563"/>
        <v>9858245749</v>
      </c>
      <c r="F3156" s="1">
        <v>44975</v>
      </c>
      <c r="G3156" t="str">
        <f t="shared" si="568"/>
        <v>91197</v>
      </c>
      <c r="H3156">
        <v>1</v>
      </c>
      <c r="I3156">
        <v>1048</v>
      </c>
      <c r="J3156">
        <v>0</v>
      </c>
      <c r="K3156" t="str">
        <f t="shared" si="567"/>
        <v>813</v>
      </c>
      <c r="L3156">
        <v>880.32</v>
      </c>
    </row>
    <row r="3157" spans="1:12" x14ac:dyDescent="0.25">
      <c r="A3157" t="str">
        <f t="shared" si="565"/>
        <v>89301000</v>
      </c>
      <c r="B3157" t="str">
        <f t="shared" si="557"/>
        <v>06539000</v>
      </c>
      <c r="C3157" t="str">
        <f t="shared" si="566"/>
        <v>06539003</v>
      </c>
      <c r="D3157">
        <v>89301171</v>
      </c>
      <c r="E3157" t="str">
        <f t="shared" si="563"/>
        <v>9858245749</v>
      </c>
      <c r="F3157" s="1">
        <v>44977</v>
      </c>
      <c r="G3157" t="str">
        <f>"91129"</f>
        <v>91129</v>
      </c>
      <c r="H3157">
        <v>1</v>
      </c>
      <c r="I3157">
        <v>175</v>
      </c>
      <c r="J3157">
        <v>0</v>
      </c>
      <c r="K3157" t="str">
        <f t="shared" si="567"/>
        <v>813</v>
      </c>
      <c r="L3157">
        <v>147</v>
      </c>
    </row>
    <row r="3158" spans="1:12" x14ac:dyDescent="0.25">
      <c r="A3158" t="str">
        <f t="shared" si="565"/>
        <v>89301000</v>
      </c>
      <c r="B3158" t="str">
        <f t="shared" si="557"/>
        <v>06539000</v>
      </c>
      <c r="C3158" t="str">
        <f t="shared" si="566"/>
        <v>06539003</v>
      </c>
      <c r="D3158">
        <v>89301171</v>
      </c>
      <c r="E3158" t="str">
        <f t="shared" si="563"/>
        <v>9858245749</v>
      </c>
      <c r="F3158" s="1">
        <v>44977</v>
      </c>
      <c r="G3158" t="str">
        <f>"91131"</f>
        <v>91131</v>
      </c>
      <c r="H3158">
        <v>1</v>
      </c>
      <c r="I3158">
        <v>171</v>
      </c>
      <c r="J3158">
        <v>0</v>
      </c>
      <c r="K3158" t="str">
        <f t="shared" si="567"/>
        <v>813</v>
      </c>
      <c r="L3158">
        <v>143.63999999999999</v>
      </c>
    </row>
    <row r="3159" spans="1:12" x14ac:dyDescent="0.25">
      <c r="A3159" t="str">
        <f t="shared" si="565"/>
        <v>89301000</v>
      </c>
      <c r="B3159" t="str">
        <f t="shared" si="557"/>
        <v>06539000</v>
      </c>
      <c r="C3159" t="str">
        <f t="shared" si="566"/>
        <v>06539003</v>
      </c>
      <c r="D3159">
        <v>89301171</v>
      </c>
      <c r="E3159" t="str">
        <f t="shared" si="563"/>
        <v>9858245749</v>
      </c>
      <c r="F3159" s="1">
        <v>44977</v>
      </c>
      <c r="G3159" t="str">
        <f>"91133"</f>
        <v>91133</v>
      </c>
      <c r="H3159">
        <v>1</v>
      </c>
      <c r="I3159">
        <v>177</v>
      </c>
      <c r="J3159">
        <v>0</v>
      </c>
      <c r="K3159" t="str">
        <f t="shared" si="567"/>
        <v>813</v>
      </c>
      <c r="L3159">
        <v>148.68</v>
      </c>
    </row>
    <row r="3160" spans="1:12" x14ac:dyDescent="0.25">
      <c r="A3160" t="str">
        <f t="shared" si="565"/>
        <v>89301000</v>
      </c>
      <c r="B3160" t="str">
        <f t="shared" si="557"/>
        <v>06539000</v>
      </c>
      <c r="C3160" t="str">
        <f t="shared" si="566"/>
        <v>06539003</v>
      </c>
      <c r="D3160">
        <v>89301171</v>
      </c>
      <c r="E3160" t="str">
        <f t="shared" si="563"/>
        <v>9858245749</v>
      </c>
      <c r="F3160" s="1">
        <v>44977</v>
      </c>
      <c r="G3160" t="str">
        <f>"91171"</f>
        <v>91171</v>
      </c>
      <c r="H3160">
        <v>1</v>
      </c>
      <c r="I3160">
        <v>362</v>
      </c>
      <c r="J3160">
        <v>0</v>
      </c>
      <c r="K3160" t="str">
        <f t="shared" si="567"/>
        <v>813</v>
      </c>
      <c r="L3160">
        <v>304.08</v>
      </c>
    </row>
    <row r="3161" spans="1:12" x14ac:dyDescent="0.25">
      <c r="A3161" t="str">
        <f t="shared" si="565"/>
        <v>89301000</v>
      </c>
      <c r="B3161" t="str">
        <f t="shared" si="557"/>
        <v>06539000</v>
      </c>
      <c r="C3161" t="str">
        <f t="shared" si="566"/>
        <v>06539003</v>
      </c>
      <c r="D3161">
        <v>89301171</v>
      </c>
      <c r="E3161" t="str">
        <f t="shared" si="563"/>
        <v>9858245749</v>
      </c>
      <c r="F3161" s="1">
        <v>44977</v>
      </c>
      <c r="G3161" t="str">
        <f>"91175"</f>
        <v>91175</v>
      </c>
      <c r="H3161">
        <v>1</v>
      </c>
      <c r="I3161">
        <v>362</v>
      </c>
      <c r="J3161">
        <v>0</v>
      </c>
      <c r="K3161" t="str">
        <f t="shared" si="567"/>
        <v>813</v>
      </c>
      <c r="L3161">
        <v>304.08</v>
      </c>
    </row>
    <row r="3162" spans="1:12" x14ac:dyDescent="0.25">
      <c r="A3162" t="str">
        <f t="shared" si="565"/>
        <v>89301000</v>
      </c>
      <c r="B3162" t="str">
        <f t="shared" si="557"/>
        <v>06539000</v>
      </c>
      <c r="C3162" t="str">
        <f t="shared" si="566"/>
        <v>06539003</v>
      </c>
      <c r="D3162">
        <v>89301171</v>
      </c>
      <c r="E3162" t="str">
        <f t="shared" si="563"/>
        <v>9858245749</v>
      </c>
      <c r="F3162" s="1">
        <v>44975</v>
      </c>
      <c r="G3162" t="str">
        <f>"91167"</f>
        <v>91167</v>
      </c>
      <c r="H3162">
        <v>1</v>
      </c>
      <c r="I3162">
        <v>426</v>
      </c>
      <c r="J3162">
        <v>0</v>
      </c>
      <c r="K3162" t="str">
        <f t="shared" si="567"/>
        <v>813</v>
      </c>
      <c r="L3162">
        <v>357.84</v>
      </c>
    </row>
    <row r="3163" spans="1:12" x14ac:dyDescent="0.25">
      <c r="A3163" t="str">
        <f t="shared" si="565"/>
        <v>89301000</v>
      </c>
      <c r="B3163" t="str">
        <f t="shared" si="557"/>
        <v>06539000</v>
      </c>
      <c r="C3163" t="str">
        <f t="shared" si="566"/>
        <v>06539003</v>
      </c>
      <c r="D3163">
        <v>89301171</v>
      </c>
      <c r="E3163" t="str">
        <f t="shared" si="563"/>
        <v>9858245749</v>
      </c>
      <c r="F3163" s="1">
        <v>44975</v>
      </c>
      <c r="G3163" t="str">
        <f>"91169"</f>
        <v>91169</v>
      </c>
      <c r="H3163">
        <v>1</v>
      </c>
      <c r="I3163">
        <v>426</v>
      </c>
      <c r="J3163">
        <v>0</v>
      </c>
      <c r="K3163" t="str">
        <f t="shared" si="567"/>
        <v>813</v>
      </c>
      <c r="L3163">
        <v>357.84</v>
      </c>
    </row>
    <row r="3164" spans="1:12" x14ac:dyDescent="0.25">
      <c r="A3164" t="str">
        <f t="shared" si="565"/>
        <v>89301000</v>
      </c>
      <c r="B3164" t="str">
        <f t="shared" si="557"/>
        <v>06539000</v>
      </c>
      <c r="C3164" t="str">
        <f t="shared" si="566"/>
        <v>06539003</v>
      </c>
      <c r="D3164">
        <v>89301171</v>
      </c>
      <c r="E3164" t="str">
        <f t="shared" si="563"/>
        <v>9858245749</v>
      </c>
      <c r="F3164" s="1">
        <v>44984</v>
      </c>
      <c r="G3164" t="str">
        <f>"91475"</f>
        <v>91475</v>
      </c>
      <c r="H3164">
        <v>1</v>
      </c>
      <c r="I3164">
        <v>213</v>
      </c>
      <c r="J3164">
        <v>0</v>
      </c>
      <c r="K3164" t="str">
        <f t="shared" si="567"/>
        <v>813</v>
      </c>
      <c r="L3164">
        <v>178.92</v>
      </c>
    </row>
    <row r="3165" spans="1:12" x14ac:dyDescent="0.25">
      <c r="A3165" t="str">
        <f t="shared" si="565"/>
        <v>89301000</v>
      </c>
      <c r="B3165" t="str">
        <f t="shared" si="557"/>
        <v>06539000</v>
      </c>
      <c r="C3165" t="str">
        <f t="shared" si="566"/>
        <v>06539003</v>
      </c>
      <c r="D3165">
        <v>89301171</v>
      </c>
      <c r="E3165" t="str">
        <f t="shared" ref="E3165:E3175" si="569">"8610085440"</f>
        <v>8610085440</v>
      </c>
      <c r="F3165" s="1">
        <v>44980</v>
      </c>
      <c r="G3165" t="str">
        <f t="shared" ref="G3165:G3174" si="570">"91413"</f>
        <v>91413</v>
      </c>
      <c r="H3165">
        <v>1</v>
      </c>
      <c r="I3165">
        <v>868</v>
      </c>
      <c r="J3165">
        <v>0</v>
      </c>
      <c r="K3165" t="str">
        <f t="shared" si="567"/>
        <v>813</v>
      </c>
      <c r="L3165">
        <v>729.12</v>
      </c>
    </row>
    <row r="3166" spans="1:12" x14ac:dyDescent="0.25">
      <c r="A3166" t="str">
        <f t="shared" si="565"/>
        <v>89301000</v>
      </c>
      <c r="B3166" t="str">
        <f t="shared" ref="B3166:B3229" si="571">"06539000"</f>
        <v>06539000</v>
      </c>
      <c r="C3166" t="str">
        <f t="shared" si="566"/>
        <v>06539003</v>
      </c>
      <c r="D3166">
        <v>89301171</v>
      </c>
      <c r="E3166" t="str">
        <f t="shared" si="569"/>
        <v>8610085440</v>
      </c>
      <c r="F3166" s="1">
        <v>44980</v>
      </c>
      <c r="G3166" t="str">
        <f t="shared" si="570"/>
        <v>91413</v>
      </c>
      <c r="H3166">
        <v>1</v>
      </c>
      <c r="I3166">
        <v>868</v>
      </c>
      <c r="J3166">
        <v>0</v>
      </c>
      <c r="K3166" t="str">
        <f t="shared" si="567"/>
        <v>813</v>
      </c>
      <c r="L3166">
        <v>729.12</v>
      </c>
    </row>
    <row r="3167" spans="1:12" x14ac:dyDescent="0.25">
      <c r="A3167" t="str">
        <f t="shared" si="565"/>
        <v>89301000</v>
      </c>
      <c r="B3167" t="str">
        <f t="shared" si="571"/>
        <v>06539000</v>
      </c>
      <c r="C3167" t="str">
        <f t="shared" si="566"/>
        <v>06539003</v>
      </c>
      <c r="D3167">
        <v>89301171</v>
      </c>
      <c r="E3167" t="str">
        <f t="shared" si="569"/>
        <v>8610085440</v>
      </c>
      <c r="F3167" s="1">
        <v>44993</v>
      </c>
      <c r="G3167" t="str">
        <f t="shared" si="570"/>
        <v>91413</v>
      </c>
      <c r="H3167">
        <v>1</v>
      </c>
      <c r="I3167">
        <v>868</v>
      </c>
      <c r="J3167">
        <v>0</v>
      </c>
      <c r="K3167" t="str">
        <f t="shared" si="567"/>
        <v>813</v>
      </c>
      <c r="L3167">
        <v>729.12</v>
      </c>
    </row>
    <row r="3168" spans="1:12" x14ac:dyDescent="0.25">
      <c r="A3168" t="str">
        <f t="shared" si="565"/>
        <v>89301000</v>
      </c>
      <c r="B3168" t="str">
        <f t="shared" si="571"/>
        <v>06539000</v>
      </c>
      <c r="C3168" t="str">
        <f t="shared" si="566"/>
        <v>06539003</v>
      </c>
      <c r="D3168">
        <v>89301171</v>
      </c>
      <c r="E3168" t="str">
        <f t="shared" si="569"/>
        <v>8610085440</v>
      </c>
      <c r="F3168" s="1">
        <v>44993</v>
      </c>
      <c r="G3168" t="str">
        <f t="shared" si="570"/>
        <v>91413</v>
      </c>
      <c r="H3168">
        <v>1</v>
      </c>
      <c r="I3168">
        <v>868</v>
      </c>
      <c r="J3168">
        <v>0</v>
      </c>
      <c r="K3168" t="str">
        <f t="shared" si="567"/>
        <v>813</v>
      </c>
      <c r="L3168">
        <v>729.12</v>
      </c>
    </row>
    <row r="3169" spans="1:12" x14ac:dyDescent="0.25">
      <c r="A3169" t="str">
        <f t="shared" si="565"/>
        <v>89301000</v>
      </c>
      <c r="B3169" t="str">
        <f t="shared" si="571"/>
        <v>06539000</v>
      </c>
      <c r="C3169" t="str">
        <f t="shared" si="566"/>
        <v>06539003</v>
      </c>
      <c r="D3169">
        <v>89301171</v>
      </c>
      <c r="E3169" t="str">
        <f t="shared" si="569"/>
        <v>8610085440</v>
      </c>
      <c r="F3169" s="1">
        <v>44993</v>
      </c>
      <c r="G3169" t="str">
        <f t="shared" si="570"/>
        <v>91413</v>
      </c>
      <c r="H3169">
        <v>1</v>
      </c>
      <c r="I3169">
        <v>868</v>
      </c>
      <c r="J3169">
        <v>0</v>
      </c>
      <c r="K3169" t="str">
        <f t="shared" si="567"/>
        <v>813</v>
      </c>
      <c r="L3169">
        <v>729.12</v>
      </c>
    </row>
    <row r="3170" spans="1:12" x14ac:dyDescent="0.25">
      <c r="A3170" t="str">
        <f t="shared" si="565"/>
        <v>89301000</v>
      </c>
      <c r="B3170" t="str">
        <f t="shared" si="571"/>
        <v>06539000</v>
      </c>
      <c r="C3170" t="str">
        <f t="shared" si="566"/>
        <v>06539003</v>
      </c>
      <c r="D3170">
        <v>89301171</v>
      </c>
      <c r="E3170" t="str">
        <f t="shared" si="569"/>
        <v>8610085440</v>
      </c>
      <c r="F3170" s="1">
        <v>44993</v>
      </c>
      <c r="G3170" t="str">
        <f t="shared" si="570"/>
        <v>91413</v>
      </c>
      <c r="H3170">
        <v>1</v>
      </c>
      <c r="I3170">
        <v>868</v>
      </c>
      <c r="J3170">
        <v>0</v>
      </c>
      <c r="K3170" t="str">
        <f t="shared" si="567"/>
        <v>813</v>
      </c>
      <c r="L3170">
        <v>729.12</v>
      </c>
    </row>
    <row r="3171" spans="1:12" x14ac:dyDescent="0.25">
      <c r="A3171" t="str">
        <f t="shared" si="565"/>
        <v>89301000</v>
      </c>
      <c r="B3171" t="str">
        <f t="shared" si="571"/>
        <v>06539000</v>
      </c>
      <c r="C3171" t="str">
        <f t="shared" si="566"/>
        <v>06539003</v>
      </c>
      <c r="D3171">
        <v>89301171</v>
      </c>
      <c r="E3171" t="str">
        <f t="shared" si="569"/>
        <v>8610085440</v>
      </c>
      <c r="F3171" s="1">
        <v>44995</v>
      </c>
      <c r="G3171" t="str">
        <f t="shared" si="570"/>
        <v>91413</v>
      </c>
      <c r="H3171">
        <v>1</v>
      </c>
      <c r="I3171">
        <v>868</v>
      </c>
      <c r="J3171">
        <v>0</v>
      </c>
      <c r="K3171" t="str">
        <f t="shared" si="567"/>
        <v>813</v>
      </c>
      <c r="L3171">
        <v>729.12</v>
      </c>
    </row>
    <row r="3172" spans="1:12" x14ac:dyDescent="0.25">
      <c r="A3172" t="str">
        <f t="shared" si="565"/>
        <v>89301000</v>
      </c>
      <c r="B3172" t="str">
        <f t="shared" si="571"/>
        <v>06539000</v>
      </c>
      <c r="C3172" t="str">
        <f t="shared" si="566"/>
        <v>06539003</v>
      </c>
      <c r="D3172">
        <v>89301171</v>
      </c>
      <c r="E3172" t="str">
        <f t="shared" si="569"/>
        <v>8610085440</v>
      </c>
      <c r="F3172" s="1">
        <v>44995</v>
      </c>
      <c r="G3172" t="str">
        <f t="shared" si="570"/>
        <v>91413</v>
      </c>
      <c r="H3172">
        <v>1</v>
      </c>
      <c r="I3172">
        <v>868</v>
      </c>
      <c r="J3172">
        <v>0</v>
      </c>
      <c r="K3172" t="str">
        <f t="shared" si="567"/>
        <v>813</v>
      </c>
      <c r="L3172">
        <v>729.12</v>
      </c>
    </row>
    <row r="3173" spans="1:12" x14ac:dyDescent="0.25">
      <c r="A3173" t="str">
        <f t="shared" si="565"/>
        <v>89301000</v>
      </c>
      <c r="B3173" t="str">
        <f t="shared" si="571"/>
        <v>06539000</v>
      </c>
      <c r="C3173" t="str">
        <f t="shared" si="566"/>
        <v>06539003</v>
      </c>
      <c r="D3173">
        <v>89301171</v>
      </c>
      <c r="E3173" t="str">
        <f t="shared" si="569"/>
        <v>8610085440</v>
      </c>
      <c r="F3173" s="1">
        <v>44995</v>
      </c>
      <c r="G3173" t="str">
        <f t="shared" si="570"/>
        <v>91413</v>
      </c>
      <c r="H3173">
        <v>1</v>
      </c>
      <c r="I3173">
        <v>868</v>
      </c>
      <c r="J3173">
        <v>0</v>
      </c>
      <c r="K3173" t="str">
        <f t="shared" si="567"/>
        <v>813</v>
      </c>
      <c r="L3173">
        <v>729.12</v>
      </c>
    </row>
    <row r="3174" spans="1:12" x14ac:dyDescent="0.25">
      <c r="A3174" t="str">
        <f t="shared" si="565"/>
        <v>89301000</v>
      </c>
      <c r="B3174" t="str">
        <f t="shared" si="571"/>
        <v>06539000</v>
      </c>
      <c r="C3174" t="str">
        <f t="shared" si="566"/>
        <v>06539003</v>
      </c>
      <c r="D3174">
        <v>89301171</v>
      </c>
      <c r="E3174" t="str">
        <f t="shared" si="569"/>
        <v>8610085440</v>
      </c>
      <c r="F3174" s="1">
        <v>44995</v>
      </c>
      <c r="G3174" t="str">
        <f t="shared" si="570"/>
        <v>91413</v>
      </c>
      <c r="H3174">
        <v>1</v>
      </c>
      <c r="I3174">
        <v>868</v>
      </c>
      <c r="J3174">
        <v>0</v>
      </c>
      <c r="K3174" t="str">
        <f t="shared" si="567"/>
        <v>813</v>
      </c>
      <c r="L3174">
        <v>729.12</v>
      </c>
    </row>
    <row r="3175" spans="1:12" x14ac:dyDescent="0.25">
      <c r="A3175" t="str">
        <f t="shared" si="565"/>
        <v>89301000</v>
      </c>
      <c r="B3175" t="str">
        <f t="shared" si="571"/>
        <v>06539000</v>
      </c>
      <c r="C3175" t="str">
        <f t="shared" si="566"/>
        <v>06539003</v>
      </c>
      <c r="D3175">
        <v>89301171</v>
      </c>
      <c r="E3175" t="str">
        <f t="shared" si="569"/>
        <v>8610085440</v>
      </c>
      <c r="F3175" s="1">
        <v>44980</v>
      </c>
      <c r="G3175" t="str">
        <f>"91475"</f>
        <v>91475</v>
      </c>
      <c r="H3175">
        <v>1</v>
      </c>
      <c r="I3175">
        <v>213</v>
      </c>
      <c r="J3175">
        <v>0</v>
      </c>
      <c r="K3175" t="str">
        <f t="shared" si="567"/>
        <v>813</v>
      </c>
      <c r="L3175">
        <v>178.92</v>
      </c>
    </row>
    <row r="3176" spans="1:12" x14ac:dyDescent="0.25">
      <c r="A3176" t="str">
        <f t="shared" si="565"/>
        <v>89301000</v>
      </c>
      <c r="B3176" t="str">
        <f t="shared" si="571"/>
        <v>06539000</v>
      </c>
      <c r="C3176" t="str">
        <f>"06539001"</f>
        <v>06539001</v>
      </c>
      <c r="D3176">
        <v>89301171</v>
      </c>
      <c r="E3176" t="str">
        <f t="shared" ref="E3176:E3217" si="572">"7661265381"</f>
        <v>7661265381</v>
      </c>
      <c r="F3176" s="1">
        <v>44981</v>
      </c>
      <c r="G3176" t="str">
        <f>"81329"</f>
        <v>81329</v>
      </c>
      <c r="H3176">
        <v>1</v>
      </c>
      <c r="I3176">
        <v>17</v>
      </c>
      <c r="J3176">
        <v>0</v>
      </c>
      <c r="K3176" t="str">
        <f>"801"</f>
        <v>801</v>
      </c>
      <c r="L3176">
        <v>14.28</v>
      </c>
    </row>
    <row r="3177" spans="1:12" x14ac:dyDescent="0.25">
      <c r="A3177" t="str">
        <f t="shared" si="565"/>
        <v>89301000</v>
      </c>
      <c r="B3177" t="str">
        <f t="shared" si="571"/>
        <v>06539000</v>
      </c>
      <c r="C3177" t="str">
        <f>"06539001"</f>
        <v>06539001</v>
      </c>
      <c r="D3177">
        <v>89301171</v>
      </c>
      <c r="E3177" t="str">
        <f t="shared" si="572"/>
        <v>7661265381</v>
      </c>
      <c r="F3177" s="1">
        <v>44981</v>
      </c>
      <c r="G3177" t="str">
        <f>"81331"</f>
        <v>81331</v>
      </c>
      <c r="H3177">
        <v>1</v>
      </c>
      <c r="I3177">
        <v>193</v>
      </c>
      <c r="J3177">
        <v>0</v>
      </c>
      <c r="K3177" t="str">
        <f>"801"</f>
        <v>801</v>
      </c>
      <c r="L3177">
        <v>162.12</v>
      </c>
    </row>
    <row r="3178" spans="1:12" x14ac:dyDescent="0.25">
      <c r="A3178" t="str">
        <f t="shared" si="565"/>
        <v>89301000</v>
      </c>
      <c r="B3178" t="str">
        <f t="shared" si="571"/>
        <v>06539000</v>
      </c>
      <c r="C3178" t="str">
        <f t="shared" ref="C3178:C3185" si="573">"06539002"</f>
        <v>06539002</v>
      </c>
      <c r="D3178">
        <v>89301171</v>
      </c>
      <c r="E3178" t="str">
        <f t="shared" si="572"/>
        <v>7661265381</v>
      </c>
      <c r="F3178" s="1">
        <v>44981</v>
      </c>
      <c r="G3178" t="str">
        <f t="shared" ref="G3178:G3185" si="574">"82097"</f>
        <v>82097</v>
      </c>
      <c r="H3178">
        <v>1</v>
      </c>
      <c r="I3178">
        <v>381</v>
      </c>
      <c r="J3178">
        <v>0</v>
      </c>
      <c r="K3178" t="str">
        <f t="shared" ref="K3178:K3185" si="575">"802"</f>
        <v>802</v>
      </c>
      <c r="L3178">
        <v>369.57</v>
      </c>
    </row>
    <row r="3179" spans="1:12" x14ac:dyDescent="0.25">
      <c r="A3179" t="str">
        <f t="shared" si="565"/>
        <v>89301000</v>
      </c>
      <c r="B3179" t="str">
        <f t="shared" si="571"/>
        <v>06539000</v>
      </c>
      <c r="C3179" t="str">
        <f t="shared" si="573"/>
        <v>06539002</v>
      </c>
      <c r="D3179">
        <v>89301171</v>
      </c>
      <c r="E3179" t="str">
        <f t="shared" si="572"/>
        <v>7661265381</v>
      </c>
      <c r="F3179" s="1">
        <v>44981</v>
      </c>
      <c r="G3179" t="str">
        <f t="shared" si="574"/>
        <v>82097</v>
      </c>
      <c r="H3179">
        <v>1</v>
      </c>
      <c r="I3179">
        <v>381</v>
      </c>
      <c r="J3179">
        <v>0</v>
      </c>
      <c r="K3179" t="str">
        <f t="shared" si="575"/>
        <v>802</v>
      </c>
      <c r="L3179">
        <v>369.57</v>
      </c>
    </row>
    <row r="3180" spans="1:12" x14ac:dyDescent="0.25">
      <c r="A3180" t="str">
        <f t="shared" si="565"/>
        <v>89301000</v>
      </c>
      <c r="B3180" t="str">
        <f t="shared" si="571"/>
        <v>06539000</v>
      </c>
      <c r="C3180" t="str">
        <f t="shared" si="573"/>
        <v>06539002</v>
      </c>
      <c r="D3180">
        <v>89301171</v>
      </c>
      <c r="E3180" t="str">
        <f t="shared" si="572"/>
        <v>7661265381</v>
      </c>
      <c r="F3180" s="1">
        <v>44981</v>
      </c>
      <c r="G3180" t="str">
        <f t="shared" si="574"/>
        <v>82097</v>
      </c>
      <c r="H3180">
        <v>1</v>
      </c>
      <c r="I3180">
        <v>381</v>
      </c>
      <c r="J3180">
        <v>0</v>
      </c>
      <c r="K3180" t="str">
        <f t="shared" si="575"/>
        <v>802</v>
      </c>
      <c r="L3180">
        <v>369.57</v>
      </c>
    </row>
    <row r="3181" spans="1:12" x14ac:dyDescent="0.25">
      <c r="A3181" t="str">
        <f t="shared" si="565"/>
        <v>89301000</v>
      </c>
      <c r="B3181" t="str">
        <f t="shared" si="571"/>
        <v>06539000</v>
      </c>
      <c r="C3181" t="str">
        <f t="shared" si="573"/>
        <v>06539002</v>
      </c>
      <c r="D3181">
        <v>89301171</v>
      </c>
      <c r="E3181" t="str">
        <f t="shared" si="572"/>
        <v>7661265381</v>
      </c>
      <c r="F3181" s="1">
        <v>44981</v>
      </c>
      <c r="G3181" t="str">
        <f t="shared" si="574"/>
        <v>82097</v>
      </c>
      <c r="H3181">
        <v>1</v>
      </c>
      <c r="I3181">
        <v>381</v>
      </c>
      <c r="J3181">
        <v>0</v>
      </c>
      <c r="K3181" t="str">
        <f t="shared" si="575"/>
        <v>802</v>
      </c>
      <c r="L3181">
        <v>369.57</v>
      </c>
    </row>
    <row r="3182" spans="1:12" x14ac:dyDescent="0.25">
      <c r="A3182" t="str">
        <f t="shared" si="565"/>
        <v>89301000</v>
      </c>
      <c r="B3182" t="str">
        <f t="shared" si="571"/>
        <v>06539000</v>
      </c>
      <c r="C3182" t="str">
        <f t="shared" si="573"/>
        <v>06539002</v>
      </c>
      <c r="D3182">
        <v>89301171</v>
      </c>
      <c r="E3182" t="str">
        <f t="shared" si="572"/>
        <v>7661265381</v>
      </c>
      <c r="F3182" s="1">
        <v>44981</v>
      </c>
      <c r="G3182" t="str">
        <f t="shared" si="574"/>
        <v>82097</v>
      </c>
      <c r="H3182">
        <v>1</v>
      </c>
      <c r="I3182">
        <v>381</v>
      </c>
      <c r="J3182">
        <v>0</v>
      </c>
      <c r="K3182" t="str">
        <f t="shared" si="575"/>
        <v>802</v>
      </c>
      <c r="L3182">
        <v>369.57</v>
      </c>
    </row>
    <row r="3183" spans="1:12" x14ac:dyDescent="0.25">
      <c r="A3183" t="str">
        <f t="shared" si="565"/>
        <v>89301000</v>
      </c>
      <c r="B3183" t="str">
        <f t="shared" si="571"/>
        <v>06539000</v>
      </c>
      <c r="C3183" t="str">
        <f t="shared" si="573"/>
        <v>06539002</v>
      </c>
      <c r="D3183">
        <v>89301171</v>
      </c>
      <c r="E3183" t="str">
        <f t="shared" si="572"/>
        <v>7661265381</v>
      </c>
      <c r="F3183" s="1">
        <v>44981</v>
      </c>
      <c r="G3183" t="str">
        <f t="shared" si="574"/>
        <v>82097</v>
      </c>
      <c r="H3183">
        <v>1</v>
      </c>
      <c r="I3183">
        <v>381</v>
      </c>
      <c r="J3183">
        <v>0</v>
      </c>
      <c r="K3183" t="str">
        <f t="shared" si="575"/>
        <v>802</v>
      </c>
      <c r="L3183">
        <v>369.57</v>
      </c>
    </row>
    <row r="3184" spans="1:12" x14ac:dyDescent="0.25">
      <c r="A3184" t="str">
        <f t="shared" si="565"/>
        <v>89301000</v>
      </c>
      <c r="B3184" t="str">
        <f t="shared" si="571"/>
        <v>06539000</v>
      </c>
      <c r="C3184" t="str">
        <f t="shared" si="573"/>
        <v>06539002</v>
      </c>
      <c r="D3184">
        <v>89301171</v>
      </c>
      <c r="E3184" t="str">
        <f t="shared" si="572"/>
        <v>7661265381</v>
      </c>
      <c r="F3184" s="1">
        <v>44981</v>
      </c>
      <c r="G3184" t="str">
        <f t="shared" si="574"/>
        <v>82097</v>
      </c>
      <c r="H3184">
        <v>1</v>
      </c>
      <c r="I3184">
        <v>381</v>
      </c>
      <c r="J3184">
        <v>0</v>
      </c>
      <c r="K3184" t="str">
        <f t="shared" si="575"/>
        <v>802</v>
      </c>
      <c r="L3184">
        <v>369.57</v>
      </c>
    </row>
    <row r="3185" spans="1:12" x14ac:dyDescent="0.25">
      <c r="A3185" t="str">
        <f t="shared" si="565"/>
        <v>89301000</v>
      </c>
      <c r="B3185" t="str">
        <f t="shared" si="571"/>
        <v>06539000</v>
      </c>
      <c r="C3185" t="str">
        <f t="shared" si="573"/>
        <v>06539002</v>
      </c>
      <c r="D3185">
        <v>89301171</v>
      </c>
      <c r="E3185" t="str">
        <f t="shared" si="572"/>
        <v>7661265381</v>
      </c>
      <c r="F3185" s="1">
        <v>44981</v>
      </c>
      <c r="G3185" t="str">
        <f t="shared" si="574"/>
        <v>82097</v>
      </c>
      <c r="H3185">
        <v>1</v>
      </c>
      <c r="I3185">
        <v>381</v>
      </c>
      <c r="J3185">
        <v>0</v>
      </c>
      <c r="K3185" t="str">
        <f t="shared" si="575"/>
        <v>802</v>
      </c>
      <c r="L3185">
        <v>369.57</v>
      </c>
    </row>
    <row r="3186" spans="1:12" x14ac:dyDescent="0.25">
      <c r="A3186" t="str">
        <f t="shared" si="565"/>
        <v>89301000</v>
      </c>
      <c r="B3186" t="str">
        <f t="shared" si="571"/>
        <v>06539000</v>
      </c>
      <c r="C3186" t="str">
        <f t="shared" ref="C3186:C3217" si="576">"06539003"</f>
        <v>06539003</v>
      </c>
      <c r="D3186">
        <v>89301171</v>
      </c>
      <c r="E3186" t="str">
        <f t="shared" si="572"/>
        <v>7661265381</v>
      </c>
      <c r="F3186" s="1">
        <v>44986</v>
      </c>
      <c r="G3186" t="str">
        <f t="shared" ref="G3186:G3195" si="577">"91413"</f>
        <v>91413</v>
      </c>
      <c r="H3186">
        <v>1</v>
      </c>
      <c r="I3186">
        <v>868</v>
      </c>
      <c r="J3186">
        <v>0</v>
      </c>
      <c r="K3186" t="str">
        <f t="shared" ref="K3186:K3217" si="578">"813"</f>
        <v>813</v>
      </c>
      <c r="L3186">
        <v>729.12</v>
      </c>
    </row>
    <row r="3187" spans="1:12" x14ac:dyDescent="0.25">
      <c r="A3187" t="str">
        <f t="shared" si="565"/>
        <v>89301000</v>
      </c>
      <c r="B3187" t="str">
        <f t="shared" si="571"/>
        <v>06539000</v>
      </c>
      <c r="C3187" t="str">
        <f t="shared" si="576"/>
        <v>06539003</v>
      </c>
      <c r="D3187">
        <v>89301171</v>
      </c>
      <c r="E3187" t="str">
        <f t="shared" si="572"/>
        <v>7661265381</v>
      </c>
      <c r="F3187" s="1">
        <v>44986</v>
      </c>
      <c r="G3187" t="str">
        <f t="shared" si="577"/>
        <v>91413</v>
      </c>
      <c r="H3187">
        <v>1</v>
      </c>
      <c r="I3187">
        <v>868</v>
      </c>
      <c r="J3187">
        <v>0</v>
      </c>
      <c r="K3187" t="str">
        <f t="shared" si="578"/>
        <v>813</v>
      </c>
      <c r="L3187">
        <v>729.12</v>
      </c>
    </row>
    <row r="3188" spans="1:12" x14ac:dyDescent="0.25">
      <c r="A3188" t="str">
        <f t="shared" si="565"/>
        <v>89301000</v>
      </c>
      <c r="B3188" t="str">
        <f t="shared" si="571"/>
        <v>06539000</v>
      </c>
      <c r="C3188" t="str">
        <f t="shared" si="576"/>
        <v>06539003</v>
      </c>
      <c r="D3188">
        <v>89301171</v>
      </c>
      <c r="E3188" t="str">
        <f t="shared" si="572"/>
        <v>7661265381</v>
      </c>
      <c r="F3188" s="1">
        <v>45002</v>
      </c>
      <c r="G3188" t="str">
        <f t="shared" si="577"/>
        <v>91413</v>
      </c>
      <c r="H3188">
        <v>1</v>
      </c>
      <c r="I3188">
        <v>868</v>
      </c>
      <c r="J3188">
        <v>0</v>
      </c>
      <c r="K3188" t="str">
        <f t="shared" si="578"/>
        <v>813</v>
      </c>
      <c r="L3188">
        <v>729.12</v>
      </c>
    </row>
    <row r="3189" spans="1:12" x14ac:dyDescent="0.25">
      <c r="A3189" t="str">
        <f t="shared" si="565"/>
        <v>89301000</v>
      </c>
      <c r="B3189" t="str">
        <f t="shared" si="571"/>
        <v>06539000</v>
      </c>
      <c r="C3189" t="str">
        <f t="shared" si="576"/>
        <v>06539003</v>
      </c>
      <c r="D3189">
        <v>89301171</v>
      </c>
      <c r="E3189" t="str">
        <f t="shared" si="572"/>
        <v>7661265381</v>
      </c>
      <c r="F3189" s="1">
        <v>45002</v>
      </c>
      <c r="G3189" t="str">
        <f t="shared" si="577"/>
        <v>91413</v>
      </c>
      <c r="H3189">
        <v>1</v>
      </c>
      <c r="I3189">
        <v>868</v>
      </c>
      <c r="J3189">
        <v>0</v>
      </c>
      <c r="K3189" t="str">
        <f t="shared" si="578"/>
        <v>813</v>
      </c>
      <c r="L3189">
        <v>729.12</v>
      </c>
    </row>
    <row r="3190" spans="1:12" x14ac:dyDescent="0.25">
      <c r="A3190" t="str">
        <f t="shared" si="565"/>
        <v>89301000</v>
      </c>
      <c r="B3190" t="str">
        <f t="shared" si="571"/>
        <v>06539000</v>
      </c>
      <c r="C3190" t="str">
        <f t="shared" si="576"/>
        <v>06539003</v>
      </c>
      <c r="D3190">
        <v>89301171</v>
      </c>
      <c r="E3190" t="str">
        <f t="shared" si="572"/>
        <v>7661265381</v>
      </c>
      <c r="F3190" s="1">
        <v>45001</v>
      </c>
      <c r="G3190" t="str">
        <f t="shared" si="577"/>
        <v>91413</v>
      </c>
      <c r="H3190">
        <v>1</v>
      </c>
      <c r="I3190">
        <v>868</v>
      </c>
      <c r="J3190">
        <v>0</v>
      </c>
      <c r="K3190" t="str">
        <f t="shared" si="578"/>
        <v>813</v>
      </c>
      <c r="L3190">
        <v>729.12</v>
      </c>
    </row>
    <row r="3191" spans="1:12" x14ac:dyDescent="0.25">
      <c r="A3191" t="str">
        <f t="shared" si="565"/>
        <v>89301000</v>
      </c>
      <c r="B3191" t="str">
        <f t="shared" si="571"/>
        <v>06539000</v>
      </c>
      <c r="C3191" t="str">
        <f t="shared" si="576"/>
        <v>06539003</v>
      </c>
      <c r="D3191">
        <v>89301171</v>
      </c>
      <c r="E3191" t="str">
        <f t="shared" si="572"/>
        <v>7661265381</v>
      </c>
      <c r="F3191" s="1">
        <v>45001</v>
      </c>
      <c r="G3191" t="str">
        <f t="shared" si="577"/>
        <v>91413</v>
      </c>
      <c r="H3191">
        <v>1</v>
      </c>
      <c r="I3191">
        <v>868</v>
      </c>
      <c r="J3191">
        <v>0</v>
      </c>
      <c r="K3191" t="str">
        <f t="shared" si="578"/>
        <v>813</v>
      </c>
      <c r="L3191">
        <v>729.12</v>
      </c>
    </row>
    <row r="3192" spans="1:12" x14ac:dyDescent="0.25">
      <c r="A3192" t="str">
        <f t="shared" si="565"/>
        <v>89301000</v>
      </c>
      <c r="B3192" t="str">
        <f t="shared" si="571"/>
        <v>06539000</v>
      </c>
      <c r="C3192" t="str">
        <f t="shared" si="576"/>
        <v>06539003</v>
      </c>
      <c r="D3192">
        <v>89301171</v>
      </c>
      <c r="E3192" t="str">
        <f t="shared" si="572"/>
        <v>7661265381</v>
      </c>
      <c r="F3192" s="1">
        <v>45002</v>
      </c>
      <c r="G3192" t="str">
        <f t="shared" si="577"/>
        <v>91413</v>
      </c>
      <c r="H3192">
        <v>1</v>
      </c>
      <c r="I3192">
        <v>868</v>
      </c>
      <c r="J3192">
        <v>0</v>
      </c>
      <c r="K3192" t="str">
        <f t="shared" si="578"/>
        <v>813</v>
      </c>
      <c r="L3192">
        <v>729.12</v>
      </c>
    </row>
    <row r="3193" spans="1:12" x14ac:dyDescent="0.25">
      <c r="A3193" t="str">
        <f t="shared" si="565"/>
        <v>89301000</v>
      </c>
      <c r="B3193" t="str">
        <f t="shared" si="571"/>
        <v>06539000</v>
      </c>
      <c r="C3193" t="str">
        <f t="shared" si="576"/>
        <v>06539003</v>
      </c>
      <c r="D3193">
        <v>89301171</v>
      </c>
      <c r="E3193" t="str">
        <f t="shared" si="572"/>
        <v>7661265381</v>
      </c>
      <c r="F3193" s="1">
        <v>45002</v>
      </c>
      <c r="G3193" t="str">
        <f t="shared" si="577"/>
        <v>91413</v>
      </c>
      <c r="H3193">
        <v>1</v>
      </c>
      <c r="I3193">
        <v>868</v>
      </c>
      <c r="J3193">
        <v>0</v>
      </c>
      <c r="K3193" t="str">
        <f t="shared" si="578"/>
        <v>813</v>
      </c>
      <c r="L3193">
        <v>729.12</v>
      </c>
    </row>
    <row r="3194" spans="1:12" x14ac:dyDescent="0.25">
      <c r="A3194" t="str">
        <f t="shared" si="565"/>
        <v>89301000</v>
      </c>
      <c r="B3194" t="str">
        <f t="shared" si="571"/>
        <v>06539000</v>
      </c>
      <c r="C3194" t="str">
        <f t="shared" si="576"/>
        <v>06539003</v>
      </c>
      <c r="D3194">
        <v>89301171</v>
      </c>
      <c r="E3194" t="str">
        <f t="shared" si="572"/>
        <v>7661265381</v>
      </c>
      <c r="F3194" s="1">
        <v>45002</v>
      </c>
      <c r="G3194" t="str">
        <f t="shared" si="577"/>
        <v>91413</v>
      </c>
      <c r="H3194">
        <v>1</v>
      </c>
      <c r="I3194">
        <v>868</v>
      </c>
      <c r="J3194">
        <v>0</v>
      </c>
      <c r="K3194" t="str">
        <f t="shared" si="578"/>
        <v>813</v>
      </c>
      <c r="L3194">
        <v>729.12</v>
      </c>
    </row>
    <row r="3195" spans="1:12" x14ac:dyDescent="0.25">
      <c r="A3195" t="str">
        <f t="shared" si="565"/>
        <v>89301000</v>
      </c>
      <c r="B3195" t="str">
        <f t="shared" si="571"/>
        <v>06539000</v>
      </c>
      <c r="C3195" t="str">
        <f t="shared" si="576"/>
        <v>06539003</v>
      </c>
      <c r="D3195">
        <v>89301171</v>
      </c>
      <c r="E3195" t="str">
        <f t="shared" si="572"/>
        <v>7661265381</v>
      </c>
      <c r="F3195" s="1">
        <v>45002</v>
      </c>
      <c r="G3195" t="str">
        <f t="shared" si="577"/>
        <v>91413</v>
      </c>
      <c r="H3195">
        <v>1</v>
      </c>
      <c r="I3195">
        <v>868</v>
      </c>
      <c r="J3195">
        <v>0</v>
      </c>
      <c r="K3195" t="str">
        <f t="shared" si="578"/>
        <v>813</v>
      </c>
      <c r="L3195">
        <v>729.12</v>
      </c>
    </row>
    <row r="3196" spans="1:12" x14ac:dyDescent="0.25">
      <c r="A3196" t="str">
        <f t="shared" si="565"/>
        <v>89301000</v>
      </c>
      <c r="B3196" t="str">
        <f t="shared" si="571"/>
        <v>06539000</v>
      </c>
      <c r="C3196" t="str">
        <f t="shared" si="576"/>
        <v>06539003</v>
      </c>
      <c r="D3196">
        <v>89301171</v>
      </c>
      <c r="E3196" t="str">
        <f t="shared" si="572"/>
        <v>7661265381</v>
      </c>
      <c r="F3196" s="1">
        <v>44981</v>
      </c>
      <c r="G3196" t="str">
        <f t="shared" ref="G3196:G3202" si="579">"91197"</f>
        <v>91197</v>
      </c>
      <c r="H3196">
        <v>1</v>
      </c>
      <c r="I3196">
        <v>1048</v>
      </c>
      <c r="J3196">
        <v>0</v>
      </c>
      <c r="K3196" t="str">
        <f t="shared" si="578"/>
        <v>813</v>
      </c>
      <c r="L3196">
        <v>880.32</v>
      </c>
    </row>
    <row r="3197" spans="1:12" x14ac:dyDescent="0.25">
      <c r="A3197" t="str">
        <f t="shared" si="565"/>
        <v>89301000</v>
      </c>
      <c r="B3197" t="str">
        <f t="shared" si="571"/>
        <v>06539000</v>
      </c>
      <c r="C3197" t="str">
        <f t="shared" si="576"/>
        <v>06539003</v>
      </c>
      <c r="D3197">
        <v>89301171</v>
      </c>
      <c r="E3197" t="str">
        <f t="shared" si="572"/>
        <v>7661265381</v>
      </c>
      <c r="F3197" s="1">
        <v>44984</v>
      </c>
      <c r="G3197" t="str">
        <f t="shared" si="579"/>
        <v>91197</v>
      </c>
      <c r="H3197">
        <v>1</v>
      </c>
      <c r="I3197">
        <v>1048</v>
      </c>
      <c r="J3197">
        <v>0</v>
      </c>
      <c r="K3197" t="str">
        <f t="shared" si="578"/>
        <v>813</v>
      </c>
      <c r="L3197">
        <v>880.32</v>
      </c>
    </row>
    <row r="3198" spans="1:12" x14ac:dyDescent="0.25">
      <c r="A3198" t="str">
        <f t="shared" si="565"/>
        <v>89301000</v>
      </c>
      <c r="B3198" t="str">
        <f t="shared" si="571"/>
        <v>06539000</v>
      </c>
      <c r="C3198" t="str">
        <f t="shared" si="576"/>
        <v>06539003</v>
      </c>
      <c r="D3198">
        <v>89301171</v>
      </c>
      <c r="E3198" t="str">
        <f t="shared" si="572"/>
        <v>7661265381</v>
      </c>
      <c r="F3198" s="1">
        <v>44984</v>
      </c>
      <c r="G3198" t="str">
        <f t="shared" si="579"/>
        <v>91197</v>
      </c>
      <c r="H3198">
        <v>1</v>
      </c>
      <c r="I3198">
        <v>1048</v>
      </c>
      <c r="J3198">
        <v>0</v>
      </c>
      <c r="K3198" t="str">
        <f t="shared" si="578"/>
        <v>813</v>
      </c>
      <c r="L3198">
        <v>880.32</v>
      </c>
    </row>
    <row r="3199" spans="1:12" x14ac:dyDescent="0.25">
      <c r="A3199" t="str">
        <f t="shared" si="565"/>
        <v>89301000</v>
      </c>
      <c r="B3199" t="str">
        <f t="shared" si="571"/>
        <v>06539000</v>
      </c>
      <c r="C3199" t="str">
        <f t="shared" si="576"/>
        <v>06539003</v>
      </c>
      <c r="D3199">
        <v>89301171</v>
      </c>
      <c r="E3199" t="str">
        <f t="shared" si="572"/>
        <v>7661265381</v>
      </c>
      <c r="F3199" s="1">
        <v>44983</v>
      </c>
      <c r="G3199" t="str">
        <f t="shared" si="579"/>
        <v>91197</v>
      </c>
      <c r="H3199">
        <v>1</v>
      </c>
      <c r="I3199">
        <v>1048</v>
      </c>
      <c r="J3199">
        <v>0</v>
      </c>
      <c r="K3199" t="str">
        <f t="shared" si="578"/>
        <v>813</v>
      </c>
      <c r="L3199">
        <v>880.32</v>
      </c>
    </row>
    <row r="3200" spans="1:12" x14ac:dyDescent="0.25">
      <c r="A3200" t="str">
        <f t="shared" si="565"/>
        <v>89301000</v>
      </c>
      <c r="B3200" t="str">
        <f t="shared" si="571"/>
        <v>06539000</v>
      </c>
      <c r="C3200" t="str">
        <f t="shared" si="576"/>
        <v>06539003</v>
      </c>
      <c r="D3200">
        <v>89301171</v>
      </c>
      <c r="E3200" t="str">
        <f t="shared" si="572"/>
        <v>7661265381</v>
      </c>
      <c r="F3200" s="1">
        <v>44983</v>
      </c>
      <c r="G3200" t="str">
        <f t="shared" si="579"/>
        <v>91197</v>
      </c>
      <c r="H3200">
        <v>1</v>
      </c>
      <c r="I3200">
        <v>1048</v>
      </c>
      <c r="J3200">
        <v>0</v>
      </c>
      <c r="K3200" t="str">
        <f t="shared" si="578"/>
        <v>813</v>
      </c>
      <c r="L3200">
        <v>880.32</v>
      </c>
    </row>
    <row r="3201" spans="1:12" x14ac:dyDescent="0.25">
      <c r="A3201" t="str">
        <f t="shared" si="565"/>
        <v>89301000</v>
      </c>
      <c r="B3201" t="str">
        <f t="shared" si="571"/>
        <v>06539000</v>
      </c>
      <c r="C3201" t="str">
        <f t="shared" si="576"/>
        <v>06539003</v>
      </c>
      <c r="D3201">
        <v>89301171</v>
      </c>
      <c r="E3201" t="str">
        <f t="shared" si="572"/>
        <v>7661265381</v>
      </c>
      <c r="F3201" s="1">
        <v>44982</v>
      </c>
      <c r="G3201" t="str">
        <f t="shared" si="579"/>
        <v>91197</v>
      </c>
      <c r="H3201">
        <v>1</v>
      </c>
      <c r="I3201">
        <v>1048</v>
      </c>
      <c r="J3201">
        <v>0</v>
      </c>
      <c r="K3201" t="str">
        <f t="shared" si="578"/>
        <v>813</v>
      </c>
      <c r="L3201">
        <v>880.32</v>
      </c>
    </row>
    <row r="3202" spans="1:12" x14ac:dyDescent="0.25">
      <c r="A3202" t="str">
        <f t="shared" ref="A3202:A3265" si="580">"89301000"</f>
        <v>89301000</v>
      </c>
      <c r="B3202" t="str">
        <f t="shared" si="571"/>
        <v>06539000</v>
      </c>
      <c r="C3202" t="str">
        <f t="shared" si="576"/>
        <v>06539003</v>
      </c>
      <c r="D3202">
        <v>89301171</v>
      </c>
      <c r="E3202" t="str">
        <f t="shared" si="572"/>
        <v>7661265381</v>
      </c>
      <c r="F3202" s="1">
        <v>44982</v>
      </c>
      <c r="G3202" t="str">
        <f t="shared" si="579"/>
        <v>91197</v>
      </c>
      <c r="H3202">
        <v>1</v>
      </c>
      <c r="I3202">
        <v>1048</v>
      </c>
      <c r="J3202">
        <v>0</v>
      </c>
      <c r="K3202" t="str">
        <f t="shared" si="578"/>
        <v>813</v>
      </c>
      <c r="L3202">
        <v>880.32</v>
      </c>
    </row>
    <row r="3203" spans="1:12" x14ac:dyDescent="0.25">
      <c r="A3203" t="str">
        <f t="shared" si="580"/>
        <v>89301000</v>
      </c>
      <c r="B3203" t="str">
        <f t="shared" si="571"/>
        <v>06539000</v>
      </c>
      <c r="C3203" t="str">
        <f t="shared" si="576"/>
        <v>06539003</v>
      </c>
      <c r="D3203">
        <v>89301171</v>
      </c>
      <c r="E3203" t="str">
        <f t="shared" si="572"/>
        <v>7661265381</v>
      </c>
      <c r="F3203" s="1">
        <v>45002</v>
      </c>
      <c r="G3203" t="str">
        <f>"91329"</f>
        <v>91329</v>
      </c>
      <c r="H3203">
        <v>2</v>
      </c>
      <c r="I3203">
        <v>436</v>
      </c>
      <c r="J3203">
        <v>0</v>
      </c>
      <c r="K3203" t="str">
        <f t="shared" si="578"/>
        <v>813</v>
      </c>
      <c r="L3203">
        <v>366.24</v>
      </c>
    </row>
    <row r="3204" spans="1:12" x14ac:dyDescent="0.25">
      <c r="A3204" t="str">
        <f t="shared" si="580"/>
        <v>89301000</v>
      </c>
      <c r="B3204" t="str">
        <f t="shared" si="571"/>
        <v>06539000</v>
      </c>
      <c r="C3204" t="str">
        <f t="shared" si="576"/>
        <v>06539003</v>
      </c>
      <c r="D3204">
        <v>89301171</v>
      </c>
      <c r="E3204" t="str">
        <f t="shared" si="572"/>
        <v>7661265381</v>
      </c>
      <c r="F3204" s="1">
        <v>45002</v>
      </c>
      <c r="G3204" t="str">
        <f>"91329"</f>
        <v>91329</v>
      </c>
      <c r="H3204">
        <v>2</v>
      </c>
      <c r="I3204">
        <v>436</v>
      </c>
      <c r="J3204">
        <v>0</v>
      </c>
      <c r="K3204" t="str">
        <f t="shared" si="578"/>
        <v>813</v>
      </c>
      <c r="L3204">
        <v>366.24</v>
      </c>
    </row>
    <row r="3205" spans="1:12" x14ac:dyDescent="0.25">
      <c r="A3205" t="str">
        <f t="shared" si="580"/>
        <v>89301000</v>
      </c>
      <c r="B3205" t="str">
        <f t="shared" si="571"/>
        <v>06539000</v>
      </c>
      <c r="C3205" t="str">
        <f t="shared" si="576"/>
        <v>06539003</v>
      </c>
      <c r="D3205">
        <v>89301171</v>
      </c>
      <c r="E3205" t="str">
        <f t="shared" si="572"/>
        <v>7661265381</v>
      </c>
      <c r="F3205" s="1">
        <v>45002</v>
      </c>
      <c r="G3205" t="str">
        <f>"91329"</f>
        <v>91329</v>
      </c>
      <c r="H3205">
        <v>2</v>
      </c>
      <c r="I3205">
        <v>436</v>
      </c>
      <c r="J3205">
        <v>0</v>
      </c>
      <c r="K3205" t="str">
        <f t="shared" si="578"/>
        <v>813</v>
      </c>
      <c r="L3205">
        <v>366.24</v>
      </c>
    </row>
    <row r="3206" spans="1:12" x14ac:dyDescent="0.25">
      <c r="A3206" t="str">
        <f t="shared" si="580"/>
        <v>89301000</v>
      </c>
      <c r="B3206" t="str">
        <f t="shared" si="571"/>
        <v>06539000</v>
      </c>
      <c r="C3206" t="str">
        <f t="shared" si="576"/>
        <v>06539003</v>
      </c>
      <c r="D3206">
        <v>89301171</v>
      </c>
      <c r="E3206" t="str">
        <f t="shared" si="572"/>
        <v>7661265381</v>
      </c>
      <c r="F3206" s="1">
        <v>45002</v>
      </c>
      <c r="G3206" t="str">
        <f>"91329"</f>
        <v>91329</v>
      </c>
      <c r="H3206">
        <v>2</v>
      </c>
      <c r="I3206">
        <v>436</v>
      </c>
      <c r="J3206">
        <v>0</v>
      </c>
      <c r="K3206" t="str">
        <f t="shared" si="578"/>
        <v>813</v>
      </c>
      <c r="L3206">
        <v>366.24</v>
      </c>
    </row>
    <row r="3207" spans="1:12" x14ac:dyDescent="0.25">
      <c r="A3207" t="str">
        <f t="shared" si="580"/>
        <v>89301000</v>
      </c>
      <c r="B3207" t="str">
        <f t="shared" si="571"/>
        <v>06539000</v>
      </c>
      <c r="C3207" t="str">
        <f t="shared" si="576"/>
        <v>06539003</v>
      </c>
      <c r="D3207">
        <v>89301171</v>
      </c>
      <c r="E3207" t="str">
        <f t="shared" si="572"/>
        <v>7661265381</v>
      </c>
      <c r="F3207" s="1">
        <v>44981</v>
      </c>
      <c r="G3207" t="str">
        <f>"91129"</f>
        <v>91129</v>
      </c>
      <c r="H3207">
        <v>1</v>
      </c>
      <c r="I3207">
        <v>175</v>
      </c>
      <c r="J3207">
        <v>0</v>
      </c>
      <c r="K3207" t="str">
        <f t="shared" si="578"/>
        <v>813</v>
      </c>
      <c r="L3207">
        <v>147</v>
      </c>
    </row>
    <row r="3208" spans="1:12" x14ac:dyDescent="0.25">
      <c r="A3208" t="str">
        <f t="shared" si="580"/>
        <v>89301000</v>
      </c>
      <c r="B3208" t="str">
        <f t="shared" si="571"/>
        <v>06539000</v>
      </c>
      <c r="C3208" t="str">
        <f t="shared" si="576"/>
        <v>06539003</v>
      </c>
      <c r="D3208">
        <v>89301171</v>
      </c>
      <c r="E3208" t="str">
        <f t="shared" si="572"/>
        <v>7661265381</v>
      </c>
      <c r="F3208" s="1">
        <v>44981</v>
      </c>
      <c r="G3208" t="str">
        <f>"91131"</f>
        <v>91131</v>
      </c>
      <c r="H3208">
        <v>1</v>
      </c>
      <c r="I3208">
        <v>171</v>
      </c>
      <c r="J3208">
        <v>0</v>
      </c>
      <c r="K3208" t="str">
        <f t="shared" si="578"/>
        <v>813</v>
      </c>
      <c r="L3208">
        <v>143.63999999999999</v>
      </c>
    </row>
    <row r="3209" spans="1:12" x14ac:dyDescent="0.25">
      <c r="A3209" t="str">
        <f t="shared" si="580"/>
        <v>89301000</v>
      </c>
      <c r="B3209" t="str">
        <f t="shared" si="571"/>
        <v>06539000</v>
      </c>
      <c r="C3209" t="str">
        <f t="shared" si="576"/>
        <v>06539003</v>
      </c>
      <c r="D3209">
        <v>89301171</v>
      </c>
      <c r="E3209" t="str">
        <f t="shared" si="572"/>
        <v>7661265381</v>
      </c>
      <c r="F3209" s="1">
        <v>44981</v>
      </c>
      <c r="G3209" t="str">
        <f>"91133"</f>
        <v>91133</v>
      </c>
      <c r="H3209">
        <v>1</v>
      </c>
      <c r="I3209">
        <v>177</v>
      </c>
      <c r="J3209">
        <v>0</v>
      </c>
      <c r="K3209" t="str">
        <f t="shared" si="578"/>
        <v>813</v>
      </c>
      <c r="L3209">
        <v>148.68</v>
      </c>
    </row>
    <row r="3210" spans="1:12" x14ac:dyDescent="0.25">
      <c r="A3210" t="str">
        <f t="shared" si="580"/>
        <v>89301000</v>
      </c>
      <c r="B3210" t="str">
        <f t="shared" si="571"/>
        <v>06539000</v>
      </c>
      <c r="C3210" t="str">
        <f t="shared" si="576"/>
        <v>06539003</v>
      </c>
      <c r="D3210">
        <v>89301171</v>
      </c>
      <c r="E3210" t="str">
        <f t="shared" si="572"/>
        <v>7661265381</v>
      </c>
      <c r="F3210" s="1">
        <v>44981</v>
      </c>
      <c r="G3210" t="str">
        <f>"91171"</f>
        <v>91171</v>
      </c>
      <c r="H3210">
        <v>1</v>
      </c>
      <c r="I3210">
        <v>362</v>
      </c>
      <c r="J3210">
        <v>0</v>
      </c>
      <c r="K3210" t="str">
        <f t="shared" si="578"/>
        <v>813</v>
      </c>
      <c r="L3210">
        <v>304.08</v>
      </c>
    </row>
    <row r="3211" spans="1:12" x14ac:dyDescent="0.25">
      <c r="A3211" t="str">
        <f t="shared" si="580"/>
        <v>89301000</v>
      </c>
      <c r="B3211" t="str">
        <f t="shared" si="571"/>
        <v>06539000</v>
      </c>
      <c r="C3211" t="str">
        <f t="shared" si="576"/>
        <v>06539003</v>
      </c>
      <c r="D3211">
        <v>89301171</v>
      </c>
      <c r="E3211" t="str">
        <f t="shared" si="572"/>
        <v>7661265381</v>
      </c>
      <c r="F3211" s="1">
        <v>44981</v>
      </c>
      <c r="G3211" t="str">
        <f>"91173"</f>
        <v>91173</v>
      </c>
      <c r="H3211">
        <v>1</v>
      </c>
      <c r="I3211">
        <v>337</v>
      </c>
      <c r="J3211">
        <v>0</v>
      </c>
      <c r="K3211" t="str">
        <f t="shared" si="578"/>
        <v>813</v>
      </c>
      <c r="L3211">
        <v>283.08</v>
      </c>
    </row>
    <row r="3212" spans="1:12" x14ac:dyDescent="0.25">
      <c r="A3212" t="str">
        <f t="shared" si="580"/>
        <v>89301000</v>
      </c>
      <c r="B3212" t="str">
        <f t="shared" si="571"/>
        <v>06539000</v>
      </c>
      <c r="C3212" t="str">
        <f t="shared" si="576"/>
        <v>06539003</v>
      </c>
      <c r="D3212">
        <v>89301171</v>
      </c>
      <c r="E3212" t="str">
        <f t="shared" si="572"/>
        <v>7661265381</v>
      </c>
      <c r="F3212" s="1">
        <v>44981</v>
      </c>
      <c r="G3212" t="str">
        <f>"91175"</f>
        <v>91175</v>
      </c>
      <c r="H3212">
        <v>1</v>
      </c>
      <c r="I3212">
        <v>362</v>
      </c>
      <c r="J3212">
        <v>0</v>
      </c>
      <c r="K3212" t="str">
        <f t="shared" si="578"/>
        <v>813</v>
      </c>
      <c r="L3212">
        <v>304.08</v>
      </c>
    </row>
    <row r="3213" spans="1:12" x14ac:dyDescent="0.25">
      <c r="A3213" t="str">
        <f t="shared" si="580"/>
        <v>89301000</v>
      </c>
      <c r="B3213" t="str">
        <f t="shared" si="571"/>
        <v>06539000</v>
      </c>
      <c r="C3213" t="str">
        <f t="shared" si="576"/>
        <v>06539003</v>
      </c>
      <c r="D3213">
        <v>89301171</v>
      </c>
      <c r="E3213" t="str">
        <f t="shared" si="572"/>
        <v>7661265381</v>
      </c>
      <c r="F3213" s="1">
        <v>44982</v>
      </c>
      <c r="G3213" t="str">
        <f>"91167"</f>
        <v>91167</v>
      </c>
      <c r="H3213">
        <v>1</v>
      </c>
      <c r="I3213">
        <v>426</v>
      </c>
      <c r="J3213">
        <v>0</v>
      </c>
      <c r="K3213" t="str">
        <f t="shared" si="578"/>
        <v>813</v>
      </c>
      <c r="L3213">
        <v>357.84</v>
      </c>
    </row>
    <row r="3214" spans="1:12" x14ac:dyDescent="0.25">
      <c r="A3214" t="str">
        <f t="shared" si="580"/>
        <v>89301000</v>
      </c>
      <c r="B3214" t="str">
        <f t="shared" si="571"/>
        <v>06539000</v>
      </c>
      <c r="C3214" t="str">
        <f t="shared" si="576"/>
        <v>06539003</v>
      </c>
      <c r="D3214">
        <v>89301171</v>
      </c>
      <c r="E3214" t="str">
        <f t="shared" si="572"/>
        <v>7661265381</v>
      </c>
      <c r="F3214" s="1">
        <v>44982</v>
      </c>
      <c r="G3214" t="str">
        <f>"91169"</f>
        <v>91169</v>
      </c>
      <c r="H3214">
        <v>1</v>
      </c>
      <c r="I3214">
        <v>426</v>
      </c>
      <c r="J3214">
        <v>0</v>
      </c>
      <c r="K3214" t="str">
        <f t="shared" si="578"/>
        <v>813</v>
      </c>
      <c r="L3214">
        <v>357.84</v>
      </c>
    </row>
    <row r="3215" spans="1:12" x14ac:dyDescent="0.25">
      <c r="A3215" t="str">
        <f t="shared" si="580"/>
        <v>89301000</v>
      </c>
      <c r="B3215" t="str">
        <f t="shared" si="571"/>
        <v>06539000</v>
      </c>
      <c r="C3215" t="str">
        <f t="shared" si="576"/>
        <v>06539003</v>
      </c>
      <c r="D3215">
        <v>89301171</v>
      </c>
      <c r="E3215" t="str">
        <f t="shared" si="572"/>
        <v>7661265381</v>
      </c>
      <c r="F3215" s="1">
        <v>44981</v>
      </c>
      <c r="G3215" t="str">
        <f>"91167"</f>
        <v>91167</v>
      </c>
      <c r="H3215">
        <v>1</v>
      </c>
      <c r="I3215">
        <v>426</v>
      </c>
      <c r="J3215">
        <v>0</v>
      </c>
      <c r="K3215" t="str">
        <f t="shared" si="578"/>
        <v>813</v>
      </c>
      <c r="L3215">
        <v>357.84</v>
      </c>
    </row>
    <row r="3216" spans="1:12" x14ac:dyDescent="0.25">
      <c r="A3216" t="str">
        <f t="shared" si="580"/>
        <v>89301000</v>
      </c>
      <c r="B3216" t="str">
        <f t="shared" si="571"/>
        <v>06539000</v>
      </c>
      <c r="C3216" t="str">
        <f t="shared" si="576"/>
        <v>06539003</v>
      </c>
      <c r="D3216">
        <v>89301171</v>
      </c>
      <c r="E3216" t="str">
        <f t="shared" si="572"/>
        <v>7661265381</v>
      </c>
      <c r="F3216" s="1">
        <v>44981</v>
      </c>
      <c r="G3216" t="str">
        <f>"91169"</f>
        <v>91169</v>
      </c>
      <c r="H3216">
        <v>1</v>
      </c>
      <c r="I3216">
        <v>426</v>
      </c>
      <c r="J3216">
        <v>0</v>
      </c>
      <c r="K3216" t="str">
        <f t="shared" si="578"/>
        <v>813</v>
      </c>
      <c r="L3216">
        <v>357.84</v>
      </c>
    </row>
    <row r="3217" spans="1:12" x14ac:dyDescent="0.25">
      <c r="A3217" t="str">
        <f t="shared" si="580"/>
        <v>89301000</v>
      </c>
      <c r="B3217" t="str">
        <f t="shared" si="571"/>
        <v>06539000</v>
      </c>
      <c r="C3217" t="str">
        <f t="shared" si="576"/>
        <v>06539003</v>
      </c>
      <c r="D3217">
        <v>89301171</v>
      </c>
      <c r="E3217" t="str">
        <f t="shared" si="572"/>
        <v>7661265381</v>
      </c>
      <c r="F3217" s="1">
        <v>44986</v>
      </c>
      <c r="G3217" t="str">
        <f>"91475"</f>
        <v>91475</v>
      </c>
      <c r="H3217">
        <v>1</v>
      </c>
      <c r="I3217">
        <v>213</v>
      </c>
      <c r="J3217">
        <v>0</v>
      </c>
      <c r="K3217" t="str">
        <f t="shared" si="578"/>
        <v>813</v>
      </c>
      <c r="L3217">
        <v>178.92</v>
      </c>
    </row>
    <row r="3218" spans="1:12" x14ac:dyDescent="0.25">
      <c r="A3218" t="str">
        <f t="shared" si="580"/>
        <v>89301000</v>
      </c>
      <c r="B3218" t="str">
        <f t="shared" si="571"/>
        <v>06539000</v>
      </c>
      <c r="C3218" t="str">
        <f t="shared" ref="C3218:C3249" si="581">"06539003"</f>
        <v>06539003</v>
      </c>
      <c r="D3218">
        <v>89301171</v>
      </c>
      <c r="E3218" t="str">
        <f t="shared" ref="E3218:E3240" si="582">"8357184462"</f>
        <v>8357184462</v>
      </c>
      <c r="F3218" s="1">
        <v>44986</v>
      </c>
      <c r="G3218" t="str">
        <f t="shared" ref="G3218:G3227" si="583">"91413"</f>
        <v>91413</v>
      </c>
      <c r="H3218">
        <v>1</v>
      </c>
      <c r="I3218">
        <v>868</v>
      </c>
      <c r="J3218">
        <v>0</v>
      </c>
      <c r="K3218" t="str">
        <f t="shared" ref="K3218:K3249" si="584">"813"</f>
        <v>813</v>
      </c>
      <c r="L3218">
        <v>729.12</v>
      </c>
    </row>
    <row r="3219" spans="1:12" x14ac:dyDescent="0.25">
      <c r="A3219" t="str">
        <f t="shared" si="580"/>
        <v>89301000</v>
      </c>
      <c r="B3219" t="str">
        <f t="shared" si="571"/>
        <v>06539000</v>
      </c>
      <c r="C3219" t="str">
        <f t="shared" si="581"/>
        <v>06539003</v>
      </c>
      <c r="D3219">
        <v>89301171</v>
      </c>
      <c r="E3219" t="str">
        <f t="shared" si="582"/>
        <v>8357184462</v>
      </c>
      <c r="F3219" s="1">
        <v>44986</v>
      </c>
      <c r="G3219" t="str">
        <f t="shared" si="583"/>
        <v>91413</v>
      </c>
      <c r="H3219">
        <v>1</v>
      </c>
      <c r="I3219">
        <v>868</v>
      </c>
      <c r="J3219">
        <v>0</v>
      </c>
      <c r="K3219" t="str">
        <f t="shared" si="584"/>
        <v>813</v>
      </c>
      <c r="L3219">
        <v>729.12</v>
      </c>
    </row>
    <row r="3220" spans="1:12" x14ac:dyDescent="0.25">
      <c r="A3220" t="str">
        <f t="shared" si="580"/>
        <v>89301000</v>
      </c>
      <c r="B3220" t="str">
        <f t="shared" si="571"/>
        <v>06539000</v>
      </c>
      <c r="C3220" t="str">
        <f t="shared" si="581"/>
        <v>06539003</v>
      </c>
      <c r="D3220">
        <v>89301171</v>
      </c>
      <c r="E3220" t="str">
        <f t="shared" si="582"/>
        <v>8357184462</v>
      </c>
      <c r="F3220" s="1">
        <v>45002</v>
      </c>
      <c r="G3220" t="str">
        <f t="shared" si="583"/>
        <v>91413</v>
      </c>
      <c r="H3220">
        <v>1</v>
      </c>
      <c r="I3220">
        <v>868</v>
      </c>
      <c r="J3220">
        <v>0</v>
      </c>
      <c r="K3220" t="str">
        <f t="shared" si="584"/>
        <v>813</v>
      </c>
      <c r="L3220">
        <v>729.12</v>
      </c>
    </row>
    <row r="3221" spans="1:12" x14ac:dyDescent="0.25">
      <c r="A3221" t="str">
        <f t="shared" si="580"/>
        <v>89301000</v>
      </c>
      <c r="B3221" t="str">
        <f t="shared" si="571"/>
        <v>06539000</v>
      </c>
      <c r="C3221" t="str">
        <f t="shared" si="581"/>
        <v>06539003</v>
      </c>
      <c r="D3221">
        <v>89301171</v>
      </c>
      <c r="E3221" t="str">
        <f t="shared" si="582"/>
        <v>8357184462</v>
      </c>
      <c r="F3221" s="1">
        <v>45002</v>
      </c>
      <c r="G3221" t="str">
        <f t="shared" si="583"/>
        <v>91413</v>
      </c>
      <c r="H3221">
        <v>1</v>
      </c>
      <c r="I3221">
        <v>868</v>
      </c>
      <c r="J3221">
        <v>0</v>
      </c>
      <c r="K3221" t="str">
        <f t="shared" si="584"/>
        <v>813</v>
      </c>
      <c r="L3221">
        <v>729.12</v>
      </c>
    </row>
    <row r="3222" spans="1:12" x14ac:dyDescent="0.25">
      <c r="A3222" t="str">
        <f t="shared" si="580"/>
        <v>89301000</v>
      </c>
      <c r="B3222" t="str">
        <f t="shared" si="571"/>
        <v>06539000</v>
      </c>
      <c r="C3222" t="str">
        <f t="shared" si="581"/>
        <v>06539003</v>
      </c>
      <c r="D3222">
        <v>89301171</v>
      </c>
      <c r="E3222" t="str">
        <f t="shared" si="582"/>
        <v>8357184462</v>
      </c>
      <c r="F3222" s="1">
        <v>45001</v>
      </c>
      <c r="G3222" t="str">
        <f t="shared" si="583"/>
        <v>91413</v>
      </c>
      <c r="H3222">
        <v>1</v>
      </c>
      <c r="I3222">
        <v>868</v>
      </c>
      <c r="J3222">
        <v>0</v>
      </c>
      <c r="K3222" t="str">
        <f t="shared" si="584"/>
        <v>813</v>
      </c>
      <c r="L3222">
        <v>729.12</v>
      </c>
    </row>
    <row r="3223" spans="1:12" x14ac:dyDescent="0.25">
      <c r="A3223" t="str">
        <f t="shared" si="580"/>
        <v>89301000</v>
      </c>
      <c r="B3223" t="str">
        <f t="shared" si="571"/>
        <v>06539000</v>
      </c>
      <c r="C3223" t="str">
        <f t="shared" si="581"/>
        <v>06539003</v>
      </c>
      <c r="D3223">
        <v>89301171</v>
      </c>
      <c r="E3223" t="str">
        <f t="shared" si="582"/>
        <v>8357184462</v>
      </c>
      <c r="F3223" s="1">
        <v>45001</v>
      </c>
      <c r="G3223" t="str">
        <f t="shared" si="583"/>
        <v>91413</v>
      </c>
      <c r="H3223">
        <v>1</v>
      </c>
      <c r="I3223">
        <v>868</v>
      </c>
      <c r="J3223">
        <v>0</v>
      </c>
      <c r="K3223" t="str">
        <f t="shared" si="584"/>
        <v>813</v>
      </c>
      <c r="L3223">
        <v>729.12</v>
      </c>
    </row>
    <row r="3224" spans="1:12" x14ac:dyDescent="0.25">
      <c r="A3224" t="str">
        <f t="shared" si="580"/>
        <v>89301000</v>
      </c>
      <c r="B3224" t="str">
        <f t="shared" si="571"/>
        <v>06539000</v>
      </c>
      <c r="C3224" t="str">
        <f t="shared" si="581"/>
        <v>06539003</v>
      </c>
      <c r="D3224">
        <v>89301171</v>
      </c>
      <c r="E3224" t="str">
        <f t="shared" si="582"/>
        <v>8357184462</v>
      </c>
      <c r="F3224" s="1">
        <v>45002</v>
      </c>
      <c r="G3224" t="str">
        <f t="shared" si="583"/>
        <v>91413</v>
      </c>
      <c r="H3224">
        <v>1</v>
      </c>
      <c r="I3224">
        <v>868</v>
      </c>
      <c r="J3224">
        <v>0</v>
      </c>
      <c r="K3224" t="str">
        <f t="shared" si="584"/>
        <v>813</v>
      </c>
      <c r="L3224">
        <v>729.12</v>
      </c>
    </row>
    <row r="3225" spans="1:12" x14ac:dyDescent="0.25">
      <c r="A3225" t="str">
        <f t="shared" si="580"/>
        <v>89301000</v>
      </c>
      <c r="B3225" t="str">
        <f t="shared" si="571"/>
        <v>06539000</v>
      </c>
      <c r="C3225" t="str">
        <f t="shared" si="581"/>
        <v>06539003</v>
      </c>
      <c r="D3225">
        <v>89301171</v>
      </c>
      <c r="E3225" t="str">
        <f t="shared" si="582"/>
        <v>8357184462</v>
      </c>
      <c r="F3225" s="1">
        <v>45002</v>
      </c>
      <c r="G3225" t="str">
        <f t="shared" si="583"/>
        <v>91413</v>
      </c>
      <c r="H3225">
        <v>1</v>
      </c>
      <c r="I3225">
        <v>868</v>
      </c>
      <c r="J3225">
        <v>0</v>
      </c>
      <c r="K3225" t="str">
        <f t="shared" si="584"/>
        <v>813</v>
      </c>
      <c r="L3225">
        <v>729.12</v>
      </c>
    </row>
    <row r="3226" spans="1:12" x14ac:dyDescent="0.25">
      <c r="A3226" t="str">
        <f t="shared" si="580"/>
        <v>89301000</v>
      </c>
      <c r="B3226" t="str">
        <f t="shared" si="571"/>
        <v>06539000</v>
      </c>
      <c r="C3226" t="str">
        <f t="shared" si="581"/>
        <v>06539003</v>
      </c>
      <c r="D3226">
        <v>89301171</v>
      </c>
      <c r="E3226" t="str">
        <f t="shared" si="582"/>
        <v>8357184462</v>
      </c>
      <c r="F3226" s="1">
        <v>45002</v>
      </c>
      <c r="G3226" t="str">
        <f t="shared" si="583"/>
        <v>91413</v>
      </c>
      <c r="H3226">
        <v>1</v>
      </c>
      <c r="I3226">
        <v>868</v>
      </c>
      <c r="J3226">
        <v>0</v>
      </c>
      <c r="K3226" t="str">
        <f t="shared" si="584"/>
        <v>813</v>
      </c>
      <c r="L3226">
        <v>729.12</v>
      </c>
    </row>
    <row r="3227" spans="1:12" x14ac:dyDescent="0.25">
      <c r="A3227" t="str">
        <f t="shared" si="580"/>
        <v>89301000</v>
      </c>
      <c r="B3227" t="str">
        <f t="shared" si="571"/>
        <v>06539000</v>
      </c>
      <c r="C3227" t="str">
        <f t="shared" si="581"/>
        <v>06539003</v>
      </c>
      <c r="D3227">
        <v>89301171</v>
      </c>
      <c r="E3227" t="str">
        <f t="shared" si="582"/>
        <v>8357184462</v>
      </c>
      <c r="F3227" s="1">
        <v>45002</v>
      </c>
      <c r="G3227" t="str">
        <f t="shared" si="583"/>
        <v>91413</v>
      </c>
      <c r="H3227">
        <v>1</v>
      </c>
      <c r="I3227">
        <v>868</v>
      </c>
      <c r="J3227">
        <v>0</v>
      </c>
      <c r="K3227" t="str">
        <f t="shared" si="584"/>
        <v>813</v>
      </c>
      <c r="L3227">
        <v>729.12</v>
      </c>
    </row>
    <row r="3228" spans="1:12" x14ac:dyDescent="0.25">
      <c r="A3228" t="str">
        <f t="shared" si="580"/>
        <v>89301000</v>
      </c>
      <c r="B3228" t="str">
        <f t="shared" si="571"/>
        <v>06539000</v>
      </c>
      <c r="C3228" t="str">
        <f t="shared" si="581"/>
        <v>06539003</v>
      </c>
      <c r="D3228">
        <v>89301171</v>
      </c>
      <c r="E3228" t="str">
        <f t="shared" si="582"/>
        <v>8357184462</v>
      </c>
      <c r="F3228" s="1">
        <v>44984</v>
      </c>
      <c r="G3228" t="str">
        <f t="shared" ref="G3228:G3233" si="585">"91197"</f>
        <v>91197</v>
      </c>
      <c r="H3228">
        <v>1</v>
      </c>
      <c r="I3228">
        <v>1048</v>
      </c>
      <c r="J3228">
        <v>0</v>
      </c>
      <c r="K3228" t="str">
        <f t="shared" si="584"/>
        <v>813</v>
      </c>
      <c r="L3228">
        <v>880.32</v>
      </c>
    </row>
    <row r="3229" spans="1:12" x14ac:dyDescent="0.25">
      <c r="A3229" t="str">
        <f t="shared" si="580"/>
        <v>89301000</v>
      </c>
      <c r="B3229" t="str">
        <f t="shared" si="571"/>
        <v>06539000</v>
      </c>
      <c r="C3229" t="str">
        <f t="shared" si="581"/>
        <v>06539003</v>
      </c>
      <c r="D3229">
        <v>89301171</v>
      </c>
      <c r="E3229" t="str">
        <f t="shared" si="582"/>
        <v>8357184462</v>
      </c>
      <c r="F3229" s="1">
        <v>44984</v>
      </c>
      <c r="G3229" t="str">
        <f t="shared" si="585"/>
        <v>91197</v>
      </c>
      <c r="H3229">
        <v>1</v>
      </c>
      <c r="I3229">
        <v>1048</v>
      </c>
      <c r="J3229">
        <v>0</v>
      </c>
      <c r="K3229" t="str">
        <f t="shared" si="584"/>
        <v>813</v>
      </c>
      <c r="L3229">
        <v>880.32</v>
      </c>
    </row>
    <row r="3230" spans="1:12" x14ac:dyDescent="0.25">
      <c r="A3230" t="str">
        <f t="shared" si="580"/>
        <v>89301000</v>
      </c>
      <c r="B3230" t="str">
        <f t="shared" ref="B3230:B3272" si="586">"06539000"</f>
        <v>06539000</v>
      </c>
      <c r="C3230" t="str">
        <f t="shared" si="581"/>
        <v>06539003</v>
      </c>
      <c r="D3230">
        <v>89301171</v>
      </c>
      <c r="E3230" t="str">
        <f t="shared" si="582"/>
        <v>8357184462</v>
      </c>
      <c r="F3230" s="1">
        <v>44983</v>
      </c>
      <c r="G3230" t="str">
        <f t="shared" si="585"/>
        <v>91197</v>
      </c>
      <c r="H3230">
        <v>1</v>
      </c>
      <c r="I3230">
        <v>1048</v>
      </c>
      <c r="J3230">
        <v>0</v>
      </c>
      <c r="K3230" t="str">
        <f t="shared" si="584"/>
        <v>813</v>
      </c>
      <c r="L3230">
        <v>880.32</v>
      </c>
    </row>
    <row r="3231" spans="1:12" x14ac:dyDescent="0.25">
      <c r="A3231" t="str">
        <f t="shared" si="580"/>
        <v>89301000</v>
      </c>
      <c r="B3231" t="str">
        <f t="shared" si="586"/>
        <v>06539000</v>
      </c>
      <c r="C3231" t="str">
        <f t="shared" si="581"/>
        <v>06539003</v>
      </c>
      <c r="D3231">
        <v>89301171</v>
      </c>
      <c r="E3231" t="str">
        <f t="shared" si="582"/>
        <v>8357184462</v>
      </c>
      <c r="F3231" s="1">
        <v>44983</v>
      </c>
      <c r="G3231" t="str">
        <f t="shared" si="585"/>
        <v>91197</v>
      </c>
      <c r="H3231">
        <v>1</v>
      </c>
      <c r="I3231">
        <v>1048</v>
      </c>
      <c r="J3231">
        <v>0</v>
      </c>
      <c r="K3231" t="str">
        <f t="shared" si="584"/>
        <v>813</v>
      </c>
      <c r="L3231">
        <v>880.32</v>
      </c>
    </row>
    <row r="3232" spans="1:12" x14ac:dyDescent="0.25">
      <c r="A3232" t="str">
        <f t="shared" si="580"/>
        <v>89301000</v>
      </c>
      <c r="B3232" t="str">
        <f t="shared" si="586"/>
        <v>06539000</v>
      </c>
      <c r="C3232" t="str">
        <f t="shared" si="581"/>
        <v>06539003</v>
      </c>
      <c r="D3232">
        <v>89301171</v>
      </c>
      <c r="E3232" t="str">
        <f t="shared" si="582"/>
        <v>8357184462</v>
      </c>
      <c r="F3232" s="1">
        <v>44982</v>
      </c>
      <c r="G3232" t="str">
        <f t="shared" si="585"/>
        <v>91197</v>
      </c>
      <c r="H3232">
        <v>1</v>
      </c>
      <c r="I3232">
        <v>1048</v>
      </c>
      <c r="J3232">
        <v>0</v>
      </c>
      <c r="K3232" t="str">
        <f t="shared" si="584"/>
        <v>813</v>
      </c>
      <c r="L3232">
        <v>880.32</v>
      </c>
    </row>
    <row r="3233" spans="1:12" x14ac:dyDescent="0.25">
      <c r="A3233" t="str">
        <f t="shared" si="580"/>
        <v>89301000</v>
      </c>
      <c r="B3233" t="str">
        <f t="shared" si="586"/>
        <v>06539000</v>
      </c>
      <c r="C3233" t="str">
        <f t="shared" si="581"/>
        <v>06539003</v>
      </c>
      <c r="D3233">
        <v>89301171</v>
      </c>
      <c r="E3233" t="str">
        <f t="shared" si="582"/>
        <v>8357184462</v>
      </c>
      <c r="F3233" s="1">
        <v>44982</v>
      </c>
      <c r="G3233" t="str">
        <f t="shared" si="585"/>
        <v>91197</v>
      </c>
      <c r="H3233">
        <v>1</v>
      </c>
      <c r="I3233">
        <v>1048</v>
      </c>
      <c r="J3233">
        <v>0</v>
      </c>
      <c r="K3233" t="str">
        <f t="shared" si="584"/>
        <v>813</v>
      </c>
      <c r="L3233">
        <v>880.32</v>
      </c>
    </row>
    <row r="3234" spans="1:12" x14ac:dyDescent="0.25">
      <c r="A3234" t="str">
        <f t="shared" si="580"/>
        <v>89301000</v>
      </c>
      <c r="B3234" t="str">
        <f t="shared" si="586"/>
        <v>06539000</v>
      </c>
      <c r="C3234" t="str">
        <f t="shared" si="581"/>
        <v>06539003</v>
      </c>
      <c r="D3234">
        <v>89301171</v>
      </c>
      <c r="E3234" t="str">
        <f t="shared" si="582"/>
        <v>8357184462</v>
      </c>
      <c r="F3234" s="1">
        <v>45002</v>
      </c>
      <c r="G3234" t="str">
        <f>"91329"</f>
        <v>91329</v>
      </c>
      <c r="H3234">
        <v>2</v>
      </c>
      <c r="I3234">
        <v>436</v>
      </c>
      <c r="J3234">
        <v>0</v>
      </c>
      <c r="K3234" t="str">
        <f t="shared" si="584"/>
        <v>813</v>
      </c>
      <c r="L3234">
        <v>366.24</v>
      </c>
    </row>
    <row r="3235" spans="1:12" x14ac:dyDescent="0.25">
      <c r="A3235" t="str">
        <f t="shared" si="580"/>
        <v>89301000</v>
      </c>
      <c r="B3235" t="str">
        <f t="shared" si="586"/>
        <v>06539000</v>
      </c>
      <c r="C3235" t="str">
        <f t="shared" si="581"/>
        <v>06539003</v>
      </c>
      <c r="D3235">
        <v>89301171</v>
      </c>
      <c r="E3235" t="str">
        <f t="shared" si="582"/>
        <v>8357184462</v>
      </c>
      <c r="F3235" s="1">
        <v>45002</v>
      </c>
      <c r="G3235" t="str">
        <f>"91329"</f>
        <v>91329</v>
      </c>
      <c r="H3235">
        <v>2</v>
      </c>
      <c r="I3235">
        <v>436</v>
      </c>
      <c r="J3235">
        <v>0</v>
      </c>
      <c r="K3235" t="str">
        <f t="shared" si="584"/>
        <v>813</v>
      </c>
      <c r="L3235">
        <v>366.24</v>
      </c>
    </row>
    <row r="3236" spans="1:12" x14ac:dyDescent="0.25">
      <c r="A3236" t="str">
        <f t="shared" si="580"/>
        <v>89301000</v>
      </c>
      <c r="B3236" t="str">
        <f t="shared" si="586"/>
        <v>06539000</v>
      </c>
      <c r="C3236" t="str">
        <f t="shared" si="581"/>
        <v>06539003</v>
      </c>
      <c r="D3236">
        <v>89301171</v>
      </c>
      <c r="E3236" t="str">
        <f t="shared" si="582"/>
        <v>8357184462</v>
      </c>
      <c r="F3236" s="1">
        <v>45002</v>
      </c>
      <c r="G3236" t="str">
        <f>"91329"</f>
        <v>91329</v>
      </c>
      <c r="H3236">
        <v>2</v>
      </c>
      <c r="I3236">
        <v>436</v>
      </c>
      <c r="J3236">
        <v>0</v>
      </c>
      <c r="K3236" t="str">
        <f t="shared" si="584"/>
        <v>813</v>
      </c>
      <c r="L3236">
        <v>366.24</v>
      </c>
    </row>
    <row r="3237" spans="1:12" x14ac:dyDescent="0.25">
      <c r="A3237" t="str">
        <f t="shared" si="580"/>
        <v>89301000</v>
      </c>
      <c r="B3237" t="str">
        <f t="shared" si="586"/>
        <v>06539000</v>
      </c>
      <c r="C3237" t="str">
        <f t="shared" si="581"/>
        <v>06539003</v>
      </c>
      <c r="D3237">
        <v>89301171</v>
      </c>
      <c r="E3237" t="str">
        <f t="shared" si="582"/>
        <v>8357184462</v>
      </c>
      <c r="F3237" s="1">
        <v>45002</v>
      </c>
      <c r="G3237" t="str">
        <f>"91329"</f>
        <v>91329</v>
      </c>
      <c r="H3237">
        <v>2</v>
      </c>
      <c r="I3237">
        <v>436</v>
      </c>
      <c r="J3237">
        <v>0</v>
      </c>
      <c r="K3237" t="str">
        <f t="shared" si="584"/>
        <v>813</v>
      </c>
      <c r="L3237">
        <v>366.24</v>
      </c>
    </row>
    <row r="3238" spans="1:12" x14ac:dyDescent="0.25">
      <c r="A3238" t="str">
        <f t="shared" si="580"/>
        <v>89301000</v>
      </c>
      <c r="B3238" t="str">
        <f t="shared" si="586"/>
        <v>06539000</v>
      </c>
      <c r="C3238" t="str">
        <f t="shared" si="581"/>
        <v>06539003</v>
      </c>
      <c r="D3238">
        <v>89301171</v>
      </c>
      <c r="E3238" t="str">
        <f t="shared" si="582"/>
        <v>8357184462</v>
      </c>
      <c r="F3238" s="1">
        <v>44982</v>
      </c>
      <c r="G3238" t="str">
        <f>"91167"</f>
        <v>91167</v>
      </c>
      <c r="H3238">
        <v>1</v>
      </c>
      <c r="I3238">
        <v>426</v>
      </c>
      <c r="J3238">
        <v>0</v>
      </c>
      <c r="K3238" t="str">
        <f t="shared" si="584"/>
        <v>813</v>
      </c>
      <c r="L3238">
        <v>357.84</v>
      </c>
    </row>
    <row r="3239" spans="1:12" x14ac:dyDescent="0.25">
      <c r="A3239" t="str">
        <f t="shared" si="580"/>
        <v>89301000</v>
      </c>
      <c r="B3239" t="str">
        <f t="shared" si="586"/>
        <v>06539000</v>
      </c>
      <c r="C3239" t="str">
        <f t="shared" si="581"/>
        <v>06539003</v>
      </c>
      <c r="D3239">
        <v>89301171</v>
      </c>
      <c r="E3239" t="str">
        <f t="shared" si="582"/>
        <v>8357184462</v>
      </c>
      <c r="F3239" s="1">
        <v>44982</v>
      </c>
      <c r="G3239" t="str">
        <f>"91169"</f>
        <v>91169</v>
      </c>
      <c r="H3239">
        <v>1</v>
      </c>
      <c r="I3239">
        <v>426</v>
      </c>
      <c r="J3239">
        <v>0</v>
      </c>
      <c r="K3239" t="str">
        <f t="shared" si="584"/>
        <v>813</v>
      </c>
      <c r="L3239">
        <v>357.84</v>
      </c>
    </row>
    <row r="3240" spans="1:12" x14ac:dyDescent="0.25">
      <c r="A3240" t="str">
        <f t="shared" si="580"/>
        <v>89301000</v>
      </c>
      <c r="B3240" t="str">
        <f t="shared" si="586"/>
        <v>06539000</v>
      </c>
      <c r="C3240" t="str">
        <f t="shared" si="581"/>
        <v>06539003</v>
      </c>
      <c r="D3240">
        <v>89301171</v>
      </c>
      <c r="E3240" t="str">
        <f t="shared" si="582"/>
        <v>8357184462</v>
      </c>
      <c r="F3240" s="1">
        <v>44986</v>
      </c>
      <c r="G3240" t="str">
        <f>"91475"</f>
        <v>91475</v>
      </c>
      <c r="H3240">
        <v>1</v>
      </c>
      <c r="I3240">
        <v>213</v>
      </c>
      <c r="J3240">
        <v>0</v>
      </c>
      <c r="K3240" t="str">
        <f t="shared" si="584"/>
        <v>813</v>
      </c>
      <c r="L3240">
        <v>178.92</v>
      </c>
    </row>
    <row r="3241" spans="1:12" x14ac:dyDescent="0.25">
      <c r="A3241" t="str">
        <f t="shared" si="580"/>
        <v>89301000</v>
      </c>
      <c r="B3241" t="str">
        <f t="shared" si="586"/>
        <v>06539000</v>
      </c>
      <c r="C3241" t="str">
        <f t="shared" si="581"/>
        <v>06539003</v>
      </c>
      <c r="D3241">
        <v>89301171</v>
      </c>
      <c r="E3241" t="str">
        <f t="shared" ref="E3241:E3268" si="587">"9356214846"</f>
        <v>9356214846</v>
      </c>
      <c r="F3241" s="1">
        <v>44993</v>
      </c>
      <c r="G3241" t="str">
        <f t="shared" ref="G3241:G3250" si="588">"91413"</f>
        <v>91413</v>
      </c>
      <c r="H3241">
        <v>1</v>
      </c>
      <c r="I3241">
        <v>868</v>
      </c>
      <c r="J3241">
        <v>0</v>
      </c>
      <c r="K3241" t="str">
        <f t="shared" si="584"/>
        <v>813</v>
      </c>
      <c r="L3241">
        <v>729.12</v>
      </c>
    </row>
    <row r="3242" spans="1:12" x14ac:dyDescent="0.25">
      <c r="A3242" t="str">
        <f t="shared" si="580"/>
        <v>89301000</v>
      </c>
      <c r="B3242" t="str">
        <f t="shared" si="586"/>
        <v>06539000</v>
      </c>
      <c r="C3242" t="str">
        <f t="shared" si="581"/>
        <v>06539003</v>
      </c>
      <c r="D3242">
        <v>89301171</v>
      </c>
      <c r="E3242" t="str">
        <f t="shared" si="587"/>
        <v>9356214846</v>
      </c>
      <c r="F3242" s="1">
        <v>44993</v>
      </c>
      <c r="G3242" t="str">
        <f t="shared" si="588"/>
        <v>91413</v>
      </c>
      <c r="H3242">
        <v>1</v>
      </c>
      <c r="I3242">
        <v>868</v>
      </c>
      <c r="J3242">
        <v>0</v>
      </c>
      <c r="K3242" t="str">
        <f t="shared" si="584"/>
        <v>813</v>
      </c>
      <c r="L3242">
        <v>729.12</v>
      </c>
    </row>
    <row r="3243" spans="1:12" x14ac:dyDescent="0.25">
      <c r="A3243" t="str">
        <f t="shared" si="580"/>
        <v>89301000</v>
      </c>
      <c r="B3243" t="str">
        <f t="shared" si="586"/>
        <v>06539000</v>
      </c>
      <c r="C3243" t="str">
        <f t="shared" si="581"/>
        <v>06539003</v>
      </c>
      <c r="D3243">
        <v>89301171</v>
      </c>
      <c r="E3243" t="str">
        <f t="shared" si="587"/>
        <v>9356214846</v>
      </c>
      <c r="F3243" s="1">
        <v>45009</v>
      </c>
      <c r="G3243" t="str">
        <f t="shared" si="588"/>
        <v>91413</v>
      </c>
      <c r="H3243">
        <v>1</v>
      </c>
      <c r="I3243">
        <v>868</v>
      </c>
      <c r="J3243">
        <v>0</v>
      </c>
      <c r="K3243" t="str">
        <f t="shared" si="584"/>
        <v>813</v>
      </c>
      <c r="L3243">
        <v>729.12</v>
      </c>
    </row>
    <row r="3244" spans="1:12" x14ac:dyDescent="0.25">
      <c r="A3244" t="str">
        <f t="shared" si="580"/>
        <v>89301000</v>
      </c>
      <c r="B3244" t="str">
        <f t="shared" si="586"/>
        <v>06539000</v>
      </c>
      <c r="C3244" t="str">
        <f t="shared" si="581"/>
        <v>06539003</v>
      </c>
      <c r="D3244">
        <v>89301171</v>
      </c>
      <c r="E3244" t="str">
        <f t="shared" si="587"/>
        <v>9356214846</v>
      </c>
      <c r="F3244" s="1">
        <v>45009</v>
      </c>
      <c r="G3244" t="str">
        <f t="shared" si="588"/>
        <v>91413</v>
      </c>
      <c r="H3244">
        <v>1</v>
      </c>
      <c r="I3244">
        <v>868</v>
      </c>
      <c r="J3244">
        <v>0</v>
      </c>
      <c r="K3244" t="str">
        <f t="shared" si="584"/>
        <v>813</v>
      </c>
      <c r="L3244">
        <v>729.12</v>
      </c>
    </row>
    <row r="3245" spans="1:12" x14ac:dyDescent="0.25">
      <c r="A3245" t="str">
        <f t="shared" si="580"/>
        <v>89301000</v>
      </c>
      <c r="B3245" t="str">
        <f t="shared" si="586"/>
        <v>06539000</v>
      </c>
      <c r="C3245" t="str">
        <f t="shared" si="581"/>
        <v>06539003</v>
      </c>
      <c r="D3245">
        <v>89301171</v>
      </c>
      <c r="E3245" t="str">
        <f t="shared" si="587"/>
        <v>9356214846</v>
      </c>
      <c r="F3245" s="1">
        <v>45008</v>
      </c>
      <c r="G3245" t="str">
        <f t="shared" si="588"/>
        <v>91413</v>
      </c>
      <c r="H3245">
        <v>1</v>
      </c>
      <c r="I3245">
        <v>868</v>
      </c>
      <c r="J3245">
        <v>0</v>
      </c>
      <c r="K3245" t="str">
        <f t="shared" si="584"/>
        <v>813</v>
      </c>
      <c r="L3245">
        <v>729.12</v>
      </c>
    </row>
    <row r="3246" spans="1:12" x14ac:dyDescent="0.25">
      <c r="A3246" t="str">
        <f t="shared" si="580"/>
        <v>89301000</v>
      </c>
      <c r="B3246" t="str">
        <f t="shared" si="586"/>
        <v>06539000</v>
      </c>
      <c r="C3246" t="str">
        <f t="shared" si="581"/>
        <v>06539003</v>
      </c>
      <c r="D3246">
        <v>89301171</v>
      </c>
      <c r="E3246" t="str">
        <f t="shared" si="587"/>
        <v>9356214846</v>
      </c>
      <c r="F3246" s="1">
        <v>45008</v>
      </c>
      <c r="G3246" t="str">
        <f t="shared" si="588"/>
        <v>91413</v>
      </c>
      <c r="H3246">
        <v>1</v>
      </c>
      <c r="I3246">
        <v>868</v>
      </c>
      <c r="J3246">
        <v>0</v>
      </c>
      <c r="K3246" t="str">
        <f t="shared" si="584"/>
        <v>813</v>
      </c>
      <c r="L3246">
        <v>729.12</v>
      </c>
    </row>
    <row r="3247" spans="1:12" x14ac:dyDescent="0.25">
      <c r="A3247" t="str">
        <f t="shared" si="580"/>
        <v>89301000</v>
      </c>
      <c r="B3247" t="str">
        <f t="shared" si="586"/>
        <v>06539000</v>
      </c>
      <c r="C3247" t="str">
        <f t="shared" si="581"/>
        <v>06539003</v>
      </c>
      <c r="D3247">
        <v>89301171</v>
      </c>
      <c r="E3247" t="str">
        <f t="shared" si="587"/>
        <v>9356214846</v>
      </c>
      <c r="F3247" s="1">
        <v>45009</v>
      </c>
      <c r="G3247" t="str">
        <f t="shared" si="588"/>
        <v>91413</v>
      </c>
      <c r="H3247">
        <v>1</v>
      </c>
      <c r="I3247">
        <v>868</v>
      </c>
      <c r="J3247">
        <v>0</v>
      </c>
      <c r="K3247" t="str">
        <f t="shared" si="584"/>
        <v>813</v>
      </c>
      <c r="L3247">
        <v>729.12</v>
      </c>
    </row>
    <row r="3248" spans="1:12" x14ac:dyDescent="0.25">
      <c r="A3248" t="str">
        <f t="shared" si="580"/>
        <v>89301000</v>
      </c>
      <c r="B3248" t="str">
        <f t="shared" si="586"/>
        <v>06539000</v>
      </c>
      <c r="C3248" t="str">
        <f t="shared" si="581"/>
        <v>06539003</v>
      </c>
      <c r="D3248">
        <v>89301171</v>
      </c>
      <c r="E3248" t="str">
        <f t="shared" si="587"/>
        <v>9356214846</v>
      </c>
      <c r="F3248" s="1">
        <v>45009</v>
      </c>
      <c r="G3248" t="str">
        <f t="shared" si="588"/>
        <v>91413</v>
      </c>
      <c r="H3248">
        <v>1</v>
      </c>
      <c r="I3248">
        <v>868</v>
      </c>
      <c r="J3248">
        <v>0</v>
      </c>
      <c r="K3248" t="str">
        <f t="shared" si="584"/>
        <v>813</v>
      </c>
      <c r="L3248">
        <v>729.12</v>
      </c>
    </row>
    <row r="3249" spans="1:12" x14ac:dyDescent="0.25">
      <c r="A3249" t="str">
        <f t="shared" si="580"/>
        <v>89301000</v>
      </c>
      <c r="B3249" t="str">
        <f t="shared" si="586"/>
        <v>06539000</v>
      </c>
      <c r="C3249" t="str">
        <f t="shared" si="581"/>
        <v>06539003</v>
      </c>
      <c r="D3249">
        <v>89301171</v>
      </c>
      <c r="E3249" t="str">
        <f t="shared" si="587"/>
        <v>9356214846</v>
      </c>
      <c r="F3249" s="1">
        <v>45009</v>
      </c>
      <c r="G3249" t="str">
        <f t="shared" si="588"/>
        <v>91413</v>
      </c>
      <c r="H3249">
        <v>1</v>
      </c>
      <c r="I3249">
        <v>868</v>
      </c>
      <c r="J3249">
        <v>0</v>
      </c>
      <c r="K3249" t="str">
        <f t="shared" si="584"/>
        <v>813</v>
      </c>
      <c r="L3249">
        <v>729.12</v>
      </c>
    </row>
    <row r="3250" spans="1:12" x14ac:dyDescent="0.25">
      <c r="A3250" t="str">
        <f t="shared" si="580"/>
        <v>89301000</v>
      </c>
      <c r="B3250" t="str">
        <f t="shared" si="586"/>
        <v>06539000</v>
      </c>
      <c r="C3250" t="str">
        <f t="shared" ref="C3250:C3268" si="589">"06539003"</f>
        <v>06539003</v>
      </c>
      <c r="D3250">
        <v>89301171</v>
      </c>
      <c r="E3250" t="str">
        <f t="shared" si="587"/>
        <v>9356214846</v>
      </c>
      <c r="F3250" s="1">
        <v>45009</v>
      </c>
      <c r="G3250" t="str">
        <f t="shared" si="588"/>
        <v>91413</v>
      </c>
      <c r="H3250">
        <v>1</v>
      </c>
      <c r="I3250">
        <v>868</v>
      </c>
      <c r="J3250">
        <v>0</v>
      </c>
      <c r="K3250" t="str">
        <f t="shared" ref="K3250:K3268" si="590">"813"</f>
        <v>813</v>
      </c>
      <c r="L3250">
        <v>729.12</v>
      </c>
    </row>
    <row r="3251" spans="1:12" x14ac:dyDescent="0.25">
      <c r="A3251" t="str">
        <f t="shared" si="580"/>
        <v>89301000</v>
      </c>
      <c r="B3251" t="str">
        <f t="shared" si="586"/>
        <v>06539000</v>
      </c>
      <c r="C3251" t="str">
        <f t="shared" si="589"/>
        <v>06539003</v>
      </c>
      <c r="D3251">
        <v>89301171</v>
      </c>
      <c r="E3251" t="str">
        <f t="shared" si="587"/>
        <v>9356214846</v>
      </c>
      <c r="F3251" s="1">
        <v>44991</v>
      </c>
      <c r="G3251" t="str">
        <f t="shared" ref="G3251:G3256" si="591">"91197"</f>
        <v>91197</v>
      </c>
      <c r="H3251">
        <v>1</v>
      </c>
      <c r="I3251">
        <v>1048</v>
      </c>
      <c r="J3251">
        <v>0</v>
      </c>
      <c r="K3251" t="str">
        <f t="shared" si="590"/>
        <v>813</v>
      </c>
      <c r="L3251">
        <v>880.32</v>
      </c>
    </row>
    <row r="3252" spans="1:12" x14ac:dyDescent="0.25">
      <c r="A3252" t="str">
        <f t="shared" si="580"/>
        <v>89301000</v>
      </c>
      <c r="B3252" t="str">
        <f t="shared" si="586"/>
        <v>06539000</v>
      </c>
      <c r="C3252" t="str">
        <f t="shared" si="589"/>
        <v>06539003</v>
      </c>
      <c r="D3252">
        <v>89301171</v>
      </c>
      <c r="E3252" t="str">
        <f t="shared" si="587"/>
        <v>9356214846</v>
      </c>
      <c r="F3252" s="1">
        <v>44991</v>
      </c>
      <c r="G3252" t="str">
        <f t="shared" si="591"/>
        <v>91197</v>
      </c>
      <c r="H3252">
        <v>1</v>
      </c>
      <c r="I3252">
        <v>1048</v>
      </c>
      <c r="J3252">
        <v>0</v>
      </c>
      <c r="K3252" t="str">
        <f t="shared" si="590"/>
        <v>813</v>
      </c>
      <c r="L3252">
        <v>880.32</v>
      </c>
    </row>
    <row r="3253" spans="1:12" x14ac:dyDescent="0.25">
      <c r="A3253" t="str">
        <f t="shared" si="580"/>
        <v>89301000</v>
      </c>
      <c r="B3253" t="str">
        <f t="shared" si="586"/>
        <v>06539000</v>
      </c>
      <c r="C3253" t="str">
        <f t="shared" si="589"/>
        <v>06539003</v>
      </c>
      <c r="D3253">
        <v>89301171</v>
      </c>
      <c r="E3253" t="str">
        <f t="shared" si="587"/>
        <v>9356214846</v>
      </c>
      <c r="F3253" s="1">
        <v>44990</v>
      </c>
      <c r="G3253" t="str">
        <f t="shared" si="591"/>
        <v>91197</v>
      </c>
      <c r="H3253">
        <v>1</v>
      </c>
      <c r="I3253">
        <v>1048</v>
      </c>
      <c r="J3253">
        <v>0</v>
      </c>
      <c r="K3253" t="str">
        <f t="shared" si="590"/>
        <v>813</v>
      </c>
      <c r="L3253">
        <v>880.32</v>
      </c>
    </row>
    <row r="3254" spans="1:12" x14ac:dyDescent="0.25">
      <c r="A3254" t="str">
        <f t="shared" si="580"/>
        <v>89301000</v>
      </c>
      <c r="B3254" t="str">
        <f t="shared" si="586"/>
        <v>06539000</v>
      </c>
      <c r="C3254" t="str">
        <f t="shared" si="589"/>
        <v>06539003</v>
      </c>
      <c r="D3254">
        <v>89301171</v>
      </c>
      <c r="E3254" t="str">
        <f t="shared" si="587"/>
        <v>9356214846</v>
      </c>
      <c r="F3254" s="1">
        <v>44990</v>
      </c>
      <c r="G3254" t="str">
        <f t="shared" si="591"/>
        <v>91197</v>
      </c>
      <c r="H3254">
        <v>1</v>
      </c>
      <c r="I3254">
        <v>1048</v>
      </c>
      <c r="J3254">
        <v>0</v>
      </c>
      <c r="K3254" t="str">
        <f t="shared" si="590"/>
        <v>813</v>
      </c>
      <c r="L3254">
        <v>880.32</v>
      </c>
    </row>
    <row r="3255" spans="1:12" x14ac:dyDescent="0.25">
      <c r="A3255" t="str">
        <f t="shared" si="580"/>
        <v>89301000</v>
      </c>
      <c r="B3255" t="str">
        <f t="shared" si="586"/>
        <v>06539000</v>
      </c>
      <c r="C3255" t="str">
        <f t="shared" si="589"/>
        <v>06539003</v>
      </c>
      <c r="D3255">
        <v>89301171</v>
      </c>
      <c r="E3255" t="str">
        <f t="shared" si="587"/>
        <v>9356214846</v>
      </c>
      <c r="F3255" s="1">
        <v>44989</v>
      </c>
      <c r="G3255" t="str">
        <f t="shared" si="591"/>
        <v>91197</v>
      </c>
      <c r="H3255">
        <v>1</v>
      </c>
      <c r="I3255">
        <v>1048</v>
      </c>
      <c r="J3255">
        <v>0</v>
      </c>
      <c r="K3255" t="str">
        <f t="shared" si="590"/>
        <v>813</v>
      </c>
      <c r="L3255">
        <v>880.32</v>
      </c>
    </row>
    <row r="3256" spans="1:12" x14ac:dyDescent="0.25">
      <c r="A3256" t="str">
        <f t="shared" si="580"/>
        <v>89301000</v>
      </c>
      <c r="B3256" t="str">
        <f t="shared" si="586"/>
        <v>06539000</v>
      </c>
      <c r="C3256" t="str">
        <f t="shared" si="589"/>
        <v>06539003</v>
      </c>
      <c r="D3256">
        <v>89301171</v>
      </c>
      <c r="E3256" t="str">
        <f t="shared" si="587"/>
        <v>9356214846</v>
      </c>
      <c r="F3256" s="1">
        <v>44989</v>
      </c>
      <c r="G3256" t="str">
        <f t="shared" si="591"/>
        <v>91197</v>
      </c>
      <c r="H3256">
        <v>1</v>
      </c>
      <c r="I3256">
        <v>1048</v>
      </c>
      <c r="J3256">
        <v>0</v>
      </c>
      <c r="K3256" t="str">
        <f t="shared" si="590"/>
        <v>813</v>
      </c>
      <c r="L3256">
        <v>880.32</v>
      </c>
    </row>
    <row r="3257" spans="1:12" x14ac:dyDescent="0.25">
      <c r="A3257" t="str">
        <f t="shared" si="580"/>
        <v>89301000</v>
      </c>
      <c r="B3257" t="str">
        <f t="shared" si="586"/>
        <v>06539000</v>
      </c>
      <c r="C3257" t="str">
        <f t="shared" si="589"/>
        <v>06539003</v>
      </c>
      <c r="D3257">
        <v>89301171</v>
      </c>
      <c r="E3257" t="str">
        <f t="shared" si="587"/>
        <v>9356214846</v>
      </c>
      <c r="F3257" s="1">
        <v>45009</v>
      </c>
      <c r="G3257" t="str">
        <f>"91329"</f>
        <v>91329</v>
      </c>
      <c r="H3257">
        <v>2</v>
      </c>
      <c r="I3257">
        <v>436</v>
      </c>
      <c r="J3257">
        <v>0</v>
      </c>
      <c r="K3257" t="str">
        <f t="shared" si="590"/>
        <v>813</v>
      </c>
      <c r="L3257">
        <v>366.24</v>
      </c>
    </row>
    <row r="3258" spans="1:12" x14ac:dyDescent="0.25">
      <c r="A3258" t="str">
        <f t="shared" si="580"/>
        <v>89301000</v>
      </c>
      <c r="B3258" t="str">
        <f t="shared" si="586"/>
        <v>06539000</v>
      </c>
      <c r="C3258" t="str">
        <f t="shared" si="589"/>
        <v>06539003</v>
      </c>
      <c r="D3258">
        <v>89301171</v>
      </c>
      <c r="E3258" t="str">
        <f t="shared" si="587"/>
        <v>9356214846</v>
      </c>
      <c r="F3258" s="1">
        <v>45009</v>
      </c>
      <c r="G3258" t="str">
        <f>"91329"</f>
        <v>91329</v>
      </c>
      <c r="H3258">
        <v>2</v>
      </c>
      <c r="I3258">
        <v>436</v>
      </c>
      <c r="J3258">
        <v>0</v>
      </c>
      <c r="K3258" t="str">
        <f t="shared" si="590"/>
        <v>813</v>
      </c>
      <c r="L3258">
        <v>366.24</v>
      </c>
    </row>
    <row r="3259" spans="1:12" x14ac:dyDescent="0.25">
      <c r="A3259" t="str">
        <f t="shared" si="580"/>
        <v>89301000</v>
      </c>
      <c r="B3259" t="str">
        <f t="shared" si="586"/>
        <v>06539000</v>
      </c>
      <c r="C3259" t="str">
        <f t="shared" si="589"/>
        <v>06539003</v>
      </c>
      <c r="D3259">
        <v>89301171</v>
      </c>
      <c r="E3259" t="str">
        <f t="shared" si="587"/>
        <v>9356214846</v>
      </c>
      <c r="F3259" s="1">
        <v>45009</v>
      </c>
      <c r="G3259" t="str">
        <f>"91329"</f>
        <v>91329</v>
      </c>
      <c r="H3259">
        <v>2</v>
      </c>
      <c r="I3259">
        <v>436</v>
      </c>
      <c r="J3259">
        <v>0</v>
      </c>
      <c r="K3259" t="str">
        <f t="shared" si="590"/>
        <v>813</v>
      </c>
      <c r="L3259">
        <v>366.24</v>
      </c>
    </row>
    <row r="3260" spans="1:12" x14ac:dyDescent="0.25">
      <c r="A3260" t="str">
        <f t="shared" si="580"/>
        <v>89301000</v>
      </c>
      <c r="B3260" t="str">
        <f t="shared" si="586"/>
        <v>06539000</v>
      </c>
      <c r="C3260" t="str">
        <f t="shared" si="589"/>
        <v>06539003</v>
      </c>
      <c r="D3260">
        <v>89301171</v>
      </c>
      <c r="E3260" t="str">
        <f t="shared" si="587"/>
        <v>9356214846</v>
      </c>
      <c r="F3260" s="1">
        <v>45009</v>
      </c>
      <c r="G3260" t="str">
        <f>"91329"</f>
        <v>91329</v>
      </c>
      <c r="H3260">
        <v>2</v>
      </c>
      <c r="I3260">
        <v>436</v>
      </c>
      <c r="J3260">
        <v>0</v>
      </c>
      <c r="K3260" t="str">
        <f t="shared" si="590"/>
        <v>813</v>
      </c>
      <c r="L3260">
        <v>366.24</v>
      </c>
    </row>
    <row r="3261" spans="1:12" x14ac:dyDescent="0.25">
      <c r="A3261" t="str">
        <f t="shared" si="580"/>
        <v>89301000</v>
      </c>
      <c r="B3261" t="str">
        <f t="shared" si="586"/>
        <v>06539000</v>
      </c>
      <c r="C3261" t="str">
        <f t="shared" si="589"/>
        <v>06539003</v>
      </c>
      <c r="D3261">
        <v>89301171</v>
      </c>
      <c r="E3261" t="str">
        <f t="shared" si="587"/>
        <v>9356214846</v>
      </c>
      <c r="F3261" s="1">
        <v>44991</v>
      </c>
      <c r="G3261" t="str">
        <f>"91129"</f>
        <v>91129</v>
      </c>
      <c r="H3261">
        <v>1</v>
      </c>
      <c r="I3261">
        <v>175</v>
      </c>
      <c r="J3261">
        <v>0</v>
      </c>
      <c r="K3261" t="str">
        <f t="shared" si="590"/>
        <v>813</v>
      </c>
      <c r="L3261">
        <v>147</v>
      </c>
    </row>
    <row r="3262" spans="1:12" x14ac:dyDescent="0.25">
      <c r="A3262" t="str">
        <f t="shared" si="580"/>
        <v>89301000</v>
      </c>
      <c r="B3262" t="str">
        <f t="shared" si="586"/>
        <v>06539000</v>
      </c>
      <c r="C3262" t="str">
        <f t="shared" si="589"/>
        <v>06539003</v>
      </c>
      <c r="D3262">
        <v>89301171</v>
      </c>
      <c r="E3262" t="str">
        <f t="shared" si="587"/>
        <v>9356214846</v>
      </c>
      <c r="F3262" s="1">
        <v>44991</v>
      </c>
      <c r="G3262" t="str">
        <f>"91131"</f>
        <v>91131</v>
      </c>
      <c r="H3262">
        <v>1</v>
      </c>
      <c r="I3262">
        <v>171</v>
      </c>
      <c r="J3262">
        <v>0</v>
      </c>
      <c r="K3262" t="str">
        <f t="shared" si="590"/>
        <v>813</v>
      </c>
      <c r="L3262">
        <v>143.63999999999999</v>
      </c>
    </row>
    <row r="3263" spans="1:12" x14ac:dyDescent="0.25">
      <c r="A3263" t="str">
        <f t="shared" si="580"/>
        <v>89301000</v>
      </c>
      <c r="B3263" t="str">
        <f t="shared" si="586"/>
        <v>06539000</v>
      </c>
      <c r="C3263" t="str">
        <f t="shared" si="589"/>
        <v>06539003</v>
      </c>
      <c r="D3263">
        <v>89301171</v>
      </c>
      <c r="E3263" t="str">
        <f t="shared" si="587"/>
        <v>9356214846</v>
      </c>
      <c r="F3263" s="1">
        <v>44991</v>
      </c>
      <c r="G3263" t="str">
        <f>"91133"</f>
        <v>91133</v>
      </c>
      <c r="H3263">
        <v>1</v>
      </c>
      <c r="I3263">
        <v>177</v>
      </c>
      <c r="J3263">
        <v>0</v>
      </c>
      <c r="K3263" t="str">
        <f t="shared" si="590"/>
        <v>813</v>
      </c>
      <c r="L3263">
        <v>148.68</v>
      </c>
    </row>
    <row r="3264" spans="1:12" x14ac:dyDescent="0.25">
      <c r="A3264" t="str">
        <f t="shared" si="580"/>
        <v>89301000</v>
      </c>
      <c r="B3264" t="str">
        <f t="shared" si="586"/>
        <v>06539000</v>
      </c>
      <c r="C3264" t="str">
        <f t="shared" si="589"/>
        <v>06539003</v>
      </c>
      <c r="D3264">
        <v>89301171</v>
      </c>
      <c r="E3264" t="str">
        <f t="shared" si="587"/>
        <v>9356214846</v>
      </c>
      <c r="F3264" s="1">
        <v>44991</v>
      </c>
      <c r="G3264" t="str">
        <f>"91171"</f>
        <v>91171</v>
      </c>
      <c r="H3264">
        <v>1</v>
      </c>
      <c r="I3264">
        <v>362</v>
      </c>
      <c r="J3264">
        <v>0</v>
      </c>
      <c r="K3264" t="str">
        <f t="shared" si="590"/>
        <v>813</v>
      </c>
      <c r="L3264">
        <v>304.08</v>
      </c>
    </row>
    <row r="3265" spans="1:12" x14ac:dyDescent="0.25">
      <c r="A3265" t="str">
        <f t="shared" si="580"/>
        <v>89301000</v>
      </c>
      <c r="B3265" t="str">
        <f t="shared" si="586"/>
        <v>06539000</v>
      </c>
      <c r="C3265" t="str">
        <f t="shared" si="589"/>
        <v>06539003</v>
      </c>
      <c r="D3265">
        <v>89301171</v>
      </c>
      <c r="E3265" t="str">
        <f t="shared" si="587"/>
        <v>9356214846</v>
      </c>
      <c r="F3265" s="1">
        <v>44991</v>
      </c>
      <c r="G3265" t="str">
        <f>"91175"</f>
        <v>91175</v>
      </c>
      <c r="H3265">
        <v>1</v>
      </c>
      <c r="I3265">
        <v>362</v>
      </c>
      <c r="J3265">
        <v>0</v>
      </c>
      <c r="K3265" t="str">
        <f t="shared" si="590"/>
        <v>813</v>
      </c>
      <c r="L3265">
        <v>304.08</v>
      </c>
    </row>
    <row r="3266" spans="1:12" x14ac:dyDescent="0.25">
      <c r="A3266" t="str">
        <f t="shared" ref="A3266:A3329" si="592">"89301000"</f>
        <v>89301000</v>
      </c>
      <c r="B3266" t="str">
        <f t="shared" si="586"/>
        <v>06539000</v>
      </c>
      <c r="C3266" t="str">
        <f t="shared" si="589"/>
        <v>06539003</v>
      </c>
      <c r="D3266">
        <v>89301171</v>
      </c>
      <c r="E3266" t="str">
        <f t="shared" si="587"/>
        <v>9356214846</v>
      </c>
      <c r="F3266" s="1">
        <v>44989</v>
      </c>
      <c r="G3266" t="str">
        <f>"91167"</f>
        <v>91167</v>
      </c>
      <c r="H3266">
        <v>1</v>
      </c>
      <c r="I3266">
        <v>426</v>
      </c>
      <c r="J3266">
        <v>0</v>
      </c>
      <c r="K3266" t="str">
        <f t="shared" si="590"/>
        <v>813</v>
      </c>
      <c r="L3266">
        <v>357.84</v>
      </c>
    </row>
    <row r="3267" spans="1:12" x14ac:dyDescent="0.25">
      <c r="A3267" t="str">
        <f t="shared" si="592"/>
        <v>89301000</v>
      </c>
      <c r="B3267" t="str">
        <f t="shared" si="586"/>
        <v>06539000</v>
      </c>
      <c r="C3267" t="str">
        <f t="shared" si="589"/>
        <v>06539003</v>
      </c>
      <c r="D3267">
        <v>89301171</v>
      </c>
      <c r="E3267" t="str">
        <f t="shared" si="587"/>
        <v>9356214846</v>
      </c>
      <c r="F3267" s="1">
        <v>44989</v>
      </c>
      <c r="G3267" t="str">
        <f>"91169"</f>
        <v>91169</v>
      </c>
      <c r="H3267">
        <v>1</v>
      </c>
      <c r="I3267">
        <v>426</v>
      </c>
      <c r="J3267">
        <v>0</v>
      </c>
      <c r="K3267" t="str">
        <f t="shared" si="590"/>
        <v>813</v>
      </c>
      <c r="L3267">
        <v>357.84</v>
      </c>
    </row>
    <row r="3268" spans="1:12" x14ac:dyDescent="0.25">
      <c r="A3268" t="str">
        <f t="shared" si="592"/>
        <v>89301000</v>
      </c>
      <c r="B3268" t="str">
        <f t="shared" si="586"/>
        <v>06539000</v>
      </c>
      <c r="C3268" t="str">
        <f t="shared" si="589"/>
        <v>06539003</v>
      </c>
      <c r="D3268">
        <v>89301171</v>
      </c>
      <c r="E3268" t="str">
        <f t="shared" si="587"/>
        <v>9356214846</v>
      </c>
      <c r="F3268" s="1">
        <v>44993</v>
      </c>
      <c r="G3268" t="str">
        <f>"91475"</f>
        <v>91475</v>
      </c>
      <c r="H3268">
        <v>1</v>
      </c>
      <c r="I3268">
        <v>213</v>
      </c>
      <c r="J3268">
        <v>0</v>
      </c>
      <c r="K3268" t="str">
        <f t="shared" si="590"/>
        <v>813</v>
      </c>
      <c r="L3268">
        <v>178.92</v>
      </c>
    </row>
    <row r="3269" spans="1:12" x14ac:dyDescent="0.25">
      <c r="A3269" t="str">
        <f t="shared" si="592"/>
        <v>89301000</v>
      </c>
      <c r="B3269" t="str">
        <f t="shared" si="586"/>
        <v>06539000</v>
      </c>
      <c r="C3269" t="str">
        <f>"06539001"</f>
        <v>06539001</v>
      </c>
      <c r="D3269">
        <v>89301172</v>
      </c>
      <c r="E3269" t="str">
        <f>"7453105341"</f>
        <v>7453105341</v>
      </c>
      <c r="F3269" s="1">
        <v>44993</v>
      </c>
      <c r="G3269" t="str">
        <f>"81705"</f>
        <v>81705</v>
      </c>
      <c r="H3269">
        <v>1</v>
      </c>
      <c r="I3269">
        <v>348</v>
      </c>
      <c r="J3269">
        <v>0</v>
      </c>
      <c r="K3269" t="str">
        <f>"801"</f>
        <v>801</v>
      </c>
      <c r="L3269">
        <v>292.32</v>
      </c>
    </row>
    <row r="3270" spans="1:12" x14ac:dyDescent="0.25">
      <c r="A3270" t="str">
        <f t="shared" si="592"/>
        <v>89301000</v>
      </c>
      <c r="B3270" t="str">
        <f t="shared" si="586"/>
        <v>06539000</v>
      </c>
      <c r="C3270" t="str">
        <f>"06539001"</f>
        <v>06539001</v>
      </c>
      <c r="D3270">
        <v>89301172</v>
      </c>
      <c r="E3270" t="str">
        <f>"7453105341"</f>
        <v>7453105341</v>
      </c>
      <c r="F3270" s="1">
        <v>44992</v>
      </c>
      <c r="G3270" t="str">
        <f>"81705"</f>
        <v>81705</v>
      </c>
      <c r="H3270">
        <v>1</v>
      </c>
      <c r="I3270">
        <v>348</v>
      </c>
      <c r="J3270">
        <v>0</v>
      </c>
      <c r="K3270" t="str">
        <f>"801"</f>
        <v>801</v>
      </c>
      <c r="L3270">
        <v>292.32</v>
      </c>
    </row>
    <row r="3271" spans="1:12" x14ac:dyDescent="0.25">
      <c r="A3271" t="str">
        <f t="shared" si="592"/>
        <v>89301000</v>
      </c>
      <c r="B3271" t="str">
        <f t="shared" si="586"/>
        <v>06539000</v>
      </c>
      <c r="C3271" t="str">
        <f>"06539003"</f>
        <v>06539003</v>
      </c>
      <c r="D3271">
        <v>89301172</v>
      </c>
      <c r="E3271" t="str">
        <f>"7453105341"</f>
        <v>7453105341</v>
      </c>
      <c r="F3271" s="1">
        <v>44993</v>
      </c>
      <c r="G3271" t="str">
        <f>"91329"</f>
        <v>91329</v>
      </c>
      <c r="H3271">
        <v>2</v>
      </c>
      <c r="I3271">
        <v>436</v>
      </c>
      <c r="J3271">
        <v>0</v>
      </c>
      <c r="K3271" t="str">
        <f>"813"</f>
        <v>813</v>
      </c>
      <c r="L3271">
        <v>366.24</v>
      </c>
    </row>
    <row r="3272" spans="1:12" x14ac:dyDescent="0.25">
      <c r="A3272" t="str">
        <f t="shared" si="592"/>
        <v>89301000</v>
      </c>
      <c r="B3272" t="str">
        <f t="shared" si="586"/>
        <v>06539000</v>
      </c>
      <c r="C3272" t="str">
        <f>"06539003"</f>
        <v>06539003</v>
      </c>
      <c r="D3272">
        <v>89301172</v>
      </c>
      <c r="E3272" t="str">
        <f>"7453105341"</f>
        <v>7453105341</v>
      </c>
      <c r="F3272" s="1">
        <v>44993</v>
      </c>
      <c r="G3272" t="str">
        <f>"91475"</f>
        <v>91475</v>
      </c>
      <c r="H3272">
        <v>1</v>
      </c>
      <c r="I3272">
        <v>213</v>
      </c>
      <c r="J3272">
        <v>0</v>
      </c>
      <c r="K3272" t="str">
        <f>"813"</f>
        <v>813</v>
      </c>
      <c r="L3272">
        <v>178.92</v>
      </c>
    </row>
    <row r="3273" spans="1:12" x14ac:dyDescent="0.25">
      <c r="A3273" t="str">
        <f t="shared" si="592"/>
        <v>89301000</v>
      </c>
      <c r="B3273" t="str">
        <f t="shared" ref="B3273:B3314" si="593">"10510000"</f>
        <v>10510000</v>
      </c>
      <c r="C3273" t="str">
        <f t="shared" ref="C3273:C3314" si="594">"10510001"</f>
        <v>10510001</v>
      </c>
      <c r="D3273">
        <v>89301202</v>
      </c>
      <c r="E3273" t="str">
        <f>"8206155309"</f>
        <v>8206155309</v>
      </c>
      <c r="F3273" s="1">
        <v>44991</v>
      </c>
      <c r="G3273" t="str">
        <f>"82079"</f>
        <v>82079</v>
      </c>
      <c r="H3273">
        <v>1</v>
      </c>
      <c r="I3273">
        <v>333</v>
      </c>
      <c r="J3273">
        <v>0</v>
      </c>
      <c r="K3273" t="str">
        <f t="shared" ref="K3273:K3314" si="595">"802"</f>
        <v>802</v>
      </c>
      <c r="L3273">
        <v>323.01</v>
      </c>
    </row>
    <row r="3274" spans="1:12" x14ac:dyDescent="0.25">
      <c r="A3274" t="str">
        <f t="shared" si="592"/>
        <v>89301000</v>
      </c>
      <c r="B3274" t="str">
        <f t="shared" si="593"/>
        <v>10510000</v>
      </c>
      <c r="C3274" t="str">
        <f t="shared" si="594"/>
        <v>10510001</v>
      </c>
      <c r="D3274">
        <v>89301202</v>
      </c>
      <c r="E3274" t="str">
        <f>"8206155309"</f>
        <v>8206155309</v>
      </c>
      <c r="F3274" s="1">
        <v>44991</v>
      </c>
      <c r="G3274" t="str">
        <f>"82111"</f>
        <v>82111</v>
      </c>
      <c r="H3274">
        <v>1</v>
      </c>
      <c r="I3274">
        <v>37</v>
      </c>
      <c r="J3274">
        <v>0</v>
      </c>
      <c r="K3274" t="str">
        <f t="shared" si="595"/>
        <v>802</v>
      </c>
      <c r="L3274">
        <v>35.89</v>
      </c>
    </row>
    <row r="3275" spans="1:12" x14ac:dyDescent="0.25">
      <c r="A3275" t="str">
        <f t="shared" si="592"/>
        <v>89301000</v>
      </c>
      <c r="B3275" t="str">
        <f t="shared" si="593"/>
        <v>10510000</v>
      </c>
      <c r="C3275" t="str">
        <f t="shared" si="594"/>
        <v>10510001</v>
      </c>
      <c r="D3275">
        <v>89301202</v>
      </c>
      <c r="E3275" t="str">
        <f>"8206155309"</f>
        <v>8206155309</v>
      </c>
      <c r="F3275" s="1">
        <v>44991</v>
      </c>
      <c r="G3275" t="str">
        <f>"82145"</f>
        <v>82145</v>
      </c>
      <c r="H3275">
        <v>6</v>
      </c>
      <c r="I3275">
        <v>354</v>
      </c>
      <c r="J3275">
        <v>0</v>
      </c>
      <c r="K3275" t="str">
        <f t="shared" si="595"/>
        <v>802</v>
      </c>
      <c r="L3275">
        <v>343.38</v>
      </c>
    </row>
    <row r="3276" spans="1:12" x14ac:dyDescent="0.25">
      <c r="A3276" t="str">
        <f t="shared" si="592"/>
        <v>89301000</v>
      </c>
      <c r="B3276" t="str">
        <f t="shared" si="593"/>
        <v>10510000</v>
      </c>
      <c r="C3276" t="str">
        <f t="shared" si="594"/>
        <v>10510001</v>
      </c>
      <c r="D3276">
        <v>89301202</v>
      </c>
      <c r="E3276" t="str">
        <f>"8206155309"</f>
        <v>8206155309</v>
      </c>
      <c r="F3276" s="1">
        <v>44991</v>
      </c>
      <c r="G3276" t="str">
        <f>"82113"</f>
        <v>82113</v>
      </c>
      <c r="H3276">
        <v>1</v>
      </c>
      <c r="I3276">
        <v>363</v>
      </c>
      <c r="J3276">
        <v>0</v>
      </c>
      <c r="K3276" t="str">
        <f t="shared" si="595"/>
        <v>802</v>
      </c>
      <c r="L3276">
        <v>352.11</v>
      </c>
    </row>
    <row r="3277" spans="1:12" x14ac:dyDescent="0.25">
      <c r="A3277" t="str">
        <f t="shared" si="592"/>
        <v>89301000</v>
      </c>
      <c r="B3277" t="str">
        <f t="shared" si="593"/>
        <v>10510000</v>
      </c>
      <c r="C3277" t="str">
        <f t="shared" si="594"/>
        <v>10510001</v>
      </c>
      <c r="D3277">
        <v>89301202</v>
      </c>
      <c r="E3277" t="str">
        <f>"8206155309"</f>
        <v>8206155309</v>
      </c>
      <c r="F3277" s="1">
        <v>44988</v>
      </c>
      <c r="G3277" t="str">
        <f>"97111"</f>
        <v>97111</v>
      </c>
      <c r="H3277">
        <v>1</v>
      </c>
      <c r="I3277">
        <v>19</v>
      </c>
      <c r="J3277">
        <v>0</v>
      </c>
      <c r="K3277" t="str">
        <f t="shared" si="595"/>
        <v>802</v>
      </c>
      <c r="L3277">
        <v>23.94</v>
      </c>
    </row>
    <row r="3278" spans="1:12" x14ac:dyDescent="0.25">
      <c r="A3278" t="str">
        <f t="shared" si="592"/>
        <v>89301000</v>
      </c>
      <c r="B3278" t="str">
        <f t="shared" si="593"/>
        <v>10510000</v>
      </c>
      <c r="C3278" t="str">
        <f t="shared" si="594"/>
        <v>10510001</v>
      </c>
      <c r="D3278">
        <v>89301202</v>
      </c>
      <c r="E3278" t="str">
        <f>"6907105359"</f>
        <v>6907105359</v>
      </c>
      <c r="F3278" s="1">
        <v>44992</v>
      </c>
      <c r="G3278" t="str">
        <f>"82079"</f>
        <v>82079</v>
      </c>
      <c r="H3278">
        <v>1</v>
      </c>
      <c r="I3278">
        <v>333</v>
      </c>
      <c r="J3278">
        <v>0</v>
      </c>
      <c r="K3278" t="str">
        <f t="shared" si="595"/>
        <v>802</v>
      </c>
      <c r="L3278">
        <v>323.01</v>
      </c>
    </row>
    <row r="3279" spans="1:12" x14ac:dyDescent="0.25">
      <c r="A3279" t="str">
        <f t="shared" si="592"/>
        <v>89301000</v>
      </c>
      <c r="B3279" t="str">
        <f t="shared" si="593"/>
        <v>10510000</v>
      </c>
      <c r="C3279" t="str">
        <f t="shared" si="594"/>
        <v>10510001</v>
      </c>
      <c r="D3279">
        <v>89301202</v>
      </c>
      <c r="E3279" t="str">
        <f>"6907105359"</f>
        <v>6907105359</v>
      </c>
      <c r="F3279" s="1">
        <v>44992</v>
      </c>
      <c r="G3279" t="str">
        <f>"82111"</f>
        <v>82111</v>
      </c>
      <c r="H3279">
        <v>1</v>
      </c>
      <c r="I3279">
        <v>37</v>
      </c>
      <c r="J3279">
        <v>0</v>
      </c>
      <c r="K3279" t="str">
        <f t="shared" si="595"/>
        <v>802</v>
      </c>
      <c r="L3279">
        <v>35.89</v>
      </c>
    </row>
    <row r="3280" spans="1:12" x14ac:dyDescent="0.25">
      <c r="A3280" t="str">
        <f t="shared" si="592"/>
        <v>89301000</v>
      </c>
      <c r="B3280" t="str">
        <f t="shared" si="593"/>
        <v>10510000</v>
      </c>
      <c r="C3280" t="str">
        <f t="shared" si="594"/>
        <v>10510001</v>
      </c>
      <c r="D3280">
        <v>89301202</v>
      </c>
      <c r="E3280" t="str">
        <f>"6907105359"</f>
        <v>6907105359</v>
      </c>
      <c r="F3280" s="1">
        <v>44992</v>
      </c>
      <c r="G3280" t="str">
        <f>"82113"</f>
        <v>82113</v>
      </c>
      <c r="H3280">
        <v>1</v>
      </c>
      <c r="I3280">
        <v>363</v>
      </c>
      <c r="J3280">
        <v>0</v>
      </c>
      <c r="K3280" t="str">
        <f t="shared" si="595"/>
        <v>802</v>
      </c>
      <c r="L3280">
        <v>352.11</v>
      </c>
    </row>
    <row r="3281" spans="1:12" x14ac:dyDescent="0.25">
      <c r="A3281" t="str">
        <f t="shared" si="592"/>
        <v>89301000</v>
      </c>
      <c r="B3281" t="str">
        <f t="shared" si="593"/>
        <v>10510000</v>
      </c>
      <c r="C3281" t="str">
        <f t="shared" si="594"/>
        <v>10510001</v>
      </c>
      <c r="D3281">
        <v>89301202</v>
      </c>
      <c r="E3281" t="str">
        <f>"6907105359"</f>
        <v>6907105359</v>
      </c>
      <c r="F3281" s="1">
        <v>44992</v>
      </c>
      <c r="G3281" t="str">
        <f>"82145"</f>
        <v>82145</v>
      </c>
      <c r="H3281">
        <v>6</v>
      </c>
      <c r="I3281">
        <v>354</v>
      </c>
      <c r="J3281">
        <v>0</v>
      </c>
      <c r="K3281" t="str">
        <f t="shared" si="595"/>
        <v>802</v>
      </c>
      <c r="L3281">
        <v>343.38</v>
      </c>
    </row>
    <row r="3282" spans="1:12" x14ac:dyDescent="0.25">
      <c r="A3282" t="str">
        <f t="shared" si="592"/>
        <v>89301000</v>
      </c>
      <c r="B3282" t="str">
        <f t="shared" si="593"/>
        <v>10510000</v>
      </c>
      <c r="C3282" t="str">
        <f t="shared" si="594"/>
        <v>10510001</v>
      </c>
      <c r="D3282">
        <v>89301202</v>
      </c>
      <c r="E3282" t="str">
        <f>"6907105359"</f>
        <v>6907105359</v>
      </c>
      <c r="F3282" s="1">
        <v>44991</v>
      </c>
      <c r="G3282" t="str">
        <f>"97111"</f>
        <v>97111</v>
      </c>
      <c r="H3282">
        <v>1</v>
      </c>
      <c r="I3282">
        <v>19</v>
      </c>
      <c r="J3282">
        <v>0</v>
      </c>
      <c r="K3282" t="str">
        <f t="shared" si="595"/>
        <v>802</v>
      </c>
      <c r="L3282">
        <v>23.94</v>
      </c>
    </row>
    <row r="3283" spans="1:12" x14ac:dyDescent="0.25">
      <c r="A3283" t="str">
        <f t="shared" si="592"/>
        <v>89301000</v>
      </c>
      <c r="B3283" t="str">
        <f t="shared" si="593"/>
        <v>10510000</v>
      </c>
      <c r="C3283" t="str">
        <f t="shared" si="594"/>
        <v>10510001</v>
      </c>
      <c r="D3283">
        <v>89301202</v>
      </c>
      <c r="E3283" t="str">
        <f t="shared" ref="E3283:E3288" si="596">"6053060739"</f>
        <v>6053060739</v>
      </c>
      <c r="F3283" s="1">
        <v>44994</v>
      </c>
      <c r="G3283" t="str">
        <f>"97111"</f>
        <v>97111</v>
      </c>
      <c r="H3283">
        <v>1</v>
      </c>
      <c r="I3283">
        <v>19</v>
      </c>
      <c r="J3283">
        <v>0</v>
      </c>
      <c r="K3283" t="str">
        <f t="shared" si="595"/>
        <v>802</v>
      </c>
      <c r="L3283">
        <v>23.94</v>
      </c>
    </row>
    <row r="3284" spans="1:12" x14ac:dyDescent="0.25">
      <c r="A3284" t="str">
        <f t="shared" si="592"/>
        <v>89301000</v>
      </c>
      <c r="B3284" t="str">
        <f t="shared" si="593"/>
        <v>10510000</v>
      </c>
      <c r="C3284" t="str">
        <f t="shared" si="594"/>
        <v>10510001</v>
      </c>
      <c r="D3284">
        <v>89301202</v>
      </c>
      <c r="E3284" t="str">
        <f t="shared" si="596"/>
        <v>6053060739</v>
      </c>
      <c r="F3284" s="1">
        <v>44995</v>
      </c>
      <c r="G3284" t="str">
        <f>"82079"</f>
        <v>82079</v>
      </c>
      <c r="H3284">
        <v>1</v>
      </c>
      <c r="I3284">
        <v>333</v>
      </c>
      <c r="J3284">
        <v>0</v>
      </c>
      <c r="K3284" t="str">
        <f t="shared" si="595"/>
        <v>802</v>
      </c>
      <c r="L3284">
        <v>323.01</v>
      </c>
    </row>
    <row r="3285" spans="1:12" x14ac:dyDescent="0.25">
      <c r="A3285" t="str">
        <f t="shared" si="592"/>
        <v>89301000</v>
      </c>
      <c r="B3285" t="str">
        <f t="shared" si="593"/>
        <v>10510000</v>
      </c>
      <c r="C3285" t="str">
        <f t="shared" si="594"/>
        <v>10510001</v>
      </c>
      <c r="D3285">
        <v>89301202</v>
      </c>
      <c r="E3285" t="str">
        <f t="shared" si="596"/>
        <v>6053060739</v>
      </c>
      <c r="F3285" s="1">
        <v>44994</v>
      </c>
      <c r="G3285" t="str">
        <f>"82111"</f>
        <v>82111</v>
      </c>
      <c r="H3285">
        <v>1</v>
      </c>
      <c r="I3285">
        <v>37</v>
      </c>
      <c r="J3285">
        <v>0</v>
      </c>
      <c r="K3285" t="str">
        <f t="shared" si="595"/>
        <v>802</v>
      </c>
      <c r="L3285">
        <v>35.89</v>
      </c>
    </row>
    <row r="3286" spans="1:12" x14ac:dyDescent="0.25">
      <c r="A3286" t="str">
        <f t="shared" si="592"/>
        <v>89301000</v>
      </c>
      <c r="B3286" t="str">
        <f t="shared" si="593"/>
        <v>10510000</v>
      </c>
      <c r="C3286" t="str">
        <f t="shared" si="594"/>
        <v>10510001</v>
      </c>
      <c r="D3286">
        <v>89301202</v>
      </c>
      <c r="E3286" t="str">
        <f t="shared" si="596"/>
        <v>6053060739</v>
      </c>
      <c r="F3286" s="1">
        <v>44995</v>
      </c>
      <c r="G3286" t="str">
        <f>"82111"</f>
        <v>82111</v>
      </c>
      <c r="H3286">
        <v>1</v>
      </c>
      <c r="I3286">
        <v>37</v>
      </c>
      <c r="J3286">
        <v>0</v>
      </c>
      <c r="K3286" t="str">
        <f t="shared" si="595"/>
        <v>802</v>
      </c>
      <c r="L3286">
        <v>35.89</v>
      </c>
    </row>
    <row r="3287" spans="1:12" x14ac:dyDescent="0.25">
      <c r="A3287" t="str">
        <f t="shared" si="592"/>
        <v>89301000</v>
      </c>
      <c r="B3287" t="str">
        <f t="shared" si="593"/>
        <v>10510000</v>
      </c>
      <c r="C3287" t="str">
        <f t="shared" si="594"/>
        <v>10510001</v>
      </c>
      <c r="D3287">
        <v>89301202</v>
      </c>
      <c r="E3287" t="str">
        <f t="shared" si="596"/>
        <v>6053060739</v>
      </c>
      <c r="F3287" s="1">
        <v>44995</v>
      </c>
      <c r="G3287" t="str">
        <f>"82145"</f>
        <v>82145</v>
      </c>
      <c r="H3287">
        <v>6</v>
      </c>
      <c r="I3287">
        <v>354</v>
      </c>
      <c r="J3287">
        <v>0</v>
      </c>
      <c r="K3287" t="str">
        <f t="shared" si="595"/>
        <v>802</v>
      </c>
      <c r="L3287">
        <v>343.38</v>
      </c>
    </row>
    <row r="3288" spans="1:12" x14ac:dyDescent="0.25">
      <c r="A3288" t="str">
        <f t="shared" si="592"/>
        <v>89301000</v>
      </c>
      <c r="B3288" t="str">
        <f t="shared" si="593"/>
        <v>10510000</v>
      </c>
      <c r="C3288" t="str">
        <f t="shared" si="594"/>
        <v>10510001</v>
      </c>
      <c r="D3288">
        <v>89301202</v>
      </c>
      <c r="E3288" t="str">
        <f t="shared" si="596"/>
        <v>6053060739</v>
      </c>
      <c r="F3288" s="1">
        <v>44995</v>
      </c>
      <c r="G3288" t="str">
        <f>"82113"</f>
        <v>82113</v>
      </c>
      <c r="H3288">
        <v>1</v>
      </c>
      <c r="I3288">
        <v>363</v>
      </c>
      <c r="J3288">
        <v>0</v>
      </c>
      <c r="K3288" t="str">
        <f t="shared" si="595"/>
        <v>802</v>
      </c>
      <c r="L3288">
        <v>352.11</v>
      </c>
    </row>
    <row r="3289" spans="1:12" x14ac:dyDescent="0.25">
      <c r="A3289" t="str">
        <f t="shared" si="592"/>
        <v>89301000</v>
      </c>
      <c r="B3289" t="str">
        <f t="shared" si="593"/>
        <v>10510000</v>
      </c>
      <c r="C3289" t="str">
        <f t="shared" si="594"/>
        <v>10510001</v>
      </c>
      <c r="D3289">
        <v>89301202</v>
      </c>
      <c r="E3289" t="str">
        <f>"8711014917"</f>
        <v>8711014917</v>
      </c>
      <c r="F3289" s="1">
        <v>44995</v>
      </c>
      <c r="G3289" t="str">
        <f>"82113"</f>
        <v>82113</v>
      </c>
      <c r="H3289">
        <v>1</v>
      </c>
      <c r="I3289">
        <v>363</v>
      </c>
      <c r="J3289">
        <v>0</v>
      </c>
      <c r="K3289" t="str">
        <f t="shared" si="595"/>
        <v>802</v>
      </c>
      <c r="L3289">
        <v>352.11</v>
      </c>
    </row>
    <row r="3290" spans="1:12" x14ac:dyDescent="0.25">
      <c r="A3290" t="str">
        <f t="shared" si="592"/>
        <v>89301000</v>
      </c>
      <c r="B3290" t="str">
        <f t="shared" si="593"/>
        <v>10510000</v>
      </c>
      <c r="C3290" t="str">
        <f t="shared" si="594"/>
        <v>10510001</v>
      </c>
      <c r="D3290">
        <v>89301202</v>
      </c>
      <c r="E3290" t="str">
        <f>"8711014917"</f>
        <v>8711014917</v>
      </c>
      <c r="F3290" s="1">
        <v>44995</v>
      </c>
      <c r="G3290" t="str">
        <f>"82145"</f>
        <v>82145</v>
      </c>
      <c r="H3290">
        <v>6</v>
      </c>
      <c r="I3290">
        <v>354</v>
      </c>
      <c r="J3290">
        <v>0</v>
      </c>
      <c r="K3290" t="str">
        <f t="shared" si="595"/>
        <v>802</v>
      </c>
      <c r="L3290">
        <v>343.38</v>
      </c>
    </row>
    <row r="3291" spans="1:12" x14ac:dyDescent="0.25">
      <c r="A3291" t="str">
        <f t="shared" si="592"/>
        <v>89301000</v>
      </c>
      <c r="B3291" t="str">
        <f t="shared" si="593"/>
        <v>10510000</v>
      </c>
      <c r="C3291" t="str">
        <f t="shared" si="594"/>
        <v>10510001</v>
      </c>
      <c r="D3291">
        <v>89301202</v>
      </c>
      <c r="E3291" t="str">
        <f>"8711014917"</f>
        <v>8711014917</v>
      </c>
      <c r="F3291" s="1">
        <v>44995</v>
      </c>
      <c r="G3291" t="str">
        <f>"82111"</f>
        <v>82111</v>
      </c>
      <c r="H3291">
        <v>1</v>
      </c>
      <c r="I3291">
        <v>37</v>
      </c>
      <c r="J3291">
        <v>0</v>
      </c>
      <c r="K3291" t="str">
        <f t="shared" si="595"/>
        <v>802</v>
      </c>
      <c r="L3291">
        <v>35.89</v>
      </c>
    </row>
    <row r="3292" spans="1:12" x14ac:dyDescent="0.25">
      <c r="A3292" t="str">
        <f t="shared" si="592"/>
        <v>89301000</v>
      </c>
      <c r="B3292" t="str">
        <f t="shared" si="593"/>
        <v>10510000</v>
      </c>
      <c r="C3292" t="str">
        <f t="shared" si="594"/>
        <v>10510001</v>
      </c>
      <c r="D3292">
        <v>89301202</v>
      </c>
      <c r="E3292" t="str">
        <f>"8711014917"</f>
        <v>8711014917</v>
      </c>
      <c r="F3292" s="1">
        <v>44995</v>
      </c>
      <c r="G3292" t="str">
        <f>"82079"</f>
        <v>82079</v>
      </c>
      <c r="H3292">
        <v>1</v>
      </c>
      <c r="I3292">
        <v>333</v>
      </c>
      <c r="J3292">
        <v>0</v>
      </c>
      <c r="K3292" t="str">
        <f t="shared" si="595"/>
        <v>802</v>
      </c>
      <c r="L3292">
        <v>323.01</v>
      </c>
    </row>
    <row r="3293" spans="1:12" x14ac:dyDescent="0.25">
      <c r="A3293" t="str">
        <f t="shared" si="592"/>
        <v>89301000</v>
      </c>
      <c r="B3293" t="str">
        <f t="shared" si="593"/>
        <v>10510000</v>
      </c>
      <c r="C3293" t="str">
        <f t="shared" si="594"/>
        <v>10510001</v>
      </c>
      <c r="D3293">
        <v>89301202</v>
      </c>
      <c r="E3293" t="str">
        <f>"8711014917"</f>
        <v>8711014917</v>
      </c>
      <c r="F3293" s="1">
        <v>44994</v>
      </c>
      <c r="G3293" t="str">
        <f>"97111"</f>
        <v>97111</v>
      </c>
      <c r="H3293">
        <v>1</v>
      </c>
      <c r="I3293">
        <v>19</v>
      </c>
      <c r="J3293">
        <v>0</v>
      </c>
      <c r="K3293" t="str">
        <f t="shared" si="595"/>
        <v>802</v>
      </c>
      <c r="L3293">
        <v>23.94</v>
      </c>
    </row>
    <row r="3294" spans="1:12" x14ac:dyDescent="0.25">
      <c r="A3294" t="str">
        <f t="shared" si="592"/>
        <v>89301000</v>
      </c>
      <c r="B3294" t="str">
        <f t="shared" si="593"/>
        <v>10510000</v>
      </c>
      <c r="C3294" t="str">
        <f t="shared" si="594"/>
        <v>10510001</v>
      </c>
      <c r="D3294">
        <v>89301202</v>
      </c>
      <c r="E3294" t="str">
        <f>"8754185792"</f>
        <v>8754185792</v>
      </c>
      <c r="F3294" s="1">
        <v>44994</v>
      </c>
      <c r="G3294" t="str">
        <f>"97111"</f>
        <v>97111</v>
      </c>
      <c r="H3294">
        <v>1</v>
      </c>
      <c r="I3294">
        <v>19</v>
      </c>
      <c r="J3294">
        <v>0</v>
      </c>
      <c r="K3294" t="str">
        <f t="shared" si="595"/>
        <v>802</v>
      </c>
      <c r="L3294">
        <v>23.94</v>
      </c>
    </row>
    <row r="3295" spans="1:12" x14ac:dyDescent="0.25">
      <c r="A3295" t="str">
        <f t="shared" si="592"/>
        <v>89301000</v>
      </c>
      <c r="B3295" t="str">
        <f t="shared" si="593"/>
        <v>10510000</v>
      </c>
      <c r="C3295" t="str">
        <f t="shared" si="594"/>
        <v>10510001</v>
      </c>
      <c r="D3295">
        <v>89301202</v>
      </c>
      <c r="E3295" t="str">
        <f>"8754185792"</f>
        <v>8754185792</v>
      </c>
      <c r="F3295" s="1">
        <v>44995</v>
      </c>
      <c r="G3295" t="str">
        <f>"82079"</f>
        <v>82079</v>
      </c>
      <c r="H3295">
        <v>1</v>
      </c>
      <c r="I3295">
        <v>333</v>
      </c>
      <c r="J3295">
        <v>0</v>
      </c>
      <c r="K3295" t="str">
        <f t="shared" si="595"/>
        <v>802</v>
      </c>
      <c r="L3295">
        <v>323.01</v>
      </c>
    </row>
    <row r="3296" spans="1:12" x14ac:dyDescent="0.25">
      <c r="A3296" t="str">
        <f t="shared" si="592"/>
        <v>89301000</v>
      </c>
      <c r="B3296" t="str">
        <f t="shared" si="593"/>
        <v>10510000</v>
      </c>
      <c r="C3296" t="str">
        <f t="shared" si="594"/>
        <v>10510001</v>
      </c>
      <c r="D3296">
        <v>89301202</v>
      </c>
      <c r="E3296" t="str">
        <f>"8754185792"</f>
        <v>8754185792</v>
      </c>
      <c r="F3296" s="1">
        <v>44995</v>
      </c>
      <c r="G3296" t="str">
        <f>"82111"</f>
        <v>82111</v>
      </c>
      <c r="H3296">
        <v>1</v>
      </c>
      <c r="I3296">
        <v>37</v>
      </c>
      <c r="J3296">
        <v>0</v>
      </c>
      <c r="K3296" t="str">
        <f t="shared" si="595"/>
        <v>802</v>
      </c>
      <c r="L3296">
        <v>35.89</v>
      </c>
    </row>
    <row r="3297" spans="1:12" x14ac:dyDescent="0.25">
      <c r="A3297" t="str">
        <f t="shared" si="592"/>
        <v>89301000</v>
      </c>
      <c r="B3297" t="str">
        <f t="shared" si="593"/>
        <v>10510000</v>
      </c>
      <c r="C3297" t="str">
        <f t="shared" si="594"/>
        <v>10510001</v>
      </c>
      <c r="D3297">
        <v>89301202</v>
      </c>
      <c r="E3297" t="str">
        <f>"8754185792"</f>
        <v>8754185792</v>
      </c>
      <c r="F3297" s="1">
        <v>44995</v>
      </c>
      <c r="G3297" t="str">
        <f>"82145"</f>
        <v>82145</v>
      </c>
      <c r="H3297">
        <v>6</v>
      </c>
      <c r="I3297">
        <v>354</v>
      </c>
      <c r="J3297">
        <v>0</v>
      </c>
      <c r="K3297" t="str">
        <f t="shared" si="595"/>
        <v>802</v>
      </c>
      <c r="L3297">
        <v>343.38</v>
      </c>
    </row>
    <row r="3298" spans="1:12" x14ac:dyDescent="0.25">
      <c r="A3298" t="str">
        <f t="shared" si="592"/>
        <v>89301000</v>
      </c>
      <c r="B3298" t="str">
        <f t="shared" si="593"/>
        <v>10510000</v>
      </c>
      <c r="C3298" t="str">
        <f t="shared" si="594"/>
        <v>10510001</v>
      </c>
      <c r="D3298">
        <v>89301202</v>
      </c>
      <c r="E3298" t="str">
        <f>"8754185792"</f>
        <v>8754185792</v>
      </c>
      <c r="F3298" s="1">
        <v>44995</v>
      </c>
      <c r="G3298" t="str">
        <f>"82113"</f>
        <v>82113</v>
      </c>
      <c r="H3298">
        <v>1</v>
      </c>
      <c r="I3298">
        <v>363</v>
      </c>
      <c r="J3298">
        <v>0</v>
      </c>
      <c r="K3298" t="str">
        <f t="shared" si="595"/>
        <v>802</v>
      </c>
      <c r="L3298">
        <v>352.11</v>
      </c>
    </row>
    <row r="3299" spans="1:12" x14ac:dyDescent="0.25">
      <c r="A3299" t="str">
        <f t="shared" si="592"/>
        <v>89301000</v>
      </c>
      <c r="B3299" t="str">
        <f t="shared" si="593"/>
        <v>10510000</v>
      </c>
      <c r="C3299" t="str">
        <f t="shared" si="594"/>
        <v>10510001</v>
      </c>
      <c r="D3299">
        <v>89301202</v>
      </c>
      <c r="E3299" t="str">
        <f t="shared" ref="E3299:E3304" si="597">"6907105359"</f>
        <v>6907105359</v>
      </c>
      <c r="F3299" s="1">
        <v>45000</v>
      </c>
      <c r="G3299" t="str">
        <f>"82113"</f>
        <v>82113</v>
      </c>
      <c r="H3299">
        <v>1</v>
      </c>
      <c r="I3299">
        <v>363</v>
      </c>
      <c r="J3299">
        <v>0</v>
      </c>
      <c r="K3299" t="str">
        <f t="shared" si="595"/>
        <v>802</v>
      </c>
      <c r="L3299">
        <v>352.11</v>
      </c>
    </row>
    <row r="3300" spans="1:12" x14ac:dyDescent="0.25">
      <c r="A3300" t="str">
        <f t="shared" si="592"/>
        <v>89301000</v>
      </c>
      <c r="B3300" t="str">
        <f t="shared" si="593"/>
        <v>10510000</v>
      </c>
      <c r="C3300" t="str">
        <f t="shared" si="594"/>
        <v>10510001</v>
      </c>
      <c r="D3300">
        <v>89301202</v>
      </c>
      <c r="E3300" t="str">
        <f t="shared" si="597"/>
        <v>6907105359</v>
      </c>
      <c r="F3300" s="1">
        <v>45000</v>
      </c>
      <c r="G3300" t="str">
        <f>"82113"</f>
        <v>82113</v>
      </c>
      <c r="H3300">
        <v>1</v>
      </c>
      <c r="I3300">
        <v>363</v>
      </c>
      <c r="J3300">
        <v>0</v>
      </c>
      <c r="K3300" t="str">
        <f t="shared" si="595"/>
        <v>802</v>
      </c>
      <c r="L3300">
        <v>352.11</v>
      </c>
    </row>
    <row r="3301" spans="1:12" x14ac:dyDescent="0.25">
      <c r="A3301" t="str">
        <f t="shared" si="592"/>
        <v>89301000</v>
      </c>
      <c r="B3301" t="str">
        <f t="shared" si="593"/>
        <v>10510000</v>
      </c>
      <c r="C3301" t="str">
        <f t="shared" si="594"/>
        <v>10510001</v>
      </c>
      <c r="D3301">
        <v>89301202</v>
      </c>
      <c r="E3301" t="str">
        <f t="shared" si="597"/>
        <v>6907105359</v>
      </c>
      <c r="F3301" s="1">
        <v>45000</v>
      </c>
      <c r="G3301" t="str">
        <f>"82111"</f>
        <v>82111</v>
      </c>
      <c r="H3301">
        <v>1</v>
      </c>
      <c r="I3301">
        <v>37</v>
      </c>
      <c r="J3301">
        <v>0</v>
      </c>
      <c r="K3301" t="str">
        <f t="shared" si="595"/>
        <v>802</v>
      </c>
      <c r="L3301">
        <v>35.89</v>
      </c>
    </row>
    <row r="3302" spans="1:12" x14ac:dyDescent="0.25">
      <c r="A3302" t="str">
        <f t="shared" si="592"/>
        <v>89301000</v>
      </c>
      <c r="B3302" t="str">
        <f t="shared" si="593"/>
        <v>10510000</v>
      </c>
      <c r="C3302" t="str">
        <f t="shared" si="594"/>
        <v>10510001</v>
      </c>
      <c r="D3302">
        <v>89301202</v>
      </c>
      <c r="E3302" t="str">
        <f t="shared" si="597"/>
        <v>6907105359</v>
      </c>
      <c r="F3302" s="1">
        <v>45000</v>
      </c>
      <c r="G3302" t="str">
        <f>"82079"</f>
        <v>82079</v>
      </c>
      <c r="H3302">
        <v>1</v>
      </c>
      <c r="I3302">
        <v>333</v>
      </c>
      <c r="J3302">
        <v>0</v>
      </c>
      <c r="K3302" t="str">
        <f t="shared" si="595"/>
        <v>802</v>
      </c>
      <c r="L3302">
        <v>323.01</v>
      </c>
    </row>
    <row r="3303" spans="1:12" x14ac:dyDescent="0.25">
      <c r="A3303" t="str">
        <f t="shared" si="592"/>
        <v>89301000</v>
      </c>
      <c r="B3303" t="str">
        <f t="shared" si="593"/>
        <v>10510000</v>
      </c>
      <c r="C3303" t="str">
        <f t="shared" si="594"/>
        <v>10510001</v>
      </c>
      <c r="D3303">
        <v>89301202</v>
      </c>
      <c r="E3303" t="str">
        <f t="shared" si="597"/>
        <v>6907105359</v>
      </c>
      <c r="F3303" s="1">
        <v>45000</v>
      </c>
      <c r="G3303" t="str">
        <f>"82145"</f>
        <v>82145</v>
      </c>
      <c r="H3303">
        <v>6</v>
      </c>
      <c r="I3303">
        <v>354</v>
      </c>
      <c r="J3303">
        <v>0</v>
      </c>
      <c r="K3303" t="str">
        <f t="shared" si="595"/>
        <v>802</v>
      </c>
      <c r="L3303">
        <v>343.38</v>
      </c>
    </row>
    <row r="3304" spans="1:12" x14ac:dyDescent="0.25">
      <c r="A3304" t="str">
        <f t="shared" si="592"/>
        <v>89301000</v>
      </c>
      <c r="B3304" t="str">
        <f t="shared" si="593"/>
        <v>10510000</v>
      </c>
      <c r="C3304" t="str">
        <f t="shared" si="594"/>
        <v>10510001</v>
      </c>
      <c r="D3304">
        <v>89301202</v>
      </c>
      <c r="E3304" t="str">
        <f t="shared" si="597"/>
        <v>6907105359</v>
      </c>
      <c r="F3304" s="1">
        <v>44999</v>
      </c>
      <c r="G3304" t="str">
        <f>"97111"</f>
        <v>97111</v>
      </c>
      <c r="H3304">
        <v>1</v>
      </c>
      <c r="I3304">
        <v>19</v>
      </c>
      <c r="J3304">
        <v>0</v>
      </c>
      <c r="K3304" t="str">
        <f t="shared" si="595"/>
        <v>802</v>
      </c>
      <c r="L3304">
        <v>23.94</v>
      </c>
    </row>
    <row r="3305" spans="1:12" x14ac:dyDescent="0.25">
      <c r="A3305" t="str">
        <f t="shared" si="592"/>
        <v>89301000</v>
      </c>
      <c r="B3305" t="str">
        <f t="shared" si="593"/>
        <v>10510000</v>
      </c>
      <c r="C3305" t="str">
        <f t="shared" si="594"/>
        <v>10510001</v>
      </c>
      <c r="D3305">
        <v>89301202</v>
      </c>
      <c r="E3305" t="str">
        <f t="shared" ref="E3305:E3311" si="598">"8410235328"</f>
        <v>8410235328</v>
      </c>
      <c r="F3305" s="1">
        <v>45008</v>
      </c>
      <c r="G3305" t="str">
        <f>"82111"</f>
        <v>82111</v>
      </c>
      <c r="H3305">
        <v>1</v>
      </c>
      <c r="I3305">
        <v>37</v>
      </c>
      <c r="J3305">
        <v>0</v>
      </c>
      <c r="K3305" t="str">
        <f t="shared" si="595"/>
        <v>802</v>
      </c>
      <c r="L3305">
        <v>35.89</v>
      </c>
    </row>
    <row r="3306" spans="1:12" x14ac:dyDescent="0.25">
      <c r="A3306" t="str">
        <f t="shared" si="592"/>
        <v>89301000</v>
      </c>
      <c r="B3306" t="str">
        <f t="shared" si="593"/>
        <v>10510000</v>
      </c>
      <c r="C3306" t="str">
        <f t="shared" si="594"/>
        <v>10510001</v>
      </c>
      <c r="D3306">
        <v>89301202</v>
      </c>
      <c r="E3306" t="str">
        <f t="shared" si="598"/>
        <v>8410235328</v>
      </c>
      <c r="F3306" s="1">
        <v>45007</v>
      </c>
      <c r="G3306" t="str">
        <f>"82111"</f>
        <v>82111</v>
      </c>
      <c r="H3306">
        <v>1</v>
      </c>
      <c r="I3306">
        <v>37</v>
      </c>
      <c r="J3306">
        <v>0</v>
      </c>
      <c r="K3306" t="str">
        <f t="shared" si="595"/>
        <v>802</v>
      </c>
      <c r="L3306">
        <v>35.89</v>
      </c>
    </row>
    <row r="3307" spans="1:12" x14ac:dyDescent="0.25">
      <c r="A3307" t="str">
        <f t="shared" si="592"/>
        <v>89301000</v>
      </c>
      <c r="B3307" t="str">
        <f t="shared" si="593"/>
        <v>10510000</v>
      </c>
      <c r="C3307" t="str">
        <f t="shared" si="594"/>
        <v>10510001</v>
      </c>
      <c r="D3307">
        <v>89301202</v>
      </c>
      <c r="E3307" t="str">
        <f t="shared" si="598"/>
        <v>8410235328</v>
      </c>
      <c r="F3307" s="1">
        <v>45008</v>
      </c>
      <c r="G3307" t="str">
        <f>"82079"</f>
        <v>82079</v>
      </c>
      <c r="H3307">
        <v>1</v>
      </c>
      <c r="I3307">
        <v>333</v>
      </c>
      <c r="J3307">
        <v>0</v>
      </c>
      <c r="K3307" t="str">
        <f t="shared" si="595"/>
        <v>802</v>
      </c>
      <c r="L3307">
        <v>323.01</v>
      </c>
    </row>
    <row r="3308" spans="1:12" x14ac:dyDescent="0.25">
      <c r="A3308" t="str">
        <f t="shared" si="592"/>
        <v>89301000</v>
      </c>
      <c r="B3308" t="str">
        <f t="shared" si="593"/>
        <v>10510000</v>
      </c>
      <c r="C3308" t="str">
        <f t="shared" si="594"/>
        <v>10510001</v>
      </c>
      <c r="D3308">
        <v>89301202</v>
      </c>
      <c r="E3308" t="str">
        <f t="shared" si="598"/>
        <v>8410235328</v>
      </c>
      <c r="F3308" s="1">
        <v>45008</v>
      </c>
      <c r="G3308" t="str">
        <f>"82113"</f>
        <v>82113</v>
      </c>
      <c r="H3308">
        <v>1</v>
      </c>
      <c r="I3308">
        <v>363</v>
      </c>
      <c r="J3308">
        <v>0</v>
      </c>
      <c r="K3308" t="str">
        <f t="shared" si="595"/>
        <v>802</v>
      </c>
      <c r="L3308">
        <v>352.11</v>
      </c>
    </row>
    <row r="3309" spans="1:12" x14ac:dyDescent="0.25">
      <c r="A3309" t="str">
        <f t="shared" si="592"/>
        <v>89301000</v>
      </c>
      <c r="B3309" t="str">
        <f t="shared" si="593"/>
        <v>10510000</v>
      </c>
      <c r="C3309" t="str">
        <f t="shared" si="594"/>
        <v>10510001</v>
      </c>
      <c r="D3309">
        <v>89301202</v>
      </c>
      <c r="E3309" t="str">
        <f t="shared" si="598"/>
        <v>8410235328</v>
      </c>
      <c r="F3309" s="1">
        <v>45009</v>
      </c>
      <c r="G3309" t="str">
        <f>"82113"</f>
        <v>82113</v>
      </c>
      <c r="H3309">
        <v>1</v>
      </c>
      <c r="I3309">
        <v>363</v>
      </c>
      <c r="J3309">
        <v>0</v>
      </c>
      <c r="K3309" t="str">
        <f t="shared" si="595"/>
        <v>802</v>
      </c>
      <c r="L3309">
        <v>352.11</v>
      </c>
    </row>
    <row r="3310" spans="1:12" x14ac:dyDescent="0.25">
      <c r="A3310" t="str">
        <f t="shared" si="592"/>
        <v>89301000</v>
      </c>
      <c r="B3310" t="str">
        <f t="shared" si="593"/>
        <v>10510000</v>
      </c>
      <c r="C3310" t="str">
        <f t="shared" si="594"/>
        <v>10510001</v>
      </c>
      <c r="D3310">
        <v>89301202</v>
      </c>
      <c r="E3310" t="str">
        <f t="shared" si="598"/>
        <v>8410235328</v>
      </c>
      <c r="F3310" s="1">
        <v>45008</v>
      </c>
      <c r="G3310" t="str">
        <f>"82145"</f>
        <v>82145</v>
      </c>
      <c r="H3310">
        <v>1</v>
      </c>
      <c r="I3310">
        <v>59</v>
      </c>
      <c r="J3310">
        <v>0</v>
      </c>
      <c r="K3310" t="str">
        <f t="shared" si="595"/>
        <v>802</v>
      </c>
      <c r="L3310">
        <v>57.23</v>
      </c>
    </row>
    <row r="3311" spans="1:12" x14ac:dyDescent="0.25">
      <c r="A3311" t="str">
        <f t="shared" si="592"/>
        <v>89301000</v>
      </c>
      <c r="B3311" t="str">
        <f t="shared" si="593"/>
        <v>10510000</v>
      </c>
      <c r="C3311" t="str">
        <f t="shared" si="594"/>
        <v>10510001</v>
      </c>
      <c r="D3311">
        <v>89301202</v>
      </c>
      <c r="E3311" t="str">
        <f t="shared" si="598"/>
        <v>8410235328</v>
      </c>
      <c r="F3311" s="1">
        <v>45007</v>
      </c>
      <c r="G3311" t="str">
        <f>"97111"</f>
        <v>97111</v>
      </c>
      <c r="H3311">
        <v>1</v>
      </c>
      <c r="I3311">
        <v>19</v>
      </c>
      <c r="J3311">
        <v>0</v>
      </c>
      <c r="K3311" t="str">
        <f t="shared" si="595"/>
        <v>802</v>
      </c>
      <c r="L3311">
        <v>23.94</v>
      </c>
    </row>
    <row r="3312" spans="1:12" x14ac:dyDescent="0.25">
      <c r="A3312" t="str">
        <f t="shared" si="592"/>
        <v>89301000</v>
      </c>
      <c r="B3312" t="str">
        <f t="shared" si="593"/>
        <v>10510000</v>
      </c>
      <c r="C3312" t="str">
        <f t="shared" si="594"/>
        <v>10510001</v>
      </c>
      <c r="D3312">
        <v>89301081</v>
      </c>
      <c r="E3312" t="str">
        <f>"9762135735"</f>
        <v>9762135735</v>
      </c>
      <c r="F3312" s="1">
        <v>45012</v>
      </c>
      <c r="G3312" t="str">
        <f>"82079"</f>
        <v>82079</v>
      </c>
      <c r="H3312">
        <v>1</v>
      </c>
      <c r="I3312">
        <v>333</v>
      </c>
      <c r="J3312">
        <v>0</v>
      </c>
      <c r="K3312" t="str">
        <f t="shared" si="595"/>
        <v>802</v>
      </c>
      <c r="L3312">
        <v>323.01</v>
      </c>
    </row>
    <row r="3313" spans="1:12" x14ac:dyDescent="0.25">
      <c r="A3313" t="str">
        <f t="shared" si="592"/>
        <v>89301000</v>
      </c>
      <c r="B3313" t="str">
        <f t="shared" si="593"/>
        <v>10510000</v>
      </c>
      <c r="C3313" t="str">
        <f t="shared" si="594"/>
        <v>10510001</v>
      </c>
      <c r="D3313">
        <v>89301081</v>
      </c>
      <c r="E3313" t="str">
        <f>"9762135735"</f>
        <v>9762135735</v>
      </c>
      <c r="F3313" s="1">
        <v>45013</v>
      </c>
      <c r="G3313" t="str">
        <f>"82111"</f>
        <v>82111</v>
      </c>
      <c r="H3313">
        <v>1</v>
      </c>
      <c r="I3313">
        <v>37</v>
      </c>
      <c r="J3313">
        <v>0</v>
      </c>
      <c r="K3313" t="str">
        <f t="shared" si="595"/>
        <v>802</v>
      </c>
      <c r="L3313">
        <v>35.89</v>
      </c>
    </row>
    <row r="3314" spans="1:12" x14ac:dyDescent="0.25">
      <c r="A3314" t="str">
        <f t="shared" si="592"/>
        <v>89301000</v>
      </c>
      <c r="B3314" t="str">
        <f t="shared" si="593"/>
        <v>10510000</v>
      </c>
      <c r="C3314" t="str">
        <f t="shared" si="594"/>
        <v>10510001</v>
      </c>
      <c r="D3314">
        <v>89301081</v>
      </c>
      <c r="E3314" t="str">
        <f>"9762135735"</f>
        <v>9762135735</v>
      </c>
      <c r="F3314" s="1">
        <v>45012</v>
      </c>
      <c r="G3314" t="str">
        <f>"82113"</f>
        <v>82113</v>
      </c>
      <c r="H3314">
        <v>1</v>
      </c>
      <c r="I3314">
        <v>363</v>
      </c>
      <c r="J3314">
        <v>0</v>
      </c>
      <c r="K3314" t="str">
        <f t="shared" si="595"/>
        <v>802</v>
      </c>
      <c r="L3314">
        <v>352.11</v>
      </c>
    </row>
    <row r="3315" spans="1:12" x14ac:dyDescent="0.25">
      <c r="A3315" t="str">
        <f t="shared" si="592"/>
        <v>89301000</v>
      </c>
      <c r="B3315" t="str">
        <f t="shared" ref="B3315:B3346" si="599">"89383000"</f>
        <v>89383000</v>
      </c>
      <c r="C3315" t="str">
        <f>"89383001"</f>
        <v>89383001</v>
      </c>
      <c r="D3315">
        <v>89301045</v>
      </c>
      <c r="E3315" t="str">
        <f>"6562310700"</f>
        <v>6562310700</v>
      </c>
      <c r="F3315" s="1">
        <v>45012</v>
      </c>
      <c r="G3315" t="str">
        <f>"89813"</f>
        <v>89813</v>
      </c>
      <c r="H3315">
        <v>1</v>
      </c>
      <c r="I3315">
        <v>135</v>
      </c>
      <c r="J3315">
        <v>0</v>
      </c>
      <c r="K3315" t="str">
        <f>"806"</f>
        <v>806</v>
      </c>
      <c r="L3315">
        <v>168.75</v>
      </c>
    </row>
    <row r="3316" spans="1:12" x14ac:dyDescent="0.25">
      <c r="A3316" t="str">
        <f t="shared" si="592"/>
        <v>89301000</v>
      </c>
      <c r="B3316" t="str">
        <f t="shared" si="599"/>
        <v>89383000</v>
      </c>
      <c r="C3316" t="str">
        <f t="shared" ref="C3316:C3347" si="600">"89383002"</f>
        <v>89383002</v>
      </c>
      <c r="D3316">
        <v>89301045</v>
      </c>
      <c r="E3316" t="str">
        <f>"0257185720"</f>
        <v>0257185720</v>
      </c>
      <c r="F3316" s="1">
        <v>44986</v>
      </c>
      <c r="G3316" t="str">
        <f>"89512"</f>
        <v>89512</v>
      </c>
      <c r="H3316">
        <v>1</v>
      </c>
      <c r="I3316">
        <v>283</v>
      </c>
      <c r="J3316">
        <v>0</v>
      </c>
      <c r="K3316" t="str">
        <f t="shared" ref="K3316:K3347" si="601">"809"</f>
        <v>809</v>
      </c>
      <c r="L3316">
        <v>416.01</v>
      </c>
    </row>
    <row r="3317" spans="1:12" x14ac:dyDescent="0.25">
      <c r="A3317" t="str">
        <f t="shared" si="592"/>
        <v>89301000</v>
      </c>
      <c r="B3317" t="str">
        <f t="shared" si="599"/>
        <v>89383000</v>
      </c>
      <c r="C3317" t="str">
        <f t="shared" si="600"/>
        <v>89383002</v>
      </c>
      <c r="D3317">
        <v>89301212</v>
      </c>
      <c r="E3317" t="str">
        <f>"465612184"</f>
        <v>465612184</v>
      </c>
      <c r="F3317" s="1">
        <v>44986</v>
      </c>
      <c r="G3317" t="str">
        <f>"89512"</f>
        <v>89512</v>
      </c>
      <c r="H3317">
        <v>1</v>
      </c>
      <c r="I3317">
        <v>283</v>
      </c>
      <c r="J3317">
        <v>0</v>
      </c>
      <c r="K3317" t="str">
        <f t="shared" si="601"/>
        <v>809</v>
      </c>
      <c r="L3317">
        <v>416.01</v>
      </c>
    </row>
    <row r="3318" spans="1:12" x14ac:dyDescent="0.25">
      <c r="A3318" t="str">
        <f t="shared" si="592"/>
        <v>89301000</v>
      </c>
      <c r="B3318" t="str">
        <f t="shared" si="599"/>
        <v>89383000</v>
      </c>
      <c r="C3318" t="str">
        <f t="shared" si="600"/>
        <v>89383002</v>
      </c>
      <c r="D3318">
        <v>89301212</v>
      </c>
      <c r="E3318" t="str">
        <f>"6351180297"</f>
        <v>6351180297</v>
      </c>
      <c r="F3318" s="1">
        <v>44987</v>
      </c>
      <c r="G3318" t="str">
        <f>"89512"</f>
        <v>89512</v>
      </c>
      <c r="H3318">
        <v>1</v>
      </c>
      <c r="I3318">
        <v>283</v>
      </c>
      <c r="J3318">
        <v>0</v>
      </c>
      <c r="K3318" t="str">
        <f t="shared" si="601"/>
        <v>809</v>
      </c>
      <c r="L3318">
        <v>416.01</v>
      </c>
    </row>
    <row r="3319" spans="1:12" x14ac:dyDescent="0.25">
      <c r="A3319" t="str">
        <f t="shared" si="592"/>
        <v>89301000</v>
      </c>
      <c r="B3319" t="str">
        <f t="shared" si="599"/>
        <v>89383000</v>
      </c>
      <c r="C3319" t="str">
        <f t="shared" si="600"/>
        <v>89383002</v>
      </c>
      <c r="D3319">
        <v>89301212</v>
      </c>
      <c r="E3319" t="str">
        <f>"6754050072"</f>
        <v>6754050072</v>
      </c>
      <c r="F3319" s="1">
        <v>44987</v>
      </c>
      <c r="G3319" t="str">
        <f>"89180"</f>
        <v>89180</v>
      </c>
      <c r="H3319">
        <v>2</v>
      </c>
      <c r="I3319">
        <v>762</v>
      </c>
      <c r="J3319">
        <v>0</v>
      </c>
      <c r="K3319" t="str">
        <f t="shared" si="601"/>
        <v>809</v>
      </c>
      <c r="L3319">
        <v>1120.1400000000001</v>
      </c>
    </row>
    <row r="3320" spans="1:12" x14ac:dyDescent="0.25">
      <c r="A3320" t="str">
        <f t="shared" si="592"/>
        <v>89301000</v>
      </c>
      <c r="B3320" t="str">
        <f t="shared" si="599"/>
        <v>89383000</v>
      </c>
      <c r="C3320" t="str">
        <f t="shared" si="600"/>
        <v>89383002</v>
      </c>
      <c r="D3320">
        <v>89301212</v>
      </c>
      <c r="E3320" t="str">
        <f>"6754050072"</f>
        <v>6754050072</v>
      </c>
      <c r="F3320" s="1">
        <v>44987</v>
      </c>
      <c r="G3320" t="str">
        <f>"89512"</f>
        <v>89512</v>
      </c>
      <c r="H3320">
        <v>1</v>
      </c>
      <c r="I3320">
        <v>283</v>
      </c>
      <c r="J3320">
        <v>0</v>
      </c>
      <c r="K3320" t="str">
        <f t="shared" si="601"/>
        <v>809</v>
      </c>
      <c r="L3320">
        <v>416.01</v>
      </c>
    </row>
    <row r="3321" spans="1:12" x14ac:dyDescent="0.25">
      <c r="A3321" t="str">
        <f t="shared" si="592"/>
        <v>89301000</v>
      </c>
      <c r="B3321" t="str">
        <f t="shared" si="599"/>
        <v>89383000</v>
      </c>
      <c r="C3321" t="str">
        <f t="shared" si="600"/>
        <v>89383002</v>
      </c>
      <c r="D3321">
        <v>89301212</v>
      </c>
      <c r="E3321" t="str">
        <f>"6457251053"</f>
        <v>6457251053</v>
      </c>
      <c r="F3321" s="1">
        <v>44988</v>
      </c>
      <c r="G3321" t="str">
        <f>"89180"</f>
        <v>89180</v>
      </c>
      <c r="H3321">
        <v>2</v>
      </c>
      <c r="I3321">
        <v>762</v>
      </c>
      <c r="J3321">
        <v>0</v>
      </c>
      <c r="K3321" t="str">
        <f t="shared" si="601"/>
        <v>809</v>
      </c>
      <c r="L3321">
        <v>1120.1400000000001</v>
      </c>
    </row>
    <row r="3322" spans="1:12" x14ac:dyDescent="0.25">
      <c r="A3322" t="str">
        <f t="shared" si="592"/>
        <v>89301000</v>
      </c>
      <c r="B3322" t="str">
        <f t="shared" si="599"/>
        <v>89383000</v>
      </c>
      <c r="C3322" t="str">
        <f t="shared" si="600"/>
        <v>89383002</v>
      </c>
      <c r="D3322">
        <v>89301212</v>
      </c>
      <c r="E3322" t="str">
        <f>"6457251053"</f>
        <v>6457251053</v>
      </c>
      <c r="F3322" s="1">
        <v>44988</v>
      </c>
      <c r="G3322" t="str">
        <f>"89512"</f>
        <v>89512</v>
      </c>
      <c r="H3322">
        <v>1</v>
      </c>
      <c r="I3322">
        <v>283</v>
      </c>
      <c r="J3322">
        <v>0</v>
      </c>
      <c r="K3322" t="str">
        <f t="shared" si="601"/>
        <v>809</v>
      </c>
      <c r="L3322">
        <v>416.01</v>
      </c>
    </row>
    <row r="3323" spans="1:12" x14ac:dyDescent="0.25">
      <c r="A3323" t="str">
        <f t="shared" si="592"/>
        <v>89301000</v>
      </c>
      <c r="B3323" t="str">
        <f t="shared" si="599"/>
        <v>89383000</v>
      </c>
      <c r="C3323" t="str">
        <f t="shared" si="600"/>
        <v>89383002</v>
      </c>
      <c r="D3323">
        <v>89301212</v>
      </c>
      <c r="E3323" t="str">
        <f>"7752055729"</f>
        <v>7752055729</v>
      </c>
      <c r="F3323" s="1">
        <v>44988</v>
      </c>
      <c r="G3323" t="str">
        <f>"89512"</f>
        <v>89512</v>
      </c>
      <c r="H3323">
        <v>1</v>
      </c>
      <c r="I3323">
        <v>283</v>
      </c>
      <c r="J3323">
        <v>0</v>
      </c>
      <c r="K3323" t="str">
        <f t="shared" si="601"/>
        <v>809</v>
      </c>
      <c r="L3323">
        <v>416.01</v>
      </c>
    </row>
    <row r="3324" spans="1:12" x14ac:dyDescent="0.25">
      <c r="A3324" t="str">
        <f t="shared" si="592"/>
        <v>89301000</v>
      </c>
      <c r="B3324" t="str">
        <f t="shared" si="599"/>
        <v>89383000</v>
      </c>
      <c r="C3324" t="str">
        <f t="shared" si="600"/>
        <v>89383002</v>
      </c>
      <c r="D3324">
        <v>89301212</v>
      </c>
      <c r="E3324" t="str">
        <f>"6851211521"</f>
        <v>6851211521</v>
      </c>
      <c r="F3324" s="1">
        <v>44991</v>
      </c>
      <c r="G3324" t="str">
        <f>"89513"</f>
        <v>89513</v>
      </c>
      <c r="H3324">
        <v>1</v>
      </c>
      <c r="I3324">
        <v>378</v>
      </c>
      <c r="J3324">
        <v>0</v>
      </c>
      <c r="K3324" t="str">
        <f t="shared" si="601"/>
        <v>809</v>
      </c>
      <c r="L3324">
        <v>555.66</v>
      </c>
    </row>
    <row r="3325" spans="1:12" x14ac:dyDescent="0.25">
      <c r="A3325" t="str">
        <f t="shared" si="592"/>
        <v>89301000</v>
      </c>
      <c r="B3325" t="str">
        <f t="shared" si="599"/>
        <v>89383000</v>
      </c>
      <c r="C3325" t="str">
        <f t="shared" si="600"/>
        <v>89383002</v>
      </c>
      <c r="D3325">
        <v>89301212</v>
      </c>
      <c r="E3325" t="str">
        <f>"6851211521"</f>
        <v>6851211521</v>
      </c>
      <c r="F3325" s="1">
        <v>44991</v>
      </c>
      <c r="G3325" t="str">
        <f>"89514"</f>
        <v>89514</v>
      </c>
      <c r="H3325">
        <v>1</v>
      </c>
      <c r="I3325">
        <v>378</v>
      </c>
      <c r="J3325">
        <v>0</v>
      </c>
      <c r="K3325" t="str">
        <f t="shared" si="601"/>
        <v>809</v>
      </c>
      <c r="L3325">
        <v>555.66</v>
      </c>
    </row>
    <row r="3326" spans="1:12" x14ac:dyDescent="0.25">
      <c r="A3326" t="str">
        <f t="shared" si="592"/>
        <v>89301000</v>
      </c>
      <c r="B3326" t="str">
        <f t="shared" si="599"/>
        <v>89383000</v>
      </c>
      <c r="C3326" t="str">
        <f t="shared" si="600"/>
        <v>89383002</v>
      </c>
      <c r="D3326">
        <v>89301212</v>
      </c>
      <c r="E3326" t="str">
        <f>"6501090299"</f>
        <v>6501090299</v>
      </c>
      <c r="F3326" s="1">
        <v>44991</v>
      </c>
      <c r="G3326" t="str">
        <f>"89180"</f>
        <v>89180</v>
      </c>
      <c r="H3326">
        <v>2</v>
      </c>
      <c r="I3326">
        <v>762</v>
      </c>
      <c r="J3326">
        <v>0</v>
      </c>
      <c r="K3326" t="str">
        <f t="shared" si="601"/>
        <v>809</v>
      </c>
      <c r="L3326">
        <v>1120.1400000000001</v>
      </c>
    </row>
    <row r="3327" spans="1:12" x14ac:dyDescent="0.25">
      <c r="A3327" t="str">
        <f t="shared" si="592"/>
        <v>89301000</v>
      </c>
      <c r="B3327" t="str">
        <f t="shared" si="599"/>
        <v>89383000</v>
      </c>
      <c r="C3327" t="str">
        <f t="shared" si="600"/>
        <v>89383002</v>
      </c>
      <c r="D3327">
        <v>89301212</v>
      </c>
      <c r="E3327" t="str">
        <f>"6501090299"</f>
        <v>6501090299</v>
      </c>
      <c r="F3327" s="1">
        <v>44991</v>
      </c>
      <c r="G3327" t="str">
        <f>"89512"</f>
        <v>89512</v>
      </c>
      <c r="H3327">
        <v>1</v>
      </c>
      <c r="I3327">
        <v>283</v>
      </c>
      <c r="J3327">
        <v>0</v>
      </c>
      <c r="K3327" t="str">
        <f t="shared" si="601"/>
        <v>809</v>
      </c>
      <c r="L3327">
        <v>416.01</v>
      </c>
    </row>
    <row r="3328" spans="1:12" x14ac:dyDescent="0.25">
      <c r="A3328" t="str">
        <f t="shared" si="592"/>
        <v>89301000</v>
      </c>
      <c r="B3328" t="str">
        <f t="shared" si="599"/>
        <v>89383000</v>
      </c>
      <c r="C3328" t="str">
        <f t="shared" si="600"/>
        <v>89383002</v>
      </c>
      <c r="D3328">
        <v>89301212</v>
      </c>
      <c r="E3328" t="str">
        <f>"6501090299"</f>
        <v>6501090299</v>
      </c>
      <c r="F3328" s="1">
        <v>44991</v>
      </c>
      <c r="G3328" t="str">
        <f>"89513"</f>
        <v>89513</v>
      </c>
      <c r="H3328">
        <v>1</v>
      </c>
      <c r="I3328">
        <v>378</v>
      </c>
      <c r="J3328">
        <v>0</v>
      </c>
      <c r="K3328" t="str">
        <f t="shared" si="601"/>
        <v>809</v>
      </c>
      <c r="L3328">
        <v>555.66</v>
      </c>
    </row>
    <row r="3329" spans="1:12" x14ac:dyDescent="0.25">
      <c r="A3329" t="str">
        <f t="shared" si="592"/>
        <v>89301000</v>
      </c>
      <c r="B3329" t="str">
        <f t="shared" si="599"/>
        <v>89383000</v>
      </c>
      <c r="C3329" t="str">
        <f t="shared" si="600"/>
        <v>89383002</v>
      </c>
      <c r="D3329">
        <v>89301212</v>
      </c>
      <c r="E3329" t="str">
        <f>"6501090299"</f>
        <v>6501090299</v>
      </c>
      <c r="F3329" s="1">
        <v>44991</v>
      </c>
      <c r="G3329" t="str">
        <f>"89514"</f>
        <v>89514</v>
      </c>
      <c r="H3329">
        <v>1</v>
      </c>
      <c r="I3329">
        <v>378</v>
      </c>
      <c r="J3329">
        <v>0</v>
      </c>
      <c r="K3329" t="str">
        <f t="shared" si="601"/>
        <v>809</v>
      </c>
      <c r="L3329">
        <v>555.66</v>
      </c>
    </row>
    <row r="3330" spans="1:12" x14ac:dyDescent="0.25">
      <c r="A3330" t="str">
        <f t="shared" ref="A3330:A3393" si="602">"89301000"</f>
        <v>89301000</v>
      </c>
      <c r="B3330" t="str">
        <f t="shared" si="599"/>
        <v>89383000</v>
      </c>
      <c r="C3330" t="str">
        <f t="shared" si="600"/>
        <v>89383002</v>
      </c>
      <c r="D3330">
        <v>89301212</v>
      </c>
      <c r="E3330" t="str">
        <f>"7958144403"</f>
        <v>7958144403</v>
      </c>
      <c r="F3330" s="1">
        <v>44991</v>
      </c>
      <c r="G3330" t="str">
        <f>"89180"</f>
        <v>89180</v>
      </c>
      <c r="H3330">
        <v>2</v>
      </c>
      <c r="I3330">
        <v>762</v>
      </c>
      <c r="J3330">
        <v>0</v>
      </c>
      <c r="K3330" t="str">
        <f t="shared" si="601"/>
        <v>809</v>
      </c>
      <c r="L3330">
        <v>1120.1400000000001</v>
      </c>
    </row>
    <row r="3331" spans="1:12" x14ac:dyDescent="0.25">
      <c r="A3331" t="str">
        <f t="shared" si="602"/>
        <v>89301000</v>
      </c>
      <c r="B3331" t="str">
        <f t="shared" si="599"/>
        <v>89383000</v>
      </c>
      <c r="C3331" t="str">
        <f t="shared" si="600"/>
        <v>89383002</v>
      </c>
      <c r="D3331">
        <v>89301212</v>
      </c>
      <c r="E3331" t="str">
        <f>"7958144403"</f>
        <v>7958144403</v>
      </c>
      <c r="F3331" s="1">
        <v>44991</v>
      </c>
      <c r="G3331" t="str">
        <f>"89512"</f>
        <v>89512</v>
      </c>
      <c r="H3331">
        <v>1</v>
      </c>
      <c r="I3331">
        <v>283</v>
      </c>
      <c r="J3331">
        <v>0</v>
      </c>
      <c r="K3331" t="str">
        <f t="shared" si="601"/>
        <v>809</v>
      </c>
      <c r="L3331">
        <v>416.01</v>
      </c>
    </row>
    <row r="3332" spans="1:12" x14ac:dyDescent="0.25">
      <c r="A3332" t="str">
        <f t="shared" si="602"/>
        <v>89301000</v>
      </c>
      <c r="B3332" t="str">
        <f t="shared" si="599"/>
        <v>89383000</v>
      </c>
      <c r="C3332" t="str">
        <f t="shared" si="600"/>
        <v>89383002</v>
      </c>
      <c r="D3332">
        <v>89301212</v>
      </c>
      <c r="E3332" t="str">
        <f>"7251185348"</f>
        <v>7251185348</v>
      </c>
      <c r="F3332" s="1">
        <v>44991</v>
      </c>
      <c r="G3332" t="str">
        <f>"89512"</f>
        <v>89512</v>
      </c>
      <c r="H3332">
        <v>1</v>
      </c>
      <c r="I3332">
        <v>283</v>
      </c>
      <c r="J3332">
        <v>0</v>
      </c>
      <c r="K3332" t="str">
        <f t="shared" si="601"/>
        <v>809</v>
      </c>
      <c r="L3332">
        <v>416.01</v>
      </c>
    </row>
    <row r="3333" spans="1:12" x14ac:dyDescent="0.25">
      <c r="A3333" t="str">
        <f t="shared" si="602"/>
        <v>89301000</v>
      </c>
      <c r="B3333" t="str">
        <f t="shared" si="599"/>
        <v>89383000</v>
      </c>
      <c r="C3333" t="str">
        <f t="shared" si="600"/>
        <v>89383002</v>
      </c>
      <c r="D3333">
        <v>89301212</v>
      </c>
      <c r="E3333" t="str">
        <f>"6351180297"</f>
        <v>6351180297</v>
      </c>
      <c r="F3333" s="1">
        <v>44992</v>
      </c>
      <c r="G3333" t="str">
        <f>"89512"</f>
        <v>89512</v>
      </c>
      <c r="H3333">
        <v>1</v>
      </c>
      <c r="I3333">
        <v>283</v>
      </c>
      <c r="J3333">
        <v>0</v>
      </c>
      <c r="K3333" t="str">
        <f t="shared" si="601"/>
        <v>809</v>
      </c>
      <c r="L3333">
        <v>416.01</v>
      </c>
    </row>
    <row r="3334" spans="1:12" x14ac:dyDescent="0.25">
      <c r="A3334" t="str">
        <f t="shared" si="602"/>
        <v>89301000</v>
      </c>
      <c r="B3334" t="str">
        <f t="shared" si="599"/>
        <v>89383000</v>
      </c>
      <c r="C3334" t="str">
        <f t="shared" si="600"/>
        <v>89383002</v>
      </c>
      <c r="D3334">
        <v>89301212</v>
      </c>
      <c r="E3334" t="str">
        <f>"6351180297"</f>
        <v>6351180297</v>
      </c>
      <c r="F3334" s="1">
        <v>44992</v>
      </c>
      <c r="G3334" t="str">
        <f>"89311"</f>
        <v>89311</v>
      </c>
      <c r="H3334">
        <v>1</v>
      </c>
      <c r="I3334">
        <v>970</v>
      </c>
      <c r="J3334">
        <v>0</v>
      </c>
      <c r="K3334" t="str">
        <f t="shared" si="601"/>
        <v>809</v>
      </c>
      <c r="L3334">
        <v>1425.9</v>
      </c>
    </row>
    <row r="3335" spans="1:12" x14ac:dyDescent="0.25">
      <c r="A3335" t="str">
        <f t="shared" si="602"/>
        <v>89301000</v>
      </c>
      <c r="B3335" t="str">
        <f t="shared" si="599"/>
        <v>89383000</v>
      </c>
      <c r="C3335" t="str">
        <f t="shared" si="600"/>
        <v>89383002</v>
      </c>
      <c r="D3335">
        <v>89301212</v>
      </c>
      <c r="E3335" t="str">
        <f>"7457015313"</f>
        <v>7457015313</v>
      </c>
      <c r="F3335" s="1">
        <v>44993</v>
      </c>
      <c r="G3335" t="str">
        <f>"89512"</f>
        <v>89512</v>
      </c>
      <c r="H3335">
        <v>1</v>
      </c>
      <c r="I3335">
        <v>283</v>
      </c>
      <c r="J3335">
        <v>0</v>
      </c>
      <c r="K3335" t="str">
        <f t="shared" si="601"/>
        <v>809</v>
      </c>
      <c r="L3335">
        <v>416.01</v>
      </c>
    </row>
    <row r="3336" spans="1:12" x14ac:dyDescent="0.25">
      <c r="A3336" t="str">
        <f t="shared" si="602"/>
        <v>89301000</v>
      </c>
      <c r="B3336" t="str">
        <f t="shared" si="599"/>
        <v>89383000</v>
      </c>
      <c r="C3336" t="str">
        <f t="shared" si="600"/>
        <v>89383002</v>
      </c>
      <c r="D3336">
        <v>89301212</v>
      </c>
      <c r="E3336" t="str">
        <f>"7457015313"</f>
        <v>7457015313</v>
      </c>
      <c r="F3336" s="1">
        <v>44993</v>
      </c>
      <c r="G3336" t="str">
        <f>"89180"</f>
        <v>89180</v>
      </c>
      <c r="H3336">
        <v>1</v>
      </c>
      <c r="I3336">
        <v>381</v>
      </c>
      <c r="J3336">
        <v>0</v>
      </c>
      <c r="K3336" t="str">
        <f t="shared" si="601"/>
        <v>809</v>
      </c>
      <c r="L3336">
        <v>560.07000000000005</v>
      </c>
    </row>
    <row r="3337" spans="1:12" x14ac:dyDescent="0.25">
      <c r="A3337" t="str">
        <f t="shared" si="602"/>
        <v>89301000</v>
      </c>
      <c r="B3337" t="str">
        <f t="shared" si="599"/>
        <v>89383000</v>
      </c>
      <c r="C3337" t="str">
        <f t="shared" si="600"/>
        <v>89383002</v>
      </c>
      <c r="D3337">
        <v>89301212</v>
      </c>
      <c r="E3337" t="str">
        <f>"7358145344"</f>
        <v>7358145344</v>
      </c>
      <c r="F3337" s="1">
        <v>44993</v>
      </c>
      <c r="G3337" t="str">
        <f>"89512"</f>
        <v>89512</v>
      </c>
      <c r="H3337">
        <v>1</v>
      </c>
      <c r="I3337">
        <v>283</v>
      </c>
      <c r="J3337">
        <v>0</v>
      </c>
      <c r="K3337" t="str">
        <f t="shared" si="601"/>
        <v>809</v>
      </c>
      <c r="L3337">
        <v>416.01</v>
      </c>
    </row>
    <row r="3338" spans="1:12" x14ac:dyDescent="0.25">
      <c r="A3338" t="str">
        <f t="shared" si="602"/>
        <v>89301000</v>
      </c>
      <c r="B3338" t="str">
        <f t="shared" si="599"/>
        <v>89383000</v>
      </c>
      <c r="C3338" t="str">
        <f t="shared" si="600"/>
        <v>89383002</v>
      </c>
      <c r="D3338">
        <v>89301212</v>
      </c>
      <c r="E3338" t="str">
        <f>"7851165366"</f>
        <v>7851165366</v>
      </c>
      <c r="F3338" s="1">
        <v>44994</v>
      </c>
      <c r="G3338" t="str">
        <f>"89513"</f>
        <v>89513</v>
      </c>
      <c r="H3338">
        <v>1</v>
      </c>
      <c r="I3338">
        <v>378</v>
      </c>
      <c r="J3338">
        <v>0</v>
      </c>
      <c r="K3338" t="str">
        <f t="shared" si="601"/>
        <v>809</v>
      </c>
      <c r="L3338">
        <v>555.66</v>
      </c>
    </row>
    <row r="3339" spans="1:12" x14ac:dyDescent="0.25">
      <c r="A3339" t="str">
        <f t="shared" si="602"/>
        <v>89301000</v>
      </c>
      <c r="B3339" t="str">
        <f t="shared" si="599"/>
        <v>89383000</v>
      </c>
      <c r="C3339" t="str">
        <f t="shared" si="600"/>
        <v>89383002</v>
      </c>
      <c r="D3339">
        <v>89301212</v>
      </c>
      <c r="E3339" t="str">
        <f>"7851165366"</f>
        <v>7851165366</v>
      </c>
      <c r="F3339" s="1">
        <v>44994</v>
      </c>
      <c r="G3339" t="str">
        <f>"89514"</f>
        <v>89514</v>
      </c>
      <c r="H3339">
        <v>1</v>
      </c>
      <c r="I3339">
        <v>378</v>
      </c>
      <c r="J3339">
        <v>0</v>
      </c>
      <c r="K3339" t="str">
        <f t="shared" si="601"/>
        <v>809</v>
      </c>
      <c r="L3339">
        <v>555.66</v>
      </c>
    </row>
    <row r="3340" spans="1:12" x14ac:dyDescent="0.25">
      <c r="A3340" t="str">
        <f t="shared" si="602"/>
        <v>89301000</v>
      </c>
      <c r="B3340" t="str">
        <f t="shared" si="599"/>
        <v>89383000</v>
      </c>
      <c r="C3340" t="str">
        <f t="shared" si="600"/>
        <v>89383002</v>
      </c>
      <c r="D3340">
        <v>89301212</v>
      </c>
      <c r="E3340" t="str">
        <f>"7555265366"</f>
        <v>7555265366</v>
      </c>
      <c r="F3340" s="1">
        <v>44995</v>
      </c>
      <c r="G3340" t="str">
        <f>"89512"</f>
        <v>89512</v>
      </c>
      <c r="H3340">
        <v>1</v>
      </c>
      <c r="I3340">
        <v>283</v>
      </c>
      <c r="J3340">
        <v>0</v>
      </c>
      <c r="K3340" t="str">
        <f t="shared" si="601"/>
        <v>809</v>
      </c>
      <c r="L3340">
        <v>416.01</v>
      </c>
    </row>
    <row r="3341" spans="1:12" x14ac:dyDescent="0.25">
      <c r="A3341" t="str">
        <f t="shared" si="602"/>
        <v>89301000</v>
      </c>
      <c r="B3341" t="str">
        <f t="shared" si="599"/>
        <v>89383000</v>
      </c>
      <c r="C3341" t="str">
        <f t="shared" si="600"/>
        <v>89383002</v>
      </c>
      <c r="D3341">
        <v>89301212</v>
      </c>
      <c r="E3341" t="str">
        <f>"5559042049"</f>
        <v>5559042049</v>
      </c>
      <c r="F3341" s="1">
        <v>44995</v>
      </c>
      <c r="G3341" t="str">
        <f>"89180"</f>
        <v>89180</v>
      </c>
      <c r="H3341">
        <v>2</v>
      </c>
      <c r="I3341">
        <v>762</v>
      </c>
      <c r="J3341">
        <v>0</v>
      </c>
      <c r="K3341" t="str">
        <f t="shared" si="601"/>
        <v>809</v>
      </c>
      <c r="L3341">
        <v>1120.1400000000001</v>
      </c>
    </row>
    <row r="3342" spans="1:12" x14ac:dyDescent="0.25">
      <c r="A3342" t="str">
        <f t="shared" si="602"/>
        <v>89301000</v>
      </c>
      <c r="B3342" t="str">
        <f t="shared" si="599"/>
        <v>89383000</v>
      </c>
      <c r="C3342" t="str">
        <f t="shared" si="600"/>
        <v>89383002</v>
      </c>
      <c r="D3342">
        <v>89301212</v>
      </c>
      <c r="E3342" t="str">
        <f>"5559042049"</f>
        <v>5559042049</v>
      </c>
      <c r="F3342" s="1">
        <v>44995</v>
      </c>
      <c r="G3342" t="str">
        <f>"89512"</f>
        <v>89512</v>
      </c>
      <c r="H3342">
        <v>1</v>
      </c>
      <c r="I3342">
        <v>283</v>
      </c>
      <c r="J3342">
        <v>0</v>
      </c>
      <c r="K3342" t="str">
        <f t="shared" si="601"/>
        <v>809</v>
      </c>
      <c r="L3342">
        <v>416.01</v>
      </c>
    </row>
    <row r="3343" spans="1:12" x14ac:dyDescent="0.25">
      <c r="A3343" t="str">
        <f t="shared" si="602"/>
        <v>89301000</v>
      </c>
      <c r="B3343" t="str">
        <f t="shared" si="599"/>
        <v>89383000</v>
      </c>
      <c r="C3343" t="str">
        <f t="shared" si="600"/>
        <v>89383002</v>
      </c>
      <c r="D3343">
        <v>89301212</v>
      </c>
      <c r="E3343" t="str">
        <f>"7953145387"</f>
        <v>7953145387</v>
      </c>
      <c r="F3343" s="1">
        <v>44998</v>
      </c>
      <c r="G3343" t="str">
        <f>"89513"</f>
        <v>89513</v>
      </c>
      <c r="H3343">
        <v>1</v>
      </c>
      <c r="I3343">
        <v>378</v>
      </c>
      <c r="J3343">
        <v>0</v>
      </c>
      <c r="K3343" t="str">
        <f t="shared" si="601"/>
        <v>809</v>
      </c>
      <c r="L3343">
        <v>555.66</v>
      </c>
    </row>
    <row r="3344" spans="1:12" x14ac:dyDescent="0.25">
      <c r="A3344" t="str">
        <f t="shared" si="602"/>
        <v>89301000</v>
      </c>
      <c r="B3344" t="str">
        <f t="shared" si="599"/>
        <v>89383000</v>
      </c>
      <c r="C3344" t="str">
        <f t="shared" si="600"/>
        <v>89383002</v>
      </c>
      <c r="D3344">
        <v>89301212</v>
      </c>
      <c r="E3344" t="str">
        <f>"7953145387"</f>
        <v>7953145387</v>
      </c>
      <c r="F3344" s="1">
        <v>44998</v>
      </c>
      <c r="G3344" t="str">
        <f>"89514"</f>
        <v>89514</v>
      </c>
      <c r="H3344">
        <v>1</v>
      </c>
      <c r="I3344">
        <v>378</v>
      </c>
      <c r="J3344">
        <v>0</v>
      </c>
      <c r="K3344" t="str">
        <f t="shared" si="601"/>
        <v>809</v>
      </c>
      <c r="L3344">
        <v>555.66</v>
      </c>
    </row>
    <row r="3345" spans="1:12" x14ac:dyDescent="0.25">
      <c r="A3345" t="str">
        <f t="shared" si="602"/>
        <v>89301000</v>
      </c>
      <c r="B3345" t="str">
        <f t="shared" si="599"/>
        <v>89383000</v>
      </c>
      <c r="C3345" t="str">
        <f t="shared" si="600"/>
        <v>89383002</v>
      </c>
      <c r="D3345">
        <v>89301212</v>
      </c>
      <c r="E3345" t="str">
        <f>"7852263837"</f>
        <v>7852263837</v>
      </c>
      <c r="F3345" s="1">
        <v>44999</v>
      </c>
      <c r="G3345" t="str">
        <f>"89512"</f>
        <v>89512</v>
      </c>
      <c r="H3345">
        <v>1</v>
      </c>
      <c r="I3345">
        <v>283</v>
      </c>
      <c r="J3345">
        <v>0</v>
      </c>
      <c r="K3345" t="str">
        <f t="shared" si="601"/>
        <v>809</v>
      </c>
      <c r="L3345">
        <v>416.01</v>
      </c>
    </row>
    <row r="3346" spans="1:12" x14ac:dyDescent="0.25">
      <c r="A3346" t="str">
        <f t="shared" si="602"/>
        <v>89301000</v>
      </c>
      <c r="B3346" t="str">
        <f t="shared" si="599"/>
        <v>89383000</v>
      </c>
      <c r="C3346" t="str">
        <f t="shared" si="600"/>
        <v>89383002</v>
      </c>
      <c r="D3346">
        <v>89301212</v>
      </c>
      <c r="E3346" t="str">
        <f>"7852263837"</f>
        <v>7852263837</v>
      </c>
      <c r="F3346" s="1">
        <v>44999</v>
      </c>
      <c r="G3346" t="str">
        <f>"89180"</f>
        <v>89180</v>
      </c>
      <c r="H3346">
        <v>2</v>
      </c>
      <c r="I3346">
        <v>762</v>
      </c>
      <c r="J3346">
        <v>0</v>
      </c>
      <c r="K3346" t="str">
        <f t="shared" si="601"/>
        <v>809</v>
      </c>
      <c r="L3346">
        <v>1120.1400000000001</v>
      </c>
    </row>
    <row r="3347" spans="1:12" x14ac:dyDescent="0.25">
      <c r="A3347" t="str">
        <f t="shared" si="602"/>
        <v>89301000</v>
      </c>
      <c r="B3347" t="str">
        <f t="shared" ref="B3347:B3378" si="603">"89383000"</f>
        <v>89383000</v>
      </c>
      <c r="C3347" t="str">
        <f t="shared" si="600"/>
        <v>89383002</v>
      </c>
      <c r="D3347">
        <v>89301212</v>
      </c>
      <c r="E3347" t="str">
        <f>"7852263837"</f>
        <v>7852263837</v>
      </c>
      <c r="F3347" s="1">
        <v>44999</v>
      </c>
      <c r="G3347" t="str">
        <f>"89513"</f>
        <v>89513</v>
      </c>
      <c r="H3347">
        <v>1</v>
      </c>
      <c r="I3347">
        <v>378</v>
      </c>
      <c r="J3347">
        <v>0</v>
      </c>
      <c r="K3347" t="str">
        <f t="shared" si="601"/>
        <v>809</v>
      </c>
      <c r="L3347">
        <v>555.66</v>
      </c>
    </row>
    <row r="3348" spans="1:12" x14ac:dyDescent="0.25">
      <c r="A3348" t="str">
        <f t="shared" si="602"/>
        <v>89301000</v>
      </c>
      <c r="B3348" t="str">
        <f t="shared" si="603"/>
        <v>89383000</v>
      </c>
      <c r="C3348" t="str">
        <f t="shared" ref="C3348:C3379" si="604">"89383002"</f>
        <v>89383002</v>
      </c>
      <c r="D3348">
        <v>89301212</v>
      </c>
      <c r="E3348" t="str">
        <f>"7852263837"</f>
        <v>7852263837</v>
      </c>
      <c r="F3348" s="1">
        <v>44999</v>
      </c>
      <c r="G3348" t="str">
        <f>"89514"</f>
        <v>89514</v>
      </c>
      <c r="H3348">
        <v>1</v>
      </c>
      <c r="I3348">
        <v>378</v>
      </c>
      <c r="J3348">
        <v>0</v>
      </c>
      <c r="K3348" t="str">
        <f t="shared" ref="K3348:K3379" si="605">"809"</f>
        <v>809</v>
      </c>
      <c r="L3348">
        <v>555.66</v>
      </c>
    </row>
    <row r="3349" spans="1:12" x14ac:dyDescent="0.25">
      <c r="A3349" t="str">
        <f t="shared" si="602"/>
        <v>89301000</v>
      </c>
      <c r="B3349" t="str">
        <f t="shared" si="603"/>
        <v>89383000</v>
      </c>
      <c r="C3349" t="str">
        <f t="shared" si="604"/>
        <v>89383002</v>
      </c>
      <c r="D3349">
        <v>89301212</v>
      </c>
      <c r="E3349" t="str">
        <f>"7952125346"</f>
        <v>7952125346</v>
      </c>
      <c r="F3349" s="1">
        <v>44999</v>
      </c>
      <c r="G3349" t="str">
        <f>"89512"</f>
        <v>89512</v>
      </c>
      <c r="H3349">
        <v>1</v>
      </c>
      <c r="I3349">
        <v>283</v>
      </c>
      <c r="J3349">
        <v>0</v>
      </c>
      <c r="K3349" t="str">
        <f t="shared" si="605"/>
        <v>809</v>
      </c>
      <c r="L3349">
        <v>416.01</v>
      </c>
    </row>
    <row r="3350" spans="1:12" x14ac:dyDescent="0.25">
      <c r="A3350" t="str">
        <f t="shared" si="602"/>
        <v>89301000</v>
      </c>
      <c r="B3350" t="str">
        <f t="shared" si="603"/>
        <v>89383000</v>
      </c>
      <c r="C3350" t="str">
        <f t="shared" si="604"/>
        <v>89383002</v>
      </c>
      <c r="D3350">
        <v>89301212</v>
      </c>
      <c r="E3350" t="str">
        <f>"7952125346"</f>
        <v>7952125346</v>
      </c>
      <c r="F3350" s="1">
        <v>44999</v>
      </c>
      <c r="G3350" t="str">
        <f>"89180"</f>
        <v>89180</v>
      </c>
      <c r="H3350">
        <v>1</v>
      </c>
      <c r="I3350">
        <v>381</v>
      </c>
      <c r="J3350">
        <v>0</v>
      </c>
      <c r="K3350" t="str">
        <f t="shared" si="605"/>
        <v>809</v>
      </c>
      <c r="L3350">
        <v>560.07000000000005</v>
      </c>
    </row>
    <row r="3351" spans="1:12" x14ac:dyDescent="0.25">
      <c r="A3351" t="str">
        <f t="shared" si="602"/>
        <v>89301000</v>
      </c>
      <c r="B3351" t="str">
        <f t="shared" si="603"/>
        <v>89383000</v>
      </c>
      <c r="C3351" t="str">
        <f t="shared" si="604"/>
        <v>89383002</v>
      </c>
      <c r="D3351">
        <v>89301212</v>
      </c>
      <c r="E3351" t="str">
        <f>"6653012421"</f>
        <v>6653012421</v>
      </c>
      <c r="F3351" s="1">
        <v>44999</v>
      </c>
      <c r="G3351" t="str">
        <f>"89513"</f>
        <v>89513</v>
      </c>
      <c r="H3351">
        <v>1</v>
      </c>
      <c r="I3351">
        <v>378</v>
      </c>
      <c r="J3351">
        <v>0</v>
      </c>
      <c r="K3351" t="str">
        <f t="shared" si="605"/>
        <v>809</v>
      </c>
      <c r="L3351">
        <v>555.66</v>
      </c>
    </row>
    <row r="3352" spans="1:12" x14ac:dyDescent="0.25">
      <c r="A3352" t="str">
        <f t="shared" si="602"/>
        <v>89301000</v>
      </c>
      <c r="B3352" t="str">
        <f t="shared" si="603"/>
        <v>89383000</v>
      </c>
      <c r="C3352" t="str">
        <f t="shared" si="604"/>
        <v>89383002</v>
      </c>
      <c r="D3352">
        <v>89301212</v>
      </c>
      <c r="E3352" t="str">
        <f>"6653012421"</f>
        <v>6653012421</v>
      </c>
      <c r="F3352" s="1">
        <v>44999</v>
      </c>
      <c r="G3352" t="str">
        <f>"89514"</f>
        <v>89514</v>
      </c>
      <c r="H3352">
        <v>1</v>
      </c>
      <c r="I3352">
        <v>378</v>
      </c>
      <c r="J3352">
        <v>0</v>
      </c>
      <c r="K3352" t="str">
        <f t="shared" si="605"/>
        <v>809</v>
      </c>
      <c r="L3352">
        <v>555.66</v>
      </c>
    </row>
    <row r="3353" spans="1:12" x14ac:dyDescent="0.25">
      <c r="A3353" t="str">
        <f t="shared" si="602"/>
        <v>89301000</v>
      </c>
      <c r="B3353" t="str">
        <f t="shared" si="603"/>
        <v>89383000</v>
      </c>
      <c r="C3353" t="str">
        <f t="shared" si="604"/>
        <v>89383002</v>
      </c>
      <c r="D3353">
        <v>89301212</v>
      </c>
      <c r="E3353" t="str">
        <f>"6653012421"</f>
        <v>6653012421</v>
      </c>
      <c r="F3353" s="1">
        <v>44999</v>
      </c>
      <c r="G3353" t="str">
        <f>"89512"</f>
        <v>89512</v>
      </c>
      <c r="H3353">
        <v>1</v>
      </c>
      <c r="I3353">
        <v>283</v>
      </c>
      <c r="J3353">
        <v>0</v>
      </c>
      <c r="K3353" t="str">
        <f t="shared" si="605"/>
        <v>809</v>
      </c>
      <c r="L3353">
        <v>416.01</v>
      </c>
    </row>
    <row r="3354" spans="1:12" x14ac:dyDescent="0.25">
      <c r="A3354" t="str">
        <f t="shared" si="602"/>
        <v>89301000</v>
      </c>
      <c r="B3354" t="str">
        <f t="shared" si="603"/>
        <v>89383000</v>
      </c>
      <c r="C3354" t="str">
        <f t="shared" si="604"/>
        <v>89383002</v>
      </c>
      <c r="D3354">
        <v>89301212</v>
      </c>
      <c r="E3354" t="str">
        <f t="shared" ref="E3354:E3360" si="606">"6352160177"</f>
        <v>6352160177</v>
      </c>
      <c r="F3354" s="1">
        <v>45000</v>
      </c>
      <c r="G3354" t="str">
        <f>"89313"</f>
        <v>89313</v>
      </c>
      <c r="H3354">
        <v>1</v>
      </c>
      <c r="I3354">
        <v>420</v>
      </c>
      <c r="J3354">
        <v>0</v>
      </c>
      <c r="K3354" t="str">
        <f t="shared" si="605"/>
        <v>809</v>
      </c>
      <c r="L3354">
        <v>617.4</v>
      </c>
    </row>
    <row r="3355" spans="1:12" x14ac:dyDescent="0.25">
      <c r="A3355" t="str">
        <f t="shared" si="602"/>
        <v>89301000</v>
      </c>
      <c r="B3355" t="str">
        <f t="shared" si="603"/>
        <v>89383000</v>
      </c>
      <c r="C3355" t="str">
        <f t="shared" si="604"/>
        <v>89383002</v>
      </c>
      <c r="D3355">
        <v>89301212</v>
      </c>
      <c r="E3355" t="str">
        <f t="shared" si="606"/>
        <v>6352160177</v>
      </c>
      <c r="F3355" s="1">
        <v>45000</v>
      </c>
      <c r="G3355" t="str">
        <f>"09233"</f>
        <v>09233</v>
      </c>
      <c r="H3355">
        <v>1</v>
      </c>
      <c r="I3355">
        <v>102</v>
      </c>
      <c r="J3355">
        <v>0</v>
      </c>
      <c r="K3355" t="str">
        <f t="shared" si="605"/>
        <v>809</v>
      </c>
      <c r="L3355">
        <v>149.94</v>
      </c>
    </row>
    <row r="3356" spans="1:12" x14ac:dyDescent="0.25">
      <c r="A3356" t="str">
        <f t="shared" si="602"/>
        <v>89301000</v>
      </c>
      <c r="B3356" t="str">
        <f t="shared" si="603"/>
        <v>89383000</v>
      </c>
      <c r="C3356" t="str">
        <f t="shared" si="604"/>
        <v>89383002</v>
      </c>
      <c r="D3356">
        <v>89301212</v>
      </c>
      <c r="E3356" t="str">
        <f t="shared" si="606"/>
        <v>6352160177</v>
      </c>
      <c r="F3356" s="1">
        <v>45000</v>
      </c>
      <c r="G3356" t="str">
        <f>"89515"</f>
        <v>89515</v>
      </c>
      <c r="H3356">
        <v>1</v>
      </c>
      <c r="I3356">
        <v>347</v>
      </c>
      <c r="J3356">
        <v>0</v>
      </c>
      <c r="K3356" t="str">
        <f t="shared" si="605"/>
        <v>809</v>
      </c>
      <c r="L3356">
        <v>510.09</v>
      </c>
    </row>
    <row r="3357" spans="1:12" x14ac:dyDescent="0.25">
      <c r="A3357" t="str">
        <f t="shared" si="602"/>
        <v>89301000</v>
      </c>
      <c r="B3357" t="str">
        <f t="shared" si="603"/>
        <v>89383000</v>
      </c>
      <c r="C3357" t="str">
        <f t="shared" si="604"/>
        <v>89383002</v>
      </c>
      <c r="D3357">
        <v>89301212</v>
      </c>
      <c r="E3357" t="str">
        <f t="shared" si="606"/>
        <v>6352160177</v>
      </c>
      <c r="F3357" s="1">
        <v>45000</v>
      </c>
      <c r="G3357" t="str">
        <f>"89512"</f>
        <v>89512</v>
      </c>
      <c r="H3357">
        <v>1</v>
      </c>
      <c r="I3357">
        <v>283</v>
      </c>
      <c r="J3357">
        <v>0</v>
      </c>
      <c r="K3357" t="str">
        <f t="shared" si="605"/>
        <v>809</v>
      </c>
      <c r="L3357">
        <v>416.01</v>
      </c>
    </row>
    <row r="3358" spans="1:12" x14ac:dyDescent="0.25">
      <c r="A3358" t="str">
        <f t="shared" si="602"/>
        <v>89301000</v>
      </c>
      <c r="B3358" t="str">
        <f t="shared" si="603"/>
        <v>89383000</v>
      </c>
      <c r="C3358" t="str">
        <f t="shared" si="604"/>
        <v>89383002</v>
      </c>
      <c r="D3358">
        <v>89301212</v>
      </c>
      <c r="E3358" t="str">
        <f t="shared" si="606"/>
        <v>6352160177</v>
      </c>
      <c r="F3358" s="1">
        <v>45000</v>
      </c>
      <c r="G3358" t="str">
        <f>"89311"</f>
        <v>89311</v>
      </c>
      <c r="H3358">
        <v>1</v>
      </c>
      <c r="I3358">
        <v>970</v>
      </c>
      <c r="J3358">
        <v>0</v>
      </c>
      <c r="K3358" t="str">
        <f t="shared" si="605"/>
        <v>809</v>
      </c>
      <c r="L3358">
        <v>1425.9</v>
      </c>
    </row>
    <row r="3359" spans="1:12" x14ac:dyDescent="0.25">
      <c r="A3359" t="str">
        <f t="shared" si="602"/>
        <v>89301000</v>
      </c>
      <c r="B3359" t="str">
        <f t="shared" si="603"/>
        <v>89383000</v>
      </c>
      <c r="C3359" t="str">
        <f t="shared" si="604"/>
        <v>89383002</v>
      </c>
      <c r="D3359">
        <v>89301212</v>
      </c>
      <c r="E3359" t="str">
        <f t="shared" si="606"/>
        <v>6352160177</v>
      </c>
      <c r="F3359" s="1">
        <v>45000</v>
      </c>
      <c r="G3359" t="str">
        <f>"0225891"</f>
        <v>0225891</v>
      </c>
      <c r="H3359">
        <v>0.05</v>
      </c>
      <c r="J3359">
        <v>18.39</v>
      </c>
      <c r="K3359" t="str">
        <f t="shared" si="605"/>
        <v>809</v>
      </c>
      <c r="L3359">
        <v>18.39</v>
      </c>
    </row>
    <row r="3360" spans="1:12" x14ac:dyDescent="0.25">
      <c r="A3360" t="str">
        <f t="shared" si="602"/>
        <v>89301000</v>
      </c>
      <c r="B3360" t="str">
        <f t="shared" si="603"/>
        <v>89383000</v>
      </c>
      <c r="C3360" t="str">
        <f t="shared" si="604"/>
        <v>89383002</v>
      </c>
      <c r="D3360">
        <v>89301212</v>
      </c>
      <c r="E3360" t="str">
        <f t="shared" si="606"/>
        <v>6352160177</v>
      </c>
      <c r="F3360" s="1">
        <v>45000</v>
      </c>
      <c r="G3360" t="str">
        <f>"0142908"</f>
        <v>0142908</v>
      </c>
      <c r="H3360">
        <v>1</v>
      </c>
      <c r="J3360">
        <v>910</v>
      </c>
      <c r="K3360" t="str">
        <f t="shared" si="605"/>
        <v>809</v>
      </c>
      <c r="L3360">
        <v>910</v>
      </c>
    </row>
    <row r="3361" spans="1:12" x14ac:dyDescent="0.25">
      <c r="A3361" t="str">
        <f t="shared" si="602"/>
        <v>89301000</v>
      </c>
      <c r="B3361" t="str">
        <f t="shared" si="603"/>
        <v>89383000</v>
      </c>
      <c r="C3361" t="str">
        <f t="shared" si="604"/>
        <v>89383002</v>
      </c>
      <c r="D3361">
        <v>89301212</v>
      </c>
      <c r="E3361" t="str">
        <f>"6562310700"</f>
        <v>6562310700</v>
      </c>
      <c r="F3361" s="1">
        <v>45001</v>
      </c>
      <c r="G3361" t="str">
        <f>"89513"</f>
        <v>89513</v>
      </c>
      <c r="H3361">
        <v>1</v>
      </c>
      <c r="I3361">
        <v>378</v>
      </c>
      <c r="J3361">
        <v>0</v>
      </c>
      <c r="K3361" t="str">
        <f t="shared" si="605"/>
        <v>809</v>
      </c>
      <c r="L3361">
        <v>555.66</v>
      </c>
    </row>
    <row r="3362" spans="1:12" x14ac:dyDescent="0.25">
      <c r="A3362" t="str">
        <f t="shared" si="602"/>
        <v>89301000</v>
      </c>
      <c r="B3362" t="str">
        <f t="shared" si="603"/>
        <v>89383000</v>
      </c>
      <c r="C3362" t="str">
        <f t="shared" si="604"/>
        <v>89383002</v>
      </c>
      <c r="D3362">
        <v>89301212</v>
      </c>
      <c r="E3362" t="str">
        <f>"6562310700"</f>
        <v>6562310700</v>
      </c>
      <c r="F3362" s="1">
        <v>45001</v>
      </c>
      <c r="G3362" t="str">
        <f>"89514"</f>
        <v>89514</v>
      </c>
      <c r="H3362">
        <v>1</v>
      </c>
      <c r="I3362">
        <v>378</v>
      </c>
      <c r="J3362">
        <v>0</v>
      </c>
      <c r="K3362" t="str">
        <f t="shared" si="605"/>
        <v>809</v>
      </c>
      <c r="L3362">
        <v>555.66</v>
      </c>
    </row>
    <row r="3363" spans="1:12" x14ac:dyDescent="0.25">
      <c r="A3363" t="str">
        <f t="shared" si="602"/>
        <v>89301000</v>
      </c>
      <c r="B3363" t="str">
        <f t="shared" si="603"/>
        <v>89383000</v>
      </c>
      <c r="C3363" t="str">
        <f t="shared" si="604"/>
        <v>89383002</v>
      </c>
      <c r="D3363">
        <v>89301212</v>
      </c>
      <c r="E3363" t="str">
        <f>"5553281987"</f>
        <v>5553281987</v>
      </c>
      <c r="F3363" s="1">
        <v>45002</v>
      </c>
      <c r="G3363" t="str">
        <f>"89513"</f>
        <v>89513</v>
      </c>
      <c r="H3363">
        <v>1</v>
      </c>
      <c r="I3363">
        <v>378</v>
      </c>
      <c r="J3363">
        <v>0</v>
      </c>
      <c r="K3363" t="str">
        <f t="shared" si="605"/>
        <v>809</v>
      </c>
      <c r="L3363">
        <v>555.66</v>
      </c>
    </row>
    <row r="3364" spans="1:12" x14ac:dyDescent="0.25">
      <c r="A3364" t="str">
        <f t="shared" si="602"/>
        <v>89301000</v>
      </c>
      <c r="B3364" t="str">
        <f t="shared" si="603"/>
        <v>89383000</v>
      </c>
      <c r="C3364" t="str">
        <f t="shared" si="604"/>
        <v>89383002</v>
      </c>
      <c r="D3364">
        <v>89301212</v>
      </c>
      <c r="E3364" t="str">
        <f>"5553281987"</f>
        <v>5553281987</v>
      </c>
      <c r="F3364" s="1">
        <v>45002</v>
      </c>
      <c r="G3364" t="str">
        <f>"89514"</f>
        <v>89514</v>
      </c>
      <c r="H3364">
        <v>1</v>
      </c>
      <c r="I3364">
        <v>378</v>
      </c>
      <c r="J3364">
        <v>0</v>
      </c>
      <c r="K3364" t="str">
        <f t="shared" si="605"/>
        <v>809</v>
      </c>
      <c r="L3364">
        <v>555.66</v>
      </c>
    </row>
    <row r="3365" spans="1:12" x14ac:dyDescent="0.25">
      <c r="A3365" t="str">
        <f t="shared" si="602"/>
        <v>89301000</v>
      </c>
      <c r="B3365" t="str">
        <f t="shared" si="603"/>
        <v>89383000</v>
      </c>
      <c r="C3365" t="str">
        <f t="shared" si="604"/>
        <v>89383002</v>
      </c>
      <c r="D3365">
        <v>89301212</v>
      </c>
      <c r="E3365" t="str">
        <f>"5859292120"</f>
        <v>5859292120</v>
      </c>
      <c r="F3365" s="1">
        <v>45005</v>
      </c>
      <c r="G3365" t="str">
        <f>"89513"</f>
        <v>89513</v>
      </c>
      <c r="H3365">
        <v>1</v>
      </c>
      <c r="I3365">
        <v>378</v>
      </c>
      <c r="J3365">
        <v>0</v>
      </c>
      <c r="K3365" t="str">
        <f t="shared" si="605"/>
        <v>809</v>
      </c>
      <c r="L3365">
        <v>555.66</v>
      </c>
    </row>
    <row r="3366" spans="1:12" x14ac:dyDescent="0.25">
      <c r="A3366" t="str">
        <f t="shared" si="602"/>
        <v>89301000</v>
      </c>
      <c r="B3366" t="str">
        <f t="shared" si="603"/>
        <v>89383000</v>
      </c>
      <c r="C3366" t="str">
        <f t="shared" si="604"/>
        <v>89383002</v>
      </c>
      <c r="D3366">
        <v>89301212</v>
      </c>
      <c r="E3366" t="str">
        <f>"5859292120"</f>
        <v>5859292120</v>
      </c>
      <c r="F3366" s="1">
        <v>45005</v>
      </c>
      <c r="G3366" t="str">
        <f>"89514"</f>
        <v>89514</v>
      </c>
      <c r="H3366">
        <v>1</v>
      </c>
      <c r="I3366">
        <v>378</v>
      </c>
      <c r="J3366">
        <v>0</v>
      </c>
      <c r="K3366" t="str">
        <f t="shared" si="605"/>
        <v>809</v>
      </c>
      <c r="L3366">
        <v>555.66</v>
      </c>
    </row>
    <row r="3367" spans="1:12" x14ac:dyDescent="0.25">
      <c r="A3367" t="str">
        <f t="shared" si="602"/>
        <v>89301000</v>
      </c>
      <c r="B3367" t="str">
        <f t="shared" si="603"/>
        <v>89383000</v>
      </c>
      <c r="C3367" t="str">
        <f t="shared" si="604"/>
        <v>89383002</v>
      </c>
      <c r="D3367">
        <v>89301045</v>
      </c>
      <c r="E3367" t="str">
        <f>"5553250780"</f>
        <v>5553250780</v>
      </c>
      <c r="F3367" s="1">
        <v>45005</v>
      </c>
      <c r="G3367" t="str">
        <f>"89512"</f>
        <v>89512</v>
      </c>
      <c r="H3367">
        <v>1</v>
      </c>
      <c r="I3367">
        <v>283</v>
      </c>
      <c r="J3367">
        <v>0</v>
      </c>
      <c r="K3367" t="str">
        <f t="shared" si="605"/>
        <v>809</v>
      </c>
      <c r="L3367">
        <v>416.01</v>
      </c>
    </row>
    <row r="3368" spans="1:12" x14ac:dyDescent="0.25">
      <c r="A3368" t="str">
        <f t="shared" si="602"/>
        <v>89301000</v>
      </c>
      <c r="B3368" t="str">
        <f t="shared" si="603"/>
        <v>89383000</v>
      </c>
      <c r="C3368" t="str">
        <f t="shared" si="604"/>
        <v>89383002</v>
      </c>
      <c r="D3368">
        <v>89301212</v>
      </c>
      <c r="E3368" t="str">
        <f>"7852034201"</f>
        <v>7852034201</v>
      </c>
      <c r="F3368" s="1">
        <v>45006</v>
      </c>
      <c r="G3368" t="str">
        <f>"89512"</f>
        <v>89512</v>
      </c>
      <c r="H3368">
        <v>1</v>
      </c>
      <c r="I3368">
        <v>283</v>
      </c>
      <c r="J3368">
        <v>0</v>
      </c>
      <c r="K3368" t="str">
        <f t="shared" si="605"/>
        <v>809</v>
      </c>
      <c r="L3368">
        <v>416.01</v>
      </c>
    </row>
    <row r="3369" spans="1:12" x14ac:dyDescent="0.25">
      <c r="A3369" t="str">
        <f t="shared" si="602"/>
        <v>89301000</v>
      </c>
      <c r="B3369" t="str">
        <f t="shared" si="603"/>
        <v>89383000</v>
      </c>
      <c r="C3369" t="str">
        <f t="shared" si="604"/>
        <v>89383002</v>
      </c>
      <c r="D3369">
        <v>89301212</v>
      </c>
      <c r="E3369" t="str">
        <f>"7852034201"</f>
        <v>7852034201</v>
      </c>
      <c r="F3369" s="1">
        <v>45006</v>
      </c>
      <c r="G3369" t="str">
        <f>"89513"</f>
        <v>89513</v>
      </c>
      <c r="H3369">
        <v>1</v>
      </c>
      <c r="I3369">
        <v>378</v>
      </c>
      <c r="J3369">
        <v>0</v>
      </c>
      <c r="K3369" t="str">
        <f t="shared" si="605"/>
        <v>809</v>
      </c>
      <c r="L3369">
        <v>555.66</v>
      </c>
    </row>
    <row r="3370" spans="1:12" x14ac:dyDescent="0.25">
      <c r="A3370" t="str">
        <f t="shared" si="602"/>
        <v>89301000</v>
      </c>
      <c r="B3370" t="str">
        <f t="shared" si="603"/>
        <v>89383000</v>
      </c>
      <c r="C3370" t="str">
        <f t="shared" si="604"/>
        <v>89383002</v>
      </c>
      <c r="D3370">
        <v>89301212</v>
      </c>
      <c r="E3370" t="str">
        <f>"7852034201"</f>
        <v>7852034201</v>
      </c>
      <c r="F3370" s="1">
        <v>45006</v>
      </c>
      <c r="G3370" t="str">
        <f>"89514"</f>
        <v>89514</v>
      </c>
      <c r="H3370">
        <v>1</v>
      </c>
      <c r="I3370">
        <v>378</v>
      </c>
      <c r="J3370">
        <v>0</v>
      </c>
      <c r="K3370" t="str">
        <f t="shared" si="605"/>
        <v>809</v>
      </c>
      <c r="L3370">
        <v>555.66</v>
      </c>
    </row>
    <row r="3371" spans="1:12" x14ac:dyDescent="0.25">
      <c r="A3371" t="str">
        <f t="shared" si="602"/>
        <v>89301000</v>
      </c>
      <c r="B3371" t="str">
        <f t="shared" si="603"/>
        <v>89383000</v>
      </c>
      <c r="C3371" t="str">
        <f t="shared" si="604"/>
        <v>89383002</v>
      </c>
      <c r="D3371">
        <v>89301212</v>
      </c>
      <c r="E3371" t="str">
        <f>"7856075381"</f>
        <v>7856075381</v>
      </c>
      <c r="F3371" s="1">
        <v>45006</v>
      </c>
      <c r="G3371" t="str">
        <f>"89512"</f>
        <v>89512</v>
      </c>
      <c r="H3371">
        <v>1</v>
      </c>
      <c r="I3371">
        <v>283</v>
      </c>
      <c r="J3371">
        <v>0</v>
      </c>
      <c r="K3371" t="str">
        <f t="shared" si="605"/>
        <v>809</v>
      </c>
      <c r="L3371">
        <v>416.01</v>
      </c>
    </row>
    <row r="3372" spans="1:12" x14ac:dyDescent="0.25">
      <c r="A3372" t="str">
        <f t="shared" si="602"/>
        <v>89301000</v>
      </c>
      <c r="B3372" t="str">
        <f t="shared" si="603"/>
        <v>89383000</v>
      </c>
      <c r="C3372" t="str">
        <f t="shared" si="604"/>
        <v>89383002</v>
      </c>
      <c r="D3372">
        <v>89301212</v>
      </c>
      <c r="E3372" t="str">
        <f>"7356115371"</f>
        <v>7356115371</v>
      </c>
      <c r="F3372" s="1">
        <v>45006</v>
      </c>
      <c r="G3372" t="str">
        <f>"89180"</f>
        <v>89180</v>
      </c>
      <c r="H3372">
        <v>2</v>
      </c>
      <c r="I3372">
        <v>762</v>
      </c>
      <c r="J3372">
        <v>0</v>
      </c>
      <c r="K3372" t="str">
        <f t="shared" si="605"/>
        <v>809</v>
      </c>
      <c r="L3372">
        <v>1120.1400000000001</v>
      </c>
    </row>
    <row r="3373" spans="1:12" x14ac:dyDescent="0.25">
      <c r="A3373" t="str">
        <f t="shared" si="602"/>
        <v>89301000</v>
      </c>
      <c r="B3373" t="str">
        <f t="shared" si="603"/>
        <v>89383000</v>
      </c>
      <c r="C3373" t="str">
        <f t="shared" si="604"/>
        <v>89383002</v>
      </c>
      <c r="D3373">
        <v>89301212</v>
      </c>
      <c r="E3373" t="str">
        <f>"7356115371"</f>
        <v>7356115371</v>
      </c>
      <c r="F3373" s="1">
        <v>45006</v>
      </c>
      <c r="G3373" t="str">
        <f>"89512"</f>
        <v>89512</v>
      </c>
      <c r="H3373">
        <v>1</v>
      </c>
      <c r="I3373">
        <v>283</v>
      </c>
      <c r="J3373">
        <v>0</v>
      </c>
      <c r="K3373" t="str">
        <f t="shared" si="605"/>
        <v>809</v>
      </c>
      <c r="L3373">
        <v>416.01</v>
      </c>
    </row>
    <row r="3374" spans="1:12" x14ac:dyDescent="0.25">
      <c r="A3374" t="str">
        <f t="shared" si="602"/>
        <v>89301000</v>
      </c>
      <c r="B3374" t="str">
        <f t="shared" si="603"/>
        <v>89383000</v>
      </c>
      <c r="C3374" t="str">
        <f t="shared" si="604"/>
        <v>89383002</v>
      </c>
      <c r="D3374">
        <v>89301045</v>
      </c>
      <c r="E3374" t="str">
        <f>"5960041835"</f>
        <v>5960041835</v>
      </c>
      <c r="F3374" s="1">
        <v>45002</v>
      </c>
      <c r="G3374" t="str">
        <f>"89313"</f>
        <v>89313</v>
      </c>
      <c r="H3374">
        <v>1</v>
      </c>
      <c r="I3374">
        <v>420</v>
      </c>
      <c r="J3374">
        <v>0</v>
      </c>
      <c r="K3374" t="str">
        <f t="shared" si="605"/>
        <v>809</v>
      </c>
      <c r="L3374">
        <v>617.4</v>
      </c>
    </row>
    <row r="3375" spans="1:12" x14ac:dyDescent="0.25">
      <c r="A3375" t="str">
        <f t="shared" si="602"/>
        <v>89301000</v>
      </c>
      <c r="B3375" t="str">
        <f t="shared" si="603"/>
        <v>89383000</v>
      </c>
      <c r="C3375" t="str">
        <f t="shared" si="604"/>
        <v>89383002</v>
      </c>
      <c r="D3375">
        <v>89301045</v>
      </c>
      <c r="E3375" t="str">
        <f>"5960041835"</f>
        <v>5960041835</v>
      </c>
      <c r="F3375" s="1">
        <v>45002</v>
      </c>
      <c r="G3375" t="str">
        <f>"09233"</f>
        <v>09233</v>
      </c>
      <c r="H3375">
        <v>1</v>
      </c>
      <c r="I3375">
        <v>102</v>
      </c>
      <c r="J3375">
        <v>0</v>
      </c>
      <c r="K3375" t="str">
        <f t="shared" si="605"/>
        <v>809</v>
      </c>
      <c r="L3375">
        <v>149.94</v>
      </c>
    </row>
    <row r="3376" spans="1:12" x14ac:dyDescent="0.25">
      <c r="A3376" t="str">
        <f t="shared" si="602"/>
        <v>89301000</v>
      </c>
      <c r="B3376" t="str">
        <f t="shared" si="603"/>
        <v>89383000</v>
      </c>
      <c r="C3376" t="str">
        <f t="shared" si="604"/>
        <v>89383002</v>
      </c>
      <c r="D3376">
        <v>89301045</v>
      </c>
      <c r="E3376" t="str">
        <f>"5960041835"</f>
        <v>5960041835</v>
      </c>
      <c r="F3376" s="1">
        <v>45002</v>
      </c>
      <c r="G3376" t="str">
        <f>"89512"</f>
        <v>89512</v>
      </c>
      <c r="H3376">
        <v>1</v>
      </c>
      <c r="I3376">
        <v>283</v>
      </c>
      <c r="J3376">
        <v>0</v>
      </c>
      <c r="K3376" t="str">
        <f t="shared" si="605"/>
        <v>809</v>
      </c>
      <c r="L3376">
        <v>416.01</v>
      </c>
    </row>
    <row r="3377" spans="1:12" x14ac:dyDescent="0.25">
      <c r="A3377" t="str">
        <f t="shared" si="602"/>
        <v>89301000</v>
      </c>
      <c r="B3377" t="str">
        <f t="shared" si="603"/>
        <v>89383000</v>
      </c>
      <c r="C3377" t="str">
        <f t="shared" si="604"/>
        <v>89383002</v>
      </c>
      <c r="D3377">
        <v>89301045</v>
      </c>
      <c r="E3377" t="str">
        <f>"5960041835"</f>
        <v>5960041835</v>
      </c>
      <c r="F3377" s="1">
        <v>45002</v>
      </c>
      <c r="G3377" t="str">
        <f>"0225891"</f>
        <v>0225891</v>
      </c>
      <c r="H3377">
        <v>0.05</v>
      </c>
      <c r="J3377">
        <v>18.39</v>
      </c>
      <c r="K3377" t="str">
        <f t="shared" si="605"/>
        <v>809</v>
      </c>
      <c r="L3377">
        <v>18.39</v>
      </c>
    </row>
    <row r="3378" spans="1:12" x14ac:dyDescent="0.25">
      <c r="A3378" t="str">
        <f t="shared" si="602"/>
        <v>89301000</v>
      </c>
      <c r="B3378" t="str">
        <f t="shared" si="603"/>
        <v>89383000</v>
      </c>
      <c r="C3378" t="str">
        <f t="shared" si="604"/>
        <v>89383002</v>
      </c>
      <c r="D3378">
        <v>89301045</v>
      </c>
      <c r="E3378" t="str">
        <f>"5960041835"</f>
        <v>5960041835</v>
      </c>
      <c r="F3378" s="1">
        <v>45002</v>
      </c>
      <c r="G3378" t="str">
        <f>"0142906"</f>
        <v>0142906</v>
      </c>
      <c r="H3378">
        <v>2</v>
      </c>
      <c r="J3378">
        <v>13980</v>
      </c>
      <c r="K3378" t="str">
        <f t="shared" si="605"/>
        <v>809</v>
      </c>
      <c r="L3378">
        <v>13980</v>
      </c>
    </row>
    <row r="3379" spans="1:12" x14ac:dyDescent="0.25">
      <c r="A3379" t="str">
        <f t="shared" si="602"/>
        <v>89301000</v>
      </c>
      <c r="B3379" t="str">
        <f t="shared" ref="B3379:B3410" si="607">"89383000"</f>
        <v>89383000</v>
      </c>
      <c r="C3379" t="str">
        <f t="shared" si="604"/>
        <v>89383002</v>
      </c>
      <c r="D3379">
        <v>89301212</v>
      </c>
      <c r="E3379" t="str">
        <f>"7553205352"</f>
        <v>7553205352</v>
      </c>
      <c r="F3379" s="1">
        <v>45007</v>
      </c>
      <c r="G3379" t="str">
        <f>"89513"</f>
        <v>89513</v>
      </c>
      <c r="H3379">
        <v>1</v>
      </c>
      <c r="I3379">
        <v>378</v>
      </c>
      <c r="J3379">
        <v>0</v>
      </c>
      <c r="K3379" t="str">
        <f t="shared" si="605"/>
        <v>809</v>
      </c>
      <c r="L3379">
        <v>555.66</v>
      </c>
    </row>
    <row r="3380" spans="1:12" x14ac:dyDescent="0.25">
      <c r="A3380" t="str">
        <f t="shared" si="602"/>
        <v>89301000</v>
      </c>
      <c r="B3380" t="str">
        <f t="shared" si="607"/>
        <v>89383000</v>
      </c>
      <c r="C3380" t="str">
        <f t="shared" ref="C3380:C3411" si="608">"89383002"</f>
        <v>89383002</v>
      </c>
      <c r="D3380">
        <v>89301212</v>
      </c>
      <c r="E3380" t="str">
        <f>"7553205352"</f>
        <v>7553205352</v>
      </c>
      <c r="F3380" s="1">
        <v>45007</v>
      </c>
      <c r="G3380" t="str">
        <f>"89514"</f>
        <v>89514</v>
      </c>
      <c r="H3380">
        <v>1</v>
      </c>
      <c r="I3380">
        <v>378</v>
      </c>
      <c r="J3380">
        <v>0</v>
      </c>
      <c r="K3380" t="str">
        <f t="shared" ref="K3380:K3411" si="609">"809"</f>
        <v>809</v>
      </c>
      <c r="L3380">
        <v>555.66</v>
      </c>
    </row>
    <row r="3381" spans="1:12" x14ac:dyDescent="0.25">
      <c r="A3381" t="str">
        <f t="shared" si="602"/>
        <v>89301000</v>
      </c>
      <c r="B3381" t="str">
        <f t="shared" si="607"/>
        <v>89383000</v>
      </c>
      <c r="C3381" t="str">
        <f t="shared" si="608"/>
        <v>89383002</v>
      </c>
      <c r="D3381">
        <v>89301212</v>
      </c>
      <c r="E3381" t="str">
        <f t="shared" ref="E3381:E3387" si="610">"7462194861"</f>
        <v>7462194861</v>
      </c>
      <c r="F3381" s="1">
        <v>45008</v>
      </c>
      <c r="G3381" t="str">
        <f>"89513"</f>
        <v>89513</v>
      </c>
      <c r="H3381">
        <v>1</v>
      </c>
      <c r="I3381">
        <v>378</v>
      </c>
      <c r="J3381">
        <v>0</v>
      </c>
      <c r="K3381" t="str">
        <f t="shared" si="609"/>
        <v>809</v>
      </c>
      <c r="L3381">
        <v>555.66</v>
      </c>
    </row>
    <row r="3382" spans="1:12" x14ac:dyDescent="0.25">
      <c r="A3382" t="str">
        <f t="shared" si="602"/>
        <v>89301000</v>
      </c>
      <c r="B3382" t="str">
        <f t="shared" si="607"/>
        <v>89383000</v>
      </c>
      <c r="C3382" t="str">
        <f t="shared" si="608"/>
        <v>89383002</v>
      </c>
      <c r="D3382">
        <v>89301212</v>
      </c>
      <c r="E3382" t="str">
        <f t="shared" si="610"/>
        <v>7462194861</v>
      </c>
      <c r="F3382" s="1">
        <v>45008</v>
      </c>
      <c r="G3382" t="str">
        <f>"89514"</f>
        <v>89514</v>
      </c>
      <c r="H3382">
        <v>1</v>
      </c>
      <c r="I3382">
        <v>378</v>
      </c>
      <c r="J3382">
        <v>0</v>
      </c>
      <c r="K3382" t="str">
        <f t="shared" si="609"/>
        <v>809</v>
      </c>
      <c r="L3382">
        <v>555.66</v>
      </c>
    </row>
    <row r="3383" spans="1:12" x14ac:dyDescent="0.25">
      <c r="A3383" t="str">
        <f t="shared" si="602"/>
        <v>89301000</v>
      </c>
      <c r="B3383" t="str">
        <f t="shared" si="607"/>
        <v>89383000</v>
      </c>
      <c r="C3383" t="str">
        <f t="shared" si="608"/>
        <v>89383002</v>
      </c>
      <c r="D3383">
        <v>89301212</v>
      </c>
      <c r="E3383" t="str">
        <f t="shared" si="610"/>
        <v>7462194861</v>
      </c>
      <c r="F3383" s="1">
        <v>45008</v>
      </c>
      <c r="G3383" t="str">
        <f>"89512"</f>
        <v>89512</v>
      </c>
      <c r="H3383">
        <v>1</v>
      </c>
      <c r="I3383">
        <v>283</v>
      </c>
      <c r="J3383">
        <v>0</v>
      </c>
      <c r="K3383" t="str">
        <f t="shared" si="609"/>
        <v>809</v>
      </c>
      <c r="L3383">
        <v>416.01</v>
      </c>
    </row>
    <row r="3384" spans="1:12" x14ac:dyDescent="0.25">
      <c r="A3384" t="str">
        <f t="shared" si="602"/>
        <v>89301000</v>
      </c>
      <c r="B3384" t="str">
        <f t="shared" si="607"/>
        <v>89383000</v>
      </c>
      <c r="C3384" t="str">
        <f t="shared" si="608"/>
        <v>89383002</v>
      </c>
      <c r="D3384">
        <v>89301212</v>
      </c>
      <c r="E3384" t="str">
        <f t="shared" si="610"/>
        <v>7462194861</v>
      </c>
      <c r="F3384" s="1">
        <v>45008</v>
      </c>
      <c r="G3384" t="str">
        <f>"89313"</f>
        <v>89313</v>
      </c>
      <c r="H3384">
        <v>1</v>
      </c>
      <c r="I3384">
        <v>420</v>
      </c>
      <c r="J3384">
        <v>0</v>
      </c>
      <c r="K3384" t="str">
        <f t="shared" si="609"/>
        <v>809</v>
      </c>
      <c r="L3384">
        <v>617.4</v>
      </c>
    </row>
    <row r="3385" spans="1:12" x14ac:dyDescent="0.25">
      <c r="A3385" t="str">
        <f t="shared" si="602"/>
        <v>89301000</v>
      </c>
      <c r="B3385" t="str">
        <f t="shared" si="607"/>
        <v>89383000</v>
      </c>
      <c r="C3385" t="str">
        <f t="shared" si="608"/>
        <v>89383002</v>
      </c>
      <c r="D3385">
        <v>89301212</v>
      </c>
      <c r="E3385" t="str">
        <f t="shared" si="610"/>
        <v>7462194861</v>
      </c>
      <c r="F3385" s="1">
        <v>45008</v>
      </c>
      <c r="G3385" t="str">
        <f>"09233"</f>
        <v>09233</v>
      </c>
      <c r="H3385">
        <v>1</v>
      </c>
      <c r="I3385">
        <v>102</v>
      </c>
      <c r="J3385">
        <v>0</v>
      </c>
      <c r="K3385" t="str">
        <f t="shared" si="609"/>
        <v>809</v>
      </c>
      <c r="L3385">
        <v>149.94</v>
      </c>
    </row>
    <row r="3386" spans="1:12" x14ac:dyDescent="0.25">
      <c r="A3386" t="str">
        <f t="shared" si="602"/>
        <v>89301000</v>
      </c>
      <c r="B3386" t="str">
        <f t="shared" si="607"/>
        <v>89383000</v>
      </c>
      <c r="C3386" t="str">
        <f t="shared" si="608"/>
        <v>89383002</v>
      </c>
      <c r="D3386">
        <v>89301212</v>
      </c>
      <c r="E3386" t="str">
        <f t="shared" si="610"/>
        <v>7462194861</v>
      </c>
      <c r="F3386" s="1">
        <v>45008</v>
      </c>
      <c r="G3386" t="str">
        <f>"0225891"</f>
        <v>0225891</v>
      </c>
      <c r="H3386">
        <v>0.05</v>
      </c>
      <c r="J3386">
        <v>18.39</v>
      </c>
      <c r="K3386" t="str">
        <f t="shared" si="609"/>
        <v>809</v>
      </c>
      <c r="L3386">
        <v>18.39</v>
      </c>
    </row>
    <row r="3387" spans="1:12" x14ac:dyDescent="0.25">
      <c r="A3387" t="str">
        <f t="shared" si="602"/>
        <v>89301000</v>
      </c>
      <c r="B3387" t="str">
        <f t="shared" si="607"/>
        <v>89383000</v>
      </c>
      <c r="C3387" t="str">
        <f t="shared" si="608"/>
        <v>89383002</v>
      </c>
      <c r="D3387">
        <v>89301212</v>
      </c>
      <c r="E3387" t="str">
        <f t="shared" si="610"/>
        <v>7462194861</v>
      </c>
      <c r="F3387" s="1">
        <v>45008</v>
      </c>
      <c r="G3387" t="str">
        <f>"0082502"</f>
        <v>0082502</v>
      </c>
      <c r="H3387">
        <v>2</v>
      </c>
      <c r="J3387">
        <v>4186</v>
      </c>
      <c r="K3387" t="str">
        <f t="shared" si="609"/>
        <v>809</v>
      </c>
      <c r="L3387">
        <v>4186</v>
      </c>
    </row>
    <row r="3388" spans="1:12" x14ac:dyDescent="0.25">
      <c r="A3388" t="str">
        <f t="shared" si="602"/>
        <v>89301000</v>
      </c>
      <c r="B3388" t="str">
        <f t="shared" si="607"/>
        <v>89383000</v>
      </c>
      <c r="C3388" t="str">
        <f t="shared" si="608"/>
        <v>89383002</v>
      </c>
      <c r="D3388">
        <v>89301212</v>
      </c>
      <c r="E3388" t="str">
        <f>"8354235780"</f>
        <v>8354235780</v>
      </c>
      <c r="F3388" s="1">
        <v>45008</v>
      </c>
      <c r="G3388" t="str">
        <f>"89180"</f>
        <v>89180</v>
      </c>
      <c r="H3388">
        <v>1</v>
      </c>
      <c r="I3388">
        <v>381</v>
      </c>
      <c r="J3388">
        <v>0</v>
      </c>
      <c r="K3388" t="str">
        <f t="shared" si="609"/>
        <v>809</v>
      </c>
      <c r="L3388">
        <v>560.07000000000005</v>
      </c>
    </row>
    <row r="3389" spans="1:12" x14ac:dyDescent="0.25">
      <c r="A3389" t="str">
        <f t="shared" si="602"/>
        <v>89301000</v>
      </c>
      <c r="B3389" t="str">
        <f t="shared" si="607"/>
        <v>89383000</v>
      </c>
      <c r="C3389" t="str">
        <f t="shared" si="608"/>
        <v>89383002</v>
      </c>
      <c r="D3389">
        <v>89301212</v>
      </c>
      <c r="E3389" t="str">
        <f>"8354235780"</f>
        <v>8354235780</v>
      </c>
      <c r="F3389" s="1">
        <v>45008</v>
      </c>
      <c r="G3389" t="str">
        <f>"89512"</f>
        <v>89512</v>
      </c>
      <c r="H3389">
        <v>1</v>
      </c>
      <c r="I3389">
        <v>283</v>
      </c>
      <c r="J3389">
        <v>0</v>
      </c>
      <c r="K3389" t="str">
        <f t="shared" si="609"/>
        <v>809</v>
      </c>
      <c r="L3389">
        <v>416.01</v>
      </c>
    </row>
    <row r="3390" spans="1:12" x14ac:dyDescent="0.25">
      <c r="A3390" t="str">
        <f t="shared" si="602"/>
        <v>89301000</v>
      </c>
      <c r="B3390" t="str">
        <f t="shared" si="607"/>
        <v>89383000</v>
      </c>
      <c r="C3390" t="str">
        <f t="shared" si="608"/>
        <v>89383002</v>
      </c>
      <c r="D3390">
        <v>89301045</v>
      </c>
      <c r="E3390" t="str">
        <f>"5761150560"</f>
        <v>5761150560</v>
      </c>
      <c r="F3390" s="1">
        <v>45008</v>
      </c>
      <c r="G3390" t="str">
        <f>"89513"</f>
        <v>89513</v>
      </c>
      <c r="H3390">
        <v>1</v>
      </c>
      <c r="I3390">
        <v>378</v>
      </c>
      <c r="J3390">
        <v>0</v>
      </c>
      <c r="K3390" t="str">
        <f t="shared" si="609"/>
        <v>809</v>
      </c>
      <c r="L3390">
        <v>555.66</v>
      </c>
    </row>
    <row r="3391" spans="1:12" x14ac:dyDescent="0.25">
      <c r="A3391" t="str">
        <f t="shared" si="602"/>
        <v>89301000</v>
      </c>
      <c r="B3391" t="str">
        <f t="shared" si="607"/>
        <v>89383000</v>
      </c>
      <c r="C3391" t="str">
        <f t="shared" si="608"/>
        <v>89383002</v>
      </c>
      <c r="D3391">
        <v>89301045</v>
      </c>
      <c r="E3391" t="str">
        <f>"5761150560"</f>
        <v>5761150560</v>
      </c>
      <c r="F3391" s="1">
        <v>45008</v>
      </c>
      <c r="G3391" t="str">
        <f>"89514"</f>
        <v>89514</v>
      </c>
      <c r="H3391">
        <v>1</v>
      </c>
      <c r="I3391">
        <v>378</v>
      </c>
      <c r="J3391">
        <v>0</v>
      </c>
      <c r="K3391" t="str">
        <f t="shared" si="609"/>
        <v>809</v>
      </c>
      <c r="L3391">
        <v>555.66</v>
      </c>
    </row>
    <row r="3392" spans="1:12" x14ac:dyDescent="0.25">
      <c r="A3392" t="str">
        <f t="shared" si="602"/>
        <v>89301000</v>
      </c>
      <c r="B3392" t="str">
        <f t="shared" si="607"/>
        <v>89383000</v>
      </c>
      <c r="C3392" t="str">
        <f t="shared" si="608"/>
        <v>89383002</v>
      </c>
      <c r="D3392">
        <v>89301212</v>
      </c>
      <c r="E3392" t="str">
        <f>"7962115326"</f>
        <v>7962115326</v>
      </c>
      <c r="F3392" s="1">
        <v>45009</v>
      </c>
      <c r="G3392" t="str">
        <f>"89180"</f>
        <v>89180</v>
      </c>
      <c r="H3392">
        <v>2</v>
      </c>
      <c r="I3392">
        <v>762</v>
      </c>
      <c r="J3392">
        <v>0</v>
      </c>
      <c r="K3392" t="str">
        <f t="shared" si="609"/>
        <v>809</v>
      </c>
      <c r="L3392">
        <v>1120.1400000000001</v>
      </c>
    </row>
    <row r="3393" spans="1:12" x14ac:dyDescent="0.25">
      <c r="A3393" t="str">
        <f t="shared" si="602"/>
        <v>89301000</v>
      </c>
      <c r="B3393" t="str">
        <f t="shared" si="607"/>
        <v>89383000</v>
      </c>
      <c r="C3393" t="str">
        <f t="shared" si="608"/>
        <v>89383002</v>
      </c>
      <c r="D3393">
        <v>89301212</v>
      </c>
      <c r="E3393" t="str">
        <f>"7962115326"</f>
        <v>7962115326</v>
      </c>
      <c r="F3393" s="1">
        <v>45009</v>
      </c>
      <c r="G3393" t="str">
        <f>"89512"</f>
        <v>89512</v>
      </c>
      <c r="H3393">
        <v>1</v>
      </c>
      <c r="I3393">
        <v>283</v>
      </c>
      <c r="J3393">
        <v>0</v>
      </c>
      <c r="K3393" t="str">
        <f t="shared" si="609"/>
        <v>809</v>
      </c>
      <c r="L3393">
        <v>416.01</v>
      </c>
    </row>
    <row r="3394" spans="1:12" x14ac:dyDescent="0.25">
      <c r="A3394" t="str">
        <f t="shared" ref="A3394:A3457" si="611">"89301000"</f>
        <v>89301000</v>
      </c>
      <c r="B3394" t="str">
        <f t="shared" si="607"/>
        <v>89383000</v>
      </c>
      <c r="C3394" t="str">
        <f t="shared" si="608"/>
        <v>89383002</v>
      </c>
      <c r="D3394">
        <v>89301212</v>
      </c>
      <c r="E3394" t="str">
        <f>"7962115326"</f>
        <v>7962115326</v>
      </c>
      <c r="F3394" s="1">
        <v>45009</v>
      </c>
      <c r="G3394" t="str">
        <f>"89513"</f>
        <v>89513</v>
      </c>
      <c r="H3394">
        <v>1</v>
      </c>
      <c r="I3394">
        <v>378</v>
      </c>
      <c r="J3394">
        <v>0</v>
      </c>
      <c r="K3394" t="str">
        <f t="shared" si="609"/>
        <v>809</v>
      </c>
      <c r="L3394">
        <v>555.66</v>
      </c>
    </row>
    <row r="3395" spans="1:12" x14ac:dyDescent="0.25">
      <c r="A3395" t="str">
        <f t="shared" si="611"/>
        <v>89301000</v>
      </c>
      <c r="B3395" t="str">
        <f t="shared" si="607"/>
        <v>89383000</v>
      </c>
      <c r="C3395" t="str">
        <f t="shared" si="608"/>
        <v>89383002</v>
      </c>
      <c r="D3395">
        <v>89301212</v>
      </c>
      <c r="E3395" t="str">
        <f>"7962115326"</f>
        <v>7962115326</v>
      </c>
      <c r="F3395" s="1">
        <v>45009</v>
      </c>
      <c r="G3395" t="str">
        <f>"89514"</f>
        <v>89514</v>
      </c>
      <c r="H3395">
        <v>1</v>
      </c>
      <c r="I3395">
        <v>378</v>
      </c>
      <c r="J3395">
        <v>0</v>
      </c>
      <c r="K3395" t="str">
        <f t="shared" si="609"/>
        <v>809</v>
      </c>
      <c r="L3395">
        <v>555.66</v>
      </c>
    </row>
    <row r="3396" spans="1:12" x14ac:dyDescent="0.25">
      <c r="A3396" t="str">
        <f t="shared" si="611"/>
        <v>89301000</v>
      </c>
      <c r="B3396" t="str">
        <f t="shared" si="607"/>
        <v>89383000</v>
      </c>
      <c r="C3396" t="str">
        <f t="shared" si="608"/>
        <v>89383002</v>
      </c>
      <c r="D3396">
        <v>89301212</v>
      </c>
      <c r="E3396" t="str">
        <f>"6960165762"</f>
        <v>6960165762</v>
      </c>
      <c r="F3396" s="1">
        <v>45009</v>
      </c>
      <c r="G3396" t="str">
        <f>"89512"</f>
        <v>89512</v>
      </c>
      <c r="H3396">
        <v>1</v>
      </c>
      <c r="I3396">
        <v>283</v>
      </c>
      <c r="J3396">
        <v>0</v>
      </c>
      <c r="K3396" t="str">
        <f t="shared" si="609"/>
        <v>809</v>
      </c>
      <c r="L3396">
        <v>416.01</v>
      </c>
    </row>
    <row r="3397" spans="1:12" x14ac:dyDescent="0.25">
      <c r="A3397" t="str">
        <f t="shared" si="611"/>
        <v>89301000</v>
      </c>
      <c r="B3397" t="str">
        <f t="shared" si="607"/>
        <v>89383000</v>
      </c>
      <c r="C3397" t="str">
        <f t="shared" si="608"/>
        <v>89383002</v>
      </c>
      <c r="D3397">
        <v>89301212</v>
      </c>
      <c r="E3397" t="str">
        <f>"6960165762"</f>
        <v>6960165762</v>
      </c>
      <c r="F3397" s="1">
        <v>45009</v>
      </c>
      <c r="G3397" t="str">
        <f>"89513"</f>
        <v>89513</v>
      </c>
      <c r="H3397">
        <v>1</v>
      </c>
      <c r="I3397">
        <v>378</v>
      </c>
      <c r="J3397">
        <v>0</v>
      </c>
      <c r="K3397" t="str">
        <f t="shared" si="609"/>
        <v>809</v>
      </c>
      <c r="L3397">
        <v>555.66</v>
      </c>
    </row>
    <row r="3398" spans="1:12" x14ac:dyDescent="0.25">
      <c r="A3398" t="str">
        <f t="shared" si="611"/>
        <v>89301000</v>
      </c>
      <c r="B3398" t="str">
        <f t="shared" si="607"/>
        <v>89383000</v>
      </c>
      <c r="C3398" t="str">
        <f t="shared" si="608"/>
        <v>89383002</v>
      </c>
      <c r="D3398">
        <v>89301212</v>
      </c>
      <c r="E3398" t="str">
        <f>"6960165762"</f>
        <v>6960165762</v>
      </c>
      <c r="F3398" s="1">
        <v>45009</v>
      </c>
      <c r="G3398" t="str">
        <f>"89514"</f>
        <v>89514</v>
      </c>
      <c r="H3398">
        <v>1</v>
      </c>
      <c r="I3398">
        <v>378</v>
      </c>
      <c r="J3398">
        <v>0</v>
      </c>
      <c r="K3398" t="str">
        <f t="shared" si="609"/>
        <v>809</v>
      </c>
      <c r="L3398">
        <v>555.66</v>
      </c>
    </row>
    <row r="3399" spans="1:12" x14ac:dyDescent="0.25">
      <c r="A3399" t="str">
        <f t="shared" si="611"/>
        <v>89301000</v>
      </c>
      <c r="B3399" t="str">
        <f t="shared" si="607"/>
        <v>89383000</v>
      </c>
      <c r="C3399" t="str">
        <f t="shared" si="608"/>
        <v>89383002</v>
      </c>
      <c r="D3399">
        <v>89301212</v>
      </c>
      <c r="E3399" t="str">
        <f>"6960165762"</f>
        <v>6960165762</v>
      </c>
      <c r="F3399" s="1">
        <v>45009</v>
      </c>
      <c r="G3399" t="str">
        <f>"89180"</f>
        <v>89180</v>
      </c>
      <c r="H3399">
        <v>2</v>
      </c>
      <c r="I3399">
        <v>762</v>
      </c>
      <c r="J3399">
        <v>0</v>
      </c>
      <c r="K3399" t="str">
        <f t="shared" si="609"/>
        <v>809</v>
      </c>
      <c r="L3399">
        <v>1120.1400000000001</v>
      </c>
    </row>
    <row r="3400" spans="1:12" x14ac:dyDescent="0.25">
      <c r="A3400" t="str">
        <f t="shared" si="611"/>
        <v>89301000</v>
      </c>
      <c r="B3400" t="str">
        <f t="shared" si="607"/>
        <v>89383000</v>
      </c>
      <c r="C3400" t="str">
        <f t="shared" si="608"/>
        <v>89383002</v>
      </c>
      <c r="D3400">
        <v>89301212</v>
      </c>
      <c r="E3400" t="str">
        <f>"8056215310"</f>
        <v>8056215310</v>
      </c>
      <c r="F3400" s="1">
        <v>45009</v>
      </c>
      <c r="G3400" t="str">
        <f>"89512"</f>
        <v>89512</v>
      </c>
      <c r="H3400">
        <v>1</v>
      </c>
      <c r="I3400">
        <v>283</v>
      </c>
      <c r="J3400">
        <v>0</v>
      </c>
      <c r="K3400" t="str">
        <f t="shared" si="609"/>
        <v>809</v>
      </c>
      <c r="L3400">
        <v>416.01</v>
      </c>
    </row>
    <row r="3401" spans="1:12" x14ac:dyDescent="0.25">
      <c r="A3401" t="str">
        <f t="shared" si="611"/>
        <v>89301000</v>
      </c>
      <c r="B3401" t="str">
        <f t="shared" si="607"/>
        <v>89383000</v>
      </c>
      <c r="C3401" t="str">
        <f t="shared" si="608"/>
        <v>89383002</v>
      </c>
      <c r="D3401">
        <v>89301212</v>
      </c>
      <c r="E3401" t="str">
        <f>"7952125346"</f>
        <v>7952125346</v>
      </c>
      <c r="F3401" s="1">
        <v>45012</v>
      </c>
      <c r="G3401" t="str">
        <f>"89813"</f>
        <v>89813</v>
      </c>
      <c r="H3401">
        <v>1</v>
      </c>
      <c r="I3401">
        <v>135</v>
      </c>
      <c r="J3401">
        <v>0</v>
      </c>
      <c r="K3401" t="str">
        <f t="shared" si="609"/>
        <v>809</v>
      </c>
      <c r="L3401">
        <v>198.45</v>
      </c>
    </row>
    <row r="3402" spans="1:12" x14ac:dyDescent="0.25">
      <c r="A3402" t="str">
        <f t="shared" si="611"/>
        <v>89301000</v>
      </c>
      <c r="B3402" t="str">
        <f t="shared" si="607"/>
        <v>89383000</v>
      </c>
      <c r="C3402" t="str">
        <f t="shared" si="608"/>
        <v>89383002</v>
      </c>
      <c r="D3402">
        <v>89301212</v>
      </c>
      <c r="E3402" t="str">
        <f>"5661041232"</f>
        <v>5661041232</v>
      </c>
      <c r="F3402" s="1">
        <v>45012</v>
      </c>
      <c r="G3402" t="str">
        <f>"89512"</f>
        <v>89512</v>
      </c>
      <c r="H3402">
        <v>1</v>
      </c>
      <c r="I3402">
        <v>283</v>
      </c>
      <c r="J3402">
        <v>0</v>
      </c>
      <c r="K3402" t="str">
        <f t="shared" si="609"/>
        <v>809</v>
      </c>
      <c r="L3402">
        <v>416.01</v>
      </c>
    </row>
    <row r="3403" spans="1:12" x14ac:dyDescent="0.25">
      <c r="A3403" t="str">
        <f t="shared" si="611"/>
        <v>89301000</v>
      </c>
      <c r="B3403" t="str">
        <f t="shared" si="607"/>
        <v>89383000</v>
      </c>
      <c r="C3403" t="str">
        <f t="shared" si="608"/>
        <v>89383002</v>
      </c>
      <c r="D3403">
        <v>89301212</v>
      </c>
      <c r="E3403" t="str">
        <f>"5661041232"</f>
        <v>5661041232</v>
      </c>
      <c r="F3403" s="1">
        <v>45012</v>
      </c>
      <c r="G3403" t="str">
        <f>"89180"</f>
        <v>89180</v>
      </c>
      <c r="H3403">
        <v>2</v>
      </c>
      <c r="I3403">
        <v>762</v>
      </c>
      <c r="J3403">
        <v>0</v>
      </c>
      <c r="K3403" t="str">
        <f t="shared" si="609"/>
        <v>809</v>
      </c>
      <c r="L3403">
        <v>1120.1400000000001</v>
      </c>
    </row>
    <row r="3404" spans="1:12" x14ac:dyDescent="0.25">
      <c r="A3404" t="str">
        <f t="shared" si="611"/>
        <v>89301000</v>
      </c>
      <c r="B3404" t="str">
        <f t="shared" si="607"/>
        <v>89383000</v>
      </c>
      <c r="C3404" t="str">
        <f t="shared" si="608"/>
        <v>89383002</v>
      </c>
      <c r="D3404">
        <v>89301212</v>
      </c>
      <c r="E3404" t="str">
        <f>"5957181208"</f>
        <v>5957181208</v>
      </c>
      <c r="F3404" s="1">
        <v>45012</v>
      </c>
      <c r="G3404" t="str">
        <f>"89513"</f>
        <v>89513</v>
      </c>
      <c r="H3404">
        <v>1</v>
      </c>
      <c r="I3404">
        <v>378</v>
      </c>
      <c r="J3404">
        <v>0</v>
      </c>
      <c r="K3404" t="str">
        <f t="shared" si="609"/>
        <v>809</v>
      </c>
      <c r="L3404">
        <v>555.66</v>
      </c>
    </row>
    <row r="3405" spans="1:12" x14ac:dyDescent="0.25">
      <c r="A3405" t="str">
        <f t="shared" si="611"/>
        <v>89301000</v>
      </c>
      <c r="B3405" t="str">
        <f t="shared" si="607"/>
        <v>89383000</v>
      </c>
      <c r="C3405" t="str">
        <f t="shared" si="608"/>
        <v>89383002</v>
      </c>
      <c r="D3405">
        <v>89301212</v>
      </c>
      <c r="E3405" t="str">
        <f>"5957181208"</f>
        <v>5957181208</v>
      </c>
      <c r="F3405" s="1">
        <v>45012</v>
      </c>
      <c r="G3405" t="str">
        <f>"89514"</f>
        <v>89514</v>
      </c>
      <c r="H3405">
        <v>1</v>
      </c>
      <c r="I3405">
        <v>378</v>
      </c>
      <c r="J3405">
        <v>0</v>
      </c>
      <c r="K3405" t="str">
        <f t="shared" si="609"/>
        <v>809</v>
      </c>
      <c r="L3405">
        <v>555.66</v>
      </c>
    </row>
    <row r="3406" spans="1:12" x14ac:dyDescent="0.25">
      <c r="A3406" t="str">
        <f t="shared" si="611"/>
        <v>89301000</v>
      </c>
      <c r="B3406" t="str">
        <f t="shared" si="607"/>
        <v>89383000</v>
      </c>
      <c r="C3406" t="str">
        <f t="shared" si="608"/>
        <v>89383002</v>
      </c>
      <c r="D3406">
        <v>89301212</v>
      </c>
      <c r="E3406" t="str">
        <f>"8959275699"</f>
        <v>8959275699</v>
      </c>
      <c r="F3406" s="1">
        <v>45012</v>
      </c>
      <c r="G3406" t="str">
        <f>"89180"</f>
        <v>89180</v>
      </c>
      <c r="H3406">
        <v>1</v>
      </c>
      <c r="I3406">
        <v>381</v>
      </c>
      <c r="J3406">
        <v>0</v>
      </c>
      <c r="K3406" t="str">
        <f t="shared" si="609"/>
        <v>809</v>
      </c>
      <c r="L3406">
        <v>560.07000000000005</v>
      </c>
    </row>
    <row r="3407" spans="1:12" x14ac:dyDescent="0.25">
      <c r="A3407" t="str">
        <f t="shared" si="611"/>
        <v>89301000</v>
      </c>
      <c r="B3407" t="str">
        <f t="shared" si="607"/>
        <v>89383000</v>
      </c>
      <c r="C3407" t="str">
        <f t="shared" si="608"/>
        <v>89383002</v>
      </c>
      <c r="D3407">
        <v>89301212</v>
      </c>
      <c r="E3407" t="str">
        <f>"8959275699"</f>
        <v>8959275699</v>
      </c>
      <c r="F3407" s="1">
        <v>45012</v>
      </c>
      <c r="G3407" t="str">
        <f>"89512"</f>
        <v>89512</v>
      </c>
      <c r="H3407">
        <v>1</v>
      </c>
      <c r="I3407">
        <v>283</v>
      </c>
      <c r="J3407">
        <v>0</v>
      </c>
      <c r="K3407" t="str">
        <f t="shared" si="609"/>
        <v>809</v>
      </c>
      <c r="L3407">
        <v>416.01</v>
      </c>
    </row>
    <row r="3408" spans="1:12" x14ac:dyDescent="0.25">
      <c r="A3408" t="str">
        <f t="shared" si="611"/>
        <v>89301000</v>
      </c>
      <c r="B3408" t="str">
        <f t="shared" si="607"/>
        <v>89383000</v>
      </c>
      <c r="C3408" t="str">
        <f t="shared" si="608"/>
        <v>89383002</v>
      </c>
      <c r="D3408">
        <v>89301215</v>
      </c>
      <c r="E3408" t="str">
        <f>"7158265334"</f>
        <v>7158265334</v>
      </c>
      <c r="F3408" s="1">
        <v>45013</v>
      </c>
      <c r="G3408" t="str">
        <f>"89512"</f>
        <v>89512</v>
      </c>
      <c r="H3408">
        <v>1</v>
      </c>
      <c r="I3408">
        <v>283</v>
      </c>
      <c r="J3408">
        <v>0</v>
      </c>
      <c r="K3408" t="str">
        <f t="shared" si="609"/>
        <v>809</v>
      </c>
      <c r="L3408">
        <v>416.01</v>
      </c>
    </row>
    <row r="3409" spans="1:12" x14ac:dyDescent="0.25">
      <c r="A3409" t="str">
        <f t="shared" si="611"/>
        <v>89301000</v>
      </c>
      <c r="B3409" t="str">
        <f t="shared" si="607"/>
        <v>89383000</v>
      </c>
      <c r="C3409" t="str">
        <f t="shared" si="608"/>
        <v>89383002</v>
      </c>
      <c r="D3409">
        <v>89301215</v>
      </c>
      <c r="E3409" t="str">
        <f>"7158265334"</f>
        <v>7158265334</v>
      </c>
      <c r="F3409" s="1">
        <v>45013</v>
      </c>
      <c r="G3409" t="str">
        <f>"89513"</f>
        <v>89513</v>
      </c>
      <c r="H3409">
        <v>1</v>
      </c>
      <c r="I3409">
        <v>378</v>
      </c>
      <c r="J3409">
        <v>0</v>
      </c>
      <c r="K3409" t="str">
        <f t="shared" si="609"/>
        <v>809</v>
      </c>
      <c r="L3409">
        <v>555.66</v>
      </c>
    </row>
    <row r="3410" spans="1:12" x14ac:dyDescent="0.25">
      <c r="A3410" t="str">
        <f t="shared" si="611"/>
        <v>89301000</v>
      </c>
      <c r="B3410" t="str">
        <f t="shared" si="607"/>
        <v>89383000</v>
      </c>
      <c r="C3410" t="str">
        <f t="shared" si="608"/>
        <v>89383002</v>
      </c>
      <c r="D3410">
        <v>89301215</v>
      </c>
      <c r="E3410" t="str">
        <f>"7158265334"</f>
        <v>7158265334</v>
      </c>
      <c r="F3410" s="1">
        <v>45013</v>
      </c>
      <c r="G3410" t="str">
        <f>"89514"</f>
        <v>89514</v>
      </c>
      <c r="H3410">
        <v>1</v>
      </c>
      <c r="I3410">
        <v>378</v>
      </c>
      <c r="J3410">
        <v>0</v>
      </c>
      <c r="K3410" t="str">
        <f t="shared" si="609"/>
        <v>809</v>
      </c>
      <c r="L3410">
        <v>555.66</v>
      </c>
    </row>
    <row r="3411" spans="1:12" x14ac:dyDescent="0.25">
      <c r="A3411" t="str">
        <f t="shared" si="611"/>
        <v>89301000</v>
      </c>
      <c r="B3411" t="str">
        <f t="shared" ref="B3411:B3432" si="612">"89383000"</f>
        <v>89383000</v>
      </c>
      <c r="C3411" t="str">
        <f t="shared" si="608"/>
        <v>89383002</v>
      </c>
      <c r="D3411">
        <v>89301039</v>
      </c>
      <c r="E3411" t="str">
        <f>"9003295719"</f>
        <v>9003295719</v>
      </c>
      <c r="F3411" s="1">
        <v>45013</v>
      </c>
      <c r="G3411" t="str">
        <f>"89512"</f>
        <v>89512</v>
      </c>
      <c r="H3411">
        <v>1</v>
      </c>
      <c r="I3411">
        <v>283</v>
      </c>
      <c r="J3411">
        <v>0</v>
      </c>
      <c r="K3411" t="str">
        <f t="shared" si="609"/>
        <v>809</v>
      </c>
      <c r="L3411">
        <v>416.01</v>
      </c>
    </row>
    <row r="3412" spans="1:12" x14ac:dyDescent="0.25">
      <c r="A3412" t="str">
        <f t="shared" si="611"/>
        <v>89301000</v>
      </c>
      <c r="B3412" t="str">
        <f t="shared" si="612"/>
        <v>89383000</v>
      </c>
      <c r="C3412" t="str">
        <f t="shared" ref="C3412:C3432" si="613">"89383002"</f>
        <v>89383002</v>
      </c>
      <c r="D3412">
        <v>89301039</v>
      </c>
      <c r="E3412" t="str">
        <f>"9003295719"</f>
        <v>9003295719</v>
      </c>
      <c r="F3412" s="1">
        <v>45013</v>
      </c>
      <c r="G3412" t="str">
        <f>"89180"</f>
        <v>89180</v>
      </c>
      <c r="H3412">
        <v>2</v>
      </c>
      <c r="I3412">
        <v>762</v>
      </c>
      <c r="J3412">
        <v>0</v>
      </c>
      <c r="K3412" t="str">
        <f t="shared" ref="K3412:K3432" si="614">"809"</f>
        <v>809</v>
      </c>
      <c r="L3412">
        <v>1120.1400000000001</v>
      </c>
    </row>
    <row r="3413" spans="1:12" x14ac:dyDescent="0.25">
      <c r="A3413" t="str">
        <f t="shared" si="611"/>
        <v>89301000</v>
      </c>
      <c r="B3413" t="str">
        <f t="shared" si="612"/>
        <v>89383000</v>
      </c>
      <c r="C3413" t="str">
        <f t="shared" si="613"/>
        <v>89383002</v>
      </c>
      <c r="D3413">
        <v>89301045</v>
      </c>
      <c r="E3413" t="str">
        <f t="shared" ref="E3413:E3418" si="615">"465612184"</f>
        <v>465612184</v>
      </c>
      <c r="F3413" s="1">
        <v>45014</v>
      </c>
      <c r="G3413" t="str">
        <f>"89313"</f>
        <v>89313</v>
      </c>
      <c r="H3413">
        <v>1</v>
      </c>
      <c r="I3413">
        <v>420</v>
      </c>
      <c r="J3413">
        <v>0</v>
      </c>
      <c r="K3413" t="str">
        <f t="shared" si="614"/>
        <v>809</v>
      </c>
      <c r="L3413">
        <v>617.4</v>
      </c>
    </row>
    <row r="3414" spans="1:12" x14ac:dyDescent="0.25">
      <c r="A3414" t="str">
        <f t="shared" si="611"/>
        <v>89301000</v>
      </c>
      <c r="B3414" t="str">
        <f t="shared" si="612"/>
        <v>89383000</v>
      </c>
      <c r="C3414" t="str">
        <f t="shared" si="613"/>
        <v>89383002</v>
      </c>
      <c r="D3414">
        <v>89301045</v>
      </c>
      <c r="E3414" t="str">
        <f t="shared" si="615"/>
        <v>465612184</v>
      </c>
      <c r="F3414" s="1">
        <v>45014</v>
      </c>
      <c r="G3414" t="str">
        <f>"09233"</f>
        <v>09233</v>
      </c>
      <c r="H3414">
        <v>1</v>
      </c>
      <c r="I3414">
        <v>102</v>
      </c>
      <c r="J3414">
        <v>0</v>
      </c>
      <c r="K3414" t="str">
        <f t="shared" si="614"/>
        <v>809</v>
      </c>
      <c r="L3414">
        <v>149.94</v>
      </c>
    </row>
    <row r="3415" spans="1:12" x14ac:dyDescent="0.25">
      <c r="A3415" t="str">
        <f t="shared" si="611"/>
        <v>89301000</v>
      </c>
      <c r="B3415" t="str">
        <f t="shared" si="612"/>
        <v>89383000</v>
      </c>
      <c r="C3415" t="str">
        <f t="shared" si="613"/>
        <v>89383002</v>
      </c>
      <c r="D3415">
        <v>89301045</v>
      </c>
      <c r="E3415" t="str">
        <f t="shared" si="615"/>
        <v>465612184</v>
      </c>
      <c r="F3415" s="1">
        <v>45014</v>
      </c>
      <c r="G3415" t="str">
        <f>"89512"</f>
        <v>89512</v>
      </c>
      <c r="H3415">
        <v>1</v>
      </c>
      <c r="I3415">
        <v>283</v>
      </c>
      <c r="J3415">
        <v>0</v>
      </c>
      <c r="K3415" t="str">
        <f t="shared" si="614"/>
        <v>809</v>
      </c>
      <c r="L3415">
        <v>416.01</v>
      </c>
    </row>
    <row r="3416" spans="1:12" x14ac:dyDescent="0.25">
      <c r="A3416" t="str">
        <f t="shared" si="611"/>
        <v>89301000</v>
      </c>
      <c r="B3416" t="str">
        <f t="shared" si="612"/>
        <v>89383000</v>
      </c>
      <c r="C3416" t="str">
        <f t="shared" si="613"/>
        <v>89383002</v>
      </c>
      <c r="D3416">
        <v>89301045</v>
      </c>
      <c r="E3416" t="str">
        <f t="shared" si="615"/>
        <v>465612184</v>
      </c>
      <c r="F3416" s="1">
        <v>45014</v>
      </c>
      <c r="G3416" t="str">
        <f>"89180"</f>
        <v>89180</v>
      </c>
      <c r="H3416">
        <v>1</v>
      </c>
      <c r="I3416">
        <v>381</v>
      </c>
      <c r="J3416">
        <v>0</v>
      </c>
      <c r="K3416" t="str">
        <f t="shared" si="614"/>
        <v>809</v>
      </c>
      <c r="L3416">
        <v>560.07000000000005</v>
      </c>
    </row>
    <row r="3417" spans="1:12" x14ac:dyDescent="0.25">
      <c r="A3417" t="str">
        <f t="shared" si="611"/>
        <v>89301000</v>
      </c>
      <c r="B3417" t="str">
        <f t="shared" si="612"/>
        <v>89383000</v>
      </c>
      <c r="C3417" t="str">
        <f t="shared" si="613"/>
        <v>89383002</v>
      </c>
      <c r="D3417">
        <v>89301045</v>
      </c>
      <c r="E3417" t="str">
        <f t="shared" si="615"/>
        <v>465612184</v>
      </c>
      <c r="F3417" s="1">
        <v>45014</v>
      </c>
      <c r="G3417" t="str">
        <f>"0225891"</f>
        <v>0225891</v>
      </c>
      <c r="H3417">
        <v>0.05</v>
      </c>
      <c r="J3417">
        <v>18.39</v>
      </c>
      <c r="K3417" t="str">
        <f t="shared" si="614"/>
        <v>809</v>
      </c>
      <c r="L3417">
        <v>18.39</v>
      </c>
    </row>
    <row r="3418" spans="1:12" x14ac:dyDescent="0.25">
      <c r="A3418" t="str">
        <f t="shared" si="611"/>
        <v>89301000</v>
      </c>
      <c r="B3418" t="str">
        <f t="shared" si="612"/>
        <v>89383000</v>
      </c>
      <c r="C3418" t="str">
        <f t="shared" si="613"/>
        <v>89383002</v>
      </c>
      <c r="D3418">
        <v>89301045</v>
      </c>
      <c r="E3418" t="str">
        <f t="shared" si="615"/>
        <v>465612184</v>
      </c>
      <c r="F3418" s="1">
        <v>45014</v>
      </c>
      <c r="G3418" t="str">
        <f>"0142906"</f>
        <v>0142906</v>
      </c>
      <c r="H3418">
        <v>1</v>
      </c>
      <c r="J3418">
        <v>6990</v>
      </c>
      <c r="K3418" t="str">
        <f t="shared" si="614"/>
        <v>809</v>
      </c>
      <c r="L3418">
        <v>6990</v>
      </c>
    </row>
    <row r="3419" spans="1:12" x14ac:dyDescent="0.25">
      <c r="A3419" t="str">
        <f t="shared" si="611"/>
        <v>89301000</v>
      </c>
      <c r="B3419" t="str">
        <f t="shared" si="612"/>
        <v>89383000</v>
      </c>
      <c r="C3419" t="str">
        <f t="shared" si="613"/>
        <v>89383002</v>
      </c>
      <c r="D3419">
        <v>89301215</v>
      </c>
      <c r="E3419" t="str">
        <f>"7752055729"</f>
        <v>7752055729</v>
      </c>
      <c r="F3419" s="1">
        <v>45014</v>
      </c>
      <c r="G3419" t="str">
        <f>"89513"</f>
        <v>89513</v>
      </c>
      <c r="H3419">
        <v>1</v>
      </c>
      <c r="I3419">
        <v>378</v>
      </c>
      <c r="J3419">
        <v>0</v>
      </c>
      <c r="K3419" t="str">
        <f t="shared" si="614"/>
        <v>809</v>
      </c>
      <c r="L3419">
        <v>555.66</v>
      </c>
    </row>
    <row r="3420" spans="1:12" x14ac:dyDescent="0.25">
      <c r="A3420" t="str">
        <f t="shared" si="611"/>
        <v>89301000</v>
      </c>
      <c r="B3420" t="str">
        <f t="shared" si="612"/>
        <v>89383000</v>
      </c>
      <c r="C3420" t="str">
        <f t="shared" si="613"/>
        <v>89383002</v>
      </c>
      <c r="D3420">
        <v>89301215</v>
      </c>
      <c r="E3420" t="str">
        <f>"7752055729"</f>
        <v>7752055729</v>
      </c>
      <c r="F3420" s="1">
        <v>45014</v>
      </c>
      <c r="G3420" t="str">
        <f>"89514"</f>
        <v>89514</v>
      </c>
      <c r="H3420">
        <v>1</v>
      </c>
      <c r="I3420">
        <v>378</v>
      </c>
      <c r="J3420">
        <v>0</v>
      </c>
      <c r="K3420" t="str">
        <f t="shared" si="614"/>
        <v>809</v>
      </c>
      <c r="L3420">
        <v>555.66</v>
      </c>
    </row>
    <row r="3421" spans="1:12" x14ac:dyDescent="0.25">
      <c r="A3421" t="str">
        <f t="shared" si="611"/>
        <v>89301000</v>
      </c>
      <c r="B3421" t="str">
        <f t="shared" si="612"/>
        <v>89383000</v>
      </c>
      <c r="C3421" t="str">
        <f t="shared" si="613"/>
        <v>89383002</v>
      </c>
      <c r="D3421">
        <v>89301212</v>
      </c>
      <c r="E3421" t="str">
        <f>"8253114474"</f>
        <v>8253114474</v>
      </c>
      <c r="F3421" s="1">
        <v>45014</v>
      </c>
      <c r="G3421" t="str">
        <f>"89512"</f>
        <v>89512</v>
      </c>
      <c r="H3421">
        <v>1</v>
      </c>
      <c r="I3421">
        <v>283</v>
      </c>
      <c r="J3421">
        <v>0</v>
      </c>
      <c r="K3421" t="str">
        <f t="shared" si="614"/>
        <v>809</v>
      </c>
      <c r="L3421">
        <v>416.01</v>
      </c>
    </row>
    <row r="3422" spans="1:12" x14ac:dyDescent="0.25">
      <c r="A3422" t="str">
        <f t="shared" si="611"/>
        <v>89301000</v>
      </c>
      <c r="B3422" t="str">
        <f t="shared" si="612"/>
        <v>89383000</v>
      </c>
      <c r="C3422" t="str">
        <f t="shared" si="613"/>
        <v>89383002</v>
      </c>
      <c r="D3422">
        <v>89301212</v>
      </c>
      <c r="E3422" t="str">
        <f>"8253114474"</f>
        <v>8253114474</v>
      </c>
      <c r="F3422" s="1">
        <v>45014</v>
      </c>
      <c r="G3422" t="str">
        <f>"89180"</f>
        <v>89180</v>
      </c>
      <c r="H3422">
        <v>1</v>
      </c>
      <c r="I3422">
        <v>381</v>
      </c>
      <c r="J3422">
        <v>0</v>
      </c>
      <c r="K3422" t="str">
        <f t="shared" si="614"/>
        <v>809</v>
      </c>
      <c r="L3422">
        <v>560.07000000000005</v>
      </c>
    </row>
    <row r="3423" spans="1:12" x14ac:dyDescent="0.25">
      <c r="A3423" t="str">
        <f t="shared" si="611"/>
        <v>89301000</v>
      </c>
      <c r="B3423" t="str">
        <f t="shared" si="612"/>
        <v>89383000</v>
      </c>
      <c r="C3423" t="str">
        <f t="shared" si="613"/>
        <v>89383002</v>
      </c>
      <c r="D3423">
        <v>89301215</v>
      </c>
      <c r="E3423" t="str">
        <f>"6860111764"</f>
        <v>6860111764</v>
      </c>
      <c r="F3423" s="1">
        <v>45016</v>
      </c>
      <c r="G3423" t="str">
        <f>"89513"</f>
        <v>89513</v>
      </c>
      <c r="H3423">
        <v>1</v>
      </c>
      <c r="I3423">
        <v>378</v>
      </c>
      <c r="J3423">
        <v>0</v>
      </c>
      <c r="K3423" t="str">
        <f t="shared" si="614"/>
        <v>809</v>
      </c>
      <c r="L3423">
        <v>555.66</v>
      </c>
    </row>
    <row r="3424" spans="1:12" x14ac:dyDescent="0.25">
      <c r="A3424" t="str">
        <f t="shared" si="611"/>
        <v>89301000</v>
      </c>
      <c r="B3424" t="str">
        <f t="shared" si="612"/>
        <v>89383000</v>
      </c>
      <c r="C3424" t="str">
        <f t="shared" si="613"/>
        <v>89383002</v>
      </c>
      <c r="D3424">
        <v>89301215</v>
      </c>
      <c r="E3424" t="str">
        <f>"6860111764"</f>
        <v>6860111764</v>
      </c>
      <c r="F3424" s="1">
        <v>45016</v>
      </c>
      <c r="G3424" t="str">
        <f>"89514"</f>
        <v>89514</v>
      </c>
      <c r="H3424">
        <v>1</v>
      </c>
      <c r="I3424">
        <v>378</v>
      </c>
      <c r="J3424">
        <v>0</v>
      </c>
      <c r="K3424" t="str">
        <f t="shared" si="614"/>
        <v>809</v>
      </c>
      <c r="L3424">
        <v>555.66</v>
      </c>
    </row>
    <row r="3425" spans="1:12" x14ac:dyDescent="0.25">
      <c r="A3425" t="str">
        <f t="shared" si="611"/>
        <v>89301000</v>
      </c>
      <c r="B3425" t="str">
        <f t="shared" si="612"/>
        <v>89383000</v>
      </c>
      <c r="C3425" t="str">
        <f t="shared" si="613"/>
        <v>89383002</v>
      </c>
      <c r="D3425">
        <v>89301212</v>
      </c>
      <c r="E3425" t="str">
        <f>"535303056"</f>
        <v>535303056</v>
      </c>
      <c r="F3425" s="1">
        <v>45016</v>
      </c>
      <c r="G3425" t="str">
        <f>"89180"</f>
        <v>89180</v>
      </c>
      <c r="H3425">
        <v>2</v>
      </c>
      <c r="I3425">
        <v>762</v>
      </c>
      <c r="J3425">
        <v>0</v>
      </c>
      <c r="K3425" t="str">
        <f t="shared" si="614"/>
        <v>809</v>
      </c>
      <c r="L3425">
        <v>1120.1400000000001</v>
      </c>
    </row>
    <row r="3426" spans="1:12" x14ac:dyDescent="0.25">
      <c r="A3426" t="str">
        <f t="shared" si="611"/>
        <v>89301000</v>
      </c>
      <c r="B3426" t="str">
        <f t="shared" si="612"/>
        <v>89383000</v>
      </c>
      <c r="C3426" t="str">
        <f t="shared" si="613"/>
        <v>89383002</v>
      </c>
      <c r="D3426">
        <v>89301212</v>
      </c>
      <c r="E3426" t="str">
        <f>"535303056"</f>
        <v>535303056</v>
      </c>
      <c r="F3426" s="1">
        <v>45016</v>
      </c>
      <c r="G3426" t="str">
        <f>"89512"</f>
        <v>89512</v>
      </c>
      <c r="H3426">
        <v>1</v>
      </c>
      <c r="I3426">
        <v>283</v>
      </c>
      <c r="J3426">
        <v>0</v>
      </c>
      <c r="K3426" t="str">
        <f t="shared" si="614"/>
        <v>809</v>
      </c>
      <c r="L3426">
        <v>416.01</v>
      </c>
    </row>
    <row r="3427" spans="1:12" x14ac:dyDescent="0.25">
      <c r="A3427" t="str">
        <f t="shared" si="611"/>
        <v>89301000</v>
      </c>
      <c r="B3427" t="str">
        <f t="shared" si="612"/>
        <v>89383000</v>
      </c>
      <c r="C3427" t="str">
        <f t="shared" si="613"/>
        <v>89383002</v>
      </c>
      <c r="D3427">
        <v>89301212</v>
      </c>
      <c r="E3427" t="str">
        <f>"535303056"</f>
        <v>535303056</v>
      </c>
      <c r="F3427" s="1">
        <v>45016</v>
      </c>
      <c r="G3427" t="str">
        <f>"89513"</f>
        <v>89513</v>
      </c>
      <c r="H3427">
        <v>1</v>
      </c>
      <c r="I3427">
        <v>378</v>
      </c>
      <c r="J3427">
        <v>0</v>
      </c>
      <c r="K3427" t="str">
        <f t="shared" si="614"/>
        <v>809</v>
      </c>
      <c r="L3427">
        <v>555.66</v>
      </c>
    </row>
    <row r="3428" spans="1:12" x14ac:dyDescent="0.25">
      <c r="A3428" t="str">
        <f t="shared" si="611"/>
        <v>89301000</v>
      </c>
      <c r="B3428" t="str">
        <f t="shared" si="612"/>
        <v>89383000</v>
      </c>
      <c r="C3428" t="str">
        <f t="shared" si="613"/>
        <v>89383002</v>
      </c>
      <c r="D3428">
        <v>89301212</v>
      </c>
      <c r="E3428" t="str">
        <f>"535303056"</f>
        <v>535303056</v>
      </c>
      <c r="F3428" s="1">
        <v>45016</v>
      </c>
      <c r="G3428" t="str">
        <f>"89514"</f>
        <v>89514</v>
      </c>
      <c r="H3428">
        <v>1</v>
      </c>
      <c r="I3428">
        <v>378</v>
      </c>
      <c r="J3428">
        <v>0</v>
      </c>
      <c r="K3428" t="str">
        <f t="shared" si="614"/>
        <v>809</v>
      </c>
      <c r="L3428">
        <v>555.66</v>
      </c>
    </row>
    <row r="3429" spans="1:12" x14ac:dyDescent="0.25">
      <c r="A3429" t="str">
        <f t="shared" si="611"/>
        <v>89301000</v>
      </c>
      <c r="B3429" t="str">
        <f t="shared" si="612"/>
        <v>89383000</v>
      </c>
      <c r="C3429" t="str">
        <f t="shared" si="613"/>
        <v>89383002</v>
      </c>
      <c r="D3429">
        <v>89301215</v>
      </c>
      <c r="E3429" t="str">
        <f>"5662060261"</f>
        <v>5662060261</v>
      </c>
      <c r="F3429" s="1">
        <v>45016</v>
      </c>
      <c r="G3429" t="str">
        <f>"89513"</f>
        <v>89513</v>
      </c>
      <c r="H3429">
        <v>1</v>
      </c>
      <c r="I3429">
        <v>378</v>
      </c>
      <c r="J3429">
        <v>0</v>
      </c>
      <c r="K3429" t="str">
        <f t="shared" si="614"/>
        <v>809</v>
      </c>
      <c r="L3429">
        <v>555.66</v>
      </c>
    </row>
    <row r="3430" spans="1:12" x14ac:dyDescent="0.25">
      <c r="A3430" t="str">
        <f t="shared" si="611"/>
        <v>89301000</v>
      </c>
      <c r="B3430" t="str">
        <f t="shared" si="612"/>
        <v>89383000</v>
      </c>
      <c r="C3430" t="str">
        <f t="shared" si="613"/>
        <v>89383002</v>
      </c>
      <c r="D3430">
        <v>89301215</v>
      </c>
      <c r="E3430" t="str">
        <f>"5662060261"</f>
        <v>5662060261</v>
      </c>
      <c r="F3430" s="1">
        <v>45016</v>
      </c>
      <c r="G3430" t="str">
        <f>"89514"</f>
        <v>89514</v>
      </c>
      <c r="H3430">
        <v>1</v>
      </c>
      <c r="I3430">
        <v>378</v>
      </c>
      <c r="J3430">
        <v>0</v>
      </c>
      <c r="K3430" t="str">
        <f t="shared" si="614"/>
        <v>809</v>
      </c>
      <c r="L3430">
        <v>555.66</v>
      </c>
    </row>
    <row r="3431" spans="1:12" x14ac:dyDescent="0.25">
      <c r="A3431" t="str">
        <f t="shared" si="611"/>
        <v>89301000</v>
      </c>
      <c r="B3431" t="str">
        <f t="shared" si="612"/>
        <v>89383000</v>
      </c>
      <c r="C3431" t="str">
        <f t="shared" si="613"/>
        <v>89383002</v>
      </c>
      <c r="D3431">
        <v>89301212</v>
      </c>
      <c r="E3431" t="str">
        <f>"6957195311"</f>
        <v>6957195311</v>
      </c>
      <c r="F3431" s="1">
        <v>45016</v>
      </c>
      <c r="G3431" t="str">
        <f>"89513"</f>
        <v>89513</v>
      </c>
      <c r="H3431">
        <v>1</v>
      </c>
      <c r="I3431">
        <v>378</v>
      </c>
      <c r="J3431">
        <v>0</v>
      </c>
      <c r="K3431" t="str">
        <f t="shared" si="614"/>
        <v>809</v>
      </c>
      <c r="L3431">
        <v>555.66</v>
      </c>
    </row>
    <row r="3432" spans="1:12" x14ac:dyDescent="0.25">
      <c r="A3432" t="str">
        <f t="shared" si="611"/>
        <v>89301000</v>
      </c>
      <c r="B3432" t="str">
        <f t="shared" si="612"/>
        <v>89383000</v>
      </c>
      <c r="C3432" t="str">
        <f t="shared" si="613"/>
        <v>89383002</v>
      </c>
      <c r="D3432">
        <v>89301212</v>
      </c>
      <c r="E3432" t="str">
        <f>"6957195311"</f>
        <v>6957195311</v>
      </c>
      <c r="F3432" s="1">
        <v>45016</v>
      </c>
      <c r="G3432" t="str">
        <f>"89514"</f>
        <v>89514</v>
      </c>
      <c r="H3432">
        <v>1</v>
      </c>
      <c r="I3432">
        <v>378</v>
      </c>
      <c r="J3432">
        <v>0</v>
      </c>
      <c r="K3432" t="str">
        <f t="shared" si="614"/>
        <v>809</v>
      </c>
      <c r="L3432">
        <v>555.66</v>
      </c>
    </row>
    <row r="3433" spans="1:12" x14ac:dyDescent="0.25">
      <c r="A3433" t="str">
        <f t="shared" si="611"/>
        <v>89301000</v>
      </c>
      <c r="B3433" t="str">
        <f t="shared" ref="B3433:B3474" si="616">"95202000"</f>
        <v>95202000</v>
      </c>
      <c r="C3433" t="str">
        <f t="shared" ref="C3433:C3467" si="617">"95202096"</f>
        <v>95202096</v>
      </c>
      <c r="D3433">
        <v>89301167</v>
      </c>
      <c r="E3433" t="str">
        <f t="shared" ref="E3433:E3472" si="618">"5707200807"</f>
        <v>5707200807</v>
      </c>
      <c r="F3433" s="1">
        <v>44998</v>
      </c>
      <c r="G3433" t="str">
        <f>"81329"</f>
        <v>81329</v>
      </c>
      <c r="H3433">
        <v>1</v>
      </c>
      <c r="I3433">
        <v>17</v>
      </c>
      <c r="J3433">
        <v>0</v>
      </c>
      <c r="K3433" t="str">
        <f t="shared" ref="K3433:K3467" si="619">"801"</f>
        <v>801</v>
      </c>
      <c r="L3433">
        <v>14.28</v>
      </c>
    </row>
    <row r="3434" spans="1:12" x14ac:dyDescent="0.25">
      <c r="A3434" t="str">
        <f t="shared" si="611"/>
        <v>89301000</v>
      </c>
      <c r="B3434" t="str">
        <f t="shared" si="616"/>
        <v>95202000</v>
      </c>
      <c r="C3434" t="str">
        <f t="shared" si="617"/>
        <v>95202096</v>
      </c>
      <c r="D3434">
        <v>89301167</v>
      </c>
      <c r="E3434" t="str">
        <f t="shared" si="618"/>
        <v>5707200807</v>
      </c>
      <c r="F3434" s="1">
        <v>44998</v>
      </c>
      <c r="G3434" t="str">
        <f>"81337"</f>
        <v>81337</v>
      </c>
      <c r="H3434">
        <v>1</v>
      </c>
      <c r="I3434">
        <v>20</v>
      </c>
      <c r="J3434">
        <v>0</v>
      </c>
      <c r="K3434" t="str">
        <f t="shared" si="619"/>
        <v>801</v>
      </c>
      <c r="L3434">
        <v>16.8</v>
      </c>
    </row>
    <row r="3435" spans="1:12" x14ac:dyDescent="0.25">
      <c r="A3435" t="str">
        <f t="shared" si="611"/>
        <v>89301000</v>
      </c>
      <c r="B3435" t="str">
        <f t="shared" si="616"/>
        <v>95202000</v>
      </c>
      <c r="C3435" t="str">
        <f t="shared" si="617"/>
        <v>95202096</v>
      </c>
      <c r="D3435">
        <v>89301167</v>
      </c>
      <c r="E3435" t="str">
        <f t="shared" si="618"/>
        <v>5707200807</v>
      </c>
      <c r="F3435" s="1">
        <v>44998</v>
      </c>
      <c r="G3435" t="str">
        <f>"81357"</f>
        <v>81357</v>
      </c>
      <c r="H3435">
        <v>1</v>
      </c>
      <c r="I3435">
        <v>20</v>
      </c>
      <c r="J3435">
        <v>0</v>
      </c>
      <c r="K3435" t="str">
        <f t="shared" si="619"/>
        <v>801</v>
      </c>
      <c r="L3435">
        <v>16.8</v>
      </c>
    </row>
    <row r="3436" spans="1:12" x14ac:dyDescent="0.25">
      <c r="A3436" t="str">
        <f t="shared" si="611"/>
        <v>89301000</v>
      </c>
      <c r="B3436" t="str">
        <f t="shared" si="616"/>
        <v>95202000</v>
      </c>
      <c r="C3436" t="str">
        <f t="shared" si="617"/>
        <v>95202096</v>
      </c>
      <c r="D3436">
        <v>89301167</v>
      </c>
      <c r="E3436" t="str">
        <f t="shared" si="618"/>
        <v>5707200807</v>
      </c>
      <c r="F3436" s="1">
        <v>44998</v>
      </c>
      <c r="G3436" t="str">
        <f>"81361"</f>
        <v>81361</v>
      </c>
      <c r="H3436">
        <v>1</v>
      </c>
      <c r="I3436">
        <v>17</v>
      </c>
      <c r="J3436">
        <v>0</v>
      </c>
      <c r="K3436" t="str">
        <f t="shared" si="619"/>
        <v>801</v>
      </c>
      <c r="L3436">
        <v>14.28</v>
      </c>
    </row>
    <row r="3437" spans="1:12" x14ac:dyDescent="0.25">
      <c r="A3437" t="str">
        <f t="shared" si="611"/>
        <v>89301000</v>
      </c>
      <c r="B3437" t="str">
        <f t="shared" si="616"/>
        <v>95202000</v>
      </c>
      <c r="C3437" t="str">
        <f t="shared" si="617"/>
        <v>95202096</v>
      </c>
      <c r="D3437">
        <v>89301167</v>
      </c>
      <c r="E3437" t="str">
        <f t="shared" si="618"/>
        <v>5707200807</v>
      </c>
      <c r="F3437" s="1">
        <v>44998</v>
      </c>
      <c r="G3437" t="str">
        <f>"81365"</f>
        <v>81365</v>
      </c>
      <c r="H3437">
        <v>1</v>
      </c>
      <c r="I3437">
        <v>16</v>
      </c>
      <c r="J3437">
        <v>0</v>
      </c>
      <c r="K3437" t="str">
        <f t="shared" si="619"/>
        <v>801</v>
      </c>
      <c r="L3437">
        <v>13.44</v>
      </c>
    </row>
    <row r="3438" spans="1:12" x14ac:dyDescent="0.25">
      <c r="A3438" t="str">
        <f t="shared" si="611"/>
        <v>89301000</v>
      </c>
      <c r="B3438" t="str">
        <f t="shared" si="616"/>
        <v>95202000</v>
      </c>
      <c r="C3438" t="str">
        <f t="shared" si="617"/>
        <v>95202096</v>
      </c>
      <c r="D3438">
        <v>89301167</v>
      </c>
      <c r="E3438" t="str">
        <f t="shared" si="618"/>
        <v>5707200807</v>
      </c>
      <c r="F3438" s="1">
        <v>44998</v>
      </c>
      <c r="G3438" t="str">
        <f>"81383"</f>
        <v>81383</v>
      </c>
      <c r="H3438">
        <v>1</v>
      </c>
      <c r="I3438">
        <v>24</v>
      </c>
      <c r="J3438">
        <v>0</v>
      </c>
      <c r="K3438" t="str">
        <f t="shared" si="619"/>
        <v>801</v>
      </c>
      <c r="L3438">
        <v>20.16</v>
      </c>
    </row>
    <row r="3439" spans="1:12" x14ac:dyDescent="0.25">
      <c r="A3439" t="str">
        <f t="shared" si="611"/>
        <v>89301000</v>
      </c>
      <c r="B3439" t="str">
        <f t="shared" si="616"/>
        <v>95202000</v>
      </c>
      <c r="C3439" t="str">
        <f t="shared" si="617"/>
        <v>95202096</v>
      </c>
      <c r="D3439">
        <v>89301167</v>
      </c>
      <c r="E3439" t="str">
        <f t="shared" si="618"/>
        <v>5707200807</v>
      </c>
      <c r="F3439" s="1">
        <v>44998</v>
      </c>
      <c r="G3439" t="str">
        <f>"81393"</f>
        <v>81393</v>
      </c>
      <c r="H3439">
        <v>1</v>
      </c>
      <c r="I3439">
        <v>24</v>
      </c>
      <c r="J3439">
        <v>0</v>
      </c>
      <c r="K3439" t="str">
        <f t="shared" si="619"/>
        <v>801</v>
      </c>
      <c r="L3439">
        <v>20.16</v>
      </c>
    </row>
    <row r="3440" spans="1:12" x14ac:dyDescent="0.25">
      <c r="A3440" t="str">
        <f t="shared" si="611"/>
        <v>89301000</v>
      </c>
      <c r="B3440" t="str">
        <f t="shared" si="616"/>
        <v>95202000</v>
      </c>
      <c r="C3440" t="str">
        <f t="shared" si="617"/>
        <v>95202096</v>
      </c>
      <c r="D3440">
        <v>89301167</v>
      </c>
      <c r="E3440" t="str">
        <f t="shared" si="618"/>
        <v>5707200807</v>
      </c>
      <c r="F3440" s="1">
        <v>44998</v>
      </c>
      <c r="G3440" t="str">
        <f>"81421"</f>
        <v>81421</v>
      </c>
      <c r="H3440">
        <v>1</v>
      </c>
      <c r="I3440">
        <v>19</v>
      </c>
      <c r="J3440">
        <v>0</v>
      </c>
      <c r="K3440" t="str">
        <f t="shared" si="619"/>
        <v>801</v>
      </c>
      <c r="L3440">
        <v>15.96</v>
      </c>
    </row>
    <row r="3441" spans="1:12" x14ac:dyDescent="0.25">
      <c r="A3441" t="str">
        <f t="shared" si="611"/>
        <v>89301000</v>
      </c>
      <c r="B3441" t="str">
        <f t="shared" si="616"/>
        <v>95202000</v>
      </c>
      <c r="C3441" t="str">
        <f t="shared" si="617"/>
        <v>95202096</v>
      </c>
      <c r="D3441">
        <v>89301167</v>
      </c>
      <c r="E3441" t="str">
        <f t="shared" si="618"/>
        <v>5707200807</v>
      </c>
      <c r="F3441" s="1">
        <v>44998</v>
      </c>
      <c r="G3441" t="str">
        <f>"81435"</f>
        <v>81435</v>
      </c>
      <c r="H3441">
        <v>1</v>
      </c>
      <c r="I3441">
        <v>22</v>
      </c>
      <c r="J3441">
        <v>0</v>
      </c>
      <c r="K3441" t="str">
        <f t="shared" si="619"/>
        <v>801</v>
      </c>
      <c r="L3441">
        <v>18.48</v>
      </c>
    </row>
    <row r="3442" spans="1:12" x14ac:dyDescent="0.25">
      <c r="A3442" t="str">
        <f t="shared" si="611"/>
        <v>89301000</v>
      </c>
      <c r="B3442" t="str">
        <f t="shared" si="616"/>
        <v>95202000</v>
      </c>
      <c r="C3442" t="str">
        <f t="shared" si="617"/>
        <v>95202096</v>
      </c>
      <c r="D3442">
        <v>89301167</v>
      </c>
      <c r="E3442" t="str">
        <f t="shared" si="618"/>
        <v>5707200807</v>
      </c>
      <c r="F3442" s="1">
        <v>44998</v>
      </c>
      <c r="G3442" t="str">
        <f>"81439"</f>
        <v>81439</v>
      </c>
      <c r="H3442">
        <v>1</v>
      </c>
      <c r="I3442">
        <v>16</v>
      </c>
      <c r="J3442">
        <v>0</v>
      </c>
      <c r="K3442" t="str">
        <f t="shared" si="619"/>
        <v>801</v>
      </c>
      <c r="L3442">
        <v>13.44</v>
      </c>
    </row>
    <row r="3443" spans="1:12" x14ac:dyDescent="0.25">
      <c r="A3443" t="str">
        <f t="shared" si="611"/>
        <v>89301000</v>
      </c>
      <c r="B3443" t="str">
        <f t="shared" si="616"/>
        <v>95202000</v>
      </c>
      <c r="C3443" t="str">
        <f t="shared" si="617"/>
        <v>95202096</v>
      </c>
      <c r="D3443">
        <v>89301167</v>
      </c>
      <c r="E3443" t="str">
        <f t="shared" si="618"/>
        <v>5707200807</v>
      </c>
      <c r="F3443" s="1">
        <v>44998</v>
      </c>
      <c r="G3443" t="str">
        <f>"81469"</f>
        <v>81469</v>
      </c>
      <c r="H3443">
        <v>1</v>
      </c>
      <c r="I3443">
        <v>16</v>
      </c>
      <c r="J3443">
        <v>0</v>
      </c>
      <c r="K3443" t="str">
        <f t="shared" si="619"/>
        <v>801</v>
      </c>
      <c r="L3443">
        <v>13.44</v>
      </c>
    </row>
    <row r="3444" spans="1:12" x14ac:dyDescent="0.25">
      <c r="A3444" t="str">
        <f t="shared" si="611"/>
        <v>89301000</v>
      </c>
      <c r="B3444" t="str">
        <f t="shared" si="616"/>
        <v>95202000</v>
      </c>
      <c r="C3444" t="str">
        <f t="shared" si="617"/>
        <v>95202096</v>
      </c>
      <c r="D3444">
        <v>89301167</v>
      </c>
      <c r="E3444" t="str">
        <f t="shared" si="618"/>
        <v>5707200807</v>
      </c>
      <c r="F3444" s="1">
        <v>44998</v>
      </c>
      <c r="G3444" t="str">
        <f>"81499"</f>
        <v>81499</v>
      </c>
      <c r="H3444">
        <v>1</v>
      </c>
      <c r="I3444">
        <v>18</v>
      </c>
      <c r="J3444">
        <v>0</v>
      </c>
      <c r="K3444" t="str">
        <f t="shared" si="619"/>
        <v>801</v>
      </c>
      <c r="L3444">
        <v>15.12</v>
      </c>
    </row>
    <row r="3445" spans="1:12" x14ac:dyDescent="0.25">
      <c r="A3445" t="str">
        <f t="shared" si="611"/>
        <v>89301000</v>
      </c>
      <c r="B3445" t="str">
        <f t="shared" si="616"/>
        <v>95202000</v>
      </c>
      <c r="C3445" t="str">
        <f t="shared" si="617"/>
        <v>95202096</v>
      </c>
      <c r="D3445">
        <v>89301167</v>
      </c>
      <c r="E3445" t="str">
        <f t="shared" si="618"/>
        <v>5707200807</v>
      </c>
      <c r="F3445" s="1">
        <v>44998</v>
      </c>
      <c r="G3445" t="str">
        <f>"81523"</f>
        <v>81523</v>
      </c>
      <c r="H3445">
        <v>1</v>
      </c>
      <c r="I3445">
        <v>23</v>
      </c>
      <c r="J3445">
        <v>0</v>
      </c>
      <c r="K3445" t="str">
        <f t="shared" si="619"/>
        <v>801</v>
      </c>
      <c r="L3445">
        <v>19.32</v>
      </c>
    </row>
    <row r="3446" spans="1:12" x14ac:dyDescent="0.25">
      <c r="A3446" t="str">
        <f t="shared" si="611"/>
        <v>89301000</v>
      </c>
      <c r="B3446" t="str">
        <f t="shared" si="616"/>
        <v>95202000</v>
      </c>
      <c r="C3446" t="str">
        <f t="shared" si="617"/>
        <v>95202096</v>
      </c>
      <c r="D3446">
        <v>89301167</v>
      </c>
      <c r="E3446" t="str">
        <f t="shared" si="618"/>
        <v>5707200807</v>
      </c>
      <c r="F3446" s="1">
        <v>44998</v>
      </c>
      <c r="G3446" t="str">
        <f>"81593"</f>
        <v>81593</v>
      </c>
      <c r="H3446">
        <v>1</v>
      </c>
      <c r="I3446">
        <v>22</v>
      </c>
      <c r="J3446">
        <v>0</v>
      </c>
      <c r="K3446" t="str">
        <f t="shared" si="619"/>
        <v>801</v>
      </c>
      <c r="L3446">
        <v>18.48</v>
      </c>
    </row>
    <row r="3447" spans="1:12" x14ac:dyDescent="0.25">
      <c r="A3447" t="str">
        <f t="shared" si="611"/>
        <v>89301000</v>
      </c>
      <c r="B3447" t="str">
        <f t="shared" si="616"/>
        <v>95202000</v>
      </c>
      <c r="C3447" t="str">
        <f t="shared" si="617"/>
        <v>95202096</v>
      </c>
      <c r="D3447">
        <v>89301167</v>
      </c>
      <c r="E3447" t="str">
        <f t="shared" si="618"/>
        <v>5707200807</v>
      </c>
      <c r="F3447" s="1">
        <v>44998</v>
      </c>
      <c r="G3447" t="str">
        <f>"81621"</f>
        <v>81621</v>
      </c>
      <c r="H3447">
        <v>1</v>
      </c>
      <c r="I3447">
        <v>19</v>
      </c>
      <c r="J3447">
        <v>0</v>
      </c>
      <c r="K3447" t="str">
        <f t="shared" si="619"/>
        <v>801</v>
      </c>
      <c r="L3447">
        <v>15.96</v>
      </c>
    </row>
    <row r="3448" spans="1:12" x14ac:dyDescent="0.25">
      <c r="A3448" t="str">
        <f t="shared" si="611"/>
        <v>89301000</v>
      </c>
      <c r="B3448" t="str">
        <f t="shared" si="616"/>
        <v>95202000</v>
      </c>
      <c r="C3448" t="str">
        <f t="shared" si="617"/>
        <v>95202096</v>
      </c>
      <c r="D3448">
        <v>89301167</v>
      </c>
      <c r="E3448" t="str">
        <f t="shared" si="618"/>
        <v>5707200807</v>
      </c>
      <c r="F3448" s="1">
        <v>44998</v>
      </c>
      <c r="G3448" t="str">
        <f>"81625"</f>
        <v>81625</v>
      </c>
      <c r="H3448">
        <v>1</v>
      </c>
      <c r="I3448">
        <v>21</v>
      </c>
      <c r="J3448">
        <v>0</v>
      </c>
      <c r="K3448" t="str">
        <f t="shared" si="619"/>
        <v>801</v>
      </c>
      <c r="L3448">
        <v>17.64</v>
      </c>
    </row>
    <row r="3449" spans="1:12" x14ac:dyDescent="0.25">
      <c r="A3449" t="str">
        <f t="shared" si="611"/>
        <v>89301000</v>
      </c>
      <c r="B3449" t="str">
        <f t="shared" si="616"/>
        <v>95202000</v>
      </c>
      <c r="C3449" t="str">
        <f t="shared" si="617"/>
        <v>95202096</v>
      </c>
      <c r="D3449">
        <v>89301167</v>
      </c>
      <c r="E3449" t="str">
        <f t="shared" si="618"/>
        <v>5707200807</v>
      </c>
      <c r="F3449" s="1">
        <v>44998</v>
      </c>
      <c r="G3449" t="str">
        <f>"97111"</f>
        <v>97111</v>
      </c>
      <c r="H3449">
        <v>1</v>
      </c>
      <c r="I3449">
        <v>19</v>
      </c>
      <c r="J3449">
        <v>0</v>
      </c>
      <c r="K3449" t="str">
        <f t="shared" si="619"/>
        <v>801</v>
      </c>
      <c r="L3449">
        <v>23.94</v>
      </c>
    </row>
    <row r="3450" spans="1:12" x14ac:dyDescent="0.25">
      <c r="A3450" t="str">
        <f t="shared" si="611"/>
        <v>89301000</v>
      </c>
      <c r="B3450" t="str">
        <f t="shared" si="616"/>
        <v>95202000</v>
      </c>
      <c r="C3450" t="str">
        <f t="shared" si="617"/>
        <v>95202096</v>
      </c>
      <c r="D3450">
        <v>89301167</v>
      </c>
      <c r="E3450" t="str">
        <f t="shared" si="618"/>
        <v>5707200807</v>
      </c>
      <c r="F3450" s="1">
        <v>44991</v>
      </c>
      <c r="G3450" t="str">
        <f>"81329"</f>
        <v>81329</v>
      </c>
      <c r="H3450">
        <v>1</v>
      </c>
      <c r="I3450">
        <v>17</v>
      </c>
      <c r="J3450">
        <v>0</v>
      </c>
      <c r="K3450" t="str">
        <f t="shared" si="619"/>
        <v>801</v>
      </c>
      <c r="L3450">
        <v>14.28</v>
      </c>
    </row>
    <row r="3451" spans="1:12" x14ac:dyDescent="0.25">
      <c r="A3451" t="str">
        <f t="shared" si="611"/>
        <v>89301000</v>
      </c>
      <c r="B3451" t="str">
        <f t="shared" si="616"/>
        <v>95202000</v>
      </c>
      <c r="C3451" t="str">
        <f t="shared" si="617"/>
        <v>95202096</v>
      </c>
      <c r="D3451">
        <v>89301167</v>
      </c>
      <c r="E3451" t="str">
        <f t="shared" si="618"/>
        <v>5707200807</v>
      </c>
      <c r="F3451" s="1">
        <v>44991</v>
      </c>
      <c r="G3451" t="str">
        <f>"81337"</f>
        <v>81337</v>
      </c>
      <c r="H3451">
        <v>1</v>
      </c>
      <c r="I3451">
        <v>20</v>
      </c>
      <c r="J3451">
        <v>0</v>
      </c>
      <c r="K3451" t="str">
        <f t="shared" si="619"/>
        <v>801</v>
      </c>
      <c r="L3451">
        <v>16.8</v>
      </c>
    </row>
    <row r="3452" spans="1:12" x14ac:dyDescent="0.25">
      <c r="A3452" t="str">
        <f t="shared" si="611"/>
        <v>89301000</v>
      </c>
      <c r="B3452" t="str">
        <f t="shared" si="616"/>
        <v>95202000</v>
      </c>
      <c r="C3452" t="str">
        <f t="shared" si="617"/>
        <v>95202096</v>
      </c>
      <c r="D3452">
        <v>89301167</v>
      </c>
      <c r="E3452" t="str">
        <f t="shared" si="618"/>
        <v>5707200807</v>
      </c>
      <c r="F3452" s="1">
        <v>44991</v>
      </c>
      <c r="G3452" t="str">
        <f>"81357"</f>
        <v>81357</v>
      </c>
      <c r="H3452">
        <v>1</v>
      </c>
      <c r="I3452">
        <v>20</v>
      </c>
      <c r="J3452">
        <v>0</v>
      </c>
      <c r="K3452" t="str">
        <f t="shared" si="619"/>
        <v>801</v>
      </c>
      <c r="L3452">
        <v>16.8</v>
      </c>
    </row>
    <row r="3453" spans="1:12" x14ac:dyDescent="0.25">
      <c r="A3453" t="str">
        <f t="shared" si="611"/>
        <v>89301000</v>
      </c>
      <c r="B3453" t="str">
        <f t="shared" si="616"/>
        <v>95202000</v>
      </c>
      <c r="C3453" t="str">
        <f t="shared" si="617"/>
        <v>95202096</v>
      </c>
      <c r="D3453">
        <v>89301167</v>
      </c>
      <c r="E3453" t="str">
        <f t="shared" si="618"/>
        <v>5707200807</v>
      </c>
      <c r="F3453" s="1">
        <v>44991</v>
      </c>
      <c r="G3453" t="str">
        <f>"81361"</f>
        <v>81361</v>
      </c>
      <c r="H3453">
        <v>1</v>
      </c>
      <c r="I3453">
        <v>17</v>
      </c>
      <c r="J3453">
        <v>0</v>
      </c>
      <c r="K3453" t="str">
        <f t="shared" si="619"/>
        <v>801</v>
      </c>
      <c r="L3453">
        <v>14.28</v>
      </c>
    </row>
    <row r="3454" spans="1:12" x14ac:dyDescent="0.25">
      <c r="A3454" t="str">
        <f t="shared" si="611"/>
        <v>89301000</v>
      </c>
      <c r="B3454" t="str">
        <f t="shared" si="616"/>
        <v>95202000</v>
      </c>
      <c r="C3454" t="str">
        <f t="shared" si="617"/>
        <v>95202096</v>
      </c>
      <c r="D3454">
        <v>89301167</v>
      </c>
      <c r="E3454" t="str">
        <f t="shared" si="618"/>
        <v>5707200807</v>
      </c>
      <c r="F3454" s="1">
        <v>44991</v>
      </c>
      <c r="G3454" t="str">
        <f>"81363"</f>
        <v>81363</v>
      </c>
      <c r="H3454">
        <v>1</v>
      </c>
      <c r="I3454">
        <v>17</v>
      </c>
      <c r="J3454">
        <v>0</v>
      </c>
      <c r="K3454" t="str">
        <f t="shared" si="619"/>
        <v>801</v>
      </c>
      <c r="L3454">
        <v>14.28</v>
      </c>
    </row>
    <row r="3455" spans="1:12" x14ac:dyDescent="0.25">
      <c r="A3455" t="str">
        <f t="shared" si="611"/>
        <v>89301000</v>
      </c>
      <c r="B3455" t="str">
        <f t="shared" si="616"/>
        <v>95202000</v>
      </c>
      <c r="C3455" t="str">
        <f t="shared" si="617"/>
        <v>95202096</v>
      </c>
      <c r="D3455">
        <v>89301167</v>
      </c>
      <c r="E3455" t="str">
        <f t="shared" si="618"/>
        <v>5707200807</v>
      </c>
      <c r="F3455" s="1">
        <v>44991</v>
      </c>
      <c r="G3455" t="str">
        <f>"81365"</f>
        <v>81365</v>
      </c>
      <c r="H3455">
        <v>1</v>
      </c>
      <c r="I3455">
        <v>16</v>
      </c>
      <c r="J3455">
        <v>0</v>
      </c>
      <c r="K3455" t="str">
        <f t="shared" si="619"/>
        <v>801</v>
      </c>
      <c r="L3455">
        <v>13.44</v>
      </c>
    </row>
    <row r="3456" spans="1:12" x14ac:dyDescent="0.25">
      <c r="A3456" t="str">
        <f t="shared" si="611"/>
        <v>89301000</v>
      </c>
      <c r="B3456" t="str">
        <f t="shared" si="616"/>
        <v>95202000</v>
      </c>
      <c r="C3456" t="str">
        <f t="shared" si="617"/>
        <v>95202096</v>
      </c>
      <c r="D3456">
        <v>89301167</v>
      </c>
      <c r="E3456" t="str">
        <f t="shared" si="618"/>
        <v>5707200807</v>
      </c>
      <c r="F3456" s="1">
        <v>44991</v>
      </c>
      <c r="G3456" t="str">
        <f>"81383"</f>
        <v>81383</v>
      </c>
      <c r="H3456">
        <v>1</v>
      </c>
      <c r="I3456">
        <v>24</v>
      </c>
      <c r="J3456">
        <v>0</v>
      </c>
      <c r="K3456" t="str">
        <f t="shared" si="619"/>
        <v>801</v>
      </c>
      <c r="L3456">
        <v>20.16</v>
      </c>
    </row>
    <row r="3457" spans="1:12" x14ac:dyDescent="0.25">
      <c r="A3457" t="str">
        <f t="shared" si="611"/>
        <v>89301000</v>
      </c>
      <c r="B3457" t="str">
        <f t="shared" si="616"/>
        <v>95202000</v>
      </c>
      <c r="C3457" t="str">
        <f t="shared" si="617"/>
        <v>95202096</v>
      </c>
      <c r="D3457">
        <v>89301167</v>
      </c>
      <c r="E3457" t="str">
        <f t="shared" si="618"/>
        <v>5707200807</v>
      </c>
      <c r="F3457" s="1">
        <v>44991</v>
      </c>
      <c r="G3457" t="str">
        <f>"81393"</f>
        <v>81393</v>
      </c>
      <c r="H3457">
        <v>1</v>
      </c>
      <c r="I3457">
        <v>24</v>
      </c>
      <c r="J3457">
        <v>0</v>
      </c>
      <c r="K3457" t="str">
        <f t="shared" si="619"/>
        <v>801</v>
      </c>
      <c r="L3457">
        <v>20.16</v>
      </c>
    </row>
    <row r="3458" spans="1:12" x14ac:dyDescent="0.25">
      <c r="A3458" t="str">
        <f t="shared" ref="A3458:A3521" si="620">"89301000"</f>
        <v>89301000</v>
      </c>
      <c r="B3458" t="str">
        <f t="shared" si="616"/>
        <v>95202000</v>
      </c>
      <c r="C3458" t="str">
        <f t="shared" si="617"/>
        <v>95202096</v>
      </c>
      <c r="D3458">
        <v>89301167</v>
      </c>
      <c r="E3458" t="str">
        <f t="shared" si="618"/>
        <v>5707200807</v>
      </c>
      <c r="F3458" s="1">
        <v>44991</v>
      </c>
      <c r="G3458" t="str">
        <f>"81421"</f>
        <v>81421</v>
      </c>
      <c r="H3458">
        <v>1</v>
      </c>
      <c r="I3458">
        <v>19</v>
      </c>
      <c r="J3458">
        <v>0</v>
      </c>
      <c r="K3458" t="str">
        <f t="shared" si="619"/>
        <v>801</v>
      </c>
      <c r="L3458">
        <v>15.96</v>
      </c>
    </row>
    <row r="3459" spans="1:12" x14ac:dyDescent="0.25">
      <c r="A3459" t="str">
        <f t="shared" si="620"/>
        <v>89301000</v>
      </c>
      <c r="B3459" t="str">
        <f t="shared" si="616"/>
        <v>95202000</v>
      </c>
      <c r="C3459" t="str">
        <f t="shared" si="617"/>
        <v>95202096</v>
      </c>
      <c r="D3459">
        <v>89301167</v>
      </c>
      <c r="E3459" t="str">
        <f t="shared" si="618"/>
        <v>5707200807</v>
      </c>
      <c r="F3459" s="1">
        <v>44991</v>
      </c>
      <c r="G3459" t="str">
        <f>"81435"</f>
        <v>81435</v>
      </c>
      <c r="H3459">
        <v>1</v>
      </c>
      <c r="I3459">
        <v>22</v>
      </c>
      <c r="J3459">
        <v>0</v>
      </c>
      <c r="K3459" t="str">
        <f t="shared" si="619"/>
        <v>801</v>
      </c>
      <c r="L3459">
        <v>18.48</v>
      </c>
    </row>
    <row r="3460" spans="1:12" x14ac:dyDescent="0.25">
      <c r="A3460" t="str">
        <f t="shared" si="620"/>
        <v>89301000</v>
      </c>
      <c r="B3460" t="str">
        <f t="shared" si="616"/>
        <v>95202000</v>
      </c>
      <c r="C3460" t="str">
        <f t="shared" si="617"/>
        <v>95202096</v>
      </c>
      <c r="D3460">
        <v>89301167</v>
      </c>
      <c r="E3460" t="str">
        <f t="shared" si="618"/>
        <v>5707200807</v>
      </c>
      <c r="F3460" s="1">
        <v>44991</v>
      </c>
      <c r="G3460" t="str">
        <f>"81439"</f>
        <v>81439</v>
      </c>
      <c r="H3460">
        <v>1</v>
      </c>
      <c r="I3460">
        <v>16</v>
      </c>
      <c r="J3460">
        <v>0</v>
      </c>
      <c r="K3460" t="str">
        <f t="shared" si="619"/>
        <v>801</v>
      </c>
      <c r="L3460">
        <v>13.44</v>
      </c>
    </row>
    <row r="3461" spans="1:12" x14ac:dyDescent="0.25">
      <c r="A3461" t="str">
        <f t="shared" si="620"/>
        <v>89301000</v>
      </c>
      <c r="B3461" t="str">
        <f t="shared" si="616"/>
        <v>95202000</v>
      </c>
      <c r="C3461" t="str">
        <f t="shared" si="617"/>
        <v>95202096</v>
      </c>
      <c r="D3461">
        <v>89301167</v>
      </c>
      <c r="E3461" t="str">
        <f t="shared" si="618"/>
        <v>5707200807</v>
      </c>
      <c r="F3461" s="1">
        <v>44991</v>
      </c>
      <c r="G3461" t="str">
        <f>"81469"</f>
        <v>81469</v>
      </c>
      <c r="H3461">
        <v>1</v>
      </c>
      <c r="I3461">
        <v>16</v>
      </c>
      <c r="J3461">
        <v>0</v>
      </c>
      <c r="K3461" t="str">
        <f t="shared" si="619"/>
        <v>801</v>
      </c>
      <c r="L3461">
        <v>13.44</v>
      </c>
    </row>
    <row r="3462" spans="1:12" x14ac:dyDescent="0.25">
      <c r="A3462" t="str">
        <f t="shared" si="620"/>
        <v>89301000</v>
      </c>
      <c r="B3462" t="str">
        <f t="shared" si="616"/>
        <v>95202000</v>
      </c>
      <c r="C3462" t="str">
        <f t="shared" si="617"/>
        <v>95202096</v>
      </c>
      <c r="D3462">
        <v>89301167</v>
      </c>
      <c r="E3462" t="str">
        <f t="shared" si="618"/>
        <v>5707200807</v>
      </c>
      <c r="F3462" s="1">
        <v>44991</v>
      </c>
      <c r="G3462" t="str">
        <f>"81499"</f>
        <v>81499</v>
      </c>
      <c r="H3462">
        <v>1</v>
      </c>
      <c r="I3462">
        <v>18</v>
      </c>
      <c r="J3462">
        <v>0</v>
      </c>
      <c r="K3462" t="str">
        <f t="shared" si="619"/>
        <v>801</v>
      </c>
      <c r="L3462">
        <v>15.12</v>
      </c>
    </row>
    <row r="3463" spans="1:12" x14ac:dyDescent="0.25">
      <c r="A3463" t="str">
        <f t="shared" si="620"/>
        <v>89301000</v>
      </c>
      <c r="B3463" t="str">
        <f t="shared" si="616"/>
        <v>95202000</v>
      </c>
      <c r="C3463" t="str">
        <f t="shared" si="617"/>
        <v>95202096</v>
      </c>
      <c r="D3463">
        <v>89301167</v>
      </c>
      <c r="E3463" t="str">
        <f t="shared" si="618"/>
        <v>5707200807</v>
      </c>
      <c r="F3463" s="1">
        <v>44991</v>
      </c>
      <c r="G3463" t="str">
        <f>"81523"</f>
        <v>81523</v>
      </c>
      <c r="H3463">
        <v>1</v>
      </c>
      <c r="I3463">
        <v>23</v>
      </c>
      <c r="J3463">
        <v>0</v>
      </c>
      <c r="K3463" t="str">
        <f t="shared" si="619"/>
        <v>801</v>
      </c>
      <c r="L3463">
        <v>19.32</v>
      </c>
    </row>
    <row r="3464" spans="1:12" x14ac:dyDescent="0.25">
      <c r="A3464" t="str">
        <f t="shared" si="620"/>
        <v>89301000</v>
      </c>
      <c r="B3464" t="str">
        <f t="shared" si="616"/>
        <v>95202000</v>
      </c>
      <c r="C3464" t="str">
        <f t="shared" si="617"/>
        <v>95202096</v>
      </c>
      <c r="D3464">
        <v>89301167</v>
      </c>
      <c r="E3464" t="str">
        <f t="shared" si="618"/>
        <v>5707200807</v>
      </c>
      <c r="F3464" s="1">
        <v>44991</v>
      </c>
      <c r="G3464" t="str">
        <f>"81593"</f>
        <v>81593</v>
      </c>
      <c r="H3464">
        <v>1</v>
      </c>
      <c r="I3464">
        <v>22</v>
      </c>
      <c r="J3464">
        <v>0</v>
      </c>
      <c r="K3464" t="str">
        <f t="shared" si="619"/>
        <v>801</v>
      </c>
      <c r="L3464">
        <v>18.48</v>
      </c>
    </row>
    <row r="3465" spans="1:12" x14ac:dyDescent="0.25">
      <c r="A3465" t="str">
        <f t="shared" si="620"/>
        <v>89301000</v>
      </c>
      <c r="B3465" t="str">
        <f t="shared" si="616"/>
        <v>95202000</v>
      </c>
      <c r="C3465" t="str">
        <f t="shared" si="617"/>
        <v>95202096</v>
      </c>
      <c r="D3465">
        <v>89301167</v>
      </c>
      <c r="E3465" t="str">
        <f t="shared" si="618"/>
        <v>5707200807</v>
      </c>
      <c r="F3465" s="1">
        <v>44991</v>
      </c>
      <c r="G3465" t="str">
        <f>"81621"</f>
        <v>81621</v>
      </c>
      <c r="H3465">
        <v>1</v>
      </c>
      <c r="I3465">
        <v>19</v>
      </c>
      <c r="J3465">
        <v>0</v>
      </c>
      <c r="K3465" t="str">
        <f t="shared" si="619"/>
        <v>801</v>
      </c>
      <c r="L3465">
        <v>15.96</v>
      </c>
    </row>
    <row r="3466" spans="1:12" x14ac:dyDescent="0.25">
      <c r="A3466" t="str">
        <f t="shared" si="620"/>
        <v>89301000</v>
      </c>
      <c r="B3466" t="str">
        <f t="shared" si="616"/>
        <v>95202000</v>
      </c>
      <c r="C3466" t="str">
        <f t="shared" si="617"/>
        <v>95202096</v>
      </c>
      <c r="D3466">
        <v>89301167</v>
      </c>
      <c r="E3466" t="str">
        <f t="shared" si="618"/>
        <v>5707200807</v>
      </c>
      <c r="F3466" s="1">
        <v>44991</v>
      </c>
      <c r="G3466" t="str">
        <f>"81625"</f>
        <v>81625</v>
      </c>
      <c r="H3466">
        <v>1</v>
      </c>
      <c r="I3466">
        <v>21</v>
      </c>
      <c r="J3466">
        <v>0</v>
      </c>
      <c r="K3466" t="str">
        <f t="shared" si="619"/>
        <v>801</v>
      </c>
      <c r="L3466">
        <v>17.64</v>
      </c>
    </row>
    <row r="3467" spans="1:12" x14ac:dyDescent="0.25">
      <c r="A3467" t="str">
        <f t="shared" si="620"/>
        <v>89301000</v>
      </c>
      <c r="B3467" t="str">
        <f t="shared" si="616"/>
        <v>95202000</v>
      </c>
      <c r="C3467" t="str">
        <f t="shared" si="617"/>
        <v>95202096</v>
      </c>
      <c r="D3467">
        <v>89301167</v>
      </c>
      <c r="E3467" t="str">
        <f t="shared" si="618"/>
        <v>5707200807</v>
      </c>
      <c r="F3467" s="1">
        <v>44991</v>
      </c>
      <c r="G3467" t="str">
        <f>"97111"</f>
        <v>97111</v>
      </c>
      <c r="H3467">
        <v>1</v>
      </c>
      <c r="I3467">
        <v>19</v>
      </c>
      <c r="J3467">
        <v>0</v>
      </c>
      <c r="K3467" t="str">
        <f t="shared" si="619"/>
        <v>801</v>
      </c>
      <c r="L3467">
        <v>23.94</v>
      </c>
    </row>
    <row r="3468" spans="1:12" x14ac:dyDescent="0.25">
      <c r="A3468" t="str">
        <f t="shared" si="620"/>
        <v>89301000</v>
      </c>
      <c r="B3468" t="str">
        <f t="shared" si="616"/>
        <v>95202000</v>
      </c>
      <c r="C3468" t="str">
        <f>"95202818"</f>
        <v>95202818</v>
      </c>
      <c r="D3468">
        <v>89301167</v>
      </c>
      <c r="E3468" t="str">
        <f t="shared" si="618"/>
        <v>5707200807</v>
      </c>
      <c r="F3468" s="1">
        <v>44998</v>
      </c>
      <c r="G3468" t="str">
        <f>"96167"</f>
        <v>96167</v>
      </c>
      <c r="H3468">
        <v>1</v>
      </c>
      <c r="I3468">
        <v>67</v>
      </c>
      <c r="J3468">
        <v>0</v>
      </c>
      <c r="K3468" t="str">
        <f>"818"</f>
        <v>818</v>
      </c>
      <c r="L3468">
        <v>64.989999999999995</v>
      </c>
    </row>
    <row r="3469" spans="1:12" x14ac:dyDescent="0.25">
      <c r="A3469" t="str">
        <f t="shared" si="620"/>
        <v>89301000</v>
      </c>
      <c r="B3469" t="str">
        <f t="shared" si="616"/>
        <v>95202000</v>
      </c>
      <c r="C3469" t="str">
        <f>"95202818"</f>
        <v>95202818</v>
      </c>
      <c r="D3469">
        <v>89301167</v>
      </c>
      <c r="E3469" t="str">
        <f t="shared" si="618"/>
        <v>5707200807</v>
      </c>
      <c r="F3469" s="1">
        <v>44991</v>
      </c>
      <c r="G3469" t="str">
        <f>"96167"</f>
        <v>96167</v>
      </c>
      <c r="H3469">
        <v>1</v>
      </c>
      <c r="I3469">
        <v>67</v>
      </c>
      <c r="J3469">
        <v>0</v>
      </c>
      <c r="K3469" t="str">
        <f>"818"</f>
        <v>818</v>
      </c>
      <c r="L3469">
        <v>64.989999999999995</v>
      </c>
    </row>
    <row r="3470" spans="1:12" x14ac:dyDescent="0.25">
      <c r="A3470" t="str">
        <f t="shared" si="620"/>
        <v>89301000</v>
      </c>
      <c r="B3470" t="str">
        <f t="shared" si="616"/>
        <v>95202000</v>
      </c>
      <c r="C3470" t="str">
        <f>"95202818"</f>
        <v>95202818</v>
      </c>
      <c r="D3470">
        <v>89301167</v>
      </c>
      <c r="E3470" t="str">
        <f t="shared" si="618"/>
        <v>5707200807</v>
      </c>
      <c r="F3470" s="1">
        <v>44991</v>
      </c>
      <c r="G3470" t="str">
        <f>"96315"</f>
        <v>96315</v>
      </c>
      <c r="H3470">
        <v>1</v>
      </c>
      <c r="I3470">
        <v>30</v>
      </c>
      <c r="J3470">
        <v>0</v>
      </c>
      <c r="K3470" t="str">
        <f>"818"</f>
        <v>818</v>
      </c>
      <c r="L3470">
        <v>29.1</v>
      </c>
    </row>
    <row r="3471" spans="1:12" x14ac:dyDescent="0.25">
      <c r="A3471" t="str">
        <f t="shared" si="620"/>
        <v>89301000</v>
      </c>
      <c r="B3471" t="str">
        <f t="shared" si="616"/>
        <v>95202000</v>
      </c>
      <c r="C3471" t="str">
        <f>"95202818"</f>
        <v>95202818</v>
      </c>
      <c r="D3471">
        <v>89301167</v>
      </c>
      <c r="E3471" t="str">
        <f t="shared" si="618"/>
        <v>5707200807</v>
      </c>
      <c r="F3471" s="1">
        <v>44991</v>
      </c>
      <c r="G3471" t="str">
        <f>"96711"</f>
        <v>96711</v>
      </c>
      <c r="H3471">
        <v>1</v>
      </c>
      <c r="I3471">
        <v>28</v>
      </c>
      <c r="J3471">
        <v>0</v>
      </c>
      <c r="K3471" t="str">
        <f>"818"</f>
        <v>818</v>
      </c>
      <c r="L3471">
        <v>27.16</v>
      </c>
    </row>
    <row r="3472" spans="1:12" x14ac:dyDescent="0.25">
      <c r="A3472" t="str">
        <f t="shared" si="620"/>
        <v>89301000</v>
      </c>
      <c r="B3472" t="str">
        <f t="shared" si="616"/>
        <v>95202000</v>
      </c>
      <c r="C3472" t="str">
        <f>"95202818"</f>
        <v>95202818</v>
      </c>
      <c r="D3472">
        <v>89301167</v>
      </c>
      <c r="E3472" t="str">
        <f t="shared" si="618"/>
        <v>5707200807</v>
      </c>
      <c r="F3472" s="1">
        <v>44991</v>
      </c>
      <c r="G3472" t="str">
        <f>"96713"</f>
        <v>96713</v>
      </c>
      <c r="H3472">
        <v>1</v>
      </c>
      <c r="I3472">
        <v>14</v>
      </c>
      <c r="J3472">
        <v>0</v>
      </c>
      <c r="K3472" t="str">
        <f>"818"</f>
        <v>818</v>
      </c>
      <c r="L3472">
        <v>13.58</v>
      </c>
    </row>
    <row r="3473" spans="1:12" x14ac:dyDescent="0.25">
      <c r="A3473" t="str">
        <f t="shared" si="620"/>
        <v>89301000</v>
      </c>
      <c r="B3473" t="str">
        <f t="shared" si="616"/>
        <v>95202000</v>
      </c>
      <c r="C3473" t="str">
        <f>"95202511"</f>
        <v>95202511</v>
      </c>
      <c r="D3473">
        <v>89301212</v>
      </c>
      <c r="E3473" t="str">
        <f>"5552081040"</f>
        <v>5552081040</v>
      </c>
      <c r="F3473" s="1">
        <v>45014</v>
      </c>
      <c r="G3473" t="str">
        <f>"89513"</f>
        <v>89513</v>
      </c>
      <c r="H3473">
        <v>1</v>
      </c>
      <c r="I3473">
        <v>378</v>
      </c>
      <c r="J3473">
        <v>0</v>
      </c>
      <c r="K3473" t="str">
        <f>"809"</f>
        <v>809</v>
      </c>
      <c r="L3473">
        <v>555.66</v>
      </c>
    </row>
    <row r="3474" spans="1:12" x14ac:dyDescent="0.25">
      <c r="A3474" t="str">
        <f t="shared" si="620"/>
        <v>89301000</v>
      </c>
      <c r="B3474" t="str">
        <f t="shared" si="616"/>
        <v>95202000</v>
      </c>
      <c r="C3474" t="str">
        <f>"95202511"</f>
        <v>95202511</v>
      </c>
      <c r="D3474">
        <v>89301212</v>
      </c>
      <c r="E3474" t="str">
        <f>"5552081040"</f>
        <v>5552081040</v>
      </c>
      <c r="F3474" s="1">
        <v>45014</v>
      </c>
      <c r="G3474" t="str">
        <f>"89514"</f>
        <v>89514</v>
      </c>
      <c r="H3474">
        <v>1</v>
      </c>
      <c r="I3474">
        <v>378</v>
      </c>
      <c r="J3474">
        <v>0</v>
      </c>
      <c r="K3474" t="str">
        <f>"809"</f>
        <v>809</v>
      </c>
      <c r="L3474">
        <v>555.66</v>
      </c>
    </row>
    <row r="3475" spans="1:12" x14ac:dyDescent="0.25">
      <c r="A3475" t="str">
        <f t="shared" si="620"/>
        <v>89301000</v>
      </c>
      <c r="B3475" t="str">
        <f t="shared" ref="B3475:B3480" si="621">"86102000"</f>
        <v>86102000</v>
      </c>
      <c r="C3475" t="str">
        <f t="shared" ref="C3475:C3480" si="622">"86102476"</f>
        <v>86102476</v>
      </c>
      <c r="D3475">
        <v>89301082</v>
      </c>
      <c r="E3475" t="str">
        <f>"8252224948"</f>
        <v>8252224948</v>
      </c>
      <c r="F3475" s="1">
        <v>45005</v>
      </c>
      <c r="G3475" t="str">
        <f>"09119"</f>
        <v>09119</v>
      </c>
      <c r="H3475">
        <v>1</v>
      </c>
      <c r="I3475">
        <v>43</v>
      </c>
      <c r="J3475">
        <v>0</v>
      </c>
      <c r="K3475" t="str">
        <f t="shared" ref="K3475:K3480" si="623">"801"</f>
        <v>801</v>
      </c>
      <c r="L3475">
        <v>54.18</v>
      </c>
    </row>
    <row r="3476" spans="1:12" x14ac:dyDescent="0.25">
      <c r="A3476" t="str">
        <f t="shared" si="620"/>
        <v>89301000</v>
      </c>
      <c r="B3476" t="str">
        <f t="shared" si="621"/>
        <v>86102000</v>
      </c>
      <c r="C3476" t="str">
        <f t="shared" si="622"/>
        <v>86102476</v>
      </c>
      <c r="D3476">
        <v>89301082</v>
      </c>
      <c r="E3476" t="str">
        <f>"8252224948"</f>
        <v>8252224948</v>
      </c>
      <c r="F3476" s="1">
        <v>45005</v>
      </c>
      <c r="G3476" t="str">
        <f>"93159"</f>
        <v>93159</v>
      </c>
      <c r="H3476">
        <v>1</v>
      </c>
      <c r="I3476">
        <v>197</v>
      </c>
      <c r="J3476">
        <v>0</v>
      </c>
      <c r="K3476" t="str">
        <f t="shared" si="623"/>
        <v>801</v>
      </c>
      <c r="L3476">
        <v>165.48</v>
      </c>
    </row>
    <row r="3477" spans="1:12" x14ac:dyDescent="0.25">
      <c r="A3477" t="str">
        <f t="shared" si="620"/>
        <v>89301000</v>
      </c>
      <c r="B3477" t="str">
        <f t="shared" si="621"/>
        <v>86102000</v>
      </c>
      <c r="C3477" t="str">
        <f t="shared" si="622"/>
        <v>86102476</v>
      </c>
      <c r="D3477">
        <v>89301082</v>
      </c>
      <c r="E3477" t="str">
        <f>"8252224948"</f>
        <v>8252224948</v>
      </c>
      <c r="F3477" s="1">
        <v>45005</v>
      </c>
      <c r="G3477" t="str">
        <f>"97111"</f>
        <v>97111</v>
      </c>
      <c r="H3477">
        <v>1</v>
      </c>
      <c r="I3477">
        <v>19</v>
      </c>
      <c r="J3477">
        <v>0</v>
      </c>
      <c r="K3477" t="str">
        <f t="shared" si="623"/>
        <v>801</v>
      </c>
      <c r="L3477">
        <v>23.94</v>
      </c>
    </row>
    <row r="3478" spans="1:12" x14ac:dyDescent="0.25">
      <c r="A3478" t="str">
        <f t="shared" si="620"/>
        <v>89301000</v>
      </c>
      <c r="B3478" t="str">
        <f t="shared" si="621"/>
        <v>86102000</v>
      </c>
      <c r="C3478" t="str">
        <f t="shared" si="622"/>
        <v>86102476</v>
      </c>
      <c r="D3478">
        <v>89301082</v>
      </c>
      <c r="E3478" t="str">
        <f>"9662195411"</f>
        <v>9662195411</v>
      </c>
      <c r="F3478" s="1">
        <v>45000</v>
      </c>
      <c r="G3478" t="str">
        <f>"09119"</f>
        <v>09119</v>
      </c>
      <c r="H3478">
        <v>1</v>
      </c>
      <c r="I3478">
        <v>43</v>
      </c>
      <c r="J3478">
        <v>0</v>
      </c>
      <c r="K3478" t="str">
        <f t="shared" si="623"/>
        <v>801</v>
      </c>
      <c r="L3478">
        <v>54.18</v>
      </c>
    </row>
    <row r="3479" spans="1:12" x14ac:dyDescent="0.25">
      <c r="A3479" t="str">
        <f t="shared" si="620"/>
        <v>89301000</v>
      </c>
      <c r="B3479" t="str">
        <f t="shared" si="621"/>
        <v>86102000</v>
      </c>
      <c r="C3479" t="str">
        <f t="shared" si="622"/>
        <v>86102476</v>
      </c>
      <c r="D3479">
        <v>89301082</v>
      </c>
      <c r="E3479" t="str">
        <f>"9662195411"</f>
        <v>9662195411</v>
      </c>
      <c r="F3479" s="1">
        <v>45000</v>
      </c>
      <c r="G3479" t="str">
        <f>"93159"</f>
        <v>93159</v>
      </c>
      <c r="H3479">
        <v>1</v>
      </c>
      <c r="I3479">
        <v>197</v>
      </c>
      <c r="J3479">
        <v>0</v>
      </c>
      <c r="K3479" t="str">
        <f t="shared" si="623"/>
        <v>801</v>
      </c>
      <c r="L3479">
        <v>165.48</v>
      </c>
    </row>
    <row r="3480" spans="1:12" x14ac:dyDescent="0.25">
      <c r="A3480" t="str">
        <f t="shared" si="620"/>
        <v>89301000</v>
      </c>
      <c r="B3480" t="str">
        <f t="shared" si="621"/>
        <v>86102000</v>
      </c>
      <c r="C3480" t="str">
        <f t="shared" si="622"/>
        <v>86102476</v>
      </c>
      <c r="D3480">
        <v>89301082</v>
      </c>
      <c r="E3480" t="str">
        <f>"9662195411"</f>
        <v>9662195411</v>
      </c>
      <c r="F3480" s="1">
        <v>45000</v>
      </c>
      <c r="G3480" t="str">
        <f>"97111"</f>
        <v>97111</v>
      </c>
      <c r="H3480">
        <v>1</v>
      </c>
      <c r="I3480">
        <v>19</v>
      </c>
      <c r="J3480">
        <v>0</v>
      </c>
      <c r="K3480" t="str">
        <f t="shared" si="623"/>
        <v>801</v>
      </c>
      <c r="L3480">
        <v>23.94</v>
      </c>
    </row>
    <row r="3481" spans="1:12" x14ac:dyDescent="0.25">
      <c r="A3481" t="str">
        <f t="shared" si="620"/>
        <v>89301000</v>
      </c>
      <c r="B3481" t="str">
        <f t="shared" ref="B3481:B3513" si="624">"91009000"</f>
        <v>91009000</v>
      </c>
      <c r="C3481" t="str">
        <f t="shared" ref="C3481:C3500" si="625">"91009522"</f>
        <v>91009522</v>
      </c>
      <c r="D3481">
        <v>89301282</v>
      </c>
      <c r="E3481" t="str">
        <f>"485310449"</f>
        <v>485310449</v>
      </c>
      <c r="F3481" s="1">
        <v>45010</v>
      </c>
      <c r="G3481" t="str">
        <f>"94345"</f>
        <v>94345</v>
      </c>
      <c r="H3481">
        <v>1</v>
      </c>
      <c r="I3481">
        <v>4662</v>
      </c>
      <c r="J3481">
        <v>0</v>
      </c>
      <c r="K3481" t="str">
        <f t="shared" ref="K3481:K3500" si="626">"816"</f>
        <v>816</v>
      </c>
      <c r="L3481">
        <v>4195.8</v>
      </c>
    </row>
    <row r="3482" spans="1:12" x14ac:dyDescent="0.25">
      <c r="A3482" t="str">
        <f t="shared" si="620"/>
        <v>89301000</v>
      </c>
      <c r="B3482" t="str">
        <f t="shared" si="624"/>
        <v>91009000</v>
      </c>
      <c r="C3482" t="str">
        <f t="shared" si="625"/>
        <v>91009522</v>
      </c>
      <c r="D3482">
        <v>89301282</v>
      </c>
      <c r="E3482" t="str">
        <f>"485310449"</f>
        <v>485310449</v>
      </c>
      <c r="F3482" s="1">
        <v>45010</v>
      </c>
      <c r="G3482" t="str">
        <f>"94948"</f>
        <v>94948</v>
      </c>
      <c r="H3482">
        <v>1</v>
      </c>
      <c r="I3482">
        <v>0</v>
      </c>
      <c r="J3482">
        <v>0</v>
      </c>
      <c r="K3482" t="str">
        <f t="shared" si="626"/>
        <v>816</v>
      </c>
      <c r="L3482">
        <v>0</v>
      </c>
    </row>
    <row r="3483" spans="1:12" x14ac:dyDescent="0.25">
      <c r="A3483" t="str">
        <f t="shared" si="620"/>
        <v>89301000</v>
      </c>
      <c r="B3483" t="str">
        <f t="shared" si="624"/>
        <v>91009000</v>
      </c>
      <c r="C3483" t="str">
        <f t="shared" si="625"/>
        <v>91009522</v>
      </c>
      <c r="D3483">
        <v>89301282</v>
      </c>
      <c r="E3483" t="str">
        <f>"0505086065"</f>
        <v>0505086065</v>
      </c>
      <c r="F3483" s="1">
        <v>44990</v>
      </c>
      <c r="G3483" t="str">
        <f>"94948"</f>
        <v>94948</v>
      </c>
      <c r="H3483">
        <v>2</v>
      </c>
      <c r="I3483">
        <v>0</v>
      </c>
      <c r="J3483">
        <v>0</v>
      </c>
      <c r="K3483" t="str">
        <f t="shared" si="626"/>
        <v>816</v>
      </c>
      <c r="L3483">
        <v>0</v>
      </c>
    </row>
    <row r="3484" spans="1:12" x14ac:dyDescent="0.25">
      <c r="A3484" t="str">
        <f t="shared" si="620"/>
        <v>89301000</v>
      </c>
      <c r="B3484" t="str">
        <f t="shared" si="624"/>
        <v>91009000</v>
      </c>
      <c r="C3484" t="str">
        <f t="shared" si="625"/>
        <v>91009522</v>
      </c>
      <c r="D3484">
        <v>89301282</v>
      </c>
      <c r="E3484" t="str">
        <f>"0505086065"</f>
        <v>0505086065</v>
      </c>
      <c r="F3484" s="1">
        <v>44990</v>
      </c>
      <c r="G3484" t="str">
        <f>"94982"</f>
        <v>94982</v>
      </c>
      <c r="H3484">
        <v>1</v>
      </c>
      <c r="I3484">
        <v>0</v>
      </c>
      <c r="J3484">
        <v>27500</v>
      </c>
      <c r="K3484" t="str">
        <f t="shared" si="626"/>
        <v>816</v>
      </c>
      <c r="L3484">
        <v>27500</v>
      </c>
    </row>
    <row r="3485" spans="1:12" x14ac:dyDescent="0.25">
      <c r="A3485" t="str">
        <f t="shared" si="620"/>
        <v>89301000</v>
      </c>
      <c r="B3485" t="str">
        <f t="shared" si="624"/>
        <v>91009000</v>
      </c>
      <c r="C3485" t="str">
        <f t="shared" si="625"/>
        <v>91009522</v>
      </c>
      <c r="D3485">
        <v>89301282</v>
      </c>
      <c r="E3485" t="str">
        <f>"0505086065"</f>
        <v>0505086065</v>
      </c>
      <c r="F3485" s="1">
        <v>44990</v>
      </c>
      <c r="G3485" t="str">
        <f>"94996"</f>
        <v>94996</v>
      </c>
      <c r="H3485">
        <v>1</v>
      </c>
      <c r="I3485">
        <v>0</v>
      </c>
      <c r="J3485">
        <v>0</v>
      </c>
      <c r="K3485" t="str">
        <f t="shared" si="626"/>
        <v>816</v>
      </c>
      <c r="L3485">
        <v>0</v>
      </c>
    </row>
    <row r="3486" spans="1:12" x14ac:dyDescent="0.25">
      <c r="A3486" t="str">
        <f t="shared" si="620"/>
        <v>89301000</v>
      </c>
      <c r="B3486" t="str">
        <f t="shared" si="624"/>
        <v>91009000</v>
      </c>
      <c r="C3486" t="str">
        <f t="shared" si="625"/>
        <v>91009522</v>
      </c>
      <c r="D3486">
        <v>89301282</v>
      </c>
      <c r="E3486" t="str">
        <f>"7809065341"</f>
        <v>7809065341</v>
      </c>
      <c r="F3486" s="1">
        <v>45016</v>
      </c>
      <c r="G3486" t="str">
        <f>"94948"</f>
        <v>94948</v>
      </c>
      <c r="H3486">
        <v>2</v>
      </c>
      <c r="I3486">
        <v>0</v>
      </c>
      <c r="J3486">
        <v>0</v>
      </c>
      <c r="K3486" t="str">
        <f t="shared" si="626"/>
        <v>816</v>
      </c>
      <c r="L3486">
        <v>0</v>
      </c>
    </row>
    <row r="3487" spans="1:12" x14ac:dyDescent="0.25">
      <c r="A3487" t="str">
        <f t="shared" si="620"/>
        <v>89301000</v>
      </c>
      <c r="B3487" t="str">
        <f t="shared" si="624"/>
        <v>91009000</v>
      </c>
      <c r="C3487" t="str">
        <f t="shared" si="625"/>
        <v>91009522</v>
      </c>
      <c r="D3487">
        <v>89301282</v>
      </c>
      <c r="E3487" t="str">
        <f>"7809065341"</f>
        <v>7809065341</v>
      </c>
      <c r="F3487" s="1">
        <v>45016</v>
      </c>
      <c r="G3487" t="str">
        <f>"94982"</f>
        <v>94982</v>
      </c>
      <c r="H3487">
        <v>1</v>
      </c>
      <c r="I3487">
        <v>0</v>
      </c>
      <c r="J3487">
        <v>27500</v>
      </c>
      <c r="K3487" t="str">
        <f t="shared" si="626"/>
        <v>816</v>
      </c>
      <c r="L3487">
        <v>27500</v>
      </c>
    </row>
    <row r="3488" spans="1:12" x14ac:dyDescent="0.25">
      <c r="A3488" t="str">
        <f t="shared" si="620"/>
        <v>89301000</v>
      </c>
      <c r="B3488" t="str">
        <f t="shared" si="624"/>
        <v>91009000</v>
      </c>
      <c r="C3488" t="str">
        <f t="shared" si="625"/>
        <v>91009522</v>
      </c>
      <c r="D3488">
        <v>89301282</v>
      </c>
      <c r="E3488" t="str">
        <f>"7809065341"</f>
        <v>7809065341</v>
      </c>
      <c r="F3488" s="1">
        <v>45016</v>
      </c>
      <c r="G3488" t="str">
        <f>"94996"</f>
        <v>94996</v>
      </c>
      <c r="H3488">
        <v>1</v>
      </c>
      <c r="I3488">
        <v>0</v>
      </c>
      <c r="J3488">
        <v>0</v>
      </c>
      <c r="K3488" t="str">
        <f t="shared" si="626"/>
        <v>816</v>
      </c>
      <c r="L3488">
        <v>0</v>
      </c>
    </row>
    <row r="3489" spans="1:12" x14ac:dyDescent="0.25">
      <c r="A3489" t="str">
        <f t="shared" si="620"/>
        <v>89301000</v>
      </c>
      <c r="B3489" t="str">
        <f t="shared" si="624"/>
        <v>91009000</v>
      </c>
      <c r="C3489" t="str">
        <f t="shared" si="625"/>
        <v>91009522</v>
      </c>
      <c r="D3489">
        <v>89301282</v>
      </c>
      <c r="E3489" t="str">
        <f>"2005230634"</f>
        <v>2005230634</v>
      </c>
      <c r="F3489" s="1">
        <v>45000</v>
      </c>
      <c r="G3489" t="str">
        <f>"94948"</f>
        <v>94948</v>
      </c>
      <c r="H3489">
        <v>2</v>
      </c>
      <c r="I3489">
        <v>0</v>
      </c>
      <c r="J3489">
        <v>0</v>
      </c>
      <c r="K3489" t="str">
        <f t="shared" si="626"/>
        <v>816</v>
      </c>
      <c r="L3489">
        <v>0</v>
      </c>
    </row>
    <row r="3490" spans="1:12" x14ac:dyDescent="0.25">
      <c r="A3490" t="str">
        <f t="shared" si="620"/>
        <v>89301000</v>
      </c>
      <c r="B3490" t="str">
        <f t="shared" si="624"/>
        <v>91009000</v>
      </c>
      <c r="C3490" t="str">
        <f t="shared" si="625"/>
        <v>91009522</v>
      </c>
      <c r="D3490">
        <v>89301282</v>
      </c>
      <c r="E3490" t="str">
        <f>"2005230634"</f>
        <v>2005230634</v>
      </c>
      <c r="F3490" s="1">
        <v>45000</v>
      </c>
      <c r="G3490" t="str">
        <f>"94982"</f>
        <v>94982</v>
      </c>
      <c r="H3490">
        <v>1</v>
      </c>
      <c r="I3490">
        <v>0</v>
      </c>
      <c r="J3490">
        <v>27500</v>
      </c>
      <c r="K3490" t="str">
        <f t="shared" si="626"/>
        <v>816</v>
      </c>
      <c r="L3490">
        <v>27500</v>
      </c>
    </row>
    <row r="3491" spans="1:12" x14ac:dyDescent="0.25">
      <c r="A3491" t="str">
        <f t="shared" si="620"/>
        <v>89301000</v>
      </c>
      <c r="B3491" t="str">
        <f t="shared" si="624"/>
        <v>91009000</v>
      </c>
      <c r="C3491" t="str">
        <f t="shared" si="625"/>
        <v>91009522</v>
      </c>
      <c r="D3491">
        <v>89301282</v>
      </c>
      <c r="E3491" t="str">
        <f>"2005230634"</f>
        <v>2005230634</v>
      </c>
      <c r="F3491" s="1">
        <v>45000</v>
      </c>
      <c r="G3491" t="str">
        <f>"94996"</f>
        <v>94996</v>
      </c>
      <c r="H3491">
        <v>1</v>
      </c>
      <c r="I3491">
        <v>0</v>
      </c>
      <c r="J3491">
        <v>0</v>
      </c>
      <c r="K3491" t="str">
        <f t="shared" si="626"/>
        <v>816</v>
      </c>
      <c r="L3491">
        <v>0</v>
      </c>
    </row>
    <row r="3492" spans="1:12" x14ac:dyDescent="0.25">
      <c r="A3492" t="str">
        <f t="shared" si="620"/>
        <v>89301000</v>
      </c>
      <c r="B3492" t="str">
        <f t="shared" si="624"/>
        <v>91009000</v>
      </c>
      <c r="C3492" t="str">
        <f t="shared" si="625"/>
        <v>91009522</v>
      </c>
      <c r="D3492">
        <v>89301282</v>
      </c>
      <c r="E3492" t="str">
        <f>"0959251414"</f>
        <v>0959251414</v>
      </c>
      <c r="F3492" s="1">
        <v>45016</v>
      </c>
      <c r="G3492" t="str">
        <f>"94948"</f>
        <v>94948</v>
      </c>
      <c r="H3492">
        <v>2</v>
      </c>
      <c r="I3492">
        <v>0</v>
      </c>
      <c r="J3492">
        <v>0</v>
      </c>
      <c r="K3492" t="str">
        <f t="shared" si="626"/>
        <v>816</v>
      </c>
      <c r="L3492">
        <v>0</v>
      </c>
    </row>
    <row r="3493" spans="1:12" x14ac:dyDescent="0.25">
      <c r="A3493" t="str">
        <f t="shared" si="620"/>
        <v>89301000</v>
      </c>
      <c r="B3493" t="str">
        <f t="shared" si="624"/>
        <v>91009000</v>
      </c>
      <c r="C3493" t="str">
        <f t="shared" si="625"/>
        <v>91009522</v>
      </c>
      <c r="D3493">
        <v>89301282</v>
      </c>
      <c r="E3493" t="str">
        <f>"0959251414"</f>
        <v>0959251414</v>
      </c>
      <c r="F3493" s="1">
        <v>45016</v>
      </c>
      <c r="G3493" t="str">
        <f>"94982"</f>
        <v>94982</v>
      </c>
      <c r="H3493">
        <v>1</v>
      </c>
      <c r="I3493">
        <v>0</v>
      </c>
      <c r="J3493">
        <v>27500</v>
      </c>
      <c r="K3493" t="str">
        <f t="shared" si="626"/>
        <v>816</v>
      </c>
      <c r="L3493">
        <v>27500</v>
      </c>
    </row>
    <row r="3494" spans="1:12" x14ac:dyDescent="0.25">
      <c r="A3494" t="str">
        <f t="shared" si="620"/>
        <v>89301000</v>
      </c>
      <c r="B3494" t="str">
        <f t="shared" si="624"/>
        <v>91009000</v>
      </c>
      <c r="C3494" t="str">
        <f t="shared" si="625"/>
        <v>91009522</v>
      </c>
      <c r="D3494">
        <v>89301282</v>
      </c>
      <c r="E3494" t="str">
        <f>"0959251414"</f>
        <v>0959251414</v>
      </c>
      <c r="F3494" s="1">
        <v>45016</v>
      </c>
      <c r="G3494" t="str">
        <f>"94996"</f>
        <v>94996</v>
      </c>
      <c r="H3494">
        <v>1</v>
      </c>
      <c r="I3494">
        <v>0</v>
      </c>
      <c r="J3494">
        <v>0</v>
      </c>
      <c r="K3494" t="str">
        <f t="shared" si="626"/>
        <v>816</v>
      </c>
      <c r="L3494">
        <v>0</v>
      </c>
    </row>
    <row r="3495" spans="1:12" x14ac:dyDescent="0.25">
      <c r="A3495" t="str">
        <f t="shared" si="620"/>
        <v>89301000</v>
      </c>
      <c r="B3495" t="str">
        <f t="shared" si="624"/>
        <v>91009000</v>
      </c>
      <c r="C3495" t="str">
        <f t="shared" si="625"/>
        <v>91009522</v>
      </c>
      <c r="D3495">
        <v>89301282</v>
      </c>
      <c r="E3495" t="str">
        <f>"5458094015"</f>
        <v>5458094015</v>
      </c>
      <c r="F3495" s="1">
        <v>44990</v>
      </c>
      <c r="G3495" t="str">
        <f>"94948"</f>
        <v>94948</v>
      </c>
      <c r="H3495">
        <v>2</v>
      </c>
      <c r="I3495">
        <v>0</v>
      </c>
      <c r="J3495">
        <v>0</v>
      </c>
      <c r="K3495" t="str">
        <f t="shared" si="626"/>
        <v>816</v>
      </c>
      <c r="L3495">
        <v>0</v>
      </c>
    </row>
    <row r="3496" spans="1:12" x14ac:dyDescent="0.25">
      <c r="A3496" t="str">
        <f t="shared" si="620"/>
        <v>89301000</v>
      </c>
      <c r="B3496" t="str">
        <f t="shared" si="624"/>
        <v>91009000</v>
      </c>
      <c r="C3496" t="str">
        <f t="shared" si="625"/>
        <v>91009522</v>
      </c>
      <c r="D3496">
        <v>89301282</v>
      </c>
      <c r="E3496" t="str">
        <f>"5458094015"</f>
        <v>5458094015</v>
      </c>
      <c r="F3496" s="1">
        <v>44990</v>
      </c>
      <c r="G3496" t="str">
        <f>"94982"</f>
        <v>94982</v>
      </c>
      <c r="H3496">
        <v>1</v>
      </c>
      <c r="I3496">
        <v>0</v>
      </c>
      <c r="J3496">
        <v>27500</v>
      </c>
      <c r="K3496" t="str">
        <f t="shared" si="626"/>
        <v>816</v>
      </c>
      <c r="L3496">
        <v>27500</v>
      </c>
    </row>
    <row r="3497" spans="1:12" x14ac:dyDescent="0.25">
      <c r="A3497" t="str">
        <f t="shared" si="620"/>
        <v>89301000</v>
      </c>
      <c r="B3497" t="str">
        <f t="shared" si="624"/>
        <v>91009000</v>
      </c>
      <c r="C3497" t="str">
        <f t="shared" si="625"/>
        <v>91009522</v>
      </c>
      <c r="D3497">
        <v>89301282</v>
      </c>
      <c r="E3497" t="str">
        <f>"5458094015"</f>
        <v>5458094015</v>
      </c>
      <c r="F3497" s="1">
        <v>44990</v>
      </c>
      <c r="G3497" t="str">
        <f>"94996"</f>
        <v>94996</v>
      </c>
      <c r="H3497">
        <v>1</v>
      </c>
      <c r="I3497">
        <v>0</v>
      </c>
      <c r="J3497">
        <v>0</v>
      </c>
      <c r="K3497" t="str">
        <f t="shared" si="626"/>
        <v>816</v>
      </c>
      <c r="L3497">
        <v>0</v>
      </c>
    </row>
    <row r="3498" spans="1:12" x14ac:dyDescent="0.25">
      <c r="A3498" t="str">
        <f t="shared" si="620"/>
        <v>89301000</v>
      </c>
      <c r="B3498" t="str">
        <f t="shared" si="624"/>
        <v>91009000</v>
      </c>
      <c r="C3498" t="str">
        <f t="shared" si="625"/>
        <v>91009522</v>
      </c>
      <c r="D3498">
        <v>89301282</v>
      </c>
      <c r="E3498" t="str">
        <f>"0362146169"</f>
        <v>0362146169</v>
      </c>
      <c r="F3498" s="1">
        <v>44996</v>
      </c>
      <c r="G3498" t="str">
        <f>"94948"</f>
        <v>94948</v>
      </c>
      <c r="H3498">
        <v>2</v>
      </c>
      <c r="I3498">
        <v>0</v>
      </c>
      <c r="J3498">
        <v>0</v>
      </c>
      <c r="K3498" t="str">
        <f t="shared" si="626"/>
        <v>816</v>
      </c>
      <c r="L3498">
        <v>0</v>
      </c>
    </row>
    <row r="3499" spans="1:12" x14ac:dyDescent="0.25">
      <c r="A3499" t="str">
        <f t="shared" si="620"/>
        <v>89301000</v>
      </c>
      <c r="B3499" t="str">
        <f t="shared" si="624"/>
        <v>91009000</v>
      </c>
      <c r="C3499" t="str">
        <f t="shared" si="625"/>
        <v>91009522</v>
      </c>
      <c r="D3499">
        <v>89301282</v>
      </c>
      <c r="E3499" t="str">
        <f>"0362146169"</f>
        <v>0362146169</v>
      </c>
      <c r="F3499" s="1">
        <v>44996</v>
      </c>
      <c r="G3499" t="str">
        <f>"94982"</f>
        <v>94982</v>
      </c>
      <c r="H3499">
        <v>1</v>
      </c>
      <c r="I3499">
        <v>0</v>
      </c>
      <c r="J3499">
        <v>27500</v>
      </c>
      <c r="K3499" t="str">
        <f t="shared" si="626"/>
        <v>816</v>
      </c>
      <c r="L3499">
        <v>27500</v>
      </c>
    </row>
    <row r="3500" spans="1:12" x14ac:dyDescent="0.25">
      <c r="A3500" t="str">
        <f t="shared" si="620"/>
        <v>89301000</v>
      </c>
      <c r="B3500" t="str">
        <f t="shared" si="624"/>
        <v>91009000</v>
      </c>
      <c r="C3500" t="str">
        <f t="shared" si="625"/>
        <v>91009522</v>
      </c>
      <c r="D3500">
        <v>89301282</v>
      </c>
      <c r="E3500" t="str">
        <f>"0362146169"</f>
        <v>0362146169</v>
      </c>
      <c r="F3500" s="1">
        <v>44996</v>
      </c>
      <c r="G3500" t="str">
        <f>"94996"</f>
        <v>94996</v>
      </c>
      <c r="H3500">
        <v>1</v>
      </c>
      <c r="I3500">
        <v>0</v>
      </c>
      <c r="J3500">
        <v>0</v>
      </c>
      <c r="K3500" t="str">
        <f t="shared" si="626"/>
        <v>816</v>
      </c>
      <c r="L3500">
        <v>0</v>
      </c>
    </row>
    <row r="3501" spans="1:12" x14ac:dyDescent="0.25">
      <c r="A3501" t="str">
        <f t="shared" si="620"/>
        <v>89301000</v>
      </c>
      <c r="B3501" t="str">
        <f t="shared" si="624"/>
        <v>91009000</v>
      </c>
      <c r="C3501" t="str">
        <f>"91009552"</f>
        <v>91009552</v>
      </c>
      <c r="D3501">
        <v>89301167</v>
      </c>
      <c r="E3501" t="str">
        <f>"7506255636"</f>
        <v>7506255636</v>
      </c>
      <c r="F3501" s="1">
        <v>45014</v>
      </c>
      <c r="G3501" t="str">
        <f>"96167"</f>
        <v>96167</v>
      </c>
      <c r="H3501">
        <v>1</v>
      </c>
      <c r="I3501">
        <v>67</v>
      </c>
      <c r="J3501">
        <v>0</v>
      </c>
      <c r="K3501" t="str">
        <f>"818"</f>
        <v>818</v>
      </c>
      <c r="L3501">
        <v>64.989999999999995</v>
      </c>
    </row>
    <row r="3502" spans="1:12" x14ac:dyDescent="0.25">
      <c r="A3502" t="str">
        <f t="shared" si="620"/>
        <v>89301000</v>
      </c>
      <c r="B3502" t="str">
        <f t="shared" si="624"/>
        <v>91009000</v>
      </c>
      <c r="C3502" t="str">
        <f>"91009552"</f>
        <v>91009552</v>
      </c>
      <c r="D3502">
        <v>89301167</v>
      </c>
      <c r="E3502" t="str">
        <f>"7506255636"</f>
        <v>7506255636</v>
      </c>
      <c r="F3502" s="1">
        <v>45014</v>
      </c>
      <c r="G3502" t="str">
        <f>"96315"</f>
        <v>96315</v>
      </c>
      <c r="H3502">
        <v>1</v>
      </c>
      <c r="I3502">
        <v>30</v>
      </c>
      <c r="J3502">
        <v>0</v>
      </c>
      <c r="K3502" t="str">
        <f>"818"</f>
        <v>818</v>
      </c>
      <c r="L3502">
        <v>29.1</v>
      </c>
    </row>
    <row r="3503" spans="1:12" x14ac:dyDescent="0.25">
      <c r="A3503" t="str">
        <f t="shared" si="620"/>
        <v>89301000</v>
      </c>
      <c r="B3503" t="str">
        <f t="shared" si="624"/>
        <v>91009000</v>
      </c>
      <c r="C3503" t="str">
        <f>"91009552"</f>
        <v>91009552</v>
      </c>
      <c r="D3503">
        <v>89301167</v>
      </c>
      <c r="E3503" t="str">
        <f>"7506255636"</f>
        <v>7506255636</v>
      </c>
      <c r="F3503" s="1">
        <v>45014</v>
      </c>
      <c r="G3503" t="str">
        <f>"96711"</f>
        <v>96711</v>
      </c>
      <c r="H3503">
        <v>1</v>
      </c>
      <c r="I3503">
        <v>28</v>
      </c>
      <c r="J3503">
        <v>0</v>
      </c>
      <c r="K3503" t="str">
        <f>"818"</f>
        <v>818</v>
      </c>
      <c r="L3503">
        <v>27.16</v>
      </c>
    </row>
    <row r="3504" spans="1:12" x14ac:dyDescent="0.25">
      <c r="A3504" t="str">
        <f t="shared" si="620"/>
        <v>89301000</v>
      </c>
      <c r="B3504" t="str">
        <f t="shared" si="624"/>
        <v>91009000</v>
      </c>
      <c r="C3504" t="str">
        <f>"91009552"</f>
        <v>91009552</v>
      </c>
      <c r="D3504">
        <v>89301167</v>
      </c>
      <c r="E3504" t="str">
        <f>"7506255636"</f>
        <v>7506255636</v>
      </c>
      <c r="F3504" s="1">
        <v>45014</v>
      </c>
      <c r="G3504" t="str">
        <f>"96713"</f>
        <v>96713</v>
      </c>
      <c r="H3504">
        <v>1</v>
      </c>
      <c r="I3504">
        <v>14</v>
      </c>
      <c r="J3504">
        <v>0</v>
      </c>
      <c r="K3504" t="str">
        <f>"818"</f>
        <v>818</v>
      </c>
      <c r="L3504">
        <v>13.58</v>
      </c>
    </row>
    <row r="3505" spans="1:12" x14ac:dyDescent="0.25">
      <c r="A3505" t="str">
        <f t="shared" si="620"/>
        <v>89301000</v>
      </c>
      <c r="B3505" t="str">
        <f t="shared" si="624"/>
        <v>91009000</v>
      </c>
      <c r="C3505" t="str">
        <f>"91009581"</f>
        <v>91009581</v>
      </c>
      <c r="D3505">
        <v>89301167</v>
      </c>
      <c r="E3505" t="str">
        <f>"530220073"</f>
        <v>530220073</v>
      </c>
      <c r="F3505" s="1">
        <v>44988</v>
      </c>
      <c r="G3505" t="str">
        <f>"81383"</f>
        <v>81383</v>
      </c>
      <c r="H3505">
        <v>1</v>
      </c>
      <c r="I3505">
        <v>24</v>
      </c>
      <c r="J3505">
        <v>0</v>
      </c>
      <c r="K3505" t="str">
        <f>"801"</f>
        <v>801</v>
      </c>
      <c r="L3505">
        <v>20.16</v>
      </c>
    </row>
    <row r="3506" spans="1:12" x14ac:dyDescent="0.25">
      <c r="A3506" t="str">
        <f t="shared" si="620"/>
        <v>89301000</v>
      </c>
      <c r="B3506" t="str">
        <f t="shared" si="624"/>
        <v>91009000</v>
      </c>
      <c r="C3506" t="str">
        <f>"91009581"</f>
        <v>91009581</v>
      </c>
      <c r="D3506">
        <v>89301167</v>
      </c>
      <c r="E3506" t="str">
        <f>"530220073"</f>
        <v>530220073</v>
      </c>
      <c r="F3506" s="1">
        <v>44988</v>
      </c>
      <c r="G3506" t="str">
        <f>"97111"</f>
        <v>97111</v>
      </c>
      <c r="H3506">
        <v>1</v>
      </c>
      <c r="I3506">
        <v>19</v>
      </c>
      <c r="J3506">
        <v>0</v>
      </c>
      <c r="K3506" t="str">
        <f>"801"</f>
        <v>801</v>
      </c>
      <c r="L3506">
        <v>23.94</v>
      </c>
    </row>
    <row r="3507" spans="1:12" x14ac:dyDescent="0.25">
      <c r="A3507" t="str">
        <f t="shared" si="620"/>
        <v>89301000</v>
      </c>
      <c r="B3507" t="str">
        <f t="shared" si="624"/>
        <v>91009000</v>
      </c>
      <c r="C3507" t="str">
        <f>"91009605"</f>
        <v>91009605</v>
      </c>
      <c r="D3507">
        <v>89301107</v>
      </c>
      <c r="E3507" t="str">
        <f>"2060220580"</f>
        <v>2060220580</v>
      </c>
      <c r="F3507" s="1">
        <v>45013</v>
      </c>
      <c r="G3507" t="str">
        <f>"91431"</f>
        <v>91431</v>
      </c>
      <c r="H3507">
        <v>1</v>
      </c>
      <c r="I3507">
        <v>543</v>
      </c>
      <c r="J3507">
        <v>0</v>
      </c>
      <c r="K3507" t="str">
        <f>"818"</f>
        <v>818</v>
      </c>
      <c r="L3507">
        <v>526.71</v>
      </c>
    </row>
    <row r="3508" spans="1:12" x14ac:dyDescent="0.25">
      <c r="A3508" t="str">
        <f t="shared" si="620"/>
        <v>89301000</v>
      </c>
      <c r="B3508" t="str">
        <f t="shared" si="624"/>
        <v>91009000</v>
      </c>
      <c r="C3508" t="str">
        <f>"91009605"</f>
        <v>91009605</v>
      </c>
      <c r="D3508">
        <v>89301107</v>
      </c>
      <c r="E3508" t="str">
        <f>"2060220580"</f>
        <v>2060220580</v>
      </c>
      <c r="F3508" s="1">
        <v>45015</v>
      </c>
      <c r="G3508" t="str">
        <f>"22122"</f>
        <v>22122</v>
      </c>
      <c r="H3508">
        <v>1</v>
      </c>
      <c r="I3508">
        <v>588</v>
      </c>
      <c r="J3508">
        <v>0</v>
      </c>
      <c r="K3508" t="str">
        <f>"818"</f>
        <v>818</v>
      </c>
      <c r="L3508">
        <v>570.36</v>
      </c>
    </row>
    <row r="3509" spans="1:12" x14ac:dyDescent="0.25">
      <c r="A3509" t="str">
        <f t="shared" si="620"/>
        <v>89301000</v>
      </c>
      <c r="B3509" t="str">
        <f t="shared" si="624"/>
        <v>91009000</v>
      </c>
      <c r="C3509" t="str">
        <f>"91009605"</f>
        <v>91009605</v>
      </c>
      <c r="D3509">
        <v>89301107</v>
      </c>
      <c r="E3509" t="str">
        <f>"2060220580"</f>
        <v>2060220580</v>
      </c>
      <c r="F3509" s="1">
        <v>45015</v>
      </c>
      <c r="G3509" t="str">
        <f>"22123"</f>
        <v>22123</v>
      </c>
      <c r="H3509">
        <v>1</v>
      </c>
      <c r="I3509">
        <v>334</v>
      </c>
      <c r="J3509">
        <v>0</v>
      </c>
      <c r="K3509" t="str">
        <f>"818"</f>
        <v>818</v>
      </c>
      <c r="L3509">
        <v>323.98</v>
      </c>
    </row>
    <row r="3510" spans="1:12" x14ac:dyDescent="0.25">
      <c r="A3510" t="str">
        <f t="shared" si="620"/>
        <v>89301000</v>
      </c>
      <c r="B3510" t="str">
        <f t="shared" si="624"/>
        <v>91009000</v>
      </c>
      <c r="C3510" t="str">
        <f>"91009605"</f>
        <v>91009605</v>
      </c>
      <c r="D3510">
        <v>89301107</v>
      </c>
      <c r="E3510" t="str">
        <f>"2060220580"</f>
        <v>2060220580</v>
      </c>
      <c r="F3510" s="1">
        <v>45015</v>
      </c>
      <c r="G3510" t="str">
        <f>"22127"</f>
        <v>22127</v>
      </c>
      <c r="H3510">
        <v>1</v>
      </c>
      <c r="I3510">
        <v>340</v>
      </c>
      <c r="J3510">
        <v>0</v>
      </c>
      <c r="K3510" t="str">
        <f>"818"</f>
        <v>818</v>
      </c>
      <c r="L3510">
        <v>329.8</v>
      </c>
    </row>
    <row r="3511" spans="1:12" x14ac:dyDescent="0.25">
      <c r="A3511" t="str">
        <f t="shared" si="620"/>
        <v>89301000</v>
      </c>
      <c r="B3511" t="str">
        <f t="shared" si="624"/>
        <v>91009000</v>
      </c>
      <c r="C3511" t="str">
        <f>"91009132"</f>
        <v>91009132</v>
      </c>
      <c r="D3511">
        <v>89301167</v>
      </c>
      <c r="E3511" t="str">
        <f>"7506255636"</f>
        <v>7506255636</v>
      </c>
      <c r="F3511" s="1">
        <v>45014</v>
      </c>
      <c r="G3511" t="str">
        <f>"92157"</f>
        <v>92157</v>
      </c>
      <c r="H3511">
        <v>1</v>
      </c>
      <c r="I3511">
        <v>1778</v>
      </c>
      <c r="J3511">
        <v>0</v>
      </c>
      <c r="K3511" t="str">
        <f>"812"</f>
        <v>812</v>
      </c>
      <c r="L3511">
        <v>1493.52</v>
      </c>
    </row>
    <row r="3512" spans="1:12" x14ac:dyDescent="0.25">
      <c r="A3512" t="str">
        <f t="shared" si="620"/>
        <v>89301000</v>
      </c>
      <c r="B3512" t="str">
        <f t="shared" si="624"/>
        <v>91009000</v>
      </c>
      <c r="C3512" t="str">
        <f>"91009132"</f>
        <v>91009132</v>
      </c>
      <c r="D3512">
        <v>89301212</v>
      </c>
      <c r="E3512" t="str">
        <f>"8556125776"</f>
        <v>8556125776</v>
      </c>
      <c r="F3512" s="1">
        <v>44999</v>
      </c>
      <c r="G3512" t="str">
        <f>"92157"</f>
        <v>92157</v>
      </c>
      <c r="H3512">
        <v>1</v>
      </c>
      <c r="I3512">
        <v>1778</v>
      </c>
      <c r="J3512">
        <v>0</v>
      </c>
      <c r="K3512" t="str">
        <f>"812"</f>
        <v>812</v>
      </c>
      <c r="L3512">
        <v>1493.52</v>
      </c>
    </row>
    <row r="3513" spans="1:12" x14ac:dyDescent="0.25">
      <c r="A3513" t="str">
        <f t="shared" si="620"/>
        <v>89301000</v>
      </c>
      <c r="B3513" t="str">
        <f t="shared" si="624"/>
        <v>91009000</v>
      </c>
      <c r="C3513" t="str">
        <f>"91009132"</f>
        <v>91009132</v>
      </c>
      <c r="D3513">
        <v>89301212</v>
      </c>
      <c r="E3513" t="str">
        <f>"8556125776"</f>
        <v>8556125776</v>
      </c>
      <c r="F3513" s="1">
        <v>44999</v>
      </c>
      <c r="G3513" t="str">
        <f>"99111"</f>
        <v>99111</v>
      </c>
      <c r="H3513">
        <v>1</v>
      </c>
      <c r="I3513">
        <v>213</v>
      </c>
      <c r="J3513">
        <v>0</v>
      </c>
      <c r="K3513" t="str">
        <f>"812"</f>
        <v>812</v>
      </c>
      <c r="L3513">
        <v>178.92</v>
      </c>
    </row>
    <row r="3514" spans="1:12" x14ac:dyDescent="0.25">
      <c r="A3514" t="str">
        <f t="shared" si="620"/>
        <v>89301000</v>
      </c>
      <c r="B3514" t="str">
        <f t="shared" ref="B3514:B3547" si="627">"06223000"</f>
        <v>06223000</v>
      </c>
      <c r="C3514" t="str">
        <f>"06223033"</f>
        <v>06223033</v>
      </c>
      <c r="D3514">
        <v>89301167</v>
      </c>
      <c r="E3514" t="str">
        <f t="shared" ref="E3514:E3533" si="628">"531007235"</f>
        <v>531007235</v>
      </c>
      <c r="F3514" s="1">
        <v>44991</v>
      </c>
      <c r="G3514" t="str">
        <f>"96167"</f>
        <v>96167</v>
      </c>
      <c r="H3514">
        <v>1</v>
      </c>
      <c r="I3514">
        <v>67</v>
      </c>
      <c r="J3514">
        <v>0</v>
      </c>
      <c r="K3514" t="str">
        <f>"818"</f>
        <v>818</v>
      </c>
      <c r="L3514">
        <v>64.989999999999995</v>
      </c>
    </row>
    <row r="3515" spans="1:12" x14ac:dyDescent="0.25">
      <c r="A3515" t="str">
        <f t="shared" si="620"/>
        <v>89301000</v>
      </c>
      <c r="B3515" t="str">
        <f t="shared" si="627"/>
        <v>06223000</v>
      </c>
      <c r="C3515" t="str">
        <f t="shared" ref="C3515:C3533" si="629">"06223030"</f>
        <v>06223030</v>
      </c>
      <c r="D3515">
        <v>89301167</v>
      </c>
      <c r="E3515" t="str">
        <f t="shared" si="628"/>
        <v>531007235</v>
      </c>
      <c r="F3515" s="1">
        <v>44991</v>
      </c>
      <c r="G3515" t="str">
        <f>"97111"</f>
        <v>97111</v>
      </c>
      <c r="H3515">
        <v>1</v>
      </c>
      <c r="I3515">
        <v>19</v>
      </c>
      <c r="J3515">
        <v>0</v>
      </c>
      <c r="K3515" t="str">
        <f t="shared" ref="K3515:K3547" si="630">"801"</f>
        <v>801</v>
      </c>
      <c r="L3515">
        <v>23.94</v>
      </c>
    </row>
    <row r="3516" spans="1:12" x14ac:dyDescent="0.25">
      <c r="A3516" t="str">
        <f t="shared" si="620"/>
        <v>89301000</v>
      </c>
      <c r="B3516" t="str">
        <f t="shared" si="627"/>
        <v>06223000</v>
      </c>
      <c r="C3516" t="str">
        <f t="shared" si="629"/>
        <v>06223030</v>
      </c>
      <c r="D3516">
        <v>89301167</v>
      </c>
      <c r="E3516" t="str">
        <f t="shared" si="628"/>
        <v>531007235</v>
      </c>
      <c r="F3516" s="1">
        <v>44991</v>
      </c>
      <c r="G3516" t="str">
        <f>"81593"</f>
        <v>81593</v>
      </c>
      <c r="H3516">
        <v>1</v>
      </c>
      <c r="I3516">
        <v>22</v>
      </c>
      <c r="J3516">
        <v>0</v>
      </c>
      <c r="K3516" t="str">
        <f t="shared" si="630"/>
        <v>801</v>
      </c>
      <c r="L3516">
        <v>18.48</v>
      </c>
    </row>
    <row r="3517" spans="1:12" x14ac:dyDescent="0.25">
      <c r="A3517" t="str">
        <f t="shared" si="620"/>
        <v>89301000</v>
      </c>
      <c r="B3517" t="str">
        <f t="shared" si="627"/>
        <v>06223000</v>
      </c>
      <c r="C3517" t="str">
        <f t="shared" si="629"/>
        <v>06223030</v>
      </c>
      <c r="D3517">
        <v>89301167</v>
      </c>
      <c r="E3517" t="str">
        <f t="shared" si="628"/>
        <v>531007235</v>
      </c>
      <c r="F3517" s="1">
        <v>44991</v>
      </c>
      <c r="G3517" t="str">
        <f>"81393"</f>
        <v>81393</v>
      </c>
      <c r="H3517">
        <v>1</v>
      </c>
      <c r="I3517">
        <v>24</v>
      </c>
      <c r="J3517">
        <v>0</v>
      </c>
      <c r="K3517" t="str">
        <f t="shared" si="630"/>
        <v>801</v>
      </c>
      <c r="L3517">
        <v>20.16</v>
      </c>
    </row>
    <row r="3518" spans="1:12" x14ac:dyDescent="0.25">
      <c r="A3518" t="str">
        <f t="shared" si="620"/>
        <v>89301000</v>
      </c>
      <c r="B3518" t="str">
        <f t="shared" si="627"/>
        <v>06223000</v>
      </c>
      <c r="C3518" t="str">
        <f t="shared" si="629"/>
        <v>06223030</v>
      </c>
      <c r="D3518">
        <v>89301167</v>
      </c>
      <c r="E3518" t="str">
        <f t="shared" si="628"/>
        <v>531007235</v>
      </c>
      <c r="F3518" s="1">
        <v>44991</v>
      </c>
      <c r="G3518" t="str">
        <f>"81469"</f>
        <v>81469</v>
      </c>
      <c r="H3518">
        <v>1</v>
      </c>
      <c r="I3518">
        <v>16</v>
      </c>
      <c r="J3518">
        <v>0</v>
      </c>
      <c r="K3518" t="str">
        <f t="shared" si="630"/>
        <v>801</v>
      </c>
      <c r="L3518">
        <v>13.44</v>
      </c>
    </row>
    <row r="3519" spans="1:12" x14ac:dyDescent="0.25">
      <c r="A3519" t="str">
        <f t="shared" si="620"/>
        <v>89301000</v>
      </c>
      <c r="B3519" t="str">
        <f t="shared" si="627"/>
        <v>06223000</v>
      </c>
      <c r="C3519" t="str">
        <f t="shared" si="629"/>
        <v>06223030</v>
      </c>
      <c r="D3519">
        <v>89301167</v>
      </c>
      <c r="E3519" t="str">
        <f t="shared" si="628"/>
        <v>531007235</v>
      </c>
      <c r="F3519" s="1">
        <v>44991</v>
      </c>
      <c r="G3519" t="str">
        <f>"81625"</f>
        <v>81625</v>
      </c>
      <c r="H3519">
        <v>1</v>
      </c>
      <c r="I3519">
        <v>21</v>
      </c>
      <c r="J3519">
        <v>0</v>
      </c>
      <c r="K3519" t="str">
        <f t="shared" si="630"/>
        <v>801</v>
      </c>
      <c r="L3519">
        <v>17.64</v>
      </c>
    </row>
    <row r="3520" spans="1:12" x14ac:dyDescent="0.25">
      <c r="A3520" t="str">
        <f t="shared" si="620"/>
        <v>89301000</v>
      </c>
      <c r="B3520" t="str">
        <f t="shared" si="627"/>
        <v>06223000</v>
      </c>
      <c r="C3520" t="str">
        <f t="shared" si="629"/>
        <v>06223030</v>
      </c>
      <c r="D3520">
        <v>89301167</v>
      </c>
      <c r="E3520" t="str">
        <f t="shared" si="628"/>
        <v>531007235</v>
      </c>
      <c r="F3520" s="1">
        <v>44991</v>
      </c>
      <c r="G3520" t="str">
        <f>"81523"</f>
        <v>81523</v>
      </c>
      <c r="H3520">
        <v>1</v>
      </c>
      <c r="I3520">
        <v>23</v>
      </c>
      <c r="J3520">
        <v>0</v>
      </c>
      <c r="K3520" t="str">
        <f t="shared" si="630"/>
        <v>801</v>
      </c>
      <c r="L3520">
        <v>19.32</v>
      </c>
    </row>
    <row r="3521" spans="1:12" x14ac:dyDescent="0.25">
      <c r="A3521" t="str">
        <f t="shared" si="620"/>
        <v>89301000</v>
      </c>
      <c r="B3521" t="str">
        <f t="shared" si="627"/>
        <v>06223000</v>
      </c>
      <c r="C3521" t="str">
        <f t="shared" si="629"/>
        <v>06223030</v>
      </c>
      <c r="D3521">
        <v>89301167</v>
      </c>
      <c r="E3521" t="str">
        <f t="shared" si="628"/>
        <v>531007235</v>
      </c>
      <c r="F3521" s="1">
        <v>44991</v>
      </c>
      <c r="G3521" t="str">
        <f>"81621"</f>
        <v>81621</v>
      </c>
      <c r="H3521">
        <v>1</v>
      </c>
      <c r="I3521">
        <v>19</v>
      </c>
      <c r="J3521">
        <v>0</v>
      </c>
      <c r="K3521" t="str">
        <f t="shared" si="630"/>
        <v>801</v>
      </c>
      <c r="L3521">
        <v>15.96</v>
      </c>
    </row>
    <row r="3522" spans="1:12" x14ac:dyDescent="0.25">
      <c r="A3522" t="str">
        <f t="shared" ref="A3522:A3585" si="631">"89301000"</f>
        <v>89301000</v>
      </c>
      <c r="B3522" t="str">
        <f t="shared" si="627"/>
        <v>06223000</v>
      </c>
      <c r="C3522" t="str">
        <f t="shared" si="629"/>
        <v>06223030</v>
      </c>
      <c r="D3522">
        <v>89301167</v>
      </c>
      <c r="E3522" t="str">
        <f t="shared" si="628"/>
        <v>531007235</v>
      </c>
      <c r="F3522" s="1">
        <v>44991</v>
      </c>
      <c r="G3522" t="str">
        <f>"81439"</f>
        <v>81439</v>
      </c>
      <c r="H3522">
        <v>1</v>
      </c>
      <c r="I3522">
        <v>16</v>
      </c>
      <c r="J3522">
        <v>0</v>
      </c>
      <c r="K3522" t="str">
        <f t="shared" si="630"/>
        <v>801</v>
      </c>
      <c r="L3522">
        <v>13.44</v>
      </c>
    </row>
    <row r="3523" spans="1:12" x14ac:dyDescent="0.25">
      <c r="A3523" t="str">
        <f t="shared" si="631"/>
        <v>89301000</v>
      </c>
      <c r="B3523" t="str">
        <f t="shared" si="627"/>
        <v>06223000</v>
      </c>
      <c r="C3523" t="str">
        <f t="shared" si="629"/>
        <v>06223030</v>
      </c>
      <c r="D3523">
        <v>89301167</v>
      </c>
      <c r="E3523" t="str">
        <f t="shared" si="628"/>
        <v>531007235</v>
      </c>
      <c r="F3523" s="1">
        <v>44991</v>
      </c>
      <c r="G3523" t="str">
        <f>"81421"</f>
        <v>81421</v>
      </c>
      <c r="H3523">
        <v>1</v>
      </c>
      <c r="I3523">
        <v>19</v>
      </c>
      <c r="J3523">
        <v>0</v>
      </c>
      <c r="K3523" t="str">
        <f t="shared" si="630"/>
        <v>801</v>
      </c>
      <c r="L3523">
        <v>15.96</v>
      </c>
    </row>
    <row r="3524" spans="1:12" x14ac:dyDescent="0.25">
      <c r="A3524" t="str">
        <f t="shared" si="631"/>
        <v>89301000</v>
      </c>
      <c r="B3524" t="str">
        <f t="shared" si="627"/>
        <v>06223000</v>
      </c>
      <c r="C3524" t="str">
        <f t="shared" si="629"/>
        <v>06223030</v>
      </c>
      <c r="D3524">
        <v>89301167</v>
      </c>
      <c r="E3524" t="str">
        <f t="shared" si="628"/>
        <v>531007235</v>
      </c>
      <c r="F3524" s="1">
        <v>44991</v>
      </c>
      <c r="G3524" t="str">
        <f>"91153"</f>
        <v>91153</v>
      </c>
      <c r="H3524">
        <v>1</v>
      </c>
      <c r="I3524">
        <v>153</v>
      </c>
      <c r="J3524">
        <v>0</v>
      </c>
      <c r="K3524" t="str">
        <f t="shared" si="630"/>
        <v>801</v>
      </c>
      <c r="L3524">
        <v>128.52000000000001</v>
      </c>
    </row>
    <row r="3525" spans="1:12" x14ac:dyDescent="0.25">
      <c r="A3525" t="str">
        <f t="shared" si="631"/>
        <v>89301000</v>
      </c>
      <c r="B3525" t="str">
        <f t="shared" si="627"/>
        <v>06223000</v>
      </c>
      <c r="C3525" t="str">
        <f t="shared" si="629"/>
        <v>06223030</v>
      </c>
      <c r="D3525">
        <v>89301167</v>
      </c>
      <c r="E3525" t="str">
        <f t="shared" si="628"/>
        <v>531007235</v>
      </c>
      <c r="F3525" s="1">
        <v>44991</v>
      </c>
      <c r="G3525" t="str">
        <f>"81383"</f>
        <v>81383</v>
      </c>
      <c r="H3525">
        <v>1</v>
      </c>
      <c r="I3525">
        <v>24</v>
      </c>
      <c r="J3525">
        <v>0</v>
      </c>
      <c r="K3525" t="str">
        <f t="shared" si="630"/>
        <v>801</v>
      </c>
      <c r="L3525">
        <v>20.16</v>
      </c>
    </row>
    <row r="3526" spans="1:12" x14ac:dyDescent="0.25">
      <c r="A3526" t="str">
        <f t="shared" si="631"/>
        <v>89301000</v>
      </c>
      <c r="B3526" t="str">
        <f t="shared" si="627"/>
        <v>06223000</v>
      </c>
      <c r="C3526" t="str">
        <f t="shared" si="629"/>
        <v>06223030</v>
      </c>
      <c r="D3526">
        <v>89301167</v>
      </c>
      <c r="E3526" t="str">
        <f t="shared" si="628"/>
        <v>531007235</v>
      </c>
      <c r="F3526" s="1">
        <v>44991</v>
      </c>
      <c r="G3526" t="str">
        <f>"81361"</f>
        <v>81361</v>
      </c>
      <c r="H3526">
        <v>1</v>
      </c>
      <c r="I3526">
        <v>17</v>
      </c>
      <c r="J3526">
        <v>0</v>
      </c>
      <c r="K3526" t="str">
        <f t="shared" si="630"/>
        <v>801</v>
      </c>
      <c r="L3526">
        <v>14.28</v>
      </c>
    </row>
    <row r="3527" spans="1:12" x14ac:dyDescent="0.25">
      <c r="A3527" t="str">
        <f t="shared" si="631"/>
        <v>89301000</v>
      </c>
      <c r="B3527" t="str">
        <f t="shared" si="627"/>
        <v>06223000</v>
      </c>
      <c r="C3527" t="str">
        <f t="shared" si="629"/>
        <v>06223030</v>
      </c>
      <c r="D3527">
        <v>89301167</v>
      </c>
      <c r="E3527" t="str">
        <f t="shared" si="628"/>
        <v>531007235</v>
      </c>
      <c r="F3527" s="1">
        <v>44991</v>
      </c>
      <c r="G3527" t="str">
        <f>"81435"</f>
        <v>81435</v>
      </c>
      <c r="H3527">
        <v>1</v>
      </c>
      <c r="I3527">
        <v>22</v>
      </c>
      <c r="J3527">
        <v>0</v>
      </c>
      <c r="K3527" t="str">
        <f t="shared" si="630"/>
        <v>801</v>
      </c>
      <c r="L3527">
        <v>18.48</v>
      </c>
    </row>
    <row r="3528" spans="1:12" x14ac:dyDescent="0.25">
      <c r="A3528" t="str">
        <f t="shared" si="631"/>
        <v>89301000</v>
      </c>
      <c r="B3528" t="str">
        <f t="shared" si="627"/>
        <v>06223000</v>
      </c>
      <c r="C3528" t="str">
        <f t="shared" si="629"/>
        <v>06223030</v>
      </c>
      <c r="D3528">
        <v>89301167</v>
      </c>
      <c r="E3528" t="str">
        <f t="shared" si="628"/>
        <v>531007235</v>
      </c>
      <c r="F3528" s="1">
        <v>44991</v>
      </c>
      <c r="G3528" t="str">
        <f>"81337"</f>
        <v>81337</v>
      </c>
      <c r="H3528">
        <v>1</v>
      </c>
      <c r="I3528">
        <v>20</v>
      </c>
      <c r="J3528">
        <v>0</v>
      </c>
      <c r="K3528" t="str">
        <f t="shared" si="630"/>
        <v>801</v>
      </c>
      <c r="L3528">
        <v>16.8</v>
      </c>
    </row>
    <row r="3529" spans="1:12" x14ac:dyDescent="0.25">
      <c r="A3529" t="str">
        <f t="shared" si="631"/>
        <v>89301000</v>
      </c>
      <c r="B3529" t="str">
        <f t="shared" si="627"/>
        <v>06223000</v>
      </c>
      <c r="C3529" t="str">
        <f t="shared" si="629"/>
        <v>06223030</v>
      </c>
      <c r="D3529">
        <v>89301167</v>
      </c>
      <c r="E3529" t="str">
        <f t="shared" si="628"/>
        <v>531007235</v>
      </c>
      <c r="F3529" s="1">
        <v>44991</v>
      </c>
      <c r="G3529" t="str">
        <f>"81357"</f>
        <v>81357</v>
      </c>
      <c r="H3529">
        <v>1</v>
      </c>
      <c r="I3529">
        <v>20</v>
      </c>
      <c r="J3529">
        <v>0</v>
      </c>
      <c r="K3529" t="str">
        <f t="shared" si="630"/>
        <v>801</v>
      </c>
      <c r="L3529">
        <v>16.8</v>
      </c>
    </row>
    <row r="3530" spans="1:12" x14ac:dyDescent="0.25">
      <c r="A3530" t="str">
        <f t="shared" si="631"/>
        <v>89301000</v>
      </c>
      <c r="B3530" t="str">
        <f t="shared" si="627"/>
        <v>06223000</v>
      </c>
      <c r="C3530" t="str">
        <f t="shared" si="629"/>
        <v>06223030</v>
      </c>
      <c r="D3530">
        <v>89301167</v>
      </c>
      <c r="E3530" t="str">
        <f t="shared" si="628"/>
        <v>531007235</v>
      </c>
      <c r="F3530" s="1">
        <v>44991</v>
      </c>
      <c r="G3530" t="str">
        <f>"81329"</f>
        <v>81329</v>
      </c>
      <c r="H3530">
        <v>1</v>
      </c>
      <c r="I3530">
        <v>17</v>
      </c>
      <c r="J3530">
        <v>0</v>
      </c>
      <c r="K3530" t="str">
        <f t="shared" si="630"/>
        <v>801</v>
      </c>
      <c r="L3530">
        <v>14.28</v>
      </c>
    </row>
    <row r="3531" spans="1:12" x14ac:dyDescent="0.25">
      <c r="A3531" t="str">
        <f t="shared" si="631"/>
        <v>89301000</v>
      </c>
      <c r="B3531" t="str">
        <f t="shared" si="627"/>
        <v>06223000</v>
      </c>
      <c r="C3531" t="str">
        <f t="shared" si="629"/>
        <v>06223030</v>
      </c>
      <c r="D3531">
        <v>89301167</v>
      </c>
      <c r="E3531" t="str">
        <f t="shared" si="628"/>
        <v>531007235</v>
      </c>
      <c r="F3531" s="1">
        <v>44991</v>
      </c>
      <c r="G3531" t="str">
        <f>"81365"</f>
        <v>81365</v>
      </c>
      <c r="H3531">
        <v>1</v>
      </c>
      <c r="I3531">
        <v>16</v>
      </c>
      <c r="J3531">
        <v>0</v>
      </c>
      <c r="K3531" t="str">
        <f t="shared" si="630"/>
        <v>801</v>
      </c>
      <c r="L3531">
        <v>13.44</v>
      </c>
    </row>
    <row r="3532" spans="1:12" x14ac:dyDescent="0.25">
      <c r="A3532" t="str">
        <f t="shared" si="631"/>
        <v>89301000</v>
      </c>
      <c r="B3532" t="str">
        <f t="shared" si="627"/>
        <v>06223000</v>
      </c>
      <c r="C3532" t="str">
        <f t="shared" si="629"/>
        <v>06223030</v>
      </c>
      <c r="D3532">
        <v>89301167</v>
      </c>
      <c r="E3532" t="str">
        <f t="shared" si="628"/>
        <v>531007235</v>
      </c>
      <c r="F3532" s="1">
        <v>44991</v>
      </c>
      <c r="G3532" t="str">
        <f>"81499"</f>
        <v>81499</v>
      </c>
      <c r="H3532">
        <v>1</v>
      </c>
      <c r="I3532">
        <v>18</v>
      </c>
      <c r="J3532">
        <v>0</v>
      </c>
      <c r="K3532" t="str">
        <f t="shared" si="630"/>
        <v>801</v>
      </c>
      <c r="L3532">
        <v>15.12</v>
      </c>
    </row>
    <row r="3533" spans="1:12" x14ac:dyDescent="0.25">
      <c r="A3533" t="str">
        <f t="shared" si="631"/>
        <v>89301000</v>
      </c>
      <c r="B3533" t="str">
        <f t="shared" si="627"/>
        <v>06223000</v>
      </c>
      <c r="C3533" t="str">
        <f t="shared" si="629"/>
        <v>06223030</v>
      </c>
      <c r="D3533">
        <v>89301167</v>
      </c>
      <c r="E3533" t="str">
        <f t="shared" si="628"/>
        <v>531007235</v>
      </c>
      <c r="F3533" s="1">
        <v>44991</v>
      </c>
      <c r="G3533" t="str">
        <f>"81465"</f>
        <v>81465</v>
      </c>
      <c r="H3533">
        <v>1</v>
      </c>
      <c r="I3533">
        <v>21</v>
      </c>
      <c r="J3533">
        <v>0</v>
      </c>
      <c r="K3533" t="str">
        <f t="shared" si="630"/>
        <v>801</v>
      </c>
      <c r="L3533">
        <v>17.64</v>
      </c>
    </row>
    <row r="3534" spans="1:12" x14ac:dyDescent="0.25">
      <c r="A3534" t="str">
        <f t="shared" si="631"/>
        <v>89301000</v>
      </c>
      <c r="B3534" t="str">
        <f t="shared" si="627"/>
        <v>06223000</v>
      </c>
      <c r="C3534" t="str">
        <f t="shared" ref="C3534:C3547" si="632">"06223043"</f>
        <v>06223043</v>
      </c>
      <c r="D3534">
        <v>89301122</v>
      </c>
      <c r="E3534" t="str">
        <f>"466206437"</f>
        <v>466206437</v>
      </c>
      <c r="F3534" s="1">
        <v>45007</v>
      </c>
      <c r="G3534" t="str">
        <f>"81485"</f>
        <v>81485</v>
      </c>
      <c r="H3534">
        <v>1</v>
      </c>
      <c r="I3534">
        <v>461</v>
      </c>
      <c r="J3534">
        <v>0</v>
      </c>
      <c r="K3534" t="str">
        <f t="shared" si="630"/>
        <v>801</v>
      </c>
      <c r="L3534">
        <v>387.24</v>
      </c>
    </row>
    <row r="3535" spans="1:12" x14ac:dyDescent="0.25">
      <c r="A3535" t="str">
        <f t="shared" si="631"/>
        <v>89301000</v>
      </c>
      <c r="B3535" t="str">
        <f t="shared" si="627"/>
        <v>06223000</v>
      </c>
      <c r="C3535" t="str">
        <f t="shared" si="632"/>
        <v>06223043</v>
      </c>
      <c r="D3535">
        <v>89301122</v>
      </c>
      <c r="E3535" t="str">
        <f>"5710051116"</f>
        <v>5710051116</v>
      </c>
      <c r="F3535" s="1">
        <v>44993</v>
      </c>
      <c r="G3535" t="str">
        <f>"81485"</f>
        <v>81485</v>
      </c>
      <c r="H3535">
        <v>1</v>
      </c>
      <c r="I3535">
        <v>461</v>
      </c>
      <c r="J3535">
        <v>0</v>
      </c>
      <c r="K3535" t="str">
        <f t="shared" si="630"/>
        <v>801</v>
      </c>
      <c r="L3535">
        <v>387.24</v>
      </c>
    </row>
    <row r="3536" spans="1:12" x14ac:dyDescent="0.25">
      <c r="A3536" t="str">
        <f t="shared" si="631"/>
        <v>89301000</v>
      </c>
      <c r="B3536" t="str">
        <f t="shared" si="627"/>
        <v>06223000</v>
      </c>
      <c r="C3536" t="str">
        <f t="shared" si="632"/>
        <v>06223043</v>
      </c>
      <c r="D3536">
        <v>89301122</v>
      </c>
      <c r="E3536" t="str">
        <f>"9051095735"</f>
        <v>9051095735</v>
      </c>
      <c r="F3536" s="1">
        <v>44994</v>
      </c>
      <c r="G3536" t="str">
        <f>"92165"</f>
        <v>92165</v>
      </c>
      <c r="H3536">
        <v>1</v>
      </c>
      <c r="I3536">
        <v>2162</v>
      </c>
      <c r="J3536">
        <v>0</v>
      </c>
      <c r="K3536" t="str">
        <f t="shared" si="630"/>
        <v>801</v>
      </c>
      <c r="L3536">
        <v>1816.08</v>
      </c>
    </row>
    <row r="3537" spans="1:12" x14ac:dyDescent="0.25">
      <c r="A3537" t="str">
        <f t="shared" si="631"/>
        <v>89301000</v>
      </c>
      <c r="B3537" t="str">
        <f t="shared" si="627"/>
        <v>06223000</v>
      </c>
      <c r="C3537" t="str">
        <f t="shared" si="632"/>
        <v>06223043</v>
      </c>
      <c r="D3537">
        <v>89301122</v>
      </c>
      <c r="E3537" t="str">
        <f>"9107045717"</f>
        <v>9107045717</v>
      </c>
      <c r="F3537" s="1">
        <v>44994</v>
      </c>
      <c r="G3537" t="str">
        <f>"92165"</f>
        <v>92165</v>
      </c>
      <c r="H3537">
        <v>1</v>
      </c>
      <c r="I3537">
        <v>2162</v>
      </c>
      <c r="J3537">
        <v>0</v>
      </c>
      <c r="K3537" t="str">
        <f t="shared" si="630"/>
        <v>801</v>
      </c>
      <c r="L3537">
        <v>1816.08</v>
      </c>
    </row>
    <row r="3538" spans="1:12" x14ac:dyDescent="0.25">
      <c r="A3538" t="str">
        <f t="shared" si="631"/>
        <v>89301000</v>
      </c>
      <c r="B3538" t="str">
        <f t="shared" si="627"/>
        <v>06223000</v>
      </c>
      <c r="C3538" t="str">
        <f t="shared" si="632"/>
        <v>06223043</v>
      </c>
      <c r="D3538">
        <v>89301122</v>
      </c>
      <c r="E3538" t="str">
        <f>"8704284919"</f>
        <v>8704284919</v>
      </c>
      <c r="F3538" s="1">
        <v>44993</v>
      </c>
      <c r="G3538" t="str">
        <f t="shared" ref="G3538:G3547" si="633">"81485"</f>
        <v>81485</v>
      </c>
      <c r="H3538">
        <v>1</v>
      </c>
      <c r="I3538">
        <v>461</v>
      </c>
      <c r="J3538">
        <v>0</v>
      </c>
      <c r="K3538" t="str">
        <f t="shared" si="630"/>
        <v>801</v>
      </c>
      <c r="L3538">
        <v>387.24</v>
      </c>
    </row>
    <row r="3539" spans="1:12" x14ac:dyDescent="0.25">
      <c r="A3539" t="str">
        <f t="shared" si="631"/>
        <v>89301000</v>
      </c>
      <c r="B3539" t="str">
        <f t="shared" si="627"/>
        <v>06223000</v>
      </c>
      <c r="C3539" t="str">
        <f t="shared" si="632"/>
        <v>06223043</v>
      </c>
      <c r="D3539">
        <v>89301122</v>
      </c>
      <c r="E3539" t="str">
        <f>"7402125302"</f>
        <v>7402125302</v>
      </c>
      <c r="F3539" s="1">
        <v>44993</v>
      </c>
      <c r="G3539" t="str">
        <f t="shared" si="633"/>
        <v>81485</v>
      </c>
      <c r="H3539">
        <v>1</v>
      </c>
      <c r="I3539">
        <v>461</v>
      </c>
      <c r="J3539">
        <v>0</v>
      </c>
      <c r="K3539" t="str">
        <f t="shared" si="630"/>
        <v>801</v>
      </c>
      <c r="L3539">
        <v>387.24</v>
      </c>
    </row>
    <row r="3540" spans="1:12" x14ac:dyDescent="0.25">
      <c r="A3540" t="str">
        <f t="shared" si="631"/>
        <v>89301000</v>
      </c>
      <c r="B3540" t="str">
        <f t="shared" si="627"/>
        <v>06223000</v>
      </c>
      <c r="C3540" t="str">
        <f t="shared" si="632"/>
        <v>06223043</v>
      </c>
      <c r="D3540">
        <v>89301122</v>
      </c>
      <c r="E3540" t="str">
        <f>"9105155752"</f>
        <v>9105155752</v>
      </c>
      <c r="F3540" s="1">
        <v>44998</v>
      </c>
      <c r="G3540" t="str">
        <f t="shared" si="633"/>
        <v>81485</v>
      </c>
      <c r="H3540">
        <v>1</v>
      </c>
      <c r="I3540">
        <v>461</v>
      </c>
      <c r="J3540">
        <v>0</v>
      </c>
      <c r="K3540" t="str">
        <f t="shared" si="630"/>
        <v>801</v>
      </c>
      <c r="L3540">
        <v>387.24</v>
      </c>
    </row>
    <row r="3541" spans="1:12" x14ac:dyDescent="0.25">
      <c r="A3541" t="str">
        <f t="shared" si="631"/>
        <v>89301000</v>
      </c>
      <c r="B3541" t="str">
        <f t="shared" si="627"/>
        <v>06223000</v>
      </c>
      <c r="C3541" t="str">
        <f t="shared" si="632"/>
        <v>06223043</v>
      </c>
      <c r="D3541">
        <v>89301122</v>
      </c>
      <c r="E3541" t="str">
        <f>"8162045760"</f>
        <v>8162045760</v>
      </c>
      <c r="F3541" s="1">
        <v>44998</v>
      </c>
      <c r="G3541" t="str">
        <f t="shared" si="633"/>
        <v>81485</v>
      </c>
      <c r="H3541">
        <v>1</v>
      </c>
      <c r="I3541">
        <v>461</v>
      </c>
      <c r="J3541">
        <v>0</v>
      </c>
      <c r="K3541" t="str">
        <f t="shared" si="630"/>
        <v>801</v>
      </c>
      <c r="L3541">
        <v>387.24</v>
      </c>
    </row>
    <row r="3542" spans="1:12" x14ac:dyDescent="0.25">
      <c r="A3542" t="str">
        <f t="shared" si="631"/>
        <v>89301000</v>
      </c>
      <c r="B3542" t="str">
        <f t="shared" si="627"/>
        <v>06223000</v>
      </c>
      <c r="C3542" t="str">
        <f t="shared" si="632"/>
        <v>06223043</v>
      </c>
      <c r="D3542">
        <v>89301122</v>
      </c>
      <c r="E3542" t="str">
        <f>"6108250764"</f>
        <v>6108250764</v>
      </c>
      <c r="F3542" s="1">
        <v>44998</v>
      </c>
      <c r="G3542" t="str">
        <f t="shared" si="633"/>
        <v>81485</v>
      </c>
      <c r="H3542">
        <v>1</v>
      </c>
      <c r="I3542">
        <v>461</v>
      </c>
      <c r="J3542">
        <v>0</v>
      </c>
      <c r="K3542" t="str">
        <f t="shared" si="630"/>
        <v>801</v>
      </c>
      <c r="L3542">
        <v>387.24</v>
      </c>
    </row>
    <row r="3543" spans="1:12" x14ac:dyDescent="0.25">
      <c r="A3543" t="str">
        <f t="shared" si="631"/>
        <v>89301000</v>
      </c>
      <c r="B3543" t="str">
        <f t="shared" si="627"/>
        <v>06223000</v>
      </c>
      <c r="C3543" t="str">
        <f t="shared" si="632"/>
        <v>06223043</v>
      </c>
      <c r="D3543">
        <v>89301122</v>
      </c>
      <c r="E3543" t="str">
        <f>"7608185717"</f>
        <v>7608185717</v>
      </c>
      <c r="F3543" s="1">
        <v>45007</v>
      </c>
      <c r="G3543" t="str">
        <f t="shared" si="633"/>
        <v>81485</v>
      </c>
      <c r="H3543">
        <v>1</v>
      </c>
      <c r="I3543">
        <v>461</v>
      </c>
      <c r="J3543">
        <v>0</v>
      </c>
      <c r="K3543" t="str">
        <f t="shared" si="630"/>
        <v>801</v>
      </c>
      <c r="L3543">
        <v>387.24</v>
      </c>
    </row>
    <row r="3544" spans="1:12" x14ac:dyDescent="0.25">
      <c r="A3544" t="str">
        <f t="shared" si="631"/>
        <v>89301000</v>
      </c>
      <c r="B3544" t="str">
        <f t="shared" si="627"/>
        <v>06223000</v>
      </c>
      <c r="C3544" t="str">
        <f t="shared" si="632"/>
        <v>06223043</v>
      </c>
      <c r="D3544">
        <v>89301122</v>
      </c>
      <c r="E3544" t="str">
        <f>"425723458"</f>
        <v>425723458</v>
      </c>
      <c r="F3544" s="1">
        <v>45007</v>
      </c>
      <c r="G3544" t="str">
        <f t="shared" si="633"/>
        <v>81485</v>
      </c>
      <c r="H3544">
        <v>1</v>
      </c>
      <c r="I3544">
        <v>461</v>
      </c>
      <c r="J3544">
        <v>0</v>
      </c>
      <c r="K3544" t="str">
        <f t="shared" si="630"/>
        <v>801</v>
      </c>
      <c r="L3544">
        <v>387.24</v>
      </c>
    </row>
    <row r="3545" spans="1:12" x14ac:dyDescent="0.25">
      <c r="A3545" t="str">
        <f t="shared" si="631"/>
        <v>89301000</v>
      </c>
      <c r="B3545" t="str">
        <f t="shared" si="627"/>
        <v>06223000</v>
      </c>
      <c r="C3545" t="str">
        <f t="shared" si="632"/>
        <v>06223043</v>
      </c>
      <c r="D3545">
        <v>89301122</v>
      </c>
      <c r="E3545" t="str">
        <f>"7908024476"</f>
        <v>7908024476</v>
      </c>
      <c r="F3545" s="1">
        <v>45016</v>
      </c>
      <c r="G3545" t="str">
        <f t="shared" si="633"/>
        <v>81485</v>
      </c>
      <c r="H3545">
        <v>1</v>
      </c>
      <c r="I3545">
        <v>461</v>
      </c>
      <c r="J3545">
        <v>0</v>
      </c>
      <c r="K3545" t="str">
        <f t="shared" si="630"/>
        <v>801</v>
      </c>
      <c r="L3545">
        <v>387.24</v>
      </c>
    </row>
    <row r="3546" spans="1:12" x14ac:dyDescent="0.25">
      <c r="A3546" t="str">
        <f t="shared" si="631"/>
        <v>89301000</v>
      </c>
      <c r="B3546" t="str">
        <f t="shared" si="627"/>
        <v>06223000</v>
      </c>
      <c r="C3546" t="str">
        <f t="shared" si="632"/>
        <v>06223043</v>
      </c>
      <c r="D3546">
        <v>89301122</v>
      </c>
      <c r="E3546" t="str">
        <f>"8307155362"</f>
        <v>8307155362</v>
      </c>
      <c r="F3546" s="1">
        <v>45016</v>
      </c>
      <c r="G3546" t="str">
        <f t="shared" si="633"/>
        <v>81485</v>
      </c>
      <c r="H3546">
        <v>1</v>
      </c>
      <c r="I3546">
        <v>461</v>
      </c>
      <c r="J3546">
        <v>0</v>
      </c>
      <c r="K3546" t="str">
        <f t="shared" si="630"/>
        <v>801</v>
      </c>
      <c r="L3546">
        <v>387.24</v>
      </c>
    </row>
    <row r="3547" spans="1:12" x14ac:dyDescent="0.25">
      <c r="A3547" t="str">
        <f t="shared" si="631"/>
        <v>89301000</v>
      </c>
      <c r="B3547" t="str">
        <f t="shared" si="627"/>
        <v>06223000</v>
      </c>
      <c r="C3547" t="str">
        <f t="shared" si="632"/>
        <v>06223043</v>
      </c>
      <c r="D3547">
        <v>89301122</v>
      </c>
      <c r="E3547" t="str">
        <f>"9358115151"</f>
        <v>9358115151</v>
      </c>
      <c r="F3547" s="1">
        <v>45016</v>
      </c>
      <c r="G3547" t="str">
        <f t="shared" si="633"/>
        <v>81485</v>
      </c>
      <c r="H3547">
        <v>1</v>
      </c>
      <c r="I3547">
        <v>461</v>
      </c>
      <c r="J3547">
        <v>0</v>
      </c>
      <c r="K3547" t="str">
        <f t="shared" si="630"/>
        <v>801</v>
      </c>
      <c r="L3547">
        <v>387.24</v>
      </c>
    </row>
    <row r="3548" spans="1:12" x14ac:dyDescent="0.25">
      <c r="A3548" t="str">
        <f t="shared" si="631"/>
        <v>89301000</v>
      </c>
      <c r="B3548" t="str">
        <f t="shared" ref="B3548:B3591" si="634">"93201000"</f>
        <v>93201000</v>
      </c>
      <c r="C3548" t="str">
        <f>"93201350"</f>
        <v>93201350</v>
      </c>
      <c r="D3548">
        <v>89301212</v>
      </c>
      <c r="E3548" t="str">
        <f>"6258280259"</f>
        <v>6258280259</v>
      </c>
      <c r="F3548" s="1">
        <v>44839</v>
      </c>
      <c r="G3548" t="str">
        <f>"89611"</f>
        <v>89611</v>
      </c>
      <c r="H3548">
        <v>1</v>
      </c>
      <c r="I3548">
        <v>2241</v>
      </c>
      <c r="J3548">
        <v>0</v>
      </c>
      <c r="K3548" t="str">
        <f>"809"</f>
        <v>809</v>
      </c>
      <c r="L3548">
        <v>1456.65</v>
      </c>
    </row>
    <row r="3549" spans="1:12" x14ac:dyDescent="0.25">
      <c r="A3549" t="str">
        <f t="shared" si="631"/>
        <v>89301000</v>
      </c>
      <c r="B3549" t="str">
        <f t="shared" si="634"/>
        <v>93201000</v>
      </c>
      <c r="C3549" t="str">
        <f>"93201350"</f>
        <v>93201350</v>
      </c>
      <c r="D3549">
        <v>89301212</v>
      </c>
      <c r="E3549" t="str">
        <f>"6258280259"</f>
        <v>6258280259</v>
      </c>
      <c r="F3549" s="1">
        <v>44839</v>
      </c>
      <c r="G3549" t="str">
        <f>"0096278"</f>
        <v>0096278</v>
      </c>
      <c r="H3549">
        <v>3.3000000000000002E-2</v>
      </c>
      <c r="J3549">
        <v>636.5</v>
      </c>
      <c r="K3549" t="str">
        <f>"809"</f>
        <v>809</v>
      </c>
      <c r="L3549">
        <v>636.5</v>
      </c>
    </row>
    <row r="3550" spans="1:12" x14ac:dyDescent="0.25">
      <c r="A3550" t="str">
        <f t="shared" si="631"/>
        <v>89301000</v>
      </c>
      <c r="B3550" t="str">
        <f t="shared" si="634"/>
        <v>93201000</v>
      </c>
      <c r="C3550" t="str">
        <f t="shared" ref="C3550:C3568" si="635">"93201250"</f>
        <v>93201250</v>
      </c>
      <c r="D3550">
        <v>89301167</v>
      </c>
      <c r="E3550" t="str">
        <f t="shared" ref="E3550:E3569" si="636">"511221028"</f>
        <v>511221028</v>
      </c>
      <c r="F3550" s="1">
        <v>44992</v>
      </c>
      <c r="G3550" t="str">
        <f>"97111"</f>
        <v>97111</v>
      </c>
      <c r="H3550">
        <v>1</v>
      </c>
      <c r="I3550">
        <v>19</v>
      </c>
      <c r="J3550">
        <v>0</v>
      </c>
      <c r="K3550" t="str">
        <f t="shared" ref="K3550:K3568" si="637">"801"</f>
        <v>801</v>
      </c>
      <c r="L3550">
        <v>23.94</v>
      </c>
    </row>
    <row r="3551" spans="1:12" x14ac:dyDescent="0.25">
      <c r="A3551" t="str">
        <f t="shared" si="631"/>
        <v>89301000</v>
      </c>
      <c r="B3551" t="str">
        <f t="shared" si="634"/>
        <v>93201000</v>
      </c>
      <c r="C3551" t="str">
        <f t="shared" si="635"/>
        <v>93201250</v>
      </c>
      <c r="D3551">
        <v>89301167</v>
      </c>
      <c r="E3551" t="str">
        <f t="shared" si="636"/>
        <v>511221028</v>
      </c>
      <c r="F3551" s="1">
        <v>44992</v>
      </c>
      <c r="G3551" t="str">
        <f>"81329"</f>
        <v>81329</v>
      </c>
      <c r="H3551">
        <v>1</v>
      </c>
      <c r="I3551">
        <v>17</v>
      </c>
      <c r="J3551">
        <v>0</v>
      </c>
      <c r="K3551" t="str">
        <f t="shared" si="637"/>
        <v>801</v>
      </c>
      <c r="L3551">
        <v>14.28</v>
      </c>
    </row>
    <row r="3552" spans="1:12" x14ac:dyDescent="0.25">
      <c r="A3552" t="str">
        <f t="shared" si="631"/>
        <v>89301000</v>
      </c>
      <c r="B3552" t="str">
        <f t="shared" si="634"/>
        <v>93201000</v>
      </c>
      <c r="C3552" t="str">
        <f t="shared" si="635"/>
        <v>93201250</v>
      </c>
      <c r="D3552">
        <v>89301167</v>
      </c>
      <c r="E3552" t="str">
        <f t="shared" si="636"/>
        <v>511221028</v>
      </c>
      <c r="F3552" s="1">
        <v>44992</v>
      </c>
      <c r="G3552" t="str">
        <f>"81337"</f>
        <v>81337</v>
      </c>
      <c r="H3552">
        <v>1</v>
      </c>
      <c r="I3552">
        <v>20</v>
      </c>
      <c r="J3552">
        <v>0</v>
      </c>
      <c r="K3552" t="str">
        <f t="shared" si="637"/>
        <v>801</v>
      </c>
      <c r="L3552">
        <v>16.8</v>
      </c>
    </row>
    <row r="3553" spans="1:12" x14ac:dyDescent="0.25">
      <c r="A3553" t="str">
        <f t="shared" si="631"/>
        <v>89301000</v>
      </c>
      <c r="B3553" t="str">
        <f t="shared" si="634"/>
        <v>93201000</v>
      </c>
      <c r="C3553" t="str">
        <f t="shared" si="635"/>
        <v>93201250</v>
      </c>
      <c r="D3553">
        <v>89301167</v>
      </c>
      <c r="E3553" t="str">
        <f t="shared" si="636"/>
        <v>511221028</v>
      </c>
      <c r="F3553" s="1">
        <v>44992</v>
      </c>
      <c r="G3553" t="str">
        <f>"81421"</f>
        <v>81421</v>
      </c>
      <c r="H3553">
        <v>1</v>
      </c>
      <c r="I3553">
        <v>19</v>
      </c>
      <c r="J3553">
        <v>0</v>
      </c>
      <c r="K3553" t="str">
        <f t="shared" si="637"/>
        <v>801</v>
      </c>
      <c r="L3553">
        <v>15.96</v>
      </c>
    </row>
    <row r="3554" spans="1:12" x14ac:dyDescent="0.25">
      <c r="A3554" t="str">
        <f t="shared" si="631"/>
        <v>89301000</v>
      </c>
      <c r="B3554" t="str">
        <f t="shared" si="634"/>
        <v>93201000</v>
      </c>
      <c r="C3554" t="str">
        <f t="shared" si="635"/>
        <v>93201250</v>
      </c>
      <c r="D3554">
        <v>89301167</v>
      </c>
      <c r="E3554" t="str">
        <f t="shared" si="636"/>
        <v>511221028</v>
      </c>
      <c r="F3554" s="1">
        <v>44992</v>
      </c>
      <c r="G3554" t="str">
        <f>"81625"</f>
        <v>81625</v>
      </c>
      <c r="H3554">
        <v>1</v>
      </c>
      <c r="I3554">
        <v>21</v>
      </c>
      <c r="J3554">
        <v>0</v>
      </c>
      <c r="K3554" t="str">
        <f t="shared" si="637"/>
        <v>801</v>
      </c>
      <c r="L3554">
        <v>17.64</v>
      </c>
    </row>
    <row r="3555" spans="1:12" x14ac:dyDescent="0.25">
      <c r="A3555" t="str">
        <f t="shared" si="631"/>
        <v>89301000</v>
      </c>
      <c r="B3555" t="str">
        <f t="shared" si="634"/>
        <v>93201000</v>
      </c>
      <c r="C3555" t="str">
        <f t="shared" si="635"/>
        <v>93201250</v>
      </c>
      <c r="D3555">
        <v>89301167</v>
      </c>
      <c r="E3555" t="str">
        <f t="shared" si="636"/>
        <v>511221028</v>
      </c>
      <c r="F3555" s="1">
        <v>44992</v>
      </c>
      <c r="G3555" t="str">
        <f>"81361"</f>
        <v>81361</v>
      </c>
      <c r="H3555">
        <v>1</v>
      </c>
      <c r="I3555">
        <v>17</v>
      </c>
      <c r="J3555">
        <v>0</v>
      </c>
      <c r="K3555" t="str">
        <f t="shared" si="637"/>
        <v>801</v>
      </c>
      <c r="L3555">
        <v>14.28</v>
      </c>
    </row>
    <row r="3556" spans="1:12" x14ac:dyDescent="0.25">
      <c r="A3556" t="str">
        <f t="shared" si="631"/>
        <v>89301000</v>
      </c>
      <c r="B3556" t="str">
        <f t="shared" si="634"/>
        <v>93201000</v>
      </c>
      <c r="C3556" t="str">
        <f t="shared" si="635"/>
        <v>93201250</v>
      </c>
      <c r="D3556">
        <v>89301167</v>
      </c>
      <c r="E3556" t="str">
        <f t="shared" si="636"/>
        <v>511221028</v>
      </c>
      <c r="F3556" s="1">
        <v>44992</v>
      </c>
      <c r="G3556" t="str">
        <f>"81357"</f>
        <v>81357</v>
      </c>
      <c r="H3556">
        <v>1</v>
      </c>
      <c r="I3556">
        <v>20</v>
      </c>
      <c r="J3556">
        <v>0</v>
      </c>
      <c r="K3556" t="str">
        <f t="shared" si="637"/>
        <v>801</v>
      </c>
      <c r="L3556">
        <v>16.8</v>
      </c>
    </row>
    <row r="3557" spans="1:12" x14ac:dyDescent="0.25">
      <c r="A3557" t="str">
        <f t="shared" si="631"/>
        <v>89301000</v>
      </c>
      <c r="B3557" t="str">
        <f t="shared" si="634"/>
        <v>93201000</v>
      </c>
      <c r="C3557" t="str">
        <f t="shared" si="635"/>
        <v>93201250</v>
      </c>
      <c r="D3557">
        <v>89301167</v>
      </c>
      <c r="E3557" t="str">
        <f t="shared" si="636"/>
        <v>511221028</v>
      </c>
      <c r="F3557" s="1">
        <v>44992</v>
      </c>
      <c r="G3557" t="str">
        <f>"81469"</f>
        <v>81469</v>
      </c>
      <c r="H3557">
        <v>1</v>
      </c>
      <c r="I3557">
        <v>16</v>
      </c>
      <c r="J3557">
        <v>0</v>
      </c>
      <c r="K3557" t="str">
        <f t="shared" si="637"/>
        <v>801</v>
      </c>
      <c r="L3557">
        <v>13.44</v>
      </c>
    </row>
    <row r="3558" spans="1:12" x14ac:dyDescent="0.25">
      <c r="A3558" t="str">
        <f t="shared" si="631"/>
        <v>89301000</v>
      </c>
      <c r="B3558" t="str">
        <f t="shared" si="634"/>
        <v>93201000</v>
      </c>
      <c r="C3558" t="str">
        <f t="shared" si="635"/>
        <v>93201250</v>
      </c>
      <c r="D3558">
        <v>89301167</v>
      </c>
      <c r="E3558" t="str">
        <f t="shared" si="636"/>
        <v>511221028</v>
      </c>
      <c r="F3558" s="1">
        <v>44992</v>
      </c>
      <c r="G3558" t="str">
        <f>"81439"</f>
        <v>81439</v>
      </c>
      <c r="H3558">
        <v>1</v>
      </c>
      <c r="I3558">
        <v>16</v>
      </c>
      <c r="J3558">
        <v>0</v>
      </c>
      <c r="K3558" t="str">
        <f t="shared" si="637"/>
        <v>801</v>
      </c>
      <c r="L3558">
        <v>13.44</v>
      </c>
    </row>
    <row r="3559" spans="1:12" x14ac:dyDescent="0.25">
      <c r="A3559" t="str">
        <f t="shared" si="631"/>
        <v>89301000</v>
      </c>
      <c r="B3559" t="str">
        <f t="shared" si="634"/>
        <v>93201000</v>
      </c>
      <c r="C3559" t="str">
        <f t="shared" si="635"/>
        <v>93201250</v>
      </c>
      <c r="D3559">
        <v>89301167</v>
      </c>
      <c r="E3559" t="str">
        <f t="shared" si="636"/>
        <v>511221028</v>
      </c>
      <c r="F3559" s="1">
        <v>44992</v>
      </c>
      <c r="G3559" t="str">
        <f>"81435"</f>
        <v>81435</v>
      </c>
      <c r="H3559">
        <v>1</v>
      </c>
      <c r="I3559">
        <v>22</v>
      </c>
      <c r="J3559">
        <v>0</v>
      </c>
      <c r="K3559" t="str">
        <f t="shared" si="637"/>
        <v>801</v>
      </c>
      <c r="L3559">
        <v>18.48</v>
      </c>
    </row>
    <row r="3560" spans="1:12" x14ac:dyDescent="0.25">
      <c r="A3560" t="str">
        <f t="shared" si="631"/>
        <v>89301000</v>
      </c>
      <c r="B3560" t="str">
        <f t="shared" si="634"/>
        <v>93201000</v>
      </c>
      <c r="C3560" t="str">
        <f t="shared" si="635"/>
        <v>93201250</v>
      </c>
      <c r="D3560">
        <v>89301167</v>
      </c>
      <c r="E3560" t="str">
        <f t="shared" si="636"/>
        <v>511221028</v>
      </c>
      <c r="F3560" s="1">
        <v>44992</v>
      </c>
      <c r="G3560" t="str">
        <f>"81393"</f>
        <v>81393</v>
      </c>
      <c r="H3560">
        <v>1</v>
      </c>
      <c r="I3560">
        <v>24</v>
      </c>
      <c r="J3560">
        <v>0</v>
      </c>
      <c r="K3560" t="str">
        <f t="shared" si="637"/>
        <v>801</v>
      </c>
      <c r="L3560">
        <v>20.16</v>
      </c>
    </row>
    <row r="3561" spans="1:12" x14ac:dyDescent="0.25">
      <c r="A3561" t="str">
        <f t="shared" si="631"/>
        <v>89301000</v>
      </c>
      <c r="B3561" t="str">
        <f t="shared" si="634"/>
        <v>93201000</v>
      </c>
      <c r="C3561" t="str">
        <f t="shared" si="635"/>
        <v>93201250</v>
      </c>
      <c r="D3561">
        <v>89301167</v>
      </c>
      <c r="E3561" t="str">
        <f t="shared" si="636"/>
        <v>511221028</v>
      </c>
      <c r="F3561" s="1">
        <v>44992</v>
      </c>
      <c r="G3561" t="str">
        <f>"81499"</f>
        <v>81499</v>
      </c>
      <c r="H3561">
        <v>1</v>
      </c>
      <c r="I3561">
        <v>18</v>
      </c>
      <c r="J3561">
        <v>0</v>
      </c>
      <c r="K3561" t="str">
        <f t="shared" si="637"/>
        <v>801</v>
      </c>
      <c r="L3561">
        <v>15.12</v>
      </c>
    </row>
    <row r="3562" spans="1:12" x14ac:dyDescent="0.25">
      <c r="A3562" t="str">
        <f t="shared" si="631"/>
        <v>89301000</v>
      </c>
      <c r="B3562" t="str">
        <f t="shared" si="634"/>
        <v>93201000</v>
      </c>
      <c r="C3562" t="str">
        <f t="shared" si="635"/>
        <v>93201250</v>
      </c>
      <c r="D3562">
        <v>89301167</v>
      </c>
      <c r="E3562" t="str">
        <f t="shared" si="636"/>
        <v>511221028</v>
      </c>
      <c r="F3562" s="1">
        <v>44992</v>
      </c>
      <c r="G3562" t="str">
        <f>"81523"</f>
        <v>81523</v>
      </c>
      <c r="H3562">
        <v>1</v>
      </c>
      <c r="I3562">
        <v>23</v>
      </c>
      <c r="J3562">
        <v>0</v>
      </c>
      <c r="K3562" t="str">
        <f t="shared" si="637"/>
        <v>801</v>
      </c>
      <c r="L3562">
        <v>19.32</v>
      </c>
    </row>
    <row r="3563" spans="1:12" x14ac:dyDescent="0.25">
      <c r="A3563" t="str">
        <f t="shared" si="631"/>
        <v>89301000</v>
      </c>
      <c r="B3563" t="str">
        <f t="shared" si="634"/>
        <v>93201000</v>
      </c>
      <c r="C3563" t="str">
        <f t="shared" si="635"/>
        <v>93201250</v>
      </c>
      <c r="D3563">
        <v>89301167</v>
      </c>
      <c r="E3563" t="str">
        <f t="shared" si="636"/>
        <v>511221028</v>
      </c>
      <c r="F3563" s="1">
        <v>44992</v>
      </c>
      <c r="G3563" t="str">
        <f>"81593"</f>
        <v>81593</v>
      </c>
      <c r="H3563">
        <v>1</v>
      </c>
      <c r="I3563">
        <v>22</v>
      </c>
      <c r="J3563">
        <v>0</v>
      </c>
      <c r="K3563" t="str">
        <f t="shared" si="637"/>
        <v>801</v>
      </c>
      <c r="L3563">
        <v>18.48</v>
      </c>
    </row>
    <row r="3564" spans="1:12" x14ac:dyDescent="0.25">
      <c r="A3564" t="str">
        <f t="shared" si="631"/>
        <v>89301000</v>
      </c>
      <c r="B3564" t="str">
        <f t="shared" si="634"/>
        <v>93201000</v>
      </c>
      <c r="C3564" t="str">
        <f t="shared" si="635"/>
        <v>93201250</v>
      </c>
      <c r="D3564">
        <v>89301167</v>
      </c>
      <c r="E3564" t="str">
        <f t="shared" si="636"/>
        <v>511221028</v>
      </c>
      <c r="F3564" s="1">
        <v>44992</v>
      </c>
      <c r="G3564" t="str">
        <f>"81383"</f>
        <v>81383</v>
      </c>
      <c r="H3564">
        <v>1</v>
      </c>
      <c r="I3564">
        <v>24</v>
      </c>
      <c r="J3564">
        <v>0</v>
      </c>
      <c r="K3564" t="str">
        <f t="shared" si="637"/>
        <v>801</v>
      </c>
      <c r="L3564">
        <v>20.16</v>
      </c>
    </row>
    <row r="3565" spans="1:12" x14ac:dyDescent="0.25">
      <c r="A3565" t="str">
        <f t="shared" si="631"/>
        <v>89301000</v>
      </c>
      <c r="B3565" t="str">
        <f t="shared" si="634"/>
        <v>93201000</v>
      </c>
      <c r="C3565" t="str">
        <f t="shared" si="635"/>
        <v>93201250</v>
      </c>
      <c r="D3565">
        <v>89301167</v>
      </c>
      <c r="E3565" t="str">
        <f t="shared" si="636"/>
        <v>511221028</v>
      </c>
      <c r="F3565" s="1">
        <v>44992</v>
      </c>
      <c r="G3565" t="str">
        <f>"81365"</f>
        <v>81365</v>
      </c>
      <c r="H3565">
        <v>1</v>
      </c>
      <c r="I3565">
        <v>16</v>
      </c>
      <c r="J3565">
        <v>0</v>
      </c>
      <c r="K3565" t="str">
        <f t="shared" si="637"/>
        <v>801</v>
      </c>
      <c r="L3565">
        <v>13.44</v>
      </c>
    </row>
    <row r="3566" spans="1:12" x14ac:dyDescent="0.25">
      <c r="A3566" t="str">
        <f t="shared" si="631"/>
        <v>89301000</v>
      </c>
      <c r="B3566" t="str">
        <f t="shared" si="634"/>
        <v>93201000</v>
      </c>
      <c r="C3566" t="str">
        <f t="shared" si="635"/>
        <v>93201250</v>
      </c>
      <c r="D3566">
        <v>89301167</v>
      </c>
      <c r="E3566" t="str">
        <f t="shared" si="636"/>
        <v>511221028</v>
      </c>
      <c r="F3566" s="1">
        <v>44992</v>
      </c>
      <c r="G3566" t="str">
        <f>"93195"</f>
        <v>93195</v>
      </c>
      <c r="H3566">
        <v>1</v>
      </c>
      <c r="I3566">
        <v>183</v>
      </c>
      <c r="J3566">
        <v>0</v>
      </c>
      <c r="K3566" t="str">
        <f t="shared" si="637"/>
        <v>801</v>
      </c>
      <c r="L3566">
        <v>153.72</v>
      </c>
    </row>
    <row r="3567" spans="1:12" x14ac:dyDescent="0.25">
      <c r="A3567" t="str">
        <f t="shared" si="631"/>
        <v>89301000</v>
      </c>
      <c r="B3567" t="str">
        <f t="shared" si="634"/>
        <v>93201000</v>
      </c>
      <c r="C3567" t="str">
        <f t="shared" si="635"/>
        <v>93201250</v>
      </c>
      <c r="D3567">
        <v>89301167</v>
      </c>
      <c r="E3567" t="str">
        <f t="shared" si="636"/>
        <v>511221028</v>
      </c>
      <c r="F3567" s="1">
        <v>44992</v>
      </c>
      <c r="G3567" t="str">
        <f>"93189"</f>
        <v>93189</v>
      </c>
      <c r="H3567">
        <v>1</v>
      </c>
      <c r="I3567">
        <v>191</v>
      </c>
      <c r="J3567">
        <v>0</v>
      </c>
      <c r="K3567" t="str">
        <f t="shared" si="637"/>
        <v>801</v>
      </c>
      <c r="L3567">
        <v>160.44</v>
      </c>
    </row>
    <row r="3568" spans="1:12" x14ac:dyDescent="0.25">
      <c r="A3568" t="str">
        <f t="shared" si="631"/>
        <v>89301000</v>
      </c>
      <c r="B3568" t="str">
        <f t="shared" si="634"/>
        <v>93201000</v>
      </c>
      <c r="C3568" t="str">
        <f t="shared" si="635"/>
        <v>93201250</v>
      </c>
      <c r="D3568">
        <v>89301167</v>
      </c>
      <c r="E3568" t="str">
        <f t="shared" si="636"/>
        <v>511221028</v>
      </c>
      <c r="F3568" s="1">
        <v>44992</v>
      </c>
      <c r="G3568" t="str">
        <f>"81621"</f>
        <v>81621</v>
      </c>
      <c r="H3568">
        <v>1</v>
      </c>
      <c r="I3568">
        <v>19</v>
      </c>
      <c r="J3568">
        <v>0</v>
      </c>
      <c r="K3568" t="str">
        <f t="shared" si="637"/>
        <v>801</v>
      </c>
      <c r="L3568">
        <v>15.96</v>
      </c>
    </row>
    <row r="3569" spans="1:12" x14ac:dyDescent="0.25">
      <c r="A3569" t="str">
        <f t="shared" si="631"/>
        <v>89301000</v>
      </c>
      <c r="B3569" t="str">
        <f t="shared" si="634"/>
        <v>93201000</v>
      </c>
      <c r="C3569" t="str">
        <f>"93201130"</f>
        <v>93201130</v>
      </c>
      <c r="D3569">
        <v>89301167</v>
      </c>
      <c r="E3569" t="str">
        <f t="shared" si="636"/>
        <v>511221028</v>
      </c>
      <c r="F3569" s="1">
        <v>44992</v>
      </c>
      <c r="G3569" t="str">
        <f>"96167"</f>
        <v>96167</v>
      </c>
      <c r="H3569">
        <v>1</v>
      </c>
      <c r="I3569">
        <v>67</v>
      </c>
      <c r="J3569">
        <v>0</v>
      </c>
      <c r="K3569" t="str">
        <f>"818"</f>
        <v>818</v>
      </c>
      <c r="L3569">
        <v>64.989999999999995</v>
      </c>
    </row>
    <row r="3570" spans="1:12" x14ac:dyDescent="0.25">
      <c r="A3570" t="str">
        <f t="shared" si="631"/>
        <v>89301000</v>
      </c>
      <c r="B3570" t="str">
        <f t="shared" si="634"/>
        <v>93201000</v>
      </c>
      <c r="C3570" t="str">
        <f t="shared" ref="C3570:C3579" si="638">"93201350"</f>
        <v>93201350</v>
      </c>
      <c r="D3570">
        <v>89301212</v>
      </c>
      <c r="E3570" t="str">
        <f>"8662296247"</f>
        <v>8662296247</v>
      </c>
      <c r="F3570" s="1">
        <v>45006</v>
      </c>
      <c r="G3570" t="str">
        <f>"89617"</f>
        <v>89617</v>
      </c>
      <c r="H3570">
        <v>1</v>
      </c>
      <c r="I3570">
        <v>1342</v>
      </c>
      <c r="J3570">
        <v>0</v>
      </c>
      <c r="K3570" t="str">
        <f t="shared" ref="K3570:K3579" si="639">"809"</f>
        <v>809</v>
      </c>
      <c r="L3570">
        <v>872.3</v>
      </c>
    </row>
    <row r="3571" spans="1:12" x14ac:dyDescent="0.25">
      <c r="A3571" t="str">
        <f t="shared" si="631"/>
        <v>89301000</v>
      </c>
      <c r="B3571" t="str">
        <f t="shared" si="634"/>
        <v>93201000</v>
      </c>
      <c r="C3571" t="str">
        <f t="shared" si="638"/>
        <v>93201350</v>
      </c>
      <c r="D3571">
        <v>89301212</v>
      </c>
      <c r="E3571" t="str">
        <f>"8662296247"</f>
        <v>8662296247</v>
      </c>
      <c r="F3571" s="1">
        <v>45006</v>
      </c>
      <c r="G3571" t="str">
        <f>"89619"</f>
        <v>89619</v>
      </c>
      <c r="H3571">
        <v>1</v>
      </c>
      <c r="I3571">
        <v>1218</v>
      </c>
      <c r="J3571">
        <v>0</v>
      </c>
      <c r="K3571" t="str">
        <f t="shared" si="639"/>
        <v>809</v>
      </c>
      <c r="L3571">
        <v>791.7</v>
      </c>
    </row>
    <row r="3572" spans="1:12" x14ac:dyDescent="0.25">
      <c r="A3572" t="str">
        <f t="shared" si="631"/>
        <v>89301000</v>
      </c>
      <c r="B3572" t="str">
        <f t="shared" si="634"/>
        <v>93201000</v>
      </c>
      <c r="C3572" t="str">
        <f t="shared" si="638"/>
        <v>93201350</v>
      </c>
      <c r="D3572">
        <v>89301212</v>
      </c>
      <c r="E3572" t="str">
        <f>"8662296247"</f>
        <v>8662296247</v>
      </c>
      <c r="F3572" s="1">
        <v>45006</v>
      </c>
      <c r="G3572" t="str">
        <f>"0096278"</f>
        <v>0096278</v>
      </c>
      <c r="H3572">
        <v>3.2000000000000001E-2</v>
      </c>
      <c r="J3572">
        <v>622.25</v>
      </c>
      <c r="K3572" t="str">
        <f t="shared" si="639"/>
        <v>809</v>
      </c>
      <c r="L3572">
        <v>622.25</v>
      </c>
    </row>
    <row r="3573" spans="1:12" x14ac:dyDescent="0.25">
      <c r="A3573" t="str">
        <f t="shared" si="631"/>
        <v>89301000</v>
      </c>
      <c r="B3573" t="str">
        <f t="shared" si="634"/>
        <v>93201000</v>
      </c>
      <c r="C3573" t="str">
        <f t="shared" si="638"/>
        <v>93201350</v>
      </c>
      <c r="D3573">
        <v>89301215</v>
      </c>
      <c r="E3573" t="str">
        <f>"5452140507"</f>
        <v>5452140507</v>
      </c>
      <c r="F3573" s="1">
        <v>45015</v>
      </c>
      <c r="G3573" t="str">
        <f>"89512"</f>
        <v>89512</v>
      </c>
      <c r="H3573">
        <v>1</v>
      </c>
      <c r="I3573">
        <v>283</v>
      </c>
      <c r="J3573">
        <v>0</v>
      </c>
      <c r="K3573" t="str">
        <f t="shared" si="639"/>
        <v>809</v>
      </c>
      <c r="L3573">
        <v>416.01</v>
      </c>
    </row>
    <row r="3574" spans="1:12" x14ac:dyDescent="0.25">
      <c r="A3574" t="str">
        <f t="shared" si="631"/>
        <v>89301000</v>
      </c>
      <c r="B3574" t="str">
        <f t="shared" si="634"/>
        <v>93201000</v>
      </c>
      <c r="C3574" t="str">
        <f t="shared" si="638"/>
        <v>93201350</v>
      </c>
      <c r="D3574">
        <v>89301215</v>
      </c>
      <c r="E3574" t="str">
        <f>"5452140507"</f>
        <v>5452140507</v>
      </c>
      <c r="F3574" s="1">
        <v>45015</v>
      </c>
      <c r="G3574" t="str">
        <f>"89180"</f>
        <v>89180</v>
      </c>
      <c r="H3574">
        <v>2</v>
      </c>
      <c r="I3574">
        <v>762</v>
      </c>
      <c r="J3574">
        <v>0</v>
      </c>
      <c r="K3574" t="str">
        <f t="shared" si="639"/>
        <v>809</v>
      </c>
      <c r="L3574">
        <v>1120.1400000000001</v>
      </c>
    </row>
    <row r="3575" spans="1:12" x14ac:dyDescent="0.25">
      <c r="A3575" t="str">
        <f t="shared" si="631"/>
        <v>89301000</v>
      </c>
      <c r="B3575" t="str">
        <f t="shared" si="634"/>
        <v>93201000</v>
      </c>
      <c r="C3575" t="str">
        <f t="shared" si="638"/>
        <v>93201350</v>
      </c>
      <c r="D3575">
        <v>89301292</v>
      </c>
      <c r="E3575" t="str">
        <f>"6762150362"</f>
        <v>6762150362</v>
      </c>
      <c r="F3575" s="1">
        <v>45014</v>
      </c>
      <c r="G3575" t="str">
        <f>"89512"</f>
        <v>89512</v>
      </c>
      <c r="H3575">
        <v>1</v>
      </c>
      <c r="I3575">
        <v>283</v>
      </c>
      <c r="J3575">
        <v>0</v>
      </c>
      <c r="K3575" t="str">
        <f t="shared" si="639"/>
        <v>809</v>
      </c>
      <c r="L3575">
        <v>416.01</v>
      </c>
    </row>
    <row r="3576" spans="1:12" x14ac:dyDescent="0.25">
      <c r="A3576" t="str">
        <f t="shared" si="631"/>
        <v>89301000</v>
      </c>
      <c r="B3576" t="str">
        <f t="shared" si="634"/>
        <v>93201000</v>
      </c>
      <c r="C3576" t="str">
        <f t="shared" si="638"/>
        <v>93201350</v>
      </c>
      <c r="D3576">
        <v>89301212</v>
      </c>
      <c r="E3576" t="str">
        <f>"8061295781"</f>
        <v>8061295781</v>
      </c>
      <c r="F3576" s="1">
        <v>45008</v>
      </c>
      <c r="G3576" t="str">
        <f>"89512"</f>
        <v>89512</v>
      </c>
      <c r="H3576">
        <v>1</v>
      </c>
      <c r="I3576">
        <v>283</v>
      </c>
      <c r="J3576">
        <v>0</v>
      </c>
      <c r="K3576" t="str">
        <f t="shared" si="639"/>
        <v>809</v>
      </c>
      <c r="L3576">
        <v>416.01</v>
      </c>
    </row>
    <row r="3577" spans="1:12" x14ac:dyDescent="0.25">
      <c r="A3577" t="str">
        <f t="shared" si="631"/>
        <v>89301000</v>
      </c>
      <c r="B3577" t="str">
        <f t="shared" si="634"/>
        <v>93201000</v>
      </c>
      <c r="C3577" t="str">
        <f t="shared" si="638"/>
        <v>93201350</v>
      </c>
      <c r="D3577">
        <v>89301212</v>
      </c>
      <c r="E3577" t="str">
        <f>"8061295781"</f>
        <v>8061295781</v>
      </c>
      <c r="F3577" s="1">
        <v>45008</v>
      </c>
      <c r="G3577" t="str">
        <f>"89180"</f>
        <v>89180</v>
      </c>
      <c r="H3577">
        <v>2</v>
      </c>
      <c r="I3577">
        <v>762</v>
      </c>
      <c r="J3577">
        <v>0</v>
      </c>
      <c r="K3577" t="str">
        <f t="shared" si="639"/>
        <v>809</v>
      </c>
      <c r="L3577">
        <v>1120.1400000000001</v>
      </c>
    </row>
    <row r="3578" spans="1:12" x14ac:dyDescent="0.25">
      <c r="A3578" t="str">
        <f t="shared" si="631"/>
        <v>89301000</v>
      </c>
      <c r="B3578" t="str">
        <f t="shared" si="634"/>
        <v>93201000</v>
      </c>
      <c r="C3578" t="str">
        <f t="shared" si="638"/>
        <v>93201350</v>
      </c>
      <c r="D3578">
        <v>89301292</v>
      </c>
      <c r="E3578" t="str">
        <f>"8458085163"</f>
        <v>8458085163</v>
      </c>
      <c r="F3578" s="1">
        <v>45013</v>
      </c>
      <c r="G3578" t="str">
        <f>"89180"</f>
        <v>89180</v>
      </c>
      <c r="H3578">
        <v>2</v>
      </c>
      <c r="I3578">
        <v>762</v>
      </c>
      <c r="J3578">
        <v>0</v>
      </c>
      <c r="K3578" t="str">
        <f t="shared" si="639"/>
        <v>809</v>
      </c>
      <c r="L3578">
        <v>1120.1400000000001</v>
      </c>
    </row>
    <row r="3579" spans="1:12" x14ac:dyDescent="0.25">
      <c r="A3579" t="str">
        <f t="shared" si="631"/>
        <v>89301000</v>
      </c>
      <c r="B3579" t="str">
        <f t="shared" si="634"/>
        <v>93201000</v>
      </c>
      <c r="C3579" t="str">
        <f t="shared" si="638"/>
        <v>93201350</v>
      </c>
      <c r="D3579">
        <v>89301212</v>
      </c>
      <c r="E3579" t="str">
        <f>"8801116225"</f>
        <v>8801116225</v>
      </c>
      <c r="F3579" s="1">
        <v>44986</v>
      </c>
      <c r="G3579" t="str">
        <f>"89512"</f>
        <v>89512</v>
      </c>
      <c r="H3579">
        <v>1</v>
      </c>
      <c r="I3579">
        <v>283</v>
      </c>
      <c r="J3579">
        <v>0</v>
      </c>
      <c r="K3579" t="str">
        <f t="shared" si="639"/>
        <v>809</v>
      </c>
      <c r="L3579">
        <v>416.01</v>
      </c>
    </row>
    <row r="3580" spans="1:12" x14ac:dyDescent="0.25">
      <c r="A3580" t="str">
        <f t="shared" si="631"/>
        <v>89301000</v>
      </c>
      <c r="B3580" t="str">
        <f t="shared" si="634"/>
        <v>93201000</v>
      </c>
      <c r="C3580" t="str">
        <f t="shared" ref="C3580:C3591" si="640">"93201355"</f>
        <v>93201355</v>
      </c>
      <c r="D3580">
        <v>89301062</v>
      </c>
      <c r="E3580" t="str">
        <f>"7212025777"</f>
        <v>7212025777</v>
      </c>
      <c r="F3580" s="1">
        <v>44994</v>
      </c>
      <c r="G3580" t="str">
        <f>"89713"</f>
        <v>89713</v>
      </c>
      <c r="H3580">
        <v>1</v>
      </c>
      <c r="I3580">
        <v>5411</v>
      </c>
      <c r="J3580">
        <v>0</v>
      </c>
      <c r="K3580" t="str">
        <f t="shared" ref="K3580:K3591" si="641">"810"</f>
        <v>810</v>
      </c>
      <c r="L3580">
        <v>3517.15</v>
      </c>
    </row>
    <row r="3581" spans="1:12" x14ac:dyDescent="0.25">
      <c r="A3581" t="str">
        <f t="shared" si="631"/>
        <v>89301000</v>
      </c>
      <c r="B3581" t="str">
        <f t="shared" si="634"/>
        <v>93201000</v>
      </c>
      <c r="C3581" t="str">
        <f t="shared" si="640"/>
        <v>93201355</v>
      </c>
      <c r="D3581">
        <v>89301062</v>
      </c>
      <c r="E3581" t="str">
        <f>"6011200591"</f>
        <v>6011200591</v>
      </c>
      <c r="F3581" s="1">
        <v>45014</v>
      </c>
      <c r="G3581" t="str">
        <f>"89713"</f>
        <v>89713</v>
      </c>
      <c r="H3581">
        <v>1</v>
      </c>
      <c r="I3581">
        <v>5411</v>
      </c>
      <c r="J3581">
        <v>0</v>
      </c>
      <c r="K3581" t="str">
        <f t="shared" si="641"/>
        <v>810</v>
      </c>
      <c r="L3581">
        <v>3517.15</v>
      </c>
    </row>
    <row r="3582" spans="1:12" x14ac:dyDescent="0.25">
      <c r="A3582" t="str">
        <f t="shared" si="631"/>
        <v>89301000</v>
      </c>
      <c r="B3582" t="str">
        <f t="shared" si="634"/>
        <v>93201000</v>
      </c>
      <c r="C3582" t="str">
        <f t="shared" si="640"/>
        <v>93201355</v>
      </c>
      <c r="D3582">
        <v>89301062</v>
      </c>
      <c r="E3582" t="str">
        <f>"6011200591"</f>
        <v>6011200591</v>
      </c>
      <c r="F3582" s="1">
        <v>45014</v>
      </c>
      <c r="G3582" t="str">
        <f>"89725"</f>
        <v>89725</v>
      </c>
      <c r="H3582">
        <v>1</v>
      </c>
      <c r="I3582">
        <v>2863</v>
      </c>
      <c r="J3582">
        <v>0</v>
      </c>
      <c r="K3582" t="str">
        <f t="shared" si="641"/>
        <v>810</v>
      </c>
      <c r="L3582">
        <v>1860.95</v>
      </c>
    </row>
    <row r="3583" spans="1:12" x14ac:dyDescent="0.25">
      <c r="A3583" t="str">
        <f t="shared" si="631"/>
        <v>89301000</v>
      </c>
      <c r="B3583" t="str">
        <f t="shared" si="634"/>
        <v>93201000</v>
      </c>
      <c r="C3583" t="str">
        <f t="shared" si="640"/>
        <v>93201355</v>
      </c>
      <c r="D3583">
        <v>89301062</v>
      </c>
      <c r="E3583" t="str">
        <f>"6011200591"</f>
        <v>6011200591</v>
      </c>
      <c r="F3583" s="1">
        <v>45014</v>
      </c>
      <c r="G3583" t="str">
        <f>"0054255"</f>
        <v>0054255</v>
      </c>
      <c r="H3583">
        <v>1</v>
      </c>
      <c r="J3583">
        <v>1686.92</v>
      </c>
      <c r="K3583" t="str">
        <f t="shared" si="641"/>
        <v>810</v>
      </c>
      <c r="L3583">
        <v>1686.92</v>
      </c>
    </row>
    <row r="3584" spans="1:12" x14ac:dyDescent="0.25">
      <c r="A3584" t="str">
        <f t="shared" si="631"/>
        <v>89301000</v>
      </c>
      <c r="B3584" t="str">
        <f t="shared" si="634"/>
        <v>93201000</v>
      </c>
      <c r="C3584" t="str">
        <f t="shared" si="640"/>
        <v>93201355</v>
      </c>
      <c r="D3584">
        <v>89301112</v>
      </c>
      <c r="E3584" t="str">
        <f>"0755106143"</f>
        <v>0755106143</v>
      </c>
      <c r="F3584" s="1">
        <v>45012</v>
      </c>
      <c r="G3584" t="str">
        <f>"89713"</f>
        <v>89713</v>
      </c>
      <c r="H3584">
        <v>1</v>
      </c>
      <c r="I3584">
        <v>5411</v>
      </c>
      <c r="J3584">
        <v>0</v>
      </c>
      <c r="K3584" t="str">
        <f t="shared" si="641"/>
        <v>810</v>
      </c>
      <c r="L3584">
        <v>3517.15</v>
      </c>
    </row>
    <row r="3585" spans="1:12" x14ac:dyDescent="0.25">
      <c r="A3585" t="str">
        <f t="shared" si="631"/>
        <v>89301000</v>
      </c>
      <c r="B3585" t="str">
        <f t="shared" si="634"/>
        <v>93201000</v>
      </c>
      <c r="C3585" t="str">
        <f t="shared" si="640"/>
        <v>93201355</v>
      </c>
      <c r="D3585">
        <v>89301062</v>
      </c>
      <c r="E3585" t="str">
        <f>"8501206208"</f>
        <v>8501206208</v>
      </c>
      <c r="F3585" s="1">
        <v>45002</v>
      </c>
      <c r="G3585" t="str">
        <f>"89713"</f>
        <v>89713</v>
      </c>
      <c r="H3585">
        <v>1</v>
      </c>
      <c r="I3585">
        <v>5411</v>
      </c>
      <c r="J3585">
        <v>0</v>
      </c>
      <c r="K3585" t="str">
        <f t="shared" si="641"/>
        <v>810</v>
      </c>
      <c r="L3585">
        <v>3517.15</v>
      </c>
    </row>
    <row r="3586" spans="1:12" x14ac:dyDescent="0.25">
      <c r="A3586" t="str">
        <f t="shared" ref="A3586:A3649" si="642">"89301000"</f>
        <v>89301000</v>
      </c>
      <c r="B3586" t="str">
        <f t="shared" si="634"/>
        <v>93201000</v>
      </c>
      <c r="C3586" t="str">
        <f t="shared" si="640"/>
        <v>93201355</v>
      </c>
      <c r="D3586">
        <v>89301062</v>
      </c>
      <c r="E3586" t="str">
        <f>"8501206208"</f>
        <v>8501206208</v>
      </c>
      <c r="F3586" s="1">
        <v>45002</v>
      </c>
      <c r="G3586" t="str">
        <f>"89725"</f>
        <v>89725</v>
      </c>
      <c r="H3586">
        <v>1</v>
      </c>
      <c r="I3586">
        <v>2863</v>
      </c>
      <c r="J3586">
        <v>0</v>
      </c>
      <c r="K3586" t="str">
        <f t="shared" si="641"/>
        <v>810</v>
      </c>
      <c r="L3586">
        <v>1860.95</v>
      </c>
    </row>
    <row r="3587" spans="1:12" x14ac:dyDescent="0.25">
      <c r="A3587" t="str">
        <f t="shared" si="642"/>
        <v>89301000</v>
      </c>
      <c r="B3587" t="str">
        <f t="shared" si="634"/>
        <v>93201000</v>
      </c>
      <c r="C3587" t="str">
        <f t="shared" si="640"/>
        <v>93201355</v>
      </c>
      <c r="D3587">
        <v>89301062</v>
      </c>
      <c r="E3587" t="str">
        <f>"8501206208"</f>
        <v>8501206208</v>
      </c>
      <c r="F3587" s="1">
        <v>45002</v>
      </c>
      <c r="G3587" t="str">
        <f>"0054255"</f>
        <v>0054255</v>
      </c>
      <c r="H3587">
        <v>1</v>
      </c>
      <c r="J3587">
        <v>1686.92</v>
      </c>
      <c r="K3587" t="str">
        <f t="shared" si="641"/>
        <v>810</v>
      </c>
      <c r="L3587">
        <v>1686.92</v>
      </c>
    </row>
    <row r="3588" spans="1:12" x14ac:dyDescent="0.25">
      <c r="A3588" t="str">
        <f t="shared" si="642"/>
        <v>89301000</v>
      </c>
      <c r="B3588" t="str">
        <f t="shared" si="634"/>
        <v>93201000</v>
      </c>
      <c r="C3588" t="str">
        <f t="shared" si="640"/>
        <v>93201355</v>
      </c>
      <c r="D3588">
        <v>89301062</v>
      </c>
      <c r="E3588" t="str">
        <f>"6751120332"</f>
        <v>6751120332</v>
      </c>
      <c r="F3588" s="1">
        <v>44991</v>
      </c>
      <c r="G3588" t="str">
        <f>"89713"</f>
        <v>89713</v>
      </c>
      <c r="H3588">
        <v>1</v>
      </c>
      <c r="I3588">
        <v>5411</v>
      </c>
      <c r="J3588">
        <v>0</v>
      </c>
      <c r="K3588" t="str">
        <f t="shared" si="641"/>
        <v>810</v>
      </c>
      <c r="L3588">
        <v>3517.15</v>
      </c>
    </row>
    <row r="3589" spans="1:12" x14ac:dyDescent="0.25">
      <c r="A3589" t="str">
        <f t="shared" si="642"/>
        <v>89301000</v>
      </c>
      <c r="B3589" t="str">
        <f t="shared" si="634"/>
        <v>93201000</v>
      </c>
      <c r="C3589" t="str">
        <f t="shared" si="640"/>
        <v>93201355</v>
      </c>
      <c r="D3589">
        <v>89301062</v>
      </c>
      <c r="E3589" t="str">
        <f>"7404185756"</f>
        <v>7404185756</v>
      </c>
      <c r="F3589" s="1">
        <v>45000</v>
      </c>
      <c r="G3589" t="str">
        <f>"89713"</f>
        <v>89713</v>
      </c>
      <c r="H3589">
        <v>1</v>
      </c>
      <c r="I3589">
        <v>5411</v>
      </c>
      <c r="J3589">
        <v>0</v>
      </c>
      <c r="K3589" t="str">
        <f t="shared" si="641"/>
        <v>810</v>
      </c>
      <c r="L3589">
        <v>3517.15</v>
      </c>
    </row>
    <row r="3590" spans="1:12" x14ac:dyDescent="0.25">
      <c r="A3590" t="str">
        <f t="shared" si="642"/>
        <v>89301000</v>
      </c>
      <c r="B3590" t="str">
        <f t="shared" si="634"/>
        <v>93201000</v>
      </c>
      <c r="C3590" t="str">
        <f t="shared" si="640"/>
        <v>93201355</v>
      </c>
      <c r="D3590">
        <v>89301062</v>
      </c>
      <c r="E3590" t="str">
        <f>"1410240953"</f>
        <v>1410240953</v>
      </c>
      <c r="F3590" s="1">
        <v>45000</v>
      </c>
      <c r="G3590" t="str">
        <f>"89713"</f>
        <v>89713</v>
      </c>
      <c r="H3590">
        <v>1</v>
      </c>
      <c r="I3590">
        <v>5411</v>
      </c>
      <c r="J3590">
        <v>0</v>
      </c>
      <c r="K3590" t="str">
        <f t="shared" si="641"/>
        <v>810</v>
      </c>
      <c r="L3590">
        <v>3517.15</v>
      </c>
    </row>
    <row r="3591" spans="1:12" x14ac:dyDescent="0.25">
      <c r="A3591" t="str">
        <f t="shared" si="642"/>
        <v>89301000</v>
      </c>
      <c r="B3591" t="str">
        <f t="shared" si="634"/>
        <v>93201000</v>
      </c>
      <c r="C3591" t="str">
        <f t="shared" si="640"/>
        <v>93201355</v>
      </c>
      <c r="D3591">
        <v>89301062</v>
      </c>
      <c r="E3591" t="str">
        <f>"1410240953"</f>
        <v>1410240953</v>
      </c>
      <c r="F3591" s="1">
        <v>45000</v>
      </c>
      <c r="G3591" t="str">
        <f>"89725"</f>
        <v>89725</v>
      </c>
      <c r="H3591">
        <v>1</v>
      </c>
      <c r="I3591">
        <v>2863</v>
      </c>
      <c r="J3591">
        <v>0</v>
      </c>
      <c r="K3591" t="str">
        <f t="shared" si="641"/>
        <v>810</v>
      </c>
      <c r="L3591">
        <v>1860.95</v>
      </c>
    </row>
    <row r="3592" spans="1:12" x14ac:dyDescent="0.25">
      <c r="A3592" t="str">
        <f t="shared" si="642"/>
        <v>89301000</v>
      </c>
      <c r="B3592" t="str">
        <f>"72100000"</f>
        <v>72100000</v>
      </c>
      <c r="C3592" t="str">
        <f>"72100632"</f>
        <v>72100632</v>
      </c>
      <c r="D3592">
        <v>89301282</v>
      </c>
      <c r="E3592" t="str">
        <f>"1009210521"</f>
        <v>1009210521</v>
      </c>
      <c r="F3592" s="1">
        <v>44722</v>
      </c>
      <c r="G3592" t="str">
        <f>"94964"</f>
        <v>94964</v>
      </c>
      <c r="H3592">
        <v>1</v>
      </c>
      <c r="I3592">
        <v>0</v>
      </c>
      <c r="J3592">
        <v>1952</v>
      </c>
      <c r="K3592" t="str">
        <f>"816"</f>
        <v>816</v>
      </c>
      <c r="L3592">
        <v>1952</v>
      </c>
    </row>
    <row r="3593" spans="1:12" x14ac:dyDescent="0.25">
      <c r="A3593" t="str">
        <f t="shared" si="642"/>
        <v>89301000</v>
      </c>
      <c r="B3593" t="str">
        <f>"72100000"</f>
        <v>72100000</v>
      </c>
      <c r="C3593" t="str">
        <f>"72100659"</f>
        <v>72100659</v>
      </c>
      <c r="D3593">
        <v>89301109</v>
      </c>
      <c r="E3593" t="str">
        <f>"0653313265"</f>
        <v>0653313265</v>
      </c>
      <c r="F3593" s="1">
        <v>45008</v>
      </c>
      <c r="G3593" t="str">
        <f>"99141"</f>
        <v>99141</v>
      </c>
      <c r="H3593">
        <v>1</v>
      </c>
      <c r="I3593">
        <v>460</v>
      </c>
      <c r="J3593">
        <v>0</v>
      </c>
      <c r="K3593" t="str">
        <f>"801"</f>
        <v>801</v>
      </c>
      <c r="L3593">
        <v>386.4</v>
      </c>
    </row>
    <row r="3594" spans="1:12" x14ac:dyDescent="0.25">
      <c r="A3594" t="str">
        <f t="shared" si="642"/>
        <v>89301000</v>
      </c>
      <c r="B3594" t="str">
        <f>"72100000"</f>
        <v>72100000</v>
      </c>
      <c r="C3594" t="str">
        <f>"72100632"</f>
        <v>72100632</v>
      </c>
      <c r="D3594">
        <v>89301282</v>
      </c>
      <c r="E3594" t="str">
        <f>"8812205798"</f>
        <v>8812205798</v>
      </c>
      <c r="F3594" s="1">
        <v>44973</v>
      </c>
      <c r="G3594" t="str">
        <f>"94221"</f>
        <v>94221</v>
      </c>
      <c r="H3594">
        <v>1</v>
      </c>
      <c r="I3594">
        <v>2467</v>
      </c>
      <c r="J3594">
        <v>0</v>
      </c>
      <c r="K3594" t="str">
        <f>"816"</f>
        <v>816</v>
      </c>
      <c r="L3594">
        <v>2220.3000000000002</v>
      </c>
    </row>
    <row r="3595" spans="1:12" x14ac:dyDescent="0.25">
      <c r="A3595" t="str">
        <f t="shared" si="642"/>
        <v>89301000</v>
      </c>
      <c r="B3595" t="str">
        <f>"72100000"</f>
        <v>72100000</v>
      </c>
      <c r="C3595" t="str">
        <f>"72100632"</f>
        <v>72100632</v>
      </c>
      <c r="D3595">
        <v>89301282</v>
      </c>
      <c r="E3595" t="str">
        <f>"8453064466"</f>
        <v>8453064466</v>
      </c>
      <c r="F3595" s="1">
        <v>44979</v>
      </c>
      <c r="G3595" t="str">
        <f>"94221"</f>
        <v>94221</v>
      </c>
      <c r="H3595">
        <v>1</v>
      </c>
      <c r="I3595">
        <v>2467</v>
      </c>
      <c r="J3595">
        <v>0</v>
      </c>
      <c r="K3595" t="str">
        <f>"816"</f>
        <v>816</v>
      </c>
      <c r="L3595">
        <v>2220.3000000000002</v>
      </c>
    </row>
    <row r="3596" spans="1:12" x14ac:dyDescent="0.25">
      <c r="A3596" t="str">
        <f t="shared" si="642"/>
        <v>89301000</v>
      </c>
      <c r="B3596" t="str">
        <f>"80001000"</f>
        <v>80001000</v>
      </c>
      <c r="C3596" t="str">
        <f>"80001985"</f>
        <v>80001985</v>
      </c>
      <c r="D3596">
        <v>89301172</v>
      </c>
      <c r="E3596" t="str">
        <f>"8155294246"</f>
        <v>8155294246</v>
      </c>
      <c r="F3596" s="1">
        <v>45001</v>
      </c>
      <c r="G3596" t="str">
        <f>"89713"</f>
        <v>89713</v>
      </c>
      <c r="H3596">
        <v>2</v>
      </c>
      <c r="I3596">
        <v>10822</v>
      </c>
      <c r="J3596">
        <v>0</v>
      </c>
      <c r="K3596" t="str">
        <f>"809"</f>
        <v>809</v>
      </c>
      <c r="L3596">
        <v>7034.3</v>
      </c>
    </row>
    <row r="3597" spans="1:12" x14ac:dyDescent="0.25">
      <c r="A3597" t="str">
        <f t="shared" si="642"/>
        <v>89301000</v>
      </c>
      <c r="B3597" t="str">
        <f>"80001000"</f>
        <v>80001000</v>
      </c>
      <c r="C3597" t="str">
        <f>"80001985"</f>
        <v>80001985</v>
      </c>
      <c r="D3597">
        <v>89301172</v>
      </c>
      <c r="E3597" t="str">
        <f>"8155294246"</f>
        <v>8155294246</v>
      </c>
      <c r="F3597" s="1">
        <v>45001</v>
      </c>
      <c r="G3597" t="str">
        <f>"89725"</f>
        <v>89725</v>
      </c>
      <c r="H3597">
        <v>1</v>
      </c>
      <c r="I3597">
        <v>2863</v>
      </c>
      <c r="J3597">
        <v>0</v>
      </c>
      <c r="K3597" t="str">
        <f>"809"</f>
        <v>809</v>
      </c>
      <c r="L3597">
        <v>1860.95</v>
      </c>
    </row>
    <row r="3598" spans="1:12" x14ac:dyDescent="0.25">
      <c r="A3598" t="str">
        <f t="shared" si="642"/>
        <v>89301000</v>
      </c>
      <c r="B3598" t="str">
        <f>"80001000"</f>
        <v>80001000</v>
      </c>
      <c r="C3598" t="str">
        <f>"80001985"</f>
        <v>80001985</v>
      </c>
      <c r="D3598">
        <v>89301172</v>
      </c>
      <c r="E3598" t="str">
        <f>"8155294246"</f>
        <v>8155294246</v>
      </c>
      <c r="F3598" s="1">
        <v>45001</v>
      </c>
      <c r="G3598" t="str">
        <f>"0054256"</f>
        <v>0054256</v>
      </c>
      <c r="H3598">
        <v>0.3</v>
      </c>
      <c r="J3598">
        <v>1257.8800000000001</v>
      </c>
      <c r="K3598" t="str">
        <f>"809"</f>
        <v>809</v>
      </c>
      <c r="L3598">
        <v>1257.8800000000001</v>
      </c>
    </row>
    <row r="3599" spans="1:12" x14ac:dyDescent="0.25">
      <c r="A3599" t="str">
        <f t="shared" si="642"/>
        <v>89301000</v>
      </c>
      <c r="B3599" t="str">
        <f t="shared" ref="B3599:B3630" si="643">"78006000"</f>
        <v>78006000</v>
      </c>
      <c r="C3599" t="str">
        <f t="shared" ref="C3599:C3616" si="644">"78006207"</f>
        <v>78006207</v>
      </c>
      <c r="D3599">
        <v>89301171</v>
      </c>
      <c r="E3599" t="str">
        <f>"7601081059"</f>
        <v>7601081059</v>
      </c>
      <c r="F3599" s="1">
        <v>44949</v>
      </c>
      <c r="G3599" t="str">
        <f>"91197"</f>
        <v>91197</v>
      </c>
      <c r="H3599">
        <v>2</v>
      </c>
      <c r="I3599">
        <v>2096</v>
      </c>
      <c r="J3599">
        <v>0</v>
      </c>
      <c r="K3599" t="str">
        <f t="shared" ref="K3599:K3616" si="645">"813"</f>
        <v>813</v>
      </c>
      <c r="L3599">
        <v>1760.64</v>
      </c>
    </row>
    <row r="3600" spans="1:12" x14ac:dyDescent="0.25">
      <c r="A3600" t="str">
        <f t="shared" si="642"/>
        <v>89301000</v>
      </c>
      <c r="B3600" t="str">
        <f t="shared" si="643"/>
        <v>78006000</v>
      </c>
      <c r="C3600" t="str">
        <f t="shared" si="644"/>
        <v>78006207</v>
      </c>
      <c r="D3600">
        <v>89301171</v>
      </c>
      <c r="E3600" t="str">
        <f>"7601081059"</f>
        <v>7601081059</v>
      </c>
      <c r="F3600" s="1">
        <v>44950</v>
      </c>
      <c r="G3600" t="str">
        <f>"91197"</f>
        <v>91197</v>
      </c>
      <c r="H3600">
        <v>2</v>
      </c>
      <c r="I3600">
        <v>2096</v>
      </c>
      <c r="J3600">
        <v>0</v>
      </c>
      <c r="K3600" t="str">
        <f t="shared" si="645"/>
        <v>813</v>
      </c>
      <c r="L3600">
        <v>1760.64</v>
      </c>
    </row>
    <row r="3601" spans="1:12" x14ac:dyDescent="0.25">
      <c r="A3601" t="str">
        <f t="shared" si="642"/>
        <v>89301000</v>
      </c>
      <c r="B3601" t="str">
        <f t="shared" si="643"/>
        <v>78006000</v>
      </c>
      <c r="C3601" t="str">
        <f t="shared" si="644"/>
        <v>78006207</v>
      </c>
      <c r="D3601">
        <v>89301171</v>
      </c>
      <c r="E3601" t="str">
        <f>"7601081059"</f>
        <v>7601081059</v>
      </c>
      <c r="F3601" s="1">
        <v>44951</v>
      </c>
      <c r="G3601" t="str">
        <f>"91197"</f>
        <v>91197</v>
      </c>
      <c r="H3601">
        <v>2</v>
      </c>
      <c r="I3601">
        <v>2096</v>
      </c>
      <c r="J3601">
        <v>0</v>
      </c>
      <c r="K3601" t="str">
        <f t="shared" si="645"/>
        <v>813</v>
      </c>
      <c r="L3601">
        <v>1760.64</v>
      </c>
    </row>
    <row r="3602" spans="1:12" x14ac:dyDescent="0.25">
      <c r="A3602" t="str">
        <f t="shared" si="642"/>
        <v>89301000</v>
      </c>
      <c r="B3602" t="str">
        <f t="shared" si="643"/>
        <v>78006000</v>
      </c>
      <c r="C3602" t="str">
        <f t="shared" si="644"/>
        <v>78006207</v>
      </c>
      <c r="D3602">
        <v>89301212</v>
      </c>
      <c r="E3602" t="str">
        <f>"5951290719"</f>
        <v>5951290719</v>
      </c>
      <c r="F3602" s="1">
        <v>44986</v>
      </c>
      <c r="G3602" t="str">
        <f>"91153"</f>
        <v>91153</v>
      </c>
      <c r="H3602">
        <v>1</v>
      </c>
      <c r="I3602">
        <v>153</v>
      </c>
      <c r="J3602">
        <v>0</v>
      </c>
      <c r="K3602" t="str">
        <f t="shared" si="645"/>
        <v>813</v>
      </c>
      <c r="L3602">
        <v>128.52000000000001</v>
      </c>
    </row>
    <row r="3603" spans="1:12" x14ac:dyDescent="0.25">
      <c r="A3603" t="str">
        <f t="shared" si="642"/>
        <v>89301000</v>
      </c>
      <c r="B3603" t="str">
        <f t="shared" si="643"/>
        <v>78006000</v>
      </c>
      <c r="C3603" t="str">
        <f t="shared" si="644"/>
        <v>78006207</v>
      </c>
      <c r="D3603">
        <v>89301171</v>
      </c>
      <c r="E3603" t="str">
        <f>"531007235"</f>
        <v>531007235</v>
      </c>
      <c r="F3603" s="1">
        <v>45015</v>
      </c>
      <c r="G3603" t="str">
        <f>"91153"</f>
        <v>91153</v>
      </c>
      <c r="H3603">
        <v>1</v>
      </c>
      <c r="I3603">
        <v>153</v>
      </c>
      <c r="J3603">
        <v>0</v>
      </c>
      <c r="K3603" t="str">
        <f t="shared" si="645"/>
        <v>813</v>
      </c>
      <c r="L3603">
        <v>128.52000000000001</v>
      </c>
    </row>
    <row r="3604" spans="1:12" x14ac:dyDescent="0.25">
      <c r="A3604" t="str">
        <f t="shared" si="642"/>
        <v>89301000</v>
      </c>
      <c r="B3604" t="str">
        <f t="shared" si="643"/>
        <v>78006000</v>
      </c>
      <c r="C3604" t="str">
        <f t="shared" si="644"/>
        <v>78006207</v>
      </c>
      <c r="D3604">
        <v>89301167</v>
      </c>
      <c r="E3604" t="str">
        <f>"5854210813"</f>
        <v>5854210813</v>
      </c>
      <c r="F3604" s="1">
        <v>45016</v>
      </c>
      <c r="G3604" t="str">
        <f>"91153"</f>
        <v>91153</v>
      </c>
      <c r="H3604">
        <v>1</v>
      </c>
      <c r="I3604">
        <v>153</v>
      </c>
      <c r="J3604">
        <v>0</v>
      </c>
      <c r="K3604" t="str">
        <f t="shared" si="645"/>
        <v>813</v>
      </c>
      <c r="L3604">
        <v>128.52000000000001</v>
      </c>
    </row>
    <row r="3605" spans="1:12" x14ac:dyDescent="0.25">
      <c r="A3605" t="str">
        <f t="shared" si="642"/>
        <v>89301000</v>
      </c>
      <c r="B3605" t="str">
        <f t="shared" si="643"/>
        <v>78006000</v>
      </c>
      <c r="C3605" t="str">
        <f t="shared" si="644"/>
        <v>78006207</v>
      </c>
      <c r="D3605">
        <v>89301167</v>
      </c>
      <c r="E3605" t="str">
        <f>"5854210813"</f>
        <v>5854210813</v>
      </c>
      <c r="F3605" s="1">
        <v>44991</v>
      </c>
      <c r="G3605" t="str">
        <f>"91153"</f>
        <v>91153</v>
      </c>
      <c r="H3605">
        <v>1</v>
      </c>
      <c r="I3605">
        <v>153</v>
      </c>
      <c r="J3605">
        <v>0</v>
      </c>
      <c r="K3605" t="str">
        <f t="shared" si="645"/>
        <v>813</v>
      </c>
      <c r="L3605">
        <v>128.52000000000001</v>
      </c>
    </row>
    <row r="3606" spans="1:12" x14ac:dyDescent="0.25">
      <c r="A3606" t="str">
        <f t="shared" si="642"/>
        <v>89301000</v>
      </c>
      <c r="B3606" t="str">
        <f t="shared" si="643"/>
        <v>78006000</v>
      </c>
      <c r="C3606" t="str">
        <f t="shared" si="644"/>
        <v>78006207</v>
      </c>
      <c r="D3606">
        <v>89301082</v>
      </c>
      <c r="E3606" t="str">
        <f>"8660165822"</f>
        <v>8660165822</v>
      </c>
      <c r="F3606" s="1">
        <v>45002</v>
      </c>
      <c r="G3606" t="str">
        <f>"91153"</f>
        <v>91153</v>
      </c>
      <c r="H3606">
        <v>1</v>
      </c>
      <c r="I3606">
        <v>153</v>
      </c>
      <c r="J3606">
        <v>0</v>
      </c>
      <c r="K3606" t="str">
        <f t="shared" si="645"/>
        <v>813</v>
      </c>
      <c r="L3606">
        <v>128.52000000000001</v>
      </c>
    </row>
    <row r="3607" spans="1:12" x14ac:dyDescent="0.25">
      <c r="A3607" t="str">
        <f t="shared" si="642"/>
        <v>89301000</v>
      </c>
      <c r="B3607" t="str">
        <f t="shared" si="643"/>
        <v>78006000</v>
      </c>
      <c r="C3607" t="str">
        <f t="shared" si="644"/>
        <v>78006207</v>
      </c>
      <c r="D3607">
        <v>89301171</v>
      </c>
      <c r="E3607" t="str">
        <f>"8610085440"</f>
        <v>8610085440</v>
      </c>
      <c r="F3607" s="1">
        <v>44986</v>
      </c>
      <c r="G3607" t="str">
        <f t="shared" ref="G3607:G3616" si="646">"91197"</f>
        <v>91197</v>
      </c>
      <c r="H3607">
        <v>6</v>
      </c>
      <c r="I3607">
        <v>6288</v>
      </c>
      <c r="J3607">
        <v>0</v>
      </c>
      <c r="K3607" t="str">
        <f t="shared" si="645"/>
        <v>813</v>
      </c>
      <c r="L3607">
        <v>5281.92</v>
      </c>
    </row>
    <row r="3608" spans="1:12" x14ac:dyDescent="0.25">
      <c r="A3608" t="str">
        <f t="shared" si="642"/>
        <v>89301000</v>
      </c>
      <c r="B3608" t="str">
        <f t="shared" si="643"/>
        <v>78006000</v>
      </c>
      <c r="C3608" t="str">
        <f t="shared" si="644"/>
        <v>78006207</v>
      </c>
      <c r="D3608">
        <v>89301171</v>
      </c>
      <c r="E3608" t="str">
        <f>"0204286181"</f>
        <v>0204286181</v>
      </c>
      <c r="F3608" s="1">
        <v>45005</v>
      </c>
      <c r="G3608" t="str">
        <f t="shared" si="646"/>
        <v>91197</v>
      </c>
      <c r="H3608">
        <v>6</v>
      </c>
      <c r="I3608">
        <v>6288</v>
      </c>
      <c r="J3608">
        <v>0</v>
      </c>
      <c r="K3608" t="str">
        <f t="shared" si="645"/>
        <v>813</v>
      </c>
      <c r="L3608">
        <v>5281.92</v>
      </c>
    </row>
    <row r="3609" spans="1:12" x14ac:dyDescent="0.25">
      <c r="A3609" t="str">
        <f t="shared" si="642"/>
        <v>89301000</v>
      </c>
      <c r="B3609" t="str">
        <f t="shared" si="643"/>
        <v>78006000</v>
      </c>
      <c r="C3609" t="str">
        <f t="shared" si="644"/>
        <v>78006207</v>
      </c>
      <c r="D3609">
        <v>89301171</v>
      </c>
      <c r="E3609" t="str">
        <f>"0012146145"</f>
        <v>0012146145</v>
      </c>
      <c r="F3609" s="1">
        <v>45005</v>
      </c>
      <c r="G3609" t="str">
        <f t="shared" si="646"/>
        <v>91197</v>
      </c>
      <c r="H3609">
        <v>6</v>
      </c>
      <c r="I3609">
        <v>6288</v>
      </c>
      <c r="J3609">
        <v>0</v>
      </c>
      <c r="K3609" t="str">
        <f t="shared" si="645"/>
        <v>813</v>
      </c>
      <c r="L3609">
        <v>5281.92</v>
      </c>
    </row>
    <row r="3610" spans="1:12" x14ac:dyDescent="0.25">
      <c r="A3610" t="str">
        <f t="shared" si="642"/>
        <v>89301000</v>
      </c>
      <c r="B3610" t="str">
        <f t="shared" si="643"/>
        <v>78006000</v>
      </c>
      <c r="C3610" t="str">
        <f t="shared" si="644"/>
        <v>78006207</v>
      </c>
      <c r="D3610">
        <v>89301171</v>
      </c>
      <c r="E3610" t="str">
        <f>"8357184462"</f>
        <v>8357184462</v>
      </c>
      <c r="F3610" s="1">
        <v>45005</v>
      </c>
      <c r="G3610" t="str">
        <f t="shared" si="646"/>
        <v>91197</v>
      </c>
      <c r="H3610">
        <v>6</v>
      </c>
      <c r="I3610">
        <v>6288</v>
      </c>
      <c r="J3610">
        <v>0</v>
      </c>
      <c r="K3610" t="str">
        <f t="shared" si="645"/>
        <v>813</v>
      </c>
      <c r="L3610">
        <v>5281.92</v>
      </c>
    </row>
    <row r="3611" spans="1:12" x14ac:dyDescent="0.25">
      <c r="A3611" t="str">
        <f t="shared" si="642"/>
        <v>89301000</v>
      </c>
      <c r="B3611" t="str">
        <f t="shared" si="643"/>
        <v>78006000</v>
      </c>
      <c r="C3611" t="str">
        <f t="shared" si="644"/>
        <v>78006207</v>
      </c>
      <c r="D3611">
        <v>89301171</v>
      </c>
      <c r="E3611" t="str">
        <f>"5953170795"</f>
        <v>5953170795</v>
      </c>
      <c r="F3611" s="1">
        <v>45005</v>
      </c>
      <c r="G3611" t="str">
        <f t="shared" si="646"/>
        <v>91197</v>
      </c>
      <c r="H3611">
        <v>6</v>
      </c>
      <c r="I3611">
        <v>6288</v>
      </c>
      <c r="J3611">
        <v>0</v>
      </c>
      <c r="K3611" t="str">
        <f t="shared" si="645"/>
        <v>813</v>
      </c>
      <c r="L3611">
        <v>5281.92</v>
      </c>
    </row>
    <row r="3612" spans="1:12" x14ac:dyDescent="0.25">
      <c r="A3612" t="str">
        <f t="shared" si="642"/>
        <v>89301000</v>
      </c>
      <c r="B3612" t="str">
        <f t="shared" si="643"/>
        <v>78006000</v>
      </c>
      <c r="C3612" t="str">
        <f t="shared" si="644"/>
        <v>78006207</v>
      </c>
      <c r="D3612">
        <v>89301171</v>
      </c>
      <c r="E3612" t="str">
        <f>"9356214846"</f>
        <v>9356214846</v>
      </c>
      <c r="F3612" s="1">
        <v>45005</v>
      </c>
      <c r="G3612" t="str">
        <f t="shared" si="646"/>
        <v>91197</v>
      </c>
      <c r="H3612">
        <v>6</v>
      </c>
      <c r="I3612">
        <v>6288</v>
      </c>
      <c r="J3612">
        <v>0</v>
      </c>
      <c r="K3612" t="str">
        <f t="shared" si="645"/>
        <v>813</v>
      </c>
      <c r="L3612">
        <v>5281.92</v>
      </c>
    </row>
    <row r="3613" spans="1:12" x14ac:dyDescent="0.25">
      <c r="A3613" t="str">
        <f t="shared" si="642"/>
        <v>89301000</v>
      </c>
      <c r="B3613" t="str">
        <f t="shared" si="643"/>
        <v>78006000</v>
      </c>
      <c r="C3613" t="str">
        <f t="shared" si="644"/>
        <v>78006207</v>
      </c>
      <c r="D3613">
        <v>89301171</v>
      </c>
      <c r="E3613" t="str">
        <f>"7962075396"</f>
        <v>7962075396</v>
      </c>
      <c r="F3613" s="1">
        <v>45005</v>
      </c>
      <c r="G3613" t="str">
        <f t="shared" si="646"/>
        <v>91197</v>
      </c>
      <c r="H3613">
        <v>6</v>
      </c>
      <c r="I3613">
        <v>6288</v>
      </c>
      <c r="J3613">
        <v>0</v>
      </c>
      <c r="K3613" t="str">
        <f t="shared" si="645"/>
        <v>813</v>
      </c>
      <c r="L3613">
        <v>5281.92</v>
      </c>
    </row>
    <row r="3614" spans="1:12" x14ac:dyDescent="0.25">
      <c r="A3614" t="str">
        <f t="shared" si="642"/>
        <v>89301000</v>
      </c>
      <c r="B3614" t="str">
        <f t="shared" si="643"/>
        <v>78006000</v>
      </c>
      <c r="C3614" t="str">
        <f t="shared" si="644"/>
        <v>78006207</v>
      </c>
      <c r="D3614">
        <v>89301171</v>
      </c>
      <c r="E3614" t="str">
        <f>"9257285774"</f>
        <v>9257285774</v>
      </c>
      <c r="F3614" s="1">
        <v>45005</v>
      </c>
      <c r="G3614" t="str">
        <f t="shared" si="646"/>
        <v>91197</v>
      </c>
      <c r="H3614">
        <v>6</v>
      </c>
      <c r="I3614">
        <v>6288</v>
      </c>
      <c r="J3614">
        <v>0</v>
      </c>
      <c r="K3614" t="str">
        <f t="shared" si="645"/>
        <v>813</v>
      </c>
      <c r="L3614">
        <v>5281.92</v>
      </c>
    </row>
    <row r="3615" spans="1:12" x14ac:dyDescent="0.25">
      <c r="A3615" t="str">
        <f t="shared" si="642"/>
        <v>89301000</v>
      </c>
      <c r="B3615" t="str">
        <f t="shared" si="643"/>
        <v>78006000</v>
      </c>
      <c r="C3615" t="str">
        <f t="shared" si="644"/>
        <v>78006207</v>
      </c>
      <c r="D3615">
        <v>89301171</v>
      </c>
      <c r="E3615" t="str">
        <f>"7661265381"</f>
        <v>7661265381</v>
      </c>
      <c r="F3615" s="1">
        <v>45005</v>
      </c>
      <c r="G3615" t="str">
        <f t="shared" si="646"/>
        <v>91197</v>
      </c>
      <c r="H3615">
        <v>6</v>
      </c>
      <c r="I3615">
        <v>6288</v>
      </c>
      <c r="J3615">
        <v>0</v>
      </c>
      <c r="K3615" t="str">
        <f t="shared" si="645"/>
        <v>813</v>
      </c>
      <c r="L3615">
        <v>5281.92</v>
      </c>
    </row>
    <row r="3616" spans="1:12" x14ac:dyDescent="0.25">
      <c r="A3616" t="str">
        <f t="shared" si="642"/>
        <v>89301000</v>
      </c>
      <c r="B3616" t="str">
        <f t="shared" si="643"/>
        <v>78006000</v>
      </c>
      <c r="C3616" t="str">
        <f t="shared" si="644"/>
        <v>78006207</v>
      </c>
      <c r="D3616">
        <v>89301171</v>
      </c>
      <c r="E3616" t="str">
        <f>"9858245749"</f>
        <v>9858245749</v>
      </c>
      <c r="F3616" s="1">
        <v>44986</v>
      </c>
      <c r="G3616" t="str">
        <f t="shared" si="646"/>
        <v>91197</v>
      </c>
      <c r="H3616">
        <v>6</v>
      </c>
      <c r="I3616">
        <v>6288</v>
      </c>
      <c r="J3616">
        <v>0</v>
      </c>
      <c r="K3616" t="str">
        <f t="shared" si="645"/>
        <v>813</v>
      </c>
      <c r="L3616">
        <v>5281.92</v>
      </c>
    </row>
    <row r="3617" spans="1:12" x14ac:dyDescent="0.25">
      <c r="A3617" t="str">
        <f t="shared" si="642"/>
        <v>89301000</v>
      </c>
      <c r="B3617" t="str">
        <f t="shared" si="643"/>
        <v>78006000</v>
      </c>
      <c r="C3617" t="str">
        <f>"78006201"</f>
        <v>78006201</v>
      </c>
      <c r="D3617">
        <v>89301167</v>
      </c>
      <c r="E3617" t="str">
        <f>"7003135304"</f>
        <v>7003135304</v>
      </c>
      <c r="F3617" s="1">
        <v>44991</v>
      </c>
      <c r="G3617" t="str">
        <f>"81329"</f>
        <v>81329</v>
      </c>
      <c r="H3617">
        <v>1</v>
      </c>
      <c r="I3617">
        <v>17</v>
      </c>
      <c r="J3617">
        <v>0</v>
      </c>
      <c r="K3617" t="str">
        <f>"801"</f>
        <v>801</v>
      </c>
      <c r="L3617">
        <v>14.28</v>
      </c>
    </row>
    <row r="3618" spans="1:12" x14ac:dyDescent="0.25">
      <c r="A3618" t="str">
        <f t="shared" si="642"/>
        <v>89301000</v>
      </c>
      <c r="B3618" t="str">
        <f t="shared" si="643"/>
        <v>78006000</v>
      </c>
      <c r="C3618" t="str">
        <f>"78006201"</f>
        <v>78006201</v>
      </c>
      <c r="D3618">
        <v>89301167</v>
      </c>
      <c r="E3618" t="str">
        <f>"7003135304"</f>
        <v>7003135304</v>
      </c>
      <c r="F3618" s="1">
        <v>44991</v>
      </c>
      <c r="G3618" t="str">
        <f>"81383"</f>
        <v>81383</v>
      </c>
      <c r="H3618">
        <v>1</v>
      </c>
      <c r="I3618">
        <v>24</v>
      </c>
      <c r="J3618">
        <v>0</v>
      </c>
      <c r="K3618" t="str">
        <f>"801"</f>
        <v>801</v>
      </c>
      <c r="L3618">
        <v>20.16</v>
      </c>
    </row>
    <row r="3619" spans="1:12" x14ac:dyDescent="0.25">
      <c r="A3619" t="str">
        <f t="shared" si="642"/>
        <v>89301000</v>
      </c>
      <c r="B3619" t="str">
        <f t="shared" si="643"/>
        <v>78006000</v>
      </c>
      <c r="C3619" t="str">
        <f>"78006201"</f>
        <v>78006201</v>
      </c>
      <c r="D3619">
        <v>89301167</v>
      </c>
      <c r="E3619" t="str">
        <f>"7003135304"</f>
        <v>7003135304</v>
      </c>
      <c r="F3619" s="1">
        <v>44991</v>
      </c>
      <c r="G3619" t="str">
        <f>"81625"</f>
        <v>81625</v>
      </c>
      <c r="H3619">
        <v>1</v>
      </c>
      <c r="I3619">
        <v>21</v>
      </c>
      <c r="J3619">
        <v>0</v>
      </c>
      <c r="K3619" t="str">
        <f>"801"</f>
        <v>801</v>
      </c>
      <c r="L3619">
        <v>17.64</v>
      </c>
    </row>
    <row r="3620" spans="1:12" x14ac:dyDescent="0.25">
      <c r="A3620" t="str">
        <f t="shared" si="642"/>
        <v>89301000</v>
      </c>
      <c r="B3620" t="str">
        <f t="shared" si="643"/>
        <v>78006000</v>
      </c>
      <c r="C3620" t="str">
        <f>"78006201"</f>
        <v>78006201</v>
      </c>
      <c r="D3620">
        <v>89301167</v>
      </c>
      <c r="E3620" t="str">
        <f>"7003135304"</f>
        <v>7003135304</v>
      </c>
      <c r="F3620" s="1">
        <v>44991</v>
      </c>
      <c r="G3620" t="str">
        <f>"97111"</f>
        <v>97111</v>
      </c>
      <c r="H3620">
        <v>1</v>
      </c>
      <c r="I3620">
        <v>19</v>
      </c>
      <c r="J3620">
        <v>0</v>
      </c>
      <c r="K3620" t="str">
        <f>"801"</f>
        <v>801</v>
      </c>
      <c r="L3620">
        <v>23.94</v>
      </c>
    </row>
    <row r="3621" spans="1:12" x14ac:dyDescent="0.25">
      <c r="A3621" t="str">
        <f t="shared" si="642"/>
        <v>89301000</v>
      </c>
      <c r="B3621" t="str">
        <f t="shared" si="643"/>
        <v>78006000</v>
      </c>
      <c r="C3621" t="str">
        <f>"78006207"</f>
        <v>78006207</v>
      </c>
      <c r="D3621">
        <v>89301167</v>
      </c>
      <c r="E3621" t="str">
        <f>"7003135304"</f>
        <v>7003135304</v>
      </c>
      <c r="F3621" s="1">
        <v>44991</v>
      </c>
      <c r="G3621" t="str">
        <f>"91153"</f>
        <v>91153</v>
      </c>
      <c r="H3621">
        <v>1</v>
      </c>
      <c r="I3621">
        <v>153</v>
      </c>
      <c r="J3621">
        <v>0</v>
      </c>
      <c r="K3621" t="str">
        <f>"813"</f>
        <v>813</v>
      </c>
      <c r="L3621">
        <v>128.52000000000001</v>
      </c>
    </row>
    <row r="3622" spans="1:12" x14ac:dyDescent="0.25">
      <c r="A3622" t="str">
        <f t="shared" si="642"/>
        <v>89301000</v>
      </c>
      <c r="B3622" t="str">
        <f t="shared" si="643"/>
        <v>78006000</v>
      </c>
      <c r="C3622" t="str">
        <f t="shared" ref="C3622:C3653" si="647">"78006201"</f>
        <v>78006201</v>
      </c>
      <c r="D3622">
        <v>89301212</v>
      </c>
      <c r="E3622" t="str">
        <f t="shared" ref="E3622:E3641" si="648">"5951290719"</f>
        <v>5951290719</v>
      </c>
      <c r="F3622" s="1">
        <v>44986</v>
      </c>
      <c r="G3622" t="str">
        <f>"81235"</f>
        <v>81235</v>
      </c>
      <c r="H3622">
        <v>1</v>
      </c>
      <c r="I3622">
        <v>498</v>
      </c>
      <c r="J3622">
        <v>0</v>
      </c>
      <c r="K3622" t="str">
        <f t="shared" ref="K3622:K3653" si="649">"801"</f>
        <v>801</v>
      </c>
      <c r="L3622">
        <v>418.32</v>
      </c>
    </row>
    <row r="3623" spans="1:12" x14ac:dyDescent="0.25">
      <c r="A3623" t="str">
        <f t="shared" si="642"/>
        <v>89301000</v>
      </c>
      <c r="B3623" t="str">
        <f t="shared" si="643"/>
        <v>78006000</v>
      </c>
      <c r="C3623" t="str">
        <f t="shared" si="647"/>
        <v>78006201</v>
      </c>
      <c r="D3623">
        <v>89301212</v>
      </c>
      <c r="E3623" t="str">
        <f t="shared" si="648"/>
        <v>5951290719</v>
      </c>
      <c r="F3623" s="1">
        <v>44986</v>
      </c>
      <c r="G3623" t="str">
        <f>"81249"</f>
        <v>81249</v>
      </c>
      <c r="H3623">
        <v>1</v>
      </c>
      <c r="I3623">
        <v>334</v>
      </c>
      <c r="J3623">
        <v>0</v>
      </c>
      <c r="K3623" t="str">
        <f t="shared" si="649"/>
        <v>801</v>
      </c>
      <c r="L3623">
        <v>280.56</v>
      </c>
    </row>
    <row r="3624" spans="1:12" x14ac:dyDescent="0.25">
      <c r="A3624" t="str">
        <f t="shared" si="642"/>
        <v>89301000</v>
      </c>
      <c r="B3624" t="str">
        <f t="shared" si="643"/>
        <v>78006000</v>
      </c>
      <c r="C3624" t="str">
        <f t="shared" si="647"/>
        <v>78006201</v>
      </c>
      <c r="D3624">
        <v>89301212</v>
      </c>
      <c r="E3624" t="str">
        <f t="shared" si="648"/>
        <v>5951290719</v>
      </c>
      <c r="F3624" s="1">
        <v>44986</v>
      </c>
      <c r="G3624" t="str">
        <f>"81329"</f>
        <v>81329</v>
      </c>
      <c r="H3624">
        <v>1</v>
      </c>
      <c r="I3624">
        <v>17</v>
      </c>
      <c r="J3624">
        <v>0</v>
      </c>
      <c r="K3624" t="str">
        <f t="shared" si="649"/>
        <v>801</v>
      </c>
      <c r="L3624">
        <v>14.28</v>
      </c>
    </row>
    <row r="3625" spans="1:12" x14ac:dyDescent="0.25">
      <c r="A3625" t="str">
        <f t="shared" si="642"/>
        <v>89301000</v>
      </c>
      <c r="B3625" t="str">
        <f t="shared" si="643"/>
        <v>78006000</v>
      </c>
      <c r="C3625" t="str">
        <f t="shared" si="647"/>
        <v>78006201</v>
      </c>
      <c r="D3625">
        <v>89301212</v>
      </c>
      <c r="E3625" t="str">
        <f t="shared" si="648"/>
        <v>5951290719</v>
      </c>
      <c r="F3625" s="1">
        <v>44986</v>
      </c>
      <c r="G3625" t="str">
        <f>"81337"</f>
        <v>81337</v>
      </c>
      <c r="H3625">
        <v>1</v>
      </c>
      <c r="I3625">
        <v>20</v>
      </c>
      <c r="J3625">
        <v>0</v>
      </c>
      <c r="K3625" t="str">
        <f t="shared" si="649"/>
        <v>801</v>
      </c>
      <c r="L3625">
        <v>16.8</v>
      </c>
    </row>
    <row r="3626" spans="1:12" x14ac:dyDescent="0.25">
      <c r="A3626" t="str">
        <f t="shared" si="642"/>
        <v>89301000</v>
      </c>
      <c r="B3626" t="str">
        <f t="shared" si="643"/>
        <v>78006000</v>
      </c>
      <c r="C3626" t="str">
        <f t="shared" si="647"/>
        <v>78006201</v>
      </c>
      <c r="D3626">
        <v>89301212</v>
      </c>
      <c r="E3626" t="str">
        <f t="shared" si="648"/>
        <v>5951290719</v>
      </c>
      <c r="F3626" s="1">
        <v>44986</v>
      </c>
      <c r="G3626" t="str">
        <f>"81357"</f>
        <v>81357</v>
      </c>
      <c r="H3626">
        <v>1</v>
      </c>
      <c r="I3626">
        <v>20</v>
      </c>
      <c r="J3626">
        <v>0</v>
      </c>
      <c r="K3626" t="str">
        <f t="shared" si="649"/>
        <v>801</v>
      </c>
      <c r="L3626">
        <v>16.8</v>
      </c>
    </row>
    <row r="3627" spans="1:12" x14ac:dyDescent="0.25">
      <c r="A3627" t="str">
        <f t="shared" si="642"/>
        <v>89301000</v>
      </c>
      <c r="B3627" t="str">
        <f t="shared" si="643"/>
        <v>78006000</v>
      </c>
      <c r="C3627" t="str">
        <f t="shared" si="647"/>
        <v>78006201</v>
      </c>
      <c r="D3627">
        <v>89301212</v>
      </c>
      <c r="E3627" t="str">
        <f t="shared" si="648"/>
        <v>5951290719</v>
      </c>
      <c r="F3627" s="1">
        <v>44986</v>
      </c>
      <c r="G3627" t="str">
        <f>"81361"</f>
        <v>81361</v>
      </c>
      <c r="H3627">
        <v>1</v>
      </c>
      <c r="I3627">
        <v>17</v>
      </c>
      <c r="J3627">
        <v>0</v>
      </c>
      <c r="K3627" t="str">
        <f t="shared" si="649"/>
        <v>801</v>
      </c>
      <c r="L3627">
        <v>14.28</v>
      </c>
    </row>
    <row r="3628" spans="1:12" x14ac:dyDescent="0.25">
      <c r="A3628" t="str">
        <f t="shared" si="642"/>
        <v>89301000</v>
      </c>
      <c r="B3628" t="str">
        <f t="shared" si="643"/>
        <v>78006000</v>
      </c>
      <c r="C3628" t="str">
        <f t="shared" si="647"/>
        <v>78006201</v>
      </c>
      <c r="D3628">
        <v>89301212</v>
      </c>
      <c r="E3628" t="str">
        <f t="shared" si="648"/>
        <v>5951290719</v>
      </c>
      <c r="F3628" s="1">
        <v>44986</v>
      </c>
      <c r="G3628" t="str">
        <f>"81363"</f>
        <v>81363</v>
      </c>
      <c r="H3628">
        <v>1</v>
      </c>
      <c r="I3628">
        <v>17</v>
      </c>
      <c r="J3628">
        <v>0</v>
      </c>
      <c r="K3628" t="str">
        <f t="shared" si="649"/>
        <v>801</v>
      </c>
      <c r="L3628">
        <v>14.28</v>
      </c>
    </row>
    <row r="3629" spans="1:12" x14ac:dyDescent="0.25">
      <c r="A3629" t="str">
        <f t="shared" si="642"/>
        <v>89301000</v>
      </c>
      <c r="B3629" t="str">
        <f t="shared" si="643"/>
        <v>78006000</v>
      </c>
      <c r="C3629" t="str">
        <f t="shared" si="647"/>
        <v>78006201</v>
      </c>
      <c r="D3629">
        <v>89301212</v>
      </c>
      <c r="E3629" t="str">
        <f t="shared" si="648"/>
        <v>5951290719</v>
      </c>
      <c r="F3629" s="1">
        <v>44986</v>
      </c>
      <c r="G3629" t="str">
        <f>"81365"</f>
        <v>81365</v>
      </c>
      <c r="H3629">
        <v>1</v>
      </c>
      <c r="I3629">
        <v>16</v>
      </c>
      <c r="J3629">
        <v>0</v>
      </c>
      <c r="K3629" t="str">
        <f t="shared" si="649"/>
        <v>801</v>
      </c>
      <c r="L3629">
        <v>13.44</v>
      </c>
    </row>
    <row r="3630" spans="1:12" x14ac:dyDescent="0.25">
      <c r="A3630" t="str">
        <f t="shared" si="642"/>
        <v>89301000</v>
      </c>
      <c r="B3630" t="str">
        <f t="shared" si="643"/>
        <v>78006000</v>
      </c>
      <c r="C3630" t="str">
        <f t="shared" si="647"/>
        <v>78006201</v>
      </c>
      <c r="D3630">
        <v>89301212</v>
      </c>
      <c r="E3630" t="str">
        <f t="shared" si="648"/>
        <v>5951290719</v>
      </c>
      <c r="F3630" s="1">
        <v>44986</v>
      </c>
      <c r="G3630" t="str">
        <f>"81383"</f>
        <v>81383</v>
      </c>
      <c r="H3630">
        <v>1</v>
      </c>
      <c r="I3630">
        <v>24</v>
      </c>
      <c r="J3630">
        <v>0</v>
      </c>
      <c r="K3630" t="str">
        <f t="shared" si="649"/>
        <v>801</v>
      </c>
      <c r="L3630">
        <v>20.16</v>
      </c>
    </row>
    <row r="3631" spans="1:12" x14ac:dyDescent="0.25">
      <c r="A3631" t="str">
        <f t="shared" si="642"/>
        <v>89301000</v>
      </c>
      <c r="B3631" t="str">
        <f t="shared" ref="B3631:B3662" si="650">"78006000"</f>
        <v>78006000</v>
      </c>
      <c r="C3631" t="str">
        <f t="shared" si="647"/>
        <v>78006201</v>
      </c>
      <c r="D3631">
        <v>89301212</v>
      </c>
      <c r="E3631" t="str">
        <f t="shared" si="648"/>
        <v>5951290719</v>
      </c>
      <c r="F3631" s="1">
        <v>44986</v>
      </c>
      <c r="G3631" t="str">
        <f>"81393"</f>
        <v>81393</v>
      </c>
      <c r="H3631">
        <v>1</v>
      </c>
      <c r="I3631">
        <v>24</v>
      </c>
      <c r="J3631">
        <v>0</v>
      </c>
      <c r="K3631" t="str">
        <f t="shared" si="649"/>
        <v>801</v>
      </c>
      <c r="L3631">
        <v>20.16</v>
      </c>
    </row>
    <row r="3632" spans="1:12" x14ac:dyDescent="0.25">
      <c r="A3632" t="str">
        <f t="shared" si="642"/>
        <v>89301000</v>
      </c>
      <c r="B3632" t="str">
        <f t="shared" si="650"/>
        <v>78006000</v>
      </c>
      <c r="C3632" t="str">
        <f t="shared" si="647"/>
        <v>78006201</v>
      </c>
      <c r="D3632">
        <v>89301212</v>
      </c>
      <c r="E3632" t="str">
        <f t="shared" si="648"/>
        <v>5951290719</v>
      </c>
      <c r="F3632" s="1">
        <v>44986</v>
      </c>
      <c r="G3632" t="str">
        <f>"81421"</f>
        <v>81421</v>
      </c>
      <c r="H3632">
        <v>1</v>
      </c>
      <c r="I3632">
        <v>19</v>
      </c>
      <c r="J3632">
        <v>0</v>
      </c>
      <c r="K3632" t="str">
        <f t="shared" si="649"/>
        <v>801</v>
      </c>
      <c r="L3632">
        <v>15.96</v>
      </c>
    </row>
    <row r="3633" spans="1:12" x14ac:dyDescent="0.25">
      <c r="A3633" t="str">
        <f t="shared" si="642"/>
        <v>89301000</v>
      </c>
      <c r="B3633" t="str">
        <f t="shared" si="650"/>
        <v>78006000</v>
      </c>
      <c r="C3633" t="str">
        <f t="shared" si="647"/>
        <v>78006201</v>
      </c>
      <c r="D3633">
        <v>89301212</v>
      </c>
      <c r="E3633" t="str">
        <f t="shared" si="648"/>
        <v>5951290719</v>
      </c>
      <c r="F3633" s="1">
        <v>44986</v>
      </c>
      <c r="G3633" t="str">
        <f>"81435"</f>
        <v>81435</v>
      </c>
      <c r="H3633">
        <v>1</v>
      </c>
      <c r="I3633">
        <v>22</v>
      </c>
      <c r="J3633">
        <v>0</v>
      </c>
      <c r="K3633" t="str">
        <f t="shared" si="649"/>
        <v>801</v>
      </c>
      <c r="L3633">
        <v>18.48</v>
      </c>
    </row>
    <row r="3634" spans="1:12" x14ac:dyDescent="0.25">
      <c r="A3634" t="str">
        <f t="shared" si="642"/>
        <v>89301000</v>
      </c>
      <c r="B3634" t="str">
        <f t="shared" si="650"/>
        <v>78006000</v>
      </c>
      <c r="C3634" t="str">
        <f t="shared" si="647"/>
        <v>78006201</v>
      </c>
      <c r="D3634">
        <v>89301212</v>
      </c>
      <c r="E3634" t="str">
        <f t="shared" si="648"/>
        <v>5951290719</v>
      </c>
      <c r="F3634" s="1">
        <v>44986</v>
      </c>
      <c r="G3634" t="str">
        <f>"81439"</f>
        <v>81439</v>
      </c>
      <c r="H3634">
        <v>1</v>
      </c>
      <c r="I3634">
        <v>16</v>
      </c>
      <c r="J3634">
        <v>0</v>
      </c>
      <c r="K3634" t="str">
        <f t="shared" si="649"/>
        <v>801</v>
      </c>
      <c r="L3634">
        <v>13.44</v>
      </c>
    </row>
    <row r="3635" spans="1:12" x14ac:dyDescent="0.25">
      <c r="A3635" t="str">
        <f t="shared" si="642"/>
        <v>89301000</v>
      </c>
      <c r="B3635" t="str">
        <f t="shared" si="650"/>
        <v>78006000</v>
      </c>
      <c r="C3635" t="str">
        <f t="shared" si="647"/>
        <v>78006201</v>
      </c>
      <c r="D3635">
        <v>89301212</v>
      </c>
      <c r="E3635" t="str">
        <f t="shared" si="648"/>
        <v>5951290719</v>
      </c>
      <c r="F3635" s="1">
        <v>44986</v>
      </c>
      <c r="G3635" t="str">
        <f>"81469"</f>
        <v>81469</v>
      </c>
      <c r="H3635">
        <v>1</v>
      </c>
      <c r="I3635">
        <v>16</v>
      </c>
      <c r="J3635">
        <v>0</v>
      </c>
      <c r="K3635" t="str">
        <f t="shared" si="649"/>
        <v>801</v>
      </c>
      <c r="L3635">
        <v>13.44</v>
      </c>
    </row>
    <row r="3636" spans="1:12" x14ac:dyDescent="0.25">
      <c r="A3636" t="str">
        <f t="shared" si="642"/>
        <v>89301000</v>
      </c>
      <c r="B3636" t="str">
        <f t="shared" si="650"/>
        <v>78006000</v>
      </c>
      <c r="C3636" t="str">
        <f t="shared" si="647"/>
        <v>78006201</v>
      </c>
      <c r="D3636">
        <v>89301212</v>
      </c>
      <c r="E3636" t="str">
        <f t="shared" si="648"/>
        <v>5951290719</v>
      </c>
      <c r="F3636" s="1">
        <v>44986</v>
      </c>
      <c r="G3636" t="str">
        <f>"81499"</f>
        <v>81499</v>
      </c>
      <c r="H3636">
        <v>1</v>
      </c>
      <c r="I3636">
        <v>18</v>
      </c>
      <c r="J3636">
        <v>0</v>
      </c>
      <c r="K3636" t="str">
        <f t="shared" si="649"/>
        <v>801</v>
      </c>
      <c r="L3636">
        <v>15.12</v>
      </c>
    </row>
    <row r="3637" spans="1:12" x14ac:dyDescent="0.25">
      <c r="A3637" t="str">
        <f t="shared" si="642"/>
        <v>89301000</v>
      </c>
      <c r="B3637" t="str">
        <f t="shared" si="650"/>
        <v>78006000</v>
      </c>
      <c r="C3637" t="str">
        <f t="shared" si="647"/>
        <v>78006201</v>
      </c>
      <c r="D3637">
        <v>89301212</v>
      </c>
      <c r="E3637" t="str">
        <f t="shared" si="648"/>
        <v>5951290719</v>
      </c>
      <c r="F3637" s="1">
        <v>44986</v>
      </c>
      <c r="G3637" t="str">
        <f>"81523"</f>
        <v>81523</v>
      </c>
      <c r="H3637">
        <v>1</v>
      </c>
      <c r="I3637">
        <v>23</v>
      </c>
      <c r="J3637">
        <v>0</v>
      </c>
      <c r="K3637" t="str">
        <f t="shared" si="649"/>
        <v>801</v>
      </c>
      <c r="L3637">
        <v>19.32</v>
      </c>
    </row>
    <row r="3638" spans="1:12" x14ac:dyDescent="0.25">
      <c r="A3638" t="str">
        <f t="shared" si="642"/>
        <v>89301000</v>
      </c>
      <c r="B3638" t="str">
        <f t="shared" si="650"/>
        <v>78006000</v>
      </c>
      <c r="C3638" t="str">
        <f t="shared" si="647"/>
        <v>78006201</v>
      </c>
      <c r="D3638">
        <v>89301212</v>
      </c>
      <c r="E3638" t="str">
        <f t="shared" si="648"/>
        <v>5951290719</v>
      </c>
      <c r="F3638" s="1">
        <v>44986</v>
      </c>
      <c r="G3638" t="str">
        <f>"81593"</f>
        <v>81593</v>
      </c>
      <c r="H3638">
        <v>1</v>
      </c>
      <c r="I3638">
        <v>22</v>
      </c>
      <c r="J3638">
        <v>0</v>
      </c>
      <c r="K3638" t="str">
        <f t="shared" si="649"/>
        <v>801</v>
      </c>
      <c r="L3638">
        <v>18.48</v>
      </c>
    </row>
    <row r="3639" spans="1:12" x14ac:dyDescent="0.25">
      <c r="A3639" t="str">
        <f t="shared" si="642"/>
        <v>89301000</v>
      </c>
      <c r="B3639" t="str">
        <f t="shared" si="650"/>
        <v>78006000</v>
      </c>
      <c r="C3639" t="str">
        <f t="shared" si="647"/>
        <v>78006201</v>
      </c>
      <c r="D3639">
        <v>89301212</v>
      </c>
      <c r="E3639" t="str">
        <f t="shared" si="648"/>
        <v>5951290719</v>
      </c>
      <c r="F3639" s="1">
        <v>44986</v>
      </c>
      <c r="G3639" t="str">
        <f>"81621"</f>
        <v>81621</v>
      </c>
      <c r="H3639">
        <v>1</v>
      </c>
      <c r="I3639">
        <v>19</v>
      </c>
      <c r="J3639">
        <v>0</v>
      </c>
      <c r="K3639" t="str">
        <f t="shared" si="649"/>
        <v>801</v>
      </c>
      <c r="L3639">
        <v>15.96</v>
      </c>
    </row>
    <row r="3640" spans="1:12" x14ac:dyDescent="0.25">
      <c r="A3640" t="str">
        <f t="shared" si="642"/>
        <v>89301000</v>
      </c>
      <c r="B3640" t="str">
        <f t="shared" si="650"/>
        <v>78006000</v>
      </c>
      <c r="C3640" t="str">
        <f t="shared" si="647"/>
        <v>78006201</v>
      </c>
      <c r="D3640">
        <v>89301212</v>
      </c>
      <c r="E3640" t="str">
        <f t="shared" si="648"/>
        <v>5951290719</v>
      </c>
      <c r="F3640" s="1">
        <v>44986</v>
      </c>
      <c r="G3640" t="str">
        <f>"81625"</f>
        <v>81625</v>
      </c>
      <c r="H3640">
        <v>1</v>
      </c>
      <c r="I3640">
        <v>21</v>
      </c>
      <c r="J3640">
        <v>0</v>
      </c>
      <c r="K3640" t="str">
        <f t="shared" si="649"/>
        <v>801</v>
      </c>
      <c r="L3640">
        <v>17.64</v>
      </c>
    </row>
    <row r="3641" spans="1:12" x14ac:dyDescent="0.25">
      <c r="A3641" t="str">
        <f t="shared" si="642"/>
        <v>89301000</v>
      </c>
      <c r="B3641" t="str">
        <f t="shared" si="650"/>
        <v>78006000</v>
      </c>
      <c r="C3641" t="str">
        <f t="shared" si="647"/>
        <v>78006201</v>
      </c>
      <c r="D3641">
        <v>89301212</v>
      </c>
      <c r="E3641" t="str">
        <f t="shared" si="648"/>
        <v>5951290719</v>
      </c>
      <c r="F3641" s="1">
        <v>44986</v>
      </c>
      <c r="G3641" t="str">
        <f>"97111"</f>
        <v>97111</v>
      </c>
      <c r="H3641">
        <v>1</v>
      </c>
      <c r="I3641">
        <v>19</v>
      </c>
      <c r="J3641">
        <v>0</v>
      </c>
      <c r="K3641" t="str">
        <f t="shared" si="649"/>
        <v>801</v>
      </c>
      <c r="L3641">
        <v>23.94</v>
      </c>
    </row>
    <row r="3642" spans="1:12" x14ac:dyDescent="0.25">
      <c r="A3642" t="str">
        <f t="shared" si="642"/>
        <v>89301000</v>
      </c>
      <c r="B3642" t="str">
        <f t="shared" si="650"/>
        <v>78006000</v>
      </c>
      <c r="C3642" t="str">
        <f t="shared" si="647"/>
        <v>78006201</v>
      </c>
      <c r="D3642">
        <v>89301167</v>
      </c>
      <c r="E3642" t="str">
        <f t="shared" ref="E3642:E3647" si="651">"5854210813"</f>
        <v>5854210813</v>
      </c>
      <c r="F3642" s="1">
        <v>45016</v>
      </c>
      <c r="G3642" t="str">
        <f>"81249"</f>
        <v>81249</v>
      </c>
      <c r="H3642">
        <v>1</v>
      </c>
      <c r="I3642">
        <v>334</v>
      </c>
      <c r="J3642">
        <v>0</v>
      </c>
      <c r="K3642" t="str">
        <f t="shared" si="649"/>
        <v>801</v>
      </c>
      <c r="L3642">
        <v>280.56</v>
      </c>
    </row>
    <row r="3643" spans="1:12" x14ac:dyDescent="0.25">
      <c r="A3643" t="str">
        <f t="shared" si="642"/>
        <v>89301000</v>
      </c>
      <c r="B3643" t="str">
        <f t="shared" si="650"/>
        <v>78006000</v>
      </c>
      <c r="C3643" t="str">
        <f t="shared" si="647"/>
        <v>78006201</v>
      </c>
      <c r="D3643">
        <v>89301167</v>
      </c>
      <c r="E3643" t="str">
        <f t="shared" si="651"/>
        <v>5854210813</v>
      </c>
      <c r="F3643" s="1">
        <v>45016</v>
      </c>
      <c r="G3643" t="str">
        <f>"81329"</f>
        <v>81329</v>
      </c>
      <c r="H3643">
        <v>1</v>
      </c>
      <c r="I3643">
        <v>17</v>
      </c>
      <c r="J3643">
        <v>0</v>
      </c>
      <c r="K3643" t="str">
        <f t="shared" si="649"/>
        <v>801</v>
      </c>
      <c r="L3643">
        <v>14.28</v>
      </c>
    </row>
    <row r="3644" spans="1:12" x14ac:dyDescent="0.25">
      <c r="A3644" t="str">
        <f t="shared" si="642"/>
        <v>89301000</v>
      </c>
      <c r="B3644" t="str">
        <f t="shared" si="650"/>
        <v>78006000</v>
      </c>
      <c r="C3644" t="str">
        <f t="shared" si="647"/>
        <v>78006201</v>
      </c>
      <c r="D3644">
        <v>89301167</v>
      </c>
      <c r="E3644" t="str">
        <f t="shared" si="651"/>
        <v>5854210813</v>
      </c>
      <c r="F3644" s="1">
        <v>45016</v>
      </c>
      <c r="G3644" t="str">
        <f>"81383"</f>
        <v>81383</v>
      </c>
      <c r="H3644">
        <v>1</v>
      </c>
      <c r="I3644">
        <v>24</v>
      </c>
      <c r="J3644">
        <v>0</v>
      </c>
      <c r="K3644" t="str">
        <f t="shared" si="649"/>
        <v>801</v>
      </c>
      <c r="L3644">
        <v>20.16</v>
      </c>
    </row>
    <row r="3645" spans="1:12" x14ac:dyDescent="0.25">
      <c r="A3645" t="str">
        <f t="shared" si="642"/>
        <v>89301000</v>
      </c>
      <c r="B3645" t="str">
        <f t="shared" si="650"/>
        <v>78006000</v>
      </c>
      <c r="C3645" t="str">
        <f t="shared" si="647"/>
        <v>78006201</v>
      </c>
      <c r="D3645">
        <v>89301167</v>
      </c>
      <c r="E3645" t="str">
        <f t="shared" si="651"/>
        <v>5854210813</v>
      </c>
      <c r="F3645" s="1">
        <v>45016</v>
      </c>
      <c r="G3645" t="str">
        <f>"81625"</f>
        <v>81625</v>
      </c>
      <c r="H3645">
        <v>1</v>
      </c>
      <c r="I3645">
        <v>21</v>
      </c>
      <c r="J3645">
        <v>0</v>
      </c>
      <c r="K3645" t="str">
        <f t="shared" si="649"/>
        <v>801</v>
      </c>
      <c r="L3645">
        <v>17.64</v>
      </c>
    </row>
    <row r="3646" spans="1:12" x14ac:dyDescent="0.25">
      <c r="A3646" t="str">
        <f t="shared" si="642"/>
        <v>89301000</v>
      </c>
      <c r="B3646" t="str">
        <f t="shared" si="650"/>
        <v>78006000</v>
      </c>
      <c r="C3646" t="str">
        <f t="shared" si="647"/>
        <v>78006201</v>
      </c>
      <c r="D3646">
        <v>89301167</v>
      </c>
      <c r="E3646" t="str">
        <f t="shared" si="651"/>
        <v>5854210813</v>
      </c>
      <c r="F3646" s="1">
        <v>45016</v>
      </c>
      <c r="G3646" t="str">
        <f>"93131"</f>
        <v>93131</v>
      </c>
      <c r="H3646">
        <v>1</v>
      </c>
      <c r="I3646">
        <v>197</v>
      </c>
      <c r="J3646">
        <v>0</v>
      </c>
      <c r="K3646" t="str">
        <f t="shared" si="649"/>
        <v>801</v>
      </c>
      <c r="L3646">
        <v>165.48</v>
      </c>
    </row>
    <row r="3647" spans="1:12" x14ac:dyDescent="0.25">
      <c r="A3647" t="str">
        <f t="shared" si="642"/>
        <v>89301000</v>
      </c>
      <c r="B3647" t="str">
        <f t="shared" si="650"/>
        <v>78006000</v>
      </c>
      <c r="C3647" t="str">
        <f t="shared" si="647"/>
        <v>78006201</v>
      </c>
      <c r="D3647">
        <v>89301167</v>
      </c>
      <c r="E3647" t="str">
        <f t="shared" si="651"/>
        <v>5854210813</v>
      </c>
      <c r="F3647" s="1">
        <v>45016</v>
      </c>
      <c r="G3647" t="str">
        <f>"97111"</f>
        <v>97111</v>
      </c>
      <c r="H3647">
        <v>1</v>
      </c>
      <c r="I3647">
        <v>19</v>
      </c>
      <c r="J3647">
        <v>0</v>
      </c>
      <c r="K3647" t="str">
        <f t="shared" si="649"/>
        <v>801</v>
      </c>
      <c r="L3647">
        <v>23.94</v>
      </c>
    </row>
    <row r="3648" spans="1:12" x14ac:dyDescent="0.25">
      <c r="A3648" t="str">
        <f t="shared" si="642"/>
        <v>89301000</v>
      </c>
      <c r="B3648" t="str">
        <f t="shared" si="650"/>
        <v>78006000</v>
      </c>
      <c r="C3648" t="str">
        <f t="shared" si="647"/>
        <v>78006201</v>
      </c>
      <c r="D3648">
        <v>89301167</v>
      </c>
      <c r="E3648" t="str">
        <f>"7003135304"</f>
        <v>7003135304</v>
      </c>
      <c r="F3648" s="1">
        <v>44991</v>
      </c>
      <c r="G3648" t="str">
        <f>"81249"</f>
        <v>81249</v>
      </c>
      <c r="H3648">
        <v>1</v>
      </c>
      <c r="I3648">
        <v>334</v>
      </c>
      <c r="J3648">
        <v>0</v>
      </c>
      <c r="K3648" t="str">
        <f t="shared" si="649"/>
        <v>801</v>
      </c>
      <c r="L3648">
        <v>280.56</v>
      </c>
    </row>
    <row r="3649" spans="1:12" x14ac:dyDescent="0.25">
      <c r="A3649" t="str">
        <f t="shared" si="642"/>
        <v>89301000</v>
      </c>
      <c r="B3649" t="str">
        <f t="shared" si="650"/>
        <v>78006000</v>
      </c>
      <c r="C3649" t="str">
        <f t="shared" si="647"/>
        <v>78006201</v>
      </c>
      <c r="D3649">
        <v>89301171</v>
      </c>
      <c r="E3649" t="str">
        <f t="shared" ref="E3649:E3655" si="652">"531007235"</f>
        <v>531007235</v>
      </c>
      <c r="F3649" s="1">
        <v>45015</v>
      </c>
      <c r="G3649" t="str">
        <f>"81329"</f>
        <v>81329</v>
      </c>
      <c r="H3649">
        <v>1</v>
      </c>
      <c r="I3649">
        <v>17</v>
      </c>
      <c r="J3649">
        <v>0</v>
      </c>
      <c r="K3649" t="str">
        <f t="shared" si="649"/>
        <v>801</v>
      </c>
      <c r="L3649">
        <v>14.28</v>
      </c>
    </row>
    <row r="3650" spans="1:12" x14ac:dyDescent="0.25">
      <c r="A3650" t="str">
        <f t="shared" ref="A3650:A3713" si="653">"89301000"</f>
        <v>89301000</v>
      </c>
      <c r="B3650" t="str">
        <f t="shared" si="650"/>
        <v>78006000</v>
      </c>
      <c r="C3650" t="str">
        <f t="shared" si="647"/>
        <v>78006201</v>
      </c>
      <c r="D3650">
        <v>89301171</v>
      </c>
      <c r="E3650" t="str">
        <f t="shared" si="652"/>
        <v>531007235</v>
      </c>
      <c r="F3650" s="1">
        <v>45015</v>
      </c>
      <c r="G3650" t="str">
        <f>"81383"</f>
        <v>81383</v>
      </c>
      <c r="H3650">
        <v>1</v>
      </c>
      <c r="I3650">
        <v>24</v>
      </c>
      <c r="J3650">
        <v>0</v>
      </c>
      <c r="K3650" t="str">
        <f t="shared" si="649"/>
        <v>801</v>
      </c>
      <c r="L3650">
        <v>20.16</v>
      </c>
    </row>
    <row r="3651" spans="1:12" x14ac:dyDescent="0.25">
      <c r="A3651" t="str">
        <f t="shared" si="653"/>
        <v>89301000</v>
      </c>
      <c r="B3651" t="str">
        <f t="shared" si="650"/>
        <v>78006000</v>
      </c>
      <c r="C3651" t="str">
        <f t="shared" si="647"/>
        <v>78006201</v>
      </c>
      <c r="D3651">
        <v>89301171</v>
      </c>
      <c r="E3651" t="str">
        <f t="shared" si="652"/>
        <v>531007235</v>
      </c>
      <c r="F3651" s="1">
        <v>45015</v>
      </c>
      <c r="G3651" t="str">
        <f>"81625"</f>
        <v>81625</v>
      </c>
      <c r="H3651">
        <v>1</v>
      </c>
      <c r="I3651">
        <v>21</v>
      </c>
      <c r="J3651">
        <v>0</v>
      </c>
      <c r="K3651" t="str">
        <f t="shared" si="649"/>
        <v>801</v>
      </c>
      <c r="L3651">
        <v>17.64</v>
      </c>
    </row>
    <row r="3652" spans="1:12" x14ac:dyDescent="0.25">
      <c r="A3652" t="str">
        <f t="shared" si="653"/>
        <v>89301000</v>
      </c>
      <c r="B3652" t="str">
        <f t="shared" si="650"/>
        <v>78006000</v>
      </c>
      <c r="C3652" t="str">
        <f t="shared" si="647"/>
        <v>78006201</v>
      </c>
      <c r="D3652">
        <v>89301171</v>
      </c>
      <c r="E3652" t="str">
        <f t="shared" si="652"/>
        <v>531007235</v>
      </c>
      <c r="F3652" s="1">
        <v>45015</v>
      </c>
      <c r="G3652" t="str">
        <f>"93189"</f>
        <v>93189</v>
      </c>
      <c r="H3652">
        <v>1</v>
      </c>
      <c r="I3652">
        <v>191</v>
      </c>
      <c r="J3652">
        <v>0</v>
      </c>
      <c r="K3652" t="str">
        <f t="shared" si="649"/>
        <v>801</v>
      </c>
      <c r="L3652">
        <v>160.44</v>
      </c>
    </row>
    <row r="3653" spans="1:12" x14ac:dyDescent="0.25">
      <c r="A3653" t="str">
        <f t="shared" si="653"/>
        <v>89301000</v>
      </c>
      <c r="B3653" t="str">
        <f t="shared" si="650"/>
        <v>78006000</v>
      </c>
      <c r="C3653" t="str">
        <f t="shared" si="647"/>
        <v>78006201</v>
      </c>
      <c r="D3653">
        <v>89301171</v>
      </c>
      <c r="E3653" t="str">
        <f t="shared" si="652"/>
        <v>531007235</v>
      </c>
      <c r="F3653" s="1">
        <v>45015</v>
      </c>
      <c r="G3653" t="str">
        <f>"93195"</f>
        <v>93195</v>
      </c>
      <c r="H3653">
        <v>1</v>
      </c>
      <c r="I3653">
        <v>183</v>
      </c>
      <c r="J3653">
        <v>0</v>
      </c>
      <c r="K3653" t="str">
        <f t="shared" si="649"/>
        <v>801</v>
      </c>
      <c r="L3653">
        <v>153.72</v>
      </c>
    </row>
    <row r="3654" spans="1:12" x14ac:dyDescent="0.25">
      <c r="A3654" t="str">
        <f t="shared" si="653"/>
        <v>89301000</v>
      </c>
      <c r="B3654" t="str">
        <f t="shared" si="650"/>
        <v>78006000</v>
      </c>
      <c r="C3654" t="str">
        <f t="shared" ref="C3654:C3676" si="654">"78006201"</f>
        <v>78006201</v>
      </c>
      <c r="D3654">
        <v>89301171</v>
      </c>
      <c r="E3654" t="str">
        <f t="shared" si="652"/>
        <v>531007235</v>
      </c>
      <c r="F3654" s="1">
        <v>45015</v>
      </c>
      <c r="G3654" t="str">
        <f>"93245"</f>
        <v>93245</v>
      </c>
      <c r="H3654">
        <v>1</v>
      </c>
      <c r="I3654">
        <v>191</v>
      </c>
      <c r="J3654">
        <v>0</v>
      </c>
      <c r="K3654" t="str">
        <f t="shared" ref="K3654:K3676" si="655">"801"</f>
        <v>801</v>
      </c>
      <c r="L3654">
        <v>160.44</v>
      </c>
    </row>
    <row r="3655" spans="1:12" x14ac:dyDescent="0.25">
      <c r="A3655" t="str">
        <f t="shared" si="653"/>
        <v>89301000</v>
      </c>
      <c r="B3655" t="str">
        <f t="shared" si="650"/>
        <v>78006000</v>
      </c>
      <c r="C3655" t="str">
        <f t="shared" si="654"/>
        <v>78006201</v>
      </c>
      <c r="D3655">
        <v>89301171</v>
      </c>
      <c r="E3655" t="str">
        <f t="shared" si="652"/>
        <v>531007235</v>
      </c>
      <c r="F3655" s="1">
        <v>45015</v>
      </c>
      <c r="G3655" t="str">
        <f>"97111"</f>
        <v>97111</v>
      </c>
      <c r="H3655">
        <v>1</v>
      </c>
      <c r="I3655">
        <v>19</v>
      </c>
      <c r="J3655">
        <v>0</v>
      </c>
      <c r="K3655" t="str">
        <f t="shared" si="655"/>
        <v>801</v>
      </c>
      <c r="L3655">
        <v>23.94</v>
      </c>
    </row>
    <row r="3656" spans="1:12" x14ac:dyDescent="0.25">
      <c r="A3656" t="str">
        <f t="shared" si="653"/>
        <v>89301000</v>
      </c>
      <c r="B3656" t="str">
        <f t="shared" si="650"/>
        <v>78006000</v>
      </c>
      <c r="C3656" t="str">
        <f t="shared" si="654"/>
        <v>78006201</v>
      </c>
      <c r="D3656">
        <v>89301167</v>
      </c>
      <c r="E3656" t="str">
        <f t="shared" ref="E3656:E3661" si="656">"5854210813"</f>
        <v>5854210813</v>
      </c>
      <c r="F3656" s="1">
        <v>44991</v>
      </c>
      <c r="G3656" t="str">
        <f>"81329"</f>
        <v>81329</v>
      </c>
      <c r="H3656">
        <v>1</v>
      </c>
      <c r="I3656">
        <v>17</v>
      </c>
      <c r="J3656">
        <v>0</v>
      </c>
      <c r="K3656" t="str">
        <f t="shared" si="655"/>
        <v>801</v>
      </c>
      <c r="L3656">
        <v>14.28</v>
      </c>
    </row>
    <row r="3657" spans="1:12" x14ac:dyDescent="0.25">
      <c r="A3657" t="str">
        <f t="shared" si="653"/>
        <v>89301000</v>
      </c>
      <c r="B3657" t="str">
        <f t="shared" si="650"/>
        <v>78006000</v>
      </c>
      <c r="C3657" t="str">
        <f t="shared" si="654"/>
        <v>78006201</v>
      </c>
      <c r="D3657">
        <v>89301167</v>
      </c>
      <c r="E3657" t="str">
        <f t="shared" si="656"/>
        <v>5854210813</v>
      </c>
      <c r="F3657" s="1">
        <v>44991</v>
      </c>
      <c r="G3657" t="str">
        <f>"81383"</f>
        <v>81383</v>
      </c>
      <c r="H3657">
        <v>1</v>
      </c>
      <c r="I3657">
        <v>24</v>
      </c>
      <c r="J3657">
        <v>0</v>
      </c>
      <c r="K3657" t="str">
        <f t="shared" si="655"/>
        <v>801</v>
      </c>
      <c r="L3657">
        <v>20.16</v>
      </c>
    </row>
    <row r="3658" spans="1:12" x14ac:dyDescent="0.25">
      <c r="A3658" t="str">
        <f t="shared" si="653"/>
        <v>89301000</v>
      </c>
      <c r="B3658" t="str">
        <f t="shared" si="650"/>
        <v>78006000</v>
      </c>
      <c r="C3658" t="str">
        <f t="shared" si="654"/>
        <v>78006201</v>
      </c>
      <c r="D3658">
        <v>89301167</v>
      </c>
      <c r="E3658" t="str">
        <f t="shared" si="656"/>
        <v>5854210813</v>
      </c>
      <c r="F3658" s="1">
        <v>44991</v>
      </c>
      <c r="G3658" t="str">
        <f>"81625"</f>
        <v>81625</v>
      </c>
      <c r="H3658">
        <v>1</v>
      </c>
      <c r="I3658">
        <v>21</v>
      </c>
      <c r="J3658">
        <v>0</v>
      </c>
      <c r="K3658" t="str">
        <f t="shared" si="655"/>
        <v>801</v>
      </c>
      <c r="L3658">
        <v>17.64</v>
      </c>
    </row>
    <row r="3659" spans="1:12" x14ac:dyDescent="0.25">
      <c r="A3659" t="str">
        <f t="shared" si="653"/>
        <v>89301000</v>
      </c>
      <c r="B3659" t="str">
        <f t="shared" si="650"/>
        <v>78006000</v>
      </c>
      <c r="C3659" t="str">
        <f t="shared" si="654"/>
        <v>78006201</v>
      </c>
      <c r="D3659">
        <v>89301167</v>
      </c>
      <c r="E3659" t="str">
        <f t="shared" si="656"/>
        <v>5854210813</v>
      </c>
      <c r="F3659" s="1">
        <v>44991</v>
      </c>
      <c r="G3659" t="str">
        <f>"93189"</f>
        <v>93189</v>
      </c>
      <c r="H3659">
        <v>1</v>
      </c>
      <c r="I3659">
        <v>191</v>
      </c>
      <c r="J3659">
        <v>0</v>
      </c>
      <c r="K3659" t="str">
        <f t="shared" si="655"/>
        <v>801</v>
      </c>
      <c r="L3659">
        <v>160.44</v>
      </c>
    </row>
    <row r="3660" spans="1:12" x14ac:dyDescent="0.25">
      <c r="A3660" t="str">
        <f t="shared" si="653"/>
        <v>89301000</v>
      </c>
      <c r="B3660" t="str">
        <f t="shared" si="650"/>
        <v>78006000</v>
      </c>
      <c r="C3660" t="str">
        <f t="shared" si="654"/>
        <v>78006201</v>
      </c>
      <c r="D3660">
        <v>89301167</v>
      </c>
      <c r="E3660" t="str">
        <f t="shared" si="656"/>
        <v>5854210813</v>
      </c>
      <c r="F3660" s="1">
        <v>44991</v>
      </c>
      <c r="G3660" t="str">
        <f>"93195"</f>
        <v>93195</v>
      </c>
      <c r="H3660">
        <v>1</v>
      </c>
      <c r="I3660">
        <v>183</v>
      </c>
      <c r="J3660">
        <v>0</v>
      </c>
      <c r="K3660" t="str">
        <f t="shared" si="655"/>
        <v>801</v>
      </c>
      <c r="L3660">
        <v>153.72</v>
      </c>
    </row>
    <row r="3661" spans="1:12" x14ac:dyDescent="0.25">
      <c r="A3661" t="str">
        <f t="shared" si="653"/>
        <v>89301000</v>
      </c>
      <c r="B3661" t="str">
        <f t="shared" si="650"/>
        <v>78006000</v>
      </c>
      <c r="C3661" t="str">
        <f t="shared" si="654"/>
        <v>78006201</v>
      </c>
      <c r="D3661">
        <v>89301167</v>
      </c>
      <c r="E3661" t="str">
        <f t="shared" si="656"/>
        <v>5854210813</v>
      </c>
      <c r="F3661" s="1">
        <v>44991</v>
      </c>
      <c r="G3661" t="str">
        <f>"97111"</f>
        <v>97111</v>
      </c>
      <c r="H3661">
        <v>1</v>
      </c>
      <c r="I3661">
        <v>19</v>
      </c>
      <c r="J3661">
        <v>0</v>
      </c>
      <c r="K3661" t="str">
        <f t="shared" si="655"/>
        <v>801</v>
      </c>
      <c r="L3661">
        <v>23.94</v>
      </c>
    </row>
    <row r="3662" spans="1:12" x14ac:dyDescent="0.25">
      <c r="A3662" t="str">
        <f t="shared" si="653"/>
        <v>89301000</v>
      </c>
      <c r="B3662" t="str">
        <f t="shared" si="650"/>
        <v>78006000</v>
      </c>
      <c r="C3662" t="str">
        <f t="shared" si="654"/>
        <v>78006201</v>
      </c>
      <c r="D3662">
        <v>89301171</v>
      </c>
      <c r="E3662" t="str">
        <f>"9451245727"</f>
        <v>9451245727</v>
      </c>
      <c r="F3662" s="1">
        <v>45012</v>
      </c>
      <c r="G3662" t="str">
        <f t="shared" ref="G3662:G3669" si="657">"81703"</f>
        <v>81703</v>
      </c>
      <c r="H3662">
        <v>2</v>
      </c>
      <c r="I3662">
        <v>556</v>
      </c>
      <c r="J3662">
        <v>0</v>
      </c>
      <c r="K3662" t="str">
        <f t="shared" si="655"/>
        <v>801</v>
      </c>
      <c r="L3662">
        <v>467.04</v>
      </c>
    </row>
    <row r="3663" spans="1:12" x14ac:dyDescent="0.25">
      <c r="A3663" t="str">
        <f t="shared" si="653"/>
        <v>89301000</v>
      </c>
      <c r="B3663" t="str">
        <f t="shared" ref="B3663:B3694" si="658">"78006000"</f>
        <v>78006000</v>
      </c>
      <c r="C3663" t="str">
        <f t="shared" si="654"/>
        <v>78006201</v>
      </c>
      <c r="D3663">
        <v>89301171</v>
      </c>
      <c r="E3663" t="str">
        <f>"9356214846"</f>
        <v>9356214846</v>
      </c>
      <c r="F3663" s="1">
        <v>44991</v>
      </c>
      <c r="G3663" t="str">
        <f t="shared" si="657"/>
        <v>81703</v>
      </c>
      <c r="H3663">
        <v>2</v>
      </c>
      <c r="I3663">
        <v>556</v>
      </c>
      <c r="J3663">
        <v>0</v>
      </c>
      <c r="K3663" t="str">
        <f t="shared" si="655"/>
        <v>801</v>
      </c>
      <c r="L3663">
        <v>467.04</v>
      </c>
    </row>
    <row r="3664" spans="1:12" x14ac:dyDescent="0.25">
      <c r="A3664" t="str">
        <f t="shared" si="653"/>
        <v>89301000</v>
      </c>
      <c r="B3664" t="str">
        <f t="shared" si="658"/>
        <v>78006000</v>
      </c>
      <c r="C3664" t="str">
        <f t="shared" si="654"/>
        <v>78006201</v>
      </c>
      <c r="D3664">
        <v>89301171</v>
      </c>
      <c r="E3664" t="str">
        <f>"9257285774"</f>
        <v>9257285774</v>
      </c>
      <c r="F3664" s="1">
        <v>44998</v>
      </c>
      <c r="G3664" t="str">
        <f t="shared" si="657"/>
        <v>81703</v>
      </c>
      <c r="H3664">
        <v>2</v>
      </c>
      <c r="I3664">
        <v>556</v>
      </c>
      <c r="J3664">
        <v>0</v>
      </c>
      <c r="K3664" t="str">
        <f t="shared" si="655"/>
        <v>801</v>
      </c>
      <c r="L3664">
        <v>467.04</v>
      </c>
    </row>
    <row r="3665" spans="1:12" x14ac:dyDescent="0.25">
      <c r="A3665" t="str">
        <f t="shared" si="653"/>
        <v>89301000</v>
      </c>
      <c r="B3665" t="str">
        <f t="shared" si="658"/>
        <v>78006000</v>
      </c>
      <c r="C3665" t="str">
        <f t="shared" si="654"/>
        <v>78006201</v>
      </c>
      <c r="D3665">
        <v>89301171</v>
      </c>
      <c r="E3665" t="str">
        <f>"7962075396"</f>
        <v>7962075396</v>
      </c>
      <c r="F3665" s="1">
        <v>44998</v>
      </c>
      <c r="G3665" t="str">
        <f t="shared" si="657"/>
        <v>81703</v>
      </c>
      <c r="H3665">
        <v>2</v>
      </c>
      <c r="I3665">
        <v>556</v>
      </c>
      <c r="J3665">
        <v>0</v>
      </c>
      <c r="K3665" t="str">
        <f t="shared" si="655"/>
        <v>801</v>
      </c>
      <c r="L3665">
        <v>467.04</v>
      </c>
    </row>
    <row r="3666" spans="1:12" x14ac:dyDescent="0.25">
      <c r="A3666" t="str">
        <f t="shared" si="653"/>
        <v>89301000</v>
      </c>
      <c r="B3666" t="str">
        <f t="shared" si="658"/>
        <v>78006000</v>
      </c>
      <c r="C3666" t="str">
        <f t="shared" si="654"/>
        <v>78006201</v>
      </c>
      <c r="D3666">
        <v>89301171</v>
      </c>
      <c r="E3666" t="str">
        <f>"6456070258"</f>
        <v>6456070258</v>
      </c>
      <c r="F3666" s="1">
        <v>45005</v>
      </c>
      <c r="G3666" t="str">
        <f t="shared" si="657"/>
        <v>81703</v>
      </c>
      <c r="H3666">
        <v>2</v>
      </c>
      <c r="I3666">
        <v>556</v>
      </c>
      <c r="J3666">
        <v>0</v>
      </c>
      <c r="K3666" t="str">
        <f t="shared" si="655"/>
        <v>801</v>
      </c>
      <c r="L3666">
        <v>467.04</v>
      </c>
    </row>
    <row r="3667" spans="1:12" x14ac:dyDescent="0.25">
      <c r="A3667" t="str">
        <f t="shared" si="653"/>
        <v>89301000</v>
      </c>
      <c r="B3667" t="str">
        <f t="shared" si="658"/>
        <v>78006000</v>
      </c>
      <c r="C3667" t="str">
        <f t="shared" si="654"/>
        <v>78006201</v>
      </c>
      <c r="D3667">
        <v>89301171</v>
      </c>
      <c r="E3667" t="str">
        <f>"7858175336"</f>
        <v>7858175336</v>
      </c>
      <c r="F3667" s="1">
        <v>45008</v>
      </c>
      <c r="G3667" t="str">
        <f t="shared" si="657"/>
        <v>81703</v>
      </c>
      <c r="H3667">
        <v>2</v>
      </c>
      <c r="I3667">
        <v>556</v>
      </c>
      <c r="J3667">
        <v>0</v>
      </c>
      <c r="K3667" t="str">
        <f t="shared" si="655"/>
        <v>801</v>
      </c>
      <c r="L3667">
        <v>467.04</v>
      </c>
    </row>
    <row r="3668" spans="1:12" x14ac:dyDescent="0.25">
      <c r="A3668" t="str">
        <f t="shared" si="653"/>
        <v>89301000</v>
      </c>
      <c r="B3668" t="str">
        <f t="shared" si="658"/>
        <v>78006000</v>
      </c>
      <c r="C3668" t="str">
        <f t="shared" si="654"/>
        <v>78006201</v>
      </c>
      <c r="D3668">
        <v>89301171</v>
      </c>
      <c r="E3668" t="str">
        <f>"8160155333"</f>
        <v>8160155333</v>
      </c>
      <c r="F3668" s="1">
        <v>45001</v>
      </c>
      <c r="G3668" t="str">
        <f t="shared" si="657"/>
        <v>81703</v>
      </c>
      <c r="H3668">
        <v>2</v>
      </c>
      <c r="I3668">
        <v>556</v>
      </c>
      <c r="J3668">
        <v>0</v>
      </c>
      <c r="K3668" t="str">
        <f t="shared" si="655"/>
        <v>801</v>
      </c>
      <c r="L3668">
        <v>467.04</v>
      </c>
    </row>
    <row r="3669" spans="1:12" x14ac:dyDescent="0.25">
      <c r="A3669" t="str">
        <f t="shared" si="653"/>
        <v>89301000</v>
      </c>
      <c r="B3669" t="str">
        <f t="shared" si="658"/>
        <v>78006000</v>
      </c>
      <c r="C3669" t="str">
        <f t="shared" si="654"/>
        <v>78006201</v>
      </c>
      <c r="D3669">
        <v>89301171</v>
      </c>
      <c r="E3669" t="str">
        <f>"7962075363"</f>
        <v>7962075363</v>
      </c>
      <c r="F3669" s="1">
        <v>45012</v>
      </c>
      <c r="G3669" t="str">
        <f t="shared" si="657"/>
        <v>81703</v>
      </c>
      <c r="H3669">
        <v>2</v>
      </c>
      <c r="I3669">
        <v>556</v>
      </c>
      <c r="J3669">
        <v>0</v>
      </c>
      <c r="K3669" t="str">
        <f t="shared" si="655"/>
        <v>801</v>
      </c>
      <c r="L3669">
        <v>467.04</v>
      </c>
    </row>
    <row r="3670" spans="1:12" x14ac:dyDescent="0.25">
      <c r="A3670" t="str">
        <f t="shared" si="653"/>
        <v>89301000</v>
      </c>
      <c r="B3670" t="str">
        <f t="shared" si="658"/>
        <v>78006000</v>
      </c>
      <c r="C3670" t="str">
        <f t="shared" si="654"/>
        <v>78006201</v>
      </c>
      <c r="D3670">
        <v>89301171</v>
      </c>
      <c r="E3670" t="str">
        <f>"8357184462"</f>
        <v>8357184462</v>
      </c>
      <c r="F3670" s="1">
        <v>45005</v>
      </c>
      <c r="G3670" t="str">
        <f>"97111"</f>
        <v>97111</v>
      </c>
      <c r="H3670">
        <v>1</v>
      </c>
      <c r="I3670">
        <v>19</v>
      </c>
      <c r="J3670">
        <v>0</v>
      </c>
      <c r="K3670" t="str">
        <f t="shared" si="655"/>
        <v>801</v>
      </c>
      <c r="L3670">
        <v>23.94</v>
      </c>
    </row>
    <row r="3671" spans="1:12" x14ac:dyDescent="0.25">
      <c r="A3671" t="str">
        <f t="shared" si="653"/>
        <v>89301000</v>
      </c>
      <c r="B3671" t="str">
        <f t="shared" si="658"/>
        <v>78006000</v>
      </c>
      <c r="C3671" t="str">
        <f t="shared" si="654"/>
        <v>78006201</v>
      </c>
      <c r="D3671">
        <v>89301171</v>
      </c>
      <c r="E3671" t="str">
        <f>"7661265381"</f>
        <v>7661265381</v>
      </c>
      <c r="F3671" s="1">
        <v>45005</v>
      </c>
      <c r="G3671" t="str">
        <f>"97111"</f>
        <v>97111</v>
      </c>
      <c r="H3671">
        <v>1</v>
      </c>
      <c r="I3671">
        <v>19</v>
      </c>
      <c r="J3671">
        <v>0</v>
      </c>
      <c r="K3671" t="str">
        <f t="shared" si="655"/>
        <v>801</v>
      </c>
      <c r="L3671">
        <v>23.94</v>
      </c>
    </row>
    <row r="3672" spans="1:12" x14ac:dyDescent="0.25">
      <c r="A3672" t="str">
        <f t="shared" si="653"/>
        <v>89301000</v>
      </c>
      <c r="B3672" t="str">
        <f t="shared" si="658"/>
        <v>78006000</v>
      </c>
      <c r="C3672" t="str">
        <f t="shared" si="654"/>
        <v>78006201</v>
      </c>
      <c r="D3672">
        <v>89301082</v>
      </c>
      <c r="E3672" t="str">
        <f>"8660165822"</f>
        <v>8660165822</v>
      </c>
      <c r="F3672" s="1">
        <v>45002</v>
      </c>
      <c r="G3672" t="str">
        <f>"97111"</f>
        <v>97111</v>
      </c>
      <c r="H3672">
        <v>1</v>
      </c>
      <c r="I3672">
        <v>19</v>
      </c>
      <c r="J3672">
        <v>0</v>
      </c>
      <c r="K3672" t="str">
        <f t="shared" si="655"/>
        <v>801</v>
      </c>
      <c r="L3672">
        <v>23.94</v>
      </c>
    </row>
    <row r="3673" spans="1:12" x14ac:dyDescent="0.25">
      <c r="A3673" t="str">
        <f t="shared" si="653"/>
        <v>89301000</v>
      </c>
      <c r="B3673" t="str">
        <f t="shared" si="658"/>
        <v>78006000</v>
      </c>
      <c r="C3673" t="str">
        <f t="shared" si="654"/>
        <v>78006201</v>
      </c>
      <c r="D3673">
        <v>89301212</v>
      </c>
      <c r="E3673" t="str">
        <f>"5951290719"</f>
        <v>5951290719</v>
      </c>
      <c r="F3673" s="1">
        <v>44986</v>
      </c>
      <c r="G3673" t="str">
        <f>"09119"</f>
        <v>09119</v>
      </c>
      <c r="H3673">
        <v>1</v>
      </c>
      <c r="I3673">
        <v>43</v>
      </c>
      <c r="J3673">
        <v>0</v>
      </c>
      <c r="K3673" t="str">
        <f t="shared" si="655"/>
        <v>801</v>
      </c>
      <c r="L3673">
        <v>54.18</v>
      </c>
    </row>
    <row r="3674" spans="1:12" x14ac:dyDescent="0.25">
      <c r="A3674" t="str">
        <f t="shared" si="653"/>
        <v>89301000</v>
      </c>
      <c r="B3674" t="str">
        <f t="shared" si="658"/>
        <v>78006000</v>
      </c>
      <c r="C3674" t="str">
        <f t="shared" si="654"/>
        <v>78006201</v>
      </c>
      <c r="D3674">
        <v>89301167</v>
      </c>
      <c r="E3674" t="str">
        <f>"5854210813"</f>
        <v>5854210813</v>
      </c>
      <c r="F3674" s="1">
        <v>44991</v>
      </c>
      <c r="G3674" t="str">
        <f>"09119"</f>
        <v>09119</v>
      </c>
      <c r="H3674">
        <v>1</v>
      </c>
      <c r="I3674">
        <v>43</v>
      </c>
      <c r="J3674">
        <v>0</v>
      </c>
      <c r="K3674" t="str">
        <f t="shared" si="655"/>
        <v>801</v>
      </c>
      <c r="L3674">
        <v>54.18</v>
      </c>
    </row>
    <row r="3675" spans="1:12" x14ac:dyDescent="0.25">
      <c r="A3675" t="str">
        <f t="shared" si="653"/>
        <v>89301000</v>
      </c>
      <c r="B3675" t="str">
        <f t="shared" si="658"/>
        <v>78006000</v>
      </c>
      <c r="C3675" t="str">
        <f t="shared" si="654"/>
        <v>78006201</v>
      </c>
      <c r="D3675">
        <v>89301162</v>
      </c>
      <c r="E3675" t="str">
        <f>"5951290719"</f>
        <v>5951290719</v>
      </c>
      <c r="F3675" s="1">
        <v>45001</v>
      </c>
      <c r="G3675" t="str">
        <f>"09119"</f>
        <v>09119</v>
      </c>
      <c r="H3675">
        <v>1</v>
      </c>
      <c r="I3675">
        <v>43</v>
      </c>
      <c r="J3675">
        <v>0</v>
      </c>
      <c r="K3675" t="str">
        <f t="shared" si="655"/>
        <v>801</v>
      </c>
      <c r="L3675">
        <v>54.18</v>
      </c>
    </row>
    <row r="3676" spans="1:12" x14ac:dyDescent="0.25">
      <c r="A3676" t="str">
        <f t="shared" si="653"/>
        <v>89301000</v>
      </c>
      <c r="B3676" t="str">
        <f t="shared" si="658"/>
        <v>78006000</v>
      </c>
      <c r="C3676" t="str">
        <f t="shared" si="654"/>
        <v>78006201</v>
      </c>
      <c r="D3676">
        <v>89301167</v>
      </c>
      <c r="E3676" t="str">
        <f>"5854210813"</f>
        <v>5854210813</v>
      </c>
      <c r="F3676" s="1">
        <v>45016</v>
      </c>
      <c r="G3676" t="str">
        <f>"09119"</f>
        <v>09119</v>
      </c>
      <c r="H3676">
        <v>1</v>
      </c>
      <c r="I3676">
        <v>43</v>
      </c>
      <c r="J3676">
        <v>0</v>
      </c>
      <c r="K3676" t="str">
        <f t="shared" si="655"/>
        <v>801</v>
      </c>
      <c r="L3676">
        <v>54.18</v>
      </c>
    </row>
    <row r="3677" spans="1:12" x14ac:dyDescent="0.25">
      <c r="A3677" t="str">
        <f t="shared" si="653"/>
        <v>89301000</v>
      </c>
      <c r="B3677" t="str">
        <f t="shared" si="658"/>
        <v>78006000</v>
      </c>
      <c r="C3677" t="str">
        <f>"78006205"</f>
        <v>78006205</v>
      </c>
      <c r="D3677">
        <v>89301167</v>
      </c>
      <c r="E3677" t="str">
        <f>"7003135304"</f>
        <v>7003135304</v>
      </c>
      <c r="F3677" s="1">
        <v>44991</v>
      </c>
      <c r="G3677" t="str">
        <f>"96167"</f>
        <v>96167</v>
      </c>
      <c r="H3677">
        <v>1</v>
      </c>
      <c r="I3677">
        <v>67</v>
      </c>
      <c r="J3677">
        <v>0</v>
      </c>
      <c r="K3677" t="str">
        <f>"818"</f>
        <v>818</v>
      </c>
      <c r="L3677">
        <v>64.989999999999995</v>
      </c>
    </row>
    <row r="3678" spans="1:12" x14ac:dyDescent="0.25">
      <c r="A3678" t="str">
        <f t="shared" si="653"/>
        <v>89301000</v>
      </c>
      <c r="B3678" t="str">
        <f t="shared" si="658"/>
        <v>78006000</v>
      </c>
      <c r="C3678" t="str">
        <f t="shared" ref="C3678:C3707" si="659">"78006231"</f>
        <v>78006231</v>
      </c>
      <c r="D3678">
        <v>89301215</v>
      </c>
      <c r="E3678" t="str">
        <f>"530127128"</f>
        <v>530127128</v>
      </c>
      <c r="F3678" s="1">
        <v>45000</v>
      </c>
      <c r="G3678" t="str">
        <f>"89617"</f>
        <v>89617</v>
      </c>
      <c r="H3678">
        <v>1</v>
      </c>
      <c r="I3678">
        <v>1342</v>
      </c>
      <c r="J3678">
        <v>0</v>
      </c>
      <c r="K3678" t="str">
        <f t="shared" ref="K3678:K3708" si="660">"809"</f>
        <v>809</v>
      </c>
      <c r="L3678">
        <v>872.3</v>
      </c>
    </row>
    <row r="3679" spans="1:12" x14ac:dyDescent="0.25">
      <c r="A3679" t="str">
        <f t="shared" si="653"/>
        <v>89301000</v>
      </c>
      <c r="B3679" t="str">
        <f t="shared" si="658"/>
        <v>78006000</v>
      </c>
      <c r="C3679" t="str">
        <f t="shared" si="659"/>
        <v>78006231</v>
      </c>
      <c r="D3679">
        <v>89301215</v>
      </c>
      <c r="E3679" t="str">
        <f>"530127128"</f>
        <v>530127128</v>
      </c>
      <c r="F3679" s="1">
        <v>45000</v>
      </c>
      <c r="G3679" t="str">
        <f>"0022075"</f>
        <v>0022075</v>
      </c>
      <c r="H3679">
        <v>1</v>
      </c>
      <c r="J3679">
        <v>1004.83</v>
      </c>
      <c r="K3679" t="str">
        <f t="shared" si="660"/>
        <v>809</v>
      </c>
      <c r="L3679">
        <v>1004.83</v>
      </c>
    </row>
    <row r="3680" spans="1:12" x14ac:dyDescent="0.25">
      <c r="A3680" t="str">
        <f t="shared" si="653"/>
        <v>89301000</v>
      </c>
      <c r="B3680" t="str">
        <f t="shared" si="658"/>
        <v>78006000</v>
      </c>
      <c r="C3680" t="str">
        <f t="shared" si="659"/>
        <v>78006231</v>
      </c>
      <c r="D3680">
        <v>89301212</v>
      </c>
      <c r="E3680" t="str">
        <f>"470909402"</f>
        <v>470909402</v>
      </c>
      <c r="F3680" s="1">
        <v>45012</v>
      </c>
      <c r="G3680" t="str">
        <f>"89617"</f>
        <v>89617</v>
      </c>
      <c r="H3680">
        <v>1</v>
      </c>
      <c r="I3680">
        <v>1342</v>
      </c>
      <c r="J3680">
        <v>0</v>
      </c>
      <c r="K3680" t="str">
        <f t="shared" si="660"/>
        <v>809</v>
      </c>
      <c r="L3680">
        <v>872.3</v>
      </c>
    </row>
    <row r="3681" spans="1:12" x14ac:dyDescent="0.25">
      <c r="A3681" t="str">
        <f t="shared" si="653"/>
        <v>89301000</v>
      </c>
      <c r="B3681" t="str">
        <f t="shared" si="658"/>
        <v>78006000</v>
      </c>
      <c r="C3681" t="str">
        <f t="shared" si="659"/>
        <v>78006231</v>
      </c>
      <c r="D3681">
        <v>89301212</v>
      </c>
      <c r="E3681" t="str">
        <f>"470909402"</f>
        <v>470909402</v>
      </c>
      <c r="F3681" s="1">
        <v>45012</v>
      </c>
      <c r="G3681" t="str">
        <f>"0022075"</f>
        <v>0022075</v>
      </c>
      <c r="H3681">
        <v>1</v>
      </c>
      <c r="J3681">
        <v>1004.83</v>
      </c>
      <c r="K3681" t="str">
        <f t="shared" si="660"/>
        <v>809</v>
      </c>
      <c r="L3681">
        <v>1004.83</v>
      </c>
    </row>
    <row r="3682" spans="1:12" x14ac:dyDescent="0.25">
      <c r="A3682" t="str">
        <f t="shared" si="653"/>
        <v>89301000</v>
      </c>
      <c r="B3682" t="str">
        <f t="shared" si="658"/>
        <v>78006000</v>
      </c>
      <c r="C3682" t="str">
        <f t="shared" si="659"/>
        <v>78006231</v>
      </c>
      <c r="D3682">
        <v>89301212</v>
      </c>
      <c r="E3682" t="str">
        <f>"470909402"</f>
        <v>470909402</v>
      </c>
      <c r="F3682" s="1">
        <v>45012</v>
      </c>
      <c r="G3682" t="str">
        <f>"0059496"</f>
        <v>0059496</v>
      </c>
      <c r="H3682">
        <v>0.5</v>
      </c>
      <c r="J3682">
        <v>126.8</v>
      </c>
      <c r="K3682" t="str">
        <f t="shared" si="660"/>
        <v>809</v>
      </c>
      <c r="L3682">
        <v>126.8</v>
      </c>
    </row>
    <row r="3683" spans="1:12" x14ac:dyDescent="0.25">
      <c r="A3683" t="str">
        <f t="shared" si="653"/>
        <v>89301000</v>
      </c>
      <c r="B3683" t="str">
        <f t="shared" si="658"/>
        <v>78006000</v>
      </c>
      <c r="C3683" t="str">
        <f t="shared" si="659"/>
        <v>78006231</v>
      </c>
      <c r="D3683">
        <v>89301212</v>
      </c>
      <c r="E3683" t="str">
        <f>"7060033530"</f>
        <v>7060033530</v>
      </c>
      <c r="F3683" s="1">
        <v>45016</v>
      </c>
      <c r="G3683" t="str">
        <f>"89617"</f>
        <v>89617</v>
      </c>
      <c r="H3683">
        <v>1</v>
      </c>
      <c r="I3683">
        <v>1342</v>
      </c>
      <c r="J3683">
        <v>0</v>
      </c>
      <c r="K3683" t="str">
        <f t="shared" si="660"/>
        <v>809</v>
      </c>
      <c r="L3683">
        <v>872.3</v>
      </c>
    </row>
    <row r="3684" spans="1:12" x14ac:dyDescent="0.25">
      <c r="A3684" t="str">
        <f t="shared" si="653"/>
        <v>89301000</v>
      </c>
      <c r="B3684" t="str">
        <f t="shared" si="658"/>
        <v>78006000</v>
      </c>
      <c r="C3684" t="str">
        <f t="shared" si="659"/>
        <v>78006231</v>
      </c>
      <c r="D3684">
        <v>89301212</v>
      </c>
      <c r="E3684" t="str">
        <f>"7060033530"</f>
        <v>7060033530</v>
      </c>
      <c r="F3684" s="1">
        <v>45016</v>
      </c>
      <c r="G3684" t="str">
        <f>"0022075"</f>
        <v>0022075</v>
      </c>
      <c r="H3684">
        <v>1</v>
      </c>
      <c r="J3684">
        <v>1004.83</v>
      </c>
      <c r="K3684" t="str">
        <f t="shared" si="660"/>
        <v>809</v>
      </c>
      <c r="L3684">
        <v>1004.83</v>
      </c>
    </row>
    <row r="3685" spans="1:12" x14ac:dyDescent="0.25">
      <c r="A3685" t="str">
        <f t="shared" si="653"/>
        <v>89301000</v>
      </c>
      <c r="B3685" t="str">
        <f t="shared" si="658"/>
        <v>78006000</v>
      </c>
      <c r="C3685" t="str">
        <f t="shared" si="659"/>
        <v>78006231</v>
      </c>
      <c r="D3685">
        <v>89301212</v>
      </c>
      <c r="E3685" t="str">
        <f>"7060033530"</f>
        <v>7060033530</v>
      </c>
      <c r="F3685" s="1">
        <v>45016</v>
      </c>
      <c r="G3685" t="str">
        <f>"0059496"</f>
        <v>0059496</v>
      </c>
      <c r="H3685">
        <v>0.5</v>
      </c>
      <c r="J3685">
        <v>126.8</v>
      </c>
      <c r="K3685" t="str">
        <f t="shared" si="660"/>
        <v>809</v>
      </c>
      <c r="L3685">
        <v>126.8</v>
      </c>
    </row>
    <row r="3686" spans="1:12" x14ac:dyDescent="0.25">
      <c r="A3686" t="str">
        <f t="shared" si="653"/>
        <v>89301000</v>
      </c>
      <c r="B3686" t="str">
        <f t="shared" si="658"/>
        <v>78006000</v>
      </c>
      <c r="C3686" t="str">
        <f t="shared" si="659"/>
        <v>78006231</v>
      </c>
      <c r="D3686">
        <v>89301132</v>
      </c>
      <c r="E3686" t="str">
        <f>"5407302153"</f>
        <v>5407302153</v>
      </c>
      <c r="F3686" s="1">
        <v>44988</v>
      </c>
      <c r="G3686" t="str">
        <f>"89147"</f>
        <v>89147</v>
      </c>
      <c r="H3686">
        <v>1</v>
      </c>
      <c r="I3686">
        <v>674</v>
      </c>
      <c r="J3686">
        <v>0</v>
      </c>
      <c r="K3686" t="str">
        <f t="shared" si="660"/>
        <v>809</v>
      </c>
      <c r="L3686">
        <v>990.78</v>
      </c>
    </row>
    <row r="3687" spans="1:12" x14ac:dyDescent="0.25">
      <c r="A3687" t="str">
        <f t="shared" si="653"/>
        <v>89301000</v>
      </c>
      <c r="B3687" t="str">
        <f t="shared" si="658"/>
        <v>78006000</v>
      </c>
      <c r="C3687" t="str">
        <f t="shared" si="659"/>
        <v>78006231</v>
      </c>
      <c r="D3687">
        <v>89301132</v>
      </c>
      <c r="E3687" t="str">
        <f>"5407302153"</f>
        <v>5407302153</v>
      </c>
      <c r="F3687" s="1">
        <v>44988</v>
      </c>
      <c r="G3687" t="str">
        <f>"0095607"</f>
        <v>0095607</v>
      </c>
      <c r="H3687">
        <v>0.2</v>
      </c>
      <c r="J3687">
        <v>103.49</v>
      </c>
      <c r="K3687" t="str">
        <f t="shared" si="660"/>
        <v>809</v>
      </c>
      <c r="L3687">
        <v>103.49</v>
      </c>
    </row>
    <row r="3688" spans="1:12" x14ac:dyDescent="0.25">
      <c r="A3688" t="str">
        <f t="shared" si="653"/>
        <v>89301000</v>
      </c>
      <c r="B3688" t="str">
        <f t="shared" si="658"/>
        <v>78006000</v>
      </c>
      <c r="C3688" t="str">
        <f t="shared" si="659"/>
        <v>78006231</v>
      </c>
      <c r="D3688">
        <v>89301212</v>
      </c>
      <c r="E3688" t="str">
        <f>"525502120"</f>
        <v>525502120</v>
      </c>
      <c r="F3688" s="1">
        <v>44988</v>
      </c>
      <c r="G3688" t="str">
        <f>"89180"</f>
        <v>89180</v>
      </c>
      <c r="H3688">
        <v>1</v>
      </c>
      <c r="I3688">
        <v>381</v>
      </c>
      <c r="J3688">
        <v>0</v>
      </c>
      <c r="K3688" t="str">
        <f t="shared" si="660"/>
        <v>809</v>
      </c>
      <c r="L3688">
        <v>560.07000000000005</v>
      </c>
    </row>
    <row r="3689" spans="1:12" x14ac:dyDescent="0.25">
      <c r="A3689" t="str">
        <f t="shared" si="653"/>
        <v>89301000</v>
      </c>
      <c r="B3689" t="str">
        <f t="shared" si="658"/>
        <v>78006000</v>
      </c>
      <c r="C3689" t="str">
        <f t="shared" si="659"/>
        <v>78006231</v>
      </c>
      <c r="D3689">
        <v>89301212</v>
      </c>
      <c r="E3689" t="str">
        <f>"525502120"</f>
        <v>525502120</v>
      </c>
      <c r="F3689" s="1">
        <v>44988</v>
      </c>
      <c r="G3689" t="str">
        <f>"89512"</f>
        <v>89512</v>
      </c>
      <c r="H3689">
        <v>1</v>
      </c>
      <c r="I3689">
        <v>283</v>
      </c>
      <c r="J3689">
        <v>0</v>
      </c>
      <c r="K3689" t="str">
        <f t="shared" si="660"/>
        <v>809</v>
      </c>
      <c r="L3689">
        <v>416.01</v>
      </c>
    </row>
    <row r="3690" spans="1:12" x14ac:dyDescent="0.25">
      <c r="A3690" t="str">
        <f t="shared" si="653"/>
        <v>89301000</v>
      </c>
      <c r="B3690" t="str">
        <f t="shared" si="658"/>
        <v>78006000</v>
      </c>
      <c r="C3690" t="str">
        <f t="shared" si="659"/>
        <v>78006231</v>
      </c>
      <c r="D3690">
        <v>89301212</v>
      </c>
      <c r="E3690" t="str">
        <f>"5859161385"</f>
        <v>5859161385</v>
      </c>
      <c r="F3690" s="1">
        <v>45000</v>
      </c>
      <c r="G3690" t="str">
        <f>"89512"</f>
        <v>89512</v>
      </c>
      <c r="H3690">
        <v>1</v>
      </c>
      <c r="I3690">
        <v>283</v>
      </c>
      <c r="J3690">
        <v>0</v>
      </c>
      <c r="K3690" t="str">
        <f t="shared" si="660"/>
        <v>809</v>
      </c>
      <c r="L3690">
        <v>416.01</v>
      </c>
    </row>
    <row r="3691" spans="1:12" x14ac:dyDescent="0.25">
      <c r="A3691" t="str">
        <f t="shared" si="653"/>
        <v>89301000</v>
      </c>
      <c r="B3691" t="str">
        <f t="shared" si="658"/>
        <v>78006000</v>
      </c>
      <c r="C3691" t="str">
        <f t="shared" si="659"/>
        <v>78006231</v>
      </c>
      <c r="D3691">
        <v>89301212</v>
      </c>
      <c r="E3691" t="str">
        <f>"5859161385"</f>
        <v>5859161385</v>
      </c>
      <c r="F3691" s="1">
        <v>45000</v>
      </c>
      <c r="G3691" t="str">
        <f>"89180"</f>
        <v>89180</v>
      </c>
      <c r="H3691">
        <v>1</v>
      </c>
      <c r="I3691">
        <v>381</v>
      </c>
      <c r="J3691">
        <v>0</v>
      </c>
      <c r="K3691" t="str">
        <f t="shared" si="660"/>
        <v>809</v>
      </c>
      <c r="L3691">
        <v>560.07000000000005</v>
      </c>
    </row>
    <row r="3692" spans="1:12" x14ac:dyDescent="0.25">
      <c r="A3692" t="str">
        <f t="shared" si="653"/>
        <v>89301000</v>
      </c>
      <c r="B3692" t="str">
        <f t="shared" si="658"/>
        <v>78006000</v>
      </c>
      <c r="C3692" t="str">
        <f t="shared" si="659"/>
        <v>78006231</v>
      </c>
      <c r="D3692">
        <v>89301212</v>
      </c>
      <c r="E3692" t="str">
        <f>"5951290719"</f>
        <v>5951290719</v>
      </c>
      <c r="F3692" s="1">
        <v>45008</v>
      </c>
      <c r="G3692" t="str">
        <f>"89180"</f>
        <v>89180</v>
      </c>
      <c r="H3692">
        <v>2</v>
      </c>
      <c r="I3692">
        <v>762</v>
      </c>
      <c r="J3692">
        <v>0</v>
      </c>
      <c r="K3692" t="str">
        <f t="shared" si="660"/>
        <v>809</v>
      </c>
      <c r="L3692">
        <v>1120.1400000000001</v>
      </c>
    </row>
    <row r="3693" spans="1:12" x14ac:dyDescent="0.25">
      <c r="A3693" t="str">
        <f t="shared" si="653"/>
        <v>89301000</v>
      </c>
      <c r="B3693" t="str">
        <f t="shared" si="658"/>
        <v>78006000</v>
      </c>
      <c r="C3693" t="str">
        <f t="shared" si="659"/>
        <v>78006231</v>
      </c>
      <c r="D3693">
        <v>89301212</v>
      </c>
      <c r="E3693" t="str">
        <f>"5859161385"</f>
        <v>5859161385</v>
      </c>
      <c r="F3693" s="1">
        <v>45000</v>
      </c>
      <c r="G3693" t="str">
        <f>"89513"</f>
        <v>89513</v>
      </c>
      <c r="H3693">
        <v>1</v>
      </c>
      <c r="I3693">
        <v>378</v>
      </c>
      <c r="J3693">
        <v>0</v>
      </c>
      <c r="K3693" t="str">
        <f t="shared" si="660"/>
        <v>809</v>
      </c>
      <c r="L3693">
        <v>555.66</v>
      </c>
    </row>
    <row r="3694" spans="1:12" x14ac:dyDescent="0.25">
      <c r="A3694" t="str">
        <f t="shared" si="653"/>
        <v>89301000</v>
      </c>
      <c r="B3694" t="str">
        <f t="shared" si="658"/>
        <v>78006000</v>
      </c>
      <c r="C3694" t="str">
        <f t="shared" si="659"/>
        <v>78006231</v>
      </c>
      <c r="D3694">
        <v>89301212</v>
      </c>
      <c r="E3694" t="str">
        <f>"5859161385"</f>
        <v>5859161385</v>
      </c>
      <c r="F3694" s="1">
        <v>45000</v>
      </c>
      <c r="G3694" t="str">
        <f>"89514"</f>
        <v>89514</v>
      </c>
      <c r="H3694">
        <v>1</v>
      </c>
      <c r="I3694">
        <v>378</v>
      </c>
      <c r="J3694">
        <v>0</v>
      </c>
      <c r="K3694" t="str">
        <f t="shared" si="660"/>
        <v>809</v>
      </c>
      <c r="L3694">
        <v>555.66</v>
      </c>
    </row>
    <row r="3695" spans="1:12" x14ac:dyDescent="0.25">
      <c r="A3695" t="str">
        <f t="shared" si="653"/>
        <v>89301000</v>
      </c>
      <c r="B3695" t="str">
        <f t="shared" ref="B3695:B3722" si="661">"78006000"</f>
        <v>78006000</v>
      </c>
      <c r="C3695" t="str">
        <f t="shared" si="659"/>
        <v>78006231</v>
      </c>
      <c r="D3695">
        <v>89301212</v>
      </c>
      <c r="E3695" t="str">
        <f>"5951290719"</f>
        <v>5951290719</v>
      </c>
      <c r="F3695" s="1">
        <v>45008</v>
      </c>
      <c r="G3695" t="str">
        <f>"89513"</f>
        <v>89513</v>
      </c>
      <c r="H3695">
        <v>1</v>
      </c>
      <c r="I3695">
        <v>378</v>
      </c>
      <c r="J3695">
        <v>0</v>
      </c>
      <c r="K3695" t="str">
        <f t="shared" si="660"/>
        <v>809</v>
      </c>
      <c r="L3695">
        <v>555.66</v>
      </c>
    </row>
    <row r="3696" spans="1:12" x14ac:dyDescent="0.25">
      <c r="A3696" t="str">
        <f t="shared" si="653"/>
        <v>89301000</v>
      </c>
      <c r="B3696" t="str">
        <f t="shared" si="661"/>
        <v>78006000</v>
      </c>
      <c r="C3696" t="str">
        <f t="shared" si="659"/>
        <v>78006231</v>
      </c>
      <c r="D3696">
        <v>89301212</v>
      </c>
      <c r="E3696" t="str">
        <f>"5951290719"</f>
        <v>5951290719</v>
      </c>
      <c r="F3696" s="1">
        <v>45008</v>
      </c>
      <c r="G3696" t="str">
        <f>"89514"</f>
        <v>89514</v>
      </c>
      <c r="H3696">
        <v>1</v>
      </c>
      <c r="I3696">
        <v>378</v>
      </c>
      <c r="J3696">
        <v>0</v>
      </c>
      <c r="K3696" t="str">
        <f t="shared" si="660"/>
        <v>809</v>
      </c>
      <c r="L3696">
        <v>555.66</v>
      </c>
    </row>
    <row r="3697" spans="1:12" x14ac:dyDescent="0.25">
      <c r="A3697" t="str">
        <f t="shared" si="653"/>
        <v>89301000</v>
      </c>
      <c r="B3697" t="str">
        <f t="shared" si="661"/>
        <v>78006000</v>
      </c>
      <c r="C3697" t="str">
        <f t="shared" si="659"/>
        <v>78006231</v>
      </c>
      <c r="D3697">
        <v>89301212</v>
      </c>
      <c r="E3697" t="str">
        <f>"5456081950"</f>
        <v>5456081950</v>
      </c>
      <c r="F3697" s="1">
        <v>44986</v>
      </c>
      <c r="G3697" t="str">
        <f>"89131"</f>
        <v>89131</v>
      </c>
      <c r="H3697">
        <v>1</v>
      </c>
      <c r="I3697">
        <v>190</v>
      </c>
      <c r="J3697">
        <v>0</v>
      </c>
      <c r="K3697" t="str">
        <f t="shared" si="660"/>
        <v>809</v>
      </c>
      <c r="L3697">
        <v>279.3</v>
      </c>
    </row>
    <row r="3698" spans="1:12" x14ac:dyDescent="0.25">
      <c r="A3698" t="str">
        <f t="shared" si="653"/>
        <v>89301000</v>
      </c>
      <c r="B3698" t="str">
        <f t="shared" si="661"/>
        <v>78006000</v>
      </c>
      <c r="C3698" t="str">
        <f t="shared" si="659"/>
        <v>78006231</v>
      </c>
      <c r="D3698">
        <v>89301062</v>
      </c>
      <c r="E3698" t="str">
        <f>"7754144486"</f>
        <v>7754144486</v>
      </c>
      <c r="F3698" s="1">
        <v>44999</v>
      </c>
      <c r="G3698" t="str">
        <f>"89117"</f>
        <v>89117</v>
      </c>
      <c r="H3698">
        <v>1</v>
      </c>
      <c r="I3698">
        <v>172</v>
      </c>
      <c r="J3698">
        <v>0</v>
      </c>
      <c r="K3698" t="str">
        <f t="shared" si="660"/>
        <v>809</v>
      </c>
      <c r="L3698">
        <v>252.84</v>
      </c>
    </row>
    <row r="3699" spans="1:12" x14ac:dyDescent="0.25">
      <c r="A3699" t="str">
        <f t="shared" si="653"/>
        <v>89301000</v>
      </c>
      <c r="B3699" t="str">
        <f t="shared" si="661"/>
        <v>78006000</v>
      </c>
      <c r="C3699" t="str">
        <f t="shared" si="659"/>
        <v>78006231</v>
      </c>
      <c r="D3699">
        <v>89301212</v>
      </c>
      <c r="E3699" t="str">
        <f>"5951290719"</f>
        <v>5951290719</v>
      </c>
      <c r="F3699" s="1">
        <v>45001</v>
      </c>
      <c r="G3699" t="str">
        <f>"89131"</f>
        <v>89131</v>
      </c>
      <c r="H3699">
        <v>1</v>
      </c>
      <c r="I3699">
        <v>190</v>
      </c>
      <c r="J3699">
        <v>0</v>
      </c>
      <c r="K3699" t="str">
        <f t="shared" si="660"/>
        <v>809</v>
      </c>
      <c r="L3699">
        <v>279.3</v>
      </c>
    </row>
    <row r="3700" spans="1:12" x14ac:dyDescent="0.25">
      <c r="A3700" t="str">
        <f t="shared" si="653"/>
        <v>89301000</v>
      </c>
      <c r="B3700" t="str">
        <f t="shared" si="661"/>
        <v>78006000</v>
      </c>
      <c r="C3700" t="str">
        <f t="shared" si="659"/>
        <v>78006231</v>
      </c>
      <c r="D3700">
        <v>89301212</v>
      </c>
      <c r="E3700" t="str">
        <f>"470909402"</f>
        <v>470909402</v>
      </c>
      <c r="F3700" s="1">
        <v>45012</v>
      </c>
      <c r="G3700" t="str">
        <f>"89131"</f>
        <v>89131</v>
      </c>
      <c r="H3700">
        <v>1</v>
      </c>
      <c r="I3700">
        <v>190</v>
      </c>
      <c r="J3700">
        <v>0</v>
      </c>
      <c r="K3700" t="str">
        <f t="shared" si="660"/>
        <v>809</v>
      </c>
      <c r="L3700">
        <v>279.3</v>
      </c>
    </row>
    <row r="3701" spans="1:12" x14ac:dyDescent="0.25">
      <c r="A3701" t="str">
        <f t="shared" si="653"/>
        <v>89301000</v>
      </c>
      <c r="B3701" t="str">
        <f t="shared" si="661"/>
        <v>78006000</v>
      </c>
      <c r="C3701" t="str">
        <f t="shared" si="659"/>
        <v>78006231</v>
      </c>
      <c r="D3701">
        <v>89301037</v>
      </c>
      <c r="E3701" t="str">
        <f>"5801251940"</f>
        <v>5801251940</v>
      </c>
      <c r="F3701" s="1">
        <v>45012</v>
      </c>
      <c r="G3701" t="str">
        <f>"89131"</f>
        <v>89131</v>
      </c>
      <c r="H3701">
        <v>1</v>
      </c>
      <c r="I3701">
        <v>190</v>
      </c>
      <c r="J3701">
        <v>0</v>
      </c>
      <c r="K3701" t="str">
        <f t="shared" si="660"/>
        <v>809</v>
      </c>
      <c r="L3701">
        <v>279.3</v>
      </c>
    </row>
    <row r="3702" spans="1:12" x14ac:dyDescent="0.25">
      <c r="A3702" t="str">
        <f t="shared" si="653"/>
        <v>89301000</v>
      </c>
      <c r="B3702" t="str">
        <f t="shared" si="661"/>
        <v>78006000</v>
      </c>
      <c r="C3702" t="str">
        <f t="shared" si="659"/>
        <v>78006231</v>
      </c>
      <c r="D3702">
        <v>89301062</v>
      </c>
      <c r="E3702" t="str">
        <f>"5505050650"</f>
        <v>5505050650</v>
      </c>
      <c r="F3702" s="1">
        <v>45015</v>
      </c>
      <c r="G3702" t="str">
        <f>"89119"</f>
        <v>89119</v>
      </c>
      <c r="H3702">
        <v>1</v>
      </c>
      <c r="I3702">
        <v>204</v>
      </c>
      <c r="J3702">
        <v>0</v>
      </c>
      <c r="K3702" t="str">
        <f t="shared" si="660"/>
        <v>809</v>
      </c>
      <c r="L3702">
        <v>299.88</v>
      </c>
    </row>
    <row r="3703" spans="1:12" x14ac:dyDescent="0.25">
      <c r="A3703" t="str">
        <f t="shared" si="653"/>
        <v>89301000</v>
      </c>
      <c r="B3703" t="str">
        <f t="shared" si="661"/>
        <v>78006000</v>
      </c>
      <c r="C3703" t="str">
        <f t="shared" si="659"/>
        <v>78006231</v>
      </c>
      <c r="D3703">
        <v>89301212</v>
      </c>
      <c r="E3703" t="str">
        <f>"5653021352"</f>
        <v>5653021352</v>
      </c>
      <c r="F3703" s="1">
        <v>44992</v>
      </c>
      <c r="G3703" t="str">
        <f>"89512"</f>
        <v>89512</v>
      </c>
      <c r="H3703">
        <v>1</v>
      </c>
      <c r="I3703">
        <v>283</v>
      </c>
      <c r="J3703">
        <v>0</v>
      </c>
      <c r="K3703" t="str">
        <f t="shared" si="660"/>
        <v>809</v>
      </c>
      <c r="L3703">
        <v>416.01</v>
      </c>
    </row>
    <row r="3704" spans="1:12" x14ac:dyDescent="0.25">
      <c r="A3704" t="str">
        <f t="shared" si="653"/>
        <v>89301000</v>
      </c>
      <c r="B3704" t="str">
        <f t="shared" si="661"/>
        <v>78006000</v>
      </c>
      <c r="C3704" t="str">
        <f t="shared" si="659"/>
        <v>78006231</v>
      </c>
      <c r="D3704">
        <v>89301212</v>
      </c>
      <c r="E3704" t="str">
        <f>"465805463"</f>
        <v>465805463</v>
      </c>
      <c r="F3704" s="1">
        <v>44993</v>
      </c>
      <c r="G3704" t="str">
        <f>"89513"</f>
        <v>89513</v>
      </c>
      <c r="H3704">
        <v>1</v>
      </c>
      <c r="I3704">
        <v>378</v>
      </c>
      <c r="J3704">
        <v>0</v>
      </c>
      <c r="K3704" t="str">
        <f t="shared" si="660"/>
        <v>809</v>
      </c>
      <c r="L3704">
        <v>555.66</v>
      </c>
    </row>
    <row r="3705" spans="1:12" x14ac:dyDescent="0.25">
      <c r="A3705" t="str">
        <f t="shared" si="653"/>
        <v>89301000</v>
      </c>
      <c r="B3705" t="str">
        <f t="shared" si="661"/>
        <v>78006000</v>
      </c>
      <c r="C3705" t="str">
        <f t="shared" si="659"/>
        <v>78006231</v>
      </c>
      <c r="D3705">
        <v>89301212</v>
      </c>
      <c r="E3705" t="str">
        <f>"465805463"</f>
        <v>465805463</v>
      </c>
      <c r="F3705" s="1">
        <v>44993</v>
      </c>
      <c r="G3705" t="str">
        <f>"89514"</f>
        <v>89514</v>
      </c>
      <c r="H3705">
        <v>1</v>
      </c>
      <c r="I3705">
        <v>378</v>
      </c>
      <c r="J3705">
        <v>0</v>
      </c>
      <c r="K3705" t="str">
        <f t="shared" si="660"/>
        <v>809</v>
      </c>
      <c r="L3705">
        <v>555.66</v>
      </c>
    </row>
    <row r="3706" spans="1:12" x14ac:dyDescent="0.25">
      <c r="A3706" t="str">
        <f t="shared" si="653"/>
        <v>89301000</v>
      </c>
      <c r="B3706" t="str">
        <f t="shared" si="661"/>
        <v>78006000</v>
      </c>
      <c r="C3706" t="str">
        <f t="shared" si="659"/>
        <v>78006231</v>
      </c>
      <c r="D3706">
        <v>89301212</v>
      </c>
      <c r="E3706" t="str">
        <f>"5851250185"</f>
        <v>5851250185</v>
      </c>
      <c r="F3706" s="1">
        <v>44993</v>
      </c>
      <c r="G3706" t="str">
        <f>"89513"</f>
        <v>89513</v>
      </c>
      <c r="H3706">
        <v>1</v>
      </c>
      <c r="I3706">
        <v>378</v>
      </c>
      <c r="J3706">
        <v>0</v>
      </c>
      <c r="K3706" t="str">
        <f t="shared" si="660"/>
        <v>809</v>
      </c>
      <c r="L3706">
        <v>555.66</v>
      </c>
    </row>
    <row r="3707" spans="1:12" x14ac:dyDescent="0.25">
      <c r="A3707" t="str">
        <f t="shared" si="653"/>
        <v>89301000</v>
      </c>
      <c r="B3707" t="str">
        <f t="shared" si="661"/>
        <v>78006000</v>
      </c>
      <c r="C3707" t="str">
        <f t="shared" si="659"/>
        <v>78006231</v>
      </c>
      <c r="D3707">
        <v>89301212</v>
      </c>
      <c r="E3707" t="str">
        <f>"5851250185"</f>
        <v>5851250185</v>
      </c>
      <c r="F3707" s="1">
        <v>44993</v>
      </c>
      <c r="G3707" t="str">
        <f>"89514"</f>
        <v>89514</v>
      </c>
      <c r="H3707">
        <v>1</v>
      </c>
      <c r="I3707">
        <v>378</v>
      </c>
      <c r="J3707">
        <v>0</v>
      </c>
      <c r="K3707" t="str">
        <f t="shared" si="660"/>
        <v>809</v>
      </c>
      <c r="L3707">
        <v>555.66</v>
      </c>
    </row>
    <row r="3708" spans="1:12" x14ac:dyDescent="0.25">
      <c r="A3708" t="str">
        <f t="shared" si="653"/>
        <v>89301000</v>
      </c>
      <c r="B3708" t="str">
        <f t="shared" si="661"/>
        <v>78006000</v>
      </c>
      <c r="C3708" t="str">
        <f>"78006831"</f>
        <v>78006831</v>
      </c>
      <c r="D3708">
        <v>89301172</v>
      </c>
      <c r="E3708" t="str">
        <f>"7158285310"</f>
        <v>7158285310</v>
      </c>
      <c r="F3708" s="1">
        <v>45008</v>
      </c>
      <c r="G3708" t="str">
        <f>"89123"</f>
        <v>89123</v>
      </c>
      <c r="H3708">
        <v>2</v>
      </c>
      <c r="I3708">
        <v>282</v>
      </c>
      <c r="J3708">
        <v>0</v>
      </c>
      <c r="K3708" t="str">
        <f t="shared" si="660"/>
        <v>809</v>
      </c>
      <c r="L3708">
        <v>414.54</v>
      </c>
    </row>
    <row r="3709" spans="1:12" x14ac:dyDescent="0.25">
      <c r="A3709" t="str">
        <f t="shared" si="653"/>
        <v>89301000</v>
      </c>
      <c r="B3709" t="str">
        <f t="shared" si="661"/>
        <v>78006000</v>
      </c>
      <c r="C3709" t="str">
        <f t="shared" ref="C3709:C3716" si="662">"78006233"</f>
        <v>78006233</v>
      </c>
      <c r="D3709">
        <v>89301112</v>
      </c>
      <c r="E3709" t="str">
        <f>"5962120934"</f>
        <v>5962120934</v>
      </c>
      <c r="F3709" s="1">
        <v>44991</v>
      </c>
      <c r="G3709" t="str">
        <f>"89713"</f>
        <v>89713</v>
      </c>
      <c r="H3709">
        <v>1</v>
      </c>
      <c r="I3709">
        <v>5411</v>
      </c>
      <c r="J3709">
        <v>0</v>
      </c>
      <c r="K3709" t="str">
        <f t="shared" ref="K3709:K3716" si="663">"810"</f>
        <v>810</v>
      </c>
      <c r="L3709">
        <v>3517.15</v>
      </c>
    </row>
    <row r="3710" spans="1:12" x14ac:dyDescent="0.25">
      <c r="A3710" t="str">
        <f t="shared" si="653"/>
        <v>89301000</v>
      </c>
      <c r="B3710" t="str">
        <f t="shared" si="661"/>
        <v>78006000</v>
      </c>
      <c r="C3710" t="str">
        <f t="shared" si="662"/>
        <v>78006233</v>
      </c>
      <c r="D3710">
        <v>89301112</v>
      </c>
      <c r="E3710" t="str">
        <f>"5962120934"</f>
        <v>5962120934</v>
      </c>
      <c r="F3710" s="1">
        <v>44991</v>
      </c>
      <c r="G3710" t="str">
        <f>"89725"</f>
        <v>89725</v>
      </c>
      <c r="H3710">
        <v>1</v>
      </c>
      <c r="I3710">
        <v>2863</v>
      </c>
      <c r="J3710">
        <v>0</v>
      </c>
      <c r="K3710" t="str">
        <f t="shared" si="663"/>
        <v>810</v>
      </c>
      <c r="L3710">
        <v>1860.95</v>
      </c>
    </row>
    <row r="3711" spans="1:12" x14ac:dyDescent="0.25">
      <c r="A3711" t="str">
        <f t="shared" si="653"/>
        <v>89301000</v>
      </c>
      <c r="B3711" t="str">
        <f t="shared" si="661"/>
        <v>78006000</v>
      </c>
      <c r="C3711" t="str">
        <f t="shared" si="662"/>
        <v>78006233</v>
      </c>
      <c r="D3711">
        <v>89301074</v>
      </c>
      <c r="E3711" t="str">
        <f>"6958054455"</f>
        <v>6958054455</v>
      </c>
      <c r="F3711" s="1">
        <v>44995</v>
      </c>
      <c r="G3711" t="str">
        <f>"89713"</f>
        <v>89713</v>
      </c>
      <c r="H3711">
        <v>1</v>
      </c>
      <c r="I3711">
        <v>5411</v>
      </c>
      <c r="J3711">
        <v>0</v>
      </c>
      <c r="K3711" t="str">
        <f t="shared" si="663"/>
        <v>810</v>
      </c>
      <c r="L3711">
        <v>3517.15</v>
      </c>
    </row>
    <row r="3712" spans="1:12" x14ac:dyDescent="0.25">
      <c r="A3712" t="str">
        <f t="shared" si="653"/>
        <v>89301000</v>
      </c>
      <c r="B3712" t="str">
        <f t="shared" si="661"/>
        <v>78006000</v>
      </c>
      <c r="C3712" t="str">
        <f t="shared" si="662"/>
        <v>78006233</v>
      </c>
      <c r="D3712">
        <v>89301074</v>
      </c>
      <c r="E3712" t="str">
        <f>"6958054455"</f>
        <v>6958054455</v>
      </c>
      <c r="F3712" s="1">
        <v>44995</v>
      </c>
      <c r="G3712" t="str">
        <f>"89725"</f>
        <v>89725</v>
      </c>
      <c r="H3712">
        <v>1</v>
      </c>
      <c r="I3712">
        <v>2863</v>
      </c>
      <c r="J3712">
        <v>0</v>
      </c>
      <c r="K3712" t="str">
        <f t="shared" si="663"/>
        <v>810</v>
      </c>
      <c r="L3712">
        <v>1860.95</v>
      </c>
    </row>
    <row r="3713" spans="1:12" x14ac:dyDescent="0.25">
      <c r="A3713" t="str">
        <f t="shared" si="653"/>
        <v>89301000</v>
      </c>
      <c r="B3713" t="str">
        <f t="shared" si="661"/>
        <v>78006000</v>
      </c>
      <c r="C3713" t="str">
        <f t="shared" si="662"/>
        <v>78006233</v>
      </c>
      <c r="D3713">
        <v>89301172</v>
      </c>
      <c r="E3713" t="str">
        <f>"7611174461"</f>
        <v>7611174461</v>
      </c>
      <c r="F3713" s="1">
        <v>45001</v>
      </c>
      <c r="G3713" t="str">
        <f>"89713"</f>
        <v>89713</v>
      </c>
      <c r="H3713">
        <v>1</v>
      </c>
      <c r="I3713">
        <v>5411</v>
      </c>
      <c r="J3713">
        <v>0</v>
      </c>
      <c r="K3713" t="str">
        <f t="shared" si="663"/>
        <v>810</v>
      </c>
      <c r="L3713">
        <v>3517.15</v>
      </c>
    </row>
    <row r="3714" spans="1:12" x14ac:dyDescent="0.25">
      <c r="A3714" t="str">
        <f t="shared" ref="A3714:A3777" si="664">"89301000"</f>
        <v>89301000</v>
      </c>
      <c r="B3714" t="str">
        <f t="shared" si="661"/>
        <v>78006000</v>
      </c>
      <c r="C3714" t="str">
        <f t="shared" si="662"/>
        <v>78006233</v>
      </c>
      <c r="D3714">
        <v>89301172</v>
      </c>
      <c r="E3714" t="str">
        <f>"7611174461"</f>
        <v>7611174461</v>
      </c>
      <c r="F3714" s="1">
        <v>45001</v>
      </c>
      <c r="G3714" t="str">
        <f>"89713"</f>
        <v>89713</v>
      </c>
      <c r="H3714">
        <v>1</v>
      </c>
      <c r="I3714">
        <v>5411</v>
      </c>
      <c r="J3714">
        <v>0</v>
      </c>
      <c r="K3714" t="str">
        <f t="shared" si="663"/>
        <v>810</v>
      </c>
      <c r="L3714">
        <v>3517.15</v>
      </c>
    </row>
    <row r="3715" spans="1:12" x14ac:dyDescent="0.25">
      <c r="A3715" t="str">
        <f t="shared" si="664"/>
        <v>89301000</v>
      </c>
      <c r="B3715" t="str">
        <f t="shared" si="661"/>
        <v>78006000</v>
      </c>
      <c r="C3715" t="str">
        <f t="shared" si="662"/>
        <v>78006233</v>
      </c>
      <c r="D3715">
        <v>89301172</v>
      </c>
      <c r="E3715" t="str">
        <f>"7611174461"</f>
        <v>7611174461</v>
      </c>
      <c r="F3715" s="1">
        <v>45001</v>
      </c>
      <c r="G3715" t="str">
        <f>"89725"</f>
        <v>89725</v>
      </c>
      <c r="H3715">
        <v>1</v>
      </c>
      <c r="I3715">
        <v>2863</v>
      </c>
      <c r="J3715">
        <v>0</v>
      </c>
      <c r="K3715" t="str">
        <f t="shared" si="663"/>
        <v>810</v>
      </c>
      <c r="L3715">
        <v>1860.95</v>
      </c>
    </row>
    <row r="3716" spans="1:12" x14ac:dyDescent="0.25">
      <c r="A3716" t="str">
        <f t="shared" si="664"/>
        <v>89301000</v>
      </c>
      <c r="B3716" t="str">
        <f t="shared" si="661"/>
        <v>78006000</v>
      </c>
      <c r="C3716" t="str">
        <f t="shared" si="662"/>
        <v>78006233</v>
      </c>
      <c r="D3716">
        <v>89301172</v>
      </c>
      <c r="E3716" t="str">
        <f>"7611174461"</f>
        <v>7611174461</v>
      </c>
      <c r="F3716" s="1">
        <v>45001</v>
      </c>
      <c r="G3716" t="str">
        <f>"89713"</f>
        <v>89713</v>
      </c>
      <c r="H3716">
        <v>1</v>
      </c>
      <c r="I3716">
        <v>5411</v>
      </c>
      <c r="J3716">
        <v>0</v>
      </c>
      <c r="K3716" t="str">
        <f t="shared" si="663"/>
        <v>810</v>
      </c>
      <c r="L3716">
        <v>3517.15</v>
      </c>
    </row>
    <row r="3717" spans="1:12" x14ac:dyDescent="0.25">
      <c r="A3717" t="str">
        <f t="shared" si="664"/>
        <v>89301000</v>
      </c>
      <c r="B3717" t="str">
        <f t="shared" si="661"/>
        <v>78006000</v>
      </c>
      <c r="C3717" t="str">
        <f t="shared" ref="C3717:C3722" si="665">"78006205"</f>
        <v>78006205</v>
      </c>
      <c r="D3717">
        <v>89301082</v>
      </c>
      <c r="E3717" t="str">
        <f>"8660165822"</f>
        <v>8660165822</v>
      </c>
      <c r="F3717" s="1">
        <v>45002</v>
      </c>
      <c r="G3717" t="str">
        <f>"96163"</f>
        <v>96163</v>
      </c>
      <c r="H3717">
        <v>1</v>
      </c>
      <c r="I3717">
        <v>28</v>
      </c>
      <c r="J3717">
        <v>0</v>
      </c>
      <c r="K3717" t="str">
        <f t="shared" ref="K3717:K3722" si="666">"818"</f>
        <v>818</v>
      </c>
      <c r="L3717">
        <v>27.16</v>
      </c>
    </row>
    <row r="3718" spans="1:12" x14ac:dyDescent="0.25">
      <c r="A3718" t="str">
        <f t="shared" si="664"/>
        <v>89301000</v>
      </c>
      <c r="B3718" t="str">
        <f t="shared" si="661"/>
        <v>78006000</v>
      </c>
      <c r="C3718" t="str">
        <f t="shared" si="665"/>
        <v>78006205</v>
      </c>
      <c r="D3718">
        <v>89301212</v>
      </c>
      <c r="E3718" t="str">
        <f>"5951290719"</f>
        <v>5951290719</v>
      </c>
      <c r="F3718" s="1">
        <v>44986</v>
      </c>
      <c r="G3718" t="str">
        <f>"96167"</f>
        <v>96167</v>
      </c>
      <c r="H3718">
        <v>1</v>
      </c>
      <c r="I3718">
        <v>67</v>
      </c>
      <c r="J3718">
        <v>0</v>
      </c>
      <c r="K3718" t="str">
        <f t="shared" si="666"/>
        <v>818</v>
      </c>
      <c r="L3718">
        <v>64.989999999999995</v>
      </c>
    </row>
    <row r="3719" spans="1:12" x14ac:dyDescent="0.25">
      <c r="A3719" t="str">
        <f t="shared" si="664"/>
        <v>89301000</v>
      </c>
      <c r="B3719" t="str">
        <f t="shared" si="661"/>
        <v>78006000</v>
      </c>
      <c r="C3719" t="str">
        <f t="shared" si="665"/>
        <v>78006205</v>
      </c>
      <c r="D3719">
        <v>89301167</v>
      </c>
      <c r="E3719" t="str">
        <f>"5951290719"</f>
        <v>5951290719</v>
      </c>
      <c r="F3719" s="1">
        <v>45001</v>
      </c>
      <c r="G3719" t="str">
        <f>"96167"</f>
        <v>96167</v>
      </c>
      <c r="H3719">
        <v>1</v>
      </c>
      <c r="I3719">
        <v>67</v>
      </c>
      <c r="J3719">
        <v>0</v>
      </c>
      <c r="K3719" t="str">
        <f t="shared" si="666"/>
        <v>818</v>
      </c>
      <c r="L3719">
        <v>64.989999999999995</v>
      </c>
    </row>
    <row r="3720" spans="1:12" x14ac:dyDescent="0.25">
      <c r="A3720" t="str">
        <f t="shared" si="664"/>
        <v>89301000</v>
      </c>
      <c r="B3720" t="str">
        <f t="shared" si="661"/>
        <v>78006000</v>
      </c>
      <c r="C3720" t="str">
        <f t="shared" si="665"/>
        <v>78006205</v>
      </c>
      <c r="D3720">
        <v>89301171</v>
      </c>
      <c r="E3720" t="str">
        <f>"531007235"</f>
        <v>531007235</v>
      </c>
      <c r="F3720" s="1">
        <v>45015</v>
      </c>
      <c r="G3720" t="str">
        <f>"96167"</f>
        <v>96167</v>
      </c>
      <c r="H3720">
        <v>1</v>
      </c>
      <c r="I3720">
        <v>67</v>
      </c>
      <c r="J3720">
        <v>0</v>
      </c>
      <c r="K3720" t="str">
        <f t="shared" si="666"/>
        <v>818</v>
      </c>
      <c r="L3720">
        <v>64.989999999999995</v>
      </c>
    </row>
    <row r="3721" spans="1:12" x14ac:dyDescent="0.25">
      <c r="A3721" t="str">
        <f t="shared" si="664"/>
        <v>89301000</v>
      </c>
      <c r="B3721" t="str">
        <f t="shared" si="661"/>
        <v>78006000</v>
      </c>
      <c r="C3721" t="str">
        <f t="shared" si="665"/>
        <v>78006205</v>
      </c>
      <c r="D3721">
        <v>89301167</v>
      </c>
      <c r="E3721" t="str">
        <f>"5854210813"</f>
        <v>5854210813</v>
      </c>
      <c r="F3721" s="1">
        <v>45016</v>
      </c>
      <c r="G3721" t="str">
        <f>"96167"</f>
        <v>96167</v>
      </c>
      <c r="H3721">
        <v>1</v>
      </c>
      <c r="I3721">
        <v>67</v>
      </c>
      <c r="J3721">
        <v>0</v>
      </c>
      <c r="K3721" t="str">
        <f t="shared" si="666"/>
        <v>818</v>
      </c>
      <c r="L3721">
        <v>64.989999999999995</v>
      </c>
    </row>
    <row r="3722" spans="1:12" x14ac:dyDescent="0.25">
      <c r="A3722" t="str">
        <f t="shared" si="664"/>
        <v>89301000</v>
      </c>
      <c r="B3722" t="str">
        <f t="shared" si="661"/>
        <v>78006000</v>
      </c>
      <c r="C3722" t="str">
        <f t="shared" si="665"/>
        <v>78006205</v>
      </c>
      <c r="D3722">
        <v>89301167</v>
      </c>
      <c r="E3722" t="str">
        <f>"5854210813"</f>
        <v>5854210813</v>
      </c>
      <c r="F3722" s="1">
        <v>44991</v>
      </c>
      <c r="G3722" t="str">
        <f>"96167"</f>
        <v>96167</v>
      </c>
      <c r="H3722">
        <v>1</v>
      </c>
      <c r="I3722">
        <v>67</v>
      </c>
      <c r="J3722">
        <v>0</v>
      </c>
      <c r="K3722" t="str">
        <f t="shared" si="666"/>
        <v>818</v>
      </c>
      <c r="L3722">
        <v>64.989999999999995</v>
      </c>
    </row>
    <row r="3723" spans="1:12" x14ac:dyDescent="0.25">
      <c r="A3723" t="str">
        <f t="shared" si="664"/>
        <v>89301000</v>
      </c>
      <c r="B3723" t="str">
        <f t="shared" ref="B3723:B3755" si="667">"89903000"</f>
        <v>89903000</v>
      </c>
      <c r="C3723" t="str">
        <f t="shared" ref="C3723:C3728" si="668">"89903503"</f>
        <v>89903503</v>
      </c>
      <c r="D3723">
        <v>89301062</v>
      </c>
      <c r="E3723" t="str">
        <f t="shared" ref="E3723:E3728" si="669">"6158110332"</f>
        <v>6158110332</v>
      </c>
      <c r="F3723" s="1">
        <v>44950</v>
      </c>
      <c r="G3723" t="str">
        <f>"09233"</f>
        <v>09233</v>
      </c>
      <c r="H3723">
        <v>1</v>
      </c>
      <c r="I3723">
        <v>102</v>
      </c>
      <c r="J3723">
        <v>0</v>
      </c>
      <c r="K3723" t="str">
        <f t="shared" ref="K3723:K3728" si="670">"809"</f>
        <v>809</v>
      </c>
      <c r="L3723">
        <v>149.94</v>
      </c>
    </row>
    <row r="3724" spans="1:12" x14ac:dyDescent="0.25">
      <c r="A3724" t="str">
        <f t="shared" si="664"/>
        <v>89301000</v>
      </c>
      <c r="B3724" t="str">
        <f t="shared" si="667"/>
        <v>89903000</v>
      </c>
      <c r="C3724" t="str">
        <f t="shared" si="668"/>
        <v>89903503</v>
      </c>
      <c r="D3724">
        <v>89301062</v>
      </c>
      <c r="E3724" t="str">
        <f t="shared" si="669"/>
        <v>6158110332</v>
      </c>
      <c r="F3724" s="1">
        <v>44950</v>
      </c>
      <c r="G3724" t="str">
        <f>"89311"</f>
        <v>89311</v>
      </c>
      <c r="H3724">
        <v>1</v>
      </c>
      <c r="I3724">
        <v>970</v>
      </c>
      <c r="J3724">
        <v>0</v>
      </c>
      <c r="K3724" t="str">
        <f t="shared" si="670"/>
        <v>809</v>
      </c>
      <c r="L3724">
        <v>1425.9</v>
      </c>
    </row>
    <row r="3725" spans="1:12" x14ac:dyDescent="0.25">
      <c r="A3725" t="str">
        <f t="shared" si="664"/>
        <v>89301000</v>
      </c>
      <c r="B3725" t="str">
        <f t="shared" si="667"/>
        <v>89903000</v>
      </c>
      <c r="C3725" t="str">
        <f t="shared" si="668"/>
        <v>89903503</v>
      </c>
      <c r="D3725">
        <v>89301062</v>
      </c>
      <c r="E3725" t="str">
        <f t="shared" si="669"/>
        <v>6158110332</v>
      </c>
      <c r="F3725" s="1">
        <v>44950</v>
      </c>
      <c r="G3725" t="str">
        <f>"89615"</f>
        <v>89615</v>
      </c>
      <c r="H3725">
        <v>1</v>
      </c>
      <c r="I3725">
        <v>2199</v>
      </c>
      <c r="J3725">
        <v>0</v>
      </c>
      <c r="K3725" t="str">
        <f t="shared" si="670"/>
        <v>809</v>
      </c>
      <c r="L3725">
        <v>1429.35</v>
      </c>
    </row>
    <row r="3726" spans="1:12" x14ac:dyDescent="0.25">
      <c r="A3726" t="str">
        <f t="shared" si="664"/>
        <v>89301000</v>
      </c>
      <c r="B3726" t="str">
        <f t="shared" si="667"/>
        <v>89903000</v>
      </c>
      <c r="C3726" t="str">
        <f t="shared" si="668"/>
        <v>89903503</v>
      </c>
      <c r="D3726">
        <v>89301062</v>
      </c>
      <c r="E3726" t="str">
        <f t="shared" si="669"/>
        <v>6158110332</v>
      </c>
      <c r="F3726" s="1">
        <v>44950</v>
      </c>
      <c r="G3726" t="str">
        <f>"0000502"</f>
        <v>0000502</v>
      </c>
      <c r="H3726">
        <v>0.1</v>
      </c>
      <c r="J3726">
        <v>6.97</v>
      </c>
      <c r="K3726" t="str">
        <f t="shared" si="670"/>
        <v>809</v>
      </c>
      <c r="L3726">
        <v>6.97</v>
      </c>
    </row>
    <row r="3727" spans="1:12" x14ac:dyDescent="0.25">
      <c r="A3727" t="str">
        <f t="shared" si="664"/>
        <v>89301000</v>
      </c>
      <c r="B3727" t="str">
        <f t="shared" si="667"/>
        <v>89903000</v>
      </c>
      <c r="C3727" t="str">
        <f t="shared" si="668"/>
        <v>89903503</v>
      </c>
      <c r="D3727">
        <v>89301062</v>
      </c>
      <c r="E3727" t="str">
        <f t="shared" si="669"/>
        <v>6158110332</v>
      </c>
      <c r="F3727" s="1">
        <v>44950</v>
      </c>
      <c r="G3727" t="str">
        <f>"0084090"</f>
        <v>0084090</v>
      </c>
      <c r="H3727">
        <v>0.1</v>
      </c>
      <c r="J3727">
        <v>8.52</v>
      </c>
      <c r="K3727" t="str">
        <f t="shared" si="670"/>
        <v>809</v>
      </c>
      <c r="L3727">
        <v>8.52</v>
      </c>
    </row>
    <row r="3728" spans="1:12" x14ac:dyDescent="0.25">
      <c r="A3728" t="str">
        <f t="shared" si="664"/>
        <v>89301000</v>
      </c>
      <c r="B3728" t="str">
        <f t="shared" si="667"/>
        <v>89903000</v>
      </c>
      <c r="C3728" t="str">
        <f t="shared" si="668"/>
        <v>89903503</v>
      </c>
      <c r="D3728">
        <v>89301062</v>
      </c>
      <c r="E3728" t="str">
        <f t="shared" si="669"/>
        <v>6158110332</v>
      </c>
      <c r="F3728" s="1">
        <v>44950</v>
      </c>
      <c r="G3728" t="str">
        <f>"0096251"</f>
        <v>0096251</v>
      </c>
      <c r="H3728">
        <v>8.0000000000000002E-3</v>
      </c>
      <c r="J3728">
        <v>9.36</v>
      </c>
      <c r="K3728" t="str">
        <f t="shared" si="670"/>
        <v>809</v>
      </c>
      <c r="L3728">
        <v>9.36</v>
      </c>
    </row>
    <row r="3729" spans="1:12" x14ac:dyDescent="0.25">
      <c r="A3729" t="str">
        <f t="shared" si="664"/>
        <v>89301000</v>
      </c>
      <c r="B3729" t="str">
        <f t="shared" si="667"/>
        <v>89903000</v>
      </c>
      <c r="C3729" t="str">
        <f>"89903504"</f>
        <v>89903504</v>
      </c>
      <c r="D3729">
        <v>89301606</v>
      </c>
      <c r="E3729" t="str">
        <f>"7803134460"</f>
        <v>7803134460</v>
      </c>
      <c r="F3729" s="1">
        <v>44994</v>
      </c>
      <c r="G3729" t="str">
        <f>"89713"</f>
        <v>89713</v>
      </c>
      <c r="H3729">
        <v>1</v>
      </c>
      <c r="I3729">
        <v>5411</v>
      </c>
      <c r="J3729">
        <v>0</v>
      </c>
      <c r="K3729" t="str">
        <f>"810"</f>
        <v>810</v>
      </c>
      <c r="L3729">
        <v>3517.15</v>
      </c>
    </row>
    <row r="3730" spans="1:12" x14ac:dyDescent="0.25">
      <c r="A3730" t="str">
        <f t="shared" si="664"/>
        <v>89301000</v>
      </c>
      <c r="B3730" t="str">
        <f t="shared" si="667"/>
        <v>89903000</v>
      </c>
      <c r="C3730" t="str">
        <f>"89903504"</f>
        <v>89903504</v>
      </c>
      <c r="D3730">
        <v>89301606</v>
      </c>
      <c r="E3730" t="str">
        <f>"7803134460"</f>
        <v>7803134460</v>
      </c>
      <c r="F3730" s="1">
        <v>44994</v>
      </c>
      <c r="G3730" t="str">
        <f>"89725"</f>
        <v>89725</v>
      </c>
      <c r="H3730">
        <v>1</v>
      </c>
      <c r="I3730">
        <v>2863</v>
      </c>
      <c r="J3730">
        <v>0</v>
      </c>
      <c r="K3730" t="str">
        <f>"810"</f>
        <v>810</v>
      </c>
      <c r="L3730">
        <v>1860.95</v>
      </c>
    </row>
    <row r="3731" spans="1:12" x14ac:dyDescent="0.25">
      <c r="A3731" t="str">
        <f t="shared" si="664"/>
        <v>89301000</v>
      </c>
      <c r="B3731" t="str">
        <f t="shared" si="667"/>
        <v>89903000</v>
      </c>
      <c r="C3731" t="str">
        <f>"89903504"</f>
        <v>89903504</v>
      </c>
      <c r="D3731">
        <v>89301606</v>
      </c>
      <c r="E3731" t="str">
        <f>"7803134460"</f>
        <v>7803134460</v>
      </c>
      <c r="F3731" s="1">
        <v>44994</v>
      </c>
      <c r="G3731" t="str">
        <f>"0054253"</f>
        <v>0054253</v>
      </c>
      <c r="H3731">
        <v>1</v>
      </c>
      <c r="J3731">
        <v>843.46</v>
      </c>
      <c r="K3731" t="str">
        <f>"810"</f>
        <v>810</v>
      </c>
      <c r="L3731">
        <v>843.46</v>
      </c>
    </row>
    <row r="3732" spans="1:12" x14ac:dyDescent="0.25">
      <c r="A3732" t="str">
        <f t="shared" si="664"/>
        <v>89301000</v>
      </c>
      <c r="B3732" t="str">
        <f t="shared" si="667"/>
        <v>89903000</v>
      </c>
      <c r="C3732" t="str">
        <f t="shared" ref="C3732:C3755" si="671">"89903503"</f>
        <v>89903503</v>
      </c>
      <c r="D3732">
        <v>89301062</v>
      </c>
      <c r="E3732" t="str">
        <f t="shared" ref="E3732:E3738" si="672">"425401422"</f>
        <v>425401422</v>
      </c>
      <c r="F3732" s="1">
        <v>44999</v>
      </c>
      <c r="G3732" t="str">
        <f>"09233"</f>
        <v>09233</v>
      </c>
      <c r="H3732">
        <v>1</v>
      </c>
      <c r="I3732">
        <v>102</v>
      </c>
      <c r="J3732">
        <v>0</v>
      </c>
      <c r="K3732" t="str">
        <f t="shared" ref="K3732:K3755" si="673">"809"</f>
        <v>809</v>
      </c>
      <c r="L3732">
        <v>149.94</v>
      </c>
    </row>
    <row r="3733" spans="1:12" x14ac:dyDescent="0.25">
      <c r="A3733" t="str">
        <f t="shared" si="664"/>
        <v>89301000</v>
      </c>
      <c r="B3733" t="str">
        <f t="shared" si="667"/>
        <v>89903000</v>
      </c>
      <c r="C3733" t="str">
        <f t="shared" si="671"/>
        <v>89903503</v>
      </c>
      <c r="D3733">
        <v>89301062</v>
      </c>
      <c r="E3733" t="str">
        <f t="shared" si="672"/>
        <v>425401422</v>
      </c>
      <c r="F3733" s="1">
        <v>44999</v>
      </c>
      <c r="G3733" t="str">
        <f>"89311"</f>
        <v>89311</v>
      </c>
      <c r="H3733">
        <v>1</v>
      </c>
      <c r="I3733">
        <v>970</v>
      </c>
      <c r="J3733">
        <v>0</v>
      </c>
      <c r="K3733" t="str">
        <f t="shared" si="673"/>
        <v>809</v>
      </c>
      <c r="L3733">
        <v>1425.9</v>
      </c>
    </row>
    <row r="3734" spans="1:12" x14ac:dyDescent="0.25">
      <c r="A3734" t="str">
        <f t="shared" si="664"/>
        <v>89301000</v>
      </c>
      <c r="B3734" t="str">
        <f t="shared" si="667"/>
        <v>89903000</v>
      </c>
      <c r="C3734" t="str">
        <f t="shared" si="671"/>
        <v>89903503</v>
      </c>
      <c r="D3734">
        <v>89301062</v>
      </c>
      <c r="E3734" t="str">
        <f t="shared" si="672"/>
        <v>425401422</v>
      </c>
      <c r="F3734" s="1">
        <v>44999</v>
      </c>
      <c r="G3734" t="str">
        <f>"89615"</f>
        <v>89615</v>
      </c>
      <c r="H3734">
        <v>1</v>
      </c>
      <c r="I3734">
        <v>2199</v>
      </c>
      <c r="J3734">
        <v>0</v>
      </c>
      <c r="K3734" t="str">
        <f t="shared" si="673"/>
        <v>809</v>
      </c>
      <c r="L3734">
        <v>1429.35</v>
      </c>
    </row>
    <row r="3735" spans="1:12" x14ac:dyDescent="0.25">
      <c r="A3735" t="str">
        <f t="shared" si="664"/>
        <v>89301000</v>
      </c>
      <c r="B3735" t="str">
        <f t="shared" si="667"/>
        <v>89903000</v>
      </c>
      <c r="C3735" t="str">
        <f t="shared" si="671"/>
        <v>89903503</v>
      </c>
      <c r="D3735">
        <v>89301062</v>
      </c>
      <c r="E3735" t="str">
        <f t="shared" si="672"/>
        <v>425401422</v>
      </c>
      <c r="F3735" s="1">
        <v>44999</v>
      </c>
      <c r="G3735" t="str">
        <f>"0000502"</f>
        <v>0000502</v>
      </c>
      <c r="H3735">
        <v>0.1</v>
      </c>
      <c r="J3735">
        <v>6.97</v>
      </c>
      <c r="K3735" t="str">
        <f t="shared" si="673"/>
        <v>809</v>
      </c>
      <c r="L3735">
        <v>6.97</v>
      </c>
    </row>
    <row r="3736" spans="1:12" x14ac:dyDescent="0.25">
      <c r="A3736" t="str">
        <f t="shared" si="664"/>
        <v>89301000</v>
      </c>
      <c r="B3736" t="str">
        <f t="shared" si="667"/>
        <v>89903000</v>
      </c>
      <c r="C3736" t="str">
        <f t="shared" si="671"/>
        <v>89903503</v>
      </c>
      <c r="D3736">
        <v>89301062</v>
      </c>
      <c r="E3736" t="str">
        <f t="shared" si="672"/>
        <v>425401422</v>
      </c>
      <c r="F3736" s="1">
        <v>44999</v>
      </c>
      <c r="G3736" t="str">
        <f>"0084090"</f>
        <v>0084090</v>
      </c>
      <c r="H3736">
        <v>0.2</v>
      </c>
      <c r="J3736">
        <v>17.03</v>
      </c>
      <c r="K3736" t="str">
        <f t="shared" si="673"/>
        <v>809</v>
      </c>
      <c r="L3736">
        <v>17.03</v>
      </c>
    </row>
    <row r="3737" spans="1:12" x14ac:dyDescent="0.25">
      <c r="A3737" t="str">
        <f t="shared" si="664"/>
        <v>89301000</v>
      </c>
      <c r="B3737" t="str">
        <f t="shared" si="667"/>
        <v>89903000</v>
      </c>
      <c r="C3737" t="str">
        <f t="shared" si="671"/>
        <v>89903503</v>
      </c>
      <c r="D3737">
        <v>89301062</v>
      </c>
      <c r="E3737" t="str">
        <f t="shared" si="672"/>
        <v>425401422</v>
      </c>
      <c r="F3737" s="1">
        <v>44999</v>
      </c>
      <c r="G3737" t="str">
        <f>"0096251"</f>
        <v>0096251</v>
      </c>
      <c r="H3737">
        <v>8.0000000000000002E-3</v>
      </c>
      <c r="J3737">
        <v>9.36</v>
      </c>
      <c r="K3737" t="str">
        <f t="shared" si="673"/>
        <v>809</v>
      </c>
      <c r="L3737">
        <v>9.36</v>
      </c>
    </row>
    <row r="3738" spans="1:12" x14ac:dyDescent="0.25">
      <c r="A3738" t="str">
        <f t="shared" si="664"/>
        <v>89301000</v>
      </c>
      <c r="B3738" t="str">
        <f t="shared" si="667"/>
        <v>89903000</v>
      </c>
      <c r="C3738" t="str">
        <f t="shared" si="671"/>
        <v>89903503</v>
      </c>
      <c r="D3738">
        <v>89301062</v>
      </c>
      <c r="E3738" t="str">
        <f t="shared" si="672"/>
        <v>425401422</v>
      </c>
      <c r="F3738" s="1">
        <v>44999</v>
      </c>
      <c r="G3738" t="str">
        <f>"0194183"</f>
        <v>0194183</v>
      </c>
      <c r="H3738">
        <v>2</v>
      </c>
      <c r="J3738">
        <v>106</v>
      </c>
      <c r="K3738" t="str">
        <f t="shared" si="673"/>
        <v>809</v>
      </c>
      <c r="L3738">
        <v>106</v>
      </c>
    </row>
    <row r="3739" spans="1:12" x14ac:dyDescent="0.25">
      <c r="A3739" t="str">
        <f t="shared" si="664"/>
        <v>89301000</v>
      </c>
      <c r="B3739" t="str">
        <f t="shared" si="667"/>
        <v>89903000</v>
      </c>
      <c r="C3739" t="str">
        <f t="shared" si="671"/>
        <v>89903503</v>
      </c>
      <c r="D3739">
        <v>89301062</v>
      </c>
      <c r="E3739" t="str">
        <f t="shared" ref="E3739:E3745" si="674">"8356225779"</f>
        <v>8356225779</v>
      </c>
      <c r="F3739" s="1">
        <v>45006</v>
      </c>
      <c r="G3739" t="str">
        <f>"09233"</f>
        <v>09233</v>
      </c>
      <c r="H3739">
        <v>1</v>
      </c>
      <c r="I3739">
        <v>102</v>
      </c>
      <c r="J3739">
        <v>0</v>
      </c>
      <c r="K3739" t="str">
        <f t="shared" si="673"/>
        <v>809</v>
      </c>
      <c r="L3739">
        <v>149.94</v>
      </c>
    </row>
    <row r="3740" spans="1:12" x14ac:dyDescent="0.25">
      <c r="A3740" t="str">
        <f t="shared" si="664"/>
        <v>89301000</v>
      </c>
      <c r="B3740" t="str">
        <f t="shared" si="667"/>
        <v>89903000</v>
      </c>
      <c r="C3740" t="str">
        <f t="shared" si="671"/>
        <v>89903503</v>
      </c>
      <c r="D3740">
        <v>89301062</v>
      </c>
      <c r="E3740" t="str">
        <f t="shared" si="674"/>
        <v>8356225779</v>
      </c>
      <c r="F3740" s="1">
        <v>45006</v>
      </c>
      <c r="G3740" t="str">
        <f>"89311"</f>
        <v>89311</v>
      </c>
      <c r="H3740">
        <v>1</v>
      </c>
      <c r="I3740">
        <v>970</v>
      </c>
      <c r="J3740">
        <v>0</v>
      </c>
      <c r="K3740" t="str">
        <f t="shared" si="673"/>
        <v>809</v>
      </c>
      <c r="L3740">
        <v>1425.9</v>
      </c>
    </row>
    <row r="3741" spans="1:12" x14ac:dyDescent="0.25">
      <c r="A3741" t="str">
        <f t="shared" si="664"/>
        <v>89301000</v>
      </c>
      <c r="B3741" t="str">
        <f t="shared" si="667"/>
        <v>89903000</v>
      </c>
      <c r="C3741" t="str">
        <f t="shared" si="671"/>
        <v>89903503</v>
      </c>
      <c r="D3741">
        <v>89301062</v>
      </c>
      <c r="E3741" t="str">
        <f t="shared" si="674"/>
        <v>8356225779</v>
      </c>
      <c r="F3741" s="1">
        <v>45006</v>
      </c>
      <c r="G3741" t="str">
        <f>"89615"</f>
        <v>89615</v>
      </c>
      <c r="H3741">
        <v>1</v>
      </c>
      <c r="I3741">
        <v>2199</v>
      </c>
      <c r="J3741">
        <v>0</v>
      </c>
      <c r="K3741" t="str">
        <f t="shared" si="673"/>
        <v>809</v>
      </c>
      <c r="L3741">
        <v>1429.35</v>
      </c>
    </row>
    <row r="3742" spans="1:12" x14ac:dyDescent="0.25">
      <c r="A3742" t="str">
        <f t="shared" si="664"/>
        <v>89301000</v>
      </c>
      <c r="B3742" t="str">
        <f t="shared" si="667"/>
        <v>89903000</v>
      </c>
      <c r="C3742" t="str">
        <f t="shared" si="671"/>
        <v>89903503</v>
      </c>
      <c r="D3742">
        <v>89301062</v>
      </c>
      <c r="E3742" t="str">
        <f t="shared" si="674"/>
        <v>8356225779</v>
      </c>
      <c r="F3742" s="1">
        <v>45006</v>
      </c>
      <c r="G3742" t="str">
        <f>"0000502"</f>
        <v>0000502</v>
      </c>
      <c r="H3742">
        <v>0.1</v>
      </c>
      <c r="J3742">
        <v>6.97</v>
      </c>
      <c r="K3742" t="str">
        <f t="shared" si="673"/>
        <v>809</v>
      </c>
      <c r="L3742">
        <v>6.97</v>
      </c>
    </row>
    <row r="3743" spans="1:12" x14ac:dyDescent="0.25">
      <c r="A3743" t="str">
        <f t="shared" si="664"/>
        <v>89301000</v>
      </c>
      <c r="B3743" t="str">
        <f t="shared" si="667"/>
        <v>89903000</v>
      </c>
      <c r="C3743" t="str">
        <f t="shared" si="671"/>
        <v>89903503</v>
      </c>
      <c r="D3743">
        <v>89301062</v>
      </c>
      <c r="E3743" t="str">
        <f t="shared" si="674"/>
        <v>8356225779</v>
      </c>
      <c r="F3743" s="1">
        <v>45006</v>
      </c>
      <c r="G3743" t="str">
        <f>"0084090"</f>
        <v>0084090</v>
      </c>
      <c r="H3743">
        <v>0.1</v>
      </c>
      <c r="J3743">
        <v>8.52</v>
      </c>
      <c r="K3743" t="str">
        <f t="shared" si="673"/>
        <v>809</v>
      </c>
      <c r="L3743">
        <v>8.52</v>
      </c>
    </row>
    <row r="3744" spans="1:12" x14ac:dyDescent="0.25">
      <c r="A3744" t="str">
        <f t="shared" si="664"/>
        <v>89301000</v>
      </c>
      <c r="B3744" t="str">
        <f t="shared" si="667"/>
        <v>89903000</v>
      </c>
      <c r="C3744" t="str">
        <f t="shared" si="671"/>
        <v>89903503</v>
      </c>
      <c r="D3744">
        <v>89301062</v>
      </c>
      <c r="E3744" t="str">
        <f t="shared" si="674"/>
        <v>8356225779</v>
      </c>
      <c r="F3744" s="1">
        <v>45006</v>
      </c>
      <c r="G3744" t="str">
        <f>"0096251"</f>
        <v>0096251</v>
      </c>
      <c r="H3744">
        <v>8.0000000000000002E-3</v>
      </c>
      <c r="J3744">
        <v>9.36</v>
      </c>
      <c r="K3744" t="str">
        <f t="shared" si="673"/>
        <v>809</v>
      </c>
      <c r="L3744">
        <v>9.36</v>
      </c>
    </row>
    <row r="3745" spans="1:12" x14ac:dyDescent="0.25">
      <c r="A3745" t="str">
        <f t="shared" si="664"/>
        <v>89301000</v>
      </c>
      <c r="B3745" t="str">
        <f t="shared" si="667"/>
        <v>89903000</v>
      </c>
      <c r="C3745" t="str">
        <f t="shared" si="671"/>
        <v>89903503</v>
      </c>
      <c r="D3745">
        <v>89301062</v>
      </c>
      <c r="E3745" t="str">
        <f t="shared" si="674"/>
        <v>8356225779</v>
      </c>
      <c r="F3745" s="1">
        <v>45006</v>
      </c>
      <c r="G3745" t="str">
        <f>"0194183"</f>
        <v>0194183</v>
      </c>
      <c r="H3745">
        <v>1</v>
      </c>
      <c r="J3745">
        <v>53</v>
      </c>
      <c r="K3745" t="str">
        <f t="shared" si="673"/>
        <v>809</v>
      </c>
      <c r="L3745">
        <v>53</v>
      </c>
    </row>
    <row r="3746" spans="1:12" x14ac:dyDescent="0.25">
      <c r="A3746" t="str">
        <f t="shared" si="664"/>
        <v>89301000</v>
      </c>
      <c r="B3746" t="str">
        <f t="shared" si="667"/>
        <v>89903000</v>
      </c>
      <c r="C3746" t="str">
        <f t="shared" si="671"/>
        <v>89903503</v>
      </c>
      <c r="D3746">
        <v>89301011</v>
      </c>
      <c r="E3746" t="str">
        <f>"415609444"</f>
        <v>415609444</v>
      </c>
      <c r="F3746" s="1">
        <v>45012</v>
      </c>
      <c r="G3746" t="str">
        <f>"89611"</f>
        <v>89611</v>
      </c>
      <c r="H3746">
        <v>2</v>
      </c>
      <c r="I3746">
        <v>4524</v>
      </c>
      <c r="J3746">
        <v>0</v>
      </c>
      <c r="K3746" t="str">
        <f t="shared" si="673"/>
        <v>809</v>
      </c>
      <c r="L3746">
        <v>2940.6</v>
      </c>
    </row>
    <row r="3747" spans="1:12" x14ac:dyDescent="0.25">
      <c r="A3747" t="str">
        <f t="shared" si="664"/>
        <v>89301000</v>
      </c>
      <c r="B3747" t="str">
        <f t="shared" si="667"/>
        <v>89903000</v>
      </c>
      <c r="C3747" t="str">
        <f t="shared" si="671"/>
        <v>89903503</v>
      </c>
      <c r="D3747">
        <v>89301011</v>
      </c>
      <c r="E3747" t="str">
        <f>"415609444"</f>
        <v>415609444</v>
      </c>
      <c r="F3747" s="1">
        <v>45012</v>
      </c>
      <c r="G3747" t="str">
        <f>"0022075"</f>
        <v>0022075</v>
      </c>
      <c r="H3747">
        <v>1</v>
      </c>
      <c r="J3747">
        <v>1004.83</v>
      </c>
      <c r="K3747" t="str">
        <f t="shared" si="673"/>
        <v>809</v>
      </c>
      <c r="L3747">
        <v>1004.83</v>
      </c>
    </row>
    <row r="3748" spans="1:12" x14ac:dyDescent="0.25">
      <c r="A3748" t="str">
        <f t="shared" si="664"/>
        <v>89301000</v>
      </c>
      <c r="B3748" t="str">
        <f t="shared" si="667"/>
        <v>89903000</v>
      </c>
      <c r="C3748" t="str">
        <f t="shared" si="671"/>
        <v>89903503</v>
      </c>
      <c r="D3748">
        <v>89301011</v>
      </c>
      <c r="E3748" t="str">
        <f>"415609444"</f>
        <v>415609444</v>
      </c>
      <c r="F3748" s="1">
        <v>45012</v>
      </c>
      <c r="G3748" t="str">
        <f>"0059496"</f>
        <v>0059496</v>
      </c>
      <c r="H3748">
        <v>0.2</v>
      </c>
      <c r="J3748">
        <v>50.95</v>
      </c>
      <c r="K3748" t="str">
        <f t="shared" si="673"/>
        <v>809</v>
      </c>
      <c r="L3748">
        <v>50.95</v>
      </c>
    </row>
    <row r="3749" spans="1:12" x14ac:dyDescent="0.25">
      <c r="A3749" t="str">
        <f t="shared" si="664"/>
        <v>89301000</v>
      </c>
      <c r="B3749" t="str">
        <f t="shared" si="667"/>
        <v>89903000</v>
      </c>
      <c r="C3749" t="str">
        <f t="shared" si="671"/>
        <v>89903503</v>
      </c>
      <c r="D3749">
        <v>89301062</v>
      </c>
      <c r="E3749" t="str">
        <f t="shared" ref="E3749:E3755" si="675">"8356225779"</f>
        <v>8356225779</v>
      </c>
      <c r="F3749" s="1">
        <v>45013</v>
      </c>
      <c r="G3749" t="str">
        <f>"09233"</f>
        <v>09233</v>
      </c>
      <c r="H3749">
        <v>1</v>
      </c>
      <c r="I3749">
        <v>102</v>
      </c>
      <c r="J3749">
        <v>0</v>
      </c>
      <c r="K3749" t="str">
        <f t="shared" si="673"/>
        <v>809</v>
      </c>
      <c r="L3749">
        <v>149.94</v>
      </c>
    </row>
    <row r="3750" spans="1:12" x14ac:dyDescent="0.25">
      <c r="A3750" t="str">
        <f t="shared" si="664"/>
        <v>89301000</v>
      </c>
      <c r="B3750" t="str">
        <f t="shared" si="667"/>
        <v>89903000</v>
      </c>
      <c r="C3750" t="str">
        <f t="shared" si="671"/>
        <v>89903503</v>
      </c>
      <c r="D3750">
        <v>89301062</v>
      </c>
      <c r="E3750" t="str">
        <f t="shared" si="675"/>
        <v>8356225779</v>
      </c>
      <c r="F3750" s="1">
        <v>45013</v>
      </c>
      <c r="G3750" t="str">
        <f>"89311"</f>
        <v>89311</v>
      </c>
      <c r="H3750">
        <v>1</v>
      </c>
      <c r="I3750">
        <v>970</v>
      </c>
      <c r="J3750">
        <v>0</v>
      </c>
      <c r="K3750" t="str">
        <f t="shared" si="673"/>
        <v>809</v>
      </c>
      <c r="L3750">
        <v>1425.9</v>
      </c>
    </row>
    <row r="3751" spans="1:12" x14ac:dyDescent="0.25">
      <c r="A3751" t="str">
        <f t="shared" si="664"/>
        <v>89301000</v>
      </c>
      <c r="B3751" t="str">
        <f t="shared" si="667"/>
        <v>89903000</v>
      </c>
      <c r="C3751" t="str">
        <f t="shared" si="671"/>
        <v>89903503</v>
      </c>
      <c r="D3751">
        <v>89301062</v>
      </c>
      <c r="E3751" t="str">
        <f t="shared" si="675"/>
        <v>8356225779</v>
      </c>
      <c r="F3751" s="1">
        <v>45013</v>
      </c>
      <c r="G3751" t="str">
        <f>"89615"</f>
        <v>89615</v>
      </c>
      <c r="H3751">
        <v>1</v>
      </c>
      <c r="I3751">
        <v>2199</v>
      </c>
      <c r="J3751">
        <v>0</v>
      </c>
      <c r="K3751" t="str">
        <f t="shared" si="673"/>
        <v>809</v>
      </c>
      <c r="L3751">
        <v>1429.35</v>
      </c>
    </row>
    <row r="3752" spans="1:12" x14ac:dyDescent="0.25">
      <c r="A3752" t="str">
        <f t="shared" si="664"/>
        <v>89301000</v>
      </c>
      <c r="B3752" t="str">
        <f t="shared" si="667"/>
        <v>89903000</v>
      </c>
      <c r="C3752" t="str">
        <f t="shared" si="671"/>
        <v>89903503</v>
      </c>
      <c r="D3752">
        <v>89301062</v>
      </c>
      <c r="E3752" t="str">
        <f t="shared" si="675"/>
        <v>8356225779</v>
      </c>
      <c r="F3752" s="1">
        <v>45013</v>
      </c>
      <c r="G3752" t="str">
        <f>"0000502"</f>
        <v>0000502</v>
      </c>
      <c r="H3752">
        <v>0.1</v>
      </c>
      <c r="J3752">
        <v>6.97</v>
      </c>
      <c r="K3752" t="str">
        <f t="shared" si="673"/>
        <v>809</v>
      </c>
      <c r="L3752">
        <v>6.97</v>
      </c>
    </row>
    <row r="3753" spans="1:12" x14ac:dyDescent="0.25">
      <c r="A3753" t="str">
        <f t="shared" si="664"/>
        <v>89301000</v>
      </c>
      <c r="B3753" t="str">
        <f t="shared" si="667"/>
        <v>89903000</v>
      </c>
      <c r="C3753" t="str">
        <f t="shared" si="671"/>
        <v>89903503</v>
      </c>
      <c r="D3753">
        <v>89301062</v>
      </c>
      <c r="E3753" t="str">
        <f t="shared" si="675"/>
        <v>8356225779</v>
      </c>
      <c r="F3753" s="1">
        <v>45013</v>
      </c>
      <c r="G3753" t="str">
        <f>"0084090"</f>
        <v>0084090</v>
      </c>
      <c r="H3753">
        <v>0.1</v>
      </c>
      <c r="J3753">
        <v>8.52</v>
      </c>
      <c r="K3753" t="str">
        <f t="shared" si="673"/>
        <v>809</v>
      </c>
      <c r="L3753">
        <v>8.52</v>
      </c>
    </row>
    <row r="3754" spans="1:12" x14ac:dyDescent="0.25">
      <c r="A3754" t="str">
        <f t="shared" si="664"/>
        <v>89301000</v>
      </c>
      <c r="B3754" t="str">
        <f t="shared" si="667"/>
        <v>89903000</v>
      </c>
      <c r="C3754" t="str">
        <f t="shared" si="671"/>
        <v>89903503</v>
      </c>
      <c r="D3754">
        <v>89301062</v>
      </c>
      <c r="E3754" t="str">
        <f t="shared" si="675"/>
        <v>8356225779</v>
      </c>
      <c r="F3754" s="1">
        <v>45013</v>
      </c>
      <c r="G3754" t="str">
        <f>"0096251"</f>
        <v>0096251</v>
      </c>
      <c r="H3754">
        <v>8.0000000000000002E-3</v>
      </c>
      <c r="J3754">
        <v>9.36</v>
      </c>
      <c r="K3754" t="str">
        <f t="shared" si="673"/>
        <v>809</v>
      </c>
      <c r="L3754">
        <v>9.36</v>
      </c>
    </row>
    <row r="3755" spans="1:12" x14ac:dyDescent="0.25">
      <c r="A3755" t="str">
        <f t="shared" si="664"/>
        <v>89301000</v>
      </c>
      <c r="B3755" t="str">
        <f t="shared" si="667"/>
        <v>89903000</v>
      </c>
      <c r="C3755" t="str">
        <f t="shared" si="671"/>
        <v>89903503</v>
      </c>
      <c r="D3755">
        <v>89301062</v>
      </c>
      <c r="E3755" t="str">
        <f t="shared" si="675"/>
        <v>8356225779</v>
      </c>
      <c r="F3755" s="1">
        <v>45013</v>
      </c>
      <c r="G3755" t="str">
        <f>"0194183"</f>
        <v>0194183</v>
      </c>
      <c r="H3755">
        <v>1</v>
      </c>
      <c r="J3755">
        <v>53</v>
      </c>
      <c r="K3755" t="str">
        <f t="shared" si="673"/>
        <v>809</v>
      </c>
      <c r="L3755">
        <v>53</v>
      </c>
    </row>
    <row r="3756" spans="1:12" x14ac:dyDescent="0.25">
      <c r="A3756" t="str">
        <f t="shared" si="664"/>
        <v>89301000</v>
      </c>
      <c r="B3756" t="str">
        <f t="shared" ref="B3756:B3761" si="676">"61004000"</f>
        <v>61004000</v>
      </c>
      <c r="C3756" t="str">
        <f t="shared" ref="C3756:C3761" si="677">"61004776"</f>
        <v>61004776</v>
      </c>
      <c r="D3756">
        <v>89301212</v>
      </c>
      <c r="E3756" t="str">
        <f>"7955135804"</f>
        <v>7955135804</v>
      </c>
      <c r="F3756" s="1">
        <v>44986</v>
      </c>
      <c r="G3756" t="str">
        <f>"87223"</f>
        <v>87223</v>
      </c>
      <c r="H3756">
        <v>1</v>
      </c>
      <c r="I3756">
        <v>398</v>
      </c>
      <c r="J3756">
        <v>0</v>
      </c>
      <c r="K3756" t="str">
        <f t="shared" ref="K3756:K3761" si="678">"807"</f>
        <v>807</v>
      </c>
      <c r="L3756">
        <v>334.32</v>
      </c>
    </row>
    <row r="3757" spans="1:12" x14ac:dyDescent="0.25">
      <c r="A3757" t="str">
        <f t="shared" si="664"/>
        <v>89301000</v>
      </c>
      <c r="B3757" t="str">
        <f t="shared" si="676"/>
        <v>61004000</v>
      </c>
      <c r="C3757" t="str">
        <f t="shared" si="677"/>
        <v>61004776</v>
      </c>
      <c r="D3757">
        <v>89301212</v>
      </c>
      <c r="E3757" t="str">
        <f>"7955135804"</f>
        <v>7955135804</v>
      </c>
      <c r="F3757" s="1">
        <v>44986</v>
      </c>
      <c r="G3757" t="str">
        <f>"87617"</f>
        <v>87617</v>
      </c>
      <c r="H3757">
        <v>1</v>
      </c>
      <c r="I3757">
        <v>3750</v>
      </c>
      <c r="J3757">
        <v>0</v>
      </c>
      <c r="K3757" t="str">
        <f t="shared" si="678"/>
        <v>807</v>
      </c>
      <c r="L3757">
        <v>3150</v>
      </c>
    </row>
    <row r="3758" spans="1:12" x14ac:dyDescent="0.25">
      <c r="A3758" t="str">
        <f t="shared" si="664"/>
        <v>89301000</v>
      </c>
      <c r="B3758" t="str">
        <f t="shared" si="676"/>
        <v>61004000</v>
      </c>
      <c r="C3758" t="str">
        <f t="shared" si="677"/>
        <v>61004776</v>
      </c>
      <c r="D3758">
        <v>89301212</v>
      </c>
      <c r="E3758" t="str">
        <f>"7955135804"</f>
        <v>7955135804</v>
      </c>
      <c r="F3758" s="1">
        <v>44987</v>
      </c>
      <c r="G3758" t="str">
        <f>"99798"</f>
        <v>99798</v>
      </c>
      <c r="H3758">
        <v>1</v>
      </c>
      <c r="I3758">
        <v>3199</v>
      </c>
      <c r="J3758">
        <v>0</v>
      </c>
      <c r="K3758" t="str">
        <f t="shared" si="678"/>
        <v>807</v>
      </c>
      <c r="L3758">
        <v>2687.16</v>
      </c>
    </row>
    <row r="3759" spans="1:12" x14ac:dyDescent="0.25">
      <c r="A3759" t="str">
        <f t="shared" si="664"/>
        <v>89301000</v>
      </c>
      <c r="B3759" t="str">
        <f t="shared" si="676"/>
        <v>61004000</v>
      </c>
      <c r="C3759" t="str">
        <f t="shared" si="677"/>
        <v>61004776</v>
      </c>
      <c r="D3759">
        <v>89301212</v>
      </c>
      <c r="E3759" t="str">
        <f>"6061301268"</f>
        <v>6061301268</v>
      </c>
      <c r="F3759" s="1">
        <v>44999</v>
      </c>
      <c r="G3759" t="str">
        <f>"87223"</f>
        <v>87223</v>
      </c>
      <c r="H3759">
        <v>1</v>
      </c>
      <c r="I3759">
        <v>398</v>
      </c>
      <c r="J3759">
        <v>0</v>
      </c>
      <c r="K3759" t="str">
        <f t="shared" si="678"/>
        <v>807</v>
      </c>
      <c r="L3759">
        <v>334.32</v>
      </c>
    </row>
    <row r="3760" spans="1:12" x14ac:dyDescent="0.25">
      <c r="A3760" t="str">
        <f t="shared" si="664"/>
        <v>89301000</v>
      </c>
      <c r="B3760" t="str">
        <f t="shared" si="676"/>
        <v>61004000</v>
      </c>
      <c r="C3760" t="str">
        <f t="shared" si="677"/>
        <v>61004776</v>
      </c>
      <c r="D3760">
        <v>89301212</v>
      </c>
      <c r="E3760" t="str">
        <f>"6061301268"</f>
        <v>6061301268</v>
      </c>
      <c r="F3760" s="1">
        <v>44999</v>
      </c>
      <c r="G3760" t="str">
        <f>"87617"</f>
        <v>87617</v>
      </c>
      <c r="H3760">
        <v>1</v>
      </c>
      <c r="I3760">
        <v>3750</v>
      </c>
      <c r="J3760">
        <v>0</v>
      </c>
      <c r="K3760" t="str">
        <f t="shared" si="678"/>
        <v>807</v>
      </c>
      <c r="L3760">
        <v>3150</v>
      </c>
    </row>
    <row r="3761" spans="1:12" x14ac:dyDescent="0.25">
      <c r="A3761" t="str">
        <f t="shared" si="664"/>
        <v>89301000</v>
      </c>
      <c r="B3761" t="str">
        <f t="shared" si="676"/>
        <v>61004000</v>
      </c>
      <c r="C3761" t="str">
        <f t="shared" si="677"/>
        <v>61004776</v>
      </c>
      <c r="D3761">
        <v>89301212</v>
      </c>
      <c r="E3761" t="str">
        <f>"6061301268"</f>
        <v>6061301268</v>
      </c>
      <c r="F3761" s="1">
        <v>44999</v>
      </c>
      <c r="G3761" t="str">
        <f>"99798"</f>
        <v>99798</v>
      </c>
      <c r="H3761">
        <v>1</v>
      </c>
      <c r="I3761">
        <v>3199</v>
      </c>
      <c r="J3761">
        <v>0</v>
      </c>
      <c r="K3761" t="str">
        <f t="shared" si="678"/>
        <v>807</v>
      </c>
      <c r="L3761">
        <v>2687.16</v>
      </c>
    </row>
    <row r="3762" spans="1:12" x14ac:dyDescent="0.25">
      <c r="A3762" t="str">
        <f t="shared" si="664"/>
        <v>89301000</v>
      </c>
      <c r="B3762" t="str">
        <f>"72001000"</f>
        <v>72001000</v>
      </c>
      <c r="C3762" t="str">
        <f>"72001844"</f>
        <v>72001844</v>
      </c>
      <c r="D3762">
        <v>89301107</v>
      </c>
      <c r="E3762" t="str">
        <f>"0710021378"</f>
        <v>0710021378</v>
      </c>
      <c r="F3762" s="1">
        <v>44995</v>
      </c>
      <c r="G3762" t="str">
        <f>"91171"</f>
        <v>91171</v>
      </c>
      <c r="H3762">
        <v>1</v>
      </c>
      <c r="I3762">
        <v>362</v>
      </c>
      <c r="J3762">
        <v>0</v>
      </c>
      <c r="K3762" t="str">
        <f>"813"</f>
        <v>813</v>
      </c>
      <c r="L3762">
        <v>304.08</v>
      </c>
    </row>
    <row r="3763" spans="1:12" x14ac:dyDescent="0.25">
      <c r="A3763" t="str">
        <f t="shared" si="664"/>
        <v>89301000</v>
      </c>
      <c r="B3763" t="str">
        <f>"72001000"</f>
        <v>72001000</v>
      </c>
      <c r="C3763" t="str">
        <f>"72001844"</f>
        <v>72001844</v>
      </c>
      <c r="D3763">
        <v>89301107</v>
      </c>
      <c r="E3763" t="str">
        <f>"0710021378"</f>
        <v>0710021378</v>
      </c>
      <c r="F3763" s="1">
        <v>44995</v>
      </c>
      <c r="G3763" t="str">
        <f>"91171"</f>
        <v>91171</v>
      </c>
      <c r="H3763">
        <v>1</v>
      </c>
      <c r="I3763">
        <v>362</v>
      </c>
      <c r="J3763">
        <v>0</v>
      </c>
      <c r="K3763" t="str">
        <f>"813"</f>
        <v>813</v>
      </c>
      <c r="L3763">
        <v>304.08</v>
      </c>
    </row>
    <row r="3764" spans="1:12" x14ac:dyDescent="0.25">
      <c r="A3764" t="str">
        <f t="shared" si="664"/>
        <v>89301000</v>
      </c>
      <c r="B3764" t="str">
        <f>"72001000"</f>
        <v>72001000</v>
      </c>
      <c r="C3764" t="str">
        <f>"72001844"</f>
        <v>72001844</v>
      </c>
      <c r="D3764">
        <v>89301107</v>
      </c>
      <c r="E3764" t="str">
        <f>"0710021378"</f>
        <v>0710021378</v>
      </c>
      <c r="F3764" s="1">
        <v>44995</v>
      </c>
      <c r="G3764" t="str">
        <f>"91171"</f>
        <v>91171</v>
      </c>
      <c r="H3764">
        <v>1</v>
      </c>
      <c r="I3764">
        <v>362</v>
      </c>
      <c r="J3764">
        <v>0</v>
      </c>
      <c r="K3764" t="str">
        <f>"813"</f>
        <v>813</v>
      </c>
      <c r="L3764">
        <v>304.08</v>
      </c>
    </row>
    <row r="3765" spans="1:12" x14ac:dyDescent="0.25">
      <c r="A3765" t="str">
        <f t="shared" si="664"/>
        <v>89301000</v>
      </c>
      <c r="B3765" t="str">
        <f>"72001000"</f>
        <v>72001000</v>
      </c>
      <c r="C3765" t="str">
        <f>"72001844"</f>
        <v>72001844</v>
      </c>
      <c r="D3765">
        <v>89301107</v>
      </c>
      <c r="E3765" t="str">
        <f>"0710021378"</f>
        <v>0710021378</v>
      </c>
      <c r="F3765" s="1">
        <v>44995</v>
      </c>
      <c r="G3765" t="str">
        <f>"91171"</f>
        <v>91171</v>
      </c>
      <c r="H3765">
        <v>1</v>
      </c>
      <c r="I3765">
        <v>362</v>
      </c>
      <c r="J3765">
        <v>0</v>
      </c>
      <c r="K3765" t="str">
        <f>"813"</f>
        <v>813</v>
      </c>
      <c r="L3765">
        <v>304.08</v>
      </c>
    </row>
    <row r="3766" spans="1:12" x14ac:dyDescent="0.25">
      <c r="A3766" t="str">
        <f t="shared" si="664"/>
        <v>89301000</v>
      </c>
      <c r="B3766" t="str">
        <f>"72001000"</f>
        <v>72001000</v>
      </c>
      <c r="C3766" t="str">
        <f>"72001844"</f>
        <v>72001844</v>
      </c>
      <c r="D3766">
        <v>89301107</v>
      </c>
      <c r="E3766" t="str">
        <f>"0710021378"</f>
        <v>0710021378</v>
      </c>
      <c r="F3766" s="1">
        <v>44995</v>
      </c>
      <c r="G3766" t="str">
        <f>"97111"</f>
        <v>97111</v>
      </c>
      <c r="H3766">
        <v>1</v>
      </c>
      <c r="I3766">
        <v>19</v>
      </c>
      <c r="J3766">
        <v>0</v>
      </c>
      <c r="K3766" t="str">
        <f>"813"</f>
        <v>813</v>
      </c>
      <c r="L3766">
        <v>23.94</v>
      </c>
    </row>
    <row r="3767" spans="1:12" x14ac:dyDescent="0.25">
      <c r="A3767" t="str">
        <f t="shared" si="664"/>
        <v>89301000</v>
      </c>
      <c r="B3767" t="str">
        <f>"05002000"</f>
        <v>05002000</v>
      </c>
      <c r="C3767" t="str">
        <f>"05002141"</f>
        <v>05002141</v>
      </c>
      <c r="D3767">
        <v>89301282</v>
      </c>
      <c r="E3767" t="str">
        <f>"6208151400"</f>
        <v>6208151400</v>
      </c>
      <c r="F3767" s="1">
        <v>45001</v>
      </c>
      <c r="G3767" t="str">
        <f>"94331"</f>
        <v>94331</v>
      </c>
      <c r="H3767">
        <v>1</v>
      </c>
      <c r="I3767">
        <v>7866</v>
      </c>
      <c r="J3767">
        <v>0</v>
      </c>
      <c r="K3767" t="str">
        <f>"816"</f>
        <v>816</v>
      </c>
      <c r="L3767">
        <v>7079.4</v>
      </c>
    </row>
    <row r="3768" spans="1:12" x14ac:dyDescent="0.25">
      <c r="A3768" t="str">
        <f t="shared" si="664"/>
        <v>89301000</v>
      </c>
      <c r="B3768" t="str">
        <f t="shared" ref="B3768:B3776" si="679">"89670000"</f>
        <v>89670000</v>
      </c>
      <c r="C3768" t="str">
        <f t="shared" ref="C3768:C3773" si="680">"89670001"</f>
        <v>89670001</v>
      </c>
      <c r="D3768">
        <v>89301152</v>
      </c>
      <c r="E3768" t="str">
        <f>"6755276880"</f>
        <v>6755276880</v>
      </c>
      <c r="F3768" s="1">
        <v>44994</v>
      </c>
      <c r="G3768" t="str">
        <f>"97111"</f>
        <v>97111</v>
      </c>
      <c r="H3768">
        <v>1</v>
      </c>
      <c r="I3768">
        <v>19</v>
      </c>
      <c r="J3768">
        <v>0</v>
      </c>
      <c r="K3768" t="str">
        <f t="shared" ref="K3768:K3776" si="681">"802"</f>
        <v>802</v>
      </c>
      <c r="L3768">
        <v>23.94</v>
      </c>
    </row>
    <row r="3769" spans="1:12" x14ac:dyDescent="0.25">
      <c r="A3769" t="str">
        <f t="shared" si="664"/>
        <v>89301000</v>
      </c>
      <c r="B3769" t="str">
        <f t="shared" si="679"/>
        <v>89670000</v>
      </c>
      <c r="C3769" t="str">
        <f t="shared" si="680"/>
        <v>89670001</v>
      </c>
      <c r="D3769">
        <v>89301152</v>
      </c>
      <c r="E3769" t="str">
        <f>"6755276880"</f>
        <v>6755276880</v>
      </c>
      <c r="F3769" s="1">
        <v>44998</v>
      </c>
      <c r="G3769" t="str">
        <f>"82097"</f>
        <v>82097</v>
      </c>
      <c r="H3769">
        <v>1</v>
      </c>
      <c r="I3769">
        <v>381</v>
      </c>
      <c r="J3769">
        <v>0</v>
      </c>
      <c r="K3769" t="str">
        <f t="shared" si="681"/>
        <v>802</v>
      </c>
      <c r="L3769">
        <v>369.57</v>
      </c>
    </row>
    <row r="3770" spans="1:12" x14ac:dyDescent="0.25">
      <c r="A3770" t="str">
        <f t="shared" si="664"/>
        <v>89301000</v>
      </c>
      <c r="B3770" t="str">
        <f t="shared" si="679"/>
        <v>89670000</v>
      </c>
      <c r="C3770" t="str">
        <f t="shared" si="680"/>
        <v>89670001</v>
      </c>
      <c r="D3770">
        <v>89301036</v>
      </c>
      <c r="E3770" t="str">
        <f>"7705304310"</f>
        <v>7705304310</v>
      </c>
      <c r="F3770" s="1">
        <v>44991</v>
      </c>
      <c r="G3770" t="str">
        <f>"82041"</f>
        <v>82041</v>
      </c>
      <c r="H3770">
        <v>1</v>
      </c>
      <c r="I3770">
        <v>1096</v>
      </c>
      <c r="J3770">
        <v>0</v>
      </c>
      <c r="K3770" t="str">
        <f t="shared" si="681"/>
        <v>802</v>
      </c>
      <c r="L3770">
        <v>1063.1199999999999</v>
      </c>
    </row>
    <row r="3771" spans="1:12" x14ac:dyDescent="0.25">
      <c r="A3771" t="str">
        <f t="shared" si="664"/>
        <v>89301000</v>
      </c>
      <c r="B3771" t="str">
        <f t="shared" si="679"/>
        <v>89670000</v>
      </c>
      <c r="C3771" t="str">
        <f t="shared" si="680"/>
        <v>89670001</v>
      </c>
      <c r="D3771">
        <v>89301036</v>
      </c>
      <c r="E3771" t="str">
        <f>"7705304310"</f>
        <v>7705304310</v>
      </c>
      <c r="F3771" s="1">
        <v>44991</v>
      </c>
      <c r="G3771" t="str">
        <f>"82233"</f>
        <v>82233</v>
      </c>
      <c r="H3771">
        <v>2</v>
      </c>
      <c r="I3771">
        <v>572</v>
      </c>
      <c r="J3771">
        <v>0</v>
      </c>
      <c r="K3771" t="str">
        <f t="shared" si="681"/>
        <v>802</v>
      </c>
      <c r="L3771">
        <v>554.84</v>
      </c>
    </row>
    <row r="3772" spans="1:12" x14ac:dyDescent="0.25">
      <c r="A3772" t="str">
        <f t="shared" si="664"/>
        <v>89301000</v>
      </c>
      <c r="B3772" t="str">
        <f t="shared" si="679"/>
        <v>89670000</v>
      </c>
      <c r="C3772" t="str">
        <f t="shared" si="680"/>
        <v>89670001</v>
      </c>
      <c r="D3772">
        <v>89301036</v>
      </c>
      <c r="E3772" t="str">
        <f>"7705304310"</f>
        <v>7705304310</v>
      </c>
      <c r="F3772" s="1">
        <v>44991</v>
      </c>
      <c r="G3772" t="str">
        <f>"82231"</f>
        <v>82231</v>
      </c>
      <c r="H3772">
        <v>1</v>
      </c>
      <c r="I3772">
        <v>231</v>
      </c>
      <c r="J3772">
        <v>0</v>
      </c>
      <c r="K3772" t="str">
        <f t="shared" si="681"/>
        <v>802</v>
      </c>
      <c r="L3772">
        <v>224.07</v>
      </c>
    </row>
    <row r="3773" spans="1:12" x14ac:dyDescent="0.25">
      <c r="A3773" t="str">
        <f t="shared" si="664"/>
        <v>89301000</v>
      </c>
      <c r="B3773" t="str">
        <f t="shared" si="679"/>
        <v>89670000</v>
      </c>
      <c r="C3773" t="str">
        <f t="shared" si="680"/>
        <v>89670001</v>
      </c>
      <c r="D3773">
        <v>89301036</v>
      </c>
      <c r="E3773" t="str">
        <f>"7705304310"</f>
        <v>7705304310</v>
      </c>
      <c r="F3773" s="1">
        <v>44991</v>
      </c>
      <c r="G3773" t="str">
        <f>"82065"</f>
        <v>82065</v>
      </c>
      <c r="H3773">
        <v>1</v>
      </c>
      <c r="I3773">
        <v>150</v>
      </c>
      <c r="J3773">
        <v>0</v>
      </c>
      <c r="K3773" t="str">
        <f t="shared" si="681"/>
        <v>802</v>
      </c>
      <c r="L3773">
        <v>145.5</v>
      </c>
    </row>
    <row r="3774" spans="1:12" x14ac:dyDescent="0.25">
      <c r="A3774" t="str">
        <f t="shared" si="664"/>
        <v>89301000</v>
      </c>
      <c r="B3774" t="str">
        <f t="shared" si="679"/>
        <v>89670000</v>
      </c>
      <c r="C3774" t="str">
        <f>"89670200"</f>
        <v>89670200</v>
      </c>
      <c r="D3774">
        <v>89301167</v>
      </c>
      <c r="E3774" t="str">
        <f>"511221028"</f>
        <v>511221028</v>
      </c>
      <c r="F3774" s="1">
        <v>44992</v>
      </c>
      <c r="G3774" t="str">
        <f>"09119"</f>
        <v>09119</v>
      </c>
      <c r="H3774">
        <v>1</v>
      </c>
      <c r="I3774">
        <v>43</v>
      </c>
      <c r="J3774">
        <v>0</v>
      </c>
      <c r="K3774" t="str">
        <f t="shared" si="681"/>
        <v>802</v>
      </c>
      <c r="L3774">
        <v>54.18</v>
      </c>
    </row>
    <row r="3775" spans="1:12" x14ac:dyDescent="0.25">
      <c r="A3775" t="str">
        <f t="shared" si="664"/>
        <v>89301000</v>
      </c>
      <c r="B3775" t="str">
        <f t="shared" si="679"/>
        <v>89670000</v>
      </c>
      <c r="C3775" t="str">
        <f>"89670200"</f>
        <v>89670200</v>
      </c>
      <c r="D3775">
        <v>89301167</v>
      </c>
      <c r="E3775" t="str">
        <f>"511221028"</f>
        <v>511221028</v>
      </c>
      <c r="F3775" s="1">
        <v>44992</v>
      </c>
      <c r="G3775" t="str">
        <f>"97111"</f>
        <v>97111</v>
      </c>
      <c r="H3775">
        <v>1</v>
      </c>
      <c r="I3775">
        <v>19</v>
      </c>
      <c r="J3775">
        <v>0</v>
      </c>
      <c r="K3775" t="str">
        <f t="shared" si="681"/>
        <v>802</v>
      </c>
      <c r="L3775">
        <v>23.94</v>
      </c>
    </row>
    <row r="3776" spans="1:12" x14ac:dyDescent="0.25">
      <c r="A3776" t="str">
        <f t="shared" si="664"/>
        <v>89301000</v>
      </c>
      <c r="B3776" t="str">
        <f t="shared" si="679"/>
        <v>89670000</v>
      </c>
      <c r="C3776" t="str">
        <f>"89670200"</f>
        <v>89670200</v>
      </c>
      <c r="D3776">
        <v>89301167</v>
      </c>
      <c r="E3776" t="str">
        <f>"511221028"</f>
        <v>511221028</v>
      </c>
      <c r="F3776" s="1">
        <v>44992</v>
      </c>
      <c r="G3776" t="str">
        <f>"91153"</f>
        <v>91153</v>
      </c>
      <c r="H3776">
        <v>1</v>
      </c>
      <c r="I3776">
        <v>153</v>
      </c>
      <c r="J3776">
        <v>0</v>
      </c>
      <c r="K3776" t="str">
        <f t="shared" si="681"/>
        <v>802</v>
      </c>
      <c r="L3776">
        <v>148.41</v>
      </c>
    </row>
    <row r="3777" spans="1:12" x14ac:dyDescent="0.25">
      <c r="A3777" t="str">
        <f t="shared" si="664"/>
        <v>89301000</v>
      </c>
      <c r="B3777" t="str">
        <f>"92002000"</f>
        <v>92002000</v>
      </c>
      <c r="C3777" t="str">
        <f>"92002175"</f>
        <v>92002175</v>
      </c>
      <c r="D3777">
        <v>89301212</v>
      </c>
      <c r="E3777" t="str">
        <f>"6952055374"</f>
        <v>6952055374</v>
      </c>
      <c r="F3777" s="1">
        <v>44991</v>
      </c>
      <c r="G3777" t="str">
        <f>"89512"</f>
        <v>89512</v>
      </c>
      <c r="H3777">
        <v>1</v>
      </c>
      <c r="I3777">
        <v>283</v>
      </c>
      <c r="J3777">
        <v>0</v>
      </c>
      <c r="K3777" t="str">
        <f t="shared" ref="K3777:K3840" si="682">"809"</f>
        <v>809</v>
      </c>
      <c r="L3777">
        <v>416.01</v>
      </c>
    </row>
    <row r="3778" spans="1:12" x14ac:dyDescent="0.25">
      <c r="A3778" t="str">
        <f t="shared" ref="A3778:A3841" si="683">"89301000"</f>
        <v>89301000</v>
      </c>
      <c r="B3778" t="str">
        <f>"89434000"</f>
        <v>89434000</v>
      </c>
      <c r="C3778" t="str">
        <f>"89434000"</f>
        <v>89434000</v>
      </c>
      <c r="D3778">
        <v>89301212</v>
      </c>
      <c r="E3778" t="str">
        <f>"336208412"</f>
        <v>336208412</v>
      </c>
      <c r="F3778" s="1">
        <v>44946</v>
      </c>
      <c r="G3778" t="str">
        <f>"09139"</f>
        <v>09139</v>
      </c>
      <c r="H3778">
        <v>1</v>
      </c>
      <c r="I3778">
        <v>356</v>
      </c>
      <c r="J3778">
        <v>0</v>
      </c>
      <c r="K3778" t="str">
        <f t="shared" si="682"/>
        <v>809</v>
      </c>
      <c r="L3778">
        <v>523.32000000000005</v>
      </c>
    </row>
    <row r="3779" spans="1:12" x14ac:dyDescent="0.25">
      <c r="A3779" t="str">
        <f t="shared" si="683"/>
        <v>89301000</v>
      </c>
      <c r="B3779" t="str">
        <f t="shared" ref="B3779:C3784" si="684">"89632000"</f>
        <v>89632000</v>
      </c>
      <c r="C3779" t="str">
        <f t="shared" si="684"/>
        <v>89632000</v>
      </c>
      <c r="D3779">
        <v>89301212</v>
      </c>
      <c r="E3779" t="str">
        <f>"465108034"</f>
        <v>465108034</v>
      </c>
      <c r="F3779" s="1">
        <v>44986</v>
      </c>
      <c r="G3779" t="str">
        <f>"89131"</f>
        <v>89131</v>
      </c>
      <c r="H3779">
        <v>1</v>
      </c>
      <c r="I3779">
        <v>190</v>
      </c>
      <c r="J3779">
        <v>0</v>
      </c>
      <c r="K3779" t="str">
        <f t="shared" si="682"/>
        <v>809</v>
      </c>
      <c r="L3779">
        <v>279.3</v>
      </c>
    </row>
    <row r="3780" spans="1:12" x14ac:dyDescent="0.25">
      <c r="A3780" t="str">
        <f t="shared" si="683"/>
        <v>89301000</v>
      </c>
      <c r="B3780" t="str">
        <f t="shared" si="684"/>
        <v>89632000</v>
      </c>
      <c r="C3780" t="str">
        <f t="shared" si="684"/>
        <v>89632000</v>
      </c>
      <c r="D3780">
        <v>89301215</v>
      </c>
      <c r="E3780" t="str">
        <f>"505118030"</f>
        <v>505118030</v>
      </c>
      <c r="F3780" s="1">
        <v>45006</v>
      </c>
      <c r="G3780" t="str">
        <f>"09135"</f>
        <v>09135</v>
      </c>
      <c r="H3780">
        <v>1</v>
      </c>
      <c r="I3780">
        <v>179</v>
      </c>
      <c r="J3780">
        <v>0</v>
      </c>
      <c r="K3780" t="str">
        <f t="shared" si="682"/>
        <v>809</v>
      </c>
      <c r="L3780">
        <v>263.13</v>
      </c>
    </row>
    <row r="3781" spans="1:12" x14ac:dyDescent="0.25">
      <c r="A3781" t="str">
        <f t="shared" si="683"/>
        <v>89301000</v>
      </c>
      <c r="B3781" t="str">
        <f t="shared" si="684"/>
        <v>89632000</v>
      </c>
      <c r="C3781" t="str">
        <f t="shared" si="684"/>
        <v>89632000</v>
      </c>
      <c r="D3781">
        <v>89301112</v>
      </c>
      <c r="E3781" t="str">
        <f>"6104100860"</f>
        <v>6104100860</v>
      </c>
      <c r="F3781" s="1">
        <v>45012</v>
      </c>
      <c r="G3781" t="str">
        <f>"89123"</f>
        <v>89123</v>
      </c>
      <c r="H3781">
        <v>1</v>
      </c>
      <c r="I3781">
        <v>141</v>
      </c>
      <c r="J3781">
        <v>0</v>
      </c>
      <c r="K3781" t="str">
        <f t="shared" si="682"/>
        <v>809</v>
      </c>
      <c r="L3781">
        <v>207.27</v>
      </c>
    </row>
    <row r="3782" spans="1:12" x14ac:dyDescent="0.25">
      <c r="A3782" t="str">
        <f t="shared" si="683"/>
        <v>89301000</v>
      </c>
      <c r="B3782" t="str">
        <f t="shared" si="684"/>
        <v>89632000</v>
      </c>
      <c r="C3782" t="str">
        <f t="shared" si="684"/>
        <v>89632000</v>
      </c>
      <c r="D3782">
        <v>89301112</v>
      </c>
      <c r="E3782" t="str">
        <f>"6104100860"</f>
        <v>6104100860</v>
      </c>
      <c r="F3782" s="1">
        <v>45012</v>
      </c>
      <c r="G3782" t="str">
        <f>"89123"</f>
        <v>89123</v>
      </c>
      <c r="H3782">
        <v>1</v>
      </c>
      <c r="I3782">
        <v>141</v>
      </c>
      <c r="J3782">
        <v>0</v>
      </c>
      <c r="K3782" t="str">
        <f t="shared" si="682"/>
        <v>809</v>
      </c>
      <c r="L3782">
        <v>207.27</v>
      </c>
    </row>
    <row r="3783" spans="1:12" x14ac:dyDescent="0.25">
      <c r="A3783" t="str">
        <f t="shared" si="683"/>
        <v>89301000</v>
      </c>
      <c r="B3783" t="str">
        <f t="shared" si="684"/>
        <v>89632000</v>
      </c>
      <c r="C3783" t="str">
        <f t="shared" si="684"/>
        <v>89632000</v>
      </c>
      <c r="D3783">
        <v>89301212</v>
      </c>
      <c r="E3783" t="str">
        <f>"6161271534"</f>
        <v>6161271534</v>
      </c>
      <c r="F3783" s="1">
        <v>44998</v>
      </c>
      <c r="G3783" t="str">
        <f>"89513"</f>
        <v>89513</v>
      </c>
      <c r="H3783">
        <v>1</v>
      </c>
      <c r="I3783">
        <v>378</v>
      </c>
      <c r="J3783">
        <v>0</v>
      </c>
      <c r="K3783" t="str">
        <f t="shared" si="682"/>
        <v>809</v>
      </c>
      <c r="L3783">
        <v>555.66</v>
      </c>
    </row>
    <row r="3784" spans="1:12" x14ac:dyDescent="0.25">
      <c r="A3784" t="str">
        <f t="shared" si="683"/>
        <v>89301000</v>
      </c>
      <c r="B3784" t="str">
        <f t="shared" si="684"/>
        <v>89632000</v>
      </c>
      <c r="C3784" t="str">
        <f t="shared" si="684"/>
        <v>89632000</v>
      </c>
      <c r="D3784">
        <v>89301212</v>
      </c>
      <c r="E3784" t="str">
        <f>"6161271534"</f>
        <v>6161271534</v>
      </c>
      <c r="F3784" s="1">
        <v>44998</v>
      </c>
      <c r="G3784" t="str">
        <f>"89514"</f>
        <v>89514</v>
      </c>
      <c r="H3784">
        <v>1</v>
      </c>
      <c r="I3784">
        <v>378</v>
      </c>
      <c r="J3784">
        <v>0</v>
      </c>
      <c r="K3784" t="str">
        <f t="shared" si="682"/>
        <v>809</v>
      </c>
      <c r="L3784">
        <v>555.66</v>
      </c>
    </row>
    <row r="3785" spans="1:12" x14ac:dyDescent="0.25">
      <c r="A3785" t="str">
        <f t="shared" si="683"/>
        <v>89301000</v>
      </c>
      <c r="B3785" t="str">
        <f>"82001000"</f>
        <v>82001000</v>
      </c>
      <c r="C3785" t="str">
        <f>"82001180"</f>
        <v>82001180</v>
      </c>
      <c r="D3785">
        <v>89301212</v>
      </c>
      <c r="E3785" t="str">
        <f>"5801090548"</f>
        <v>5801090548</v>
      </c>
      <c r="F3785" s="1">
        <v>45009</v>
      </c>
      <c r="G3785" t="str">
        <f>"89611"</f>
        <v>89611</v>
      </c>
      <c r="H3785">
        <v>2</v>
      </c>
      <c r="I3785">
        <v>4524</v>
      </c>
      <c r="J3785">
        <v>0</v>
      </c>
      <c r="K3785" t="str">
        <f t="shared" si="682"/>
        <v>809</v>
      </c>
      <c r="L3785">
        <v>2940.6</v>
      </c>
    </row>
    <row r="3786" spans="1:12" x14ac:dyDescent="0.25">
      <c r="A3786" t="str">
        <f t="shared" si="683"/>
        <v>89301000</v>
      </c>
      <c r="B3786" t="str">
        <f>"82001000"</f>
        <v>82001000</v>
      </c>
      <c r="C3786" t="str">
        <f>"82001180"</f>
        <v>82001180</v>
      </c>
      <c r="D3786">
        <v>89301212</v>
      </c>
      <c r="E3786" t="str">
        <f>"5801090548"</f>
        <v>5801090548</v>
      </c>
      <c r="F3786" s="1">
        <v>45009</v>
      </c>
      <c r="G3786" t="str">
        <f>"0137480"</f>
        <v>0137480</v>
      </c>
      <c r="H3786">
        <v>0.18</v>
      </c>
      <c r="J3786">
        <v>904.34</v>
      </c>
      <c r="K3786" t="str">
        <f t="shared" si="682"/>
        <v>809</v>
      </c>
      <c r="L3786">
        <v>904.34</v>
      </c>
    </row>
    <row r="3787" spans="1:12" x14ac:dyDescent="0.25">
      <c r="A3787" t="str">
        <f t="shared" si="683"/>
        <v>89301000</v>
      </c>
      <c r="B3787" t="str">
        <f>"82001000"</f>
        <v>82001000</v>
      </c>
      <c r="C3787" t="str">
        <f>"82001180"</f>
        <v>82001180</v>
      </c>
      <c r="D3787">
        <v>89301212</v>
      </c>
      <c r="E3787" t="str">
        <f>"5801090548"</f>
        <v>5801090548</v>
      </c>
      <c r="F3787" s="1">
        <v>45009</v>
      </c>
      <c r="G3787" t="str">
        <f>"0234186"</f>
        <v>0234186</v>
      </c>
      <c r="H3787">
        <v>8.3000000000000004E-2</v>
      </c>
      <c r="J3787">
        <v>28.66</v>
      </c>
      <c r="K3787" t="str">
        <f t="shared" si="682"/>
        <v>809</v>
      </c>
      <c r="L3787">
        <v>28.66</v>
      </c>
    </row>
    <row r="3788" spans="1:12" x14ac:dyDescent="0.25">
      <c r="A3788" t="str">
        <f t="shared" si="683"/>
        <v>89301000</v>
      </c>
      <c r="B3788" t="str">
        <f t="shared" ref="B3788:B3819" si="685">"89383000"</f>
        <v>89383000</v>
      </c>
      <c r="C3788" t="str">
        <f t="shared" ref="C3788:C3819" si="686">"89383002"</f>
        <v>89383002</v>
      </c>
      <c r="D3788">
        <v>89301212</v>
      </c>
      <c r="E3788" t="str">
        <f>"5751260295"</f>
        <v>5751260295</v>
      </c>
      <c r="F3788" s="1">
        <v>45019</v>
      </c>
      <c r="G3788" t="str">
        <f>"89513"</f>
        <v>89513</v>
      </c>
      <c r="H3788">
        <v>1</v>
      </c>
      <c r="I3788">
        <v>378</v>
      </c>
      <c r="J3788">
        <v>0</v>
      </c>
      <c r="K3788" t="str">
        <f t="shared" si="682"/>
        <v>809</v>
      </c>
      <c r="L3788">
        <v>555.66</v>
      </c>
    </row>
    <row r="3789" spans="1:12" x14ac:dyDescent="0.25">
      <c r="A3789" t="str">
        <f t="shared" si="683"/>
        <v>89301000</v>
      </c>
      <c r="B3789" t="str">
        <f t="shared" si="685"/>
        <v>89383000</v>
      </c>
      <c r="C3789" t="str">
        <f t="shared" si="686"/>
        <v>89383002</v>
      </c>
      <c r="D3789">
        <v>89301212</v>
      </c>
      <c r="E3789" t="str">
        <f>"5751260295"</f>
        <v>5751260295</v>
      </c>
      <c r="F3789" s="1">
        <v>45019</v>
      </c>
      <c r="G3789" t="str">
        <f>"89514"</f>
        <v>89514</v>
      </c>
      <c r="H3789">
        <v>1</v>
      </c>
      <c r="I3789">
        <v>378</v>
      </c>
      <c r="J3789">
        <v>0</v>
      </c>
      <c r="K3789" t="str">
        <f t="shared" si="682"/>
        <v>809</v>
      </c>
      <c r="L3789">
        <v>555.66</v>
      </c>
    </row>
    <row r="3790" spans="1:12" x14ac:dyDescent="0.25">
      <c r="A3790" t="str">
        <f t="shared" si="683"/>
        <v>89301000</v>
      </c>
      <c r="B3790" t="str">
        <f t="shared" si="685"/>
        <v>89383000</v>
      </c>
      <c r="C3790" t="str">
        <f t="shared" si="686"/>
        <v>89383002</v>
      </c>
      <c r="D3790">
        <v>89301212</v>
      </c>
      <c r="E3790" t="str">
        <f>"396206429"</f>
        <v>396206429</v>
      </c>
      <c r="F3790" s="1">
        <v>45019</v>
      </c>
      <c r="G3790" t="str">
        <f>"89513"</f>
        <v>89513</v>
      </c>
      <c r="H3790">
        <v>1</v>
      </c>
      <c r="I3790">
        <v>378</v>
      </c>
      <c r="J3790">
        <v>0</v>
      </c>
      <c r="K3790" t="str">
        <f t="shared" si="682"/>
        <v>809</v>
      </c>
      <c r="L3790">
        <v>555.66</v>
      </c>
    </row>
    <row r="3791" spans="1:12" x14ac:dyDescent="0.25">
      <c r="A3791" t="str">
        <f t="shared" si="683"/>
        <v>89301000</v>
      </c>
      <c r="B3791" t="str">
        <f t="shared" si="685"/>
        <v>89383000</v>
      </c>
      <c r="C3791" t="str">
        <f t="shared" si="686"/>
        <v>89383002</v>
      </c>
      <c r="D3791">
        <v>89301212</v>
      </c>
      <c r="E3791" t="str">
        <f>"396206429"</f>
        <v>396206429</v>
      </c>
      <c r="F3791" s="1">
        <v>45019</v>
      </c>
      <c r="G3791" t="str">
        <f>"89514"</f>
        <v>89514</v>
      </c>
      <c r="H3791">
        <v>1</v>
      </c>
      <c r="I3791">
        <v>378</v>
      </c>
      <c r="J3791">
        <v>0</v>
      </c>
      <c r="K3791" t="str">
        <f t="shared" si="682"/>
        <v>809</v>
      </c>
      <c r="L3791">
        <v>555.66</v>
      </c>
    </row>
    <row r="3792" spans="1:12" x14ac:dyDescent="0.25">
      <c r="A3792" t="str">
        <f t="shared" si="683"/>
        <v>89301000</v>
      </c>
      <c r="B3792" t="str">
        <f t="shared" si="685"/>
        <v>89383000</v>
      </c>
      <c r="C3792" t="str">
        <f t="shared" si="686"/>
        <v>89383002</v>
      </c>
      <c r="D3792">
        <v>89301212</v>
      </c>
      <c r="E3792" t="str">
        <f>"8059245348"</f>
        <v>8059245348</v>
      </c>
      <c r="F3792" s="1">
        <v>45019</v>
      </c>
      <c r="G3792" t="str">
        <f>"89512"</f>
        <v>89512</v>
      </c>
      <c r="H3792">
        <v>1</v>
      </c>
      <c r="I3792">
        <v>283</v>
      </c>
      <c r="J3792">
        <v>0</v>
      </c>
      <c r="K3792" t="str">
        <f t="shared" si="682"/>
        <v>809</v>
      </c>
      <c r="L3792">
        <v>416.01</v>
      </c>
    </row>
    <row r="3793" spans="1:12" x14ac:dyDescent="0.25">
      <c r="A3793" t="str">
        <f t="shared" si="683"/>
        <v>89301000</v>
      </c>
      <c r="B3793" t="str">
        <f t="shared" si="685"/>
        <v>89383000</v>
      </c>
      <c r="C3793" t="str">
        <f t="shared" si="686"/>
        <v>89383002</v>
      </c>
      <c r="D3793">
        <v>89301212</v>
      </c>
      <c r="E3793" t="str">
        <f>"7656205348"</f>
        <v>7656205348</v>
      </c>
      <c r="F3793" s="1">
        <v>45020</v>
      </c>
      <c r="G3793" t="str">
        <f>"89512"</f>
        <v>89512</v>
      </c>
      <c r="H3793">
        <v>1</v>
      </c>
      <c r="I3793">
        <v>283</v>
      </c>
      <c r="J3793">
        <v>0</v>
      </c>
      <c r="K3793" t="str">
        <f t="shared" si="682"/>
        <v>809</v>
      </c>
      <c r="L3793">
        <v>416.01</v>
      </c>
    </row>
    <row r="3794" spans="1:12" x14ac:dyDescent="0.25">
      <c r="A3794" t="str">
        <f t="shared" si="683"/>
        <v>89301000</v>
      </c>
      <c r="B3794" t="str">
        <f t="shared" si="685"/>
        <v>89383000</v>
      </c>
      <c r="C3794" t="str">
        <f t="shared" si="686"/>
        <v>89383002</v>
      </c>
      <c r="D3794">
        <v>89301042</v>
      </c>
      <c r="E3794" t="str">
        <f>"7656205348"</f>
        <v>7656205348</v>
      </c>
      <c r="F3794" s="1">
        <v>45020</v>
      </c>
      <c r="G3794" t="str">
        <f>"89513"</f>
        <v>89513</v>
      </c>
      <c r="H3794">
        <v>1</v>
      </c>
      <c r="I3794">
        <v>378</v>
      </c>
      <c r="J3794">
        <v>0</v>
      </c>
      <c r="K3794" t="str">
        <f t="shared" si="682"/>
        <v>809</v>
      </c>
      <c r="L3794">
        <v>555.66</v>
      </c>
    </row>
    <row r="3795" spans="1:12" x14ac:dyDescent="0.25">
      <c r="A3795" t="str">
        <f t="shared" si="683"/>
        <v>89301000</v>
      </c>
      <c r="B3795" t="str">
        <f t="shared" si="685"/>
        <v>89383000</v>
      </c>
      <c r="C3795" t="str">
        <f t="shared" si="686"/>
        <v>89383002</v>
      </c>
      <c r="D3795">
        <v>89301042</v>
      </c>
      <c r="E3795" t="str">
        <f>"7656205348"</f>
        <v>7656205348</v>
      </c>
      <c r="F3795" s="1">
        <v>45020</v>
      </c>
      <c r="G3795" t="str">
        <f>"89514"</f>
        <v>89514</v>
      </c>
      <c r="H3795">
        <v>1</v>
      </c>
      <c r="I3795">
        <v>378</v>
      </c>
      <c r="J3795">
        <v>0</v>
      </c>
      <c r="K3795" t="str">
        <f t="shared" si="682"/>
        <v>809</v>
      </c>
      <c r="L3795">
        <v>555.66</v>
      </c>
    </row>
    <row r="3796" spans="1:12" x14ac:dyDescent="0.25">
      <c r="A3796" t="str">
        <f t="shared" si="683"/>
        <v>89301000</v>
      </c>
      <c r="B3796" t="str">
        <f t="shared" si="685"/>
        <v>89383000</v>
      </c>
      <c r="C3796" t="str">
        <f t="shared" si="686"/>
        <v>89383002</v>
      </c>
      <c r="D3796">
        <v>89301212</v>
      </c>
      <c r="E3796" t="str">
        <f>"375703412"</f>
        <v>375703412</v>
      </c>
      <c r="F3796" s="1">
        <v>45020</v>
      </c>
      <c r="G3796" t="str">
        <f>"89180"</f>
        <v>89180</v>
      </c>
      <c r="H3796">
        <v>2</v>
      </c>
      <c r="I3796">
        <v>762</v>
      </c>
      <c r="J3796">
        <v>0</v>
      </c>
      <c r="K3796" t="str">
        <f t="shared" si="682"/>
        <v>809</v>
      </c>
      <c r="L3796">
        <v>1120.1400000000001</v>
      </c>
    </row>
    <row r="3797" spans="1:12" x14ac:dyDescent="0.25">
      <c r="A3797" t="str">
        <f t="shared" si="683"/>
        <v>89301000</v>
      </c>
      <c r="B3797" t="str">
        <f t="shared" si="685"/>
        <v>89383000</v>
      </c>
      <c r="C3797" t="str">
        <f t="shared" si="686"/>
        <v>89383002</v>
      </c>
      <c r="D3797">
        <v>89301212</v>
      </c>
      <c r="E3797" t="str">
        <f>"375703412"</f>
        <v>375703412</v>
      </c>
      <c r="F3797" s="1">
        <v>45020</v>
      </c>
      <c r="G3797" t="str">
        <f>"89512"</f>
        <v>89512</v>
      </c>
      <c r="H3797">
        <v>1</v>
      </c>
      <c r="I3797">
        <v>283</v>
      </c>
      <c r="J3797">
        <v>0</v>
      </c>
      <c r="K3797" t="str">
        <f t="shared" si="682"/>
        <v>809</v>
      </c>
      <c r="L3797">
        <v>416.01</v>
      </c>
    </row>
    <row r="3798" spans="1:12" x14ac:dyDescent="0.25">
      <c r="A3798" t="str">
        <f t="shared" si="683"/>
        <v>89301000</v>
      </c>
      <c r="B3798" t="str">
        <f t="shared" si="685"/>
        <v>89383000</v>
      </c>
      <c r="C3798" t="str">
        <f t="shared" si="686"/>
        <v>89383002</v>
      </c>
      <c r="D3798">
        <v>89301212</v>
      </c>
      <c r="E3798" t="str">
        <f>"375703412"</f>
        <v>375703412</v>
      </c>
      <c r="F3798" s="1">
        <v>45020</v>
      </c>
      <c r="G3798" t="str">
        <f>"89513"</f>
        <v>89513</v>
      </c>
      <c r="H3798">
        <v>1</v>
      </c>
      <c r="I3798">
        <v>378</v>
      </c>
      <c r="J3798">
        <v>0</v>
      </c>
      <c r="K3798" t="str">
        <f t="shared" si="682"/>
        <v>809</v>
      </c>
      <c r="L3798">
        <v>555.66</v>
      </c>
    </row>
    <row r="3799" spans="1:12" x14ac:dyDescent="0.25">
      <c r="A3799" t="str">
        <f t="shared" si="683"/>
        <v>89301000</v>
      </c>
      <c r="B3799" t="str">
        <f t="shared" si="685"/>
        <v>89383000</v>
      </c>
      <c r="C3799" t="str">
        <f t="shared" si="686"/>
        <v>89383002</v>
      </c>
      <c r="D3799">
        <v>89301212</v>
      </c>
      <c r="E3799" t="str">
        <f>"375703412"</f>
        <v>375703412</v>
      </c>
      <c r="F3799" s="1">
        <v>45020</v>
      </c>
      <c r="G3799" t="str">
        <f>"89514"</f>
        <v>89514</v>
      </c>
      <c r="H3799">
        <v>1</v>
      </c>
      <c r="I3799">
        <v>378</v>
      </c>
      <c r="J3799">
        <v>0</v>
      </c>
      <c r="K3799" t="str">
        <f t="shared" si="682"/>
        <v>809</v>
      </c>
      <c r="L3799">
        <v>555.66</v>
      </c>
    </row>
    <row r="3800" spans="1:12" x14ac:dyDescent="0.25">
      <c r="A3800" t="str">
        <f t="shared" si="683"/>
        <v>89301000</v>
      </c>
      <c r="B3800" t="str">
        <f t="shared" si="685"/>
        <v>89383000</v>
      </c>
      <c r="C3800" t="str">
        <f t="shared" si="686"/>
        <v>89383002</v>
      </c>
      <c r="D3800">
        <v>89301212</v>
      </c>
      <c r="E3800" t="str">
        <f>"7157235360"</f>
        <v>7157235360</v>
      </c>
      <c r="F3800" s="1">
        <v>45021</v>
      </c>
      <c r="G3800" t="str">
        <f>"89512"</f>
        <v>89512</v>
      </c>
      <c r="H3800">
        <v>1</v>
      </c>
      <c r="I3800">
        <v>283</v>
      </c>
      <c r="J3800">
        <v>0</v>
      </c>
      <c r="K3800" t="str">
        <f t="shared" si="682"/>
        <v>809</v>
      </c>
      <c r="L3800">
        <v>416.01</v>
      </c>
    </row>
    <row r="3801" spans="1:12" x14ac:dyDescent="0.25">
      <c r="A3801" t="str">
        <f t="shared" si="683"/>
        <v>89301000</v>
      </c>
      <c r="B3801" t="str">
        <f t="shared" si="685"/>
        <v>89383000</v>
      </c>
      <c r="C3801" t="str">
        <f t="shared" si="686"/>
        <v>89383002</v>
      </c>
      <c r="D3801">
        <v>89301212</v>
      </c>
      <c r="E3801" t="str">
        <f>"7157235360"</f>
        <v>7157235360</v>
      </c>
      <c r="F3801" s="1">
        <v>45021</v>
      </c>
      <c r="G3801" t="str">
        <f>"89513"</f>
        <v>89513</v>
      </c>
      <c r="H3801">
        <v>1</v>
      </c>
      <c r="I3801">
        <v>378</v>
      </c>
      <c r="J3801">
        <v>0</v>
      </c>
      <c r="K3801" t="str">
        <f t="shared" si="682"/>
        <v>809</v>
      </c>
      <c r="L3801">
        <v>555.66</v>
      </c>
    </row>
    <row r="3802" spans="1:12" x14ac:dyDescent="0.25">
      <c r="A3802" t="str">
        <f t="shared" si="683"/>
        <v>89301000</v>
      </c>
      <c r="B3802" t="str">
        <f t="shared" si="685"/>
        <v>89383000</v>
      </c>
      <c r="C3802" t="str">
        <f t="shared" si="686"/>
        <v>89383002</v>
      </c>
      <c r="D3802">
        <v>89301212</v>
      </c>
      <c r="E3802" t="str">
        <f>"7157235360"</f>
        <v>7157235360</v>
      </c>
      <c r="F3802" s="1">
        <v>45021</v>
      </c>
      <c r="G3802" t="str">
        <f>"89514"</f>
        <v>89514</v>
      </c>
      <c r="H3802">
        <v>1</v>
      </c>
      <c r="I3802">
        <v>378</v>
      </c>
      <c r="J3802">
        <v>0</v>
      </c>
      <c r="K3802" t="str">
        <f t="shared" si="682"/>
        <v>809</v>
      </c>
      <c r="L3802">
        <v>555.66</v>
      </c>
    </row>
    <row r="3803" spans="1:12" x14ac:dyDescent="0.25">
      <c r="A3803" t="str">
        <f t="shared" si="683"/>
        <v>89301000</v>
      </c>
      <c r="B3803" t="str">
        <f t="shared" si="685"/>
        <v>89383000</v>
      </c>
      <c r="C3803" t="str">
        <f t="shared" si="686"/>
        <v>89383002</v>
      </c>
      <c r="D3803">
        <v>89301212</v>
      </c>
      <c r="E3803" t="str">
        <f>"6962025796"</f>
        <v>6962025796</v>
      </c>
      <c r="F3803" s="1">
        <v>45021</v>
      </c>
      <c r="G3803" t="str">
        <f>"89512"</f>
        <v>89512</v>
      </c>
      <c r="H3803">
        <v>1</v>
      </c>
      <c r="I3803">
        <v>283</v>
      </c>
      <c r="J3803">
        <v>0</v>
      </c>
      <c r="K3803" t="str">
        <f t="shared" si="682"/>
        <v>809</v>
      </c>
      <c r="L3803">
        <v>416.01</v>
      </c>
    </row>
    <row r="3804" spans="1:12" x14ac:dyDescent="0.25">
      <c r="A3804" t="str">
        <f t="shared" si="683"/>
        <v>89301000</v>
      </c>
      <c r="B3804" t="str">
        <f t="shared" si="685"/>
        <v>89383000</v>
      </c>
      <c r="C3804" t="str">
        <f t="shared" si="686"/>
        <v>89383002</v>
      </c>
      <c r="D3804">
        <v>89301212</v>
      </c>
      <c r="E3804" t="str">
        <f>"6962025796"</f>
        <v>6962025796</v>
      </c>
      <c r="F3804" s="1">
        <v>45021</v>
      </c>
      <c r="G3804" t="str">
        <f>"89513"</f>
        <v>89513</v>
      </c>
      <c r="H3804">
        <v>1</v>
      </c>
      <c r="I3804">
        <v>378</v>
      </c>
      <c r="J3804">
        <v>0</v>
      </c>
      <c r="K3804" t="str">
        <f t="shared" si="682"/>
        <v>809</v>
      </c>
      <c r="L3804">
        <v>555.66</v>
      </c>
    </row>
    <row r="3805" spans="1:12" x14ac:dyDescent="0.25">
      <c r="A3805" t="str">
        <f t="shared" si="683"/>
        <v>89301000</v>
      </c>
      <c r="B3805" t="str">
        <f t="shared" si="685"/>
        <v>89383000</v>
      </c>
      <c r="C3805" t="str">
        <f t="shared" si="686"/>
        <v>89383002</v>
      </c>
      <c r="D3805">
        <v>89301212</v>
      </c>
      <c r="E3805" t="str">
        <f>"6962025796"</f>
        <v>6962025796</v>
      </c>
      <c r="F3805" s="1">
        <v>45021</v>
      </c>
      <c r="G3805" t="str">
        <f>"89514"</f>
        <v>89514</v>
      </c>
      <c r="H3805">
        <v>1</v>
      </c>
      <c r="I3805">
        <v>378</v>
      </c>
      <c r="J3805">
        <v>0</v>
      </c>
      <c r="K3805" t="str">
        <f t="shared" si="682"/>
        <v>809</v>
      </c>
      <c r="L3805">
        <v>555.66</v>
      </c>
    </row>
    <row r="3806" spans="1:12" x14ac:dyDescent="0.25">
      <c r="A3806" t="str">
        <f t="shared" si="683"/>
        <v>89301000</v>
      </c>
      <c r="B3806" t="str">
        <f t="shared" si="685"/>
        <v>89383000</v>
      </c>
      <c r="C3806" t="str">
        <f t="shared" si="686"/>
        <v>89383002</v>
      </c>
      <c r="D3806">
        <v>89301212</v>
      </c>
      <c r="E3806" t="str">
        <f>"8159155345"</f>
        <v>8159155345</v>
      </c>
      <c r="F3806" s="1">
        <v>45021</v>
      </c>
      <c r="G3806" t="str">
        <f>"89512"</f>
        <v>89512</v>
      </c>
      <c r="H3806">
        <v>1</v>
      </c>
      <c r="I3806">
        <v>283</v>
      </c>
      <c r="J3806">
        <v>0</v>
      </c>
      <c r="K3806" t="str">
        <f t="shared" si="682"/>
        <v>809</v>
      </c>
      <c r="L3806">
        <v>416.01</v>
      </c>
    </row>
    <row r="3807" spans="1:12" x14ac:dyDescent="0.25">
      <c r="A3807" t="str">
        <f t="shared" si="683"/>
        <v>89301000</v>
      </c>
      <c r="B3807" t="str">
        <f t="shared" si="685"/>
        <v>89383000</v>
      </c>
      <c r="C3807" t="str">
        <f t="shared" si="686"/>
        <v>89383002</v>
      </c>
      <c r="D3807">
        <v>89301212</v>
      </c>
      <c r="E3807" t="str">
        <f>"8251115378"</f>
        <v>8251115378</v>
      </c>
      <c r="F3807" s="1">
        <v>45022</v>
      </c>
      <c r="G3807" t="str">
        <f>"89180"</f>
        <v>89180</v>
      </c>
      <c r="H3807">
        <v>2</v>
      </c>
      <c r="I3807">
        <v>762</v>
      </c>
      <c r="J3807">
        <v>0</v>
      </c>
      <c r="K3807" t="str">
        <f t="shared" si="682"/>
        <v>809</v>
      </c>
      <c r="L3807">
        <v>1120.1400000000001</v>
      </c>
    </row>
    <row r="3808" spans="1:12" x14ac:dyDescent="0.25">
      <c r="A3808" t="str">
        <f t="shared" si="683"/>
        <v>89301000</v>
      </c>
      <c r="B3808" t="str">
        <f t="shared" si="685"/>
        <v>89383000</v>
      </c>
      <c r="C3808" t="str">
        <f t="shared" si="686"/>
        <v>89383002</v>
      </c>
      <c r="D3808">
        <v>89301212</v>
      </c>
      <c r="E3808" t="str">
        <f>"8251115378"</f>
        <v>8251115378</v>
      </c>
      <c r="F3808" s="1">
        <v>45022</v>
      </c>
      <c r="G3808" t="str">
        <f>"89512"</f>
        <v>89512</v>
      </c>
      <c r="H3808">
        <v>1</v>
      </c>
      <c r="I3808">
        <v>283</v>
      </c>
      <c r="J3808">
        <v>0</v>
      </c>
      <c r="K3808" t="str">
        <f t="shared" si="682"/>
        <v>809</v>
      </c>
      <c r="L3808">
        <v>416.01</v>
      </c>
    </row>
    <row r="3809" spans="1:12" x14ac:dyDescent="0.25">
      <c r="A3809" t="str">
        <f t="shared" si="683"/>
        <v>89301000</v>
      </c>
      <c r="B3809" t="str">
        <f t="shared" si="685"/>
        <v>89383000</v>
      </c>
      <c r="C3809" t="str">
        <f t="shared" si="686"/>
        <v>89383002</v>
      </c>
      <c r="D3809">
        <v>89301212</v>
      </c>
      <c r="E3809" t="str">
        <f>"8251115378"</f>
        <v>8251115378</v>
      </c>
      <c r="F3809" s="1">
        <v>45022</v>
      </c>
      <c r="G3809" t="str">
        <f>"89513"</f>
        <v>89513</v>
      </c>
      <c r="H3809">
        <v>1</v>
      </c>
      <c r="I3809">
        <v>378</v>
      </c>
      <c r="J3809">
        <v>0</v>
      </c>
      <c r="K3809" t="str">
        <f t="shared" si="682"/>
        <v>809</v>
      </c>
      <c r="L3809">
        <v>555.66</v>
      </c>
    </row>
    <row r="3810" spans="1:12" x14ac:dyDescent="0.25">
      <c r="A3810" t="str">
        <f t="shared" si="683"/>
        <v>89301000</v>
      </c>
      <c r="B3810" t="str">
        <f t="shared" si="685"/>
        <v>89383000</v>
      </c>
      <c r="C3810" t="str">
        <f t="shared" si="686"/>
        <v>89383002</v>
      </c>
      <c r="D3810">
        <v>89301212</v>
      </c>
      <c r="E3810" t="str">
        <f>"8251115378"</f>
        <v>8251115378</v>
      </c>
      <c r="F3810" s="1">
        <v>45022</v>
      </c>
      <c r="G3810" t="str">
        <f>"89514"</f>
        <v>89514</v>
      </c>
      <c r="H3810">
        <v>1</v>
      </c>
      <c r="I3810">
        <v>378</v>
      </c>
      <c r="J3810">
        <v>0</v>
      </c>
      <c r="K3810" t="str">
        <f t="shared" si="682"/>
        <v>809</v>
      </c>
      <c r="L3810">
        <v>555.66</v>
      </c>
    </row>
    <row r="3811" spans="1:12" x14ac:dyDescent="0.25">
      <c r="A3811" t="str">
        <f t="shared" si="683"/>
        <v>89301000</v>
      </c>
      <c r="B3811" t="str">
        <f t="shared" si="685"/>
        <v>89383000</v>
      </c>
      <c r="C3811" t="str">
        <f t="shared" si="686"/>
        <v>89383002</v>
      </c>
      <c r="D3811">
        <v>89301045</v>
      </c>
      <c r="E3811" t="str">
        <f>"5852182017"</f>
        <v>5852182017</v>
      </c>
      <c r="F3811" s="1">
        <v>45022</v>
      </c>
      <c r="G3811" t="str">
        <f>"89513"</f>
        <v>89513</v>
      </c>
      <c r="H3811">
        <v>1</v>
      </c>
      <c r="I3811">
        <v>378</v>
      </c>
      <c r="J3811">
        <v>0</v>
      </c>
      <c r="K3811" t="str">
        <f t="shared" si="682"/>
        <v>809</v>
      </c>
      <c r="L3811">
        <v>555.66</v>
      </c>
    </row>
    <row r="3812" spans="1:12" x14ac:dyDescent="0.25">
      <c r="A3812" t="str">
        <f t="shared" si="683"/>
        <v>89301000</v>
      </c>
      <c r="B3812" t="str">
        <f t="shared" si="685"/>
        <v>89383000</v>
      </c>
      <c r="C3812" t="str">
        <f t="shared" si="686"/>
        <v>89383002</v>
      </c>
      <c r="D3812">
        <v>89301045</v>
      </c>
      <c r="E3812" t="str">
        <f>"5852182017"</f>
        <v>5852182017</v>
      </c>
      <c r="F3812" s="1">
        <v>45022</v>
      </c>
      <c r="G3812" t="str">
        <f>"89514"</f>
        <v>89514</v>
      </c>
      <c r="H3812">
        <v>1</v>
      </c>
      <c r="I3812">
        <v>378</v>
      </c>
      <c r="J3812">
        <v>0</v>
      </c>
      <c r="K3812" t="str">
        <f t="shared" si="682"/>
        <v>809</v>
      </c>
      <c r="L3812">
        <v>555.66</v>
      </c>
    </row>
    <row r="3813" spans="1:12" x14ac:dyDescent="0.25">
      <c r="A3813" t="str">
        <f t="shared" si="683"/>
        <v>89301000</v>
      </c>
      <c r="B3813" t="str">
        <f t="shared" si="685"/>
        <v>89383000</v>
      </c>
      <c r="C3813" t="str">
        <f t="shared" si="686"/>
        <v>89383002</v>
      </c>
      <c r="D3813">
        <v>89301212</v>
      </c>
      <c r="E3813" t="str">
        <f>"7454275312"</f>
        <v>7454275312</v>
      </c>
      <c r="F3813" s="1">
        <v>45027</v>
      </c>
      <c r="G3813" t="str">
        <f>"89180"</f>
        <v>89180</v>
      </c>
      <c r="H3813">
        <v>2</v>
      </c>
      <c r="I3813">
        <v>762</v>
      </c>
      <c r="J3813">
        <v>0</v>
      </c>
      <c r="K3813" t="str">
        <f t="shared" si="682"/>
        <v>809</v>
      </c>
      <c r="L3813">
        <v>1120.1400000000001</v>
      </c>
    </row>
    <row r="3814" spans="1:12" x14ac:dyDescent="0.25">
      <c r="A3814" t="str">
        <f t="shared" si="683"/>
        <v>89301000</v>
      </c>
      <c r="B3814" t="str">
        <f t="shared" si="685"/>
        <v>89383000</v>
      </c>
      <c r="C3814" t="str">
        <f t="shared" si="686"/>
        <v>89383002</v>
      </c>
      <c r="D3814">
        <v>89301212</v>
      </c>
      <c r="E3814" t="str">
        <f>"7454275312"</f>
        <v>7454275312</v>
      </c>
      <c r="F3814" s="1">
        <v>45027</v>
      </c>
      <c r="G3814" t="str">
        <f>"89512"</f>
        <v>89512</v>
      </c>
      <c r="H3814">
        <v>1</v>
      </c>
      <c r="I3814">
        <v>283</v>
      </c>
      <c r="J3814">
        <v>0</v>
      </c>
      <c r="K3814" t="str">
        <f t="shared" si="682"/>
        <v>809</v>
      </c>
      <c r="L3814">
        <v>416.01</v>
      </c>
    </row>
    <row r="3815" spans="1:12" x14ac:dyDescent="0.25">
      <c r="A3815" t="str">
        <f t="shared" si="683"/>
        <v>89301000</v>
      </c>
      <c r="B3815" t="str">
        <f t="shared" si="685"/>
        <v>89383000</v>
      </c>
      <c r="C3815" t="str">
        <f t="shared" si="686"/>
        <v>89383002</v>
      </c>
      <c r="D3815">
        <v>89301212</v>
      </c>
      <c r="E3815" t="str">
        <f>"5554041933"</f>
        <v>5554041933</v>
      </c>
      <c r="F3815" s="1">
        <v>45027</v>
      </c>
      <c r="G3815" t="str">
        <f>"89513"</f>
        <v>89513</v>
      </c>
      <c r="H3815">
        <v>1</v>
      </c>
      <c r="I3815">
        <v>378</v>
      </c>
      <c r="J3815">
        <v>0</v>
      </c>
      <c r="K3815" t="str">
        <f t="shared" si="682"/>
        <v>809</v>
      </c>
      <c r="L3815">
        <v>555.66</v>
      </c>
    </row>
    <row r="3816" spans="1:12" x14ac:dyDescent="0.25">
      <c r="A3816" t="str">
        <f t="shared" si="683"/>
        <v>89301000</v>
      </c>
      <c r="B3816" t="str">
        <f t="shared" si="685"/>
        <v>89383000</v>
      </c>
      <c r="C3816" t="str">
        <f t="shared" si="686"/>
        <v>89383002</v>
      </c>
      <c r="D3816">
        <v>89301212</v>
      </c>
      <c r="E3816" t="str">
        <f>"5554041933"</f>
        <v>5554041933</v>
      </c>
      <c r="F3816" s="1">
        <v>45027</v>
      </c>
      <c r="G3816" t="str">
        <f>"89514"</f>
        <v>89514</v>
      </c>
      <c r="H3816">
        <v>1</v>
      </c>
      <c r="I3816">
        <v>378</v>
      </c>
      <c r="J3816">
        <v>0</v>
      </c>
      <c r="K3816" t="str">
        <f t="shared" si="682"/>
        <v>809</v>
      </c>
      <c r="L3816">
        <v>555.66</v>
      </c>
    </row>
    <row r="3817" spans="1:12" x14ac:dyDescent="0.25">
      <c r="A3817" t="str">
        <f t="shared" si="683"/>
        <v>89301000</v>
      </c>
      <c r="B3817" t="str">
        <f t="shared" si="685"/>
        <v>89383000</v>
      </c>
      <c r="C3817" t="str">
        <f t="shared" si="686"/>
        <v>89383002</v>
      </c>
      <c r="D3817">
        <v>89301045</v>
      </c>
      <c r="E3817" t="str">
        <f t="shared" ref="E3817:E3822" si="687">"6562310700"</f>
        <v>6562310700</v>
      </c>
      <c r="F3817" s="1">
        <v>45028</v>
      </c>
      <c r="G3817" t="str">
        <f>"89313"</f>
        <v>89313</v>
      </c>
      <c r="H3817">
        <v>1</v>
      </c>
      <c r="I3817">
        <v>420</v>
      </c>
      <c r="J3817">
        <v>0</v>
      </c>
      <c r="K3817" t="str">
        <f t="shared" si="682"/>
        <v>809</v>
      </c>
      <c r="L3817">
        <v>617.4</v>
      </c>
    </row>
    <row r="3818" spans="1:12" x14ac:dyDescent="0.25">
      <c r="A3818" t="str">
        <f t="shared" si="683"/>
        <v>89301000</v>
      </c>
      <c r="B3818" t="str">
        <f t="shared" si="685"/>
        <v>89383000</v>
      </c>
      <c r="C3818" t="str">
        <f t="shared" si="686"/>
        <v>89383002</v>
      </c>
      <c r="D3818">
        <v>89301045</v>
      </c>
      <c r="E3818" t="str">
        <f t="shared" si="687"/>
        <v>6562310700</v>
      </c>
      <c r="F3818" s="1">
        <v>45028</v>
      </c>
      <c r="G3818" t="str">
        <f>"09233"</f>
        <v>09233</v>
      </c>
      <c r="H3818">
        <v>1</v>
      </c>
      <c r="I3818">
        <v>102</v>
      </c>
      <c r="J3818">
        <v>0</v>
      </c>
      <c r="K3818" t="str">
        <f t="shared" si="682"/>
        <v>809</v>
      </c>
      <c r="L3818">
        <v>149.94</v>
      </c>
    </row>
    <row r="3819" spans="1:12" x14ac:dyDescent="0.25">
      <c r="A3819" t="str">
        <f t="shared" si="683"/>
        <v>89301000</v>
      </c>
      <c r="B3819" t="str">
        <f t="shared" si="685"/>
        <v>89383000</v>
      </c>
      <c r="C3819" t="str">
        <f t="shared" si="686"/>
        <v>89383002</v>
      </c>
      <c r="D3819">
        <v>89301045</v>
      </c>
      <c r="E3819" t="str">
        <f t="shared" si="687"/>
        <v>6562310700</v>
      </c>
      <c r="F3819" s="1">
        <v>45028</v>
      </c>
      <c r="G3819" t="str">
        <f>"89180"</f>
        <v>89180</v>
      </c>
      <c r="H3819">
        <v>1</v>
      </c>
      <c r="I3819">
        <v>381</v>
      </c>
      <c r="J3819">
        <v>0</v>
      </c>
      <c r="K3819" t="str">
        <f t="shared" si="682"/>
        <v>809</v>
      </c>
      <c r="L3819">
        <v>560.07000000000005</v>
      </c>
    </row>
    <row r="3820" spans="1:12" x14ac:dyDescent="0.25">
      <c r="A3820" t="str">
        <f t="shared" si="683"/>
        <v>89301000</v>
      </c>
      <c r="B3820" t="str">
        <f t="shared" ref="B3820:B3851" si="688">"89383000"</f>
        <v>89383000</v>
      </c>
      <c r="C3820" t="str">
        <f t="shared" ref="C3820:C3851" si="689">"89383002"</f>
        <v>89383002</v>
      </c>
      <c r="D3820">
        <v>89301045</v>
      </c>
      <c r="E3820" t="str">
        <f t="shared" si="687"/>
        <v>6562310700</v>
      </c>
      <c r="F3820" s="1">
        <v>45028</v>
      </c>
      <c r="G3820" t="str">
        <f>"89512"</f>
        <v>89512</v>
      </c>
      <c r="H3820">
        <v>1</v>
      </c>
      <c r="I3820">
        <v>283</v>
      </c>
      <c r="J3820">
        <v>0</v>
      </c>
      <c r="K3820" t="str">
        <f t="shared" si="682"/>
        <v>809</v>
      </c>
      <c r="L3820">
        <v>416.01</v>
      </c>
    </row>
    <row r="3821" spans="1:12" x14ac:dyDescent="0.25">
      <c r="A3821" t="str">
        <f t="shared" si="683"/>
        <v>89301000</v>
      </c>
      <c r="B3821" t="str">
        <f t="shared" si="688"/>
        <v>89383000</v>
      </c>
      <c r="C3821" t="str">
        <f t="shared" si="689"/>
        <v>89383002</v>
      </c>
      <c r="D3821">
        <v>89301045</v>
      </c>
      <c r="E3821" t="str">
        <f t="shared" si="687"/>
        <v>6562310700</v>
      </c>
      <c r="F3821" s="1">
        <v>45028</v>
      </c>
      <c r="G3821" t="str">
        <f>"0225891"</f>
        <v>0225891</v>
      </c>
      <c r="H3821">
        <v>0.05</v>
      </c>
      <c r="J3821">
        <v>18.39</v>
      </c>
      <c r="K3821" t="str">
        <f t="shared" si="682"/>
        <v>809</v>
      </c>
      <c r="L3821">
        <v>18.39</v>
      </c>
    </row>
    <row r="3822" spans="1:12" x14ac:dyDescent="0.25">
      <c r="A3822" t="str">
        <f t="shared" si="683"/>
        <v>89301000</v>
      </c>
      <c r="B3822" t="str">
        <f t="shared" si="688"/>
        <v>89383000</v>
      </c>
      <c r="C3822" t="str">
        <f t="shared" si="689"/>
        <v>89383002</v>
      </c>
      <c r="D3822">
        <v>89301045</v>
      </c>
      <c r="E3822" t="str">
        <f t="shared" si="687"/>
        <v>6562310700</v>
      </c>
      <c r="F3822" s="1">
        <v>45028</v>
      </c>
      <c r="G3822" t="str">
        <f>"0142906"</f>
        <v>0142906</v>
      </c>
      <c r="H3822">
        <v>1</v>
      </c>
      <c r="J3822">
        <v>6990</v>
      </c>
      <c r="K3822" t="str">
        <f t="shared" si="682"/>
        <v>809</v>
      </c>
      <c r="L3822">
        <v>6990</v>
      </c>
    </row>
    <row r="3823" spans="1:12" x14ac:dyDescent="0.25">
      <c r="A3823" t="str">
        <f t="shared" si="683"/>
        <v>89301000</v>
      </c>
      <c r="B3823" t="str">
        <f t="shared" si="688"/>
        <v>89383000</v>
      </c>
      <c r="C3823" t="str">
        <f t="shared" si="689"/>
        <v>89383002</v>
      </c>
      <c r="D3823">
        <v>89301212</v>
      </c>
      <c r="E3823" t="str">
        <f t="shared" ref="E3823:E3828" si="690">"8354235780"</f>
        <v>8354235780</v>
      </c>
      <c r="F3823" s="1">
        <v>45021</v>
      </c>
      <c r="G3823" t="str">
        <f>"89313"</f>
        <v>89313</v>
      </c>
      <c r="H3823">
        <v>1</v>
      </c>
      <c r="I3823">
        <v>420</v>
      </c>
      <c r="J3823">
        <v>0</v>
      </c>
      <c r="K3823" t="str">
        <f t="shared" si="682"/>
        <v>809</v>
      </c>
      <c r="L3823">
        <v>617.4</v>
      </c>
    </row>
    <row r="3824" spans="1:12" x14ac:dyDescent="0.25">
      <c r="A3824" t="str">
        <f t="shared" si="683"/>
        <v>89301000</v>
      </c>
      <c r="B3824" t="str">
        <f t="shared" si="688"/>
        <v>89383000</v>
      </c>
      <c r="C3824" t="str">
        <f t="shared" si="689"/>
        <v>89383002</v>
      </c>
      <c r="D3824">
        <v>89301212</v>
      </c>
      <c r="E3824" t="str">
        <f t="shared" si="690"/>
        <v>8354235780</v>
      </c>
      <c r="F3824" s="1">
        <v>45021</v>
      </c>
      <c r="G3824" t="str">
        <f>"09233"</f>
        <v>09233</v>
      </c>
      <c r="H3824">
        <v>1</v>
      </c>
      <c r="I3824">
        <v>102</v>
      </c>
      <c r="J3824">
        <v>0</v>
      </c>
      <c r="K3824" t="str">
        <f t="shared" si="682"/>
        <v>809</v>
      </c>
      <c r="L3824">
        <v>149.94</v>
      </c>
    </row>
    <row r="3825" spans="1:12" x14ac:dyDescent="0.25">
      <c r="A3825" t="str">
        <f t="shared" si="683"/>
        <v>89301000</v>
      </c>
      <c r="B3825" t="str">
        <f t="shared" si="688"/>
        <v>89383000</v>
      </c>
      <c r="C3825" t="str">
        <f t="shared" si="689"/>
        <v>89383002</v>
      </c>
      <c r="D3825">
        <v>89301212</v>
      </c>
      <c r="E3825" t="str">
        <f t="shared" si="690"/>
        <v>8354235780</v>
      </c>
      <c r="F3825" s="1">
        <v>45021</v>
      </c>
      <c r="G3825" t="str">
        <f>"89512"</f>
        <v>89512</v>
      </c>
      <c r="H3825">
        <v>1</v>
      </c>
      <c r="I3825">
        <v>283</v>
      </c>
      <c r="J3825">
        <v>0</v>
      </c>
      <c r="K3825" t="str">
        <f t="shared" si="682"/>
        <v>809</v>
      </c>
      <c r="L3825">
        <v>416.01</v>
      </c>
    </row>
    <row r="3826" spans="1:12" x14ac:dyDescent="0.25">
      <c r="A3826" t="str">
        <f t="shared" si="683"/>
        <v>89301000</v>
      </c>
      <c r="B3826" t="str">
        <f t="shared" si="688"/>
        <v>89383000</v>
      </c>
      <c r="C3826" t="str">
        <f t="shared" si="689"/>
        <v>89383002</v>
      </c>
      <c r="D3826">
        <v>89301212</v>
      </c>
      <c r="E3826" t="str">
        <f t="shared" si="690"/>
        <v>8354235780</v>
      </c>
      <c r="F3826" s="1">
        <v>45021</v>
      </c>
      <c r="G3826" t="str">
        <f>"89180"</f>
        <v>89180</v>
      </c>
      <c r="H3826">
        <v>1</v>
      </c>
      <c r="I3826">
        <v>381</v>
      </c>
      <c r="J3826">
        <v>0</v>
      </c>
      <c r="K3826" t="str">
        <f t="shared" si="682"/>
        <v>809</v>
      </c>
      <c r="L3826">
        <v>560.07000000000005</v>
      </c>
    </row>
    <row r="3827" spans="1:12" x14ac:dyDescent="0.25">
      <c r="A3827" t="str">
        <f t="shared" si="683"/>
        <v>89301000</v>
      </c>
      <c r="B3827" t="str">
        <f t="shared" si="688"/>
        <v>89383000</v>
      </c>
      <c r="C3827" t="str">
        <f t="shared" si="689"/>
        <v>89383002</v>
      </c>
      <c r="D3827">
        <v>89301212</v>
      </c>
      <c r="E3827" t="str">
        <f t="shared" si="690"/>
        <v>8354235780</v>
      </c>
      <c r="F3827" s="1">
        <v>45021</v>
      </c>
      <c r="G3827" t="str">
        <f>"0225891"</f>
        <v>0225891</v>
      </c>
      <c r="H3827">
        <v>0.02</v>
      </c>
      <c r="J3827">
        <v>7.35</v>
      </c>
      <c r="K3827" t="str">
        <f t="shared" si="682"/>
        <v>809</v>
      </c>
      <c r="L3827">
        <v>7.35</v>
      </c>
    </row>
    <row r="3828" spans="1:12" x14ac:dyDescent="0.25">
      <c r="A3828" t="str">
        <f t="shared" si="683"/>
        <v>89301000</v>
      </c>
      <c r="B3828" t="str">
        <f t="shared" si="688"/>
        <v>89383000</v>
      </c>
      <c r="C3828" t="str">
        <f t="shared" si="689"/>
        <v>89383002</v>
      </c>
      <c r="D3828">
        <v>89301212</v>
      </c>
      <c r="E3828" t="str">
        <f t="shared" si="690"/>
        <v>8354235780</v>
      </c>
      <c r="F3828" s="1">
        <v>45021</v>
      </c>
      <c r="G3828" t="str">
        <f>"0142906"</f>
        <v>0142906</v>
      </c>
      <c r="H3828">
        <v>1</v>
      </c>
      <c r="J3828">
        <v>6990</v>
      </c>
      <c r="K3828" t="str">
        <f t="shared" si="682"/>
        <v>809</v>
      </c>
      <c r="L3828">
        <v>6990</v>
      </c>
    </row>
    <row r="3829" spans="1:12" x14ac:dyDescent="0.25">
      <c r="A3829" t="str">
        <f t="shared" si="683"/>
        <v>89301000</v>
      </c>
      <c r="B3829" t="str">
        <f t="shared" si="688"/>
        <v>89383000</v>
      </c>
      <c r="C3829" t="str">
        <f t="shared" si="689"/>
        <v>89383002</v>
      </c>
      <c r="D3829">
        <v>89301212</v>
      </c>
      <c r="E3829" t="str">
        <f>"6255100148"</f>
        <v>6255100148</v>
      </c>
      <c r="F3829" s="1">
        <v>45028</v>
      </c>
      <c r="G3829" t="str">
        <f>"89180"</f>
        <v>89180</v>
      </c>
      <c r="H3829">
        <v>2</v>
      </c>
      <c r="I3829">
        <v>762</v>
      </c>
      <c r="J3829">
        <v>0</v>
      </c>
      <c r="K3829" t="str">
        <f t="shared" si="682"/>
        <v>809</v>
      </c>
      <c r="L3829">
        <v>1120.1400000000001</v>
      </c>
    </row>
    <row r="3830" spans="1:12" x14ac:dyDescent="0.25">
      <c r="A3830" t="str">
        <f t="shared" si="683"/>
        <v>89301000</v>
      </c>
      <c r="B3830" t="str">
        <f t="shared" si="688"/>
        <v>89383000</v>
      </c>
      <c r="C3830" t="str">
        <f t="shared" si="689"/>
        <v>89383002</v>
      </c>
      <c r="D3830">
        <v>89301212</v>
      </c>
      <c r="E3830" t="str">
        <f>"6255100148"</f>
        <v>6255100148</v>
      </c>
      <c r="F3830" s="1">
        <v>45028</v>
      </c>
      <c r="G3830" t="str">
        <f>"89512"</f>
        <v>89512</v>
      </c>
      <c r="H3830">
        <v>1</v>
      </c>
      <c r="I3830">
        <v>283</v>
      </c>
      <c r="J3830">
        <v>0</v>
      </c>
      <c r="K3830" t="str">
        <f t="shared" si="682"/>
        <v>809</v>
      </c>
      <c r="L3830">
        <v>416.01</v>
      </c>
    </row>
    <row r="3831" spans="1:12" x14ac:dyDescent="0.25">
      <c r="A3831" t="str">
        <f t="shared" si="683"/>
        <v>89301000</v>
      </c>
      <c r="B3831" t="str">
        <f t="shared" si="688"/>
        <v>89383000</v>
      </c>
      <c r="C3831" t="str">
        <f t="shared" si="689"/>
        <v>89383002</v>
      </c>
      <c r="D3831">
        <v>89301212</v>
      </c>
      <c r="E3831" t="str">
        <f>"6255100148"</f>
        <v>6255100148</v>
      </c>
      <c r="F3831" s="1">
        <v>45028</v>
      </c>
      <c r="G3831" t="str">
        <f>"89513"</f>
        <v>89513</v>
      </c>
      <c r="H3831">
        <v>1</v>
      </c>
      <c r="I3831">
        <v>378</v>
      </c>
      <c r="J3831">
        <v>0</v>
      </c>
      <c r="K3831" t="str">
        <f t="shared" si="682"/>
        <v>809</v>
      </c>
      <c r="L3831">
        <v>555.66</v>
      </c>
    </row>
    <row r="3832" spans="1:12" x14ac:dyDescent="0.25">
      <c r="A3832" t="str">
        <f t="shared" si="683"/>
        <v>89301000</v>
      </c>
      <c r="B3832" t="str">
        <f t="shared" si="688"/>
        <v>89383000</v>
      </c>
      <c r="C3832" t="str">
        <f t="shared" si="689"/>
        <v>89383002</v>
      </c>
      <c r="D3832">
        <v>89301212</v>
      </c>
      <c r="E3832" t="str">
        <f>"6255100148"</f>
        <v>6255100148</v>
      </c>
      <c r="F3832" s="1">
        <v>45028</v>
      </c>
      <c r="G3832" t="str">
        <f>"89514"</f>
        <v>89514</v>
      </c>
      <c r="H3832">
        <v>1</v>
      </c>
      <c r="I3832">
        <v>378</v>
      </c>
      <c r="J3832">
        <v>0</v>
      </c>
      <c r="K3832" t="str">
        <f t="shared" si="682"/>
        <v>809</v>
      </c>
      <c r="L3832">
        <v>555.66</v>
      </c>
    </row>
    <row r="3833" spans="1:12" x14ac:dyDescent="0.25">
      <c r="A3833" t="str">
        <f t="shared" si="683"/>
        <v>89301000</v>
      </c>
      <c r="B3833" t="str">
        <f t="shared" si="688"/>
        <v>89383000</v>
      </c>
      <c r="C3833" t="str">
        <f t="shared" si="689"/>
        <v>89383002</v>
      </c>
      <c r="D3833">
        <v>89301212</v>
      </c>
      <c r="E3833" t="str">
        <f>"495412037"</f>
        <v>495412037</v>
      </c>
      <c r="F3833" s="1">
        <v>45030</v>
      </c>
      <c r="G3833" t="str">
        <f>"89180"</f>
        <v>89180</v>
      </c>
      <c r="H3833">
        <v>1</v>
      </c>
      <c r="I3833">
        <v>381</v>
      </c>
      <c r="J3833">
        <v>0</v>
      </c>
      <c r="K3833" t="str">
        <f t="shared" si="682"/>
        <v>809</v>
      </c>
      <c r="L3833">
        <v>560.07000000000005</v>
      </c>
    </row>
    <row r="3834" spans="1:12" x14ac:dyDescent="0.25">
      <c r="A3834" t="str">
        <f t="shared" si="683"/>
        <v>89301000</v>
      </c>
      <c r="B3834" t="str">
        <f t="shared" si="688"/>
        <v>89383000</v>
      </c>
      <c r="C3834" t="str">
        <f t="shared" si="689"/>
        <v>89383002</v>
      </c>
      <c r="D3834">
        <v>89301212</v>
      </c>
      <c r="E3834" t="str">
        <f>"495412037"</f>
        <v>495412037</v>
      </c>
      <c r="F3834" s="1">
        <v>45030</v>
      </c>
      <c r="G3834" t="str">
        <f>"89512"</f>
        <v>89512</v>
      </c>
      <c r="H3834">
        <v>1</v>
      </c>
      <c r="I3834">
        <v>283</v>
      </c>
      <c r="J3834">
        <v>0</v>
      </c>
      <c r="K3834" t="str">
        <f t="shared" si="682"/>
        <v>809</v>
      </c>
      <c r="L3834">
        <v>416.01</v>
      </c>
    </row>
    <row r="3835" spans="1:12" x14ac:dyDescent="0.25">
      <c r="A3835" t="str">
        <f t="shared" si="683"/>
        <v>89301000</v>
      </c>
      <c r="B3835" t="str">
        <f t="shared" si="688"/>
        <v>89383000</v>
      </c>
      <c r="C3835" t="str">
        <f t="shared" si="689"/>
        <v>89383002</v>
      </c>
      <c r="D3835">
        <v>89301212</v>
      </c>
      <c r="E3835" t="str">
        <f>"495412037"</f>
        <v>495412037</v>
      </c>
      <c r="F3835" s="1">
        <v>45030</v>
      </c>
      <c r="G3835" t="str">
        <f>"89513"</f>
        <v>89513</v>
      </c>
      <c r="H3835">
        <v>1</v>
      </c>
      <c r="I3835">
        <v>378</v>
      </c>
      <c r="J3835">
        <v>0</v>
      </c>
      <c r="K3835" t="str">
        <f t="shared" si="682"/>
        <v>809</v>
      </c>
      <c r="L3835">
        <v>555.66</v>
      </c>
    </row>
    <row r="3836" spans="1:12" x14ac:dyDescent="0.25">
      <c r="A3836" t="str">
        <f t="shared" si="683"/>
        <v>89301000</v>
      </c>
      <c r="B3836" t="str">
        <f t="shared" si="688"/>
        <v>89383000</v>
      </c>
      <c r="C3836" t="str">
        <f t="shared" si="689"/>
        <v>89383002</v>
      </c>
      <c r="D3836">
        <v>89301212</v>
      </c>
      <c r="E3836" t="str">
        <f>"495412037"</f>
        <v>495412037</v>
      </c>
      <c r="F3836" s="1">
        <v>45030</v>
      </c>
      <c r="G3836" t="str">
        <f>"89514"</f>
        <v>89514</v>
      </c>
      <c r="H3836">
        <v>1</v>
      </c>
      <c r="I3836">
        <v>378</v>
      </c>
      <c r="J3836">
        <v>0</v>
      </c>
      <c r="K3836" t="str">
        <f t="shared" si="682"/>
        <v>809</v>
      </c>
      <c r="L3836">
        <v>555.66</v>
      </c>
    </row>
    <row r="3837" spans="1:12" x14ac:dyDescent="0.25">
      <c r="A3837" t="str">
        <f t="shared" si="683"/>
        <v>89301000</v>
      </c>
      <c r="B3837" t="str">
        <f t="shared" si="688"/>
        <v>89383000</v>
      </c>
      <c r="C3837" t="str">
        <f t="shared" si="689"/>
        <v>89383002</v>
      </c>
      <c r="D3837">
        <v>89301045</v>
      </c>
      <c r="E3837" t="str">
        <f t="shared" ref="E3837:E3842" si="691">"8661226310"</f>
        <v>8661226310</v>
      </c>
      <c r="F3837" s="1">
        <v>45033</v>
      </c>
      <c r="G3837" t="str">
        <f>"89313"</f>
        <v>89313</v>
      </c>
      <c r="H3837">
        <v>1</v>
      </c>
      <c r="I3837">
        <v>420</v>
      </c>
      <c r="J3837">
        <v>0</v>
      </c>
      <c r="K3837" t="str">
        <f t="shared" si="682"/>
        <v>809</v>
      </c>
      <c r="L3837">
        <v>617.4</v>
      </c>
    </row>
    <row r="3838" spans="1:12" x14ac:dyDescent="0.25">
      <c r="A3838" t="str">
        <f t="shared" si="683"/>
        <v>89301000</v>
      </c>
      <c r="B3838" t="str">
        <f t="shared" si="688"/>
        <v>89383000</v>
      </c>
      <c r="C3838" t="str">
        <f t="shared" si="689"/>
        <v>89383002</v>
      </c>
      <c r="D3838">
        <v>89301045</v>
      </c>
      <c r="E3838" t="str">
        <f t="shared" si="691"/>
        <v>8661226310</v>
      </c>
      <c r="F3838" s="1">
        <v>45033</v>
      </c>
      <c r="G3838" t="str">
        <f>"09233"</f>
        <v>09233</v>
      </c>
      <c r="H3838">
        <v>1</v>
      </c>
      <c r="I3838">
        <v>102</v>
      </c>
      <c r="J3838">
        <v>0</v>
      </c>
      <c r="K3838" t="str">
        <f t="shared" si="682"/>
        <v>809</v>
      </c>
      <c r="L3838">
        <v>149.94</v>
      </c>
    </row>
    <row r="3839" spans="1:12" x14ac:dyDescent="0.25">
      <c r="A3839" t="str">
        <f t="shared" si="683"/>
        <v>89301000</v>
      </c>
      <c r="B3839" t="str">
        <f t="shared" si="688"/>
        <v>89383000</v>
      </c>
      <c r="C3839" t="str">
        <f t="shared" si="689"/>
        <v>89383002</v>
      </c>
      <c r="D3839">
        <v>89301045</v>
      </c>
      <c r="E3839" t="str">
        <f t="shared" si="691"/>
        <v>8661226310</v>
      </c>
      <c r="F3839" s="1">
        <v>45033</v>
      </c>
      <c r="G3839" t="str">
        <f>"89515"</f>
        <v>89515</v>
      </c>
      <c r="H3839">
        <v>1</v>
      </c>
      <c r="I3839">
        <v>347</v>
      </c>
      <c r="J3839">
        <v>0</v>
      </c>
      <c r="K3839" t="str">
        <f t="shared" si="682"/>
        <v>809</v>
      </c>
      <c r="L3839">
        <v>510.09</v>
      </c>
    </row>
    <row r="3840" spans="1:12" x14ac:dyDescent="0.25">
      <c r="A3840" t="str">
        <f t="shared" si="683"/>
        <v>89301000</v>
      </c>
      <c r="B3840" t="str">
        <f t="shared" si="688"/>
        <v>89383000</v>
      </c>
      <c r="C3840" t="str">
        <f t="shared" si="689"/>
        <v>89383002</v>
      </c>
      <c r="D3840">
        <v>89301045</v>
      </c>
      <c r="E3840" t="str">
        <f t="shared" si="691"/>
        <v>8661226310</v>
      </c>
      <c r="F3840" s="1">
        <v>45033</v>
      </c>
      <c r="G3840" t="str">
        <f>"89512"</f>
        <v>89512</v>
      </c>
      <c r="H3840">
        <v>1</v>
      </c>
      <c r="I3840">
        <v>283</v>
      </c>
      <c r="J3840">
        <v>0</v>
      </c>
      <c r="K3840" t="str">
        <f t="shared" si="682"/>
        <v>809</v>
      </c>
      <c r="L3840">
        <v>416.01</v>
      </c>
    </row>
    <row r="3841" spans="1:12" x14ac:dyDescent="0.25">
      <c r="A3841" t="str">
        <f t="shared" si="683"/>
        <v>89301000</v>
      </c>
      <c r="B3841" t="str">
        <f t="shared" si="688"/>
        <v>89383000</v>
      </c>
      <c r="C3841" t="str">
        <f t="shared" si="689"/>
        <v>89383002</v>
      </c>
      <c r="D3841">
        <v>89301045</v>
      </c>
      <c r="E3841" t="str">
        <f t="shared" si="691"/>
        <v>8661226310</v>
      </c>
      <c r="F3841" s="1">
        <v>45033</v>
      </c>
      <c r="G3841" t="str">
        <f>"0093109"</f>
        <v>0093109</v>
      </c>
      <c r="H3841">
        <v>0.05</v>
      </c>
      <c r="J3841">
        <v>13.04</v>
      </c>
      <c r="K3841" t="str">
        <f t="shared" ref="K3841:K3904" si="692">"809"</f>
        <v>809</v>
      </c>
      <c r="L3841">
        <v>13.04</v>
      </c>
    </row>
    <row r="3842" spans="1:12" x14ac:dyDescent="0.25">
      <c r="A3842" t="str">
        <f t="shared" ref="A3842:A3905" si="693">"89301000"</f>
        <v>89301000</v>
      </c>
      <c r="B3842" t="str">
        <f t="shared" si="688"/>
        <v>89383000</v>
      </c>
      <c r="C3842" t="str">
        <f t="shared" si="689"/>
        <v>89383002</v>
      </c>
      <c r="D3842">
        <v>89301045</v>
      </c>
      <c r="E3842" t="str">
        <f t="shared" si="691"/>
        <v>8661226310</v>
      </c>
      <c r="F3842" s="1">
        <v>45033</v>
      </c>
      <c r="G3842" t="str">
        <f>"0142908"</f>
        <v>0142908</v>
      </c>
      <c r="H3842">
        <v>1</v>
      </c>
      <c r="J3842">
        <v>910</v>
      </c>
      <c r="K3842" t="str">
        <f t="shared" si="692"/>
        <v>809</v>
      </c>
      <c r="L3842">
        <v>910</v>
      </c>
    </row>
    <row r="3843" spans="1:12" x14ac:dyDescent="0.25">
      <c r="A3843" t="str">
        <f t="shared" si="693"/>
        <v>89301000</v>
      </c>
      <c r="B3843" t="str">
        <f t="shared" si="688"/>
        <v>89383000</v>
      </c>
      <c r="C3843" t="str">
        <f t="shared" si="689"/>
        <v>89383002</v>
      </c>
      <c r="D3843">
        <v>89301045</v>
      </c>
      <c r="E3843" t="str">
        <f>"5852182017"</f>
        <v>5852182017</v>
      </c>
      <c r="F3843" s="1">
        <v>45033</v>
      </c>
      <c r="G3843" t="str">
        <f>"89813"</f>
        <v>89813</v>
      </c>
      <c r="H3843">
        <v>1</v>
      </c>
      <c r="I3843">
        <v>135</v>
      </c>
      <c r="J3843">
        <v>0</v>
      </c>
      <c r="K3843" t="str">
        <f t="shared" si="692"/>
        <v>809</v>
      </c>
      <c r="L3843">
        <v>198.45</v>
      </c>
    </row>
    <row r="3844" spans="1:12" x14ac:dyDescent="0.25">
      <c r="A3844" t="str">
        <f t="shared" si="693"/>
        <v>89301000</v>
      </c>
      <c r="B3844" t="str">
        <f t="shared" si="688"/>
        <v>89383000</v>
      </c>
      <c r="C3844" t="str">
        <f t="shared" si="689"/>
        <v>89383002</v>
      </c>
      <c r="D3844">
        <v>89301045</v>
      </c>
      <c r="E3844" t="str">
        <f>"7558135310"</f>
        <v>7558135310</v>
      </c>
      <c r="F3844" s="1">
        <v>45034</v>
      </c>
      <c r="G3844" t="str">
        <f>"89813"</f>
        <v>89813</v>
      </c>
      <c r="H3844">
        <v>1</v>
      </c>
      <c r="I3844">
        <v>135</v>
      </c>
      <c r="J3844">
        <v>0</v>
      </c>
      <c r="K3844" t="str">
        <f t="shared" si="692"/>
        <v>809</v>
      </c>
      <c r="L3844">
        <v>198.45</v>
      </c>
    </row>
    <row r="3845" spans="1:12" x14ac:dyDescent="0.25">
      <c r="A3845" t="str">
        <f t="shared" si="693"/>
        <v>89301000</v>
      </c>
      <c r="B3845" t="str">
        <f t="shared" si="688"/>
        <v>89383000</v>
      </c>
      <c r="C3845" t="str">
        <f t="shared" si="689"/>
        <v>89383002</v>
      </c>
      <c r="D3845">
        <v>89301045</v>
      </c>
      <c r="E3845" t="str">
        <f>"6958285818"</f>
        <v>6958285818</v>
      </c>
      <c r="F3845" s="1">
        <v>45034</v>
      </c>
      <c r="G3845" t="str">
        <f>"89513"</f>
        <v>89513</v>
      </c>
      <c r="H3845">
        <v>1</v>
      </c>
      <c r="I3845">
        <v>378</v>
      </c>
      <c r="J3845">
        <v>0</v>
      </c>
      <c r="K3845" t="str">
        <f t="shared" si="692"/>
        <v>809</v>
      </c>
      <c r="L3845">
        <v>555.66</v>
      </c>
    </row>
    <row r="3846" spans="1:12" x14ac:dyDescent="0.25">
      <c r="A3846" t="str">
        <f t="shared" si="693"/>
        <v>89301000</v>
      </c>
      <c r="B3846" t="str">
        <f t="shared" si="688"/>
        <v>89383000</v>
      </c>
      <c r="C3846" t="str">
        <f t="shared" si="689"/>
        <v>89383002</v>
      </c>
      <c r="D3846">
        <v>89301045</v>
      </c>
      <c r="E3846" t="str">
        <f>"6958285818"</f>
        <v>6958285818</v>
      </c>
      <c r="F3846" s="1">
        <v>45034</v>
      </c>
      <c r="G3846" t="str">
        <f>"89514"</f>
        <v>89514</v>
      </c>
      <c r="H3846">
        <v>1</v>
      </c>
      <c r="I3846">
        <v>378</v>
      </c>
      <c r="J3846">
        <v>0</v>
      </c>
      <c r="K3846" t="str">
        <f t="shared" si="692"/>
        <v>809</v>
      </c>
      <c r="L3846">
        <v>555.66</v>
      </c>
    </row>
    <row r="3847" spans="1:12" x14ac:dyDescent="0.25">
      <c r="A3847" t="str">
        <f t="shared" si="693"/>
        <v>89301000</v>
      </c>
      <c r="B3847" t="str">
        <f t="shared" si="688"/>
        <v>89383000</v>
      </c>
      <c r="C3847" t="str">
        <f t="shared" si="689"/>
        <v>89383002</v>
      </c>
      <c r="D3847">
        <v>89301212</v>
      </c>
      <c r="E3847" t="str">
        <f>"8551074917"</f>
        <v>8551074917</v>
      </c>
      <c r="F3847" s="1">
        <v>45033</v>
      </c>
      <c r="G3847" t="str">
        <f>"89513"</f>
        <v>89513</v>
      </c>
      <c r="H3847">
        <v>1</v>
      </c>
      <c r="I3847">
        <v>378</v>
      </c>
      <c r="J3847">
        <v>0</v>
      </c>
      <c r="K3847" t="str">
        <f t="shared" si="692"/>
        <v>809</v>
      </c>
      <c r="L3847">
        <v>555.66</v>
      </c>
    </row>
    <row r="3848" spans="1:12" x14ac:dyDescent="0.25">
      <c r="A3848" t="str">
        <f t="shared" si="693"/>
        <v>89301000</v>
      </c>
      <c r="B3848" t="str">
        <f t="shared" si="688"/>
        <v>89383000</v>
      </c>
      <c r="C3848" t="str">
        <f t="shared" si="689"/>
        <v>89383002</v>
      </c>
      <c r="D3848">
        <v>89301212</v>
      </c>
      <c r="E3848" t="str">
        <f>"8551074917"</f>
        <v>8551074917</v>
      </c>
      <c r="F3848" s="1">
        <v>45033</v>
      </c>
      <c r="G3848" t="str">
        <f>"89514"</f>
        <v>89514</v>
      </c>
      <c r="H3848">
        <v>1</v>
      </c>
      <c r="I3848">
        <v>378</v>
      </c>
      <c r="J3848">
        <v>0</v>
      </c>
      <c r="K3848" t="str">
        <f t="shared" si="692"/>
        <v>809</v>
      </c>
      <c r="L3848">
        <v>555.66</v>
      </c>
    </row>
    <row r="3849" spans="1:12" x14ac:dyDescent="0.25">
      <c r="A3849" t="str">
        <f t="shared" si="693"/>
        <v>89301000</v>
      </c>
      <c r="B3849" t="str">
        <f t="shared" si="688"/>
        <v>89383000</v>
      </c>
      <c r="C3849" t="str">
        <f t="shared" si="689"/>
        <v>89383002</v>
      </c>
      <c r="D3849">
        <v>89301042</v>
      </c>
      <c r="E3849" t="str">
        <f>"7256244556"</f>
        <v>7256244556</v>
      </c>
      <c r="F3849" s="1">
        <v>45035</v>
      </c>
      <c r="G3849" t="str">
        <f>"89512"</f>
        <v>89512</v>
      </c>
      <c r="H3849">
        <v>1</v>
      </c>
      <c r="I3849">
        <v>283</v>
      </c>
      <c r="J3849">
        <v>0</v>
      </c>
      <c r="K3849" t="str">
        <f t="shared" si="692"/>
        <v>809</v>
      </c>
      <c r="L3849">
        <v>416.01</v>
      </c>
    </row>
    <row r="3850" spans="1:12" x14ac:dyDescent="0.25">
      <c r="A3850" t="str">
        <f t="shared" si="693"/>
        <v>89301000</v>
      </c>
      <c r="B3850" t="str">
        <f t="shared" si="688"/>
        <v>89383000</v>
      </c>
      <c r="C3850" t="str">
        <f t="shared" si="689"/>
        <v>89383002</v>
      </c>
      <c r="D3850">
        <v>89301045</v>
      </c>
      <c r="E3850" t="str">
        <f t="shared" ref="E3850:E3855" si="694">"5761150560"</f>
        <v>5761150560</v>
      </c>
      <c r="F3850" s="1">
        <v>45035</v>
      </c>
      <c r="G3850" t="str">
        <f>"89313"</f>
        <v>89313</v>
      </c>
      <c r="H3850">
        <v>1</v>
      </c>
      <c r="I3850">
        <v>420</v>
      </c>
      <c r="J3850">
        <v>0</v>
      </c>
      <c r="K3850" t="str">
        <f t="shared" si="692"/>
        <v>809</v>
      </c>
      <c r="L3850">
        <v>617.4</v>
      </c>
    </row>
    <row r="3851" spans="1:12" x14ac:dyDescent="0.25">
      <c r="A3851" t="str">
        <f t="shared" si="693"/>
        <v>89301000</v>
      </c>
      <c r="B3851" t="str">
        <f t="shared" si="688"/>
        <v>89383000</v>
      </c>
      <c r="C3851" t="str">
        <f t="shared" si="689"/>
        <v>89383002</v>
      </c>
      <c r="D3851">
        <v>89301045</v>
      </c>
      <c r="E3851" t="str">
        <f t="shared" si="694"/>
        <v>5761150560</v>
      </c>
      <c r="F3851" s="1">
        <v>45035</v>
      </c>
      <c r="G3851" t="str">
        <f>"09233"</f>
        <v>09233</v>
      </c>
      <c r="H3851">
        <v>1</v>
      </c>
      <c r="I3851">
        <v>102</v>
      </c>
      <c r="J3851">
        <v>0</v>
      </c>
      <c r="K3851" t="str">
        <f t="shared" si="692"/>
        <v>809</v>
      </c>
      <c r="L3851">
        <v>149.94</v>
      </c>
    </row>
    <row r="3852" spans="1:12" x14ac:dyDescent="0.25">
      <c r="A3852" t="str">
        <f t="shared" si="693"/>
        <v>89301000</v>
      </c>
      <c r="B3852" t="str">
        <f t="shared" ref="B3852:B3883" si="695">"89383000"</f>
        <v>89383000</v>
      </c>
      <c r="C3852" t="str">
        <f t="shared" ref="C3852:C3883" si="696">"89383002"</f>
        <v>89383002</v>
      </c>
      <c r="D3852">
        <v>89301045</v>
      </c>
      <c r="E3852" t="str">
        <f t="shared" si="694"/>
        <v>5761150560</v>
      </c>
      <c r="F3852" s="1">
        <v>45035</v>
      </c>
      <c r="G3852" t="str">
        <f>"89512"</f>
        <v>89512</v>
      </c>
      <c r="H3852">
        <v>1</v>
      </c>
      <c r="I3852">
        <v>283</v>
      </c>
      <c r="J3852">
        <v>0</v>
      </c>
      <c r="K3852" t="str">
        <f t="shared" si="692"/>
        <v>809</v>
      </c>
      <c r="L3852">
        <v>416.01</v>
      </c>
    </row>
    <row r="3853" spans="1:12" x14ac:dyDescent="0.25">
      <c r="A3853" t="str">
        <f t="shared" si="693"/>
        <v>89301000</v>
      </c>
      <c r="B3853" t="str">
        <f t="shared" si="695"/>
        <v>89383000</v>
      </c>
      <c r="C3853" t="str">
        <f t="shared" si="696"/>
        <v>89383002</v>
      </c>
      <c r="D3853">
        <v>89301045</v>
      </c>
      <c r="E3853" t="str">
        <f t="shared" si="694"/>
        <v>5761150560</v>
      </c>
      <c r="F3853" s="1">
        <v>45035</v>
      </c>
      <c r="G3853" t="str">
        <f>"89180"</f>
        <v>89180</v>
      </c>
      <c r="H3853">
        <v>1</v>
      </c>
      <c r="I3853">
        <v>381</v>
      </c>
      <c r="J3853">
        <v>0</v>
      </c>
      <c r="K3853" t="str">
        <f t="shared" si="692"/>
        <v>809</v>
      </c>
      <c r="L3853">
        <v>560.07000000000005</v>
      </c>
    </row>
    <row r="3854" spans="1:12" x14ac:dyDescent="0.25">
      <c r="A3854" t="str">
        <f t="shared" si="693"/>
        <v>89301000</v>
      </c>
      <c r="B3854" t="str">
        <f t="shared" si="695"/>
        <v>89383000</v>
      </c>
      <c r="C3854" t="str">
        <f t="shared" si="696"/>
        <v>89383002</v>
      </c>
      <c r="D3854">
        <v>89301045</v>
      </c>
      <c r="E3854" t="str">
        <f t="shared" si="694"/>
        <v>5761150560</v>
      </c>
      <c r="F3854" s="1">
        <v>45035</v>
      </c>
      <c r="G3854" t="str">
        <f>"0225891"</f>
        <v>0225891</v>
      </c>
      <c r="H3854">
        <v>0.05</v>
      </c>
      <c r="J3854">
        <v>18.39</v>
      </c>
      <c r="K3854" t="str">
        <f t="shared" si="692"/>
        <v>809</v>
      </c>
      <c r="L3854">
        <v>18.39</v>
      </c>
    </row>
    <row r="3855" spans="1:12" x14ac:dyDescent="0.25">
      <c r="A3855" t="str">
        <f t="shared" si="693"/>
        <v>89301000</v>
      </c>
      <c r="B3855" t="str">
        <f t="shared" si="695"/>
        <v>89383000</v>
      </c>
      <c r="C3855" t="str">
        <f t="shared" si="696"/>
        <v>89383002</v>
      </c>
      <c r="D3855">
        <v>89301045</v>
      </c>
      <c r="E3855" t="str">
        <f t="shared" si="694"/>
        <v>5761150560</v>
      </c>
      <c r="F3855" s="1">
        <v>45035</v>
      </c>
      <c r="G3855" t="str">
        <f>"0142906"</f>
        <v>0142906</v>
      </c>
      <c r="H3855">
        <v>1</v>
      </c>
      <c r="J3855">
        <v>6990</v>
      </c>
      <c r="K3855" t="str">
        <f t="shared" si="692"/>
        <v>809</v>
      </c>
      <c r="L3855">
        <v>6990</v>
      </c>
    </row>
    <row r="3856" spans="1:12" x14ac:dyDescent="0.25">
      <c r="A3856" t="str">
        <f t="shared" si="693"/>
        <v>89301000</v>
      </c>
      <c r="B3856" t="str">
        <f t="shared" si="695"/>
        <v>89383000</v>
      </c>
      <c r="C3856" t="str">
        <f t="shared" si="696"/>
        <v>89383002</v>
      </c>
      <c r="D3856">
        <v>89301292</v>
      </c>
      <c r="E3856" t="str">
        <f>"8451195357"</f>
        <v>8451195357</v>
      </c>
      <c r="F3856" s="1">
        <v>45035</v>
      </c>
      <c r="G3856" t="str">
        <f>"89512"</f>
        <v>89512</v>
      </c>
      <c r="H3856">
        <v>1</v>
      </c>
      <c r="I3856">
        <v>283</v>
      </c>
      <c r="J3856">
        <v>0</v>
      </c>
      <c r="K3856" t="str">
        <f t="shared" si="692"/>
        <v>809</v>
      </c>
      <c r="L3856">
        <v>416.01</v>
      </c>
    </row>
    <row r="3857" spans="1:12" x14ac:dyDescent="0.25">
      <c r="A3857" t="str">
        <f t="shared" si="693"/>
        <v>89301000</v>
      </c>
      <c r="B3857" t="str">
        <f t="shared" si="695"/>
        <v>89383000</v>
      </c>
      <c r="C3857" t="str">
        <f t="shared" si="696"/>
        <v>89383002</v>
      </c>
      <c r="D3857">
        <v>89301045</v>
      </c>
      <c r="E3857" t="str">
        <f t="shared" ref="E3857:E3862" si="697">"466029462"</f>
        <v>466029462</v>
      </c>
      <c r="F3857" s="1">
        <v>45035</v>
      </c>
      <c r="G3857" t="str">
        <f>"89313"</f>
        <v>89313</v>
      </c>
      <c r="H3857">
        <v>1</v>
      </c>
      <c r="I3857">
        <v>420</v>
      </c>
      <c r="J3857">
        <v>0</v>
      </c>
      <c r="K3857" t="str">
        <f t="shared" si="692"/>
        <v>809</v>
      </c>
      <c r="L3857">
        <v>617.4</v>
      </c>
    </row>
    <row r="3858" spans="1:12" x14ac:dyDescent="0.25">
      <c r="A3858" t="str">
        <f t="shared" si="693"/>
        <v>89301000</v>
      </c>
      <c r="B3858" t="str">
        <f t="shared" si="695"/>
        <v>89383000</v>
      </c>
      <c r="C3858" t="str">
        <f t="shared" si="696"/>
        <v>89383002</v>
      </c>
      <c r="D3858">
        <v>89301045</v>
      </c>
      <c r="E3858" t="str">
        <f t="shared" si="697"/>
        <v>466029462</v>
      </c>
      <c r="F3858" s="1">
        <v>45035</v>
      </c>
      <c r="G3858" t="str">
        <f>"09233"</f>
        <v>09233</v>
      </c>
      <c r="H3858">
        <v>1</v>
      </c>
      <c r="I3858">
        <v>102</v>
      </c>
      <c r="J3858">
        <v>0</v>
      </c>
      <c r="K3858" t="str">
        <f t="shared" si="692"/>
        <v>809</v>
      </c>
      <c r="L3858">
        <v>149.94</v>
      </c>
    </row>
    <row r="3859" spans="1:12" x14ac:dyDescent="0.25">
      <c r="A3859" t="str">
        <f t="shared" si="693"/>
        <v>89301000</v>
      </c>
      <c r="B3859" t="str">
        <f t="shared" si="695"/>
        <v>89383000</v>
      </c>
      <c r="C3859" t="str">
        <f t="shared" si="696"/>
        <v>89383002</v>
      </c>
      <c r="D3859">
        <v>89301045</v>
      </c>
      <c r="E3859" t="str">
        <f t="shared" si="697"/>
        <v>466029462</v>
      </c>
      <c r="F3859" s="1">
        <v>45035</v>
      </c>
      <c r="G3859" t="str">
        <f>"89512"</f>
        <v>89512</v>
      </c>
      <c r="H3859">
        <v>1</v>
      </c>
      <c r="I3859">
        <v>283</v>
      </c>
      <c r="J3859">
        <v>0</v>
      </c>
      <c r="K3859" t="str">
        <f t="shared" si="692"/>
        <v>809</v>
      </c>
      <c r="L3859">
        <v>416.01</v>
      </c>
    </row>
    <row r="3860" spans="1:12" x14ac:dyDescent="0.25">
      <c r="A3860" t="str">
        <f t="shared" si="693"/>
        <v>89301000</v>
      </c>
      <c r="B3860" t="str">
        <f t="shared" si="695"/>
        <v>89383000</v>
      </c>
      <c r="C3860" t="str">
        <f t="shared" si="696"/>
        <v>89383002</v>
      </c>
      <c r="D3860">
        <v>89301045</v>
      </c>
      <c r="E3860" t="str">
        <f t="shared" si="697"/>
        <v>466029462</v>
      </c>
      <c r="F3860" s="1">
        <v>45035</v>
      </c>
      <c r="G3860" t="str">
        <f>"89180"</f>
        <v>89180</v>
      </c>
      <c r="H3860">
        <v>1</v>
      </c>
      <c r="I3860">
        <v>381</v>
      </c>
      <c r="J3860">
        <v>0</v>
      </c>
      <c r="K3860" t="str">
        <f t="shared" si="692"/>
        <v>809</v>
      </c>
      <c r="L3860">
        <v>560.07000000000005</v>
      </c>
    </row>
    <row r="3861" spans="1:12" x14ac:dyDescent="0.25">
      <c r="A3861" t="str">
        <f t="shared" si="693"/>
        <v>89301000</v>
      </c>
      <c r="B3861" t="str">
        <f t="shared" si="695"/>
        <v>89383000</v>
      </c>
      <c r="C3861" t="str">
        <f t="shared" si="696"/>
        <v>89383002</v>
      </c>
      <c r="D3861">
        <v>89301045</v>
      </c>
      <c r="E3861" t="str">
        <f t="shared" si="697"/>
        <v>466029462</v>
      </c>
      <c r="F3861" s="1">
        <v>45035</v>
      </c>
      <c r="G3861" t="str">
        <f>"0225891"</f>
        <v>0225891</v>
      </c>
      <c r="H3861">
        <v>0.02</v>
      </c>
      <c r="J3861">
        <v>7.35</v>
      </c>
      <c r="K3861" t="str">
        <f t="shared" si="692"/>
        <v>809</v>
      </c>
      <c r="L3861">
        <v>7.35</v>
      </c>
    </row>
    <row r="3862" spans="1:12" x14ac:dyDescent="0.25">
      <c r="A3862" t="str">
        <f t="shared" si="693"/>
        <v>89301000</v>
      </c>
      <c r="B3862" t="str">
        <f t="shared" si="695"/>
        <v>89383000</v>
      </c>
      <c r="C3862" t="str">
        <f t="shared" si="696"/>
        <v>89383002</v>
      </c>
      <c r="D3862">
        <v>89301045</v>
      </c>
      <c r="E3862" t="str">
        <f t="shared" si="697"/>
        <v>466029462</v>
      </c>
      <c r="F3862" s="1">
        <v>45035</v>
      </c>
      <c r="G3862" t="str">
        <f>"0142906"</f>
        <v>0142906</v>
      </c>
      <c r="H3862">
        <v>1</v>
      </c>
      <c r="J3862">
        <v>6990</v>
      </c>
      <c r="K3862" t="str">
        <f t="shared" si="692"/>
        <v>809</v>
      </c>
      <c r="L3862">
        <v>6990</v>
      </c>
    </row>
    <row r="3863" spans="1:12" x14ac:dyDescent="0.25">
      <c r="A3863" t="str">
        <f t="shared" si="693"/>
        <v>89301000</v>
      </c>
      <c r="B3863" t="str">
        <f t="shared" si="695"/>
        <v>89383000</v>
      </c>
      <c r="C3863" t="str">
        <f t="shared" si="696"/>
        <v>89383002</v>
      </c>
      <c r="D3863">
        <v>89301215</v>
      </c>
      <c r="E3863" t="str">
        <f t="shared" ref="E3863:E3870" si="698">"5462163025"</f>
        <v>5462163025</v>
      </c>
      <c r="F3863" s="1">
        <v>45037</v>
      </c>
      <c r="G3863" t="str">
        <f>"89313"</f>
        <v>89313</v>
      </c>
      <c r="H3863">
        <v>1</v>
      </c>
      <c r="I3863">
        <v>420</v>
      </c>
      <c r="J3863">
        <v>0</v>
      </c>
      <c r="K3863" t="str">
        <f t="shared" si="692"/>
        <v>809</v>
      </c>
      <c r="L3863">
        <v>617.4</v>
      </c>
    </row>
    <row r="3864" spans="1:12" x14ac:dyDescent="0.25">
      <c r="A3864" t="str">
        <f t="shared" si="693"/>
        <v>89301000</v>
      </c>
      <c r="B3864" t="str">
        <f t="shared" si="695"/>
        <v>89383000</v>
      </c>
      <c r="C3864" t="str">
        <f t="shared" si="696"/>
        <v>89383002</v>
      </c>
      <c r="D3864">
        <v>89301215</v>
      </c>
      <c r="E3864" t="str">
        <f t="shared" si="698"/>
        <v>5462163025</v>
      </c>
      <c r="F3864" s="1">
        <v>45037</v>
      </c>
      <c r="G3864" t="str">
        <f>"09233"</f>
        <v>09233</v>
      </c>
      <c r="H3864">
        <v>1</v>
      </c>
      <c r="I3864">
        <v>102</v>
      </c>
      <c r="J3864">
        <v>0</v>
      </c>
      <c r="K3864" t="str">
        <f t="shared" si="692"/>
        <v>809</v>
      </c>
      <c r="L3864">
        <v>149.94</v>
      </c>
    </row>
    <row r="3865" spans="1:12" x14ac:dyDescent="0.25">
      <c r="A3865" t="str">
        <f t="shared" si="693"/>
        <v>89301000</v>
      </c>
      <c r="B3865" t="str">
        <f t="shared" si="695"/>
        <v>89383000</v>
      </c>
      <c r="C3865" t="str">
        <f t="shared" si="696"/>
        <v>89383002</v>
      </c>
      <c r="D3865">
        <v>89301215</v>
      </c>
      <c r="E3865" t="str">
        <f t="shared" si="698"/>
        <v>5462163025</v>
      </c>
      <c r="F3865" s="1">
        <v>45037</v>
      </c>
      <c r="G3865" t="str">
        <f>"89515"</f>
        <v>89515</v>
      </c>
      <c r="H3865">
        <v>1</v>
      </c>
      <c r="I3865">
        <v>347</v>
      </c>
      <c r="J3865">
        <v>0</v>
      </c>
      <c r="K3865" t="str">
        <f t="shared" si="692"/>
        <v>809</v>
      </c>
      <c r="L3865">
        <v>510.09</v>
      </c>
    </row>
    <row r="3866" spans="1:12" x14ac:dyDescent="0.25">
      <c r="A3866" t="str">
        <f t="shared" si="693"/>
        <v>89301000</v>
      </c>
      <c r="B3866" t="str">
        <f t="shared" si="695"/>
        <v>89383000</v>
      </c>
      <c r="C3866" t="str">
        <f t="shared" si="696"/>
        <v>89383002</v>
      </c>
      <c r="D3866">
        <v>89301215</v>
      </c>
      <c r="E3866" t="str">
        <f t="shared" si="698"/>
        <v>5462163025</v>
      </c>
      <c r="F3866" s="1">
        <v>45037</v>
      </c>
      <c r="G3866" t="str">
        <f>"89512"</f>
        <v>89512</v>
      </c>
      <c r="H3866">
        <v>1</v>
      </c>
      <c r="I3866">
        <v>283</v>
      </c>
      <c r="J3866">
        <v>0</v>
      </c>
      <c r="K3866" t="str">
        <f t="shared" si="692"/>
        <v>809</v>
      </c>
      <c r="L3866">
        <v>416.01</v>
      </c>
    </row>
    <row r="3867" spans="1:12" x14ac:dyDescent="0.25">
      <c r="A3867" t="str">
        <f t="shared" si="693"/>
        <v>89301000</v>
      </c>
      <c r="B3867" t="str">
        <f t="shared" si="695"/>
        <v>89383000</v>
      </c>
      <c r="C3867" t="str">
        <f t="shared" si="696"/>
        <v>89383002</v>
      </c>
      <c r="D3867">
        <v>89301215</v>
      </c>
      <c r="E3867" t="str">
        <f t="shared" si="698"/>
        <v>5462163025</v>
      </c>
      <c r="F3867" s="1">
        <v>45037</v>
      </c>
      <c r="G3867" t="str">
        <f>"09572"</f>
        <v>09572</v>
      </c>
      <c r="H3867">
        <v>1</v>
      </c>
      <c r="I3867">
        <v>0</v>
      </c>
      <c r="J3867">
        <v>0</v>
      </c>
      <c r="K3867" t="str">
        <f t="shared" si="692"/>
        <v>809</v>
      </c>
      <c r="L3867">
        <v>0</v>
      </c>
    </row>
    <row r="3868" spans="1:12" x14ac:dyDescent="0.25">
      <c r="A3868" t="str">
        <f t="shared" si="693"/>
        <v>89301000</v>
      </c>
      <c r="B3868" t="str">
        <f t="shared" si="695"/>
        <v>89383000</v>
      </c>
      <c r="C3868" t="str">
        <f t="shared" si="696"/>
        <v>89383002</v>
      </c>
      <c r="D3868">
        <v>89301215</v>
      </c>
      <c r="E3868" t="str">
        <f t="shared" si="698"/>
        <v>5462163025</v>
      </c>
      <c r="F3868" s="1">
        <v>45037</v>
      </c>
      <c r="G3868" t="str">
        <f>"0093109"</f>
        <v>0093109</v>
      </c>
      <c r="H3868">
        <v>0.5</v>
      </c>
      <c r="J3868">
        <v>130.41999999999999</v>
      </c>
      <c r="K3868" t="str">
        <f t="shared" si="692"/>
        <v>809</v>
      </c>
      <c r="L3868">
        <v>130.41999999999999</v>
      </c>
    </row>
    <row r="3869" spans="1:12" x14ac:dyDescent="0.25">
      <c r="A3869" t="str">
        <f t="shared" si="693"/>
        <v>89301000</v>
      </c>
      <c r="B3869" t="str">
        <f t="shared" si="695"/>
        <v>89383000</v>
      </c>
      <c r="C3869" t="str">
        <f t="shared" si="696"/>
        <v>89383002</v>
      </c>
      <c r="D3869">
        <v>89301215</v>
      </c>
      <c r="E3869" t="str">
        <f t="shared" si="698"/>
        <v>5462163025</v>
      </c>
      <c r="F3869" s="1">
        <v>45037</v>
      </c>
      <c r="G3869" t="str">
        <f>"0142908"</f>
        <v>0142908</v>
      </c>
      <c r="H3869">
        <v>2</v>
      </c>
      <c r="J3869">
        <v>1820</v>
      </c>
      <c r="K3869" t="str">
        <f t="shared" si="692"/>
        <v>809</v>
      </c>
      <c r="L3869">
        <v>1820</v>
      </c>
    </row>
    <row r="3870" spans="1:12" x14ac:dyDescent="0.25">
      <c r="A3870" t="str">
        <f t="shared" si="693"/>
        <v>89301000</v>
      </c>
      <c r="B3870" t="str">
        <f t="shared" si="695"/>
        <v>89383000</v>
      </c>
      <c r="C3870" t="str">
        <f t="shared" si="696"/>
        <v>89383002</v>
      </c>
      <c r="D3870">
        <v>89301215</v>
      </c>
      <c r="E3870" t="str">
        <f t="shared" si="698"/>
        <v>5462163025</v>
      </c>
      <c r="F3870" s="1">
        <v>45037</v>
      </c>
      <c r="G3870" t="str">
        <f>"0082502"</f>
        <v>0082502</v>
      </c>
      <c r="H3870">
        <v>1</v>
      </c>
      <c r="J3870">
        <v>2093</v>
      </c>
      <c r="K3870" t="str">
        <f t="shared" si="692"/>
        <v>809</v>
      </c>
      <c r="L3870">
        <v>2093</v>
      </c>
    </row>
    <row r="3871" spans="1:12" x14ac:dyDescent="0.25">
      <c r="A3871" t="str">
        <f t="shared" si="693"/>
        <v>89301000</v>
      </c>
      <c r="B3871" t="str">
        <f t="shared" si="695"/>
        <v>89383000</v>
      </c>
      <c r="C3871" t="str">
        <f t="shared" si="696"/>
        <v>89383002</v>
      </c>
      <c r="D3871">
        <v>89301212</v>
      </c>
      <c r="E3871" t="str">
        <f>"8161201675"</f>
        <v>8161201675</v>
      </c>
      <c r="F3871" s="1">
        <v>45037</v>
      </c>
      <c r="G3871" t="str">
        <f>"89512"</f>
        <v>89512</v>
      </c>
      <c r="H3871">
        <v>1</v>
      </c>
      <c r="I3871">
        <v>283</v>
      </c>
      <c r="J3871">
        <v>0</v>
      </c>
      <c r="K3871" t="str">
        <f t="shared" si="692"/>
        <v>809</v>
      </c>
      <c r="L3871">
        <v>416.01</v>
      </c>
    </row>
    <row r="3872" spans="1:12" x14ac:dyDescent="0.25">
      <c r="A3872" t="str">
        <f t="shared" si="693"/>
        <v>89301000</v>
      </c>
      <c r="B3872" t="str">
        <f t="shared" si="695"/>
        <v>89383000</v>
      </c>
      <c r="C3872" t="str">
        <f t="shared" si="696"/>
        <v>89383002</v>
      </c>
      <c r="D3872">
        <v>89301212</v>
      </c>
      <c r="E3872" t="str">
        <f>"7758205334"</f>
        <v>7758205334</v>
      </c>
      <c r="F3872" s="1">
        <v>45037</v>
      </c>
      <c r="G3872" t="str">
        <f>"89180"</f>
        <v>89180</v>
      </c>
      <c r="H3872">
        <v>2</v>
      </c>
      <c r="I3872">
        <v>762</v>
      </c>
      <c r="J3872">
        <v>0</v>
      </c>
      <c r="K3872" t="str">
        <f t="shared" si="692"/>
        <v>809</v>
      </c>
      <c r="L3872">
        <v>1120.1400000000001</v>
      </c>
    </row>
    <row r="3873" spans="1:12" x14ac:dyDescent="0.25">
      <c r="A3873" t="str">
        <f t="shared" si="693"/>
        <v>89301000</v>
      </c>
      <c r="B3873" t="str">
        <f t="shared" si="695"/>
        <v>89383000</v>
      </c>
      <c r="C3873" t="str">
        <f t="shared" si="696"/>
        <v>89383002</v>
      </c>
      <c r="D3873">
        <v>89301212</v>
      </c>
      <c r="E3873" t="str">
        <f>"7758205334"</f>
        <v>7758205334</v>
      </c>
      <c r="F3873" s="1">
        <v>45037</v>
      </c>
      <c r="G3873" t="str">
        <f>"89512"</f>
        <v>89512</v>
      </c>
      <c r="H3873">
        <v>1</v>
      </c>
      <c r="I3873">
        <v>283</v>
      </c>
      <c r="J3873">
        <v>0</v>
      </c>
      <c r="K3873" t="str">
        <f t="shared" si="692"/>
        <v>809</v>
      </c>
      <c r="L3873">
        <v>416.01</v>
      </c>
    </row>
    <row r="3874" spans="1:12" x14ac:dyDescent="0.25">
      <c r="A3874" t="str">
        <f t="shared" si="693"/>
        <v>89301000</v>
      </c>
      <c r="B3874" t="str">
        <f t="shared" si="695"/>
        <v>89383000</v>
      </c>
      <c r="C3874" t="str">
        <f t="shared" si="696"/>
        <v>89383002</v>
      </c>
      <c r="D3874">
        <v>89301212</v>
      </c>
      <c r="E3874" t="str">
        <f>"7758205334"</f>
        <v>7758205334</v>
      </c>
      <c r="F3874" s="1">
        <v>45037</v>
      </c>
      <c r="G3874" t="str">
        <f>"89513"</f>
        <v>89513</v>
      </c>
      <c r="H3874">
        <v>1</v>
      </c>
      <c r="I3874">
        <v>378</v>
      </c>
      <c r="J3874">
        <v>0</v>
      </c>
      <c r="K3874" t="str">
        <f t="shared" si="692"/>
        <v>809</v>
      </c>
      <c r="L3874">
        <v>555.66</v>
      </c>
    </row>
    <row r="3875" spans="1:12" x14ac:dyDescent="0.25">
      <c r="A3875" t="str">
        <f t="shared" si="693"/>
        <v>89301000</v>
      </c>
      <c r="B3875" t="str">
        <f t="shared" si="695"/>
        <v>89383000</v>
      </c>
      <c r="C3875" t="str">
        <f t="shared" si="696"/>
        <v>89383002</v>
      </c>
      <c r="D3875">
        <v>89301212</v>
      </c>
      <c r="E3875" t="str">
        <f>"7758205334"</f>
        <v>7758205334</v>
      </c>
      <c r="F3875" s="1">
        <v>45037</v>
      </c>
      <c r="G3875" t="str">
        <f>"89514"</f>
        <v>89514</v>
      </c>
      <c r="H3875">
        <v>1</v>
      </c>
      <c r="I3875">
        <v>378</v>
      </c>
      <c r="J3875">
        <v>0</v>
      </c>
      <c r="K3875" t="str">
        <f t="shared" si="692"/>
        <v>809</v>
      </c>
      <c r="L3875">
        <v>555.66</v>
      </c>
    </row>
    <row r="3876" spans="1:12" x14ac:dyDescent="0.25">
      <c r="A3876" t="str">
        <f t="shared" si="693"/>
        <v>89301000</v>
      </c>
      <c r="B3876" t="str">
        <f t="shared" si="695"/>
        <v>89383000</v>
      </c>
      <c r="C3876" t="str">
        <f t="shared" si="696"/>
        <v>89383002</v>
      </c>
      <c r="D3876">
        <v>89301212</v>
      </c>
      <c r="E3876" t="str">
        <f>"8952175749"</f>
        <v>8952175749</v>
      </c>
      <c r="F3876" s="1">
        <v>45037</v>
      </c>
      <c r="G3876" t="str">
        <f>"89180"</f>
        <v>89180</v>
      </c>
      <c r="H3876">
        <v>2</v>
      </c>
      <c r="I3876">
        <v>762</v>
      </c>
      <c r="J3876">
        <v>0</v>
      </c>
      <c r="K3876" t="str">
        <f t="shared" si="692"/>
        <v>809</v>
      </c>
      <c r="L3876">
        <v>1120.1400000000001</v>
      </c>
    </row>
    <row r="3877" spans="1:12" x14ac:dyDescent="0.25">
      <c r="A3877" t="str">
        <f t="shared" si="693"/>
        <v>89301000</v>
      </c>
      <c r="B3877" t="str">
        <f t="shared" si="695"/>
        <v>89383000</v>
      </c>
      <c r="C3877" t="str">
        <f t="shared" si="696"/>
        <v>89383002</v>
      </c>
      <c r="D3877">
        <v>89301212</v>
      </c>
      <c r="E3877" t="str">
        <f>"8952175749"</f>
        <v>8952175749</v>
      </c>
      <c r="F3877" s="1">
        <v>45037</v>
      </c>
      <c r="G3877" t="str">
        <f>"89512"</f>
        <v>89512</v>
      </c>
      <c r="H3877">
        <v>1</v>
      </c>
      <c r="I3877">
        <v>283</v>
      </c>
      <c r="J3877">
        <v>0</v>
      </c>
      <c r="K3877" t="str">
        <f t="shared" si="692"/>
        <v>809</v>
      </c>
      <c r="L3877">
        <v>416.01</v>
      </c>
    </row>
    <row r="3878" spans="1:12" x14ac:dyDescent="0.25">
      <c r="A3878" t="str">
        <f t="shared" si="693"/>
        <v>89301000</v>
      </c>
      <c r="B3878" t="str">
        <f t="shared" si="695"/>
        <v>89383000</v>
      </c>
      <c r="C3878" t="str">
        <f t="shared" si="696"/>
        <v>89383002</v>
      </c>
      <c r="D3878">
        <v>89301212</v>
      </c>
      <c r="E3878" t="str">
        <f>"536027285"</f>
        <v>536027285</v>
      </c>
      <c r="F3878" s="1">
        <v>45037</v>
      </c>
      <c r="G3878" t="str">
        <f>"89513"</f>
        <v>89513</v>
      </c>
      <c r="H3878">
        <v>1</v>
      </c>
      <c r="I3878">
        <v>378</v>
      </c>
      <c r="J3878">
        <v>0</v>
      </c>
      <c r="K3878" t="str">
        <f t="shared" si="692"/>
        <v>809</v>
      </c>
      <c r="L3878">
        <v>555.66</v>
      </c>
    </row>
    <row r="3879" spans="1:12" x14ac:dyDescent="0.25">
      <c r="A3879" t="str">
        <f t="shared" si="693"/>
        <v>89301000</v>
      </c>
      <c r="B3879" t="str">
        <f t="shared" si="695"/>
        <v>89383000</v>
      </c>
      <c r="C3879" t="str">
        <f t="shared" si="696"/>
        <v>89383002</v>
      </c>
      <c r="D3879">
        <v>89301212</v>
      </c>
      <c r="E3879" t="str">
        <f>"536027285"</f>
        <v>536027285</v>
      </c>
      <c r="F3879" s="1">
        <v>45037</v>
      </c>
      <c r="G3879" t="str">
        <f>"89514"</f>
        <v>89514</v>
      </c>
      <c r="H3879">
        <v>1</v>
      </c>
      <c r="I3879">
        <v>378</v>
      </c>
      <c r="J3879">
        <v>0</v>
      </c>
      <c r="K3879" t="str">
        <f t="shared" si="692"/>
        <v>809</v>
      </c>
      <c r="L3879">
        <v>555.66</v>
      </c>
    </row>
    <row r="3880" spans="1:12" x14ac:dyDescent="0.25">
      <c r="A3880" t="str">
        <f t="shared" si="693"/>
        <v>89301000</v>
      </c>
      <c r="B3880" t="str">
        <f t="shared" si="695"/>
        <v>89383000</v>
      </c>
      <c r="C3880" t="str">
        <f t="shared" si="696"/>
        <v>89383002</v>
      </c>
      <c r="D3880">
        <v>89301042</v>
      </c>
      <c r="E3880" t="str">
        <f>"6955223308"</f>
        <v>6955223308</v>
      </c>
      <c r="F3880" s="1">
        <v>45037</v>
      </c>
      <c r="G3880" t="str">
        <f>"89512"</f>
        <v>89512</v>
      </c>
      <c r="H3880">
        <v>1</v>
      </c>
      <c r="I3880">
        <v>283</v>
      </c>
      <c r="J3880">
        <v>0</v>
      </c>
      <c r="K3880" t="str">
        <f t="shared" si="692"/>
        <v>809</v>
      </c>
      <c r="L3880">
        <v>416.01</v>
      </c>
    </row>
    <row r="3881" spans="1:12" x14ac:dyDescent="0.25">
      <c r="A3881" t="str">
        <f t="shared" si="693"/>
        <v>89301000</v>
      </c>
      <c r="B3881" t="str">
        <f t="shared" si="695"/>
        <v>89383000</v>
      </c>
      <c r="C3881" t="str">
        <f t="shared" si="696"/>
        <v>89383002</v>
      </c>
      <c r="D3881">
        <v>89301212</v>
      </c>
      <c r="E3881" t="str">
        <f>"5454160184"</f>
        <v>5454160184</v>
      </c>
      <c r="F3881" s="1">
        <v>45041</v>
      </c>
      <c r="G3881" t="str">
        <f>"89180"</f>
        <v>89180</v>
      </c>
      <c r="H3881">
        <v>2</v>
      </c>
      <c r="I3881">
        <v>762</v>
      </c>
      <c r="J3881">
        <v>0</v>
      </c>
      <c r="K3881" t="str">
        <f t="shared" si="692"/>
        <v>809</v>
      </c>
      <c r="L3881">
        <v>1120.1400000000001</v>
      </c>
    </row>
    <row r="3882" spans="1:12" x14ac:dyDescent="0.25">
      <c r="A3882" t="str">
        <f t="shared" si="693"/>
        <v>89301000</v>
      </c>
      <c r="B3882" t="str">
        <f t="shared" si="695"/>
        <v>89383000</v>
      </c>
      <c r="C3882" t="str">
        <f t="shared" si="696"/>
        <v>89383002</v>
      </c>
      <c r="D3882">
        <v>89301212</v>
      </c>
      <c r="E3882" t="str">
        <f>"5454160184"</f>
        <v>5454160184</v>
      </c>
      <c r="F3882" s="1">
        <v>45041</v>
      </c>
      <c r="G3882" t="str">
        <f>"89512"</f>
        <v>89512</v>
      </c>
      <c r="H3882">
        <v>1</v>
      </c>
      <c r="I3882">
        <v>283</v>
      </c>
      <c r="J3882">
        <v>0</v>
      </c>
      <c r="K3882" t="str">
        <f t="shared" si="692"/>
        <v>809</v>
      </c>
      <c r="L3882">
        <v>416.01</v>
      </c>
    </row>
    <row r="3883" spans="1:12" x14ac:dyDescent="0.25">
      <c r="A3883" t="str">
        <f t="shared" si="693"/>
        <v>89301000</v>
      </c>
      <c r="B3883" t="str">
        <f t="shared" si="695"/>
        <v>89383000</v>
      </c>
      <c r="C3883" t="str">
        <f t="shared" si="696"/>
        <v>89383002</v>
      </c>
      <c r="D3883">
        <v>89301212</v>
      </c>
      <c r="E3883" t="str">
        <f>"5454160184"</f>
        <v>5454160184</v>
      </c>
      <c r="F3883" s="1">
        <v>45041</v>
      </c>
      <c r="G3883" t="str">
        <f>"89513"</f>
        <v>89513</v>
      </c>
      <c r="H3883">
        <v>1</v>
      </c>
      <c r="I3883">
        <v>378</v>
      </c>
      <c r="J3883">
        <v>0</v>
      </c>
      <c r="K3883" t="str">
        <f t="shared" si="692"/>
        <v>809</v>
      </c>
      <c r="L3883">
        <v>555.66</v>
      </c>
    </row>
    <row r="3884" spans="1:12" x14ac:dyDescent="0.25">
      <c r="A3884" t="str">
        <f t="shared" si="693"/>
        <v>89301000</v>
      </c>
      <c r="B3884" t="str">
        <f t="shared" ref="B3884:B3906" si="699">"89383000"</f>
        <v>89383000</v>
      </c>
      <c r="C3884" t="str">
        <f t="shared" ref="C3884:C3906" si="700">"89383002"</f>
        <v>89383002</v>
      </c>
      <c r="D3884">
        <v>89301212</v>
      </c>
      <c r="E3884" t="str">
        <f>"5454160184"</f>
        <v>5454160184</v>
      </c>
      <c r="F3884" s="1">
        <v>45041</v>
      </c>
      <c r="G3884" t="str">
        <f>"89514"</f>
        <v>89514</v>
      </c>
      <c r="H3884">
        <v>1</v>
      </c>
      <c r="I3884">
        <v>378</v>
      </c>
      <c r="J3884">
        <v>0</v>
      </c>
      <c r="K3884" t="str">
        <f t="shared" si="692"/>
        <v>809</v>
      </c>
      <c r="L3884">
        <v>555.66</v>
      </c>
    </row>
    <row r="3885" spans="1:12" x14ac:dyDescent="0.25">
      <c r="A3885" t="str">
        <f t="shared" si="693"/>
        <v>89301000</v>
      </c>
      <c r="B3885" t="str">
        <f t="shared" si="699"/>
        <v>89383000</v>
      </c>
      <c r="C3885" t="str">
        <f t="shared" si="700"/>
        <v>89383002</v>
      </c>
      <c r="D3885">
        <v>89301212</v>
      </c>
      <c r="E3885" t="str">
        <f>"6860140672"</f>
        <v>6860140672</v>
      </c>
      <c r="F3885" s="1">
        <v>45041</v>
      </c>
      <c r="G3885" t="str">
        <f>"89512"</f>
        <v>89512</v>
      </c>
      <c r="H3885">
        <v>1</v>
      </c>
      <c r="I3885">
        <v>283</v>
      </c>
      <c r="J3885">
        <v>0</v>
      </c>
      <c r="K3885" t="str">
        <f t="shared" si="692"/>
        <v>809</v>
      </c>
      <c r="L3885">
        <v>416.01</v>
      </c>
    </row>
    <row r="3886" spans="1:12" x14ac:dyDescent="0.25">
      <c r="A3886" t="str">
        <f t="shared" si="693"/>
        <v>89301000</v>
      </c>
      <c r="B3886" t="str">
        <f t="shared" si="699"/>
        <v>89383000</v>
      </c>
      <c r="C3886" t="str">
        <f t="shared" si="700"/>
        <v>89383002</v>
      </c>
      <c r="D3886">
        <v>89301212</v>
      </c>
      <c r="E3886" t="str">
        <f>"7557205304"</f>
        <v>7557205304</v>
      </c>
      <c r="F3886" s="1">
        <v>45042</v>
      </c>
      <c r="G3886" t="str">
        <f>"89180"</f>
        <v>89180</v>
      </c>
      <c r="H3886">
        <v>2</v>
      </c>
      <c r="I3886">
        <v>762</v>
      </c>
      <c r="J3886">
        <v>0</v>
      </c>
      <c r="K3886" t="str">
        <f t="shared" si="692"/>
        <v>809</v>
      </c>
      <c r="L3886">
        <v>1120.1400000000001</v>
      </c>
    </row>
    <row r="3887" spans="1:12" x14ac:dyDescent="0.25">
      <c r="A3887" t="str">
        <f t="shared" si="693"/>
        <v>89301000</v>
      </c>
      <c r="B3887" t="str">
        <f t="shared" si="699"/>
        <v>89383000</v>
      </c>
      <c r="C3887" t="str">
        <f t="shared" si="700"/>
        <v>89383002</v>
      </c>
      <c r="D3887">
        <v>89301212</v>
      </c>
      <c r="E3887" t="str">
        <f>"7557205304"</f>
        <v>7557205304</v>
      </c>
      <c r="F3887" s="1">
        <v>45042</v>
      </c>
      <c r="G3887" t="str">
        <f>"89512"</f>
        <v>89512</v>
      </c>
      <c r="H3887">
        <v>1</v>
      </c>
      <c r="I3887">
        <v>283</v>
      </c>
      <c r="J3887">
        <v>0</v>
      </c>
      <c r="K3887" t="str">
        <f t="shared" si="692"/>
        <v>809</v>
      </c>
      <c r="L3887">
        <v>416.01</v>
      </c>
    </row>
    <row r="3888" spans="1:12" x14ac:dyDescent="0.25">
      <c r="A3888" t="str">
        <f t="shared" si="693"/>
        <v>89301000</v>
      </c>
      <c r="B3888" t="str">
        <f t="shared" si="699"/>
        <v>89383000</v>
      </c>
      <c r="C3888" t="str">
        <f t="shared" si="700"/>
        <v>89383002</v>
      </c>
      <c r="D3888">
        <v>89301212</v>
      </c>
      <c r="E3888" t="str">
        <f>"7557205304"</f>
        <v>7557205304</v>
      </c>
      <c r="F3888" s="1">
        <v>45042</v>
      </c>
      <c r="G3888" t="str">
        <f>"89513"</f>
        <v>89513</v>
      </c>
      <c r="H3888">
        <v>1</v>
      </c>
      <c r="I3888">
        <v>378</v>
      </c>
      <c r="J3888">
        <v>0</v>
      </c>
      <c r="K3888" t="str">
        <f t="shared" si="692"/>
        <v>809</v>
      </c>
      <c r="L3888">
        <v>555.66</v>
      </c>
    </row>
    <row r="3889" spans="1:12" x14ac:dyDescent="0.25">
      <c r="A3889" t="str">
        <f t="shared" si="693"/>
        <v>89301000</v>
      </c>
      <c r="B3889" t="str">
        <f t="shared" si="699"/>
        <v>89383000</v>
      </c>
      <c r="C3889" t="str">
        <f t="shared" si="700"/>
        <v>89383002</v>
      </c>
      <c r="D3889">
        <v>89301212</v>
      </c>
      <c r="E3889" t="str">
        <f>"7557205304"</f>
        <v>7557205304</v>
      </c>
      <c r="F3889" s="1">
        <v>45042</v>
      </c>
      <c r="G3889" t="str">
        <f>"89514"</f>
        <v>89514</v>
      </c>
      <c r="H3889">
        <v>1</v>
      </c>
      <c r="I3889">
        <v>378</v>
      </c>
      <c r="J3889">
        <v>0</v>
      </c>
      <c r="K3889" t="str">
        <f t="shared" si="692"/>
        <v>809</v>
      </c>
      <c r="L3889">
        <v>555.66</v>
      </c>
    </row>
    <row r="3890" spans="1:12" x14ac:dyDescent="0.25">
      <c r="A3890" t="str">
        <f t="shared" si="693"/>
        <v>89301000</v>
      </c>
      <c r="B3890" t="str">
        <f t="shared" si="699"/>
        <v>89383000</v>
      </c>
      <c r="C3890" t="str">
        <f t="shared" si="700"/>
        <v>89383002</v>
      </c>
      <c r="D3890">
        <v>89301045</v>
      </c>
      <c r="E3890" t="str">
        <f t="shared" ref="E3890:E3895" si="701">"5852182017"</f>
        <v>5852182017</v>
      </c>
      <c r="F3890" s="1">
        <v>45042</v>
      </c>
      <c r="G3890" t="str">
        <f>"89313"</f>
        <v>89313</v>
      </c>
      <c r="H3890">
        <v>1</v>
      </c>
      <c r="I3890">
        <v>420</v>
      </c>
      <c r="J3890">
        <v>0</v>
      </c>
      <c r="K3890" t="str">
        <f t="shared" si="692"/>
        <v>809</v>
      </c>
      <c r="L3890">
        <v>617.4</v>
      </c>
    </row>
    <row r="3891" spans="1:12" x14ac:dyDescent="0.25">
      <c r="A3891" t="str">
        <f t="shared" si="693"/>
        <v>89301000</v>
      </c>
      <c r="B3891" t="str">
        <f t="shared" si="699"/>
        <v>89383000</v>
      </c>
      <c r="C3891" t="str">
        <f t="shared" si="700"/>
        <v>89383002</v>
      </c>
      <c r="D3891">
        <v>89301045</v>
      </c>
      <c r="E3891" t="str">
        <f t="shared" si="701"/>
        <v>5852182017</v>
      </c>
      <c r="F3891" s="1">
        <v>45042</v>
      </c>
      <c r="G3891" t="str">
        <f>"09233"</f>
        <v>09233</v>
      </c>
      <c r="H3891">
        <v>1</v>
      </c>
      <c r="I3891">
        <v>102</v>
      </c>
      <c r="J3891">
        <v>0</v>
      </c>
      <c r="K3891" t="str">
        <f t="shared" si="692"/>
        <v>809</v>
      </c>
      <c r="L3891">
        <v>149.94</v>
      </c>
    </row>
    <row r="3892" spans="1:12" x14ac:dyDescent="0.25">
      <c r="A3892" t="str">
        <f t="shared" si="693"/>
        <v>89301000</v>
      </c>
      <c r="B3892" t="str">
        <f t="shared" si="699"/>
        <v>89383000</v>
      </c>
      <c r="C3892" t="str">
        <f t="shared" si="700"/>
        <v>89383002</v>
      </c>
      <c r="D3892">
        <v>89301045</v>
      </c>
      <c r="E3892" t="str">
        <f t="shared" si="701"/>
        <v>5852182017</v>
      </c>
      <c r="F3892" s="1">
        <v>45042</v>
      </c>
      <c r="G3892" t="str">
        <f>"89512"</f>
        <v>89512</v>
      </c>
      <c r="H3892">
        <v>1</v>
      </c>
      <c r="I3892">
        <v>283</v>
      </c>
      <c r="J3892">
        <v>0</v>
      </c>
      <c r="K3892" t="str">
        <f t="shared" si="692"/>
        <v>809</v>
      </c>
      <c r="L3892">
        <v>416.01</v>
      </c>
    </row>
    <row r="3893" spans="1:12" x14ac:dyDescent="0.25">
      <c r="A3893" t="str">
        <f t="shared" si="693"/>
        <v>89301000</v>
      </c>
      <c r="B3893" t="str">
        <f t="shared" si="699"/>
        <v>89383000</v>
      </c>
      <c r="C3893" t="str">
        <f t="shared" si="700"/>
        <v>89383002</v>
      </c>
      <c r="D3893">
        <v>89301045</v>
      </c>
      <c r="E3893" t="str">
        <f t="shared" si="701"/>
        <v>5852182017</v>
      </c>
      <c r="F3893" s="1">
        <v>45042</v>
      </c>
      <c r="G3893" t="str">
        <f>"89180"</f>
        <v>89180</v>
      </c>
      <c r="H3893">
        <v>2</v>
      </c>
      <c r="I3893">
        <v>762</v>
      </c>
      <c r="J3893">
        <v>0</v>
      </c>
      <c r="K3893" t="str">
        <f t="shared" si="692"/>
        <v>809</v>
      </c>
      <c r="L3893">
        <v>1120.1400000000001</v>
      </c>
    </row>
    <row r="3894" spans="1:12" x14ac:dyDescent="0.25">
      <c r="A3894" t="str">
        <f t="shared" si="693"/>
        <v>89301000</v>
      </c>
      <c r="B3894" t="str">
        <f t="shared" si="699"/>
        <v>89383000</v>
      </c>
      <c r="C3894" t="str">
        <f t="shared" si="700"/>
        <v>89383002</v>
      </c>
      <c r="D3894">
        <v>89301045</v>
      </c>
      <c r="E3894" t="str">
        <f t="shared" si="701"/>
        <v>5852182017</v>
      </c>
      <c r="F3894" s="1">
        <v>45042</v>
      </c>
      <c r="G3894" t="str">
        <f>"0142906"</f>
        <v>0142906</v>
      </c>
      <c r="H3894">
        <v>1</v>
      </c>
      <c r="J3894">
        <v>6990</v>
      </c>
      <c r="K3894" t="str">
        <f t="shared" si="692"/>
        <v>809</v>
      </c>
      <c r="L3894">
        <v>6990</v>
      </c>
    </row>
    <row r="3895" spans="1:12" x14ac:dyDescent="0.25">
      <c r="A3895" t="str">
        <f t="shared" si="693"/>
        <v>89301000</v>
      </c>
      <c r="B3895" t="str">
        <f t="shared" si="699"/>
        <v>89383000</v>
      </c>
      <c r="C3895" t="str">
        <f t="shared" si="700"/>
        <v>89383002</v>
      </c>
      <c r="D3895">
        <v>89301045</v>
      </c>
      <c r="E3895" t="str">
        <f t="shared" si="701"/>
        <v>5852182017</v>
      </c>
      <c r="F3895" s="1">
        <v>45042</v>
      </c>
      <c r="G3895" t="str">
        <f>"0225891"</f>
        <v>0225891</v>
      </c>
      <c r="H3895">
        <v>0.05</v>
      </c>
      <c r="J3895">
        <v>18.39</v>
      </c>
      <c r="K3895" t="str">
        <f t="shared" si="692"/>
        <v>809</v>
      </c>
      <c r="L3895">
        <v>18.39</v>
      </c>
    </row>
    <row r="3896" spans="1:12" x14ac:dyDescent="0.25">
      <c r="A3896" t="str">
        <f t="shared" si="693"/>
        <v>89301000</v>
      </c>
      <c r="B3896" t="str">
        <f t="shared" si="699"/>
        <v>89383000</v>
      </c>
      <c r="C3896" t="str">
        <f t="shared" si="700"/>
        <v>89383002</v>
      </c>
      <c r="D3896">
        <v>89301045</v>
      </c>
      <c r="E3896" t="str">
        <f t="shared" ref="E3896:E3901" si="702">"6958285818"</f>
        <v>6958285818</v>
      </c>
      <c r="F3896" s="1">
        <v>45042</v>
      </c>
      <c r="G3896" t="str">
        <f>"89343"</f>
        <v>89343</v>
      </c>
      <c r="H3896">
        <v>1</v>
      </c>
      <c r="I3896">
        <v>5027</v>
      </c>
      <c r="J3896">
        <v>0</v>
      </c>
      <c r="K3896" t="str">
        <f t="shared" si="692"/>
        <v>809</v>
      </c>
      <c r="L3896">
        <v>7389.69</v>
      </c>
    </row>
    <row r="3897" spans="1:12" x14ac:dyDescent="0.25">
      <c r="A3897" t="str">
        <f t="shared" si="693"/>
        <v>89301000</v>
      </c>
      <c r="B3897" t="str">
        <f t="shared" si="699"/>
        <v>89383000</v>
      </c>
      <c r="C3897" t="str">
        <f t="shared" si="700"/>
        <v>89383002</v>
      </c>
      <c r="D3897">
        <v>89301045</v>
      </c>
      <c r="E3897" t="str">
        <f t="shared" si="702"/>
        <v>6958285818</v>
      </c>
      <c r="F3897" s="1">
        <v>45042</v>
      </c>
      <c r="G3897" t="str">
        <f>"89512"</f>
        <v>89512</v>
      </c>
      <c r="H3897">
        <v>1</v>
      </c>
      <c r="I3897">
        <v>283</v>
      </c>
      <c r="J3897">
        <v>0</v>
      </c>
      <c r="K3897" t="str">
        <f t="shared" si="692"/>
        <v>809</v>
      </c>
      <c r="L3897">
        <v>416.01</v>
      </c>
    </row>
    <row r="3898" spans="1:12" x14ac:dyDescent="0.25">
      <c r="A3898" t="str">
        <f t="shared" si="693"/>
        <v>89301000</v>
      </c>
      <c r="B3898" t="str">
        <f t="shared" si="699"/>
        <v>89383000</v>
      </c>
      <c r="C3898" t="str">
        <f t="shared" si="700"/>
        <v>89383002</v>
      </c>
      <c r="D3898">
        <v>89301045</v>
      </c>
      <c r="E3898" t="str">
        <f t="shared" si="702"/>
        <v>6958285818</v>
      </c>
      <c r="F3898" s="1">
        <v>45042</v>
      </c>
      <c r="G3898" t="str">
        <f>"89180"</f>
        <v>89180</v>
      </c>
      <c r="H3898">
        <v>1</v>
      </c>
      <c r="I3898">
        <v>381</v>
      </c>
      <c r="J3898">
        <v>0</v>
      </c>
      <c r="K3898" t="str">
        <f t="shared" si="692"/>
        <v>809</v>
      </c>
      <c r="L3898">
        <v>560.07000000000005</v>
      </c>
    </row>
    <row r="3899" spans="1:12" x14ac:dyDescent="0.25">
      <c r="A3899" t="str">
        <f t="shared" si="693"/>
        <v>89301000</v>
      </c>
      <c r="B3899" t="str">
        <f t="shared" si="699"/>
        <v>89383000</v>
      </c>
      <c r="C3899" t="str">
        <f t="shared" si="700"/>
        <v>89383002</v>
      </c>
      <c r="D3899">
        <v>89301045</v>
      </c>
      <c r="E3899" t="str">
        <f t="shared" si="702"/>
        <v>6958285818</v>
      </c>
      <c r="F3899" s="1">
        <v>45042</v>
      </c>
      <c r="G3899" t="str">
        <f>"0093109"</f>
        <v>0093109</v>
      </c>
      <c r="H3899">
        <v>0.1</v>
      </c>
      <c r="J3899">
        <v>26.08</v>
      </c>
      <c r="K3899" t="str">
        <f t="shared" si="692"/>
        <v>809</v>
      </c>
      <c r="L3899">
        <v>26.08</v>
      </c>
    </row>
    <row r="3900" spans="1:12" x14ac:dyDescent="0.25">
      <c r="A3900" t="str">
        <f t="shared" si="693"/>
        <v>89301000</v>
      </c>
      <c r="B3900" t="str">
        <f t="shared" si="699"/>
        <v>89383000</v>
      </c>
      <c r="C3900" t="str">
        <f t="shared" si="700"/>
        <v>89383002</v>
      </c>
      <c r="D3900">
        <v>89301045</v>
      </c>
      <c r="E3900" t="str">
        <f t="shared" si="702"/>
        <v>6958285818</v>
      </c>
      <c r="F3900" s="1">
        <v>45042</v>
      </c>
      <c r="G3900" t="str">
        <f>"0006707"</f>
        <v>0006707</v>
      </c>
      <c r="H3900">
        <v>1</v>
      </c>
      <c r="J3900">
        <v>9783.27</v>
      </c>
      <c r="K3900" t="str">
        <f t="shared" si="692"/>
        <v>809</v>
      </c>
      <c r="L3900">
        <v>9783.27</v>
      </c>
    </row>
    <row r="3901" spans="1:12" x14ac:dyDescent="0.25">
      <c r="A3901" t="str">
        <f t="shared" si="693"/>
        <v>89301000</v>
      </c>
      <c r="B3901" t="str">
        <f t="shared" si="699"/>
        <v>89383000</v>
      </c>
      <c r="C3901" t="str">
        <f t="shared" si="700"/>
        <v>89383002</v>
      </c>
      <c r="D3901">
        <v>89301045</v>
      </c>
      <c r="E3901" t="str">
        <f t="shared" si="702"/>
        <v>6958285818</v>
      </c>
      <c r="F3901" s="1">
        <v>45042</v>
      </c>
      <c r="G3901" t="str">
        <f>"0030303"</f>
        <v>0030303</v>
      </c>
      <c r="H3901">
        <v>1</v>
      </c>
      <c r="J3901">
        <v>3544</v>
      </c>
      <c r="K3901" t="str">
        <f t="shared" si="692"/>
        <v>809</v>
      </c>
      <c r="L3901">
        <v>3544</v>
      </c>
    </row>
    <row r="3902" spans="1:12" x14ac:dyDescent="0.25">
      <c r="A3902" t="str">
        <f t="shared" si="693"/>
        <v>89301000</v>
      </c>
      <c r="B3902" t="str">
        <f t="shared" si="699"/>
        <v>89383000</v>
      </c>
      <c r="C3902" t="str">
        <f t="shared" si="700"/>
        <v>89383002</v>
      </c>
      <c r="D3902">
        <v>89301212</v>
      </c>
      <c r="E3902" t="str">
        <f>"7553205352"</f>
        <v>7553205352</v>
      </c>
      <c r="F3902" s="1">
        <v>45042</v>
      </c>
      <c r="G3902" t="str">
        <f>"89512"</f>
        <v>89512</v>
      </c>
      <c r="H3902">
        <v>1</v>
      </c>
      <c r="I3902">
        <v>283</v>
      </c>
      <c r="J3902">
        <v>0</v>
      </c>
      <c r="K3902" t="str">
        <f t="shared" si="692"/>
        <v>809</v>
      </c>
      <c r="L3902">
        <v>416.01</v>
      </c>
    </row>
    <row r="3903" spans="1:12" x14ac:dyDescent="0.25">
      <c r="A3903" t="str">
        <f t="shared" si="693"/>
        <v>89301000</v>
      </c>
      <c r="B3903" t="str">
        <f t="shared" si="699"/>
        <v>89383000</v>
      </c>
      <c r="C3903" t="str">
        <f t="shared" si="700"/>
        <v>89383002</v>
      </c>
      <c r="D3903">
        <v>89301212</v>
      </c>
      <c r="E3903" t="str">
        <f>"5652041967"</f>
        <v>5652041967</v>
      </c>
      <c r="F3903" s="1">
        <v>45044</v>
      </c>
      <c r="G3903" t="str">
        <f>"89180"</f>
        <v>89180</v>
      </c>
      <c r="H3903">
        <v>2</v>
      </c>
      <c r="I3903">
        <v>762</v>
      </c>
      <c r="J3903">
        <v>0</v>
      </c>
      <c r="K3903" t="str">
        <f t="shared" si="692"/>
        <v>809</v>
      </c>
      <c r="L3903">
        <v>1120.1400000000001</v>
      </c>
    </row>
    <row r="3904" spans="1:12" x14ac:dyDescent="0.25">
      <c r="A3904" t="str">
        <f t="shared" si="693"/>
        <v>89301000</v>
      </c>
      <c r="B3904" t="str">
        <f t="shared" si="699"/>
        <v>89383000</v>
      </c>
      <c r="C3904" t="str">
        <f t="shared" si="700"/>
        <v>89383002</v>
      </c>
      <c r="D3904">
        <v>89301212</v>
      </c>
      <c r="E3904" t="str">
        <f>"5652041967"</f>
        <v>5652041967</v>
      </c>
      <c r="F3904" s="1">
        <v>45044</v>
      </c>
      <c r="G3904" t="str">
        <f>"89512"</f>
        <v>89512</v>
      </c>
      <c r="H3904">
        <v>1</v>
      </c>
      <c r="I3904">
        <v>283</v>
      </c>
      <c r="J3904">
        <v>0</v>
      </c>
      <c r="K3904" t="str">
        <f t="shared" si="692"/>
        <v>809</v>
      </c>
      <c r="L3904">
        <v>416.01</v>
      </c>
    </row>
    <row r="3905" spans="1:12" x14ac:dyDescent="0.25">
      <c r="A3905" t="str">
        <f t="shared" si="693"/>
        <v>89301000</v>
      </c>
      <c r="B3905" t="str">
        <f t="shared" si="699"/>
        <v>89383000</v>
      </c>
      <c r="C3905" t="str">
        <f t="shared" si="700"/>
        <v>89383002</v>
      </c>
      <c r="D3905">
        <v>89301212</v>
      </c>
      <c r="E3905" t="str">
        <f>"5652041967"</f>
        <v>5652041967</v>
      </c>
      <c r="F3905" s="1">
        <v>45044</v>
      </c>
      <c r="G3905" t="str">
        <f>"89513"</f>
        <v>89513</v>
      </c>
      <c r="H3905">
        <v>1</v>
      </c>
      <c r="I3905">
        <v>378</v>
      </c>
      <c r="J3905">
        <v>0</v>
      </c>
      <c r="K3905" t="str">
        <f t="shared" ref="K3905:K3968" si="703">"809"</f>
        <v>809</v>
      </c>
      <c r="L3905">
        <v>555.66</v>
      </c>
    </row>
    <row r="3906" spans="1:12" x14ac:dyDescent="0.25">
      <c r="A3906" t="str">
        <f t="shared" ref="A3906:A3969" si="704">"89301000"</f>
        <v>89301000</v>
      </c>
      <c r="B3906" t="str">
        <f t="shared" si="699"/>
        <v>89383000</v>
      </c>
      <c r="C3906" t="str">
        <f t="shared" si="700"/>
        <v>89383002</v>
      </c>
      <c r="D3906">
        <v>89301212</v>
      </c>
      <c r="E3906" t="str">
        <f>"5652041967"</f>
        <v>5652041967</v>
      </c>
      <c r="F3906" s="1">
        <v>45044</v>
      </c>
      <c r="G3906" t="str">
        <f>"89514"</f>
        <v>89514</v>
      </c>
      <c r="H3906">
        <v>1</v>
      </c>
      <c r="I3906">
        <v>378</v>
      </c>
      <c r="J3906">
        <v>0</v>
      </c>
      <c r="K3906" t="str">
        <f t="shared" si="703"/>
        <v>809</v>
      </c>
      <c r="L3906">
        <v>555.66</v>
      </c>
    </row>
    <row r="3907" spans="1:12" x14ac:dyDescent="0.25">
      <c r="A3907" t="str">
        <f t="shared" si="704"/>
        <v>89301000</v>
      </c>
      <c r="B3907" t="str">
        <f t="shared" ref="B3907:B3912" si="705">"78610000"</f>
        <v>78610000</v>
      </c>
      <c r="C3907" t="str">
        <f t="shared" ref="C3907:C3912" si="706">"78610001"</f>
        <v>78610001</v>
      </c>
      <c r="D3907">
        <v>89301055</v>
      </c>
      <c r="E3907" t="str">
        <f>"5706211467"</f>
        <v>5706211467</v>
      </c>
      <c r="F3907" s="1">
        <v>45041</v>
      </c>
      <c r="G3907" t="str">
        <f t="shared" ref="G3907:G3912" si="707">"89517"</f>
        <v>89517</v>
      </c>
      <c r="H3907">
        <v>1</v>
      </c>
      <c r="I3907">
        <v>994</v>
      </c>
      <c r="J3907">
        <v>0</v>
      </c>
      <c r="K3907" t="str">
        <f t="shared" si="703"/>
        <v>809</v>
      </c>
      <c r="L3907">
        <v>1461.18</v>
      </c>
    </row>
    <row r="3908" spans="1:12" x14ac:dyDescent="0.25">
      <c r="A3908" t="str">
        <f t="shared" si="704"/>
        <v>89301000</v>
      </c>
      <c r="B3908" t="str">
        <f t="shared" si="705"/>
        <v>78610000</v>
      </c>
      <c r="C3908" t="str">
        <f t="shared" si="706"/>
        <v>78610001</v>
      </c>
      <c r="D3908">
        <v>89301055</v>
      </c>
      <c r="E3908" t="str">
        <f>"6953155319"</f>
        <v>6953155319</v>
      </c>
      <c r="F3908" s="1">
        <v>45021</v>
      </c>
      <c r="G3908" t="str">
        <f t="shared" si="707"/>
        <v>89517</v>
      </c>
      <c r="H3908">
        <v>1</v>
      </c>
      <c r="I3908">
        <v>994</v>
      </c>
      <c r="J3908">
        <v>0</v>
      </c>
      <c r="K3908" t="str">
        <f t="shared" si="703"/>
        <v>809</v>
      </c>
      <c r="L3908">
        <v>1461.18</v>
      </c>
    </row>
    <row r="3909" spans="1:12" x14ac:dyDescent="0.25">
      <c r="A3909" t="str">
        <f t="shared" si="704"/>
        <v>89301000</v>
      </c>
      <c r="B3909" t="str">
        <f t="shared" si="705"/>
        <v>78610000</v>
      </c>
      <c r="C3909" t="str">
        <f t="shared" si="706"/>
        <v>78610001</v>
      </c>
      <c r="D3909">
        <v>89301055</v>
      </c>
      <c r="E3909" t="str">
        <f>"7658235310"</f>
        <v>7658235310</v>
      </c>
      <c r="F3909" s="1">
        <v>45021</v>
      </c>
      <c r="G3909" t="str">
        <f t="shared" si="707"/>
        <v>89517</v>
      </c>
      <c r="H3909">
        <v>1</v>
      </c>
      <c r="I3909">
        <v>994</v>
      </c>
      <c r="J3909">
        <v>0</v>
      </c>
      <c r="K3909" t="str">
        <f t="shared" si="703"/>
        <v>809</v>
      </c>
      <c r="L3909">
        <v>1461.18</v>
      </c>
    </row>
    <row r="3910" spans="1:12" x14ac:dyDescent="0.25">
      <c r="A3910" t="str">
        <f t="shared" si="704"/>
        <v>89301000</v>
      </c>
      <c r="B3910" t="str">
        <f t="shared" si="705"/>
        <v>78610000</v>
      </c>
      <c r="C3910" t="str">
        <f t="shared" si="706"/>
        <v>78610001</v>
      </c>
      <c r="D3910">
        <v>89301055</v>
      </c>
      <c r="E3910" t="str">
        <f>"8651245779"</f>
        <v>8651245779</v>
      </c>
      <c r="F3910" s="1">
        <v>45027</v>
      </c>
      <c r="G3910" t="str">
        <f t="shared" si="707"/>
        <v>89517</v>
      </c>
      <c r="H3910">
        <v>1</v>
      </c>
      <c r="I3910">
        <v>994</v>
      </c>
      <c r="J3910">
        <v>0</v>
      </c>
      <c r="K3910" t="str">
        <f t="shared" si="703"/>
        <v>809</v>
      </c>
      <c r="L3910">
        <v>1461.18</v>
      </c>
    </row>
    <row r="3911" spans="1:12" x14ac:dyDescent="0.25">
      <c r="A3911" t="str">
        <f t="shared" si="704"/>
        <v>89301000</v>
      </c>
      <c r="B3911" t="str">
        <f t="shared" si="705"/>
        <v>78610000</v>
      </c>
      <c r="C3911" t="str">
        <f t="shared" si="706"/>
        <v>78610001</v>
      </c>
      <c r="D3911">
        <v>89301055</v>
      </c>
      <c r="E3911" t="str">
        <f>"8656295769"</f>
        <v>8656295769</v>
      </c>
      <c r="F3911" s="1">
        <v>45040</v>
      </c>
      <c r="G3911" t="str">
        <f t="shared" si="707"/>
        <v>89517</v>
      </c>
      <c r="H3911">
        <v>1</v>
      </c>
      <c r="I3911">
        <v>994</v>
      </c>
      <c r="J3911">
        <v>0</v>
      </c>
      <c r="K3911" t="str">
        <f t="shared" si="703"/>
        <v>809</v>
      </c>
      <c r="L3911">
        <v>1461.18</v>
      </c>
    </row>
    <row r="3912" spans="1:12" x14ac:dyDescent="0.25">
      <c r="A3912" t="str">
        <f t="shared" si="704"/>
        <v>89301000</v>
      </c>
      <c r="B3912" t="str">
        <f t="shared" si="705"/>
        <v>78610000</v>
      </c>
      <c r="C3912" t="str">
        <f t="shared" si="706"/>
        <v>78610001</v>
      </c>
      <c r="D3912">
        <v>89301052</v>
      </c>
      <c r="E3912" t="str">
        <f>"8762139331"</f>
        <v>8762139331</v>
      </c>
      <c r="F3912" s="1">
        <v>45041</v>
      </c>
      <c r="G3912" t="str">
        <f t="shared" si="707"/>
        <v>89517</v>
      </c>
      <c r="H3912">
        <v>1</v>
      </c>
      <c r="I3912">
        <v>994</v>
      </c>
      <c r="J3912">
        <v>0</v>
      </c>
      <c r="K3912" t="str">
        <f t="shared" si="703"/>
        <v>809</v>
      </c>
      <c r="L3912">
        <v>1461.18</v>
      </c>
    </row>
    <row r="3913" spans="1:12" x14ac:dyDescent="0.25">
      <c r="A3913" t="str">
        <f t="shared" si="704"/>
        <v>89301000</v>
      </c>
      <c r="B3913" t="str">
        <f t="shared" ref="B3913:B3944" si="708">"78915000"</f>
        <v>78915000</v>
      </c>
      <c r="C3913" t="str">
        <f t="shared" ref="C3913:C3944" si="709">"78915001"</f>
        <v>78915001</v>
      </c>
      <c r="D3913">
        <v>89301112</v>
      </c>
      <c r="E3913" t="str">
        <f>"0511135262"</f>
        <v>0511135262</v>
      </c>
      <c r="F3913" s="1">
        <v>45034</v>
      </c>
      <c r="G3913" t="str">
        <f>"09569"</f>
        <v>09569</v>
      </c>
      <c r="H3913">
        <v>1</v>
      </c>
      <c r="I3913">
        <v>0</v>
      </c>
      <c r="J3913">
        <v>0</v>
      </c>
      <c r="K3913" t="str">
        <f t="shared" si="703"/>
        <v>809</v>
      </c>
      <c r="L3913">
        <v>0</v>
      </c>
    </row>
    <row r="3914" spans="1:12" x14ac:dyDescent="0.25">
      <c r="A3914" t="str">
        <f t="shared" si="704"/>
        <v>89301000</v>
      </c>
      <c r="B3914" t="str">
        <f t="shared" si="708"/>
        <v>78915000</v>
      </c>
      <c r="C3914" t="str">
        <f t="shared" si="709"/>
        <v>78915001</v>
      </c>
      <c r="D3914">
        <v>89301112</v>
      </c>
      <c r="E3914" t="str">
        <f>"0511135262"</f>
        <v>0511135262</v>
      </c>
      <c r="F3914" s="1">
        <v>45034</v>
      </c>
      <c r="G3914" t="str">
        <f>"89713"</f>
        <v>89713</v>
      </c>
      <c r="H3914">
        <v>1</v>
      </c>
      <c r="I3914">
        <v>5411</v>
      </c>
      <c r="J3914">
        <v>0</v>
      </c>
      <c r="K3914" t="str">
        <f t="shared" si="703"/>
        <v>809</v>
      </c>
      <c r="L3914">
        <v>3517.15</v>
      </c>
    </row>
    <row r="3915" spans="1:12" x14ac:dyDescent="0.25">
      <c r="A3915" t="str">
        <f t="shared" si="704"/>
        <v>89301000</v>
      </c>
      <c r="B3915" t="str">
        <f t="shared" si="708"/>
        <v>78915000</v>
      </c>
      <c r="C3915" t="str">
        <f t="shared" si="709"/>
        <v>78915001</v>
      </c>
      <c r="D3915">
        <v>89301312</v>
      </c>
      <c r="E3915" t="str">
        <f>"1104220282"</f>
        <v>1104220282</v>
      </c>
      <c r="F3915" s="1">
        <v>45042</v>
      </c>
      <c r="G3915" t="str">
        <f>"09569"</f>
        <v>09569</v>
      </c>
      <c r="H3915">
        <v>1</v>
      </c>
      <c r="I3915">
        <v>0</v>
      </c>
      <c r="J3915">
        <v>0</v>
      </c>
      <c r="K3915" t="str">
        <f t="shared" si="703"/>
        <v>809</v>
      </c>
      <c r="L3915">
        <v>0</v>
      </c>
    </row>
    <row r="3916" spans="1:12" x14ac:dyDescent="0.25">
      <c r="A3916" t="str">
        <f t="shared" si="704"/>
        <v>89301000</v>
      </c>
      <c r="B3916" t="str">
        <f t="shared" si="708"/>
        <v>78915000</v>
      </c>
      <c r="C3916" t="str">
        <f t="shared" si="709"/>
        <v>78915001</v>
      </c>
      <c r="D3916">
        <v>89301312</v>
      </c>
      <c r="E3916" t="str">
        <f>"1104220282"</f>
        <v>1104220282</v>
      </c>
      <c r="F3916" s="1">
        <v>45042</v>
      </c>
      <c r="G3916" t="str">
        <f>"89713"</f>
        <v>89713</v>
      </c>
      <c r="H3916">
        <v>1</v>
      </c>
      <c r="I3916">
        <v>5411</v>
      </c>
      <c r="J3916">
        <v>0</v>
      </c>
      <c r="K3916" t="str">
        <f t="shared" si="703"/>
        <v>809</v>
      </c>
      <c r="L3916">
        <v>3517.15</v>
      </c>
    </row>
    <row r="3917" spans="1:12" x14ac:dyDescent="0.25">
      <c r="A3917" t="str">
        <f t="shared" si="704"/>
        <v>89301000</v>
      </c>
      <c r="B3917" t="str">
        <f t="shared" si="708"/>
        <v>78915000</v>
      </c>
      <c r="C3917" t="str">
        <f t="shared" si="709"/>
        <v>78915001</v>
      </c>
      <c r="D3917">
        <v>89301215</v>
      </c>
      <c r="E3917" t="str">
        <f>"510610030"</f>
        <v>510610030</v>
      </c>
      <c r="F3917" s="1">
        <v>45030</v>
      </c>
      <c r="G3917" t="str">
        <f>"89715"</f>
        <v>89715</v>
      </c>
      <c r="H3917">
        <v>1</v>
      </c>
      <c r="I3917">
        <v>5523</v>
      </c>
      <c r="J3917">
        <v>0</v>
      </c>
      <c r="K3917" t="str">
        <f t="shared" si="703"/>
        <v>809</v>
      </c>
      <c r="L3917">
        <v>3589.95</v>
      </c>
    </row>
    <row r="3918" spans="1:12" x14ac:dyDescent="0.25">
      <c r="A3918" t="str">
        <f t="shared" si="704"/>
        <v>89301000</v>
      </c>
      <c r="B3918" t="str">
        <f t="shared" si="708"/>
        <v>78915000</v>
      </c>
      <c r="C3918" t="str">
        <f t="shared" si="709"/>
        <v>78915001</v>
      </c>
      <c r="D3918">
        <v>89301062</v>
      </c>
      <c r="E3918" t="str">
        <f>"515917074"</f>
        <v>515917074</v>
      </c>
      <c r="F3918" s="1">
        <v>45034</v>
      </c>
      <c r="G3918" t="str">
        <f>"89713"</f>
        <v>89713</v>
      </c>
      <c r="H3918">
        <v>1</v>
      </c>
      <c r="I3918">
        <v>5411</v>
      </c>
      <c r="J3918">
        <v>0</v>
      </c>
      <c r="K3918" t="str">
        <f t="shared" si="703"/>
        <v>809</v>
      </c>
      <c r="L3918">
        <v>3517.15</v>
      </c>
    </row>
    <row r="3919" spans="1:12" x14ac:dyDescent="0.25">
      <c r="A3919" t="str">
        <f t="shared" si="704"/>
        <v>89301000</v>
      </c>
      <c r="B3919" t="str">
        <f t="shared" si="708"/>
        <v>78915000</v>
      </c>
      <c r="C3919" t="str">
        <f t="shared" si="709"/>
        <v>78915001</v>
      </c>
      <c r="D3919">
        <v>89301062</v>
      </c>
      <c r="E3919" t="str">
        <f>"515917074"</f>
        <v>515917074</v>
      </c>
      <c r="F3919" s="1">
        <v>45034</v>
      </c>
      <c r="G3919" t="str">
        <f>"89725"</f>
        <v>89725</v>
      </c>
      <c r="H3919">
        <v>1</v>
      </c>
      <c r="I3919">
        <v>2863</v>
      </c>
      <c r="J3919">
        <v>0</v>
      </c>
      <c r="K3919" t="str">
        <f t="shared" si="703"/>
        <v>809</v>
      </c>
      <c r="L3919">
        <v>1860.95</v>
      </c>
    </row>
    <row r="3920" spans="1:12" x14ac:dyDescent="0.25">
      <c r="A3920" t="str">
        <f t="shared" si="704"/>
        <v>89301000</v>
      </c>
      <c r="B3920" t="str">
        <f t="shared" si="708"/>
        <v>78915000</v>
      </c>
      <c r="C3920" t="str">
        <f t="shared" si="709"/>
        <v>78915001</v>
      </c>
      <c r="D3920">
        <v>89301045</v>
      </c>
      <c r="E3920" t="str">
        <f>"5852182017"</f>
        <v>5852182017</v>
      </c>
      <c r="F3920" s="1">
        <v>45028</v>
      </c>
      <c r="G3920" t="str">
        <f>"89715"</f>
        <v>89715</v>
      </c>
      <c r="H3920">
        <v>1</v>
      </c>
      <c r="I3920">
        <v>5523</v>
      </c>
      <c r="J3920">
        <v>0</v>
      </c>
      <c r="K3920" t="str">
        <f t="shared" si="703"/>
        <v>809</v>
      </c>
      <c r="L3920">
        <v>3589.95</v>
      </c>
    </row>
    <row r="3921" spans="1:12" x14ac:dyDescent="0.25">
      <c r="A3921" t="str">
        <f t="shared" si="704"/>
        <v>89301000</v>
      </c>
      <c r="B3921" t="str">
        <f t="shared" si="708"/>
        <v>78915000</v>
      </c>
      <c r="C3921" t="str">
        <f t="shared" si="709"/>
        <v>78915001</v>
      </c>
      <c r="D3921">
        <v>89301045</v>
      </c>
      <c r="E3921" t="str">
        <f>"5852182017"</f>
        <v>5852182017</v>
      </c>
      <c r="F3921" s="1">
        <v>45028</v>
      </c>
      <c r="G3921" t="str">
        <f>"89725"</f>
        <v>89725</v>
      </c>
      <c r="H3921">
        <v>1</v>
      </c>
      <c r="I3921">
        <v>2863</v>
      </c>
      <c r="J3921">
        <v>0</v>
      </c>
      <c r="K3921" t="str">
        <f t="shared" si="703"/>
        <v>809</v>
      </c>
      <c r="L3921">
        <v>1860.95</v>
      </c>
    </row>
    <row r="3922" spans="1:12" x14ac:dyDescent="0.25">
      <c r="A3922" t="str">
        <f t="shared" si="704"/>
        <v>89301000</v>
      </c>
      <c r="B3922" t="str">
        <f t="shared" si="708"/>
        <v>78915000</v>
      </c>
      <c r="C3922" t="str">
        <f t="shared" si="709"/>
        <v>78915001</v>
      </c>
      <c r="D3922">
        <v>89301045</v>
      </c>
      <c r="E3922" t="str">
        <f>"5852182017"</f>
        <v>5852182017</v>
      </c>
      <c r="F3922" s="1">
        <v>45028</v>
      </c>
      <c r="G3922" t="str">
        <f>"0207733"</f>
        <v>0207733</v>
      </c>
      <c r="H3922">
        <v>1</v>
      </c>
      <c r="J3922">
        <v>2590.5300000000002</v>
      </c>
      <c r="K3922" t="str">
        <f t="shared" si="703"/>
        <v>809</v>
      </c>
      <c r="L3922">
        <v>2590.5300000000002</v>
      </c>
    </row>
    <row r="3923" spans="1:12" x14ac:dyDescent="0.25">
      <c r="A3923" t="str">
        <f t="shared" si="704"/>
        <v>89301000</v>
      </c>
      <c r="B3923" t="str">
        <f t="shared" si="708"/>
        <v>78915000</v>
      </c>
      <c r="C3923" t="str">
        <f t="shared" si="709"/>
        <v>78915001</v>
      </c>
      <c r="D3923">
        <v>89301062</v>
      </c>
      <c r="E3923" t="str">
        <f>"6409270692"</f>
        <v>6409270692</v>
      </c>
      <c r="F3923" s="1">
        <v>45030</v>
      </c>
      <c r="G3923" t="str">
        <f>"89713"</f>
        <v>89713</v>
      </c>
      <c r="H3923">
        <v>1</v>
      </c>
      <c r="I3923">
        <v>5411</v>
      </c>
      <c r="J3923">
        <v>0</v>
      </c>
      <c r="K3923" t="str">
        <f t="shared" si="703"/>
        <v>809</v>
      </c>
      <c r="L3923">
        <v>3517.15</v>
      </c>
    </row>
    <row r="3924" spans="1:12" x14ac:dyDescent="0.25">
      <c r="A3924" t="str">
        <f t="shared" si="704"/>
        <v>89301000</v>
      </c>
      <c r="B3924" t="str">
        <f t="shared" si="708"/>
        <v>78915000</v>
      </c>
      <c r="C3924" t="str">
        <f t="shared" si="709"/>
        <v>78915001</v>
      </c>
      <c r="D3924">
        <v>89301062</v>
      </c>
      <c r="E3924" t="str">
        <f>"6409270692"</f>
        <v>6409270692</v>
      </c>
      <c r="F3924" s="1">
        <v>45030</v>
      </c>
      <c r="G3924" t="str">
        <f>"89725"</f>
        <v>89725</v>
      </c>
      <c r="H3924">
        <v>1</v>
      </c>
      <c r="I3924">
        <v>2863</v>
      </c>
      <c r="J3924">
        <v>0</v>
      </c>
      <c r="K3924" t="str">
        <f t="shared" si="703"/>
        <v>809</v>
      </c>
      <c r="L3924">
        <v>1860.95</v>
      </c>
    </row>
    <row r="3925" spans="1:12" x14ac:dyDescent="0.25">
      <c r="A3925" t="str">
        <f t="shared" si="704"/>
        <v>89301000</v>
      </c>
      <c r="B3925" t="str">
        <f t="shared" si="708"/>
        <v>78915000</v>
      </c>
      <c r="C3925" t="str">
        <f t="shared" si="709"/>
        <v>78915001</v>
      </c>
      <c r="D3925">
        <v>89301112</v>
      </c>
      <c r="E3925" t="str">
        <f>"6452050022"</f>
        <v>6452050022</v>
      </c>
      <c r="F3925" s="1">
        <v>45017</v>
      </c>
      <c r="G3925" t="str">
        <f>"09569"</f>
        <v>09569</v>
      </c>
      <c r="H3925">
        <v>1</v>
      </c>
      <c r="I3925">
        <v>0</v>
      </c>
      <c r="J3925">
        <v>0</v>
      </c>
      <c r="K3925" t="str">
        <f t="shared" si="703"/>
        <v>809</v>
      </c>
      <c r="L3925">
        <v>0</v>
      </c>
    </row>
    <row r="3926" spans="1:12" x14ac:dyDescent="0.25">
      <c r="A3926" t="str">
        <f t="shared" si="704"/>
        <v>89301000</v>
      </c>
      <c r="B3926" t="str">
        <f t="shared" si="708"/>
        <v>78915000</v>
      </c>
      <c r="C3926" t="str">
        <f t="shared" si="709"/>
        <v>78915001</v>
      </c>
      <c r="D3926">
        <v>89301112</v>
      </c>
      <c r="E3926" t="str">
        <f>"6452050022"</f>
        <v>6452050022</v>
      </c>
      <c r="F3926" s="1">
        <v>45017</v>
      </c>
      <c r="G3926" t="str">
        <f>"89713"</f>
        <v>89713</v>
      </c>
      <c r="H3926">
        <v>1</v>
      </c>
      <c r="I3926">
        <v>5411</v>
      </c>
      <c r="J3926">
        <v>0</v>
      </c>
      <c r="K3926" t="str">
        <f t="shared" si="703"/>
        <v>809</v>
      </c>
      <c r="L3926">
        <v>3517.15</v>
      </c>
    </row>
    <row r="3927" spans="1:12" x14ac:dyDescent="0.25">
      <c r="A3927" t="str">
        <f t="shared" si="704"/>
        <v>89301000</v>
      </c>
      <c r="B3927" t="str">
        <f t="shared" si="708"/>
        <v>78915000</v>
      </c>
      <c r="C3927" t="str">
        <f t="shared" si="709"/>
        <v>78915001</v>
      </c>
      <c r="D3927">
        <v>89301312</v>
      </c>
      <c r="E3927" t="str">
        <f>"6510281019"</f>
        <v>6510281019</v>
      </c>
      <c r="F3927" s="1">
        <v>45043</v>
      </c>
      <c r="G3927" t="str">
        <f>"09567"</f>
        <v>09567</v>
      </c>
      <c r="H3927">
        <v>1</v>
      </c>
      <c r="I3927">
        <v>0</v>
      </c>
      <c r="J3927">
        <v>0</v>
      </c>
      <c r="K3927" t="str">
        <f t="shared" si="703"/>
        <v>809</v>
      </c>
      <c r="L3927">
        <v>0</v>
      </c>
    </row>
    <row r="3928" spans="1:12" x14ac:dyDescent="0.25">
      <c r="A3928" t="str">
        <f t="shared" si="704"/>
        <v>89301000</v>
      </c>
      <c r="B3928" t="str">
        <f t="shared" si="708"/>
        <v>78915000</v>
      </c>
      <c r="C3928" t="str">
        <f t="shared" si="709"/>
        <v>78915001</v>
      </c>
      <c r="D3928">
        <v>89301312</v>
      </c>
      <c r="E3928" t="str">
        <f>"6510281019"</f>
        <v>6510281019</v>
      </c>
      <c r="F3928" s="1">
        <v>45043</v>
      </c>
      <c r="G3928" t="str">
        <f>"89713"</f>
        <v>89713</v>
      </c>
      <c r="H3928">
        <v>1</v>
      </c>
      <c r="I3928">
        <v>5411</v>
      </c>
      <c r="J3928">
        <v>0</v>
      </c>
      <c r="K3928" t="str">
        <f t="shared" si="703"/>
        <v>809</v>
      </c>
      <c r="L3928">
        <v>3517.15</v>
      </c>
    </row>
    <row r="3929" spans="1:12" x14ac:dyDescent="0.25">
      <c r="A3929" t="str">
        <f t="shared" si="704"/>
        <v>89301000</v>
      </c>
      <c r="B3929" t="str">
        <f t="shared" si="708"/>
        <v>78915000</v>
      </c>
      <c r="C3929" t="str">
        <f t="shared" si="709"/>
        <v>78915001</v>
      </c>
      <c r="D3929">
        <v>89301112</v>
      </c>
      <c r="E3929" t="str">
        <f>"6557040853"</f>
        <v>6557040853</v>
      </c>
      <c r="F3929" s="1">
        <v>45029</v>
      </c>
      <c r="G3929" t="str">
        <f>"09569"</f>
        <v>09569</v>
      </c>
      <c r="H3929">
        <v>1</v>
      </c>
      <c r="I3929">
        <v>0</v>
      </c>
      <c r="J3929">
        <v>0</v>
      </c>
      <c r="K3929" t="str">
        <f t="shared" si="703"/>
        <v>809</v>
      </c>
      <c r="L3929">
        <v>0</v>
      </c>
    </row>
    <row r="3930" spans="1:12" x14ac:dyDescent="0.25">
      <c r="A3930" t="str">
        <f t="shared" si="704"/>
        <v>89301000</v>
      </c>
      <c r="B3930" t="str">
        <f t="shared" si="708"/>
        <v>78915000</v>
      </c>
      <c r="C3930" t="str">
        <f t="shared" si="709"/>
        <v>78915001</v>
      </c>
      <c r="D3930">
        <v>89301112</v>
      </c>
      <c r="E3930" t="str">
        <f>"6557040853"</f>
        <v>6557040853</v>
      </c>
      <c r="F3930" s="1">
        <v>45029</v>
      </c>
      <c r="G3930" t="str">
        <f>"89713"</f>
        <v>89713</v>
      </c>
      <c r="H3930">
        <v>1</v>
      </c>
      <c r="I3930">
        <v>5411</v>
      </c>
      <c r="J3930">
        <v>0</v>
      </c>
      <c r="K3930" t="str">
        <f t="shared" si="703"/>
        <v>809</v>
      </c>
      <c r="L3930">
        <v>3517.15</v>
      </c>
    </row>
    <row r="3931" spans="1:12" x14ac:dyDescent="0.25">
      <c r="A3931" t="str">
        <f t="shared" si="704"/>
        <v>89301000</v>
      </c>
      <c r="B3931" t="str">
        <f t="shared" si="708"/>
        <v>78915000</v>
      </c>
      <c r="C3931" t="str">
        <f t="shared" si="709"/>
        <v>78915001</v>
      </c>
      <c r="D3931">
        <v>89301215</v>
      </c>
      <c r="E3931" t="str">
        <f>"6557311453"</f>
        <v>6557311453</v>
      </c>
      <c r="F3931" s="1">
        <v>45028</v>
      </c>
      <c r="G3931" t="str">
        <f>"89715"</f>
        <v>89715</v>
      </c>
      <c r="H3931">
        <v>1</v>
      </c>
      <c r="I3931">
        <v>5523</v>
      </c>
      <c r="J3931">
        <v>0</v>
      </c>
      <c r="K3931" t="str">
        <f t="shared" si="703"/>
        <v>809</v>
      </c>
      <c r="L3931">
        <v>3589.95</v>
      </c>
    </row>
    <row r="3932" spans="1:12" x14ac:dyDescent="0.25">
      <c r="A3932" t="str">
        <f t="shared" si="704"/>
        <v>89301000</v>
      </c>
      <c r="B3932" t="str">
        <f t="shared" si="708"/>
        <v>78915000</v>
      </c>
      <c r="C3932" t="str">
        <f t="shared" si="709"/>
        <v>78915001</v>
      </c>
      <c r="D3932">
        <v>89301215</v>
      </c>
      <c r="E3932" t="str">
        <f>"6557311453"</f>
        <v>6557311453</v>
      </c>
      <c r="F3932" s="1">
        <v>45028</v>
      </c>
      <c r="G3932" t="str">
        <f>"89725"</f>
        <v>89725</v>
      </c>
      <c r="H3932">
        <v>1</v>
      </c>
      <c r="I3932">
        <v>2863</v>
      </c>
      <c r="J3932">
        <v>0</v>
      </c>
      <c r="K3932" t="str">
        <f t="shared" si="703"/>
        <v>809</v>
      </c>
      <c r="L3932">
        <v>1860.95</v>
      </c>
    </row>
    <row r="3933" spans="1:12" x14ac:dyDescent="0.25">
      <c r="A3933" t="str">
        <f t="shared" si="704"/>
        <v>89301000</v>
      </c>
      <c r="B3933" t="str">
        <f t="shared" si="708"/>
        <v>78915000</v>
      </c>
      <c r="C3933" t="str">
        <f t="shared" si="709"/>
        <v>78915001</v>
      </c>
      <c r="D3933">
        <v>89301215</v>
      </c>
      <c r="E3933" t="str">
        <f>"6557311453"</f>
        <v>6557311453</v>
      </c>
      <c r="F3933" s="1">
        <v>45028</v>
      </c>
      <c r="G3933" t="str">
        <f>"0207733"</f>
        <v>0207733</v>
      </c>
      <c r="H3933">
        <v>1</v>
      </c>
      <c r="J3933">
        <v>2590.5300000000002</v>
      </c>
      <c r="K3933" t="str">
        <f t="shared" si="703"/>
        <v>809</v>
      </c>
      <c r="L3933">
        <v>2590.5300000000002</v>
      </c>
    </row>
    <row r="3934" spans="1:12" x14ac:dyDescent="0.25">
      <c r="A3934" t="str">
        <f t="shared" si="704"/>
        <v>89301000</v>
      </c>
      <c r="B3934" t="str">
        <f t="shared" si="708"/>
        <v>78915000</v>
      </c>
      <c r="C3934" t="str">
        <f t="shared" si="709"/>
        <v>78915001</v>
      </c>
      <c r="D3934">
        <v>89301212</v>
      </c>
      <c r="E3934" t="str">
        <f>"6857200009"</f>
        <v>6857200009</v>
      </c>
      <c r="F3934" s="1">
        <v>45035</v>
      </c>
      <c r="G3934" t="str">
        <f>"89715"</f>
        <v>89715</v>
      </c>
      <c r="H3934">
        <v>1</v>
      </c>
      <c r="I3934">
        <v>5523</v>
      </c>
      <c r="J3934">
        <v>0</v>
      </c>
      <c r="K3934" t="str">
        <f t="shared" si="703"/>
        <v>809</v>
      </c>
      <c r="L3934">
        <v>3589.95</v>
      </c>
    </row>
    <row r="3935" spans="1:12" x14ac:dyDescent="0.25">
      <c r="A3935" t="str">
        <f t="shared" si="704"/>
        <v>89301000</v>
      </c>
      <c r="B3935" t="str">
        <f t="shared" si="708"/>
        <v>78915000</v>
      </c>
      <c r="C3935" t="str">
        <f t="shared" si="709"/>
        <v>78915001</v>
      </c>
      <c r="D3935">
        <v>89301212</v>
      </c>
      <c r="E3935" t="str">
        <f>"6857200009"</f>
        <v>6857200009</v>
      </c>
      <c r="F3935" s="1">
        <v>45035</v>
      </c>
      <c r="G3935" t="str">
        <f>"89725"</f>
        <v>89725</v>
      </c>
      <c r="H3935">
        <v>1</v>
      </c>
      <c r="I3935">
        <v>2863</v>
      </c>
      <c r="J3935">
        <v>0</v>
      </c>
      <c r="K3935" t="str">
        <f t="shared" si="703"/>
        <v>809</v>
      </c>
      <c r="L3935">
        <v>1860.95</v>
      </c>
    </row>
    <row r="3936" spans="1:12" x14ac:dyDescent="0.25">
      <c r="A3936" t="str">
        <f t="shared" si="704"/>
        <v>89301000</v>
      </c>
      <c r="B3936" t="str">
        <f t="shared" si="708"/>
        <v>78915000</v>
      </c>
      <c r="C3936" t="str">
        <f t="shared" si="709"/>
        <v>78915001</v>
      </c>
      <c r="D3936">
        <v>89301212</v>
      </c>
      <c r="E3936" t="str">
        <f>"6857200009"</f>
        <v>6857200009</v>
      </c>
      <c r="F3936" s="1">
        <v>45035</v>
      </c>
      <c r="G3936" t="str">
        <f>"0207733"</f>
        <v>0207733</v>
      </c>
      <c r="H3936">
        <v>1</v>
      </c>
      <c r="J3936">
        <v>2590.5300000000002</v>
      </c>
      <c r="K3936" t="str">
        <f t="shared" si="703"/>
        <v>809</v>
      </c>
      <c r="L3936">
        <v>2590.5300000000002</v>
      </c>
    </row>
    <row r="3937" spans="1:12" x14ac:dyDescent="0.25">
      <c r="A3937" t="str">
        <f t="shared" si="704"/>
        <v>89301000</v>
      </c>
      <c r="B3937" t="str">
        <f t="shared" si="708"/>
        <v>78915000</v>
      </c>
      <c r="C3937" t="str">
        <f t="shared" si="709"/>
        <v>78915001</v>
      </c>
      <c r="D3937">
        <v>89301215</v>
      </c>
      <c r="E3937" t="str">
        <f>"6958285818"</f>
        <v>6958285818</v>
      </c>
      <c r="F3937" s="1">
        <v>45035</v>
      </c>
      <c r="G3937" t="str">
        <f>"89715"</f>
        <v>89715</v>
      </c>
      <c r="H3937">
        <v>1</v>
      </c>
      <c r="I3937">
        <v>5523</v>
      </c>
      <c r="J3937">
        <v>0</v>
      </c>
      <c r="K3937" t="str">
        <f t="shared" si="703"/>
        <v>809</v>
      </c>
      <c r="L3937">
        <v>3589.95</v>
      </c>
    </row>
    <row r="3938" spans="1:12" x14ac:dyDescent="0.25">
      <c r="A3938" t="str">
        <f t="shared" si="704"/>
        <v>89301000</v>
      </c>
      <c r="B3938" t="str">
        <f t="shared" si="708"/>
        <v>78915000</v>
      </c>
      <c r="C3938" t="str">
        <f t="shared" si="709"/>
        <v>78915001</v>
      </c>
      <c r="D3938">
        <v>89301215</v>
      </c>
      <c r="E3938" t="str">
        <f>"6958285818"</f>
        <v>6958285818</v>
      </c>
      <c r="F3938" s="1">
        <v>45035</v>
      </c>
      <c r="G3938" t="str">
        <f>"89725"</f>
        <v>89725</v>
      </c>
      <c r="H3938">
        <v>1</v>
      </c>
      <c r="I3938">
        <v>2863</v>
      </c>
      <c r="J3938">
        <v>0</v>
      </c>
      <c r="K3938" t="str">
        <f t="shared" si="703"/>
        <v>809</v>
      </c>
      <c r="L3938">
        <v>1860.95</v>
      </c>
    </row>
    <row r="3939" spans="1:12" x14ac:dyDescent="0.25">
      <c r="A3939" t="str">
        <f t="shared" si="704"/>
        <v>89301000</v>
      </c>
      <c r="B3939" t="str">
        <f t="shared" si="708"/>
        <v>78915000</v>
      </c>
      <c r="C3939" t="str">
        <f t="shared" si="709"/>
        <v>78915001</v>
      </c>
      <c r="D3939">
        <v>89301215</v>
      </c>
      <c r="E3939" t="str">
        <f>"6958285818"</f>
        <v>6958285818</v>
      </c>
      <c r="F3939" s="1">
        <v>45035</v>
      </c>
      <c r="G3939" t="str">
        <f>"0207733"</f>
        <v>0207733</v>
      </c>
      <c r="H3939">
        <v>1</v>
      </c>
      <c r="J3939">
        <v>2590.5300000000002</v>
      </c>
      <c r="K3939" t="str">
        <f t="shared" si="703"/>
        <v>809</v>
      </c>
      <c r="L3939">
        <v>2590.5300000000002</v>
      </c>
    </row>
    <row r="3940" spans="1:12" x14ac:dyDescent="0.25">
      <c r="A3940" t="str">
        <f t="shared" si="704"/>
        <v>89301000</v>
      </c>
      <c r="B3940" t="str">
        <f t="shared" si="708"/>
        <v>78915000</v>
      </c>
      <c r="C3940" t="str">
        <f t="shared" si="709"/>
        <v>78915001</v>
      </c>
      <c r="D3940">
        <v>89301112</v>
      </c>
      <c r="E3940" t="str">
        <f>"7002125394"</f>
        <v>7002125394</v>
      </c>
      <c r="F3940" s="1">
        <v>45045</v>
      </c>
      <c r="G3940" t="str">
        <f>"09569"</f>
        <v>09569</v>
      </c>
      <c r="H3940">
        <v>1</v>
      </c>
      <c r="I3940">
        <v>0</v>
      </c>
      <c r="J3940">
        <v>0</v>
      </c>
      <c r="K3940" t="str">
        <f t="shared" si="703"/>
        <v>809</v>
      </c>
      <c r="L3940">
        <v>0</v>
      </c>
    </row>
    <row r="3941" spans="1:12" x14ac:dyDescent="0.25">
      <c r="A3941" t="str">
        <f t="shared" si="704"/>
        <v>89301000</v>
      </c>
      <c r="B3941" t="str">
        <f t="shared" si="708"/>
        <v>78915000</v>
      </c>
      <c r="C3941" t="str">
        <f t="shared" si="709"/>
        <v>78915001</v>
      </c>
      <c r="D3941">
        <v>89301112</v>
      </c>
      <c r="E3941" t="str">
        <f>"7002125394"</f>
        <v>7002125394</v>
      </c>
      <c r="F3941" s="1">
        <v>45045</v>
      </c>
      <c r="G3941" t="str">
        <f>"89713"</f>
        <v>89713</v>
      </c>
      <c r="H3941">
        <v>1</v>
      </c>
      <c r="I3941">
        <v>5411</v>
      </c>
      <c r="J3941">
        <v>0</v>
      </c>
      <c r="K3941" t="str">
        <f t="shared" si="703"/>
        <v>809</v>
      </c>
      <c r="L3941">
        <v>3517.15</v>
      </c>
    </row>
    <row r="3942" spans="1:12" x14ac:dyDescent="0.25">
      <c r="A3942" t="str">
        <f t="shared" si="704"/>
        <v>89301000</v>
      </c>
      <c r="B3942" t="str">
        <f t="shared" si="708"/>
        <v>78915000</v>
      </c>
      <c r="C3942" t="str">
        <f t="shared" si="709"/>
        <v>78915001</v>
      </c>
      <c r="D3942">
        <v>89301062</v>
      </c>
      <c r="E3942" t="str">
        <f>"7061224401"</f>
        <v>7061224401</v>
      </c>
      <c r="F3942" s="1">
        <v>45029</v>
      </c>
      <c r="G3942" t="str">
        <f>"89713"</f>
        <v>89713</v>
      </c>
      <c r="H3942">
        <v>1</v>
      </c>
      <c r="I3942">
        <v>5411</v>
      </c>
      <c r="J3942">
        <v>0</v>
      </c>
      <c r="K3942" t="str">
        <f t="shared" si="703"/>
        <v>809</v>
      </c>
      <c r="L3942">
        <v>3517.15</v>
      </c>
    </row>
    <row r="3943" spans="1:12" x14ac:dyDescent="0.25">
      <c r="A3943" t="str">
        <f t="shared" si="704"/>
        <v>89301000</v>
      </c>
      <c r="B3943" t="str">
        <f t="shared" si="708"/>
        <v>78915000</v>
      </c>
      <c r="C3943" t="str">
        <f t="shared" si="709"/>
        <v>78915001</v>
      </c>
      <c r="D3943">
        <v>89301062</v>
      </c>
      <c r="E3943" t="str">
        <f>"7061224401"</f>
        <v>7061224401</v>
      </c>
      <c r="F3943" s="1">
        <v>45029</v>
      </c>
      <c r="G3943" t="str">
        <f>"89725"</f>
        <v>89725</v>
      </c>
      <c r="H3943">
        <v>1</v>
      </c>
      <c r="I3943">
        <v>2863</v>
      </c>
      <c r="J3943">
        <v>0</v>
      </c>
      <c r="K3943" t="str">
        <f t="shared" si="703"/>
        <v>809</v>
      </c>
      <c r="L3943">
        <v>1860.95</v>
      </c>
    </row>
    <row r="3944" spans="1:12" x14ac:dyDescent="0.25">
      <c r="A3944" t="str">
        <f t="shared" si="704"/>
        <v>89301000</v>
      </c>
      <c r="B3944" t="str">
        <f t="shared" si="708"/>
        <v>78915000</v>
      </c>
      <c r="C3944" t="str">
        <f t="shared" si="709"/>
        <v>78915001</v>
      </c>
      <c r="D3944">
        <v>89301062</v>
      </c>
      <c r="E3944" t="str">
        <f>"7108235332"</f>
        <v>7108235332</v>
      </c>
      <c r="F3944" s="1">
        <v>45036</v>
      </c>
      <c r="G3944" t="str">
        <f>"89713"</f>
        <v>89713</v>
      </c>
      <c r="H3944">
        <v>1</v>
      </c>
      <c r="I3944">
        <v>5411</v>
      </c>
      <c r="J3944">
        <v>0</v>
      </c>
      <c r="K3944" t="str">
        <f t="shared" si="703"/>
        <v>809</v>
      </c>
      <c r="L3944">
        <v>3517.15</v>
      </c>
    </row>
    <row r="3945" spans="1:12" x14ac:dyDescent="0.25">
      <c r="A3945" t="str">
        <f t="shared" si="704"/>
        <v>89301000</v>
      </c>
      <c r="B3945" t="str">
        <f t="shared" ref="B3945:B3981" si="710">"78915000"</f>
        <v>78915000</v>
      </c>
      <c r="C3945" t="str">
        <f t="shared" ref="C3945:C3981" si="711">"78915001"</f>
        <v>78915001</v>
      </c>
      <c r="D3945">
        <v>89301062</v>
      </c>
      <c r="E3945" t="str">
        <f>"7108235332"</f>
        <v>7108235332</v>
      </c>
      <c r="F3945" s="1">
        <v>45036</v>
      </c>
      <c r="G3945" t="str">
        <f>"89725"</f>
        <v>89725</v>
      </c>
      <c r="H3945">
        <v>1</v>
      </c>
      <c r="I3945">
        <v>2863</v>
      </c>
      <c r="J3945">
        <v>0</v>
      </c>
      <c r="K3945" t="str">
        <f t="shared" si="703"/>
        <v>809</v>
      </c>
      <c r="L3945">
        <v>1860.95</v>
      </c>
    </row>
    <row r="3946" spans="1:12" x14ac:dyDescent="0.25">
      <c r="A3946" t="str">
        <f t="shared" si="704"/>
        <v>89301000</v>
      </c>
      <c r="B3946" t="str">
        <f t="shared" si="710"/>
        <v>78915000</v>
      </c>
      <c r="C3946" t="str">
        <f t="shared" si="711"/>
        <v>78915001</v>
      </c>
      <c r="D3946">
        <v>89301062</v>
      </c>
      <c r="E3946" t="str">
        <f>"7112224460"</f>
        <v>7112224460</v>
      </c>
      <c r="F3946" s="1">
        <v>45035</v>
      </c>
      <c r="G3946" t="str">
        <f>"89713"</f>
        <v>89713</v>
      </c>
      <c r="H3946">
        <v>1</v>
      </c>
      <c r="I3946">
        <v>5411</v>
      </c>
      <c r="J3946">
        <v>0</v>
      </c>
      <c r="K3946" t="str">
        <f t="shared" si="703"/>
        <v>809</v>
      </c>
      <c r="L3946">
        <v>3517.15</v>
      </c>
    </row>
    <row r="3947" spans="1:12" x14ac:dyDescent="0.25">
      <c r="A3947" t="str">
        <f t="shared" si="704"/>
        <v>89301000</v>
      </c>
      <c r="B3947" t="str">
        <f t="shared" si="710"/>
        <v>78915000</v>
      </c>
      <c r="C3947" t="str">
        <f t="shared" si="711"/>
        <v>78915001</v>
      </c>
      <c r="D3947">
        <v>89301062</v>
      </c>
      <c r="E3947" t="str">
        <f>"7112224460"</f>
        <v>7112224460</v>
      </c>
      <c r="F3947" s="1">
        <v>45035</v>
      </c>
      <c r="G3947" t="str">
        <f>"89725"</f>
        <v>89725</v>
      </c>
      <c r="H3947">
        <v>1</v>
      </c>
      <c r="I3947">
        <v>2863</v>
      </c>
      <c r="J3947">
        <v>0</v>
      </c>
      <c r="K3947" t="str">
        <f t="shared" si="703"/>
        <v>809</v>
      </c>
      <c r="L3947">
        <v>1860.95</v>
      </c>
    </row>
    <row r="3948" spans="1:12" x14ac:dyDescent="0.25">
      <c r="A3948" t="str">
        <f t="shared" si="704"/>
        <v>89301000</v>
      </c>
      <c r="B3948" t="str">
        <f t="shared" si="710"/>
        <v>78915000</v>
      </c>
      <c r="C3948" t="str">
        <f t="shared" si="711"/>
        <v>78915001</v>
      </c>
      <c r="D3948">
        <v>89301112</v>
      </c>
      <c r="E3948" t="str">
        <f>"7361145363"</f>
        <v>7361145363</v>
      </c>
      <c r="F3948" s="1">
        <v>45043</v>
      </c>
      <c r="G3948" t="str">
        <f>"09569"</f>
        <v>09569</v>
      </c>
      <c r="H3948">
        <v>1</v>
      </c>
      <c r="I3948">
        <v>0</v>
      </c>
      <c r="J3948">
        <v>0</v>
      </c>
      <c r="K3948" t="str">
        <f t="shared" si="703"/>
        <v>809</v>
      </c>
      <c r="L3948">
        <v>0</v>
      </c>
    </row>
    <row r="3949" spans="1:12" x14ac:dyDescent="0.25">
      <c r="A3949" t="str">
        <f t="shared" si="704"/>
        <v>89301000</v>
      </c>
      <c r="B3949" t="str">
        <f t="shared" si="710"/>
        <v>78915000</v>
      </c>
      <c r="C3949" t="str">
        <f t="shared" si="711"/>
        <v>78915001</v>
      </c>
      <c r="D3949">
        <v>89301112</v>
      </c>
      <c r="E3949" t="str">
        <f>"7361145363"</f>
        <v>7361145363</v>
      </c>
      <c r="F3949" s="1">
        <v>45043</v>
      </c>
      <c r="G3949" t="str">
        <f>"89713"</f>
        <v>89713</v>
      </c>
      <c r="H3949">
        <v>1</v>
      </c>
      <c r="I3949">
        <v>5411</v>
      </c>
      <c r="J3949">
        <v>0</v>
      </c>
      <c r="K3949" t="str">
        <f t="shared" si="703"/>
        <v>809</v>
      </c>
      <c r="L3949">
        <v>3517.15</v>
      </c>
    </row>
    <row r="3950" spans="1:12" x14ac:dyDescent="0.25">
      <c r="A3950" t="str">
        <f t="shared" si="704"/>
        <v>89301000</v>
      </c>
      <c r="B3950" t="str">
        <f t="shared" si="710"/>
        <v>78915000</v>
      </c>
      <c r="C3950" t="str">
        <f t="shared" si="711"/>
        <v>78915001</v>
      </c>
      <c r="D3950">
        <v>89301312</v>
      </c>
      <c r="E3950" t="str">
        <f>"7401225359"</f>
        <v>7401225359</v>
      </c>
      <c r="F3950" s="1">
        <v>45024</v>
      </c>
      <c r="G3950" t="str">
        <f>"09567"</f>
        <v>09567</v>
      </c>
      <c r="H3950">
        <v>1</v>
      </c>
      <c r="I3950">
        <v>0</v>
      </c>
      <c r="J3950">
        <v>0</v>
      </c>
      <c r="K3950" t="str">
        <f t="shared" si="703"/>
        <v>809</v>
      </c>
      <c r="L3950">
        <v>0</v>
      </c>
    </row>
    <row r="3951" spans="1:12" x14ac:dyDescent="0.25">
      <c r="A3951" t="str">
        <f t="shared" si="704"/>
        <v>89301000</v>
      </c>
      <c r="B3951" t="str">
        <f t="shared" si="710"/>
        <v>78915000</v>
      </c>
      <c r="C3951" t="str">
        <f t="shared" si="711"/>
        <v>78915001</v>
      </c>
      <c r="D3951">
        <v>89301312</v>
      </c>
      <c r="E3951" t="str">
        <f>"7401225359"</f>
        <v>7401225359</v>
      </c>
      <c r="F3951" s="1">
        <v>45024</v>
      </c>
      <c r="G3951" t="str">
        <f>"89713"</f>
        <v>89713</v>
      </c>
      <c r="H3951">
        <v>1</v>
      </c>
      <c r="I3951">
        <v>5411</v>
      </c>
      <c r="J3951">
        <v>0</v>
      </c>
      <c r="K3951" t="str">
        <f t="shared" si="703"/>
        <v>809</v>
      </c>
      <c r="L3951">
        <v>3517.15</v>
      </c>
    </row>
    <row r="3952" spans="1:12" x14ac:dyDescent="0.25">
      <c r="A3952" t="str">
        <f t="shared" si="704"/>
        <v>89301000</v>
      </c>
      <c r="B3952" t="str">
        <f t="shared" si="710"/>
        <v>78915000</v>
      </c>
      <c r="C3952" t="str">
        <f t="shared" si="711"/>
        <v>78915001</v>
      </c>
      <c r="D3952">
        <v>89301215</v>
      </c>
      <c r="E3952" t="str">
        <f>"7454275312"</f>
        <v>7454275312</v>
      </c>
      <c r="F3952" s="1">
        <v>45035</v>
      </c>
      <c r="G3952" t="str">
        <f>"89715"</f>
        <v>89715</v>
      </c>
      <c r="H3952">
        <v>1</v>
      </c>
      <c r="I3952">
        <v>5523</v>
      </c>
      <c r="J3952">
        <v>0</v>
      </c>
      <c r="K3952" t="str">
        <f t="shared" si="703"/>
        <v>809</v>
      </c>
      <c r="L3952">
        <v>3589.95</v>
      </c>
    </row>
    <row r="3953" spans="1:12" x14ac:dyDescent="0.25">
      <c r="A3953" t="str">
        <f t="shared" si="704"/>
        <v>89301000</v>
      </c>
      <c r="B3953" t="str">
        <f t="shared" si="710"/>
        <v>78915000</v>
      </c>
      <c r="C3953" t="str">
        <f t="shared" si="711"/>
        <v>78915001</v>
      </c>
      <c r="D3953">
        <v>89301215</v>
      </c>
      <c r="E3953" t="str">
        <f>"7454275312"</f>
        <v>7454275312</v>
      </c>
      <c r="F3953" s="1">
        <v>45035</v>
      </c>
      <c r="G3953" t="str">
        <f>"89725"</f>
        <v>89725</v>
      </c>
      <c r="H3953">
        <v>1</v>
      </c>
      <c r="I3953">
        <v>2863</v>
      </c>
      <c r="J3953">
        <v>0</v>
      </c>
      <c r="K3953" t="str">
        <f t="shared" si="703"/>
        <v>809</v>
      </c>
      <c r="L3953">
        <v>1860.95</v>
      </c>
    </row>
    <row r="3954" spans="1:12" x14ac:dyDescent="0.25">
      <c r="A3954" t="str">
        <f t="shared" si="704"/>
        <v>89301000</v>
      </c>
      <c r="B3954" t="str">
        <f t="shared" si="710"/>
        <v>78915000</v>
      </c>
      <c r="C3954" t="str">
        <f t="shared" si="711"/>
        <v>78915001</v>
      </c>
      <c r="D3954">
        <v>89301215</v>
      </c>
      <c r="E3954" t="str">
        <f>"7454275312"</f>
        <v>7454275312</v>
      </c>
      <c r="F3954" s="1">
        <v>45035</v>
      </c>
      <c r="G3954" t="str">
        <f>"0207733"</f>
        <v>0207733</v>
      </c>
      <c r="H3954">
        <v>1</v>
      </c>
      <c r="J3954">
        <v>2590.5300000000002</v>
      </c>
      <c r="K3954" t="str">
        <f t="shared" si="703"/>
        <v>809</v>
      </c>
      <c r="L3954">
        <v>2590.5300000000002</v>
      </c>
    </row>
    <row r="3955" spans="1:12" x14ac:dyDescent="0.25">
      <c r="A3955" t="str">
        <f t="shared" si="704"/>
        <v>89301000</v>
      </c>
      <c r="B3955" t="str">
        <f t="shared" si="710"/>
        <v>78915000</v>
      </c>
      <c r="C3955" t="str">
        <f t="shared" si="711"/>
        <v>78915001</v>
      </c>
      <c r="D3955">
        <v>89301215</v>
      </c>
      <c r="E3955" t="str">
        <f>"7559204466"</f>
        <v>7559204466</v>
      </c>
      <c r="F3955" s="1">
        <v>45028</v>
      </c>
      <c r="G3955" t="str">
        <f>"89715"</f>
        <v>89715</v>
      </c>
      <c r="H3955">
        <v>1</v>
      </c>
      <c r="I3955">
        <v>5523</v>
      </c>
      <c r="J3955">
        <v>0</v>
      </c>
      <c r="K3955" t="str">
        <f t="shared" si="703"/>
        <v>809</v>
      </c>
      <c r="L3955">
        <v>3589.95</v>
      </c>
    </row>
    <row r="3956" spans="1:12" x14ac:dyDescent="0.25">
      <c r="A3956" t="str">
        <f t="shared" si="704"/>
        <v>89301000</v>
      </c>
      <c r="B3956" t="str">
        <f t="shared" si="710"/>
        <v>78915000</v>
      </c>
      <c r="C3956" t="str">
        <f t="shared" si="711"/>
        <v>78915001</v>
      </c>
      <c r="D3956">
        <v>89301215</v>
      </c>
      <c r="E3956" t="str">
        <f>"7559204466"</f>
        <v>7559204466</v>
      </c>
      <c r="F3956" s="1">
        <v>45028</v>
      </c>
      <c r="G3956" t="str">
        <f>"89725"</f>
        <v>89725</v>
      </c>
      <c r="H3956">
        <v>1</v>
      </c>
      <c r="I3956">
        <v>2863</v>
      </c>
      <c r="J3956">
        <v>0</v>
      </c>
      <c r="K3956" t="str">
        <f t="shared" si="703"/>
        <v>809</v>
      </c>
      <c r="L3956">
        <v>1860.95</v>
      </c>
    </row>
    <row r="3957" spans="1:12" x14ac:dyDescent="0.25">
      <c r="A3957" t="str">
        <f t="shared" si="704"/>
        <v>89301000</v>
      </c>
      <c r="B3957" t="str">
        <f t="shared" si="710"/>
        <v>78915000</v>
      </c>
      <c r="C3957" t="str">
        <f t="shared" si="711"/>
        <v>78915001</v>
      </c>
      <c r="D3957">
        <v>89301215</v>
      </c>
      <c r="E3957" t="str">
        <f>"7559204466"</f>
        <v>7559204466</v>
      </c>
      <c r="F3957" s="1">
        <v>45028</v>
      </c>
      <c r="G3957" t="str">
        <f>"0207733"</f>
        <v>0207733</v>
      </c>
      <c r="H3957">
        <v>1</v>
      </c>
      <c r="J3957">
        <v>2590.5300000000002</v>
      </c>
      <c r="K3957" t="str">
        <f t="shared" si="703"/>
        <v>809</v>
      </c>
      <c r="L3957">
        <v>2590.5300000000002</v>
      </c>
    </row>
    <row r="3958" spans="1:12" x14ac:dyDescent="0.25">
      <c r="A3958" t="str">
        <f t="shared" si="704"/>
        <v>89301000</v>
      </c>
      <c r="B3958" t="str">
        <f t="shared" si="710"/>
        <v>78915000</v>
      </c>
      <c r="C3958" t="str">
        <f t="shared" si="711"/>
        <v>78915001</v>
      </c>
      <c r="D3958">
        <v>89301112</v>
      </c>
      <c r="E3958" t="str">
        <f>"7604034460"</f>
        <v>7604034460</v>
      </c>
      <c r="F3958" s="1">
        <v>45036</v>
      </c>
      <c r="G3958" t="str">
        <f>"09569"</f>
        <v>09569</v>
      </c>
      <c r="H3958">
        <v>1</v>
      </c>
      <c r="I3958">
        <v>0</v>
      </c>
      <c r="J3958">
        <v>0</v>
      </c>
      <c r="K3958" t="str">
        <f t="shared" si="703"/>
        <v>809</v>
      </c>
      <c r="L3958">
        <v>0</v>
      </c>
    </row>
    <row r="3959" spans="1:12" x14ac:dyDescent="0.25">
      <c r="A3959" t="str">
        <f t="shared" si="704"/>
        <v>89301000</v>
      </c>
      <c r="B3959" t="str">
        <f t="shared" si="710"/>
        <v>78915000</v>
      </c>
      <c r="C3959" t="str">
        <f t="shared" si="711"/>
        <v>78915001</v>
      </c>
      <c r="D3959">
        <v>89301112</v>
      </c>
      <c r="E3959" t="str">
        <f>"7604034460"</f>
        <v>7604034460</v>
      </c>
      <c r="F3959" s="1">
        <v>45036</v>
      </c>
      <c r="G3959" t="str">
        <f>"89713"</f>
        <v>89713</v>
      </c>
      <c r="H3959">
        <v>1</v>
      </c>
      <c r="I3959">
        <v>5411</v>
      </c>
      <c r="J3959">
        <v>0</v>
      </c>
      <c r="K3959" t="str">
        <f t="shared" si="703"/>
        <v>809</v>
      </c>
      <c r="L3959">
        <v>3517.15</v>
      </c>
    </row>
    <row r="3960" spans="1:12" x14ac:dyDescent="0.25">
      <c r="A3960" t="str">
        <f t="shared" si="704"/>
        <v>89301000</v>
      </c>
      <c r="B3960" t="str">
        <f t="shared" si="710"/>
        <v>78915000</v>
      </c>
      <c r="C3960" t="str">
        <f t="shared" si="711"/>
        <v>78915001</v>
      </c>
      <c r="D3960">
        <v>89301062</v>
      </c>
      <c r="E3960" t="str">
        <f>"7609065376"</f>
        <v>7609065376</v>
      </c>
      <c r="F3960" s="1">
        <v>45030</v>
      </c>
      <c r="G3960" t="str">
        <f>"89713"</f>
        <v>89713</v>
      </c>
      <c r="H3960">
        <v>1</v>
      </c>
      <c r="I3960">
        <v>5411</v>
      </c>
      <c r="J3960">
        <v>0</v>
      </c>
      <c r="K3960" t="str">
        <f t="shared" si="703"/>
        <v>809</v>
      </c>
      <c r="L3960">
        <v>3517.15</v>
      </c>
    </row>
    <row r="3961" spans="1:12" x14ac:dyDescent="0.25">
      <c r="A3961" t="str">
        <f t="shared" si="704"/>
        <v>89301000</v>
      </c>
      <c r="B3961" t="str">
        <f t="shared" si="710"/>
        <v>78915000</v>
      </c>
      <c r="C3961" t="str">
        <f t="shared" si="711"/>
        <v>78915001</v>
      </c>
      <c r="D3961">
        <v>89301062</v>
      </c>
      <c r="E3961" t="str">
        <f>"7609065376"</f>
        <v>7609065376</v>
      </c>
      <c r="F3961" s="1">
        <v>45030</v>
      </c>
      <c r="G3961" t="str">
        <f>"89725"</f>
        <v>89725</v>
      </c>
      <c r="H3961">
        <v>1</v>
      </c>
      <c r="I3961">
        <v>2863</v>
      </c>
      <c r="J3961">
        <v>0</v>
      </c>
      <c r="K3961" t="str">
        <f t="shared" si="703"/>
        <v>809</v>
      </c>
      <c r="L3961">
        <v>1860.95</v>
      </c>
    </row>
    <row r="3962" spans="1:12" x14ac:dyDescent="0.25">
      <c r="A3962" t="str">
        <f t="shared" si="704"/>
        <v>89301000</v>
      </c>
      <c r="B3962" t="str">
        <f t="shared" si="710"/>
        <v>78915000</v>
      </c>
      <c r="C3962" t="str">
        <f t="shared" si="711"/>
        <v>78915001</v>
      </c>
      <c r="D3962">
        <v>89301112</v>
      </c>
      <c r="E3962" t="str">
        <f>"7752024929"</f>
        <v>7752024929</v>
      </c>
      <c r="F3962" s="1">
        <v>45019</v>
      </c>
      <c r="G3962" t="str">
        <f>"09567"</f>
        <v>09567</v>
      </c>
      <c r="H3962">
        <v>1</v>
      </c>
      <c r="I3962">
        <v>0</v>
      </c>
      <c r="J3962">
        <v>0</v>
      </c>
      <c r="K3962" t="str">
        <f t="shared" si="703"/>
        <v>809</v>
      </c>
      <c r="L3962">
        <v>0</v>
      </c>
    </row>
    <row r="3963" spans="1:12" x14ac:dyDescent="0.25">
      <c r="A3963" t="str">
        <f t="shared" si="704"/>
        <v>89301000</v>
      </c>
      <c r="B3963" t="str">
        <f t="shared" si="710"/>
        <v>78915000</v>
      </c>
      <c r="C3963" t="str">
        <f t="shared" si="711"/>
        <v>78915001</v>
      </c>
      <c r="D3963">
        <v>89301112</v>
      </c>
      <c r="E3963" t="str">
        <f>"7752024929"</f>
        <v>7752024929</v>
      </c>
      <c r="F3963" s="1">
        <v>45019</v>
      </c>
      <c r="G3963" t="str">
        <f>"89713"</f>
        <v>89713</v>
      </c>
      <c r="H3963">
        <v>1</v>
      </c>
      <c r="I3963">
        <v>5411</v>
      </c>
      <c r="J3963">
        <v>0</v>
      </c>
      <c r="K3963" t="str">
        <f t="shared" si="703"/>
        <v>809</v>
      </c>
      <c r="L3963">
        <v>3517.15</v>
      </c>
    </row>
    <row r="3964" spans="1:12" x14ac:dyDescent="0.25">
      <c r="A3964" t="str">
        <f t="shared" si="704"/>
        <v>89301000</v>
      </c>
      <c r="B3964" t="str">
        <f t="shared" si="710"/>
        <v>78915000</v>
      </c>
      <c r="C3964" t="str">
        <f t="shared" si="711"/>
        <v>78915001</v>
      </c>
      <c r="D3964">
        <v>89301606</v>
      </c>
      <c r="E3964" t="str">
        <f>"7955305688"</f>
        <v>7955305688</v>
      </c>
      <c r="F3964" s="1">
        <v>45033</v>
      </c>
      <c r="G3964" t="str">
        <f>"89713"</f>
        <v>89713</v>
      </c>
      <c r="H3964">
        <v>1</v>
      </c>
      <c r="I3964">
        <v>5411</v>
      </c>
      <c r="J3964">
        <v>0</v>
      </c>
      <c r="K3964" t="str">
        <f t="shared" si="703"/>
        <v>809</v>
      </c>
      <c r="L3964">
        <v>3517.15</v>
      </c>
    </row>
    <row r="3965" spans="1:12" x14ac:dyDescent="0.25">
      <c r="A3965" t="str">
        <f t="shared" si="704"/>
        <v>89301000</v>
      </c>
      <c r="B3965" t="str">
        <f t="shared" si="710"/>
        <v>78915000</v>
      </c>
      <c r="C3965" t="str">
        <f t="shared" si="711"/>
        <v>78915001</v>
      </c>
      <c r="D3965">
        <v>89301606</v>
      </c>
      <c r="E3965" t="str">
        <f>"7955305688"</f>
        <v>7955305688</v>
      </c>
      <c r="F3965" s="1">
        <v>45033</v>
      </c>
      <c r="G3965" t="str">
        <f>"89725"</f>
        <v>89725</v>
      </c>
      <c r="H3965">
        <v>1</v>
      </c>
      <c r="I3965">
        <v>2863</v>
      </c>
      <c r="J3965">
        <v>0</v>
      </c>
      <c r="K3965" t="str">
        <f t="shared" si="703"/>
        <v>809</v>
      </c>
      <c r="L3965">
        <v>1860.95</v>
      </c>
    </row>
    <row r="3966" spans="1:12" x14ac:dyDescent="0.25">
      <c r="A3966" t="str">
        <f t="shared" si="704"/>
        <v>89301000</v>
      </c>
      <c r="B3966" t="str">
        <f t="shared" si="710"/>
        <v>78915000</v>
      </c>
      <c r="C3966" t="str">
        <f t="shared" si="711"/>
        <v>78915001</v>
      </c>
      <c r="D3966">
        <v>89301212</v>
      </c>
      <c r="E3966" t="str">
        <f>"8551074917"</f>
        <v>8551074917</v>
      </c>
      <c r="F3966" s="1">
        <v>45035</v>
      </c>
      <c r="G3966" t="str">
        <f>"89715"</f>
        <v>89715</v>
      </c>
      <c r="H3966">
        <v>1</v>
      </c>
      <c r="I3966">
        <v>5523</v>
      </c>
      <c r="J3966">
        <v>0</v>
      </c>
      <c r="K3966" t="str">
        <f t="shared" si="703"/>
        <v>809</v>
      </c>
      <c r="L3966">
        <v>3589.95</v>
      </c>
    </row>
    <row r="3967" spans="1:12" x14ac:dyDescent="0.25">
      <c r="A3967" t="str">
        <f t="shared" si="704"/>
        <v>89301000</v>
      </c>
      <c r="B3967" t="str">
        <f t="shared" si="710"/>
        <v>78915000</v>
      </c>
      <c r="C3967" t="str">
        <f t="shared" si="711"/>
        <v>78915001</v>
      </c>
      <c r="D3967">
        <v>89301212</v>
      </c>
      <c r="E3967" t="str">
        <f>"8551074917"</f>
        <v>8551074917</v>
      </c>
      <c r="F3967" s="1">
        <v>45035</v>
      </c>
      <c r="G3967" t="str">
        <f>"89725"</f>
        <v>89725</v>
      </c>
      <c r="H3967">
        <v>1</v>
      </c>
      <c r="I3967">
        <v>2863</v>
      </c>
      <c r="J3967">
        <v>0</v>
      </c>
      <c r="K3967" t="str">
        <f t="shared" si="703"/>
        <v>809</v>
      </c>
      <c r="L3967">
        <v>1860.95</v>
      </c>
    </row>
    <row r="3968" spans="1:12" x14ac:dyDescent="0.25">
      <c r="A3968" t="str">
        <f t="shared" si="704"/>
        <v>89301000</v>
      </c>
      <c r="B3968" t="str">
        <f t="shared" si="710"/>
        <v>78915000</v>
      </c>
      <c r="C3968" t="str">
        <f t="shared" si="711"/>
        <v>78915001</v>
      </c>
      <c r="D3968">
        <v>89301212</v>
      </c>
      <c r="E3968" t="str">
        <f>"8551074917"</f>
        <v>8551074917</v>
      </c>
      <c r="F3968" s="1">
        <v>45035</v>
      </c>
      <c r="G3968" t="str">
        <f>"0207733"</f>
        <v>0207733</v>
      </c>
      <c r="H3968">
        <v>1</v>
      </c>
      <c r="J3968">
        <v>2590.5300000000002</v>
      </c>
      <c r="K3968" t="str">
        <f t="shared" si="703"/>
        <v>809</v>
      </c>
      <c r="L3968">
        <v>2590.5300000000002</v>
      </c>
    </row>
    <row r="3969" spans="1:12" x14ac:dyDescent="0.25">
      <c r="A3969" t="str">
        <f t="shared" si="704"/>
        <v>89301000</v>
      </c>
      <c r="B3969" t="str">
        <f t="shared" si="710"/>
        <v>78915000</v>
      </c>
      <c r="C3969" t="str">
        <f t="shared" si="711"/>
        <v>78915001</v>
      </c>
      <c r="D3969">
        <v>89301062</v>
      </c>
      <c r="E3969" t="str">
        <f>"8812276132"</f>
        <v>8812276132</v>
      </c>
      <c r="F3969" s="1">
        <v>45023</v>
      </c>
      <c r="G3969" t="str">
        <f>"89713"</f>
        <v>89713</v>
      </c>
      <c r="H3969">
        <v>1</v>
      </c>
      <c r="I3969">
        <v>5411</v>
      </c>
      <c r="J3969">
        <v>0</v>
      </c>
      <c r="K3969" t="str">
        <f t="shared" ref="K3969:K4032" si="712">"809"</f>
        <v>809</v>
      </c>
      <c r="L3969">
        <v>3517.15</v>
      </c>
    </row>
    <row r="3970" spans="1:12" x14ac:dyDescent="0.25">
      <c r="A3970" t="str">
        <f t="shared" ref="A3970:A4033" si="713">"89301000"</f>
        <v>89301000</v>
      </c>
      <c r="B3970" t="str">
        <f t="shared" si="710"/>
        <v>78915000</v>
      </c>
      <c r="C3970" t="str">
        <f t="shared" si="711"/>
        <v>78915001</v>
      </c>
      <c r="D3970">
        <v>89301062</v>
      </c>
      <c r="E3970" t="str">
        <f>"8812276132"</f>
        <v>8812276132</v>
      </c>
      <c r="F3970" s="1">
        <v>45023</v>
      </c>
      <c r="G3970" t="str">
        <f>"89725"</f>
        <v>89725</v>
      </c>
      <c r="H3970">
        <v>1</v>
      </c>
      <c r="I3970">
        <v>2863</v>
      </c>
      <c r="J3970">
        <v>0</v>
      </c>
      <c r="K3970" t="str">
        <f t="shared" si="712"/>
        <v>809</v>
      </c>
      <c r="L3970">
        <v>1860.95</v>
      </c>
    </row>
    <row r="3971" spans="1:12" x14ac:dyDescent="0.25">
      <c r="A3971" t="str">
        <f t="shared" si="713"/>
        <v>89301000</v>
      </c>
      <c r="B3971" t="str">
        <f t="shared" si="710"/>
        <v>78915000</v>
      </c>
      <c r="C3971" t="str">
        <f t="shared" si="711"/>
        <v>78915001</v>
      </c>
      <c r="D3971">
        <v>89301022</v>
      </c>
      <c r="E3971" t="str">
        <f>"9053175747"</f>
        <v>9053175747</v>
      </c>
      <c r="F3971" s="1">
        <v>45030</v>
      </c>
      <c r="G3971" t="str">
        <f>"89715"</f>
        <v>89715</v>
      </c>
      <c r="H3971">
        <v>1</v>
      </c>
      <c r="I3971">
        <v>5523</v>
      </c>
      <c r="J3971">
        <v>0</v>
      </c>
      <c r="K3971" t="str">
        <f t="shared" si="712"/>
        <v>809</v>
      </c>
      <c r="L3971">
        <v>3589.95</v>
      </c>
    </row>
    <row r="3972" spans="1:12" x14ac:dyDescent="0.25">
      <c r="A3972" t="str">
        <f t="shared" si="713"/>
        <v>89301000</v>
      </c>
      <c r="B3972" t="str">
        <f t="shared" si="710"/>
        <v>78915000</v>
      </c>
      <c r="C3972" t="str">
        <f t="shared" si="711"/>
        <v>78915001</v>
      </c>
      <c r="D3972">
        <v>89301022</v>
      </c>
      <c r="E3972" t="str">
        <f>"9053175747"</f>
        <v>9053175747</v>
      </c>
      <c r="F3972" s="1">
        <v>45030</v>
      </c>
      <c r="G3972" t="str">
        <f>"89725"</f>
        <v>89725</v>
      </c>
      <c r="H3972">
        <v>1</v>
      </c>
      <c r="I3972">
        <v>2863</v>
      </c>
      <c r="J3972">
        <v>0</v>
      </c>
      <c r="K3972" t="str">
        <f t="shared" si="712"/>
        <v>809</v>
      </c>
      <c r="L3972">
        <v>1860.95</v>
      </c>
    </row>
    <row r="3973" spans="1:12" x14ac:dyDescent="0.25">
      <c r="A3973" t="str">
        <f t="shared" si="713"/>
        <v>89301000</v>
      </c>
      <c r="B3973" t="str">
        <f t="shared" si="710"/>
        <v>78915000</v>
      </c>
      <c r="C3973" t="str">
        <f t="shared" si="711"/>
        <v>78915001</v>
      </c>
      <c r="D3973">
        <v>89301062</v>
      </c>
      <c r="E3973" t="str">
        <f>"9254265724"</f>
        <v>9254265724</v>
      </c>
      <c r="F3973" s="1">
        <v>45019</v>
      </c>
      <c r="G3973" t="str">
        <f>"89713"</f>
        <v>89713</v>
      </c>
      <c r="H3973">
        <v>1</v>
      </c>
      <c r="I3973">
        <v>5411</v>
      </c>
      <c r="J3973">
        <v>0</v>
      </c>
      <c r="K3973" t="str">
        <f t="shared" si="712"/>
        <v>809</v>
      </c>
      <c r="L3973">
        <v>3517.15</v>
      </c>
    </row>
    <row r="3974" spans="1:12" x14ac:dyDescent="0.25">
      <c r="A3974" t="str">
        <f t="shared" si="713"/>
        <v>89301000</v>
      </c>
      <c r="B3974" t="str">
        <f t="shared" si="710"/>
        <v>78915000</v>
      </c>
      <c r="C3974" t="str">
        <f t="shared" si="711"/>
        <v>78915001</v>
      </c>
      <c r="D3974">
        <v>89301062</v>
      </c>
      <c r="E3974" t="str">
        <f>"9254265724"</f>
        <v>9254265724</v>
      </c>
      <c r="F3974" s="1">
        <v>45019</v>
      </c>
      <c r="G3974" t="str">
        <f>"89725"</f>
        <v>89725</v>
      </c>
      <c r="H3974">
        <v>1</v>
      </c>
      <c r="I3974">
        <v>2863</v>
      </c>
      <c r="J3974">
        <v>0</v>
      </c>
      <c r="K3974" t="str">
        <f t="shared" si="712"/>
        <v>809</v>
      </c>
      <c r="L3974">
        <v>1860.95</v>
      </c>
    </row>
    <row r="3975" spans="1:12" x14ac:dyDescent="0.25">
      <c r="A3975" t="str">
        <f t="shared" si="713"/>
        <v>89301000</v>
      </c>
      <c r="B3975" t="str">
        <f t="shared" si="710"/>
        <v>78915000</v>
      </c>
      <c r="C3975" t="str">
        <f t="shared" si="711"/>
        <v>78915001</v>
      </c>
      <c r="D3975">
        <v>89301212</v>
      </c>
      <c r="E3975" t="str">
        <f>"9354025714"</f>
        <v>9354025714</v>
      </c>
      <c r="F3975" s="1">
        <v>45035</v>
      </c>
      <c r="G3975" t="str">
        <f>"89715"</f>
        <v>89715</v>
      </c>
      <c r="H3975">
        <v>1</v>
      </c>
      <c r="I3975">
        <v>5523</v>
      </c>
      <c r="J3975">
        <v>0</v>
      </c>
      <c r="K3975" t="str">
        <f t="shared" si="712"/>
        <v>809</v>
      </c>
      <c r="L3975">
        <v>3589.95</v>
      </c>
    </row>
    <row r="3976" spans="1:12" x14ac:dyDescent="0.25">
      <c r="A3976" t="str">
        <f t="shared" si="713"/>
        <v>89301000</v>
      </c>
      <c r="B3976" t="str">
        <f t="shared" si="710"/>
        <v>78915000</v>
      </c>
      <c r="C3976" t="str">
        <f t="shared" si="711"/>
        <v>78915001</v>
      </c>
      <c r="D3976">
        <v>89301212</v>
      </c>
      <c r="E3976" t="str">
        <f>"9354025714"</f>
        <v>9354025714</v>
      </c>
      <c r="F3976" s="1">
        <v>45035</v>
      </c>
      <c r="G3976" t="str">
        <f>"89725"</f>
        <v>89725</v>
      </c>
      <c r="H3976">
        <v>1</v>
      </c>
      <c r="I3976">
        <v>2863</v>
      </c>
      <c r="J3976">
        <v>0</v>
      </c>
      <c r="K3976" t="str">
        <f t="shared" si="712"/>
        <v>809</v>
      </c>
      <c r="L3976">
        <v>1860.95</v>
      </c>
    </row>
    <row r="3977" spans="1:12" x14ac:dyDescent="0.25">
      <c r="A3977" t="str">
        <f t="shared" si="713"/>
        <v>89301000</v>
      </c>
      <c r="B3977" t="str">
        <f t="shared" si="710"/>
        <v>78915000</v>
      </c>
      <c r="C3977" t="str">
        <f t="shared" si="711"/>
        <v>78915001</v>
      </c>
      <c r="D3977">
        <v>89301212</v>
      </c>
      <c r="E3977" t="str">
        <f>"9354025714"</f>
        <v>9354025714</v>
      </c>
      <c r="F3977" s="1">
        <v>45035</v>
      </c>
      <c r="G3977" t="str">
        <f>"0207733"</f>
        <v>0207733</v>
      </c>
      <c r="H3977">
        <v>1</v>
      </c>
      <c r="J3977">
        <v>2590.5300000000002</v>
      </c>
      <c r="K3977" t="str">
        <f t="shared" si="712"/>
        <v>809</v>
      </c>
      <c r="L3977">
        <v>2590.5300000000002</v>
      </c>
    </row>
    <row r="3978" spans="1:12" x14ac:dyDescent="0.25">
      <c r="A3978" t="str">
        <f t="shared" si="713"/>
        <v>89301000</v>
      </c>
      <c r="B3978" t="str">
        <f t="shared" si="710"/>
        <v>78915000</v>
      </c>
      <c r="C3978" t="str">
        <f t="shared" si="711"/>
        <v>78915001</v>
      </c>
      <c r="D3978">
        <v>89301112</v>
      </c>
      <c r="E3978" t="str">
        <f>"9651185731"</f>
        <v>9651185731</v>
      </c>
      <c r="F3978" s="1">
        <v>45043</v>
      </c>
      <c r="G3978" t="str">
        <f>"09569"</f>
        <v>09569</v>
      </c>
      <c r="H3978">
        <v>1</v>
      </c>
      <c r="I3978">
        <v>0</v>
      </c>
      <c r="J3978">
        <v>0</v>
      </c>
      <c r="K3978" t="str">
        <f t="shared" si="712"/>
        <v>809</v>
      </c>
      <c r="L3978">
        <v>0</v>
      </c>
    </row>
    <row r="3979" spans="1:12" x14ac:dyDescent="0.25">
      <c r="A3979" t="str">
        <f t="shared" si="713"/>
        <v>89301000</v>
      </c>
      <c r="B3979" t="str">
        <f t="shared" si="710"/>
        <v>78915000</v>
      </c>
      <c r="C3979" t="str">
        <f t="shared" si="711"/>
        <v>78915001</v>
      </c>
      <c r="D3979">
        <v>89301112</v>
      </c>
      <c r="E3979" t="str">
        <f>"9651185731"</f>
        <v>9651185731</v>
      </c>
      <c r="F3979" s="1">
        <v>45043</v>
      </c>
      <c r="G3979" t="str">
        <f>"89713"</f>
        <v>89713</v>
      </c>
      <c r="H3979">
        <v>1</v>
      </c>
      <c r="I3979">
        <v>5411</v>
      </c>
      <c r="J3979">
        <v>0</v>
      </c>
      <c r="K3979" t="str">
        <f t="shared" si="712"/>
        <v>809</v>
      </c>
      <c r="L3979">
        <v>3517.15</v>
      </c>
    </row>
    <row r="3980" spans="1:12" x14ac:dyDescent="0.25">
      <c r="A3980" t="str">
        <f t="shared" si="713"/>
        <v>89301000</v>
      </c>
      <c r="B3980" t="str">
        <f t="shared" si="710"/>
        <v>78915000</v>
      </c>
      <c r="C3980" t="str">
        <f t="shared" si="711"/>
        <v>78915001</v>
      </c>
      <c r="D3980">
        <v>89301112</v>
      </c>
      <c r="E3980" t="str">
        <f>"9910256169"</f>
        <v>9910256169</v>
      </c>
      <c r="F3980" s="1">
        <v>45037</v>
      </c>
      <c r="G3980" t="str">
        <f>"09567"</f>
        <v>09567</v>
      </c>
      <c r="H3980">
        <v>1</v>
      </c>
      <c r="I3980">
        <v>0</v>
      </c>
      <c r="J3980">
        <v>0</v>
      </c>
      <c r="K3980" t="str">
        <f t="shared" si="712"/>
        <v>809</v>
      </c>
      <c r="L3980">
        <v>0</v>
      </c>
    </row>
    <row r="3981" spans="1:12" x14ac:dyDescent="0.25">
      <c r="A3981" t="str">
        <f t="shared" si="713"/>
        <v>89301000</v>
      </c>
      <c r="B3981" t="str">
        <f t="shared" si="710"/>
        <v>78915000</v>
      </c>
      <c r="C3981" t="str">
        <f t="shared" si="711"/>
        <v>78915001</v>
      </c>
      <c r="D3981">
        <v>89301112</v>
      </c>
      <c r="E3981" t="str">
        <f>"9910256169"</f>
        <v>9910256169</v>
      </c>
      <c r="F3981" s="1">
        <v>45037</v>
      </c>
      <c r="G3981" t="str">
        <f>"89713"</f>
        <v>89713</v>
      </c>
      <c r="H3981">
        <v>1</v>
      </c>
      <c r="I3981">
        <v>5411</v>
      </c>
      <c r="J3981">
        <v>0</v>
      </c>
      <c r="K3981" t="str">
        <f t="shared" si="712"/>
        <v>809</v>
      </c>
      <c r="L3981">
        <v>3517.15</v>
      </c>
    </row>
    <row r="3982" spans="1:12" x14ac:dyDescent="0.25">
      <c r="A3982" t="str">
        <f t="shared" si="713"/>
        <v>89301000</v>
      </c>
      <c r="B3982" t="str">
        <f t="shared" ref="B3982:C4001" si="714">"89063000"</f>
        <v>89063000</v>
      </c>
      <c r="C3982" t="str">
        <f t="shared" si="714"/>
        <v>89063000</v>
      </c>
      <c r="D3982">
        <v>89301037</v>
      </c>
      <c r="E3982" t="str">
        <f>"6462020708"</f>
        <v>6462020708</v>
      </c>
      <c r="F3982" s="1">
        <v>45022</v>
      </c>
      <c r="G3982" t="str">
        <f t="shared" ref="G3982:G4013" si="715">"89312"</f>
        <v>89312</v>
      </c>
      <c r="H3982">
        <v>3</v>
      </c>
      <c r="I3982">
        <v>936</v>
      </c>
      <c r="J3982">
        <v>0</v>
      </c>
      <c r="K3982" t="str">
        <f t="shared" si="712"/>
        <v>809</v>
      </c>
      <c r="L3982">
        <v>1020.24</v>
      </c>
    </row>
    <row r="3983" spans="1:12" x14ac:dyDescent="0.25">
      <c r="A3983" t="str">
        <f t="shared" si="713"/>
        <v>89301000</v>
      </c>
      <c r="B3983" t="str">
        <f t="shared" si="714"/>
        <v>89063000</v>
      </c>
      <c r="C3983" t="str">
        <f t="shared" si="714"/>
        <v>89063000</v>
      </c>
      <c r="D3983">
        <v>89301162</v>
      </c>
      <c r="E3983" t="str">
        <f>"7202283506"</f>
        <v>7202283506</v>
      </c>
      <c r="F3983" s="1">
        <v>45019</v>
      </c>
      <c r="G3983" t="str">
        <f t="shared" si="715"/>
        <v>89312</v>
      </c>
      <c r="H3983">
        <v>3</v>
      </c>
      <c r="I3983">
        <v>936</v>
      </c>
      <c r="J3983">
        <v>0</v>
      </c>
      <c r="K3983" t="str">
        <f t="shared" si="712"/>
        <v>809</v>
      </c>
      <c r="L3983">
        <v>1020.24</v>
      </c>
    </row>
    <row r="3984" spans="1:12" x14ac:dyDescent="0.25">
      <c r="A3984" t="str">
        <f t="shared" si="713"/>
        <v>89301000</v>
      </c>
      <c r="B3984" t="str">
        <f t="shared" si="714"/>
        <v>89063000</v>
      </c>
      <c r="C3984" t="str">
        <f t="shared" si="714"/>
        <v>89063000</v>
      </c>
      <c r="D3984">
        <v>89301037</v>
      </c>
      <c r="E3984" t="str">
        <f>"515403043"</f>
        <v>515403043</v>
      </c>
      <c r="F3984" s="1">
        <v>45019</v>
      </c>
      <c r="G3984" t="str">
        <f t="shared" si="715"/>
        <v>89312</v>
      </c>
      <c r="H3984">
        <v>3</v>
      </c>
      <c r="I3984">
        <v>936</v>
      </c>
      <c r="J3984">
        <v>0</v>
      </c>
      <c r="K3984" t="str">
        <f t="shared" si="712"/>
        <v>809</v>
      </c>
      <c r="L3984">
        <v>1020.24</v>
      </c>
    </row>
    <row r="3985" spans="1:12" x14ac:dyDescent="0.25">
      <c r="A3985" t="str">
        <f t="shared" si="713"/>
        <v>89301000</v>
      </c>
      <c r="B3985" t="str">
        <f t="shared" si="714"/>
        <v>89063000</v>
      </c>
      <c r="C3985" t="str">
        <f t="shared" si="714"/>
        <v>89063000</v>
      </c>
      <c r="D3985">
        <v>89301037</v>
      </c>
      <c r="E3985" t="str">
        <f>"7409025316"</f>
        <v>7409025316</v>
      </c>
      <c r="F3985" s="1">
        <v>45019</v>
      </c>
      <c r="G3985" t="str">
        <f t="shared" si="715"/>
        <v>89312</v>
      </c>
      <c r="H3985">
        <v>3</v>
      </c>
      <c r="I3985">
        <v>936</v>
      </c>
      <c r="J3985">
        <v>0</v>
      </c>
      <c r="K3985" t="str">
        <f t="shared" si="712"/>
        <v>809</v>
      </c>
      <c r="L3985">
        <v>1020.24</v>
      </c>
    </row>
    <row r="3986" spans="1:12" x14ac:dyDescent="0.25">
      <c r="A3986" t="str">
        <f t="shared" si="713"/>
        <v>89301000</v>
      </c>
      <c r="B3986" t="str">
        <f t="shared" si="714"/>
        <v>89063000</v>
      </c>
      <c r="C3986" t="str">
        <f t="shared" si="714"/>
        <v>89063000</v>
      </c>
      <c r="D3986">
        <v>89301037</v>
      </c>
      <c r="E3986" t="str">
        <f>"6154241456"</f>
        <v>6154241456</v>
      </c>
      <c r="F3986" s="1">
        <v>45019</v>
      </c>
      <c r="G3986" t="str">
        <f t="shared" si="715"/>
        <v>89312</v>
      </c>
      <c r="H3986">
        <v>3</v>
      </c>
      <c r="I3986">
        <v>936</v>
      </c>
      <c r="J3986">
        <v>0</v>
      </c>
      <c r="K3986" t="str">
        <f t="shared" si="712"/>
        <v>809</v>
      </c>
      <c r="L3986">
        <v>1020.24</v>
      </c>
    </row>
    <row r="3987" spans="1:12" x14ac:dyDescent="0.25">
      <c r="A3987" t="str">
        <f t="shared" si="713"/>
        <v>89301000</v>
      </c>
      <c r="B3987" t="str">
        <f t="shared" si="714"/>
        <v>89063000</v>
      </c>
      <c r="C3987" t="str">
        <f t="shared" si="714"/>
        <v>89063000</v>
      </c>
      <c r="D3987">
        <v>89301034</v>
      </c>
      <c r="E3987" t="str">
        <f>"7758025781"</f>
        <v>7758025781</v>
      </c>
      <c r="F3987" s="1">
        <v>45019</v>
      </c>
      <c r="G3987" t="str">
        <f t="shared" si="715"/>
        <v>89312</v>
      </c>
      <c r="H3987">
        <v>3</v>
      </c>
      <c r="I3987">
        <v>936</v>
      </c>
      <c r="J3987">
        <v>0</v>
      </c>
      <c r="K3987" t="str">
        <f t="shared" si="712"/>
        <v>809</v>
      </c>
      <c r="L3987">
        <v>1020.24</v>
      </c>
    </row>
    <row r="3988" spans="1:12" x14ac:dyDescent="0.25">
      <c r="A3988" t="str">
        <f t="shared" si="713"/>
        <v>89301000</v>
      </c>
      <c r="B3988" t="str">
        <f t="shared" si="714"/>
        <v>89063000</v>
      </c>
      <c r="C3988" t="str">
        <f t="shared" si="714"/>
        <v>89063000</v>
      </c>
      <c r="D3988">
        <v>89301702</v>
      </c>
      <c r="E3988" t="str">
        <f>"1255160236"</f>
        <v>1255160236</v>
      </c>
      <c r="F3988" s="1">
        <v>45019</v>
      </c>
      <c r="G3988" t="str">
        <f t="shared" si="715"/>
        <v>89312</v>
      </c>
      <c r="H3988">
        <v>1</v>
      </c>
      <c r="I3988">
        <v>312</v>
      </c>
      <c r="J3988">
        <v>0</v>
      </c>
      <c r="K3988" t="str">
        <f t="shared" si="712"/>
        <v>809</v>
      </c>
      <c r="L3988">
        <v>340.08</v>
      </c>
    </row>
    <row r="3989" spans="1:12" x14ac:dyDescent="0.25">
      <c r="A3989" t="str">
        <f t="shared" si="713"/>
        <v>89301000</v>
      </c>
      <c r="B3989" t="str">
        <f t="shared" si="714"/>
        <v>89063000</v>
      </c>
      <c r="C3989" t="str">
        <f t="shared" si="714"/>
        <v>89063000</v>
      </c>
      <c r="D3989">
        <v>89301037</v>
      </c>
      <c r="E3989" t="str">
        <f>"6255041331"</f>
        <v>6255041331</v>
      </c>
      <c r="F3989" s="1">
        <v>45020</v>
      </c>
      <c r="G3989" t="str">
        <f t="shared" si="715"/>
        <v>89312</v>
      </c>
      <c r="H3989">
        <v>3</v>
      </c>
      <c r="I3989">
        <v>936</v>
      </c>
      <c r="J3989">
        <v>0</v>
      </c>
      <c r="K3989" t="str">
        <f t="shared" si="712"/>
        <v>809</v>
      </c>
      <c r="L3989">
        <v>1020.24</v>
      </c>
    </row>
    <row r="3990" spans="1:12" x14ac:dyDescent="0.25">
      <c r="A3990" t="str">
        <f t="shared" si="713"/>
        <v>89301000</v>
      </c>
      <c r="B3990" t="str">
        <f t="shared" si="714"/>
        <v>89063000</v>
      </c>
      <c r="C3990" t="str">
        <f t="shared" si="714"/>
        <v>89063000</v>
      </c>
      <c r="D3990">
        <v>89301102</v>
      </c>
      <c r="E3990" t="str">
        <f>"1458070383"</f>
        <v>1458070383</v>
      </c>
      <c r="F3990" s="1">
        <v>45020</v>
      </c>
      <c r="G3990" t="str">
        <f t="shared" si="715"/>
        <v>89312</v>
      </c>
      <c r="H3990">
        <v>1</v>
      </c>
      <c r="I3990">
        <v>312</v>
      </c>
      <c r="J3990">
        <v>0</v>
      </c>
      <c r="K3990" t="str">
        <f t="shared" si="712"/>
        <v>809</v>
      </c>
      <c r="L3990">
        <v>340.08</v>
      </c>
    </row>
    <row r="3991" spans="1:12" x14ac:dyDescent="0.25">
      <c r="A3991" t="str">
        <f t="shared" si="713"/>
        <v>89301000</v>
      </c>
      <c r="B3991" t="str">
        <f t="shared" si="714"/>
        <v>89063000</v>
      </c>
      <c r="C3991" t="str">
        <f t="shared" si="714"/>
        <v>89063000</v>
      </c>
      <c r="D3991">
        <v>89301037</v>
      </c>
      <c r="E3991" t="str">
        <f>"455123408"</f>
        <v>455123408</v>
      </c>
      <c r="F3991" s="1">
        <v>45021</v>
      </c>
      <c r="G3991" t="str">
        <f t="shared" si="715"/>
        <v>89312</v>
      </c>
      <c r="H3991">
        <v>3</v>
      </c>
      <c r="I3991">
        <v>936</v>
      </c>
      <c r="J3991">
        <v>0</v>
      </c>
      <c r="K3991" t="str">
        <f t="shared" si="712"/>
        <v>809</v>
      </c>
      <c r="L3991">
        <v>1020.24</v>
      </c>
    </row>
    <row r="3992" spans="1:12" x14ac:dyDescent="0.25">
      <c r="A3992" t="str">
        <f t="shared" si="713"/>
        <v>89301000</v>
      </c>
      <c r="B3992" t="str">
        <f t="shared" si="714"/>
        <v>89063000</v>
      </c>
      <c r="C3992" t="str">
        <f t="shared" si="714"/>
        <v>89063000</v>
      </c>
      <c r="D3992">
        <v>89301037</v>
      </c>
      <c r="E3992" t="str">
        <f>"8111255361"</f>
        <v>8111255361</v>
      </c>
      <c r="F3992" s="1">
        <v>45021</v>
      </c>
      <c r="G3992" t="str">
        <f t="shared" si="715"/>
        <v>89312</v>
      </c>
      <c r="H3992">
        <v>3</v>
      </c>
      <c r="I3992">
        <v>936</v>
      </c>
      <c r="J3992">
        <v>0</v>
      </c>
      <c r="K3992" t="str">
        <f t="shared" si="712"/>
        <v>809</v>
      </c>
      <c r="L3992">
        <v>1020.24</v>
      </c>
    </row>
    <row r="3993" spans="1:12" x14ac:dyDescent="0.25">
      <c r="A3993" t="str">
        <f t="shared" si="713"/>
        <v>89301000</v>
      </c>
      <c r="B3993" t="str">
        <f t="shared" si="714"/>
        <v>89063000</v>
      </c>
      <c r="C3993" t="str">
        <f t="shared" si="714"/>
        <v>89063000</v>
      </c>
      <c r="D3993">
        <v>89301167</v>
      </c>
      <c r="E3993" t="str">
        <f>"6656040314"</f>
        <v>6656040314</v>
      </c>
      <c r="F3993" s="1">
        <v>45021</v>
      </c>
      <c r="G3993" t="str">
        <f t="shared" si="715"/>
        <v>89312</v>
      </c>
      <c r="H3993">
        <v>3</v>
      </c>
      <c r="I3993">
        <v>936</v>
      </c>
      <c r="J3993">
        <v>0</v>
      </c>
      <c r="K3993" t="str">
        <f t="shared" si="712"/>
        <v>809</v>
      </c>
      <c r="L3993">
        <v>1020.24</v>
      </c>
    </row>
    <row r="3994" spans="1:12" x14ac:dyDescent="0.25">
      <c r="A3994" t="str">
        <f t="shared" si="713"/>
        <v>89301000</v>
      </c>
      <c r="B3994" t="str">
        <f t="shared" si="714"/>
        <v>89063000</v>
      </c>
      <c r="C3994" t="str">
        <f t="shared" si="714"/>
        <v>89063000</v>
      </c>
      <c r="D3994">
        <v>89301039</v>
      </c>
      <c r="E3994" t="str">
        <f>"7252125683"</f>
        <v>7252125683</v>
      </c>
      <c r="F3994" s="1">
        <v>45021</v>
      </c>
      <c r="G3994" t="str">
        <f t="shared" si="715"/>
        <v>89312</v>
      </c>
      <c r="H3994">
        <v>3</v>
      </c>
      <c r="I3994">
        <v>936</v>
      </c>
      <c r="J3994">
        <v>0</v>
      </c>
      <c r="K3994" t="str">
        <f t="shared" si="712"/>
        <v>809</v>
      </c>
      <c r="L3994">
        <v>1020.24</v>
      </c>
    </row>
    <row r="3995" spans="1:12" x14ac:dyDescent="0.25">
      <c r="A3995" t="str">
        <f t="shared" si="713"/>
        <v>89301000</v>
      </c>
      <c r="B3995" t="str">
        <f t="shared" si="714"/>
        <v>89063000</v>
      </c>
      <c r="C3995" t="str">
        <f t="shared" si="714"/>
        <v>89063000</v>
      </c>
      <c r="D3995">
        <v>89301037</v>
      </c>
      <c r="E3995" t="str">
        <f>"5812210129"</f>
        <v>5812210129</v>
      </c>
      <c r="F3995" s="1">
        <v>45027</v>
      </c>
      <c r="G3995" t="str">
        <f t="shared" si="715"/>
        <v>89312</v>
      </c>
      <c r="H3995">
        <v>3</v>
      </c>
      <c r="I3995">
        <v>936</v>
      </c>
      <c r="J3995">
        <v>0</v>
      </c>
      <c r="K3995" t="str">
        <f t="shared" si="712"/>
        <v>809</v>
      </c>
      <c r="L3995">
        <v>1020.24</v>
      </c>
    </row>
    <row r="3996" spans="1:12" x14ac:dyDescent="0.25">
      <c r="A3996" t="str">
        <f t="shared" si="713"/>
        <v>89301000</v>
      </c>
      <c r="B3996" t="str">
        <f t="shared" si="714"/>
        <v>89063000</v>
      </c>
      <c r="C3996" t="str">
        <f t="shared" si="714"/>
        <v>89063000</v>
      </c>
      <c r="D3996">
        <v>89301162</v>
      </c>
      <c r="E3996" t="str">
        <f>"9212014845"</f>
        <v>9212014845</v>
      </c>
      <c r="F3996" s="1">
        <v>45028</v>
      </c>
      <c r="G3996" t="str">
        <f t="shared" si="715"/>
        <v>89312</v>
      </c>
      <c r="H3996">
        <v>3</v>
      </c>
      <c r="I3996">
        <v>936</v>
      </c>
      <c r="J3996">
        <v>0</v>
      </c>
      <c r="K3996" t="str">
        <f t="shared" si="712"/>
        <v>809</v>
      </c>
      <c r="L3996">
        <v>1020.24</v>
      </c>
    </row>
    <row r="3997" spans="1:12" x14ac:dyDescent="0.25">
      <c r="A3997" t="str">
        <f t="shared" si="713"/>
        <v>89301000</v>
      </c>
      <c r="B3997" t="str">
        <f t="shared" si="714"/>
        <v>89063000</v>
      </c>
      <c r="C3997" t="str">
        <f t="shared" si="714"/>
        <v>89063000</v>
      </c>
      <c r="D3997">
        <v>89301037</v>
      </c>
      <c r="E3997" t="str">
        <f>"5562171824"</f>
        <v>5562171824</v>
      </c>
      <c r="F3997" s="1">
        <v>45028</v>
      </c>
      <c r="G3997" t="str">
        <f t="shared" si="715"/>
        <v>89312</v>
      </c>
      <c r="H3997">
        <v>3</v>
      </c>
      <c r="I3997">
        <v>936</v>
      </c>
      <c r="J3997">
        <v>0</v>
      </c>
      <c r="K3997" t="str">
        <f t="shared" si="712"/>
        <v>809</v>
      </c>
      <c r="L3997">
        <v>1020.24</v>
      </c>
    </row>
    <row r="3998" spans="1:12" x14ac:dyDescent="0.25">
      <c r="A3998" t="str">
        <f t="shared" si="713"/>
        <v>89301000</v>
      </c>
      <c r="B3998" t="str">
        <f t="shared" si="714"/>
        <v>89063000</v>
      </c>
      <c r="C3998" t="str">
        <f t="shared" si="714"/>
        <v>89063000</v>
      </c>
      <c r="D3998">
        <v>89301031</v>
      </c>
      <c r="E3998" t="str">
        <f>"465913401"</f>
        <v>465913401</v>
      </c>
      <c r="F3998" s="1">
        <v>45028</v>
      </c>
      <c r="G3998" t="str">
        <f t="shared" si="715"/>
        <v>89312</v>
      </c>
      <c r="H3998">
        <v>3</v>
      </c>
      <c r="I3998">
        <v>936</v>
      </c>
      <c r="J3998">
        <v>0</v>
      </c>
      <c r="K3998" t="str">
        <f t="shared" si="712"/>
        <v>809</v>
      </c>
      <c r="L3998">
        <v>1020.24</v>
      </c>
    </row>
    <row r="3999" spans="1:12" x14ac:dyDescent="0.25">
      <c r="A3999" t="str">
        <f t="shared" si="713"/>
        <v>89301000</v>
      </c>
      <c r="B3999" t="str">
        <f t="shared" si="714"/>
        <v>89063000</v>
      </c>
      <c r="C3999" t="str">
        <f t="shared" si="714"/>
        <v>89063000</v>
      </c>
      <c r="D3999">
        <v>89301036</v>
      </c>
      <c r="E3999" t="str">
        <f>"5455140526"</f>
        <v>5455140526</v>
      </c>
      <c r="F3999" s="1">
        <v>45029</v>
      </c>
      <c r="G3999" t="str">
        <f t="shared" si="715"/>
        <v>89312</v>
      </c>
      <c r="H3999">
        <v>3</v>
      </c>
      <c r="I3999">
        <v>936</v>
      </c>
      <c r="J3999">
        <v>0</v>
      </c>
      <c r="K3999" t="str">
        <f t="shared" si="712"/>
        <v>809</v>
      </c>
      <c r="L3999">
        <v>1020.24</v>
      </c>
    </row>
    <row r="4000" spans="1:12" x14ac:dyDescent="0.25">
      <c r="A4000" t="str">
        <f t="shared" si="713"/>
        <v>89301000</v>
      </c>
      <c r="B4000" t="str">
        <f t="shared" si="714"/>
        <v>89063000</v>
      </c>
      <c r="C4000" t="str">
        <f t="shared" si="714"/>
        <v>89063000</v>
      </c>
      <c r="D4000">
        <v>89301037</v>
      </c>
      <c r="E4000" t="str">
        <f>"6857220579"</f>
        <v>6857220579</v>
      </c>
      <c r="F4000" s="1">
        <v>45030</v>
      </c>
      <c r="G4000" t="str">
        <f t="shared" si="715"/>
        <v>89312</v>
      </c>
      <c r="H4000">
        <v>3</v>
      </c>
      <c r="I4000">
        <v>936</v>
      </c>
      <c r="J4000">
        <v>0</v>
      </c>
      <c r="K4000" t="str">
        <f t="shared" si="712"/>
        <v>809</v>
      </c>
      <c r="L4000">
        <v>1020.24</v>
      </c>
    </row>
    <row r="4001" spans="1:12" x14ac:dyDescent="0.25">
      <c r="A4001" t="str">
        <f t="shared" si="713"/>
        <v>89301000</v>
      </c>
      <c r="B4001" t="str">
        <f t="shared" si="714"/>
        <v>89063000</v>
      </c>
      <c r="C4001" t="str">
        <f t="shared" si="714"/>
        <v>89063000</v>
      </c>
      <c r="D4001">
        <v>89301037</v>
      </c>
      <c r="E4001" t="str">
        <f>"6310060394"</f>
        <v>6310060394</v>
      </c>
      <c r="F4001" s="1">
        <v>45030</v>
      </c>
      <c r="G4001" t="str">
        <f t="shared" si="715"/>
        <v>89312</v>
      </c>
      <c r="H4001">
        <v>3</v>
      </c>
      <c r="I4001">
        <v>936</v>
      </c>
      <c r="J4001">
        <v>0</v>
      </c>
      <c r="K4001" t="str">
        <f t="shared" si="712"/>
        <v>809</v>
      </c>
      <c r="L4001">
        <v>1020.24</v>
      </c>
    </row>
    <row r="4002" spans="1:12" x14ac:dyDescent="0.25">
      <c r="A4002" t="str">
        <f t="shared" si="713"/>
        <v>89301000</v>
      </c>
      <c r="B4002" t="str">
        <f t="shared" ref="B4002:C4021" si="716">"89063000"</f>
        <v>89063000</v>
      </c>
      <c r="C4002" t="str">
        <f t="shared" si="716"/>
        <v>89063000</v>
      </c>
      <c r="D4002">
        <v>89301037</v>
      </c>
      <c r="E4002" t="str">
        <f>"5612100549"</f>
        <v>5612100549</v>
      </c>
      <c r="F4002" s="1">
        <v>45030</v>
      </c>
      <c r="G4002" t="str">
        <f t="shared" si="715"/>
        <v>89312</v>
      </c>
      <c r="H4002">
        <v>3</v>
      </c>
      <c r="I4002">
        <v>936</v>
      </c>
      <c r="J4002">
        <v>0</v>
      </c>
      <c r="K4002" t="str">
        <f t="shared" si="712"/>
        <v>809</v>
      </c>
      <c r="L4002">
        <v>1020.24</v>
      </c>
    </row>
    <row r="4003" spans="1:12" x14ac:dyDescent="0.25">
      <c r="A4003" t="str">
        <f t="shared" si="713"/>
        <v>89301000</v>
      </c>
      <c r="B4003" t="str">
        <f t="shared" si="716"/>
        <v>89063000</v>
      </c>
      <c r="C4003" t="str">
        <f t="shared" si="716"/>
        <v>89063000</v>
      </c>
      <c r="D4003">
        <v>89301037</v>
      </c>
      <c r="E4003" t="str">
        <f>"405113442"</f>
        <v>405113442</v>
      </c>
      <c r="F4003" s="1">
        <v>45030</v>
      </c>
      <c r="G4003" t="str">
        <f t="shared" si="715"/>
        <v>89312</v>
      </c>
      <c r="H4003">
        <v>3</v>
      </c>
      <c r="I4003">
        <v>936</v>
      </c>
      <c r="J4003">
        <v>0</v>
      </c>
      <c r="K4003" t="str">
        <f t="shared" si="712"/>
        <v>809</v>
      </c>
      <c r="L4003">
        <v>1020.24</v>
      </c>
    </row>
    <row r="4004" spans="1:12" x14ac:dyDescent="0.25">
      <c r="A4004" t="str">
        <f t="shared" si="713"/>
        <v>89301000</v>
      </c>
      <c r="B4004" t="str">
        <f t="shared" si="716"/>
        <v>89063000</v>
      </c>
      <c r="C4004" t="str">
        <f t="shared" si="716"/>
        <v>89063000</v>
      </c>
      <c r="D4004">
        <v>89301037</v>
      </c>
      <c r="E4004" t="str">
        <f>"5559140796"</f>
        <v>5559140796</v>
      </c>
      <c r="F4004" s="1">
        <v>45033</v>
      </c>
      <c r="G4004" t="str">
        <f t="shared" si="715"/>
        <v>89312</v>
      </c>
      <c r="H4004">
        <v>3</v>
      </c>
      <c r="I4004">
        <v>936</v>
      </c>
      <c r="J4004">
        <v>0</v>
      </c>
      <c r="K4004" t="str">
        <f t="shared" si="712"/>
        <v>809</v>
      </c>
      <c r="L4004">
        <v>1020.24</v>
      </c>
    </row>
    <row r="4005" spans="1:12" x14ac:dyDescent="0.25">
      <c r="A4005" t="str">
        <f t="shared" si="713"/>
        <v>89301000</v>
      </c>
      <c r="B4005" t="str">
        <f t="shared" si="716"/>
        <v>89063000</v>
      </c>
      <c r="C4005" t="str">
        <f t="shared" si="716"/>
        <v>89063000</v>
      </c>
      <c r="D4005">
        <v>89301036</v>
      </c>
      <c r="E4005" t="str">
        <f>"6401131924"</f>
        <v>6401131924</v>
      </c>
      <c r="F4005" s="1">
        <v>45033</v>
      </c>
      <c r="G4005" t="str">
        <f t="shared" si="715"/>
        <v>89312</v>
      </c>
      <c r="H4005">
        <v>3</v>
      </c>
      <c r="I4005">
        <v>936</v>
      </c>
      <c r="J4005">
        <v>0</v>
      </c>
      <c r="K4005" t="str">
        <f t="shared" si="712"/>
        <v>809</v>
      </c>
      <c r="L4005">
        <v>1020.24</v>
      </c>
    </row>
    <row r="4006" spans="1:12" x14ac:dyDescent="0.25">
      <c r="A4006" t="str">
        <f t="shared" si="713"/>
        <v>89301000</v>
      </c>
      <c r="B4006" t="str">
        <f t="shared" si="716"/>
        <v>89063000</v>
      </c>
      <c r="C4006" t="str">
        <f t="shared" si="716"/>
        <v>89063000</v>
      </c>
      <c r="D4006">
        <v>89301212</v>
      </c>
      <c r="E4006" t="str">
        <f>"5554031791"</f>
        <v>5554031791</v>
      </c>
      <c r="F4006" s="1">
        <v>45033</v>
      </c>
      <c r="G4006" t="str">
        <f t="shared" si="715"/>
        <v>89312</v>
      </c>
      <c r="H4006">
        <v>3</v>
      </c>
      <c r="I4006">
        <v>936</v>
      </c>
      <c r="J4006">
        <v>0</v>
      </c>
      <c r="K4006" t="str">
        <f t="shared" si="712"/>
        <v>809</v>
      </c>
      <c r="L4006">
        <v>1020.24</v>
      </c>
    </row>
    <row r="4007" spans="1:12" x14ac:dyDescent="0.25">
      <c r="A4007" t="str">
        <f t="shared" si="713"/>
        <v>89301000</v>
      </c>
      <c r="B4007" t="str">
        <f t="shared" si="716"/>
        <v>89063000</v>
      </c>
      <c r="C4007" t="str">
        <f t="shared" si="716"/>
        <v>89063000</v>
      </c>
      <c r="D4007">
        <v>89301034</v>
      </c>
      <c r="E4007" t="str">
        <f>"8959215551"</f>
        <v>8959215551</v>
      </c>
      <c r="F4007" s="1">
        <v>45033</v>
      </c>
      <c r="G4007" t="str">
        <f t="shared" si="715"/>
        <v>89312</v>
      </c>
      <c r="H4007">
        <v>3</v>
      </c>
      <c r="I4007">
        <v>936</v>
      </c>
      <c r="J4007">
        <v>0</v>
      </c>
      <c r="K4007" t="str">
        <f t="shared" si="712"/>
        <v>809</v>
      </c>
      <c r="L4007">
        <v>1020.24</v>
      </c>
    </row>
    <row r="4008" spans="1:12" x14ac:dyDescent="0.25">
      <c r="A4008" t="str">
        <f t="shared" si="713"/>
        <v>89301000</v>
      </c>
      <c r="B4008" t="str">
        <f t="shared" si="716"/>
        <v>89063000</v>
      </c>
      <c r="C4008" t="str">
        <f t="shared" si="716"/>
        <v>89063000</v>
      </c>
      <c r="D4008">
        <v>89301037</v>
      </c>
      <c r="E4008" t="str">
        <f>"396010423"</f>
        <v>396010423</v>
      </c>
      <c r="F4008" s="1">
        <v>45035</v>
      </c>
      <c r="G4008" t="str">
        <f t="shared" si="715"/>
        <v>89312</v>
      </c>
      <c r="H4008">
        <v>3</v>
      </c>
      <c r="I4008">
        <v>936</v>
      </c>
      <c r="J4008">
        <v>0</v>
      </c>
      <c r="K4008" t="str">
        <f t="shared" si="712"/>
        <v>809</v>
      </c>
      <c r="L4008">
        <v>1020.24</v>
      </c>
    </row>
    <row r="4009" spans="1:12" x14ac:dyDescent="0.25">
      <c r="A4009" t="str">
        <f t="shared" si="713"/>
        <v>89301000</v>
      </c>
      <c r="B4009" t="str">
        <f t="shared" si="716"/>
        <v>89063000</v>
      </c>
      <c r="C4009" t="str">
        <f t="shared" si="716"/>
        <v>89063000</v>
      </c>
      <c r="D4009">
        <v>89301212</v>
      </c>
      <c r="E4009" t="str">
        <f>"475226404"</f>
        <v>475226404</v>
      </c>
      <c r="F4009" s="1">
        <v>45034</v>
      </c>
      <c r="G4009" t="str">
        <f t="shared" si="715"/>
        <v>89312</v>
      </c>
      <c r="H4009">
        <v>3</v>
      </c>
      <c r="I4009">
        <v>936</v>
      </c>
      <c r="J4009">
        <v>0</v>
      </c>
      <c r="K4009" t="str">
        <f t="shared" si="712"/>
        <v>809</v>
      </c>
      <c r="L4009">
        <v>1020.24</v>
      </c>
    </row>
    <row r="4010" spans="1:12" x14ac:dyDescent="0.25">
      <c r="A4010" t="str">
        <f t="shared" si="713"/>
        <v>89301000</v>
      </c>
      <c r="B4010" t="str">
        <f t="shared" si="716"/>
        <v>89063000</v>
      </c>
      <c r="C4010" t="str">
        <f t="shared" si="716"/>
        <v>89063000</v>
      </c>
      <c r="D4010">
        <v>89301212</v>
      </c>
      <c r="E4010" t="str">
        <f>"7451275513"</f>
        <v>7451275513</v>
      </c>
      <c r="F4010" s="1">
        <v>45034</v>
      </c>
      <c r="G4010" t="str">
        <f t="shared" si="715"/>
        <v>89312</v>
      </c>
      <c r="H4010">
        <v>3</v>
      </c>
      <c r="I4010">
        <v>936</v>
      </c>
      <c r="J4010">
        <v>0</v>
      </c>
      <c r="K4010" t="str">
        <f t="shared" si="712"/>
        <v>809</v>
      </c>
      <c r="L4010">
        <v>1020.24</v>
      </c>
    </row>
    <row r="4011" spans="1:12" x14ac:dyDescent="0.25">
      <c r="A4011" t="str">
        <f t="shared" si="713"/>
        <v>89301000</v>
      </c>
      <c r="B4011" t="str">
        <f t="shared" si="716"/>
        <v>89063000</v>
      </c>
      <c r="C4011" t="str">
        <f t="shared" si="716"/>
        <v>89063000</v>
      </c>
      <c r="D4011">
        <v>89301037</v>
      </c>
      <c r="E4011" t="str">
        <f>"5559217477"</f>
        <v>5559217477</v>
      </c>
      <c r="F4011" s="1">
        <v>45034</v>
      </c>
      <c r="G4011" t="str">
        <f t="shared" si="715"/>
        <v>89312</v>
      </c>
      <c r="H4011">
        <v>3</v>
      </c>
      <c r="I4011">
        <v>936</v>
      </c>
      <c r="J4011">
        <v>0</v>
      </c>
      <c r="K4011" t="str">
        <f t="shared" si="712"/>
        <v>809</v>
      </c>
      <c r="L4011">
        <v>1020.24</v>
      </c>
    </row>
    <row r="4012" spans="1:12" x14ac:dyDescent="0.25">
      <c r="A4012" t="str">
        <f t="shared" si="713"/>
        <v>89301000</v>
      </c>
      <c r="B4012" t="str">
        <f t="shared" si="716"/>
        <v>89063000</v>
      </c>
      <c r="C4012" t="str">
        <f t="shared" si="716"/>
        <v>89063000</v>
      </c>
      <c r="D4012">
        <v>89301037</v>
      </c>
      <c r="E4012" t="str">
        <f>"315731466"</f>
        <v>315731466</v>
      </c>
      <c r="F4012" s="1">
        <v>45036</v>
      </c>
      <c r="G4012" t="str">
        <f t="shared" si="715"/>
        <v>89312</v>
      </c>
      <c r="H4012">
        <v>3</v>
      </c>
      <c r="I4012">
        <v>936</v>
      </c>
      <c r="J4012">
        <v>0</v>
      </c>
      <c r="K4012" t="str">
        <f t="shared" si="712"/>
        <v>809</v>
      </c>
      <c r="L4012">
        <v>1020.24</v>
      </c>
    </row>
    <row r="4013" spans="1:12" x14ac:dyDescent="0.25">
      <c r="A4013" t="str">
        <f t="shared" si="713"/>
        <v>89301000</v>
      </c>
      <c r="B4013" t="str">
        <f t="shared" si="716"/>
        <v>89063000</v>
      </c>
      <c r="C4013" t="str">
        <f t="shared" si="716"/>
        <v>89063000</v>
      </c>
      <c r="D4013">
        <v>89301036</v>
      </c>
      <c r="E4013" t="str">
        <f>"6951265244"</f>
        <v>6951265244</v>
      </c>
      <c r="F4013" s="1">
        <v>45036</v>
      </c>
      <c r="G4013" t="str">
        <f t="shared" si="715"/>
        <v>89312</v>
      </c>
      <c r="H4013">
        <v>3</v>
      </c>
      <c r="I4013">
        <v>936</v>
      </c>
      <c r="J4013">
        <v>0</v>
      </c>
      <c r="K4013" t="str">
        <f t="shared" si="712"/>
        <v>809</v>
      </c>
      <c r="L4013">
        <v>1020.24</v>
      </c>
    </row>
    <row r="4014" spans="1:12" x14ac:dyDescent="0.25">
      <c r="A4014" t="str">
        <f t="shared" si="713"/>
        <v>89301000</v>
      </c>
      <c r="B4014" t="str">
        <f t="shared" si="716"/>
        <v>89063000</v>
      </c>
      <c r="C4014" t="str">
        <f t="shared" si="716"/>
        <v>89063000</v>
      </c>
      <c r="D4014">
        <v>89301037</v>
      </c>
      <c r="E4014" t="str">
        <f>"6252040025"</f>
        <v>6252040025</v>
      </c>
      <c r="F4014" s="1">
        <v>45037</v>
      </c>
      <c r="G4014" t="str">
        <f t="shared" ref="G4014:G4030" si="717">"89312"</f>
        <v>89312</v>
      </c>
      <c r="H4014">
        <v>3</v>
      </c>
      <c r="I4014">
        <v>936</v>
      </c>
      <c r="J4014">
        <v>0</v>
      </c>
      <c r="K4014" t="str">
        <f t="shared" si="712"/>
        <v>809</v>
      </c>
      <c r="L4014">
        <v>1020.24</v>
      </c>
    </row>
    <row r="4015" spans="1:12" x14ac:dyDescent="0.25">
      <c r="A4015" t="str">
        <f t="shared" si="713"/>
        <v>89301000</v>
      </c>
      <c r="B4015" t="str">
        <f t="shared" si="716"/>
        <v>89063000</v>
      </c>
      <c r="C4015" t="str">
        <f t="shared" si="716"/>
        <v>89063000</v>
      </c>
      <c r="D4015">
        <v>89301037</v>
      </c>
      <c r="E4015" t="str">
        <f>"5451273377"</f>
        <v>5451273377</v>
      </c>
      <c r="F4015" s="1">
        <v>45037</v>
      </c>
      <c r="G4015" t="str">
        <f t="shared" si="717"/>
        <v>89312</v>
      </c>
      <c r="H4015">
        <v>3</v>
      </c>
      <c r="I4015">
        <v>936</v>
      </c>
      <c r="J4015">
        <v>0</v>
      </c>
      <c r="K4015" t="str">
        <f t="shared" si="712"/>
        <v>809</v>
      </c>
      <c r="L4015">
        <v>1020.24</v>
      </c>
    </row>
    <row r="4016" spans="1:12" x14ac:dyDescent="0.25">
      <c r="A4016" t="str">
        <f t="shared" si="713"/>
        <v>89301000</v>
      </c>
      <c r="B4016" t="str">
        <f t="shared" si="716"/>
        <v>89063000</v>
      </c>
      <c r="C4016" t="str">
        <f t="shared" si="716"/>
        <v>89063000</v>
      </c>
      <c r="D4016">
        <v>89301032</v>
      </c>
      <c r="E4016" t="str">
        <f>"7155035767"</f>
        <v>7155035767</v>
      </c>
      <c r="F4016" s="1">
        <v>45037</v>
      </c>
      <c r="G4016" t="str">
        <f t="shared" si="717"/>
        <v>89312</v>
      </c>
      <c r="H4016">
        <v>3</v>
      </c>
      <c r="I4016">
        <v>936</v>
      </c>
      <c r="J4016">
        <v>0</v>
      </c>
      <c r="K4016" t="str">
        <f t="shared" si="712"/>
        <v>809</v>
      </c>
      <c r="L4016">
        <v>1020.24</v>
      </c>
    </row>
    <row r="4017" spans="1:12" x14ac:dyDescent="0.25">
      <c r="A4017" t="str">
        <f t="shared" si="713"/>
        <v>89301000</v>
      </c>
      <c r="B4017" t="str">
        <f t="shared" si="716"/>
        <v>89063000</v>
      </c>
      <c r="C4017" t="str">
        <f t="shared" si="716"/>
        <v>89063000</v>
      </c>
      <c r="D4017">
        <v>89301037</v>
      </c>
      <c r="E4017" t="str">
        <f>"7054085874"</f>
        <v>7054085874</v>
      </c>
      <c r="F4017" s="1">
        <v>45040</v>
      </c>
      <c r="G4017" t="str">
        <f t="shared" si="717"/>
        <v>89312</v>
      </c>
      <c r="H4017">
        <v>3</v>
      </c>
      <c r="I4017">
        <v>936</v>
      </c>
      <c r="J4017">
        <v>0</v>
      </c>
      <c r="K4017" t="str">
        <f t="shared" si="712"/>
        <v>809</v>
      </c>
      <c r="L4017">
        <v>1020.24</v>
      </c>
    </row>
    <row r="4018" spans="1:12" x14ac:dyDescent="0.25">
      <c r="A4018" t="str">
        <f t="shared" si="713"/>
        <v>89301000</v>
      </c>
      <c r="B4018" t="str">
        <f t="shared" si="716"/>
        <v>89063000</v>
      </c>
      <c r="C4018" t="str">
        <f t="shared" si="716"/>
        <v>89063000</v>
      </c>
      <c r="D4018">
        <v>89301036</v>
      </c>
      <c r="E4018" t="str">
        <f>"5504141984"</f>
        <v>5504141984</v>
      </c>
      <c r="F4018" s="1">
        <v>45040</v>
      </c>
      <c r="G4018" t="str">
        <f t="shared" si="717"/>
        <v>89312</v>
      </c>
      <c r="H4018">
        <v>3</v>
      </c>
      <c r="I4018">
        <v>936</v>
      </c>
      <c r="J4018">
        <v>0</v>
      </c>
      <c r="K4018" t="str">
        <f t="shared" si="712"/>
        <v>809</v>
      </c>
      <c r="L4018">
        <v>1020.24</v>
      </c>
    </row>
    <row r="4019" spans="1:12" x14ac:dyDescent="0.25">
      <c r="A4019" t="str">
        <f t="shared" si="713"/>
        <v>89301000</v>
      </c>
      <c r="B4019" t="str">
        <f t="shared" si="716"/>
        <v>89063000</v>
      </c>
      <c r="C4019" t="str">
        <f t="shared" si="716"/>
        <v>89063000</v>
      </c>
      <c r="D4019">
        <v>89301032</v>
      </c>
      <c r="E4019" t="str">
        <f>"7359075119"</f>
        <v>7359075119</v>
      </c>
      <c r="F4019" s="1">
        <v>45040</v>
      </c>
      <c r="G4019" t="str">
        <f t="shared" si="717"/>
        <v>89312</v>
      </c>
      <c r="H4019">
        <v>3</v>
      </c>
      <c r="I4019">
        <v>936</v>
      </c>
      <c r="J4019">
        <v>0</v>
      </c>
      <c r="K4019" t="str">
        <f t="shared" si="712"/>
        <v>809</v>
      </c>
      <c r="L4019">
        <v>1020.24</v>
      </c>
    </row>
    <row r="4020" spans="1:12" x14ac:dyDescent="0.25">
      <c r="A4020" t="str">
        <f t="shared" si="713"/>
        <v>89301000</v>
      </c>
      <c r="B4020" t="str">
        <f t="shared" si="716"/>
        <v>89063000</v>
      </c>
      <c r="C4020" t="str">
        <f t="shared" si="716"/>
        <v>89063000</v>
      </c>
      <c r="D4020">
        <v>89301212</v>
      </c>
      <c r="E4020" t="str">
        <f>"7351229908"</f>
        <v>7351229908</v>
      </c>
      <c r="F4020" s="1">
        <v>45040</v>
      </c>
      <c r="G4020" t="str">
        <f t="shared" si="717"/>
        <v>89312</v>
      </c>
      <c r="H4020">
        <v>3</v>
      </c>
      <c r="I4020">
        <v>936</v>
      </c>
      <c r="J4020">
        <v>0</v>
      </c>
      <c r="K4020" t="str">
        <f t="shared" si="712"/>
        <v>809</v>
      </c>
      <c r="L4020">
        <v>1020.24</v>
      </c>
    </row>
    <row r="4021" spans="1:12" x14ac:dyDescent="0.25">
      <c r="A4021" t="str">
        <f t="shared" si="713"/>
        <v>89301000</v>
      </c>
      <c r="B4021" t="str">
        <f t="shared" si="716"/>
        <v>89063000</v>
      </c>
      <c r="C4021" t="str">
        <f t="shared" si="716"/>
        <v>89063000</v>
      </c>
      <c r="D4021">
        <v>89301031</v>
      </c>
      <c r="E4021" t="str">
        <f>"495716301"</f>
        <v>495716301</v>
      </c>
      <c r="F4021" s="1">
        <v>45041</v>
      </c>
      <c r="G4021" t="str">
        <f t="shared" si="717"/>
        <v>89312</v>
      </c>
      <c r="H4021">
        <v>3</v>
      </c>
      <c r="I4021">
        <v>936</v>
      </c>
      <c r="J4021">
        <v>0</v>
      </c>
      <c r="K4021" t="str">
        <f t="shared" si="712"/>
        <v>809</v>
      </c>
      <c r="L4021">
        <v>1020.24</v>
      </c>
    </row>
    <row r="4022" spans="1:12" x14ac:dyDescent="0.25">
      <c r="A4022" t="str">
        <f t="shared" si="713"/>
        <v>89301000</v>
      </c>
      <c r="B4022" t="str">
        <f t="shared" ref="B4022:C4030" si="718">"89063000"</f>
        <v>89063000</v>
      </c>
      <c r="C4022" t="str">
        <f t="shared" si="718"/>
        <v>89063000</v>
      </c>
      <c r="D4022">
        <v>89301037</v>
      </c>
      <c r="E4022" t="str">
        <f>"9356214846"</f>
        <v>9356214846</v>
      </c>
      <c r="F4022" s="1">
        <v>45041</v>
      </c>
      <c r="G4022" t="str">
        <f t="shared" si="717"/>
        <v>89312</v>
      </c>
      <c r="H4022">
        <v>3</v>
      </c>
      <c r="I4022">
        <v>936</v>
      </c>
      <c r="J4022">
        <v>0</v>
      </c>
      <c r="K4022" t="str">
        <f t="shared" si="712"/>
        <v>809</v>
      </c>
      <c r="L4022">
        <v>1020.24</v>
      </c>
    </row>
    <row r="4023" spans="1:12" x14ac:dyDescent="0.25">
      <c r="A4023" t="str">
        <f t="shared" si="713"/>
        <v>89301000</v>
      </c>
      <c r="B4023" t="str">
        <f t="shared" si="718"/>
        <v>89063000</v>
      </c>
      <c r="C4023" t="str">
        <f t="shared" si="718"/>
        <v>89063000</v>
      </c>
      <c r="D4023">
        <v>89301037</v>
      </c>
      <c r="E4023" t="str">
        <f>"6058091457"</f>
        <v>6058091457</v>
      </c>
      <c r="F4023" s="1">
        <v>45041</v>
      </c>
      <c r="G4023" t="str">
        <f t="shared" si="717"/>
        <v>89312</v>
      </c>
      <c r="H4023">
        <v>3</v>
      </c>
      <c r="I4023">
        <v>936</v>
      </c>
      <c r="J4023">
        <v>0</v>
      </c>
      <c r="K4023" t="str">
        <f t="shared" si="712"/>
        <v>809</v>
      </c>
      <c r="L4023">
        <v>1020.24</v>
      </c>
    </row>
    <row r="4024" spans="1:12" x14ac:dyDescent="0.25">
      <c r="A4024" t="str">
        <f t="shared" si="713"/>
        <v>89301000</v>
      </c>
      <c r="B4024" t="str">
        <f t="shared" si="718"/>
        <v>89063000</v>
      </c>
      <c r="C4024" t="str">
        <f t="shared" si="718"/>
        <v>89063000</v>
      </c>
      <c r="D4024">
        <v>89301036</v>
      </c>
      <c r="E4024" t="str">
        <f>"7004085330"</f>
        <v>7004085330</v>
      </c>
      <c r="F4024" s="1">
        <v>45041</v>
      </c>
      <c r="G4024" t="str">
        <f t="shared" si="717"/>
        <v>89312</v>
      </c>
      <c r="H4024">
        <v>3</v>
      </c>
      <c r="I4024">
        <v>936</v>
      </c>
      <c r="J4024">
        <v>0</v>
      </c>
      <c r="K4024" t="str">
        <f t="shared" si="712"/>
        <v>809</v>
      </c>
      <c r="L4024">
        <v>1020.24</v>
      </c>
    </row>
    <row r="4025" spans="1:12" x14ac:dyDescent="0.25">
      <c r="A4025" t="str">
        <f t="shared" si="713"/>
        <v>89301000</v>
      </c>
      <c r="B4025" t="str">
        <f t="shared" si="718"/>
        <v>89063000</v>
      </c>
      <c r="C4025" t="str">
        <f t="shared" si="718"/>
        <v>89063000</v>
      </c>
      <c r="D4025">
        <v>89301703</v>
      </c>
      <c r="E4025" t="str">
        <f>"1462091048"</f>
        <v>1462091048</v>
      </c>
      <c r="F4025" s="1">
        <v>45041</v>
      </c>
      <c r="G4025" t="str">
        <f t="shared" si="717"/>
        <v>89312</v>
      </c>
      <c r="H4025">
        <v>1</v>
      </c>
      <c r="I4025">
        <v>312</v>
      </c>
      <c r="J4025">
        <v>0</v>
      </c>
      <c r="K4025" t="str">
        <f t="shared" si="712"/>
        <v>809</v>
      </c>
      <c r="L4025">
        <v>340.08</v>
      </c>
    </row>
    <row r="4026" spans="1:12" x14ac:dyDescent="0.25">
      <c r="A4026" t="str">
        <f t="shared" si="713"/>
        <v>89301000</v>
      </c>
      <c r="B4026" t="str">
        <f t="shared" si="718"/>
        <v>89063000</v>
      </c>
      <c r="C4026" t="str">
        <f t="shared" si="718"/>
        <v>89063000</v>
      </c>
      <c r="D4026">
        <v>89301037</v>
      </c>
      <c r="E4026" t="str">
        <f>"6507190052"</f>
        <v>6507190052</v>
      </c>
      <c r="F4026" s="1">
        <v>45041</v>
      </c>
      <c r="G4026" t="str">
        <f t="shared" si="717"/>
        <v>89312</v>
      </c>
      <c r="H4026">
        <v>3</v>
      </c>
      <c r="I4026">
        <v>936</v>
      </c>
      <c r="J4026">
        <v>0</v>
      </c>
      <c r="K4026" t="str">
        <f t="shared" si="712"/>
        <v>809</v>
      </c>
      <c r="L4026">
        <v>1020.24</v>
      </c>
    </row>
    <row r="4027" spans="1:12" x14ac:dyDescent="0.25">
      <c r="A4027" t="str">
        <f t="shared" si="713"/>
        <v>89301000</v>
      </c>
      <c r="B4027" t="str">
        <f t="shared" si="718"/>
        <v>89063000</v>
      </c>
      <c r="C4027" t="str">
        <f t="shared" si="718"/>
        <v>89063000</v>
      </c>
      <c r="D4027">
        <v>89301082</v>
      </c>
      <c r="E4027" t="str">
        <f>"7360073490"</f>
        <v>7360073490</v>
      </c>
      <c r="F4027" s="1">
        <v>45042</v>
      </c>
      <c r="G4027" t="str">
        <f t="shared" si="717"/>
        <v>89312</v>
      </c>
      <c r="H4027">
        <v>3</v>
      </c>
      <c r="I4027">
        <v>936</v>
      </c>
      <c r="J4027">
        <v>0</v>
      </c>
      <c r="K4027" t="str">
        <f t="shared" si="712"/>
        <v>809</v>
      </c>
      <c r="L4027">
        <v>1020.24</v>
      </c>
    </row>
    <row r="4028" spans="1:12" x14ac:dyDescent="0.25">
      <c r="A4028" t="str">
        <f t="shared" si="713"/>
        <v>89301000</v>
      </c>
      <c r="B4028" t="str">
        <f t="shared" si="718"/>
        <v>89063000</v>
      </c>
      <c r="C4028" t="str">
        <f t="shared" si="718"/>
        <v>89063000</v>
      </c>
      <c r="D4028">
        <v>89301037</v>
      </c>
      <c r="E4028" t="str">
        <f>"5759051947"</f>
        <v>5759051947</v>
      </c>
      <c r="F4028" s="1">
        <v>45043</v>
      </c>
      <c r="G4028" t="str">
        <f t="shared" si="717"/>
        <v>89312</v>
      </c>
      <c r="H4028">
        <v>3</v>
      </c>
      <c r="I4028">
        <v>936</v>
      </c>
      <c r="J4028">
        <v>0</v>
      </c>
      <c r="K4028" t="str">
        <f t="shared" si="712"/>
        <v>809</v>
      </c>
      <c r="L4028">
        <v>1020.24</v>
      </c>
    </row>
    <row r="4029" spans="1:12" x14ac:dyDescent="0.25">
      <c r="A4029" t="str">
        <f t="shared" si="713"/>
        <v>89301000</v>
      </c>
      <c r="B4029" t="str">
        <f t="shared" si="718"/>
        <v>89063000</v>
      </c>
      <c r="C4029" t="str">
        <f t="shared" si="718"/>
        <v>89063000</v>
      </c>
      <c r="D4029">
        <v>89301037</v>
      </c>
      <c r="E4029" t="str">
        <f>"7857125320"</f>
        <v>7857125320</v>
      </c>
      <c r="F4029" s="1">
        <v>45043</v>
      </c>
      <c r="G4029" t="str">
        <f t="shared" si="717"/>
        <v>89312</v>
      </c>
      <c r="H4029">
        <v>3</v>
      </c>
      <c r="I4029">
        <v>936</v>
      </c>
      <c r="J4029">
        <v>0</v>
      </c>
      <c r="K4029" t="str">
        <f t="shared" si="712"/>
        <v>809</v>
      </c>
      <c r="L4029">
        <v>1020.24</v>
      </c>
    </row>
    <row r="4030" spans="1:12" x14ac:dyDescent="0.25">
      <c r="A4030" t="str">
        <f t="shared" si="713"/>
        <v>89301000</v>
      </c>
      <c r="B4030" t="str">
        <f t="shared" si="718"/>
        <v>89063000</v>
      </c>
      <c r="C4030" t="str">
        <f t="shared" si="718"/>
        <v>89063000</v>
      </c>
      <c r="D4030">
        <v>89301037</v>
      </c>
      <c r="E4030" t="str">
        <f>"485804417"</f>
        <v>485804417</v>
      </c>
      <c r="F4030" s="1">
        <v>45043</v>
      </c>
      <c r="G4030" t="str">
        <f t="shared" si="717"/>
        <v>89312</v>
      </c>
      <c r="H4030">
        <v>3</v>
      </c>
      <c r="I4030">
        <v>936</v>
      </c>
      <c r="J4030">
        <v>0</v>
      </c>
      <c r="K4030" t="str">
        <f t="shared" si="712"/>
        <v>809</v>
      </c>
      <c r="L4030">
        <v>1020.24</v>
      </c>
    </row>
    <row r="4031" spans="1:12" x14ac:dyDescent="0.25">
      <c r="A4031" t="str">
        <f t="shared" si="713"/>
        <v>89301000</v>
      </c>
      <c r="B4031" t="str">
        <f>"89511000"</f>
        <v>89511000</v>
      </c>
      <c r="C4031" t="str">
        <f>"89511001"</f>
        <v>89511001</v>
      </c>
      <c r="D4031">
        <v>89301212</v>
      </c>
      <c r="E4031" t="str">
        <f>"6159050755"</f>
        <v>6159050755</v>
      </c>
      <c r="F4031" s="1">
        <v>45030</v>
      </c>
      <c r="G4031" t="str">
        <f>"89513"</f>
        <v>89513</v>
      </c>
      <c r="H4031">
        <v>1</v>
      </c>
      <c r="I4031">
        <v>378</v>
      </c>
      <c r="J4031">
        <v>0</v>
      </c>
      <c r="K4031" t="str">
        <f t="shared" si="712"/>
        <v>809</v>
      </c>
      <c r="L4031">
        <v>555.66</v>
      </c>
    </row>
    <row r="4032" spans="1:12" x14ac:dyDescent="0.25">
      <c r="A4032" t="str">
        <f t="shared" si="713"/>
        <v>89301000</v>
      </c>
      <c r="B4032" t="str">
        <f>"89511000"</f>
        <v>89511000</v>
      </c>
      <c r="C4032" t="str">
        <f>"89511001"</f>
        <v>89511001</v>
      </c>
      <c r="D4032">
        <v>89301212</v>
      </c>
      <c r="E4032" t="str">
        <f>"6159050755"</f>
        <v>6159050755</v>
      </c>
      <c r="F4032" s="1">
        <v>45030</v>
      </c>
      <c r="G4032" t="str">
        <f>"89514"</f>
        <v>89514</v>
      </c>
      <c r="H4032">
        <v>1</v>
      </c>
      <c r="I4032">
        <v>378</v>
      </c>
      <c r="J4032">
        <v>0</v>
      </c>
      <c r="K4032" t="str">
        <f t="shared" si="712"/>
        <v>809</v>
      </c>
      <c r="L4032">
        <v>555.66</v>
      </c>
    </row>
    <row r="4033" spans="1:12" x14ac:dyDescent="0.25">
      <c r="A4033" t="str">
        <f t="shared" si="713"/>
        <v>89301000</v>
      </c>
      <c r="B4033" t="str">
        <f>"89511000"</f>
        <v>89511000</v>
      </c>
      <c r="C4033" t="str">
        <f>"89511001"</f>
        <v>89511001</v>
      </c>
      <c r="D4033">
        <v>89301212</v>
      </c>
      <c r="E4033" t="str">
        <f>"6159050755"</f>
        <v>6159050755</v>
      </c>
      <c r="F4033" s="1">
        <v>45030</v>
      </c>
      <c r="G4033" t="str">
        <f>"09135"</f>
        <v>09135</v>
      </c>
      <c r="H4033">
        <v>1</v>
      </c>
      <c r="I4033">
        <v>179</v>
      </c>
      <c r="J4033">
        <v>0</v>
      </c>
      <c r="K4033" t="str">
        <f t="shared" ref="K4033:K4068" si="719">"809"</f>
        <v>809</v>
      </c>
      <c r="L4033">
        <v>263.13</v>
      </c>
    </row>
    <row r="4034" spans="1:12" x14ac:dyDescent="0.25">
      <c r="A4034" t="str">
        <f t="shared" ref="A4034:A4097" si="720">"89301000"</f>
        <v>89301000</v>
      </c>
      <c r="B4034" t="str">
        <f t="shared" ref="B4034:B4075" si="721">"78051000"</f>
        <v>78051000</v>
      </c>
      <c r="C4034" t="str">
        <f t="shared" ref="C4034:C4068" si="722">"78051004"</f>
        <v>78051004</v>
      </c>
      <c r="D4034">
        <v>89301062</v>
      </c>
      <c r="E4034" t="str">
        <f>"6552282198"</f>
        <v>6552282198</v>
      </c>
      <c r="F4034" s="1">
        <v>45020</v>
      </c>
      <c r="G4034" t="str">
        <f>"89311"</f>
        <v>89311</v>
      </c>
      <c r="H4034">
        <v>1</v>
      </c>
      <c r="I4034">
        <v>970</v>
      </c>
      <c r="J4034">
        <v>0</v>
      </c>
      <c r="K4034" t="str">
        <f t="shared" si="719"/>
        <v>809</v>
      </c>
      <c r="L4034">
        <v>1425.9</v>
      </c>
    </row>
    <row r="4035" spans="1:12" x14ac:dyDescent="0.25">
      <c r="A4035" t="str">
        <f t="shared" si="720"/>
        <v>89301000</v>
      </c>
      <c r="B4035" t="str">
        <f t="shared" si="721"/>
        <v>78051000</v>
      </c>
      <c r="C4035" t="str">
        <f t="shared" si="722"/>
        <v>78051004</v>
      </c>
      <c r="D4035">
        <v>89301062</v>
      </c>
      <c r="E4035" t="str">
        <f>"6552282198"</f>
        <v>6552282198</v>
      </c>
      <c r="F4035" s="1">
        <v>45020</v>
      </c>
      <c r="G4035" t="str">
        <f>"0090044"</f>
        <v>0090044</v>
      </c>
      <c r="H4035">
        <v>1</v>
      </c>
      <c r="J4035">
        <v>16.8</v>
      </c>
      <c r="K4035" t="str">
        <f t="shared" si="719"/>
        <v>809</v>
      </c>
      <c r="L4035">
        <v>16.8</v>
      </c>
    </row>
    <row r="4036" spans="1:12" x14ac:dyDescent="0.25">
      <c r="A4036" t="str">
        <f t="shared" si="720"/>
        <v>89301000</v>
      </c>
      <c r="B4036" t="str">
        <f t="shared" si="721"/>
        <v>78051000</v>
      </c>
      <c r="C4036" t="str">
        <f t="shared" si="722"/>
        <v>78051004</v>
      </c>
      <c r="D4036">
        <v>89301062</v>
      </c>
      <c r="E4036" t="str">
        <f>"6552282198"</f>
        <v>6552282198</v>
      </c>
      <c r="F4036" s="1">
        <v>45020</v>
      </c>
      <c r="G4036" t="str">
        <f>"0225891"</f>
        <v>0225891</v>
      </c>
      <c r="H4036">
        <v>0.2</v>
      </c>
      <c r="J4036">
        <v>73.540000000000006</v>
      </c>
      <c r="K4036" t="str">
        <f t="shared" si="719"/>
        <v>809</v>
      </c>
      <c r="L4036">
        <v>73.540000000000006</v>
      </c>
    </row>
    <row r="4037" spans="1:12" x14ac:dyDescent="0.25">
      <c r="A4037" t="str">
        <f t="shared" si="720"/>
        <v>89301000</v>
      </c>
      <c r="B4037" t="str">
        <f t="shared" si="721"/>
        <v>78051000</v>
      </c>
      <c r="C4037" t="str">
        <f t="shared" si="722"/>
        <v>78051004</v>
      </c>
      <c r="D4037">
        <v>89301062</v>
      </c>
      <c r="E4037" t="str">
        <f>"6552282198"</f>
        <v>6552282198</v>
      </c>
      <c r="F4037" s="1">
        <v>45020</v>
      </c>
      <c r="G4037" t="str">
        <f>"0096251"</f>
        <v>0096251</v>
      </c>
      <c r="H4037">
        <v>0.17</v>
      </c>
      <c r="J4037">
        <v>198.83</v>
      </c>
      <c r="K4037" t="str">
        <f t="shared" si="719"/>
        <v>809</v>
      </c>
      <c r="L4037">
        <v>198.83</v>
      </c>
    </row>
    <row r="4038" spans="1:12" x14ac:dyDescent="0.25">
      <c r="A4038" t="str">
        <f t="shared" si="720"/>
        <v>89301000</v>
      </c>
      <c r="B4038" t="str">
        <f t="shared" si="721"/>
        <v>78051000</v>
      </c>
      <c r="C4038" t="str">
        <f t="shared" si="722"/>
        <v>78051004</v>
      </c>
      <c r="D4038">
        <v>89301062</v>
      </c>
      <c r="E4038" t="str">
        <f>"6552282198"</f>
        <v>6552282198</v>
      </c>
      <c r="F4038" s="1">
        <v>45020</v>
      </c>
      <c r="G4038" t="str">
        <f>"0098943"</f>
        <v>0098943</v>
      </c>
      <c r="H4038">
        <v>1</v>
      </c>
      <c r="J4038">
        <v>293.81</v>
      </c>
      <c r="K4038" t="str">
        <f t="shared" si="719"/>
        <v>809</v>
      </c>
      <c r="L4038">
        <v>293.81</v>
      </c>
    </row>
    <row r="4039" spans="1:12" x14ac:dyDescent="0.25">
      <c r="A4039" t="str">
        <f t="shared" si="720"/>
        <v>89301000</v>
      </c>
      <c r="B4039" t="str">
        <f t="shared" si="721"/>
        <v>78051000</v>
      </c>
      <c r="C4039" t="str">
        <f t="shared" si="722"/>
        <v>78051004</v>
      </c>
      <c r="D4039">
        <v>89301062</v>
      </c>
      <c r="E4039" t="str">
        <f>"7111085322"</f>
        <v>7111085322</v>
      </c>
      <c r="F4039" s="1">
        <v>45020</v>
      </c>
      <c r="G4039" t="str">
        <f>"89311"</f>
        <v>89311</v>
      </c>
      <c r="H4039">
        <v>1</v>
      </c>
      <c r="I4039">
        <v>970</v>
      </c>
      <c r="J4039">
        <v>0</v>
      </c>
      <c r="K4039" t="str">
        <f t="shared" si="719"/>
        <v>809</v>
      </c>
      <c r="L4039">
        <v>1425.9</v>
      </c>
    </row>
    <row r="4040" spans="1:12" x14ac:dyDescent="0.25">
      <c r="A4040" t="str">
        <f t="shared" si="720"/>
        <v>89301000</v>
      </c>
      <c r="B4040" t="str">
        <f t="shared" si="721"/>
        <v>78051000</v>
      </c>
      <c r="C4040" t="str">
        <f t="shared" si="722"/>
        <v>78051004</v>
      </c>
      <c r="D4040">
        <v>89301062</v>
      </c>
      <c r="E4040" t="str">
        <f>"7111085322"</f>
        <v>7111085322</v>
      </c>
      <c r="F4040" s="1">
        <v>45020</v>
      </c>
      <c r="G4040" t="str">
        <f>"0090044"</f>
        <v>0090044</v>
      </c>
      <c r="H4040">
        <v>1</v>
      </c>
      <c r="J4040">
        <v>16.8</v>
      </c>
      <c r="K4040" t="str">
        <f t="shared" si="719"/>
        <v>809</v>
      </c>
      <c r="L4040">
        <v>16.8</v>
      </c>
    </row>
    <row r="4041" spans="1:12" x14ac:dyDescent="0.25">
      <c r="A4041" t="str">
        <f t="shared" si="720"/>
        <v>89301000</v>
      </c>
      <c r="B4041" t="str">
        <f t="shared" si="721"/>
        <v>78051000</v>
      </c>
      <c r="C4041" t="str">
        <f t="shared" si="722"/>
        <v>78051004</v>
      </c>
      <c r="D4041">
        <v>89301062</v>
      </c>
      <c r="E4041" t="str">
        <f>"7111085322"</f>
        <v>7111085322</v>
      </c>
      <c r="F4041" s="1">
        <v>45020</v>
      </c>
      <c r="G4041" t="str">
        <f>"0225891"</f>
        <v>0225891</v>
      </c>
      <c r="H4041">
        <v>0.2</v>
      </c>
      <c r="J4041">
        <v>73.540000000000006</v>
      </c>
      <c r="K4041" t="str">
        <f t="shared" si="719"/>
        <v>809</v>
      </c>
      <c r="L4041">
        <v>73.540000000000006</v>
      </c>
    </row>
    <row r="4042" spans="1:12" x14ac:dyDescent="0.25">
      <c r="A4042" t="str">
        <f t="shared" si="720"/>
        <v>89301000</v>
      </c>
      <c r="B4042" t="str">
        <f t="shared" si="721"/>
        <v>78051000</v>
      </c>
      <c r="C4042" t="str">
        <f t="shared" si="722"/>
        <v>78051004</v>
      </c>
      <c r="D4042">
        <v>89301062</v>
      </c>
      <c r="E4042" t="str">
        <f>"7111085322"</f>
        <v>7111085322</v>
      </c>
      <c r="F4042" s="1">
        <v>45020</v>
      </c>
      <c r="G4042" t="str">
        <f>"0096251"</f>
        <v>0096251</v>
      </c>
      <c r="H4042">
        <v>0.17</v>
      </c>
      <c r="J4042">
        <v>198.83</v>
      </c>
      <c r="K4042" t="str">
        <f t="shared" si="719"/>
        <v>809</v>
      </c>
      <c r="L4042">
        <v>198.83</v>
      </c>
    </row>
    <row r="4043" spans="1:12" x14ac:dyDescent="0.25">
      <c r="A4043" t="str">
        <f t="shared" si="720"/>
        <v>89301000</v>
      </c>
      <c r="B4043" t="str">
        <f t="shared" si="721"/>
        <v>78051000</v>
      </c>
      <c r="C4043" t="str">
        <f t="shared" si="722"/>
        <v>78051004</v>
      </c>
      <c r="D4043">
        <v>89301062</v>
      </c>
      <c r="E4043" t="str">
        <f>"7111085322"</f>
        <v>7111085322</v>
      </c>
      <c r="F4043" s="1">
        <v>45020</v>
      </c>
      <c r="G4043" t="str">
        <f>"0098943"</f>
        <v>0098943</v>
      </c>
      <c r="H4043">
        <v>1</v>
      </c>
      <c r="J4043">
        <v>293.81</v>
      </c>
      <c r="K4043" t="str">
        <f t="shared" si="719"/>
        <v>809</v>
      </c>
      <c r="L4043">
        <v>293.81</v>
      </c>
    </row>
    <row r="4044" spans="1:12" x14ac:dyDescent="0.25">
      <c r="A4044" t="str">
        <f t="shared" si="720"/>
        <v>89301000</v>
      </c>
      <c r="B4044" t="str">
        <f t="shared" si="721"/>
        <v>78051000</v>
      </c>
      <c r="C4044" t="str">
        <f t="shared" si="722"/>
        <v>78051004</v>
      </c>
      <c r="D4044">
        <v>89301062</v>
      </c>
      <c r="E4044" t="str">
        <f>"6952194887"</f>
        <v>6952194887</v>
      </c>
      <c r="F4044" s="1">
        <v>45028</v>
      </c>
      <c r="G4044" t="str">
        <f>"89311"</f>
        <v>89311</v>
      </c>
      <c r="H4044">
        <v>1</v>
      </c>
      <c r="I4044">
        <v>970</v>
      </c>
      <c r="J4044">
        <v>0</v>
      </c>
      <c r="K4044" t="str">
        <f t="shared" si="719"/>
        <v>809</v>
      </c>
      <c r="L4044">
        <v>1425.9</v>
      </c>
    </row>
    <row r="4045" spans="1:12" x14ac:dyDescent="0.25">
      <c r="A4045" t="str">
        <f t="shared" si="720"/>
        <v>89301000</v>
      </c>
      <c r="B4045" t="str">
        <f t="shared" si="721"/>
        <v>78051000</v>
      </c>
      <c r="C4045" t="str">
        <f t="shared" si="722"/>
        <v>78051004</v>
      </c>
      <c r="D4045">
        <v>89301062</v>
      </c>
      <c r="E4045" t="str">
        <f>"6952194887"</f>
        <v>6952194887</v>
      </c>
      <c r="F4045" s="1">
        <v>45028</v>
      </c>
      <c r="G4045" t="str">
        <f>"0090044"</f>
        <v>0090044</v>
      </c>
      <c r="H4045">
        <v>1</v>
      </c>
      <c r="J4045">
        <v>16.8</v>
      </c>
      <c r="K4045" t="str">
        <f t="shared" si="719"/>
        <v>809</v>
      </c>
      <c r="L4045">
        <v>16.8</v>
      </c>
    </row>
    <row r="4046" spans="1:12" x14ac:dyDescent="0.25">
      <c r="A4046" t="str">
        <f t="shared" si="720"/>
        <v>89301000</v>
      </c>
      <c r="B4046" t="str">
        <f t="shared" si="721"/>
        <v>78051000</v>
      </c>
      <c r="C4046" t="str">
        <f t="shared" si="722"/>
        <v>78051004</v>
      </c>
      <c r="D4046">
        <v>89301062</v>
      </c>
      <c r="E4046" t="str">
        <f>"6952194887"</f>
        <v>6952194887</v>
      </c>
      <c r="F4046" s="1">
        <v>45028</v>
      </c>
      <c r="G4046" t="str">
        <f>"0225891"</f>
        <v>0225891</v>
      </c>
      <c r="H4046">
        <v>0.2</v>
      </c>
      <c r="J4046">
        <v>73.540000000000006</v>
      </c>
      <c r="K4046" t="str">
        <f t="shared" si="719"/>
        <v>809</v>
      </c>
      <c r="L4046">
        <v>73.540000000000006</v>
      </c>
    </row>
    <row r="4047" spans="1:12" x14ac:dyDescent="0.25">
      <c r="A4047" t="str">
        <f t="shared" si="720"/>
        <v>89301000</v>
      </c>
      <c r="B4047" t="str">
        <f t="shared" si="721"/>
        <v>78051000</v>
      </c>
      <c r="C4047" t="str">
        <f t="shared" si="722"/>
        <v>78051004</v>
      </c>
      <c r="D4047">
        <v>89301062</v>
      </c>
      <c r="E4047" t="str">
        <f>"6952194887"</f>
        <v>6952194887</v>
      </c>
      <c r="F4047" s="1">
        <v>45028</v>
      </c>
      <c r="G4047" t="str">
        <f>"0096251"</f>
        <v>0096251</v>
      </c>
      <c r="H4047">
        <v>0.17</v>
      </c>
      <c r="J4047">
        <v>198.83</v>
      </c>
      <c r="K4047" t="str">
        <f t="shared" si="719"/>
        <v>809</v>
      </c>
      <c r="L4047">
        <v>198.83</v>
      </c>
    </row>
    <row r="4048" spans="1:12" x14ac:dyDescent="0.25">
      <c r="A4048" t="str">
        <f t="shared" si="720"/>
        <v>89301000</v>
      </c>
      <c r="B4048" t="str">
        <f t="shared" si="721"/>
        <v>78051000</v>
      </c>
      <c r="C4048" t="str">
        <f t="shared" si="722"/>
        <v>78051004</v>
      </c>
      <c r="D4048">
        <v>89301062</v>
      </c>
      <c r="E4048" t="str">
        <f>"6952194887"</f>
        <v>6952194887</v>
      </c>
      <c r="F4048" s="1">
        <v>45028</v>
      </c>
      <c r="G4048" t="str">
        <f>"0098943"</f>
        <v>0098943</v>
      </c>
      <c r="H4048">
        <v>1</v>
      </c>
      <c r="J4048">
        <v>293.81</v>
      </c>
      <c r="K4048" t="str">
        <f t="shared" si="719"/>
        <v>809</v>
      </c>
      <c r="L4048">
        <v>293.81</v>
      </c>
    </row>
    <row r="4049" spans="1:12" x14ac:dyDescent="0.25">
      <c r="A4049" t="str">
        <f t="shared" si="720"/>
        <v>89301000</v>
      </c>
      <c r="B4049" t="str">
        <f t="shared" si="721"/>
        <v>78051000</v>
      </c>
      <c r="C4049" t="str">
        <f t="shared" si="722"/>
        <v>78051004</v>
      </c>
      <c r="D4049">
        <v>89301062</v>
      </c>
      <c r="E4049" t="str">
        <f>"6857131765"</f>
        <v>6857131765</v>
      </c>
      <c r="F4049" s="1">
        <v>45028</v>
      </c>
      <c r="G4049" t="str">
        <f>"89311"</f>
        <v>89311</v>
      </c>
      <c r="H4049">
        <v>1</v>
      </c>
      <c r="I4049">
        <v>970</v>
      </c>
      <c r="J4049">
        <v>0</v>
      </c>
      <c r="K4049" t="str">
        <f t="shared" si="719"/>
        <v>809</v>
      </c>
      <c r="L4049">
        <v>1425.9</v>
      </c>
    </row>
    <row r="4050" spans="1:12" x14ac:dyDescent="0.25">
      <c r="A4050" t="str">
        <f t="shared" si="720"/>
        <v>89301000</v>
      </c>
      <c r="B4050" t="str">
        <f t="shared" si="721"/>
        <v>78051000</v>
      </c>
      <c r="C4050" t="str">
        <f t="shared" si="722"/>
        <v>78051004</v>
      </c>
      <c r="D4050">
        <v>89301062</v>
      </c>
      <c r="E4050" t="str">
        <f>"6857131765"</f>
        <v>6857131765</v>
      </c>
      <c r="F4050" s="1">
        <v>45028</v>
      </c>
      <c r="G4050" t="str">
        <f>"0090044"</f>
        <v>0090044</v>
      </c>
      <c r="H4050">
        <v>1</v>
      </c>
      <c r="J4050">
        <v>16.8</v>
      </c>
      <c r="K4050" t="str">
        <f t="shared" si="719"/>
        <v>809</v>
      </c>
      <c r="L4050">
        <v>16.8</v>
      </c>
    </row>
    <row r="4051" spans="1:12" x14ac:dyDescent="0.25">
      <c r="A4051" t="str">
        <f t="shared" si="720"/>
        <v>89301000</v>
      </c>
      <c r="B4051" t="str">
        <f t="shared" si="721"/>
        <v>78051000</v>
      </c>
      <c r="C4051" t="str">
        <f t="shared" si="722"/>
        <v>78051004</v>
      </c>
      <c r="D4051">
        <v>89301062</v>
      </c>
      <c r="E4051" t="str">
        <f>"6857131765"</f>
        <v>6857131765</v>
      </c>
      <c r="F4051" s="1">
        <v>45028</v>
      </c>
      <c r="G4051" t="str">
        <f>"0225891"</f>
        <v>0225891</v>
      </c>
      <c r="H4051">
        <v>0.2</v>
      </c>
      <c r="J4051">
        <v>73.540000000000006</v>
      </c>
      <c r="K4051" t="str">
        <f t="shared" si="719"/>
        <v>809</v>
      </c>
      <c r="L4051">
        <v>73.540000000000006</v>
      </c>
    </row>
    <row r="4052" spans="1:12" x14ac:dyDescent="0.25">
      <c r="A4052" t="str">
        <f t="shared" si="720"/>
        <v>89301000</v>
      </c>
      <c r="B4052" t="str">
        <f t="shared" si="721"/>
        <v>78051000</v>
      </c>
      <c r="C4052" t="str">
        <f t="shared" si="722"/>
        <v>78051004</v>
      </c>
      <c r="D4052">
        <v>89301062</v>
      </c>
      <c r="E4052" t="str">
        <f>"6857131765"</f>
        <v>6857131765</v>
      </c>
      <c r="F4052" s="1">
        <v>45028</v>
      </c>
      <c r="G4052" t="str">
        <f>"0096251"</f>
        <v>0096251</v>
      </c>
      <c r="H4052">
        <v>0.17</v>
      </c>
      <c r="J4052">
        <v>198.83</v>
      </c>
      <c r="K4052" t="str">
        <f t="shared" si="719"/>
        <v>809</v>
      </c>
      <c r="L4052">
        <v>198.83</v>
      </c>
    </row>
    <row r="4053" spans="1:12" x14ac:dyDescent="0.25">
      <c r="A4053" t="str">
        <f t="shared" si="720"/>
        <v>89301000</v>
      </c>
      <c r="B4053" t="str">
        <f t="shared" si="721"/>
        <v>78051000</v>
      </c>
      <c r="C4053" t="str">
        <f t="shared" si="722"/>
        <v>78051004</v>
      </c>
      <c r="D4053">
        <v>89301062</v>
      </c>
      <c r="E4053" t="str">
        <f>"6857131765"</f>
        <v>6857131765</v>
      </c>
      <c r="F4053" s="1">
        <v>45028</v>
      </c>
      <c r="G4053" t="str">
        <f>"0098943"</f>
        <v>0098943</v>
      </c>
      <c r="H4053">
        <v>1</v>
      </c>
      <c r="J4053">
        <v>293.81</v>
      </c>
      <c r="K4053" t="str">
        <f t="shared" si="719"/>
        <v>809</v>
      </c>
      <c r="L4053">
        <v>293.81</v>
      </c>
    </row>
    <row r="4054" spans="1:12" x14ac:dyDescent="0.25">
      <c r="A4054" t="str">
        <f t="shared" si="720"/>
        <v>89301000</v>
      </c>
      <c r="B4054" t="str">
        <f t="shared" si="721"/>
        <v>78051000</v>
      </c>
      <c r="C4054" t="str">
        <f t="shared" si="722"/>
        <v>78051004</v>
      </c>
      <c r="D4054">
        <v>89301062</v>
      </c>
      <c r="E4054" t="str">
        <f>"6456212081"</f>
        <v>6456212081</v>
      </c>
      <c r="F4054" s="1">
        <v>45035</v>
      </c>
      <c r="G4054" t="str">
        <f>"89311"</f>
        <v>89311</v>
      </c>
      <c r="H4054">
        <v>1</v>
      </c>
      <c r="I4054">
        <v>970</v>
      </c>
      <c r="J4054">
        <v>0</v>
      </c>
      <c r="K4054" t="str">
        <f t="shared" si="719"/>
        <v>809</v>
      </c>
      <c r="L4054">
        <v>1425.9</v>
      </c>
    </row>
    <row r="4055" spans="1:12" x14ac:dyDescent="0.25">
      <c r="A4055" t="str">
        <f t="shared" si="720"/>
        <v>89301000</v>
      </c>
      <c r="B4055" t="str">
        <f t="shared" si="721"/>
        <v>78051000</v>
      </c>
      <c r="C4055" t="str">
        <f t="shared" si="722"/>
        <v>78051004</v>
      </c>
      <c r="D4055">
        <v>89301062</v>
      </c>
      <c r="E4055" t="str">
        <f>"6456212081"</f>
        <v>6456212081</v>
      </c>
      <c r="F4055" s="1">
        <v>45035</v>
      </c>
      <c r="G4055" t="str">
        <f>"0090044"</f>
        <v>0090044</v>
      </c>
      <c r="H4055">
        <v>1</v>
      </c>
      <c r="J4055">
        <v>16.8</v>
      </c>
      <c r="K4055" t="str">
        <f t="shared" si="719"/>
        <v>809</v>
      </c>
      <c r="L4055">
        <v>16.8</v>
      </c>
    </row>
    <row r="4056" spans="1:12" x14ac:dyDescent="0.25">
      <c r="A4056" t="str">
        <f t="shared" si="720"/>
        <v>89301000</v>
      </c>
      <c r="B4056" t="str">
        <f t="shared" si="721"/>
        <v>78051000</v>
      </c>
      <c r="C4056" t="str">
        <f t="shared" si="722"/>
        <v>78051004</v>
      </c>
      <c r="D4056">
        <v>89301062</v>
      </c>
      <c r="E4056" t="str">
        <f>"6456212081"</f>
        <v>6456212081</v>
      </c>
      <c r="F4056" s="1">
        <v>45035</v>
      </c>
      <c r="G4056" t="str">
        <f>"0225891"</f>
        <v>0225891</v>
      </c>
      <c r="H4056">
        <v>0.2</v>
      </c>
      <c r="J4056">
        <v>73.540000000000006</v>
      </c>
      <c r="K4056" t="str">
        <f t="shared" si="719"/>
        <v>809</v>
      </c>
      <c r="L4056">
        <v>73.540000000000006</v>
      </c>
    </row>
    <row r="4057" spans="1:12" x14ac:dyDescent="0.25">
      <c r="A4057" t="str">
        <f t="shared" si="720"/>
        <v>89301000</v>
      </c>
      <c r="B4057" t="str">
        <f t="shared" si="721"/>
        <v>78051000</v>
      </c>
      <c r="C4057" t="str">
        <f t="shared" si="722"/>
        <v>78051004</v>
      </c>
      <c r="D4057">
        <v>89301062</v>
      </c>
      <c r="E4057" t="str">
        <f>"6456212081"</f>
        <v>6456212081</v>
      </c>
      <c r="F4057" s="1">
        <v>45035</v>
      </c>
      <c r="G4057" t="str">
        <f>"0096251"</f>
        <v>0096251</v>
      </c>
      <c r="H4057">
        <v>0.17</v>
      </c>
      <c r="J4057">
        <v>198.83</v>
      </c>
      <c r="K4057" t="str">
        <f t="shared" si="719"/>
        <v>809</v>
      </c>
      <c r="L4057">
        <v>198.83</v>
      </c>
    </row>
    <row r="4058" spans="1:12" x14ac:dyDescent="0.25">
      <c r="A4058" t="str">
        <f t="shared" si="720"/>
        <v>89301000</v>
      </c>
      <c r="B4058" t="str">
        <f t="shared" si="721"/>
        <v>78051000</v>
      </c>
      <c r="C4058" t="str">
        <f t="shared" si="722"/>
        <v>78051004</v>
      </c>
      <c r="D4058">
        <v>89301062</v>
      </c>
      <c r="E4058" t="str">
        <f>"6456212081"</f>
        <v>6456212081</v>
      </c>
      <c r="F4058" s="1">
        <v>45035</v>
      </c>
      <c r="G4058" t="str">
        <f>"0098943"</f>
        <v>0098943</v>
      </c>
      <c r="H4058">
        <v>1</v>
      </c>
      <c r="J4058">
        <v>293.81</v>
      </c>
      <c r="K4058" t="str">
        <f t="shared" si="719"/>
        <v>809</v>
      </c>
      <c r="L4058">
        <v>293.81</v>
      </c>
    </row>
    <row r="4059" spans="1:12" x14ac:dyDescent="0.25">
      <c r="A4059" t="str">
        <f t="shared" si="720"/>
        <v>89301000</v>
      </c>
      <c r="B4059" t="str">
        <f t="shared" si="721"/>
        <v>78051000</v>
      </c>
      <c r="C4059" t="str">
        <f t="shared" si="722"/>
        <v>78051004</v>
      </c>
      <c r="D4059">
        <v>89301062</v>
      </c>
      <c r="E4059" t="str">
        <f>"6653190291"</f>
        <v>6653190291</v>
      </c>
      <c r="F4059" s="1">
        <v>45042</v>
      </c>
      <c r="G4059" t="str">
        <f>"89311"</f>
        <v>89311</v>
      </c>
      <c r="H4059">
        <v>1</v>
      </c>
      <c r="I4059">
        <v>970</v>
      </c>
      <c r="J4059">
        <v>0</v>
      </c>
      <c r="K4059" t="str">
        <f t="shared" si="719"/>
        <v>809</v>
      </c>
      <c r="L4059">
        <v>1425.9</v>
      </c>
    </row>
    <row r="4060" spans="1:12" x14ac:dyDescent="0.25">
      <c r="A4060" t="str">
        <f t="shared" si="720"/>
        <v>89301000</v>
      </c>
      <c r="B4060" t="str">
        <f t="shared" si="721"/>
        <v>78051000</v>
      </c>
      <c r="C4060" t="str">
        <f t="shared" si="722"/>
        <v>78051004</v>
      </c>
      <c r="D4060">
        <v>89301062</v>
      </c>
      <c r="E4060" t="str">
        <f>"6653190291"</f>
        <v>6653190291</v>
      </c>
      <c r="F4060" s="1">
        <v>45042</v>
      </c>
      <c r="G4060" t="str">
        <f>"0090044"</f>
        <v>0090044</v>
      </c>
      <c r="H4060">
        <v>1</v>
      </c>
      <c r="J4060">
        <v>16.8</v>
      </c>
      <c r="K4060" t="str">
        <f t="shared" si="719"/>
        <v>809</v>
      </c>
      <c r="L4060">
        <v>16.8</v>
      </c>
    </row>
    <row r="4061" spans="1:12" x14ac:dyDescent="0.25">
      <c r="A4061" t="str">
        <f t="shared" si="720"/>
        <v>89301000</v>
      </c>
      <c r="B4061" t="str">
        <f t="shared" si="721"/>
        <v>78051000</v>
      </c>
      <c r="C4061" t="str">
        <f t="shared" si="722"/>
        <v>78051004</v>
      </c>
      <c r="D4061">
        <v>89301062</v>
      </c>
      <c r="E4061" t="str">
        <f>"6653190291"</f>
        <v>6653190291</v>
      </c>
      <c r="F4061" s="1">
        <v>45042</v>
      </c>
      <c r="G4061" t="str">
        <f>"0225891"</f>
        <v>0225891</v>
      </c>
      <c r="H4061">
        <v>0.2</v>
      </c>
      <c r="J4061">
        <v>73.540000000000006</v>
      </c>
      <c r="K4061" t="str">
        <f t="shared" si="719"/>
        <v>809</v>
      </c>
      <c r="L4061">
        <v>73.540000000000006</v>
      </c>
    </row>
    <row r="4062" spans="1:12" x14ac:dyDescent="0.25">
      <c r="A4062" t="str">
        <f t="shared" si="720"/>
        <v>89301000</v>
      </c>
      <c r="B4062" t="str">
        <f t="shared" si="721"/>
        <v>78051000</v>
      </c>
      <c r="C4062" t="str">
        <f t="shared" si="722"/>
        <v>78051004</v>
      </c>
      <c r="D4062">
        <v>89301062</v>
      </c>
      <c r="E4062" t="str">
        <f>"6653190291"</f>
        <v>6653190291</v>
      </c>
      <c r="F4062" s="1">
        <v>45042</v>
      </c>
      <c r="G4062" t="str">
        <f>"0096251"</f>
        <v>0096251</v>
      </c>
      <c r="H4062">
        <v>0.17</v>
      </c>
      <c r="J4062">
        <v>198.83</v>
      </c>
      <c r="K4062" t="str">
        <f t="shared" si="719"/>
        <v>809</v>
      </c>
      <c r="L4062">
        <v>198.83</v>
      </c>
    </row>
    <row r="4063" spans="1:12" x14ac:dyDescent="0.25">
      <c r="A4063" t="str">
        <f t="shared" si="720"/>
        <v>89301000</v>
      </c>
      <c r="B4063" t="str">
        <f t="shared" si="721"/>
        <v>78051000</v>
      </c>
      <c r="C4063" t="str">
        <f t="shared" si="722"/>
        <v>78051004</v>
      </c>
      <c r="D4063">
        <v>89301062</v>
      </c>
      <c r="E4063" t="str">
        <f>"6653190291"</f>
        <v>6653190291</v>
      </c>
      <c r="F4063" s="1">
        <v>45042</v>
      </c>
      <c r="G4063" t="str">
        <f>"0098943"</f>
        <v>0098943</v>
      </c>
      <c r="H4063">
        <v>1</v>
      </c>
      <c r="J4063">
        <v>293.81</v>
      </c>
      <c r="K4063" t="str">
        <f t="shared" si="719"/>
        <v>809</v>
      </c>
      <c r="L4063">
        <v>293.81</v>
      </c>
    </row>
    <row r="4064" spans="1:12" x14ac:dyDescent="0.25">
      <c r="A4064" t="str">
        <f t="shared" si="720"/>
        <v>89301000</v>
      </c>
      <c r="B4064" t="str">
        <f t="shared" si="721"/>
        <v>78051000</v>
      </c>
      <c r="C4064" t="str">
        <f t="shared" si="722"/>
        <v>78051004</v>
      </c>
      <c r="D4064">
        <v>89301062</v>
      </c>
      <c r="E4064" t="str">
        <f>"7260275682"</f>
        <v>7260275682</v>
      </c>
      <c r="F4064" s="1">
        <v>45042</v>
      </c>
      <c r="G4064" t="str">
        <f>"89311"</f>
        <v>89311</v>
      </c>
      <c r="H4064">
        <v>1</v>
      </c>
      <c r="I4064">
        <v>970</v>
      </c>
      <c r="J4064">
        <v>0</v>
      </c>
      <c r="K4064" t="str">
        <f t="shared" si="719"/>
        <v>809</v>
      </c>
      <c r="L4064">
        <v>1425.9</v>
      </c>
    </row>
    <row r="4065" spans="1:12" x14ac:dyDescent="0.25">
      <c r="A4065" t="str">
        <f t="shared" si="720"/>
        <v>89301000</v>
      </c>
      <c r="B4065" t="str">
        <f t="shared" si="721"/>
        <v>78051000</v>
      </c>
      <c r="C4065" t="str">
        <f t="shared" si="722"/>
        <v>78051004</v>
      </c>
      <c r="D4065">
        <v>89301062</v>
      </c>
      <c r="E4065" t="str">
        <f>"7260275682"</f>
        <v>7260275682</v>
      </c>
      <c r="F4065" s="1">
        <v>45042</v>
      </c>
      <c r="G4065" t="str">
        <f>"0090044"</f>
        <v>0090044</v>
      </c>
      <c r="H4065">
        <v>1</v>
      </c>
      <c r="J4065">
        <v>16.8</v>
      </c>
      <c r="K4065" t="str">
        <f t="shared" si="719"/>
        <v>809</v>
      </c>
      <c r="L4065">
        <v>16.8</v>
      </c>
    </row>
    <row r="4066" spans="1:12" x14ac:dyDescent="0.25">
      <c r="A4066" t="str">
        <f t="shared" si="720"/>
        <v>89301000</v>
      </c>
      <c r="B4066" t="str">
        <f t="shared" si="721"/>
        <v>78051000</v>
      </c>
      <c r="C4066" t="str">
        <f t="shared" si="722"/>
        <v>78051004</v>
      </c>
      <c r="D4066">
        <v>89301062</v>
      </c>
      <c r="E4066" t="str">
        <f>"7260275682"</f>
        <v>7260275682</v>
      </c>
      <c r="F4066" s="1">
        <v>45042</v>
      </c>
      <c r="G4066" t="str">
        <f>"0225891"</f>
        <v>0225891</v>
      </c>
      <c r="H4066">
        <v>0.2</v>
      </c>
      <c r="J4066">
        <v>73.540000000000006</v>
      </c>
      <c r="K4066" t="str">
        <f t="shared" si="719"/>
        <v>809</v>
      </c>
      <c r="L4066">
        <v>73.540000000000006</v>
      </c>
    </row>
    <row r="4067" spans="1:12" x14ac:dyDescent="0.25">
      <c r="A4067" t="str">
        <f t="shared" si="720"/>
        <v>89301000</v>
      </c>
      <c r="B4067" t="str">
        <f t="shared" si="721"/>
        <v>78051000</v>
      </c>
      <c r="C4067" t="str">
        <f t="shared" si="722"/>
        <v>78051004</v>
      </c>
      <c r="D4067">
        <v>89301062</v>
      </c>
      <c r="E4067" t="str">
        <f>"7260275682"</f>
        <v>7260275682</v>
      </c>
      <c r="F4067" s="1">
        <v>45042</v>
      </c>
      <c r="G4067" t="str">
        <f>"0096251"</f>
        <v>0096251</v>
      </c>
      <c r="H4067">
        <v>0.17</v>
      </c>
      <c r="J4067">
        <v>198.83</v>
      </c>
      <c r="K4067" t="str">
        <f t="shared" si="719"/>
        <v>809</v>
      </c>
      <c r="L4067">
        <v>198.83</v>
      </c>
    </row>
    <row r="4068" spans="1:12" x14ac:dyDescent="0.25">
      <c r="A4068" t="str">
        <f t="shared" si="720"/>
        <v>89301000</v>
      </c>
      <c r="B4068" t="str">
        <f t="shared" si="721"/>
        <v>78051000</v>
      </c>
      <c r="C4068" t="str">
        <f t="shared" si="722"/>
        <v>78051004</v>
      </c>
      <c r="D4068">
        <v>89301062</v>
      </c>
      <c r="E4068" t="str">
        <f>"7260275682"</f>
        <v>7260275682</v>
      </c>
      <c r="F4068" s="1">
        <v>45042</v>
      </c>
      <c r="G4068" t="str">
        <f>"0098943"</f>
        <v>0098943</v>
      </c>
      <c r="H4068">
        <v>1</v>
      </c>
      <c r="J4068">
        <v>293.81</v>
      </c>
      <c r="K4068" t="str">
        <f t="shared" si="719"/>
        <v>809</v>
      </c>
      <c r="L4068">
        <v>293.81</v>
      </c>
    </row>
    <row r="4069" spans="1:12" x14ac:dyDescent="0.25">
      <c r="A4069" t="str">
        <f t="shared" si="720"/>
        <v>89301000</v>
      </c>
      <c r="B4069" t="str">
        <f t="shared" si="721"/>
        <v>78051000</v>
      </c>
      <c r="C4069" t="str">
        <f t="shared" ref="C4069:C4075" si="723">"78051017"</f>
        <v>78051017</v>
      </c>
      <c r="D4069">
        <v>89301062</v>
      </c>
      <c r="E4069" t="str">
        <f>"6552282198"</f>
        <v>6552282198</v>
      </c>
      <c r="F4069" s="1">
        <v>45020</v>
      </c>
      <c r="G4069" t="str">
        <f t="shared" ref="G4069:G4075" si="724">"89615"</f>
        <v>89615</v>
      </c>
      <c r="H4069">
        <v>1</v>
      </c>
      <c r="I4069">
        <v>2199</v>
      </c>
      <c r="J4069">
        <v>0</v>
      </c>
      <c r="K4069" t="str">
        <f t="shared" ref="K4069:K4075" si="725">"810"</f>
        <v>810</v>
      </c>
      <c r="L4069">
        <v>1429.35</v>
      </c>
    </row>
    <row r="4070" spans="1:12" x14ac:dyDescent="0.25">
      <c r="A4070" t="str">
        <f t="shared" si="720"/>
        <v>89301000</v>
      </c>
      <c r="B4070" t="str">
        <f t="shared" si="721"/>
        <v>78051000</v>
      </c>
      <c r="C4070" t="str">
        <f t="shared" si="723"/>
        <v>78051017</v>
      </c>
      <c r="D4070">
        <v>89301062</v>
      </c>
      <c r="E4070" t="str">
        <f>"7111085322"</f>
        <v>7111085322</v>
      </c>
      <c r="F4070" s="1">
        <v>45020</v>
      </c>
      <c r="G4070" t="str">
        <f t="shared" si="724"/>
        <v>89615</v>
      </c>
      <c r="H4070">
        <v>1</v>
      </c>
      <c r="I4070">
        <v>2199</v>
      </c>
      <c r="J4070">
        <v>0</v>
      </c>
      <c r="K4070" t="str">
        <f t="shared" si="725"/>
        <v>810</v>
      </c>
      <c r="L4070">
        <v>1429.35</v>
      </c>
    </row>
    <row r="4071" spans="1:12" x14ac:dyDescent="0.25">
      <c r="A4071" t="str">
        <f t="shared" si="720"/>
        <v>89301000</v>
      </c>
      <c r="B4071" t="str">
        <f t="shared" si="721"/>
        <v>78051000</v>
      </c>
      <c r="C4071" t="str">
        <f t="shared" si="723"/>
        <v>78051017</v>
      </c>
      <c r="D4071">
        <v>89301062</v>
      </c>
      <c r="E4071" t="str">
        <f>"6952194887"</f>
        <v>6952194887</v>
      </c>
      <c r="F4071" s="1">
        <v>45028</v>
      </c>
      <c r="G4071" t="str">
        <f t="shared" si="724"/>
        <v>89615</v>
      </c>
      <c r="H4071">
        <v>1</v>
      </c>
      <c r="I4071">
        <v>2199</v>
      </c>
      <c r="J4071">
        <v>0</v>
      </c>
      <c r="K4071" t="str">
        <f t="shared" si="725"/>
        <v>810</v>
      </c>
      <c r="L4071">
        <v>1429.35</v>
      </c>
    </row>
    <row r="4072" spans="1:12" x14ac:dyDescent="0.25">
      <c r="A4072" t="str">
        <f t="shared" si="720"/>
        <v>89301000</v>
      </c>
      <c r="B4072" t="str">
        <f t="shared" si="721"/>
        <v>78051000</v>
      </c>
      <c r="C4072" t="str">
        <f t="shared" si="723"/>
        <v>78051017</v>
      </c>
      <c r="D4072">
        <v>89301062</v>
      </c>
      <c r="E4072" t="str">
        <f>"6857131765"</f>
        <v>6857131765</v>
      </c>
      <c r="F4072" s="1">
        <v>45028</v>
      </c>
      <c r="G4072" t="str">
        <f t="shared" si="724"/>
        <v>89615</v>
      </c>
      <c r="H4072">
        <v>1</v>
      </c>
      <c r="I4072">
        <v>2199</v>
      </c>
      <c r="J4072">
        <v>0</v>
      </c>
      <c r="K4072" t="str">
        <f t="shared" si="725"/>
        <v>810</v>
      </c>
      <c r="L4072">
        <v>1429.35</v>
      </c>
    </row>
    <row r="4073" spans="1:12" x14ac:dyDescent="0.25">
      <c r="A4073" t="str">
        <f t="shared" si="720"/>
        <v>89301000</v>
      </c>
      <c r="B4073" t="str">
        <f t="shared" si="721"/>
        <v>78051000</v>
      </c>
      <c r="C4073" t="str">
        <f t="shared" si="723"/>
        <v>78051017</v>
      </c>
      <c r="D4073">
        <v>89301062</v>
      </c>
      <c r="E4073" t="str">
        <f>"6456212081"</f>
        <v>6456212081</v>
      </c>
      <c r="F4073" s="1">
        <v>45035</v>
      </c>
      <c r="G4073" t="str">
        <f t="shared" si="724"/>
        <v>89615</v>
      </c>
      <c r="H4073">
        <v>1</v>
      </c>
      <c r="I4073">
        <v>2199</v>
      </c>
      <c r="J4073">
        <v>0</v>
      </c>
      <c r="K4073" t="str">
        <f t="shared" si="725"/>
        <v>810</v>
      </c>
      <c r="L4073">
        <v>1429.35</v>
      </c>
    </row>
    <row r="4074" spans="1:12" x14ac:dyDescent="0.25">
      <c r="A4074" t="str">
        <f t="shared" si="720"/>
        <v>89301000</v>
      </c>
      <c r="B4074" t="str">
        <f t="shared" si="721"/>
        <v>78051000</v>
      </c>
      <c r="C4074" t="str">
        <f t="shared" si="723"/>
        <v>78051017</v>
      </c>
      <c r="D4074">
        <v>89301062</v>
      </c>
      <c r="E4074" t="str">
        <f>"6653190291"</f>
        <v>6653190291</v>
      </c>
      <c r="F4074" s="1">
        <v>45042</v>
      </c>
      <c r="G4074" t="str">
        <f t="shared" si="724"/>
        <v>89615</v>
      </c>
      <c r="H4074">
        <v>1</v>
      </c>
      <c r="I4074">
        <v>2199</v>
      </c>
      <c r="J4074">
        <v>0</v>
      </c>
      <c r="K4074" t="str">
        <f t="shared" si="725"/>
        <v>810</v>
      </c>
      <c r="L4074">
        <v>1429.35</v>
      </c>
    </row>
    <row r="4075" spans="1:12" x14ac:dyDescent="0.25">
      <c r="A4075" t="str">
        <f t="shared" si="720"/>
        <v>89301000</v>
      </c>
      <c r="B4075" t="str">
        <f t="shared" si="721"/>
        <v>78051000</v>
      </c>
      <c r="C4075" t="str">
        <f t="shared" si="723"/>
        <v>78051017</v>
      </c>
      <c r="D4075">
        <v>89301062</v>
      </c>
      <c r="E4075" t="str">
        <f>"7260275682"</f>
        <v>7260275682</v>
      </c>
      <c r="F4075" s="1">
        <v>45042</v>
      </c>
      <c r="G4075" t="str">
        <f t="shared" si="724"/>
        <v>89615</v>
      </c>
      <c r="H4075">
        <v>1</v>
      </c>
      <c r="I4075">
        <v>2199</v>
      </c>
      <c r="J4075">
        <v>0</v>
      </c>
      <c r="K4075" t="str">
        <f t="shared" si="725"/>
        <v>810</v>
      </c>
      <c r="L4075">
        <v>1429.35</v>
      </c>
    </row>
    <row r="4076" spans="1:12" x14ac:dyDescent="0.25">
      <c r="A4076" t="str">
        <f t="shared" si="720"/>
        <v>89301000</v>
      </c>
      <c r="B4076" t="str">
        <f t="shared" ref="B4076:B4097" si="726">"93501000"</f>
        <v>93501000</v>
      </c>
      <c r="C4076" t="str">
        <f t="shared" ref="C4076:C4093" si="727">"93501001"</f>
        <v>93501001</v>
      </c>
      <c r="D4076">
        <v>89301167</v>
      </c>
      <c r="E4076" t="str">
        <f t="shared" ref="E4076:E4097" si="728">"470127462"</f>
        <v>470127462</v>
      </c>
      <c r="F4076" s="1">
        <v>45027</v>
      </c>
      <c r="G4076" t="str">
        <f>"09119"</f>
        <v>09119</v>
      </c>
      <c r="H4076">
        <v>1</v>
      </c>
      <c r="I4076">
        <v>43</v>
      </c>
      <c r="J4076">
        <v>0</v>
      </c>
      <c r="K4076" t="str">
        <f t="shared" ref="K4076:K4093" si="729">"801"</f>
        <v>801</v>
      </c>
      <c r="L4076">
        <v>54.18</v>
      </c>
    </row>
    <row r="4077" spans="1:12" x14ac:dyDescent="0.25">
      <c r="A4077" t="str">
        <f t="shared" si="720"/>
        <v>89301000</v>
      </c>
      <c r="B4077" t="str">
        <f t="shared" si="726"/>
        <v>93501000</v>
      </c>
      <c r="C4077" t="str">
        <f t="shared" si="727"/>
        <v>93501001</v>
      </c>
      <c r="D4077">
        <v>89301167</v>
      </c>
      <c r="E4077" t="str">
        <f t="shared" si="728"/>
        <v>470127462</v>
      </c>
      <c r="F4077" s="1">
        <v>45027</v>
      </c>
      <c r="G4077" t="str">
        <f>"81329"</f>
        <v>81329</v>
      </c>
      <c r="H4077">
        <v>1</v>
      </c>
      <c r="I4077">
        <v>17</v>
      </c>
      <c r="J4077">
        <v>0</v>
      </c>
      <c r="K4077" t="str">
        <f t="shared" si="729"/>
        <v>801</v>
      </c>
      <c r="L4077">
        <v>14.28</v>
      </c>
    </row>
    <row r="4078" spans="1:12" x14ac:dyDescent="0.25">
      <c r="A4078" t="str">
        <f t="shared" si="720"/>
        <v>89301000</v>
      </c>
      <c r="B4078" t="str">
        <f t="shared" si="726"/>
        <v>93501000</v>
      </c>
      <c r="C4078" t="str">
        <f t="shared" si="727"/>
        <v>93501001</v>
      </c>
      <c r="D4078">
        <v>89301167</v>
      </c>
      <c r="E4078" t="str">
        <f t="shared" si="728"/>
        <v>470127462</v>
      </c>
      <c r="F4078" s="1">
        <v>45027</v>
      </c>
      <c r="G4078" t="str">
        <f>"81337"</f>
        <v>81337</v>
      </c>
      <c r="H4078">
        <v>1</v>
      </c>
      <c r="I4078">
        <v>20</v>
      </c>
      <c r="J4078">
        <v>0</v>
      </c>
      <c r="K4078" t="str">
        <f t="shared" si="729"/>
        <v>801</v>
      </c>
      <c r="L4078">
        <v>16.8</v>
      </c>
    </row>
    <row r="4079" spans="1:12" x14ac:dyDescent="0.25">
      <c r="A4079" t="str">
        <f t="shared" si="720"/>
        <v>89301000</v>
      </c>
      <c r="B4079" t="str">
        <f t="shared" si="726"/>
        <v>93501000</v>
      </c>
      <c r="C4079" t="str">
        <f t="shared" si="727"/>
        <v>93501001</v>
      </c>
      <c r="D4079">
        <v>89301167</v>
      </c>
      <c r="E4079" t="str">
        <f t="shared" si="728"/>
        <v>470127462</v>
      </c>
      <c r="F4079" s="1">
        <v>45027</v>
      </c>
      <c r="G4079" t="str">
        <f>"81357"</f>
        <v>81357</v>
      </c>
      <c r="H4079">
        <v>1</v>
      </c>
      <c r="I4079">
        <v>20</v>
      </c>
      <c r="J4079">
        <v>0</v>
      </c>
      <c r="K4079" t="str">
        <f t="shared" si="729"/>
        <v>801</v>
      </c>
      <c r="L4079">
        <v>16.8</v>
      </c>
    </row>
    <row r="4080" spans="1:12" x14ac:dyDescent="0.25">
      <c r="A4080" t="str">
        <f t="shared" si="720"/>
        <v>89301000</v>
      </c>
      <c r="B4080" t="str">
        <f t="shared" si="726"/>
        <v>93501000</v>
      </c>
      <c r="C4080" t="str">
        <f t="shared" si="727"/>
        <v>93501001</v>
      </c>
      <c r="D4080">
        <v>89301167</v>
      </c>
      <c r="E4080" t="str">
        <f t="shared" si="728"/>
        <v>470127462</v>
      </c>
      <c r="F4080" s="1">
        <v>45027</v>
      </c>
      <c r="G4080" t="str">
        <f>"81361"</f>
        <v>81361</v>
      </c>
      <c r="H4080">
        <v>1</v>
      </c>
      <c r="I4080">
        <v>17</v>
      </c>
      <c r="J4080">
        <v>0</v>
      </c>
      <c r="K4080" t="str">
        <f t="shared" si="729"/>
        <v>801</v>
      </c>
      <c r="L4080">
        <v>14.28</v>
      </c>
    </row>
    <row r="4081" spans="1:12" x14ac:dyDescent="0.25">
      <c r="A4081" t="str">
        <f t="shared" si="720"/>
        <v>89301000</v>
      </c>
      <c r="B4081" t="str">
        <f t="shared" si="726"/>
        <v>93501000</v>
      </c>
      <c r="C4081" t="str">
        <f t="shared" si="727"/>
        <v>93501001</v>
      </c>
      <c r="D4081">
        <v>89301167</v>
      </c>
      <c r="E4081" t="str">
        <f t="shared" si="728"/>
        <v>470127462</v>
      </c>
      <c r="F4081" s="1">
        <v>45027</v>
      </c>
      <c r="G4081" t="str">
        <f>"81383"</f>
        <v>81383</v>
      </c>
      <c r="H4081">
        <v>1</v>
      </c>
      <c r="I4081">
        <v>24</v>
      </c>
      <c r="J4081">
        <v>0</v>
      </c>
      <c r="K4081" t="str">
        <f t="shared" si="729"/>
        <v>801</v>
      </c>
      <c r="L4081">
        <v>20.16</v>
      </c>
    </row>
    <row r="4082" spans="1:12" x14ac:dyDescent="0.25">
      <c r="A4082" t="str">
        <f t="shared" si="720"/>
        <v>89301000</v>
      </c>
      <c r="B4082" t="str">
        <f t="shared" si="726"/>
        <v>93501000</v>
      </c>
      <c r="C4082" t="str">
        <f t="shared" si="727"/>
        <v>93501001</v>
      </c>
      <c r="D4082">
        <v>89301167</v>
      </c>
      <c r="E4082" t="str">
        <f t="shared" si="728"/>
        <v>470127462</v>
      </c>
      <c r="F4082" s="1">
        <v>45027</v>
      </c>
      <c r="G4082" t="str">
        <f>"81393"</f>
        <v>81393</v>
      </c>
      <c r="H4082">
        <v>1</v>
      </c>
      <c r="I4082">
        <v>24</v>
      </c>
      <c r="J4082">
        <v>0</v>
      </c>
      <c r="K4082" t="str">
        <f t="shared" si="729"/>
        <v>801</v>
      </c>
      <c r="L4082">
        <v>20.16</v>
      </c>
    </row>
    <row r="4083" spans="1:12" x14ac:dyDescent="0.25">
      <c r="A4083" t="str">
        <f t="shared" si="720"/>
        <v>89301000</v>
      </c>
      <c r="B4083" t="str">
        <f t="shared" si="726"/>
        <v>93501000</v>
      </c>
      <c r="C4083" t="str">
        <f t="shared" si="727"/>
        <v>93501001</v>
      </c>
      <c r="D4083">
        <v>89301167</v>
      </c>
      <c r="E4083" t="str">
        <f t="shared" si="728"/>
        <v>470127462</v>
      </c>
      <c r="F4083" s="1">
        <v>45027</v>
      </c>
      <c r="G4083" t="str">
        <f>"81421"</f>
        <v>81421</v>
      </c>
      <c r="H4083">
        <v>1</v>
      </c>
      <c r="I4083">
        <v>19</v>
      </c>
      <c r="J4083">
        <v>0</v>
      </c>
      <c r="K4083" t="str">
        <f t="shared" si="729"/>
        <v>801</v>
      </c>
      <c r="L4083">
        <v>15.96</v>
      </c>
    </row>
    <row r="4084" spans="1:12" x14ac:dyDescent="0.25">
      <c r="A4084" t="str">
        <f t="shared" si="720"/>
        <v>89301000</v>
      </c>
      <c r="B4084" t="str">
        <f t="shared" si="726"/>
        <v>93501000</v>
      </c>
      <c r="C4084" t="str">
        <f t="shared" si="727"/>
        <v>93501001</v>
      </c>
      <c r="D4084">
        <v>89301167</v>
      </c>
      <c r="E4084" t="str">
        <f t="shared" si="728"/>
        <v>470127462</v>
      </c>
      <c r="F4084" s="1">
        <v>45027</v>
      </c>
      <c r="G4084" t="str">
        <f>"81435"</f>
        <v>81435</v>
      </c>
      <c r="H4084">
        <v>1</v>
      </c>
      <c r="I4084">
        <v>22</v>
      </c>
      <c r="J4084">
        <v>0</v>
      </c>
      <c r="K4084" t="str">
        <f t="shared" si="729"/>
        <v>801</v>
      </c>
      <c r="L4084">
        <v>18.48</v>
      </c>
    </row>
    <row r="4085" spans="1:12" x14ac:dyDescent="0.25">
      <c r="A4085" t="str">
        <f t="shared" si="720"/>
        <v>89301000</v>
      </c>
      <c r="B4085" t="str">
        <f t="shared" si="726"/>
        <v>93501000</v>
      </c>
      <c r="C4085" t="str">
        <f t="shared" si="727"/>
        <v>93501001</v>
      </c>
      <c r="D4085">
        <v>89301167</v>
      </c>
      <c r="E4085" t="str">
        <f t="shared" si="728"/>
        <v>470127462</v>
      </c>
      <c r="F4085" s="1">
        <v>45027</v>
      </c>
      <c r="G4085" t="str">
        <f>"81439"</f>
        <v>81439</v>
      </c>
      <c r="H4085">
        <v>1</v>
      </c>
      <c r="I4085">
        <v>16</v>
      </c>
      <c r="J4085">
        <v>0</v>
      </c>
      <c r="K4085" t="str">
        <f t="shared" si="729"/>
        <v>801</v>
      </c>
      <c r="L4085">
        <v>13.44</v>
      </c>
    </row>
    <row r="4086" spans="1:12" x14ac:dyDescent="0.25">
      <c r="A4086" t="str">
        <f t="shared" si="720"/>
        <v>89301000</v>
      </c>
      <c r="B4086" t="str">
        <f t="shared" si="726"/>
        <v>93501000</v>
      </c>
      <c r="C4086" t="str">
        <f t="shared" si="727"/>
        <v>93501001</v>
      </c>
      <c r="D4086">
        <v>89301167</v>
      </c>
      <c r="E4086" t="str">
        <f t="shared" si="728"/>
        <v>470127462</v>
      </c>
      <c r="F4086" s="1">
        <v>45027</v>
      </c>
      <c r="G4086" t="str">
        <f>"81469"</f>
        <v>81469</v>
      </c>
      <c r="H4086">
        <v>1</v>
      </c>
      <c r="I4086">
        <v>16</v>
      </c>
      <c r="J4086">
        <v>0</v>
      </c>
      <c r="K4086" t="str">
        <f t="shared" si="729"/>
        <v>801</v>
      </c>
      <c r="L4086">
        <v>13.44</v>
      </c>
    </row>
    <row r="4087" spans="1:12" x14ac:dyDescent="0.25">
      <c r="A4087" t="str">
        <f t="shared" si="720"/>
        <v>89301000</v>
      </c>
      <c r="B4087" t="str">
        <f t="shared" si="726"/>
        <v>93501000</v>
      </c>
      <c r="C4087" t="str">
        <f t="shared" si="727"/>
        <v>93501001</v>
      </c>
      <c r="D4087">
        <v>89301167</v>
      </c>
      <c r="E4087" t="str">
        <f t="shared" si="728"/>
        <v>470127462</v>
      </c>
      <c r="F4087" s="1">
        <v>45027</v>
      </c>
      <c r="G4087" t="str">
        <f>"81499"</f>
        <v>81499</v>
      </c>
      <c r="H4087">
        <v>1</v>
      </c>
      <c r="I4087">
        <v>18</v>
      </c>
      <c r="J4087">
        <v>0</v>
      </c>
      <c r="K4087" t="str">
        <f t="shared" si="729"/>
        <v>801</v>
      </c>
      <c r="L4087">
        <v>15.12</v>
      </c>
    </row>
    <row r="4088" spans="1:12" x14ac:dyDescent="0.25">
      <c r="A4088" t="str">
        <f t="shared" si="720"/>
        <v>89301000</v>
      </c>
      <c r="B4088" t="str">
        <f t="shared" si="726"/>
        <v>93501000</v>
      </c>
      <c r="C4088" t="str">
        <f t="shared" si="727"/>
        <v>93501001</v>
      </c>
      <c r="D4088">
        <v>89301167</v>
      </c>
      <c r="E4088" t="str">
        <f t="shared" si="728"/>
        <v>470127462</v>
      </c>
      <c r="F4088" s="1">
        <v>45027</v>
      </c>
      <c r="G4088" t="str">
        <f>"81523"</f>
        <v>81523</v>
      </c>
      <c r="H4088">
        <v>1</v>
      </c>
      <c r="I4088">
        <v>23</v>
      </c>
      <c r="J4088">
        <v>0</v>
      </c>
      <c r="K4088" t="str">
        <f t="shared" si="729"/>
        <v>801</v>
      </c>
      <c r="L4088">
        <v>19.32</v>
      </c>
    </row>
    <row r="4089" spans="1:12" x14ac:dyDescent="0.25">
      <c r="A4089" t="str">
        <f t="shared" si="720"/>
        <v>89301000</v>
      </c>
      <c r="B4089" t="str">
        <f t="shared" si="726"/>
        <v>93501000</v>
      </c>
      <c r="C4089" t="str">
        <f t="shared" si="727"/>
        <v>93501001</v>
      </c>
      <c r="D4089">
        <v>89301167</v>
      </c>
      <c r="E4089" t="str">
        <f t="shared" si="728"/>
        <v>470127462</v>
      </c>
      <c r="F4089" s="1">
        <v>45027</v>
      </c>
      <c r="G4089" t="str">
        <f>"81593"</f>
        <v>81593</v>
      </c>
      <c r="H4089">
        <v>1</v>
      </c>
      <c r="I4089">
        <v>22</v>
      </c>
      <c r="J4089">
        <v>0</v>
      </c>
      <c r="K4089" t="str">
        <f t="shared" si="729"/>
        <v>801</v>
      </c>
      <c r="L4089">
        <v>18.48</v>
      </c>
    </row>
    <row r="4090" spans="1:12" x14ac:dyDescent="0.25">
      <c r="A4090" t="str">
        <f t="shared" si="720"/>
        <v>89301000</v>
      </c>
      <c r="B4090" t="str">
        <f t="shared" si="726"/>
        <v>93501000</v>
      </c>
      <c r="C4090" t="str">
        <f t="shared" si="727"/>
        <v>93501001</v>
      </c>
      <c r="D4090">
        <v>89301167</v>
      </c>
      <c r="E4090" t="str">
        <f t="shared" si="728"/>
        <v>470127462</v>
      </c>
      <c r="F4090" s="1">
        <v>45027</v>
      </c>
      <c r="G4090" t="str">
        <f>"81621"</f>
        <v>81621</v>
      </c>
      <c r="H4090">
        <v>1</v>
      </c>
      <c r="I4090">
        <v>19</v>
      </c>
      <c r="J4090">
        <v>0</v>
      </c>
      <c r="K4090" t="str">
        <f t="shared" si="729"/>
        <v>801</v>
      </c>
      <c r="L4090">
        <v>15.96</v>
      </c>
    </row>
    <row r="4091" spans="1:12" x14ac:dyDescent="0.25">
      <c r="A4091" t="str">
        <f t="shared" si="720"/>
        <v>89301000</v>
      </c>
      <c r="B4091" t="str">
        <f t="shared" si="726"/>
        <v>93501000</v>
      </c>
      <c r="C4091" t="str">
        <f t="shared" si="727"/>
        <v>93501001</v>
      </c>
      <c r="D4091">
        <v>89301167</v>
      </c>
      <c r="E4091" t="str">
        <f t="shared" si="728"/>
        <v>470127462</v>
      </c>
      <c r="F4091" s="1">
        <v>45027</v>
      </c>
      <c r="G4091" t="str">
        <f>"81625"</f>
        <v>81625</v>
      </c>
      <c r="H4091">
        <v>1</v>
      </c>
      <c r="I4091">
        <v>21</v>
      </c>
      <c r="J4091">
        <v>0</v>
      </c>
      <c r="K4091" t="str">
        <f t="shared" si="729"/>
        <v>801</v>
      </c>
      <c r="L4091">
        <v>17.64</v>
      </c>
    </row>
    <row r="4092" spans="1:12" x14ac:dyDescent="0.25">
      <c r="A4092" t="str">
        <f t="shared" si="720"/>
        <v>89301000</v>
      </c>
      <c r="B4092" t="str">
        <f t="shared" si="726"/>
        <v>93501000</v>
      </c>
      <c r="C4092" t="str">
        <f t="shared" si="727"/>
        <v>93501001</v>
      </c>
      <c r="D4092">
        <v>89301167</v>
      </c>
      <c r="E4092" t="str">
        <f t="shared" si="728"/>
        <v>470127462</v>
      </c>
      <c r="F4092" s="1">
        <v>45027</v>
      </c>
      <c r="G4092" t="str">
        <f>"91153"</f>
        <v>91153</v>
      </c>
      <c r="H4092">
        <v>1</v>
      </c>
      <c r="I4092">
        <v>153</v>
      </c>
      <c r="J4092">
        <v>0</v>
      </c>
      <c r="K4092" t="str">
        <f t="shared" si="729"/>
        <v>801</v>
      </c>
      <c r="L4092">
        <v>128.52000000000001</v>
      </c>
    </row>
    <row r="4093" spans="1:12" x14ac:dyDescent="0.25">
      <c r="A4093" t="str">
        <f t="shared" si="720"/>
        <v>89301000</v>
      </c>
      <c r="B4093" t="str">
        <f t="shared" si="726"/>
        <v>93501000</v>
      </c>
      <c r="C4093" t="str">
        <f t="shared" si="727"/>
        <v>93501001</v>
      </c>
      <c r="D4093">
        <v>89301167</v>
      </c>
      <c r="E4093" t="str">
        <f t="shared" si="728"/>
        <v>470127462</v>
      </c>
      <c r="F4093" s="1">
        <v>45027</v>
      </c>
      <c r="G4093" t="str">
        <f>"97111"</f>
        <v>97111</v>
      </c>
      <c r="H4093">
        <v>1</v>
      </c>
      <c r="I4093">
        <v>19</v>
      </c>
      <c r="J4093">
        <v>0</v>
      </c>
      <c r="K4093" t="str">
        <f t="shared" si="729"/>
        <v>801</v>
      </c>
      <c r="L4093">
        <v>23.94</v>
      </c>
    </row>
    <row r="4094" spans="1:12" x14ac:dyDescent="0.25">
      <c r="A4094" t="str">
        <f t="shared" si="720"/>
        <v>89301000</v>
      </c>
      <c r="B4094" t="str">
        <f t="shared" si="726"/>
        <v>93501000</v>
      </c>
      <c r="C4094" t="str">
        <f>"93501005"</f>
        <v>93501005</v>
      </c>
      <c r="D4094">
        <v>89301167</v>
      </c>
      <c r="E4094" t="str">
        <f t="shared" si="728"/>
        <v>470127462</v>
      </c>
      <c r="F4094" s="1">
        <v>45027</v>
      </c>
      <c r="G4094" t="str">
        <f>"96167"</f>
        <v>96167</v>
      </c>
      <c r="H4094">
        <v>1</v>
      </c>
      <c r="I4094">
        <v>67</v>
      </c>
      <c r="J4094">
        <v>0</v>
      </c>
      <c r="K4094" t="str">
        <f>"818"</f>
        <v>818</v>
      </c>
      <c r="L4094">
        <v>64.989999999999995</v>
      </c>
    </row>
    <row r="4095" spans="1:12" x14ac:dyDescent="0.25">
      <c r="A4095" t="str">
        <f t="shared" si="720"/>
        <v>89301000</v>
      </c>
      <c r="B4095" t="str">
        <f t="shared" si="726"/>
        <v>93501000</v>
      </c>
      <c r="C4095" t="str">
        <f>"93501005"</f>
        <v>93501005</v>
      </c>
      <c r="D4095">
        <v>89301167</v>
      </c>
      <c r="E4095" t="str">
        <f t="shared" si="728"/>
        <v>470127462</v>
      </c>
      <c r="F4095" s="1">
        <v>45027</v>
      </c>
      <c r="G4095" t="str">
        <f>"96315"</f>
        <v>96315</v>
      </c>
      <c r="H4095">
        <v>1</v>
      </c>
      <c r="I4095">
        <v>30</v>
      </c>
      <c r="J4095">
        <v>0</v>
      </c>
      <c r="K4095" t="str">
        <f>"818"</f>
        <v>818</v>
      </c>
      <c r="L4095">
        <v>29.1</v>
      </c>
    </row>
    <row r="4096" spans="1:12" x14ac:dyDescent="0.25">
      <c r="A4096" t="str">
        <f t="shared" si="720"/>
        <v>89301000</v>
      </c>
      <c r="B4096" t="str">
        <f t="shared" si="726"/>
        <v>93501000</v>
      </c>
      <c r="C4096" t="str">
        <f>"93501005"</f>
        <v>93501005</v>
      </c>
      <c r="D4096">
        <v>89301167</v>
      </c>
      <c r="E4096" t="str">
        <f t="shared" si="728"/>
        <v>470127462</v>
      </c>
      <c r="F4096" s="1">
        <v>45027</v>
      </c>
      <c r="G4096" t="str">
        <f>"96711"</f>
        <v>96711</v>
      </c>
      <c r="H4096">
        <v>1</v>
      </c>
      <c r="I4096">
        <v>28</v>
      </c>
      <c r="J4096">
        <v>0</v>
      </c>
      <c r="K4096" t="str">
        <f>"818"</f>
        <v>818</v>
      </c>
      <c r="L4096">
        <v>27.16</v>
      </c>
    </row>
    <row r="4097" spans="1:12" x14ac:dyDescent="0.25">
      <c r="A4097" t="str">
        <f t="shared" si="720"/>
        <v>89301000</v>
      </c>
      <c r="B4097" t="str">
        <f t="shared" si="726"/>
        <v>93501000</v>
      </c>
      <c r="C4097" t="str">
        <f>"93501005"</f>
        <v>93501005</v>
      </c>
      <c r="D4097">
        <v>89301167</v>
      </c>
      <c r="E4097" t="str">
        <f t="shared" si="728"/>
        <v>470127462</v>
      </c>
      <c r="F4097" s="1">
        <v>45027</v>
      </c>
      <c r="G4097" t="str">
        <f>"96713"</f>
        <v>96713</v>
      </c>
      <c r="H4097">
        <v>1</v>
      </c>
      <c r="I4097">
        <v>14</v>
      </c>
      <c r="J4097">
        <v>0</v>
      </c>
      <c r="K4097" t="str">
        <f>"818"</f>
        <v>818</v>
      </c>
      <c r="L4097">
        <v>13.58</v>
      </c>
    </row>
    <row r="4098" spans="1:12" x14ac:dyDescent="0.25">
      <c r="A4098" t="str">
        <f t="shared" ref="A4098:A4161" si="730">"89301000"</f>
        <v>89301000</v>
      </c>
      <c r="B4098" t="str">
        <f>"72875000"</f>
        <v>72875000</v>
      </c>
      <c r="C4098" t="str">
        <f>"72875010"</f>
        <v>72875010</v>
      </c>
      <c r="D4098">
        <v>89301167</v>
      </c>
      <c r="E4098" t="str">
        <f>"5957040397"</f>
        <v>5957040397</v>
      </c>
      <c r="F4098" s="1">
        <v>45033</v>
      </c>
      <c r="G4098" t="str">
        <f>"93221"</f>
        <v>93221</v>
      </c>
      <c r="H4098">
        <v>1</v>
      </c>
      <c r="I4098">
        <v>190</v>
      </c>
      <c r="J4098">
        <v>0</v>
      </c>
      <c r="K4098" t="str">
        <f>"801"</f>
        <v>801</v>
      </c>
      <c r="L4098">
        <v>159.6</v>
      </c>
    </row>
    <row r="4099" spans="1:12" x14ac:dyDescent="0.25">
      <c r="A4099" t="str">
        <f t="shared" si="730"/>
        <v>89301000</v>
      </c>
      <c r="B4099" t="str">
        <f>"72875000"</f>
        <v>72875000</v>
      </c>
      <c r="C4099" t="str">
        <f>"72875010"</f>
        <v>72875010</v>
      </c>
      <c r="D4099">
        <v>89301167</v>
      </c>
      <c r="E4099" t="str">
        <f>"5957040397"</f>
        <v>5957040397</v>
      </c>
      <c r="F4099" s="1">
        <v>45033</v>
      </c>
      <c r="G4099" t="str">
        <f>"93131"</f>
        <v>93131</v>
      </c>
      <c r="H4099">
        <v>1</v>
      </c>
      <c r="I4099">
        <v>197</v>
      </c>
      <c r="J4099">
        <v>0</v>
      </c>
      <c r="K4099" t="str">
        <f>"801"</f>
        <v>801</v>
      </c>
      <c r="L4099">
        <v>165.48</v>
      </c>
    </row>
    <row r="4100" spans="1:12" x14ac:dyDescent="0.25">
      <c r="A4100" t="str">
        <f t="shared" si="730"/>
        <v>89301000</v>
      </c>
      <c r="B4100" t="str">
        <f t="shared" ref="B4100:C4103" si="731">"92327000"</f>
        <v>92327000</v>
      </c>
      <c r="C4100" t="str">
        <f t="shared" si="731"/>
        <v>92327000</v>
      </c>
      <c r="D4100">
        <v>89301034</v>
      </c>
      <c r="E4100" t="str">
        <f>"7962075682"</f>
        <v>7962075682</v>
      </c>
      <c r="F4100" s="1">
        <v>45028</v>
      </c>
      <c r="G4100" t="str">
        <f>"89513"</f>
        <v>89513</v>
      </c>
      <c r="H4100">
        <v>1</v>
      </c>
      <c r="I4100">
        <v>378</v>
      </c>
      <c r="J4100">
        <v>0</v>
      </c>
      <c r="K4100" t="str">
        <f>"809"</f>
        <v>809</v>
      </c>
      <c r="L4100">
        <v>555.66</v>
      </c>
    </row>
    <row r="4101" spans="1:12" x14ac:dyDescent="0.25">
      <c r="A4101" t="str">
        <f t="shared" si="730"/>
        <v>89301000</v>
      </c>
      <c r="B4101" t="str">
        <f t="shared" si="731"/>
        <v>92327000</v>
      </c>
      <c r="C4101" t="str">
        <f t="shared" si="731"/>
        <v>92327000</v>
      </c>
      <c r="D4101">
        <v>89301034</v>
      </c>
      <c r="E4101" t="str">
        <f>"7962075682"</f>
        <v>7962075682</v>
      </c>
      <c r="F4101" s="1">
        <v>45028</v>
      </c>
      <c r="G4101" t="str">
        <f>"89514"</f>
        <v>89514</v>
      </c>
      <c r="H4101">
        <v>1</v>
      </c>
      <c r="I4101">
        <v>378</v>
      </c>
      <c r="J4101">
        <v>0</v>
      </c>
      <c r="K4101" t="str">
        <f>"809"</f>
        <v>809</v>
      </c>
      <c r="L4101">
        <v>555.66</v>
      </c>
    </row>
    <row r="4102" spans="1:12" x14ac:dyDescent="0.25">
      <c r="A4102" t="str">
        <f t="shared" si="730"/>
        <v>89301000</v>
      </c>
      <c r="B4102" t="str">
        <f t="shared" si="731"/>
        <v>92327000</v>
      </c>
      <c r="C4102" t="str">
        <f t="shared" si="731"/>
        <v>92327000</v>
      </c>
      <c r="D4102">
        <v>89301212</v>
      </c>
      <c r="E4102" t="str">
        <f>"6359170444"</f>
        <v>6359170444</v>
      </c>
      <c r="F4102" s="1">
        <v>45044</v>
      </c>
      <c r="G4102" t="str">
        <f>"89513"</f>
        <v>89513</v>
      </c>
      <c r="H4102">
        <v>1</v>
      </c>
      <c r="I4102">
        <v>378</v>
      </c>
      <c r="J4102">
        <v>0</v>
      </c>
      <c r="K4102" t="str">
        <f>"809"</f>
        <v>809</v>
      </c>
      <c r="L4102">
        <v>555.66</v>
      </c>
    </row>
    <row r="4103" spans="1:12" x14ac:dyDescent="0.25">
      <c r="A4103" t="str">
        <f t="shared" si="730"/>
        <v>89301000</v>
      </c>
      <c r="B4103" t="str">
        <f t="shared" si="731"/>
        <v>92327000</v>
      </c>
      <c r="C4103" t="str">
        <f t="shared" si="731"/>
        <v>92327000</v>
      </c>
      <c r="D4103">
        <v>89301212</v>
      </c>
      <c r="E4103" t="str">
        <f>"6359170444"</f>
        <v>6359170444</v>
      </c>
      <c r="F4103" s="1">
        <v>45044</v>
      </c>
      <c r="G4103" t="str">
        <f>"89514"</f>
        <v>89514</v>
      </c>
      <c r="H4103">
        <v>1</v>
      </c>
      <c r="I4103">
        <v>378</v>
      </c>
      <c r="J4103">
        <v>0</v>
      </c>
      <c r="K4103" t="str">
        <f>"809"</f>
        <v>809</v>
      </c>
      <c r="L4103">
        <v>555.66</v>
      </c>
    </row>
    <row r="4104" spans="1:12" x14ac:dyDescent="0.25">
      <c r="A4104" t="str">
        <f t="shared" si="730"/>
        <v>89301000</v>
      </c>
      <c r="B4104" t="str">
        <f>"91997900"</f>
        <v>91997900</v>
      </c>
      <c r="C4104" t="str">
        <f>"91997902"</f>
        <v>91997902</v>
      </c>
      <c r="D4104">
        <v>89301322</v>
      </c>
      <c r="E4104" t="str">
        <f>"7461215322"</f>
        <v>7461215322</v>
      </c>
      <c r="F4104" s="1">
        <v>45022</v>
      </c>
      <c r="G4104" t="str">
        <f>"91439"</f>
        <v>91439</v>
      </c>
      <c r="H4104">
        <v>9</v>
      </c>
      <c r="I4104">
        <v>3222</v>
      </c>
      <c r="J4104">
        <v>0</v>
      </c>
      <c r="K4104" t="str">
        <f>"813"</f>
        <v>813</v>
      </c>
      <c r="L4104">
        <v>2706.48</v>
      </c>
    </row>
    <row r="4105" spans="1:12" x14ac:dyDescent="0.25">
      <c r="A4105" t="str">
        <f t="shared" si="730"/>
        <v>89301000</v>
      </c>
      <c r="B4105" t="str">
        <f>"91997900"</f>
        <v>91997900</v>
      </c>
      <c r="C4105" t="str">
        <f>"91997902"</f>
        <v>91997902</v>
      </c>
      <c r="D4105">
        <v>89301322</v>
      </c>
      <c r="E4105" t="str">
        <f>"7461215322"</f>
        <v>7461215322</v>
      </c>
      <c r="F4105" s="1">
        <v>45022</v>
      </c>
      <c r="G4105" t="str">
        <f>"91439"</f>
        <v>91439</v>
      </c>
      <c r="H4105">
        <v>6</v>
      </c>
      <c r="I4105">
        <v>2148</v>
      </c>
      <c r="J4105">
        <v>0</v>
      </c>
      <c r="K4105" t="str">
        <f>"813"</f>
        <v>813</v>
      </c>
      <c r="L4105">
        <v>1804.32</v>
      </c>
    </row>
    <row r="4106" spans="1:12" x14ac:dyDescent="0.25">
      <c r="A4106" t="str">
        <f t="shared" si="730"/>
        <v>89301000</v>
      </c>
      <c r="B4106" t="str">
        <f>"93507000"</f>
        <v>93507000</v>
      </c>
      <c r="C4106" t="str">
        <f>"93507001"</f>
        <v>93507001</v>
      </c>
      <c r="D4106">
        <v>89301132</v>
      </c>
      <c r="E4106" t="str">
        <f>"8851026206"</f>
        <v>8851026206</v>
      </c>
      <c r="F4106" s="1">
        <v>45033</v>
      </c>
      <c r="G4106" t="str">
        <f>"89117"</f>
        <v>89117</v>
      </c>
      <c r="H4106">
        <v>1</v>
      </c>
      <c r="I4106">
        <v>172</v>
      </c>
      <c r="J4106">
        <v>0</v>
      </c>
      <c r="K4106" t="str">
        <f>"809"</f>
        <v>809</v>
      </c>
      <c r="L4106">
        <v>252.84</v>
      </c>
    </row>
    <row r="4107" spans="1:12" x14ac:dyDescent="0.25">
      <c r="A4107" t="str">
        <f t="shared" si="730"/>
        <v>89301000</v>
      </c>
      <c r="B4107" t="str">
        <f>"93507000"</f>
        <v>93507000</v>
      </c>
      <c r="C4107" t="str">
        <f>"93507001"</f>
        <v>93507001</v>
      </c>
      <c r="D4107">
        <v>89301132</v>
      </c>
      <c r="E4107" t="str">
        <f>"8851026206"</f>
        <v>8851026206</v>
      </c>
      <c r="F4107" s="1">
        <v>45033</v>
      </c>
      <c r="G4107" t="str">
        <f>"09139"</f>
        <v>09139</v>
      </c>
      <c r="H4107">
        <v>1</v>
      </c>
      <c r="I4107">
        <v>356</v>
      </c>
      <c r="J4107">
        <v>0</v>
      </c>
      <c r="K4107" t="str">
        <f>"809"</f>
        <v>809</v>
      </c>
      <c r="L4107">
        <v>523.32000000000005</v>
      </c>
    </row>
    <row r="4108" spans="1:12" x14ac:dyDescent="0.25">
      <c r="A4108" t="str">
        <f t="shared" si="730"/>
        <v>89301000</v>
      </c>
      <c r="B4108" t="str">
        <f>"93507000"</f>
        <v>93507000</v>
      </c>
      <c r="C4108" t="str">
        <f>"93507001"</f>
        <v>93507001</v>
      </c>
      <c r="D4108">
        <v>89301132</v>
      </c>
      <c r="E4108" t="str">
        <f>"8851026206"</f>
        <v>8851026206</v>
      </c>
      <c r="F4108" s="1">
        <v>45033</v>
      </c>
      <c r="G4108" t="str">
        <f>"89515"</f>
        <v>89515</v>
      </c>
      <c r="H4108">
        <v>1</v>
      </c>
      <c r="I4108">
        <v>347</v>
      </c>
      <c r="J4108">
        <v>0</v>
      </c>
      <c r="K4108" t="str">
        <f>"809"</f>
        <v>809</v>
      </c>
      <c r="L4108">
        <v>510.09</v>
      </c>
    </row>
    <row r="4109" spans="1:12" x14ac:dyDescent="0.25">
      <c r="A4109" t="str">
        <f t="shared" si="730"/>
        <v>89301000</v>
      </c>
      <c r="B4109" t="str">
        <f>"42428000"</f>
        <v>42428000</v>
      </c>
      <c r="C4109" t="str">
        <f>"42428000"</f>
        <v>42428000</v>
      </c>
      <c r="D4109">
        <v>89301167</v>
      </c>
      <c r="E4109" t="str">
        <f>"511221028"</f>
        <v>511221028</v>
      </c>
      <c r="F4109" s="1">
        <v>45042</v>
      </c>
      <c r="G4109" t="str">
        <f>"93131"</f>
        <v>93131</v>
      </c>
      <c r="H4109">
        <v>1</v>
      </c>
      <c r="I4109">
        <v>197</v>
      </c>
      <c r="J4109">
        <v>0</v>
      </c>
      <c r="K4109" t="str">
        <f>"801"</f>
        <v>801</v>
      </c>
      <c r="L4109">
        <v>165.48</v>
      </c>
    </row>
    <row r="4110" spans="1:12" x14ac:dyDescent="0.25">
      <c r="A4110" t="str">
        <f t="shared" si="730"/>
        <v>89301000</v>
      </c>
      <c r="B4110" t="str">
        <f>"42428000"</f>
        <v>42428000</v>
      </c>
      <c r="C4110" t="str">
        <f>"42428000"</f>
        <v>42428000</v>
      </c>
      <c r="D4110">
        <v>89301167</v>
      </c>
      <c r="E4110" t="str">
        <f>"511221028"</f>
        <v>511221028</v>
      </c>
      <c r="F4110" s="1">
        <v>45042</v>
      </c>
      <c r="G4110" t="str">
        <f>"97111"</f>
        <v>97111</v>
      </c>
      <c r="H4110">
        <v>1</v>
      </c>
      <c r="I4110">
        <v>19</v>
      </c>
      <c r="J4110">
        <v>0</v>
      </c>
      <c r="K4110" t="str">
        <f>"801"</f>
        <v>801</v>
      </c>
      <c r="L4110">
        <v>23.94</v>
      </c>
    </row>
    <row r="4111" spans="1:12" x14ac:dyDescent="0.25">
      <c r="A4111" t="str">
        <f t="shared" si="730"/>
        <v>89301000</v>
      </c>
      <c r="B4111" t="str">
        <f t="shared" ref="B4111:B4131" si="732">"06515000"</f>
        <v>06515000</v>
      </c>
      <c r="C4111" t="str">
        <f>"06515024"</f>
        <v>06515024</v>
      </c>
      <c r="D4111">
        <v>89301082</v>
      </c>
      <c r="E4111" t="str">
        <f>"8455154488"</f>
        <v>8455154488</v>
      </c>
      <c r="F4111" s="1">
        <v>45033</v>
      </c>
      <c r="G4111" t="str">
        <f>"93155"</f>
        <v>93155</v>
      </c>
      <c r="H4111">
        <v>1</v>
      </c>
      <c r="I4111">
        <v>204</v>
      </c>
      <c r="J4111">
        <v>0</v>
      </c>
      <c r="K4111" t="str">
        <f>"801"</f>
        <v>801</v>
      </c>
      <c r="L4111">
        <v>171.36</v>
      </c>
    </row>
    <row r="4112" spans="1:12" x14ac:dyDescent="0.25">
      <c r="A4112" t="str">
        <f t="shared" si="730"/>
        <v>89301000</v>
      </c>
      <c r="B4112" t="str">
        <f t="shared" si="732"/>
        <v>06515000</v>
      </c>
      <c r="C4112" t="str">
        <f>"06515024"</f>
        <v>06515024</v>
      </c>
      <c r="D4112">
        <v>89301082</v>
      </c>
      <c r="E4112" t="str">
        <f>"8455154488"</f>
        <v>8455154488</v>
      </c>
      <c r="F4112" s="1">
        <v>45033</v>
      </c>
      <c r="G4112" t="str">
        <f>"97111"</f>
        <v>97111</v>
      </c>
      <c r="H4112">
        <v>1</v>
      </c>
      <c r="I4112">
        <v>19</v>
      </c>
      <c r="J4112">
        <v>0</v>
      </c>
      <c r="K4112" t="str">
        <f>"801"</f>
        <v>801</v>
      </c>
      <c r="L4112">
        <v>23.94</v>
      </c>
    </row>
    <row r="4113" spans="1:12" x14ac:dyDescent="0.25">
      <c r="A4113" t="str">
        <f t="shared" si="730"/>
        <v>89301000</v>
      </c>
      <c r="B4113" t="str">
        <f t="shared" si="732"/>
        <v>06515000</v>
      </c>
      <c r="C4113" t="str">
        <f t="shared" ref="C4113:C4131" si="733">"06515006"</f>
        <v>06515006</v>
      </c>
      <c r="D4113">
        <v>89301162</v>
      </c>
      <c r="E4113" t="str">
        <f t="shared" ref="E4113:E4131" si="734">"8654245798"</f>
        <v>8654245798</v>
      </c>
      <c r="F4113" s="1">
        <v>45019</v>
      </c>
      <c r="G4113" t="str">
        <f t="shared" ref="G4113:G4129" si="735">"91221"</f>
        <v>91221</v>
      </c>
      <c r="H4113">
        <v>1</v>
      </c>
      <c r="I4113">
        <v>212</v>
      </c>
      <c r="J4113">
        <v>0</v>
      </c>
      <c r="K4113" t="str">
        <f t="shared" ref="K4113:K4131" si="736">"813"</f>
        <v>813</v>
      </c>
      <c r="L4113">
        <v>178.08</v>
      </c>
    </row>
    <row r="4114" spans="1:12" x14ac:dyDescent="0.25">
      <c r="A4114" t="str">
        <f t="shared" si="730"/>
        <v>89301000</v>
      </c>
      <c r="B4114" t="str">
        <f t="shared" si="732"/>
        <v>06515000</v>
      </c>
      <c r="C4114" t="str">
        <f t="shared" si="733"/>
        <v>06515006</v>
      </c>
      <c r="D4114">
        <v>89301162</v>
      </c>
      <c r="E4114" t="str">
        <f t="shared" si="734"/>
        <v>8654245798</v>
      </c>
      <c r="F4114" s="1">
        <v>45019</v>
      </c>
      <c r="G4114" t="str">
        <f t="shared" si="735"/>
        <v>91221</v>
      </c>
      <c r="H4114">
        <v>1</v>
      </c>
      <c r="I4114">
        <v>212</v>
      </c>
      <c r="J4114">
        <v>0</v>
      </c>
      <c r="K4114" t="str">
        <f t="shared" si="736"/>
        <v>813</v>
      </c>
      <c r="L4114">
        <v>178.08</v>
      </c>
    </row>
    <row r="4115" spans="1:12" x14ac:dyDescent="0.25">
      <c r="A4115" t="str">
        <f t="shared" si="730"/>
        <v>89301000</v>
      </c>
      <c r="B4115" t="str">
        <f t="shared" si="732"/>
        <v>06515000</v>
      </c>
      <c r="C4115" t="str">
        <f t="shared" si="733"/>
        <v>06515006</v>
      </c>
      <c r="D4115">
        <v>89301162</v>
      </c>
      <c r="E4115" t="str">
        <f t="shared" si="734"/>
        <v>8654245798</v>
      </c>
      <c r="F4115" s="1">
        <v>45019</v>
      </c>
      <c r="G4115" t="str">
        <f t="shared" si="735"/>
        <v>91221</v>
      </c>
      <c r="H4115">
        <v>1</v>
      </c>
      <c r="I4115">
        <v>212</v>
      </c>
      <c r="J4115">
        <v>0</v>
      </c>
      <c r="K4115" t="str">
        <f t="shared" si="736"/>
        <v>813</v>
      </c>
      <c r="L4115">
        <v>178.08</v>
      </c>
    </row>
    <row r="4116" spans="1:12" x14ac:dyDescent="0.25">
      <c r="A4116" t="str">
        <f t="shared" si="730"/>
        <v>89301000</v>
      </c>
      <c r="B4116" t="str">
        <f t="shared" si="732"/>
        <v>06515000</v>
      </c>
      <c r="C4116" t="str">
        <f t="shared" si="733"/>
        <v>06515006</v>
      </c>
      <c r="D4116">
        <v>89301162</v>
      </c>
      <c r="E4116" t="str">
        <f t="shared" si="734"/>
        <v>8654245798</v>
      </c>
      <c r="F4116" s="1">
        <v>45019</v>
      </c>
      <c r="G4116" t="str">
        <f t="shared" si="735"/>
        <v>91221</v>
      </c>
      <c r="H4116">
        <v>1</v>
      </c>
      <c r="I4116">
        <v>212</v>
      </c>
      <c r="J4116">
        <v>0</v>
      </c>
      <c r="K4116" t="str">
        <f t="shared" si="736"/>
        <v>813</v>
      </c>
      <c r="L4116">
        <v>178.08</v>
      </c>
    </row>
    <row r="4117" spans="1:12" x14ac:dyDescent="0.25">
      <c r="A4117" t="str">
        <f t="shared" si="730"/>
        <v>89301000</v>
      </c>
      <c r="B4117" t="str">
        <f t="shared" si="732"/>
        <v>06515000</v>
      </c>
      <c r="C4117" t="str">
        <f t="shared" si="733"/>
        <v>06515006</v>
      </c>
      <c r="D4117">
        <v>89301162</v>
      </c>
      <c r="E4117" t="str">
        <f t="shared" si="734"/>
        <v>8654245798</v>
      </c>
      <c r="F4117" s="1">
        <v>45019</v>
      </c>
      <c r="G4117" t="str">
        <f t="shared" si="735"/>
        <v>91221</v>
      </c>
      <c r="H4117">
        <v>1</v>
      </c>
      <c r="I4117">
        <v>212</v>
      </c>
      <c r="J4117">
        <v>0</v>
      </c>
      <c r="K4117" t="str">
        <f t="shared" si="736"/>
        <v>813</v>
      </c>
      <c r="L4117">
        <v>178.08</v>
      </c>
    </row>
    <row r="4118" spans="1:12" x14ac:dyDescent="0.25">
      <c r="A4118" t="str">
        <f t="shared" si="730"/>
        <v>89301000</v>
      </c>
      <c r="B4118" t="str">
        <f t="shared" si="732"/>
        <v>06515000</v>
      </c>
      <c r="C4118" t="str">
        <f t="shared" si="733"/>
        <v>06515006</v>
      </c>
      <c r="D4118">
        <v>89301162</v>
      </c>
      <c r="E4118" t="str">
        <f t="shared" si="734"/>
        <v>8654245798</v>
      </c>
      <c r="F4118" s="1">
        <v>45019</v>
      </c>
      <c r="G4118" t="str">
        <f t="shared" si="735"/>
        <v>91221</v>
      </c>
      <c r="H4118">
        <v>1</v>
      </c>
      <c r="I4118">
        <v>212</v>
      </c>
      <c r="J4118">
        <v>0</v>
      </c>
      <c r="K4118" t="str">
        <f t="shared" si="736"/>
        <v>813</v>
      </c>
      <c r="L4118">
        <v>178.08</v>
      </c>
    </row>
    <row r="4119" spans="1:12" x14ac:dyDescent="0.25">
      <c r="A4119" t="str">
        <f t="shared" si="730"/>
        <v>89301000</v>
      </c>
      <c r="B4119" t="str">
        <f t="shared" si="732"/>
        <v>06515000</v>
      </c>
      <c r="C4119" t="str">
        <f t="shared" si="733"/>
        <v>06515006</v>
      </c>
      <c r="D4119">
        <v>89301162</v>
      </c>
      <c r="E4119" t="str">
        <f t="shared" si="734"/>
        <v>8654245798</v>
      </c>
      <c r="F4119" s="1">
        <v>45019</v>
      </c>
      <c r="G4119" t="str">
        <f t="shared" si="735"/>
        <v>91221</v>
      </c>
      <c r="H4119">
        <v>1</v>
      </c>
      <c r="I4119">
        <v>212</v>
      </c>
      <c r="J4119">
        <v>0</v>
      </c>
      <c r="K4119" t="str">
        <f t="shared" si="736"/>
        <v>813</v>
      </c>
      <c r="L4119">
        <v>178.08</v>
      </c>
    </row>
    <row r="4120" spans="1:12" x14ac:dyDescent="0.25">
      <c r="A4120" t="str">
        <f t="shared" si="730"/>
        <v>89301000</v>
      </c>
      <c r="B4120" t="str">
        <f t="shared" si="732"/>
        <v>06515000</v>
      </c>
      <c r="C4120" t="str">
        <f t="shared" si="733"/>
        <v>06515006</v>
      </c>
      <c r="D4120">
        <v>89301162</v>
      </c>
      <c r="E4120" t="str">
        <f t="shared" si="734"/>
        <v>8654245798</v>
      </c>
      <c r="F4120" s="1">
        <v>45019</v>
      </c>
      <c r="G4120" t="str">
        <f t="shared" si="735"/>
        <v>91221</v>
      </c>
      <c r="H4120">
        <v>1</v>
      </c>
      <c r="I4120">
        <v>212</v>
      </c>
      <c r="J4120">
        <v>0</v>
      </c>
      <c r="K4120" t="str">
        <f t="shared" si="736"/>
        <v>813</v>
      </c>
      <c r="L4120">
        <v>178.08</v>
      </c>
    </row>
    <row r="4121" spans="1:12" x14ac:dyDescent="0.25">
      <c r="A4121" t="str">
        <f t="shared" si="730"/>
        <v>89301000</v>
      </c>
      <c r="B4121" t="str">
        <f t="shared" si="732"/>
        <v>06515000</v>
      </c>
      <c r="C4121" t="str">
        <f t="shared" si="733"/>
        <v>06515006</v>
      </c>
      <c r="D4121">
        <v>89301162</v>
      </c>
      <c r="E4121" t="str">
        <f t="shared" si="734"/>
        <v>8654245798</v>
      </c>
      <c r="F4121" s="1">
        <v>45019</v>
      </c>
      <c r="G4121" t="str">
        <f t="shared" si="735"/>
        <v>91221</v>
      </c>
      <c r="H4121">
        <v>1</v>
      </c>
      <c r="I4121">
        <v>212</v>
      </c>
      <c r="J4121">
        <v>0</v>
      </c>
      <c r="K4121" t="str">
        <f t="shared" si="736"/>
        <v>813</v>
      </c>
      <c r="L4121">
        <v>178.08</v>
      </c>
    </row>
    <row r="4122" spans="1:12" x14ac:dyDescent="0.25">
      <c r="A4122" t="str">
        <f t="shared" si="730"/>
        <v>89301000</v>
      </c>
      <c r="B4122" t="str">
        <f t="shared" si="732"/>
        <v>06515000</v>
      </c>
      <c r="C4122" t="str">
        <f t="shared" si="733"/>
        <v>06515006</v>
      </c>
      <c r="D4122">
        <v>89301162</v>
      </c>
      <c r="E4122" t="str">
        <f t="shared" si="734"/>
        <v>8654245798</v>
      </c>
      <c r="F4122" s="1">
        <v>45019</v>
      </c>
      <c r="G4122" t="str">
        <f t="shared" si="735"/>
        <v>91221</v>
      </c>
      <c r="H4122">
        <v>1</v>
      </c>
      <c r="I4122">
        <v>212</v>
      </c>
      <c r="J4122">
        <v>0</v>
      </c>
      <c r="K4122" t="str">
        <f t="shared" si="736"/>
        <v>813</v>
      </c>
      <c r="L4122">
        <v>178.08</v>
      </c>
    </row>
    <row r="4123" spans="1:12" x14ac:dyDescent="0.25">
      <c r="A4123" t="str">
        <f t="shared" si="730"/>
        <v>89301000</v>
      </c>
      <c r="B4123" t="str">
        <f t="shared" si="732"/>
        <v>06515000</v>
      </c>
      <c r="C4123" t="str">
        <f t="shared" si="733"/>
        <v>06515006</v>
      </c>
      <c r="D4123">
        <v>89301162</v>
      </c>
      <c r="E4123" t="str">
        <f t="shared" si="734"/>
        <v>8654245798</v>
      </c>
      <c r="F4123" s="1">
        <v>45019</v>
      </c>
      <c r="G4123" t="str">
        <f t="shared" si="735"/>
        <v>91221</v>
      </c>
      <c r="H4123">
        <v>1</v>
      </c>
      <c r="I4123">
        <v>212</v>
      </c>
      <c r="J4123">
        <v>0</v>
      </c>
      <c r="K4123" t="str">
        <f t="shared" si="736"/>
        <v>813</v>
      </c>
      <c r="L4123">
        <v>178.08</v>
      </c>
    </row>
    <row r="4124" spans="1:12" x14ac:dyDescent="0.25">
      <c r="A4124" t="str">
        <f t="shared" si="730"/>
        <v>89301000</v>
      </c>
      <c r="B4124" t="str">
        <f t="shared" si="732"/>
        <v>06515000</v>
      </c>
      <c r="C4124" t="str">
        <f t="shared" si="733"/>
        <v>06515006</v>
      </c>
      <c r="D4124">
        <v>89301162</v>
      </c>
      <c r="E4124" t="str">
        <f t="shared" si="734"/>
        <v>8654245798</v>
      </c>
      <c r="F4124" s="1">
        <v>45019</v>
      </c>
      <c r="G4124" t="str">
        <f t="shared" si="735"/>
        <v>91221</v>
      </c>
      <c r="H4124">
        <v>1</v>
      </c>
      <c r="I4124">
        <v>212</v>
      </c>
      <c r="J4124">
        <v>0</v>
      </c>
      <c r="K4124" t="str">
        <f t="shared" si="736"/>
        <v>813</v>
      </c>
      <c r="L4124">
        <v>178.08</v>
      </c>
    </row>
    <row r="4125" spans="1:12" x14ac:dyDescent="0.25">
      <c r="A4125" t="str">
        <f t="shared" si="730"/>
        <v>89301000</v>
      </c>
      <c r="B4125" t="str">
        <f t="shared" si="732"/>
        <v>06515000</v>
      </c>
      <c r="C4125" t="str">
        <f t="shared" si="733"/>
        <v>06515006</v>
      </c>
      <c r="D4125">
        <v>89301162</v>
      </c>
      <c r="E4125" t="str">
        <f t="shared" si="734"/>
        <v>8654245798</v>
      </c>
      <c r="F4125" s="1">
        <v>45019</v>
      </c>
      <c r="G4125" t="str">
        <f t="shared" si="735"/>
        <v>91221</v>
      </c>
      <c r="H4125">
        <v>1</v>
      </c>
      <c r="I4125">
        <v>212</v>
      </c>
      <c r="J4125">
        <v>0</v>
      </c>
      <c r="K4125" t="str">
        <f t="shared" si="736"/>
        <v>813</v>
      </c>
      <c r="L4125">
        <v>178.08</v>
      </c>
    </row>
    <row r="4126" spans="1:12" x14ac:dyDescent="0.25">
      <c r="A4126" t="str">
        <f t="shared" si="730"/>
        <v>89301000</v>
      </c>
      <c r="B4126" t="str">
        <f t="shared" si="732"/>
        <v>06515000</v>
      </c>
      <c r="C4126" t="str">
        <f t="shared" si="733"/>
        <v>06515006</v>
      </c>
      <c r="D4126">
        <v>89301162</v>
      </c>
      <c r="E4126" t="str">
        <f t="shared" si="734"/>
        <v>8654245798</v>
      </c>
      <c r="F4126" s="1">
        <v>45019</v>
      </c>
      <c r="G4126" t="str">
        <f t="shared" si="735"/>
        <v>91221</v>
      </c>
      <c r="H4126">
        <v>1</v>
      </c>
      <c r="I4126">
        <v>212</v>
      </c>
      <c r="J4126">
        <v>0</v>
      </c>
      <c r="K4126" t="str">
        <f t="shared" si="736"/>
        <v>813</v>
      </c>
      <c r="L4126">
        <v>178.08</v>
      </c>
    </row>
    <row r="4127" spans="1:12" x14ac:dyDescent="0.25">
      <c r="A4127" t="str">
        <f t="shared" si="730"/>
        <v>89301000</v>
      </c>
      <c r="B4127" t="str">
        <f t="shared" si="732"/>
        <v>06515000</v>
      </c>
      <c r="C4127" t="str">
        <f t="shared" si="733"/>
        <v>06515006</v>
      </c>
      <c r="D4127">
        <v>89301162</v>
      </c>
      <c r="E4127" t="str">
        <f t="shared" si="734"/>
        <v>8654245798</v>
      </c>
      <c r="F4127" s="1">
        <v>45019</v>
      </c>
      <c r="G4127" t="str">
        <f t="shared" si="735"/>
        <v>91221</v>
      </c>
      <c r="H4127">
        <v>1</v>
      </c>
      <c r="I4127">
        <v>212</v>
      </c>
      <c r="J4127">
        <v>0</v>
      </c>
      <c r="K4127" t="str">
        <f t="shared" si="736"/>
        <v>813</v>
      </c>
      <c r="L4127">
        <v>178.08</v>
      </c>
    </row>
    <row r="4128" spans="1:12" x14ac:dyDescent="0.25">
      <c r="A4128" t="str">
        <f t="shared" si="730"/>
        <v>89301000</v>
      </c>
      <c r="B4128" t="str">
        <f t="shared" si="732"/>
        <v>06515000</v>
      </c>
      <c r="C4128" t="str">
        <f t="shared" si="733"/>
        <v>06515006</v>
      </c>
      <c r="D4128">
        <v>89301162</v>
      </c>
      <c r="E4128" t="str">
        <f t="shared" si="734"/>
        <v>8654245798</v>
      </c>
      <c r="F4128" s="1">
        <v>45019</v>
      </c>
      <c r="G4128" t="str">
        <f t="shared" si="735"/>
        <v>91221</v>
      </c>
      <c r="H4128">
        <v>1</v>
      </c>
      <c r="I4128">
        <v>212</v>
      </c>
      <c r="J4128">
        <v>0</v>
      </c>
      <c r="K4128" t="str">
        <f t="shared" si="736"/>
        <v>813</v>
      </c>
      <c r="L4128">
        <v>178.08</v>
      </c>
    </row>
    <row r="4129" spans="1:12" x14ac:dyDescent="0.25">
      <c r="A4129" t="str">
        <f t="shared" si="730"/>
        <v>89301000</v>
      </c>
      <c r="B4129" t="str">
        <f t="shared" si="732"/>
        <v>06515000</v>
      </c>
      <c r="C4129" t="str">
        <f t="shared" si="733"/>
        <v>06515006</v>
      </c>
      <c r="D4129">
        <v>89301162</v>
      </c>
      <c r="E4129" t="str">
        <f t="shared" si="734"/>
        <v>8654245798</v>
      </c>
      <c r="F4129" s="1">
        <v>45019</v>
      </c>
      <c r="G4129" t="str">
        <f t="shared" si="735"/>
        <v>91221</v>
      </c>
      <c r="H4129">
        <v>1</v>
      </c>
      <c r="I4129">
        <v>212</v>
      </c>
      <c r="J4129">
        <v>0</v>
      </c>
      <c r="K4129" t="str">
        <f t="shared" si="736"/>
        <v>813</v>
      </c>
      <c r="L4129">
        <v>178.08</v>
      </c>
    </row>
    <row r="4130" spans="1:12" x14ac:dyDescent="0.25">
      <c r="A4130" t="str">
        <f t="shared" si="730"/>
        <v>89301000</v>
      </c>
      <c r="B4130" t="str">
        <f t="shared" si="732"/>
        <v>06515000</v>
      </c>
      <c r="C4130" t="str">
        <f t="shared" si="733"/>
        <v>06515006</v>
      </c>
      <c r="D4130">
        <v>89301162</v>
      </c>
      <c r="E4130" t="str">
        <f t="shared" si="734"/>
        <v>8654245798</v>
      </c>
      <c r="F4130" s="1">
        <v>45019</v>
      </c>
      <c r="G4130" t="str">
        <f>"91235"</f>
        <v>91235</v>
      </c>
      <c r="H4130">
        <v>1</v>
      </c>
      <c r="I4130">
        <v>580</v>
      </c>
      <c r="J4130">
        <v>0</v>
      </c>
      <c r="K4130" t="str">
        <f t="shared" si="736"/>
        <v>813</v>
      </c>
      <c r="L4130">
        <v>487.2</v>
      </c>
    </row>
    <row r="4131" spans="1:12" x14ac:dyDescent="0.25">
      <c r="A4131" t="str">
        <f t="shared" si="730"/>
        <v>89301000</v>
      </c>
      <c r="B4131" t="str">
        <f t="shared" si="732"/>
        <v>06515000</v>
      </c>
      <c r="C4131" t="str">
        <f t="shared" si="733"/>
        <v>06515006</v>
      </c>
      <c r="D4131">
        <v>89301162</v>
      </c>
      <c r="E4131" t="str">
        <f t="shared" si="734"/>
        <v>8654245798</v>
      </c>
      <c r="F4131" s="1">
        <v>45019</v>
      </c>
      <c r="G4131" t="str">
        <f>"91221"</f>
        <v>91221</v>
      </c>
      <c r="H4131">
        <v>1</v>
      </c>
      <c r="I4131">
        <v>212</v>
      </c>
      <c r="J4131">
        <v>0</v>
      </c>
      <c r="K4131" t="str">
        <f t="shared" si="736"/>
        <v>813</v>
      </c>
      <c r="L4131">
        <v>178.08</v>
      </c>
    </row>
    <row r="4132" spans="1:12" x14ac:dyDescent="0.25">
      <c r="A4132" t="str">
        <f t="shared" si="730"/>
        <v>89301000</v>
      </c>
      <c r="B4132" t="str">
        <f t="shared" ref="B4132:C4149" si="737">"91970116"</f>
        <v>91970116</v>
      </c>
      <c r="C4132" t="str">
        <f t="shared" si="737"/>
        <v>91970116</v>
      </c>
      <c r="D4132">
        <v>89301167</v>
      </c>
      <c r="E4132" t="str">
        <f t="shared" ref="E4132:E4154" si="738">"530220073"</f>
        <v>530220073</v>
      </c>
      <c r="F4132" s="1">
        <v>45044</v>
      </c>
      <c r="G4132" t="str">
        <f>"97111"</f>
        <v>97111</v>
      </c>
      <c r="H4132">
        <v>1</v>
      </c>
      <c r="I4132">
        <v>19</v>
      </c>
      <c r="J4132">
        <v>0</v>
      </c>
      <c r="K4132" t="str">
        <f t="shared" ref="K4132:K4149" si="739">"801"</f>
        <v>801</v>
      </c>
      <c r="L4132">
        <v>23.94</v>
      </c>
    </row>
    <row r="4133" spans="1:12" x14ac:dyDescent="0.25">
      <c r="A4133" t="str">
        <f t="shared" si="730"/>
        <v>89301000</v>
      </c>
      <c r="B4133" t="str">
        <f t="shared" si="737"/>
        <v>91970116</v>
      </c>
      <c r="C4133" t="str">
        <f t="shared" si="737"/>
        <v>91970116</v>
      </c>
      <c r="D4133">
        <v>89301167</v>
      </c>
      <c r="E4133" t="str">
        <f t="shared" si="738"/>
        <v>530220073</v>
      </c>
      <c r="F4133" s="1">
        <v>45044</v>
      </c>
      <c r="G4133" t="str">
        <f>"81625"</f>
        <v>81625</v>
      </c>
      <c r="H4133">
        <v>1</v>
      </c>
      <c r="I4133">
        <v>21</v>
      </c>
      <c r="J4133">
        <v>0</v>
      </c>
      <c r="K4133" t="str">
        <f t="shared" si="739"/>
        <v>801</v>
      </c>
      <c r="L4133">
        <v>17.64</v>
      </c>
    </row>
    <row r="4134" spans="1:12" x14ac:dyDescent="0.25">
      <c r="A4134" t="str">
        <f t="shared" si="730"/>
        <v>89301000</v>
      </c>
      <c r="B4134" t="str">
        <f t="shared" si="737"/>
        <v>91970116</v>
      </c>
      <c r="C4134" t="str">
        <f t="shared" si="737"/>
        <v>91970116</v>
      </c>
      <c r="D4134">
        <v>89301167</v>
      </c>
      <c r="E4134" t="str">
        <f t="shared" si="738"/>
        <v>530220073</v>
      </c>
      <c r="F4134" s="1">
        <v>45044</v>
      </c>
      <c r="G4134" t="str">
        <f>"81621"</f>
        <v>81621</v>
      </c>
      <c r="H4134">
        <v>1</v>
      </c>
      <c r="I4134">
        <v>19</v>
      </c>
      <c r="J4134">
        <v>0</v>
      </c>
      <c r="K4134" t="str">
        <f t="shared" si="739"/>
        <v>801</v>
      </c>
      <c r="L4134">
        <v>15.96</v>
      </c>
    </row>
    <row r="4135" spans="1:12" x14ac:dyDescent="0.25">
      <c r="A4135" t="str">
        <f t="shared" si="730"/>
        <v>89301000</v>
      </c>
      <c r="B4135" t="str">
        <f t="shared" si="737"/>
        <v>91970116</v>
      </c>
      <c r="C4135" t="str">
        <f t="shared" si="737"/>
        <v>91970116</v>
      </c>
      <c r="D4135">
        <v>89301167</v>
      </c>
      <c r="E4135" t="str">
        <f t="shared" si="738"/>
        <v>530220073</v>
      </c>
      <c r="F4135" s="1">
        <v>45044</v>
      </c>
      <c r="G4135" t="str">
        <f>"81499"</f>
        <v>81499</v>
      </c>
      <c r="H4135">
        <v>1</v>
      </c>
      <c r="I4135">
        <v>18</v>
      </c>
      <c r="J4135">
        <v>0</v>
      </c>
      <c r="K4135" t="str">
        <f t="shared" si="739"/>
        <v>801</v>
      </c>
      <c r="L4135">
        <v>15.12</v>
      </c>
    </row>
    <row r="4136" spans="1:12" x14ac:dyDescent="0.25">
      <c r="A4136" t="str">
        <f t="shared" si="730"/>
        <v>89301000</v>
      </c>
      <c r="B4136" t="str">
        <f t="shared" si="737"/>
        <v>91970116</v>
      </c>
      <c r="C4136" t="str">
        <f t="shared" si="737"/>
        <v>91970116</v>
      </c>
      <c r="D4136">
        <v>89301167</v>
      </c>
      <c r="E4136" t="str">
        <f t="shared" si="738"/>
        <v>530220073</v>
      </c>
      <c r="F4136" s="1">
        <v>45044</v>
      </c>
      <c r="G4136" t="str">
        <f>"81365"</f>
        <v>81365</v>
      </c>
      <c r="H4136">
        <v>1</v>
      </c>
      <c r="I4136">
        <v>16</v>
      </c>
      <c r="J4136">
        <v>0</v>
      </c>
      <c r="K4136" t="str">
        <f t="shared" si="739"/>
        <v>801</v>
      </c>
      <c r="L4136">
        <v>13.44</v>
      </c>
    </row>
    <row r="4137" spans="1:12" x14ac:dyDescent="0.25">
      <c r="A4137" t="str">
        <f t="shared" si="730"/>
        <v>89301000</v>
      </c>
      <c r="B4137" t="str">
        <f t="shared" si="737"/>
        <v>91970116</v>
      </c>
      <c r="C4137" t="str">
        <f t="shared" si="737"/>
        <v>91970116</v>
      </c>
      <c r="D4137">
        <v>89301167</v>
      </c>
      <c r="E4137" t="str">
        <f t="shared" si="738"/>
        <v>530220073</v>
      </c>
      <c r="F4137" s="1">
        <v>45044</v>
      </c>
      <c r="G4137" t="str">
        <f>"81329"</f>
        <v>81329</v>
      </c>
      <c r="H4137">
        <v>1</v>
      </c>
      <c r="I4137">
        <v>17</v>
      </c>
      <c r="J4137">
        <v>0</v>
      </c>
      <c r="K4137" t="str">
        <f t="shared" si="739"/>
        <v>801</v>
      </c>
      <c r="L4137">
        <v>14.28</v>
      </c>
    </row>
    <row r="4138" spans="1:12" x14ac:dyDescent="0.25">
      <c r="A4138" t="str">
        <f t="shared" si="730"/>
        <v>89301000</v>
      </c>
      <c r="B4138" t="str">
        <f t="shared" si="737"/>
        <v>91970116</v>
      </c>
      <c r="C4138" t="str">
        <f t="shared" si="737"/>
        <v>91970116</v>
      </c>
      <c r="D4138">
        <v>89301167</v>
      </c>
      <c r="E4138" t="str">
        <f t="shared" si="738"/>
        <v>530220073</v>
      </c>
      <c r="F4138" s="1">
        <v>45044</v>
      </c>
      <c r="G4138" t="str">
        <f>"81361"</f>
        <v>81361</v>
      </c>
      <c r="H4138">
        <v>1</v>
      </c>
      <c r="I4138">
        <v>17</v>
      </c>
      <c r="J4138">
        <v>0</v>
      </c>
      <c r="K4138" t="str">
        <f t="shared" si="739"/>
        <v>801</v>
      </c>
      <c r="L4138">
        <v>14.28</v>
      </c>
    </row>
    <row r="4139" spans="1:12" x14ac:dyDescent="0.25">
      <c r="A4139" t="str">
        <f t="shared" si="730"/>
        <v>89301000</v>
      </c>
      <c r="B4139" t="str">
        <f t="shared" si="737"/>
        <v>91970116</v>
      </c>
      <c r="C4139" t="str">
        <f t="shared" si="737"/>
        <v>91970116</v>
      </c>
      <c r="D4139">
        <v>89301167</v>
      </c>
      <c r="E4139" t="str">
        <f t="shared" si="738"/>
        <v>530220073</v>
      </c>
      <c r="F4139" s="1">
        <v>45044</v>
      </c>
      <c r="G4139" t="str">
        <f>"81337"</f>
        <v>81337</v>
      </c>
      <c r="H4139">
        <v>1</v>
      </c>
      <c r="I4139">
        <v>20</v>
      </c>
      <c r="J4139">
        <v>0</v>
      </c>
      <c r="K4139" t="str">
        <f t="shared" si="739"/>
        <v>801</v>
      </c>
      <c r="L4139">
        <v>16.8</v>
      </c>
    </row>
    <row r="4140" spans="1:12" x14ac:dyDescent="0.25">
      <c r="A4140" t="str">
        <f t="shared" si="730"/>
        <v>89301000</v>
      </c>
      <c r="B4140" t="str">
        <f t="shared" si="737"/>
        <v>91970116</v>
      </c>
      <c r="C4140" t="str">
        <f t="shared" si="737"/>
        <v>91970116</v>
      </c>
      <c r="D4140">
        <v>89301167</v>
      </c>
      <c r="E4140" t="str">
        <f t="shared" si="738"/>
        <v>530220073</v>
      </c>
      <c r="F4140" s="1">
        <v>45044</v>
      </c>
      <c r="G4140" t="str">
        <f>"81357"</f>
        <v>81357</v>
      </c>
      <c r="H4140">
        <v>1</v>
      </c>
      <c r="I4140">
        <v>20</v>
      </c>
      <c r="J4140">
        <v>0</v>
      </c>
      <c r="K4140" t="str">
        <f t="shared" si="739"/>
        <v>801</v>
      </c>
      <c r="L4140">
        <v>16.8</v>
      </c>
    </row>
    <row r="4141" spans="1:12" x14ac:dyDescent="0.25">
      <c r="A4141" t="str">
        <f t="shared" si="730"/>
        <v>89301000</v>
      </c>
      <c r="B4141" t="str">
        <f t="shared" si="737"/>
        <v>91970116</v>
      </c>
      <c r="C4141" t="str">
        <f t="shared" si="737"/>
        <v>91970116</v>
      </c>
      <c r="D4141">
        <v>89301167</v>
      </c>
      <c r="E4141" t="str">
        <f t="shared" si="738"/>
        <v>530220073</v>
      </c>
      <c r="F4141" s="1">
        <v>45044</v>
      </c>
      <c r="G4141" t="str">
        <f>"81421"</f>
        <v>81421</v>
      </c>
      <c r="H4141">
        <v>1</v>
      </c>
      <c r="I4141">
        <v>19</v>
      </c>
      <c r="J4141">
        <v>0</v>
      </c>
      <c r="K4141" t="str">
        <f t="shared" si="739"/>
        <v>801</v>
      </c>
      <c r="L4141">
        <v>15.96</v>
      </c>
    </row>
    <row r="4142" spans="1:12" x14ac:dyDescent="0.25">
      <c r="A4142" t="str">
        <f t="shared" si="730"/>
        <v>89301000</v>
      </c>
      <c r="B4142" t="str">
        <f t="shared" si="737"/>
        <v>91970116</v>
      </c>
      <c r="C4142" t="str">
        <f t="shared" si="737"/>
        <v>91970116</v>
      </c>
      <c r="D4142">
        <v>89301167</v>
      </c>
      <c r="E4142" t="str">
        <f t="shared" si="738"/>
        <v>530220073</v>
      </c>
      <c r="F4142" s="1">
        <v>45044</v>
      </c>
      <c r="G4142" t="str">
        <f>"81435"</f>
        <v>81435</v>
      </c>
      <c r="H4142">
        <v>1</v>
      </c>
      <c r="I4142">
        <v>22</v>
      </c>
      <c r="J4142">
        <v>0</v>
      </c>
      <c r="K4142" t="str">
        <f t="shared" si="739"/>
        <v>801</v>
      </c>
      <c r="L4142">
        <v>18.48</v>
      </c>
    </row>
    <row r="4143" spans="1:12" x14ac:dyDescent="0.25">
      <c r="A4143" t="str">
        <f t="shared" si="730"/>
        <v>89301000</v>
      </c>
      <c r="B4143" t="str">
        <f t="shared" si="737"/>
        <v>91970116</v>
      </c>
      <c r="C4143" t="str">
        <f t="shared" si="737"/>
        <v>91970116</v>
      </c>
      <c r="D4143">
        <v>89301167</v>
      </c>
      <c r="E4143" t="str">
        <f t="shared" si="738"/>
        <v>530220073</v>
      </c>
      <c r="F4143" s="1">
        <v>45044</v>
      </c>
      <c r="G4143" t="str">
        <f>"81439"</f>
        <v>81439</v>
      </c>
      <c r="H4143">
        <v>1</v>
      </c>
      <c r="I4143">
        <v>16</v>
      </c>
      <c r="J4143">
        <v>0</v>
      </c>
      <c r="K4143" t="str">
        <f t="shared" si="739"/>
        <v>801</v>
      </c>
      <c r="L4143">
        <v>13.44</v>
      </c>
    </row>
    <row r="4144" spans="1:12" x14ac:dyDescent="0.25">
      <c r="A4144" t="str">
        <f t="shared" si="730"/>
        <v>89301000</v>
      </c>
      <c r="B4144" t="str">
        <f t="shared" si="737"/>
        <v>91970116</v>
      </c>
      <c r="C4144" t="str">
        <f t="shared" si="737"/>
        <v>91970116</v>
      </c>
      <c r="D4144">
        <v>89301167</v>
      </c>
      <c r="E4144" t="str">
        <f t="shared" si="738"/>
        <v>530220073</v>
      </c>
      <c r="F4144" s="1">
        <v>45044</v>
      </c>
      <c r="G4144" t="str">
        <f>"91153"</f>
        <v>91153</v>
      </c>
      <c r="H4144">
        <v>1</v>
      </c>
      <c r="I4144">
        <v>153</v>
      </c>
      <c r="J4144">
        <v>0</v>
      </c>
      <c r="K4144" t="str">
        <f t="shared" si="739"/>
        <v>801</v>
      </c>
      <c r="L4144">
        <v>128.52000000000001</v>
      </c>
    </row>
    <row r="4145" spans="1:12" x14ac:dyDescent="0.25">
      <c r="A4145" t="str">
        <f t="shared" si="730"/>
        <v>89301000</v>
      </c>
      <c r="B4145" t="str">
        <f t="shared" si="737"/>
        <v>91970116</v>
      </c>
      <c r="C4145" t="str">
        <f t="shared" si="737"/>
        <v>91970116</v>
      </c>
      <c r="D4145">
        <v>89301167</v>
      </c>
      <c r="E4145" t="str">
        <f t="shared" si="738"/>
        <v>530220073</v>
      </c>
      <c r="F4145" s="1">
        <v>45044</v>
      </c>
      <c r="G4145" t="str">
        <f>"81511"</f>
        <v>81511</v>
      </c>
      <c r="H4145">
        <v>1</v>
      </c>
      <c r="I4145">
        <v>10</v>
      </c>
      <c r="J4145">
        <v>0</v>
      </c>
      <c r="K4145" t="str">
        <f t="shared" si="739"/>
        <v>801</v>
      </c>
      <c r="L4145">
        <v>8.4</v>
      </c>
    </row>
    <row r="4146" spans="1:12" x14ac:dyDescent="0.25">
      <c r="A4146" t="str">
        <f t="shared" si="730"/>
        <v>89301000</v>
      </c>
      <c r="B4146" t="str">
        <f t="shared" si="737"/>
        <v>91970116</v>
      </c>
      <c r="C4146" t="str">
        <f t="shared" si="737"/>
        <v>91970116</v>
      </c>
      <c r="D4146">
        <v>89301167</v>
      </c>
      <c r="E4146" t="str">
        <f t="shared" si="738"/>
        <v>530220073</v>
      </c>
      <c r="F4146" s="1">
        <v>45044</v>
      </c>
      <c r="G4146" t="str">
        <f>"81593"</f>
        <v>81593</v>
      </c>
      <c r="H4146">
        <v>1</v>
      </c>
      <c r="I4146">
        <v>22</v>
      </c>
      <c r="J4146">
        <v>0</v>
      </c>
      <c r="K4146" t="str">
        <f t="shared" si="739"/>
        <v>801</v>
      </c>
      <c r="L4146">
        <v>18.48</v>
      </c>
    </row>
    <row r="4147" spans="1:12" x14ac:dyDescent="0.25">
      <c r="A4147" t="str">
        <f t="shared" si="730"/>
        <v>89301000</v>
      </c>
      <c r="B4147" t="str">
        <f t="shared" si="737"/>
        <v>91970116</v>
      </c>
      <c r="C4147" t="str">
        <f t="shared" si="737"/>
        <v>91970116</v>
      </c>
      <c r="D4147">
        <v>89301167</v>
      </c>
      <c r="E4147" t="str">
        <f t="shared" si="738"/>
        <v>530220073</v>
      </c>
      <c r="F4147" s="1">
        <v>45044</v>
      </c>
      <c r="G4147" t="str">
        <f>"81393"</f>
        <v>81393</v>
      </c>
      <c r="H4147">
        <v>1</v>
      </c>
      <c r="I4147">
        <v>24</v>
      </c>
      <c r="J4147">
        <v>0</v>
      </c>
      <c r="K4147" t="str">
        <f t="shared" si="739"/>
        <v>801</v>
      </c>
      <c r="L4147">
        <v>20.16</v>
      </c>
    </row>
    <row r="4148" spans="1:12" x14ac:dyDescent="0.25">
      <c r="A4148" t="str">
        <f t="shared" si="730"/>
        <v>89301000</v>
      </c>
      <c r="B4148" t="str">
        <f t="shared" si="737"/>
        <v>91970116</v>
      </c>
      <c r="C4148" t="str">
        <f t="shared" si="737"/>
        <v>91970116</v>
      </c>
      <c r="D4148">
        <v>89301167</v>
      </c>
      <c r="E4148" t="str">
        <f t="shared" si="738"/>
        <v>530220073</v>
      </c>
      <c r="F4148" s="1">
        <v>45044</v>
      </c>
      <c r="G4148" t="str">
        <f>"81469"</f>
        <v>81469</v>
      </c>
      <c r="H4148">
        <v>1</v>
      </c>
      <c r="I4148">
        <v>16</v>
      </c>
      <c r="J4148">
        <v>0</v>
      </c>
      <c r="K4148" t="str">
        <f t="shared" si="739"/>
        <v>801</v>
      </c>
      <c r="L4148">
        <v>13.44</v>
      </c>
    </row>
    <row r="4149" spans="1:12" x14ac:dyDescent="0.25">
      <c r="A4149" t="str">
        <f t="shared" si="730"/>
        <v>89301000</v>
      </c>
      <c r="B4149" t="str">
        <f t="shared" si="737"/>
        <v>91970116</v>
      </c>
      <c r="C4149" t="str">
        <f t="shared" si="737"/>
        <v>91970116</v>
      </c>
      <c r="D4149">
        <v>89301167</v>
      </c>
      <c r="E4149" t="str">
        <f t="shared" si="738"/>
        <v>530220073</v>
      </c>
      <c r="F4149" s="1">
        <v>45044</v>
      </c>
      <c r="G4149" t="str">
        <f>"81249"</f>
        <v>81249</v>
      </c>
      <c r="H4149">
        <v>1</v>
      </c>
      <c r="I4149">
        <v>334</v>
      </c>
      <c r="J4149">
        <v>0</v>
      </c>
      <c r="K4149" t="str">
        <f t="shared" si="739"/>
        <v>801</v>
      </c>
      <c r="L4149">
        <v>280.56</v>
      </c>
    </row>
    <row r="4150" spans="1:12" x14ac:dyDescent="0.25">
      <c r="A4150" t="str">
        <f t="shared" si="730"/>
        <v>89301000</v>
      </c>
      <c r="B4150" t="str">
        <f>"91970116"</f>
        <v>91970116</v>
      </c>
      <c r="C4150" t="str">
        <f>"91970115"</f>
        <v>91970115</v>
      </c>
      <c r="D4150">
        <v>89301167</v>
      </c>
      <c r="E4150" t="str">
        <f t="shared" si="738"/>
        <v>530220073</v>
      </c>
      <c r="F4150" s="1">
        <v>45044</v>
      </c>
      <c r="G4150" t="str">
        <f>"09119"</f>
        <v>09119</v>
      </c>
      <c r="H4150">
        <v>1</v>
      </c>
      <c r="I4150">
        <v>43</v>
      </c>
      <c r="J4150">
        <v>0</v>
      </c>
      <c r="K4150" t="str">
        <f>"818"</f>
        <v>818</v>
      </c>
      <c r="L4150">
        <v>54.18</v>
      </c>
    </row>
    <row r="4151" spans="1:12" x14ac:dyDescent="0.25">
      <c r="A4151" t="str">
        <f t="shared" si="730"/>
        <v>89301000</v>
      </c>
      <c r="B4151" t="str">
        <f>"91970116"</f>
        <v>91970116</v>
      </c>
      <c r="C4151" t="str">
        <f>"91970115"</f>
        <v>91970115</v>
      </c>
      <c r="D4151">
        <v>89301167</v>
      </c>
      <c r="E4151" t="str">
        <f t="shared" si="738"/>
        <v>530220073</v>
      </c>
      <c r="F4151" s="1">
        <v>45044</v>
      </c>
      <c r="G4151" t="str">
        <f>"96163"</f>
        <v>96163</v>
      </c>
      <c r="H4151">
        <v>1</v>
      </c>
      <c r="I4151">
        <v>28</v>
      </c>
      <c r="J4151">
        <v>0</v>
      </c>
      <c r="K4151" t="str">
        <f>"818"</f>
        <v>818</v>
      </c>
      <c r="L4151">
        <v>27.16</v>
      </c>
    </row>
    <row r="4152" spans="1:12" x14ac:dyDescent="0.25">
      <c r="A4152" t="str">
        <f t="shared" si="730"/>
        <v>89301000</v>
      </c>
      <c r="B4152" t="str">
        <f>"91970116"</f>
        <v>91970116</v>
      </c>
      <c r="C4152" t="str">
        <f>"91970115"</f>
        <v>91970115</v>
      </c>
      <c r="D4152">
        <v>89301167</v>
      </c>
      <c r="E4152" t="str">
        <f t="shared" si="738"/>
        <v>530220073</v>
      </c>
      <c r="F4152" s="1">
        <v>45044</v>
      </c>
      <c r="G4152" t="str">
        <f>"96315"</f>
        <v>96315</v>
      </c>
      <c r="H4152">
        <v>1</v>
      </c>
      <c r="I4152">
        <v>30</v>
      </c>
      <c r="J4152">
        <v>0</v>
      </c>
      <c r="K4152" t="str">
        <f>"818"</f>
        <v>818</v>
      </c>
      <c r="L4152">
        <v>29.1</v>
      </c>
    </row>
    <row r="4153" spans="1:12" x14ac:dyDescent="0.25">
      <c r="A4153" t="str">
        <f t="shared" si="730"/>
        <v>89301000</v>
      </c>
      <c r="B4153" t="str">
        <f>"91970116"</f>
        <v>91970116</v>
      </c>
      <c r="C4153" t="str">
        <f>"91970115"</f>
        <v>91970115</v>
      </c>
      <c r="D4153">
        <v>89301167</v>
      </c>
      <c r="E4153" t="str">
        <f t="shared" si="738"/>
        <v>530220073</v>
      </c>
      <c r="F4153" s="1">
        <v>45044</v>
      </c>
      <c r="G4153" t="str">
        <f>"96711"</f>
        <v>96711</v>
      </c>
      <c r="H4153">
        <v>1</v>
      </c>
      <c r="I4153">
        <v>28</v>
      </c>
      <c r="J4153">
        <v>0</v>
      </c>
      <c r="K4153" t="str">
        <f>"818"</f>
        <v>818</v>
      </c>
      <c r="L4153">
        <v>27.16</v>
      </c>
    </row>
    <row r="4154" spans="1:12" x14ac:dyDescent="0.25">
      <c r="A4154" t="str">
        <f t="shared" si="730"/>
        <v>89301000</v>
      </c>
      <c r="B4154" t="str">
        <f>"91970116"</f>
        <v>91970116</v>
      </c>
      <c r="C4154" t="str">
        <f>"91970115"</f>
        <v>91970115</v>
      </c>
      <c r="D4154">
        <v>89301167</v>
      </c>
      <c r="E4154" t="str">
        <f t="shared" si="738"/>
        <v>530220073</v>
      </c>
      <c r="F4154" s="1">
        <v>45044</v>
      </c>
      <c r="G4154" t="str">
        <f>"96713"</f>
        <v>96713</v>
      </c>
      <c r="H4154">
        <v>1</v>
      </c>
      <c r="I4154">
        <v>14</v>
      </c>
      <c r="J4154">
        <v>0</v>
      </c>
      <c r="K4154" t="str">
        <f>"818"</f>
        <v>818</v>
      </c>
      <c r="L4154">
        <v>13.58</v>
      </c>
    </row>
    <row r="4155" spans="1:12" x14ac:dyDescent="0.25">
      <c r="A4155" t="str">
        <f t="shared" si="730"/>
        <v>89301000</v>
      </c>
      <c r="B4155" t="str">
        <f t="shared" ref="B4155:B4186" si="740">"91866000"</f>
        <v>91866000</v>
      </c>
      <c r="C4155" t="str">
        <f t="shared" ref="C4155:C4186" si="741">"91866313"</f>
        <v>91866313</v>
      </c>
      <c r="D4155">
        <v>89301704</v>
      </c>
      <c r="E4155" t="str">
        <f>"1710131863"</f>
        <v>1710131863</v>
      </c>
      <c r="F4155" s="1">
        <v>45017</v>
      </c>
      <c r="G4155" t="str">
        <f t="shared" ref="G4155:G4160" si="742">"82087"</f>
        <v>82087</v>
      </c>
      <c r="H4155">
        <v>1</v>
      </c>
      <c r="I4155">
        <v>53</v>
      </c>
      <c r="J4155">
        <v>0</v>
      </c>
      <c r="K4155" t="str">
        <f t="shared" ref="K4155:K4186" si="743">"802"</f>
        <v>802</v>
      </c>
      <c r="L4155">
        <v>51.41</v>
      </c>
    </row>
    <row r="4156" spans="1:12" x14ac:dyDescent="0.25">
      <c r="A4156" t="str">
        <f t="shared" si="730"/>
        <v>89301000</v>
      </c>
      <c r="B4156" t="str">
        <f t="shared" si="740"/>
        <v>91866000</v>
      </c>
      <c r="C4156" t="str">
        <f t="shared" si="741"/>
        <v>91866313</v>
      </c>
      <c r="D4156">
        <v>89301704</v>
      </c>
      <c r="E4156" t="str">
        <f>"1710131863"</f>
        <v>1710131863</v>
      </c>
      <c r="F4156" s="1">
        <v>45017</v>
      </c>
      <c r="G4156" t="str">
        <f t="shared" si="742"/>
        <v>82087</v>
      </c>
      <c r="H4156">
        <v>1</v>
      </c>
      <c r="I4156">
        <v>53</v>
      </c>
      <c r="J4156">
        <v>0</v>
      </c>
      <c r="K4156" t="str">
        <f t="shared" si="743"/>
        <v>802</v>
      </c>
      <c r="L4156">
        <v>51.41</v>
      </c>
    </row>
    <row r="4157" spans="1:12" x14ac:dyDescent="0.25">
      <c r="A4157" t="str">
        <f t="shared" si="730"/>
        <v>89301000</v>
      </c>
      <c r="B4157" t="str">
        <f t="shared" si="740"/>
        <v>91866000</v>
      </c>
      <c r="C4157" t="str">
        <f t="shared" si="741"/>
        <v>91866313</v>
      </c>
      <c r="D4157">
        <v>89301704</v>
      </c>
      <c r="E4157" t="str">
        <f>"0660265265"</f>
        <v>0660265265</v>
      </c>
      <c r="F4157" s="1">
        <v>45017</v>
      </c>
      <c r="G4157" t="str">
        <f t="shared" si="742"/>
        <v>82087</v>
      </c>
      <c r="H4157">
        <v>1</v>
      </c>
      <c r="I4157">
        <v>53</v>
      </c>
      <c r="J4157">
        <v>0</v>
      </c>
      <c r="K4157" t="str">
        <f t="shared" si="743"/>
        <v>802</v>
      </c>
      <c r="L4157">
        <v>51.41</v>
      </c>
    </row>
    <row r="4158" spans="1:12" x14ac:dyDescent="0.25">
      <c r="A4158" t="str">
        <f t="shared" si="730"/>
        <v>89301000</v>
      </c>
      <c r="B4158" t="str">
        <f t="shared" si="740"/>
        <v>91866000</v>
      </c>
      <c r="C4158" t="str">
        <f t="shared" si="741"/>
        <v>91866313</v>
      </c>
      <c r="D4158">
        <v>89301704</v>
      </c>
      <c r="E4158" t="str">
        <f>"0660265265"</f>
        <v>0660265265</v>
      </c>
      <c r="F4158" s="1">
        <v>45017</v>
      </c>
      <c r="G4158" t="str">
        <f t="shared" si="742"/>
        <v>82087</v>
      </c>
      <c r="H4158">
        <v>1</v>
      </c>
      <c r="I4158">
        <v>53</v>
      </c>
      <c r="J4158">
        <v>0</v>
      </c>
      <c r="K4158" t="str">
        <f t="shared" si="743"/>
        <v>802</v>
      </c>
      <c r="L4158">
        <v>51.41</v>
      </c>
    </row>
    <row r="4159" spans="1:12" x14ac:dyDescent="0.25">
      <c r="A4159" t="str">
        <f t="shared" si="730"/>
        <v>89301000</v>
      </c>
      <c r="B4159" t="str">
        <f t="shared" si="740"/>
        <v>91866000</v>
      </c>
      <c r="C4159" t="str">
        <f t="shared" si="741"/>
        <v>91866313</v>
      </c>
      <c r="D4159">
        <v>89301704</v>
      </c>
      <c r="E4159" t="str">
        <f>"0954021409"</f>
        <v>0954021409</v>
      </c>
      <c r="F4159" s="1">
        <v>45017</v>
      </c>
      <c r="G4159" t="str">
        <f t="shared" si="742"/>
        <v>82087</v>
      </c>
      <c r="H4159">
        <v>1</v>
      </c>
      <c r="I4159">
        <v>53</v>
      </c>
      <c r="J4159">
        <v>0</v>
      </c>
      <c r="K4159" t="str">
        <f t="shared" si="743"/>
        <v>802</v>
      </c>
      <c r="L4159">
        <v>51.41</v>
      </c>
    </row>
    <row r="4160" spans="1:12" x14ac:dyDescent="0.25">
      <c r="A4160" t="str">
        <f t="shared" si="730"/>
        <v>89301000</v>
      </c>
      <c r="B4160" t="str">
        <f t="shared" si="740"/>
        <v>91866000</v>
      </c>
      <c r="C4160" t="str">
        <f t="shared" si="741"/>
        <v>91866313</v>
      </c>
      <c r="D4160">
        <v>89301704</v>
      </c>
      <c r="E4160" t="str">
        <f>"0954021409"</f>
        <v>0954021409</v>
      </c>
      <c r="F4160" s="1">
        <v>45017</v>
      </c>
      <c r="G4160" t="str">
        <f t="shared" si="742"/>
        <v>82087</v>
      </c>
      <c r="H4160">
        <v>1</v>
      </c>
      <c r="I4160">
        <v>53</v>
      </c>
      <c r="J4160">
        <v>0</v>
      </c>
      <c r="K4160" t="str">
        <f t="shared" si="743"/>
        <v>802</v>
      </c>
      <c r="L4160">
        <v>51.41</v>
      </c>
    </row>
    <row r="4161" spans="1:12" x14ac:dyDescent="0.25">
      <c r="A4161" t="str">
        <f t="shared" si="730"/>
        <v>89301000</v>
      </c>
      <c r="B4161" t="str">
        <f t="shared" si="740"/>
        <v>91866000</v>
      </c>
      <c r="C4161" t="str">
        <f t="shared" si="741"/>
        <v>91866313</v>
      </c>
      <c r="D4161">
        <v>89301522</v>
      </c>
      <c r="E4161" t="str">
        <f>"8856025871"</f>
        <v>8856025871</v>
      </c>
      <c r="F4161" s="1">
        <v>45020</v>
      </c>
      <c r="G4161" t="str">
        <f>"97111"</f>
        <v>97111</v>
      </c>
      <c r="H4161">
        <v>1</v>
      </c>
      <c r="I4161">
        <v>19</v>
      </c>
      <c r="J4161">
        <v>0</v>
      </c>
      <c r="K4161" t="str">
        <f t="shared" si="743"/>
        <v>802</v>
      </c>
      <c r="L4161">
        <v>23.94</v>
      </c>
    </row>
    <row r="4162" spans="1:12" x14ac:dyDescent="0.25">
      <c r="A4162" t="str">
        <f t="shared" ref="A4162:A4225" si="744">"89301000"</f>
        <v>89301000</v>
      </c>
      <c r="B4162" t="str">
        <f t="shared" si="740"/>
        <v>91866000</v>
      </c>
      <c r="C4162" t="str">
        <f t="shared" si="741"/>
        <v>91866313</v>
      </c>
      <c r="D4162">
        <v>89301522</v>
      </c>
      <c r="E4162" t="str">
        <f>"8856025871"</f>
        <v>8856025871</v>
      </c>
      <c r="F4162" s="1">
        <v>45020</v>
      </c>
      <c r="G4162" t="str">
        <f>"82113"</f>
        <v>82113</v>
      </c>
      <c r="H4162">
        <v>2</v>
      </c>
      <c r="I4162">
        <v>726</v>
      </c>
      <c r="J4162">
        <v>0</v>
      </c>
      <c r="K4162" t="str">
        <f t="shared" si="743"/>
        <v>802</v>
      </c>
      <c r="L4162">
        <v>704.22</v>
      </c>
    </row>
    <row r="4163" spans="1:12" x14ac:dyDescent="0.25">
      <c r="A4163" t="str">
        <f t="shared" si="744"/>
        <v>89301000</v>
      </c>
      <c r="B4163" t="str">
        <f t="shared" si="740"/>
        <v>91866000</v>
      </c>
      <c r="C4163" t="str">
        <f t="shared" si="741"/>
        <v>91866313</v>
      </c>
      <c r="D4163">
        <v>89301522</v>
      </c>
      <c r="E4163" t="str">
        <f>"8856025871"</f>
        <v>8856025871</v>
      </c>
      <c r="F4163" s="1">
        <v>45020</v>
      </c>
      <c r="G4163" t="str">
        <f>"82113"</f>
        <v>82113</v>
      </c>
      <c r="H4163">
        <v>2</v>
      </c>
      <c r="I4163">
        <v>726</v>
      </c>
      <c r="J4163">
        <v>0</v>
      </c>
      <c r="K4163" t="str">
        <f t="shared" si="743"/>
        <v>802</v>
      </c>
      <c r="L4163">
        <v>704.22</v>
      </c>
    </row>
    <row r="4164" spans="1:12" x14ac:dyDescent="0.25">
      <c r="A4164" t="str">
        <f t="shared" si="744"/>
        <v>89301000</v>
      </c>
      <c r="B4164" t="str">
        <f t="shared" si="740"/>
        <v>91866000</v>
      </c>
      <c r="C4164" t="str">
        <f t="shared" si="741"/>
        <v>91866313</v>
      </c>
      <c r="D4164">
        <v>89301107</v>
      </c>
      <c r="E4164" t="str">
        <f>"0508076151"</f>
        <v>0508076151</v>
      </c>
      <c r="F4164" s="1">
        <v>45042</v>
      </c>
      <c r="G4164" t="str">
        <f>"82079"</f>
        <v>82079</v>
      </c>
      <c r="H4164">
        <v>1</v>
      </c>
      <c r="I4164">
        <v>333</v>
      </c>
      <c r="J4164">
        <v>0</v>
      </c>
      <c r="K4164" t="str">
        <f t="shared" si="743"/>
        <v>802</v>
      </c>
      <c r="L4164">
        <v>323.01</v>
      </c>
    </row>
    <row r="4165" spans="1:12" x14ac:dyDescent="0.25">
      <c r="A4165" t="str">
        <f t="shared" si="744"/>
        <v>89301000</v>
      </c>
      <c r="B4165" t="str">
        <f t="shared" si="740"/>
        <v>91866000</v>
      </c>
      <c r="C4165" t="str">
        <f t="shared" si="741"/>
        <v>91866313</v>
      </c>
      <c r="D4165">
        <v>89301107</v>
      </c>
      <c r="E4165" t="str">
        <f>"0508076151"</f>
        <v>0508076151</v>
      </c>
      <c r="F4165" s="1">
        <v>45042</v>
      </c>
      <c r="G4165" t="str">
        <f>"82079"</f>
        <v>82079</v>
      </c>
      <c r="H4165">
        <v>1</v>
      </c>
      <c r="I4165">
        <v>333</v>
      </c>
      <c r="J4165">
        <v>0</v>
      </c>
      <c r="K4165" t="str">
        <f t="shared" si="743"/>
        <v>802</v>
      </c>
      <c r="L4165">
        <v>323.01</v>
      </c>
    </row>
    <row r="4166" spans="1:12" x14ac:dyDescent="0.25">
      <c r="A4166" t="str">
        <f t="shared" si="744"/>
        <v>89301000</v>
      </c>
      <c r="B4166" t="str">
        <f t="shared" si="740"/>
        <v>91866000</v>
      </c>
      <c r="C4166" t="str">
        <f t="shared" si="741"/>
        <v>91866313</v>
      </c>
      <c r="D4166">
        <v>89301107</v>
      </c>
      <c r="E4166" t="str">
        <f>"0508076151"</f>
        <v>0508076151</v>
      </c>
      <c r="F4166" s="1">
        <v>45042</v>
      </c>
      <c r="G4166" t="str">
        <f>"82079"</f>
        <v>82079</v>
      </c>
      <c r="H4166">
        <v>1</v>
      </c>
      <c r="I4166">
        <v>333</v>
      </c>
      <c r="J4166">
        <v>0</v>
      </c>
      <c r="K4166" t="str">
        <f t="shared" si="743"/>
        <v>802</v>
      </c>
      <c r="L4166">
        <v>323.01</v>
      </c>
    </row>
    <row r="4167" spans="1:12" x14ac:dyDescent="0.25">
      <c r="A4167" t="str">
        <f t="shared" si="744"/>
        <v>89301000</v>
      </c>
      <c r="B4167" t="str">
        <f t="shared" si="740"/>
        <v>91866000</v>
      </c>
      <c r="C4167" t="str">
        <f t="shared" si="741"/>
        <v>91866313</v>
      </c>
      <c r="D4167">
        <v>89301107</v>
      </c>
      <c r="E4167" t="str">
        <f>"0508076151"</f>
        <v>0508076151</v>
      </c>
      <c r="F4167" s="1">
        <v>45042</v>
      </c>
      <c r="G4167" t="str">
        <f>"82079"</f>
        <v>82079</v>
      </c>
      <c r="H4167">
        <v>1</v>
      </c>
      <c r="I4167">
        <v>333</v>
      </c>
      <c r="J4167">
        <v>0</v>
      </c>
      <c r="K4167" t="str">
        <f t="shared" si="743"/>
        <v>802</v>
      </c>
      <c r="L4167">
        <v>323.01</v>
      </c>
    </row>
    <row r="4168" spans="1:12" x14ac:dyDescent="0.25">
      <c r="A4168" t="str">
        <f t="shared" si="744"/>
        <v>89301000</v>
      </c>
      <c r="B4168" t="str">
        <f t="shared" si="740"/>
        <v>91866000</v>
      </c>
      <c r="C4168" t="str">
        <f t="shared" si="741"/>
        <v>91866313</v>
      </c>
      <c r="D4168">
        <v>89301704</v>
      </c>
      <c r="E4168" t="str">
        <f t="shared" ref="E4168:E4173" si="745">"1507020009"</f>
        <v>1507020009</v>
      </c>
      <c r="F4168" s="1">
        <v>45045</v>
      </c>
      <c r="G4168" t="str">
        <f t="shared" ref="G4168:G4191" si="746">"82087"</f>
        <v>82087</v>
      </c>
      <c r="H4168">
        <v>1</v>
      </c>
      <c r="I4168">
        <v>53</v>
      </c>
      <c r="J4168">
        <v>0</v>
      </c>
      <c r="K4168" t="str">
        <f t="shared" si="743"/>
        <v>802</v>
      </c>
      <c r="L4168">
        <v>51.41</v>
      </c>
    </row>
    <row r="4169" spans="1:12" x14ac:dyDescent="0.25">
      <c r="A4169" t="str">
        <f t="shared" si="744"/>
        <v>89301000</v>
      </c>
      <c r="B4169" t="str">
        <f t="shared" si="740"/>
        <v>91866000</v>
      </c>
      <c r="C4169" t="str">
        <f t="shared" si="741"/>
        <v>91866313</v>
      </c>
      <c r="D4169">
        <v>89301704</v>
      </c>
      <c r="E4169" t="str">
        <f t="shared" si="745"/>
        <v>1507020009</v>
      </c>
      <c r="F4169" s="1">
        <v>45044</v>
      </c>
      <c r="G4169" t="str">
        <f t="shared" si="746"/>
        <v>82087</v>
      </c>
      <c r="H4169">
        <v>1</v>
      </c>
      <c r="I4169">
        <v>53</v>
      </c>
      <c r="J4169">
        <v>0</v>
      </c>
      <c r="K4169" t="str">
        <f t="shared" si="743"/>
        <v>802</v>
      </c>
      <c r="L4169">
        <v>51.41</v>
      </c>
    </row>
    <row r="4170" spans="1:12" x14ac:dyDescent="0.25">
      <c r="A4170" t="str">
        <f t="shared" si="744"/>
        <v>89301000</v>
      </c>
      <c r="B4170" t="str">
        <f t="shared" si="740"/>
        <v>91866000</v>
      </c>
      <c r="C4170" t="str">
        <f t="shared" si="741"/>
        <v>91866313</v>
      </c>
      <c r="D4170">
        <v>89301704</v>
      </c>
      <c r="E4170" t="str">
        <f t="shared" si="745"/>
        <v>1507020009</v>
      </c>
      <c r="F4170" s="1">
        <v>45045</v>
      </c>
      <c r="G4170" t="str">
        <f t="shared" si="746"/>
        <v>82087</v>
      </c>
      <c r="H4170">
        <v>1</v>
      </c>
      <c r="I4170">
        <v>53</v>
      </c>
      <c r="J4170">
        <v>0</v>
      </c>
      <c r="K4170" t="str">
        <f t="shared" si="743"/>
        <v>802</v>
      </c>
      <c r="L4170">
        <v>51.41</v>
      </c>
    </row>
    <row r="4171" spans="1:12" x14ac:dyDescent="0.25">
      <c r="A4171" t="str">
        <f t="shared" si="744"/>
        <v>89301000</v>
      </c>
      <c r="B4171" t="str">
        <f t="shared" si="740"/>
        <v>91866000</v>
      </c>
      <c r="C4171" t="str">
        <f t="shared" si="741"/>
        <v>91866313</v>
      </c>
      <c r="D4171">
        <v>89301704</v>
      </c>
      <c r="E4171" t="str">
        <f t="shared" si="745"/>
        <v>1507020009</v>
      </c>
      <c r="F4171" s="1">
        <v>45043</v>
      </c>
      <c r="G4171" t="str">
        <f t="shared" si="746"/>
        <v>82087</v>
      </c>
      <c r="H4171">
        <v>1</v>
      </c>
      <c r="I4171">
        <v>53</v>
      </c>
      <c r="J4171">
        <v>0</v>
      </c>
      <c r="K4171" t="str">
        <f t="shared" si="743"/>
        <v>802</v>
      </c>
      <c r="L4171">
        <v>51.41</v>
      </c>
    </row>
    <row r="4172" spans="1:12" x14ac:dyDescent="0.25">
      <c r="A4172" t="str">
        <f t="shared" si="744"/>
        <v>89301000</v>
      </c>
      <c r="B4172" t="str">
        <f t="shared" si="740"/>
        <v>91866000</v>
      </c>
      <c r="C4172" t="str">
        <f t="shared" si="741"/>
        <v>91866313</v>
      </c>
      <c r="D4172">
        <v>89301704</v>
      </c>
      <c r="E4172" t="str">
        <f t="shared" si="745"/>
        <v>1507020009</v>
      </c>
      <c r="F4172" s="1">
        <v>45044</v>
      </c>
      <c r="G4172" t="str">
        <f t="shared" si="746"/>
        <v>82087</v>
      </c>
      <c r="H4172">
        <v>1</v>
      </c>
      <c r="I4172">
        <v>53</v>
      </c>
      <c r="J4172">
        <v>0</v>
      </c>
      <c r="K4172" t="str">
        <f t="shared" si="743"/>
        <v>802</v>
      </c>
      <c r="L4172">
        <v>51.41</v>
      </c>
    </row>
    <row r="4173" spans="1:12" x14ac:dyDescent="0.25">
      <c r="A4173" t="str">
        <f t="shared" si="744"/>
        <v>89301000</v>
      </c>
      <c r="B4173" t="str">
        <f t="shared" si="740"/>
        <v>91866000</v>
      </c>
      <c r="C4173" t="str">
        <f t="shared" si="741"/>
        <v>91866313</v>
      </c>
      <c r="D4173">
        <v>89301704</v>
      </c>
      <c r="E4173" t="str">
        <f t="shared" si="745"/>
        <v>1507020009</v>
      </c>
      <c r="F4173" s="1">
        <v>45043</v>
      </c>
      <c r="G4173" t="str">
        <f t="shared" si="746"/>
        <v>82087</v>
      </c>
      <c r="H4173">
        <v>1</v>
      </c>
      <c r="I4173">
        <v>53</v>
      </c>
      <c r="J4173">
        <v>0</v>
      </c>
      <c r="K4173" t="str">
        <f t="shared" si="743"/>
        <v>802</v>
      </c>
      <c r="L4173">
        <v>51.41</v>
      </c>
    </row>
    <row r="4174" spans="1:12" x14ac:dyDescent="0.25">
      <c r="A4174" t="str">
        <f t="shared" si="744"/>
        <v>89301000</v>
      </c>
      <c r="B4174" t="str">
        <f t="shared" si="740"/>
        <v>91866000</v>
      </c>
      <c r="C4174" t="str">
        <f t="shared" si="741"/>
        <v>91866313</v>
      </c>
      <c r="D4174">
        <v>89301704</v>
      </c>
      <c r="E4174" t="str">
        <f t="shared" ref="E4174:E4179" si="747">"1051146162"</f>
        <v>1051146162</v>
      </c>
      <c r="F4174" s="1">
        <v>45044</v>
      </c>
      <c r="G4174" t="str">
        <f t="shared" si="746"/>
        <v>82087</v>
      </c>
      <c r="H4174">
        <v>1</v>
      </c>
      <c r="I4174">
        <v>53</v>
      </c>
      <c r="J4174">
        <v>0</v>
      </c>
      <c r="K4174" t="str">
        <f t="shared" si="743"/>
        <v>802</v>
      </c>
      <c r="L4174">
        <v>51.41</v>
      </c>
    </row>
    <row r="4175" spans="1:12" x14ac:dyDescent="0.25">
      <c r="A4175" t="str">
        <f t="shared" si="744"/>
        <v>89301000</v>
      </c>
      <c r="B4175" t="str">
        <f t="shared" si="740"/>
        <v>91866000</v>
      </c>
      <c r="C4175" t="str">
        <f t="shared" si="741"/>
        <v>91866313</v>
      </c>
      <c r="D4175">
        <v>89301704</v>
      </c>
      <c r="E4175" t="str">
        <f t="shared" si="747"/>
        <v>1051146162</v>
      </c>
      <c r="F4175" s="1">
        <v>45043</v>
      </c>
      <c r="G4175" t="str">
        <f t="shared" si="746"/>
        <v>82087</v>
      </c>
      <c r="H4175">
        <v>1</v>
      </c>
      <c r="I4175">
        <v>53</v>
      </c>
      <c r="J4175">
        <v>0</v>
      </c>
      <c r="K4175" t="str">
        <f t="shared" si="743"/>
        <v>802</v>
      </c>
      <c r="L4175">
        <v>51.41</v>
      </c>
    </row>
    <row r="4176" spans="1:12" x14ac:dyDescent="0.25">
      <c r="A4176" t="str">
        <f t="shared" si="744"/>
        <v>89301000</v>
      </c>
      <c r="B4176" t="str">
        <f t="shared" si="740"/>
        <v>91866000</v>
      </c>
      <c r="C4176" t="str">
        <f t="shared" si="741"/>
        <v>91866313</v>
      </c>
      <c r="D4176">
        <v>89301704</v>
      </c>
      <c r="E4176" t="str">
        <f t="shared" si="747"/>
        <v>1051146162</v>
      </c>
      <c r="F4176" s="1">
        <v>45043</v>
      </c>
      <c r="G4176" t="str">
        <f t="shared" si="746"/>
        <v>82087</v>
      </c>
      <c r="H4176">
        <v>1</v>
      </c>
      <c r="I4176">
        <v>53</v>
      </c>
      <c r="J4176">
        <v>0</v>
      </c>
      <c r="K4176" t="str">
        <f t="shared" si="743"/>
        <v>802</v>
      </c>
      <c r="L4176">
        <v>51.41</v>
      </c>
    </row>
    <row r="4177" spans="1:12" x14ac:dyDescent="0.25">
      <c r="A4177" t="str">
        <f t="shared" si="744"/>
        <v>89301000</v>
      </c>
      <c r="B4177" t="str">
        <f t="shared" si="740"/>
        <v>91866000</v>
      </c>
      <c r="C4177" t="str">
        <f t="shared" si="741"/>
        <v>91866313</v>
      </c>
      <c r="D4177">
        <v>89301704</v>
      </c>
      <c r="E4177" t="str">
        <f t="shared" si="747"/>
        <v>1051146162</v>
      </c>
      <c r="F4177" s="1">
        <v>45045</v>
      </c>
      <c r="G4177" t="str">
        <f t="shared" si="746"/>
        <v>82087</v>
      </c>
      <c r="H4177">
        <v>1</v>
      </c>
      <c r="I4177">
        <v>53</v>
      </c>
      <c r="J4177">
        <v>0</v>
      </c>
      <c r="K4177" t="str">
        <f t="shared" si="743"/>
        <v>802</v>
      </c>
      <c r="L4177">
        <v>51.41</v>
      </c>
    </row>
    <row r="4178" spans="1:12" x14ac:dyDescent="0.25">
      <c r="A4178" t="str">
        <f t="shared" si="744"/>
        <v>89301000</v>
      </c>
      <c r="B4178" t="str">
        <f t="shared" si="740"/>
        <v>91866000</v>
      </c>
      <c r="C4178" t="str">
        <f t="shared" si="741"/>
        <v>91866313</v>
      </c>
      <c r="D4178">
        <v>89301704</v>
      </c>
      <c r="E4178" t="str">
        <f t="shared" si="747"/>
        <v>1051146162</v>
      </c>
      <c r="F4178" s="1">
        <v>45045</v>
      </c>
      <c r="G4178" t="str">
        <f t="shared" si="746"/>
        <v>82087</v>
      </c>
      <c r="H4178">
        <v>1</v>
      </c>
      <c r="I4178">
        <v>53</v>
      </c>
      <c r="J4178">
        <v>0</v>
      </c>
      <c r="K4178" t="str">
        <f t="shared" si="743"/>
        <v>802</v>
      </c>
      <c r="L4178">
        <v>51.41</v>
      </c>
    </row>
    <row r="4179" spans="1:12" x14ac:dyDescent="0.25">
      <c r="A4179" t="str">
        <f t="shared" si="744"/>
        <v>89301000</v>
      </c>
      <c r="B4179" t="str">
        <f t="shared" si="740"/>
        <v>91866000</v>
      </c>
      <c r="C4179" t="str">
        <f t="shared" si="741"/>
        <v>91866313</v>
      </c>
      <c r="D4179">
        <v>89301704</v>
      </c>
      <c r="E4179" t="str">
        <f t="shared" si="747"/>
        <v>1051146162</v>
      </c>
      <c r="F4179" s="1">
        <v>45044</v>
      </c>
      <c r="G4179" t="str">
        <f t="shared" si="746"/>
        <v>82087</v>
      </c>
      <c r="H4179">
        <v>1</v>
      </c>
      <c r="I4179">
        <v>53</v>
      </c>
      <c r="J4179">
        <v>0</v>
      </c>
      <c r="K4179" t="str">
        <f t="shared" si="743"/>
        <v>802</v>
      </c>
      <c r="L4179">
        <v>51.41</v>
      </c>
    </row>
    <row r="4180" spans="1:12" x14ac:dyDescent="0.25">
      <c r="A4180" t="str">
        <f t="shared" si="744"/>
        <v>89301000</v>
      </c>
      <c r="B4180" t="str">
        <f t="shared" si="740"/>
        <v>91866000</v>
      </c>
      <c r="C4180" t="str">
        <f t="shared" si="741"/>
        <v>91866313</v>
      </c>
      <c r="D4180">
        <v>89301704</v>
      </c>
      <c r="E4180" t="str">
        <f t="shared" ref="E4180:E4185" si="748">"1701160582"</f>
        <v>1701160582</v>
      </c>
      <c r="F4180" s="1">
        <v>45044</v>
      </c>
      <c r="G4180" t="str">
        <f t="shared" si="746"/>
        <v>82087</v>
      </c>
      <c r="H4180">
        <v>1</v>
      </c>
      <c r="I4180">
        <v>53</v>
      </c>
      <c r="J4180">
        <v>0</v>
      </c>
      <c r="K4180" t="str">
        <f t="shared" si="743"/>
        <v>802</v>
      </c>
      <c r="L4180">
        <v>51.41</v>
      </c>
    </row>
    <row r="4181" spans="1:12" x14ac:dyDescent="0.25">
      <c r="A4181" t="str">
        <f t="shared" si="744"/>
        <v>89301000</v>
      </c>
      <c r="B4181" t="str">
        <f t="shared" si="740"/>
        <v>91866000</v>
      </c>
      <c r="C4181" t="str">
        <f t="shared" si="741"/>
        <v>91866313</v>
      </c>
      <c r="D4181">
        <v>89301704</v>
      </c>
      <c r="E4181" t="str">
        <f t="shared" si="748"/>
        <v>1701160582</v>
      </c>
      <c r="F4181" s="1">
        <v>45043</v>
      </c>
      <c r="G4181" t="str">
        <f t="shared" si="746"/>
        <v>82087</v>
      </c>
      <c r="H4181">
        <v>1</v>
      </c>
      <c r="I4181">
        <v>53</v>
      </c>
      <c r="J4181">
        <v>0</v>
      </c>
      <c r="K4181" t="str">
        <f t="shared" si="743"/>
        <v>802</v>
      </c>
      <c r="L4181">
        <v>51.41</v>
      </c>
    </row>
    <row r="4182" spans="1:12" x14ac:dyDescent="0.25">
      <c r="A4182" t="str">
        <f t="shared" si="744"/>
        <v>89301000</v>
      </c>
      <c r="B4182" t="str">
        <f t="shared" si="740"/>
        <v>91866000</v>
      </c>
      <c r="C4182" t="str">
        <f t="shared" si="741"/>
        <v>91866313</v>
      </c>
      <c r="D4182">
        <v>89301704</v>
      </c>
      <c r="E4182" t="str">
        <f t="shared" si="748"/>
        <v>1701160582</v>
      </c>
      <c r="F4182" s="1">
        <v>45043</v>
      </c>
      <c r="G4182" t="str">
        <f t="shared" si="746"/>
        <v>82087</v>
      </c>
      <c r="H4182">
        <v>1</v>
      </c>
      <c r="I4182">
        <v>53</v>
      </c>
      <c r="J4182">
        <v>0</v>
      </c>
      <c r="K4182" t="str">
        <f t="shared" si="743"/>
        <v>802</v>
      </c>
      <c r="L4182">
        <v>51.41</v>
      </c>
    </row>
    <row r="4183" spans="1:12" x14ac:dyDescent="0.25">
      <c r="A4183" t="str">
        <f t="shared" si="744"/>
        <v>89301000</v>
      </c>
      <c r="B4183" t="str">
        <f t="shared" si="740"/>
        <v>91866000</v>
      </c>
      <c r="C4183" t="str">
        <f t="shared" si="741"/>
        <v>91866313</v>
      </c>
      <c r="D4183">
        <v>89301704</v>
      </c>
      <c r="E4183" t="str">
        <f t="shared" si="748"/>
        <v>1701160582</v>
      </c>
      <c r="F4183" s="1">
        <v>45044</v>
      </c>
      <c r="G4183" t="str">
        <f t="shared" si="746"/>
        <v>82087</v>
      </c>
      <c r="H4183">
        <v>1</v>
      </c>
      <c r="I4183">
        <v>53</v>
      </c>
      <c r="J4183">
        <v>0</v>
      </c>
      <c r="K4183" t="str">
        <f t="shared" si="743"/>
        <v>802</v>
      </c>
      <c r="L4183">
        <v>51.41</v>
      </c>
    </row>
    <row r="4184" spans="1:12" x14ac:dyDescent="0.25">
      <c r="A4184" t="str">
        <f t="shared" si="744"/>
        <v>89301000</v>
      </c>
      <c r="B4184" t="str">
        <f t="shared" si="740"/>
        <v>91866000</v>
      </c>
      <c r="C4184" t="str">
        <f t="shared" si="741"/>
        <v>91866313</v>
      </c>
      <c r="D4184">
        <v>89301704</v>
      </c>
      <c r="E4184" t="str">
        <f t="shared" si="748"/>
        <v>1701160582</v>
      </c>
      <c r="F4184" s="1">
        <v>45045</v>
      </c>
      <c r="G4184" t="str">
        <f t="shared" si="746"/>
        <v>82087</v>
      </c>
      <c r="H4184">
        <v>1</v>
      </c>
      <c r="I4184">
        <v>53</v>
      </c>
      <c r="J4184">
        <v>0</v>
      </c>
      <c r="K4184" t="str">
        <f t="shared" si="743"/>
        <v>802</v>
      </c>
      <c r="L4184">
        <v>51.41</v>
      </c>
    </row>
    <row r="4185" spans="1:12" x14ac:dyDescent="0.25">
      <c r="A4185" t="str">
        <f t="shared" si="744"/>
        <v>89301000</v>
      </c>
      <c r="B4185" t="str">
        <f t="shared" si="740"/>
        <v>91866000</v>
      </c>
      <c r="C4185" t="str">
        <f t="shared" si="741"/>
        <v>91866313</v>
      </c>
      <c r="D4185">
        <v>89301704</v>
      </c>
      <c r="E4185" t="str">
        <f t="shared" si="748"/>
        <v>1701160582</v>
      </c>
      <c r="F4185" s="1">
        <v>45045</v>
      </c>
      <c r="G4185" t="str">
        <f t="shared" si="746"/>
        <v>82087</v>
      </c>
      <c r="H4185">
        <v>1</v>
      </c>
      <c r="I4185">
        <v>53</v>
      </c>
      <c r="J4185">
        <v>0</v>
      </c>
      <c r="K4185" t="str">
        <f t="shared" si="743"/>
        <v>802</v>
      </c>
      <c r="L4185">
        <v>51.41</v>
      </c>
    </row>
    <row r="4186" spans="1:12" x14ac:dyDescent="0.25">
      <c r="A4186" t="str">
        <f t="shared" si="744"/>
        <v>89301000</v>
      </c>
      <c r="B4186" t="str">
        <f t="shared" si="740"/>
        <v>91866000</v>
      </c>
      <c r="C4186" t="str">
        <f t="shared" si="741"/>
        <v>91866313</v>
      </c>
      <c r="D4186">
        <v>89301704</v>
      </c>
      <c r="E4186" t="str">
        <f t="shared" ref="E4186:E4191" si="749">"1059261027"</f>
        <v>1059261027</v>
      </c>
      <c r="F4186" s="1">
        <v>45044</v>
      </c>
      <c r="G4186" t="str">
        <f t="shared" si="746"/>
        <v>82087</v>
      </c>
      <c r="H4186">
        <v>1</v>
      </c>
      <c r="I4186">
        <v>53</v>
      </c>
      <c r="J4186">
        <v>0</v>
      </c>
      <c r="K4186" t="str">
        <f t="shared" si="743"/>
        <v>802</v>
      </c>
      <c r="L4186">
        <v>51.41</v>
      </c>
    </row>
    <row r="4187" spans="1:12" x14ac:dyDescent="0.25">
      <c r="A4187" t="str">
        <f t="shared" si="744"/>
        <v>89301000</v>
      </c>
      <c r="B4187" t="str">
        <f t="shared" ref="B4187:B4220" si="750">"91866000"</f>
        <v>91866000</v>
      </c>
      <c r="C4187" t="str">
        <f t="shared" ref="C4187:C4220" si="751">"91866313"</f>
        <v>91866313</v>
      </c>
      <c r="D4187">
        <v>89301704</v>
      </c>
      <c r="E4187" t="str">
        <f t="shared" si="749"/>
        <v>1059261027</v>
      </c>
      <c r="F4187" s="1">
        <v>45043</v>
      </c>
      <c r="G4187" t="str">
        <f t="shared" si="746"/>
        <v>82087</v>
      </c>
      <c r="H4187">
        <v>1</v>
      </c>
      <c r="I4187">
        <v>53</v>
      </c>
      <c r="J4187">
        <v>0</v>
      </c>
      <c r="K4187" t="str">
        <f t="shared" ref="K4187:K4220" si="752">"802"</f>
        <v>802</v>
      </c>
      <c r="L4187">
        <v>51.41</v>
      </c>
    </row>
    <row r="4188" spans="1:12" x14ac:dyDescent="0.25">
      <c r="A4188" t="str">
        <f t="shared" si="744"/>
        <v>89301000</v>
      </c>
      <c r="B4188" t="str">
        <f t="shared" si="750"/>
        <v>91866000</v>
      </c>
      <c r="C4188" t="str">
        <f t="shared" si="751"/>
        <v>91866313</v>
      </c>
      <c r="D4188">
        <v>89301704</v>
      </c>
      <c r="E4188" t="str">
        <f t="shared" si="749"/>
        <v>1059261027</v>
      </c>
      <c r="F4188" s="1">
        <v>45043</v>
      </c>
      <c r="G4188" t="str">
        <f t="shared" si="746"/>
        <v>82087</v>
      </c>
      <c r="H4188">
        <v>1</v>
      </c>
      <c r="I4188">
        <v>53</v>
      </c>
      <c r="J4188">
        <v>0</v>
      </c>
      <c r="K4188" t="str">
        <f t="shared" si="752"/>
        <v>802</v>
      </c>
      <c r="L4188">
        <v>51.41</v>
      </c>
    </row>
    <row r="4189" spans="1:12" x14ac:dyDescent="0.25">
      <c r="A4189" t="str">
        <f t="shared" si="744"/>
        <v>89301000</v>
      </c>
      <c r="B4189" t="str">
        <f t="shared" si="750"/>
        <v>91866000</v>
      </c>
      <c r="C4189" t="str">
        <f t="shared" si="751"/>
        <v>91866313</v>
      </c>
      <c r="D4189">
        <v>89301704</v>
      </c>
      <c r="E4189" t="str">
        <f t="shared" si="749"/>
        <v>1059261027</v>
      </c>
      <c r="F4189" s="1">
        <v>45045</v>
      </c>
      <c r="G4189" t="str">
        <f t="shared" si="746"/>
        <v>82087</v>
      </c>
      <c r="H4189">
        <v>1</v>
      </c>
      <c r="I4189">
        <v>53</v>
      </c>
      <c r="J4189">
        <v>0</v>
      </c>
      <c r="K4189" t="str">
        <f t="shared" si="752"/>
        <v>802</v>
      </c>
      <c r="L4189">
        <v>51.41</v>
      </c>
    </row>
    <row r="4190" spans="1:12" x14ac:dyDescent="0.25">
      <c r="A4190" t="str">
        <f t="shared" si="744"/>
        <v>89301000</v>
      </c>
      <c r="B4190" t="str">
        <f t="shared" si="750"/>
        <v>91866000</v>
      </c>
      <c r="C4190" t="str">
        <f t="shared" si="751"/>
        <v>91866313</v>
      </c>
      <c r="D4190">
        <v>89301704</v>
      </c>
      <c r="E4190" t="str">
        <f t="shared" si="749"/>
        <v>1059261027</v>
      </c>
      <c r="F4190" s="1">
        <v>45045</v>
      </c>
      <c r="G4190" t="str">
        <f t="shared" si="746"/>
        <v>82087</v>
      </c>
      <c r="H4190">
        <v>1</v>
      </c>
      <c r="I4190">
        <v>53</v>
      </c>
      <c r="J4190">
        <v>0</v>
      </c>
      <c r="K4190" t="str">
        <f t="shared" si="752"/>
        <v>802</v>
      </c>
      <c r="L4190">
        <v>51.41</v>
      </c>
    </row>
    <row r="4191" spans="1:12" x14ac:dyDescent="0.25">
      <c r="A4191" t="str">
        <f t="shared" si="744"/>
        <v>89301000</v>
      </c>
      <c r="B4191" t="str">
        <f t="shared" si="750"/>
        <v>91866000</v>
      </c>
      <c r="C4191" t="str">
        <f t="shared" si="751"/>
        <v>91866313</v>
      </c>
      <c r="D4191">
        <v>89301704</v>
      </c>
      <c r="E4191" t="str">
        <f t="shared" si="749"/>
        <v>1059261027</v>
      </c>
      <c r="F4191" s="1">
        <v>45044</v>
      </c>
      <c r="G4191" t="str">
        <f t="shared" si="746"/>
        <v>82087</v>
      </c>
      <c r="H4191">
        <v>1</v>
      </c>
      <c r="I4191">
        <v>53</v>
      </c>
      <c r="J4191">
        <v>0</v>
      </c>
      <c r="K4191" t="str">
        <f t="shared" si="752"/>
        <v>802</v>
      </c>
      <c r="L4191">
        <v>51.41</v>
      </c>
    </row>
    <row r="4192" spans="1:12" x14ac:dyDescent="0.25">
      <c r="A4192" t="str">
        <f t="shared" si="744"/>
        <v>89301000</v>
      </c>
      <c r="B4192" t="str">
        <f t="shared" si="750"/>
        <v>91866000</v>
      </c>
      <c r="C4192" t="str">
        <f t="shared" si="751"/>
        <v>91866313</v>
      </c>
      <c r="D4192">
        <v>89301704</v>
      </c>
      <c r="E4192" t="str">
        <f t="shared" ref="E4192:E4198" si="753">"1151260242"</f>
        <v>1151260242</v>
      </c>
      <c r="F4192" s="1">
        <v>45037</v>
      </c>
      <c r="G4192" t="str">
        <f>"97111"</f>
        <v>97111</v>
      </c>
      <c r="H4192">
        <v>1</v>
      </c>
      <c r="I4192">
        <v>19</v>
      </c>
      <c r="J4192">
        <v>0</v>
      </c>
      <c r="K4192" t="str">
        <f t="shared" si="752"/>
        <v>802</v>
      </c>
      <c r="L4192">
        <v>23.94</v>
      </c>
    </row>
    <row r="4193" spans="1:12" x14ac:dyDescent="0.25">
      <c r="A4193" t="str">
        <f t="shared" si="744"/>
        <v>89301000</v>
      </c>
      <c r="B4193" t="str">
        <f t="shared" si="750"/>
        <v>91866000</v>
      </c>
      <c r="C4193" t="str">
        <f t="shared" si="751"/>
        <v>91866313</v>
      </c>
      <c r="D4193">
        <v>89301704</v>
      </c>
      <c r="E4193" t="str">
        <f t="shared" si="753"/>
        <v>1151260242</v>
      </c>
      <c r="F4193" s="1">
        <v>45039</v>
      </c>
      <c r="G4193" t="str">
        <f t="shared" ref="G4193:G4220" si="754">"82087"</f>
        <v>82087</v>
      </c>
      <c r="H4193">
        <v>1</v>
      </c>
      <c r="I4193">
        <v>53</v>
      </c>
      <c r="J4193">
        <v>0</v>
      </c>
      <c r="K4193" t="str">
        <f t="shared" si="752"/>
        <v>802</v>
      </c>
      <c r="L4193">
        <v>51.41</v>
      </c>
    </row>
    <row r="4194" spans="1:12" x14ac:dyDescent="0.25">
      <c r="A4194" t="str">
        <f t="shared" si="744"/>
        <v>89301000</v>
      </c>
      <c r="B4194" t="str">
        <f t="shared" si="750"/>
        <v>91866000</v>
      </c>
      <c r="C4194" t="str">
        <f t="shared" si="751"/>
        <v>91866313</v>
      </c>
      <c r="D4194">
        <v>89301704</v>
      </c>
      <c r="E4194" t="str">
        <f t="shared" si="753"/>
        <v>1151260242</v>
      </c>
      <c r="F4194" s="1">
        <v>45038</v>
      </c>
      <c r="G4194" t="str">
        <f t="shared" si="754"/>
        <v>82087</v>
      </c>
      <c r="H4194">
        <v>1</v>
      </c>
      <c r="I4194">
        <v>53</v>
      </c>
      <c r="J4194">
        <v>0</v>
      </c>
      <c r="K4194" t="str">
        <f t="shared" si="752"/>
        <v>802</v>
      </c>
      <c r="L4194">
        <v>51.41</v>
      </c>
    </row>
    <row r="4195" spans="1:12" x14ac:dyDescent="0.25">
      <c r="A4195" t="str">
        <f t="shared" si="744"/>
        <v>89301000</v>
      </c>
      <c r="B4195" t="str">
        <f t="shared" si="750"/>
        <v>91866000</v>
      </c>
      <c r="C4195" t="str">
        <f t="shared" si="751"/>
        <v>91866313</v>
      </c>
      <c r="D4195">
        <v>89301704</v>
      </c>
      <c r="E4195" t="str">
        <f t="shared" si="753"/>
        <v>1151260242</v>
      </c>
      <c r="F4195" s="1">
        <v>45037</v>
      </c>
      <c r="G4195" t="str">
        <f t="shared" si="754"/>
        <v>82087</v>
      </c>
      <c r="H4195">
        <v>1</v>
      </c>
      <c r="I4195">
        <v>53</v>
      </c>
      <c r="J4195">
        <v>0</v>
      </c>
      <c r="K4195" t="str">
        <f t="shared" si="752"/>
        <v>802</v>
      </c>
      <c r="L4195">
        <v>51.41</v>
      </c>
    </row>
    <row r="4196" spans="1:12" x14ac:dyDescent="0.25">
      <c r="A4196" t="str">
        <f t="shared" si="744"/>
        <v>89301000</v>
      </c>
      <c r="B4196" t="str">
        <f t="shared" si="750"/>
        <v>91866000</v>
      </c>
      <c r="C4196" t="str">
        <f t="shared" si="751"/>
        <v>91866313</v>
      </c>
      <c r="D4196">
        <v>89301704</v>
      </c>
      <c r="E4196" t="str">
        <f t="shared" si="753"/>
        <v>1151260242</v>
      </c>
      <c r="F4196" s="1">
        <v>45039</v>
      </c>
      <c r="G4196" t="str">
        <f t="shared" si="754"/>
        <v>82087</v>
      </c>
      <c r="H4196">
        <v>1</v>
      </c>
      <c r="I4196">
        <v>53</v>
      </c>
      <c r="J4196">
        <v>0</v>
      </c>
      <c r="K4196" t="str">
        <f t="shared" si="752"/>
        <v>802</v>
      </c>
      <c r="L4196">
        <v>51.41</v>
      </c>
    </row>
    <row r="4197" spans="1:12" x14ac:dyDescent="0.25">
      <c r="A4197" t="str">
        <f t="shared" si="744"/>
        <v>89301000</v>
      </c>
      <c r="B4197" t="str">
        <f t="shared" si="750"/>
        <v>91866000</v>
      </c>
      <c r="C4197" t="str">
        <f t="shared" si="751"/>
        <v>91866313</v>
      </c>
      <c r="D4197">
        <v>89301704</v>
      </c>
      <c r="E4197" t="str">
        <f t="shared" si="753"/>
        <v>1151260242</v>
      </c>
      <c r="F4197" s="1">
        <v>45038</v>
      </c>
      <c r="G4197" t="str">
        <f t="shared" si="754"/>
        <v>82087</v>
      </c>
      <c r="H4197">
        <v>1</v>
      </c>
      <c r="I4197">
        <v>53</v>
      </c>
      <c r="J4197">
        <v>0</v>
      </c>
      <c r="K4197" t="str">
        <f t="shared" si="752"/>
        <v>802</v>
      </c>
      <c r="L4197">
        <v>51.41</v>
      </c>
    </row>
    <row r="4198" spans="1:12" x14ac:dyDescent="0.25">
      <c r="A4198" t="str">
        <f t="shared" si="744"/>
        <v>89301000</v>
      </c>
      <c r="B4198" t="str">
        <f t="shared" si="750"/>
        <v>91866000</v>
      </c>
      <c r="C4198" t="str">
        <f t="shared" si="751"/>
        <v>91866313</v>
      </c>
      <c r="D4198">
        <v>89301704</v>
      </c>
      <c r="E4198" t="str">
        <f t="shared" si="753"/>
        <v>1151260242</v>
      </c>
      <c r="F4198" s="1">
        <v>45037</v>
      </c>
      <c r="G4198" t="str">
        <f t="shared" si="754"/>
        <v>82087</v>
      </c>
      <c r="H4198">
        <v>1</v>
      </c>
      <c r="I4198">
        <v>53</v>
      </c>
      <c r="J4198">
        <v>0</v>
      </c>
      <c r="K4198" t="str">
        <f t="shared" si="752"/>
        <v>802</v>
      </c>
      <c r="L4198">
        <v>51.41</v>
      </c>
    </row>
    <row r="4199" spans="1:12" x14ac:dyDescent="0.25">
      <c r="A4199" t="str">
        <f t="shared" si="744"/>
        <v>89301000</v>
      </c>
      <c r="B4199" t="str">
        <f t="shared" si="750"/>
        <v>91866000</v>
      </c>
      <c r="C4199" t="str">
        <f t="shared" si="751"/>
        <v>91866313</v>
      </c>
      <c r="D4199">
        <v>89301704</v>
      </c>
      <c r="E4199" t="str">
        <f t="shared" ref="E4199:E4204" si="755">"1658170459"</f>
        <v>1658170459</v>
      </c>
      <c r="F4199" s="1">
        <v>45024</v>
      </c>
      <c r="G4199" t="str">
        <f t="shared" si="754"/>
        <v>82087</v>
      </c>
      <c r="H4199">
        <v>1</v>
      </c>
      <c r="I4199">
        <v>53</v>
      </c>
      <c r="J4199">
        <v>0</v>
      </c>
      <c r="K4199" t="str">
        <f t="shared" si="752"/>
        <v>802</v>
      </c>
      <c r="L4199">
        <v>51.41</v>
      </c>
    </row>
    <row r="4200" spans="1:12" x14ac:dyDescent="0.25">
      <c r="A4200" t="str">
        <f t="shared" si="744"/>
        <v>89301000</v>
      </c>
      <c r="B4200" t="str">
        <f t="shared" si="750"/>
        <v>91866000</v>
      </c>
      <c r="C4200" t="str">
        <f t="shared" si="751"/>
        <v>91866313</v>
      </c>
      <c r="D4200">
        <v>89301704</v>
      </c>
      <c r="E4200" t="str">
        <f t="shared" si="755"/>
        <v>1658170459</v>
      </c>
      <c r="F4200" s="1">
        <v>45024</v>
      </c>
      <c r="G4200" t="str">
        <f t="shared" si="754"/>
        <v>82087</v>
      </c>
      <c r="H4200">
        <v>1</v>
      </c>
      <c r="I4200">
        <v>53</v>
      </c>
      <c r="J4200">
        <v>0</v>
      </c>
      <c r="K4200" t="str">
        <f t="shared" si="752"/>
        <v>802</v>
      </c>
      <c r="L4200">
        <v>51.41</v>
      </c>
    </row>
    <row r="4201" spans="1:12" x14ac:dyDescent="0.25">
      <c r="A4201" t="str">
        <f t="shared" si="744"/>
        <v>89301000</v>
      </c>
      <c r="B4201" t="str">
        <f t="shared" si="750"/>
        <v>91866000</v>
      </c>
      <c r="C4201" t="str">
        <f t="shared" si="751"/>
        <v>91866313</v>
      </c>
      <c r="D4201">
        <v>89301704</v>
      </c>
      <c r="E4201" t="str">
        <f t="shared" si="755"/>
        <v>1658170459</v>
      </c>
      <c r="F4201" s="1">
        <v>45023</v>
      </c>
      <c r="G4201" t="str">
        <f t="shared" si="754"/>
        <v>82087</v>
      </c>
      <c r="H4201">
        <v>1</v>
      </c>
      <c r="I4201">
        <v>53</v>
      </c>
      <c r="J4201">
        <v>0</v>
      </c>
      <c r="K4201" t="str">
        <f t="shared" si="752"/>
        <v>802</v>
      </c>
      <c r="L4201">
        <v>51.41</v>
      </c>
    </row>
    <row r="4202" spans="1:12" x14ac:dyDescent="0.25">
      <c r="A4202" t="str">
        <f t="shared" si="744"/>
        <v>89301000</v>
      </c>
      <c r="B4202" t="str">
        <f t="shared" si="750"/>
        <v>91866000</v>
      </c>
      <c r="C4202" t="str">
        <f t="shared" si="751"/>
        <v>91866313</v>
      </c>
      <c r="D4202">
        <v>89301704</v>
      </c>
      <c r="E4202" t="str">
        <f t="shared" si="755"/>
        <v>1658170459</v>
      </c>
      <c r="F4202" s="1">
        <v>45022</v>
      </c>
      <c r="G4202" t="str">
        <f t="shared" si="754"/>
        <v>82087</v>
      </c>
      <c r="H4202">
        <v>1</v>
      </c>
      <c r="I4202">
        <v>53</v>
      </c>
      <c r="J4202">
        <v>0</v>
      </c>
      <c r="K4202" t="str">
        <f t="shared" si="752"/>
        <v>802</v>
      </c>
      <c r="L4202">
        <v>51.41</v>
      </c>
    </row>
    <row r="4203" spans="1:12" x14ac:dyDescent="0.25">
      <c r="A4203" t="str">
        <f t="shared" si="744"/>
        <v>89301000</v>
      </c>
      <c r="B4203" t="str">
        <f t="shared" si="750"/>
        <v>91866000</v>
      </c>
      <c r="C4203" t="str">
        <f t="shared" si="751"/>
        <v>91866313</v>
      </c>
      <c r="D4203">
        <v>89301704</v>
      </c>
      <c r="E4203" t="str">
        <f t="shared" si="755"/>
        <v>1658170459</v>
      </c>
      <c r="F4203" s="1">
        <v>45023</v>
      </c>
      <c r="G4203" t="str">
        <f t="shared" si="754"/>
        <v>82087</v>
      </c>
      <c r="H4203">
        <v>1</v>
      </c>
      <c r="I4203">
        <v>53</v>
      </c>
      <c r="J4203">
        <v>0</v>
      </c>
      <c r="K4203" t="str">
        <f t="shared" si="752"/>
        <v>802</v>
      </c>
      <c r="L4203">
        <v>51.41</v>
      </c>
    </row>
    <row r="4204" spans="1:12" x14ac:dyDescent="0.25">
      <c r="A4204" t="str">
        <f t="shared" si="744"/>
        <v>89301000</v>
      </c>
      <c r="B4204" t="str">
        <f t="shared" si="750"/>
        <v>91866000</v>
      </c>
      <c r="C4204" t="str">
        <f t="shared" si="751"/>
        <v>91866313</v>
      </c>
      <c r="D4204">
        <v>89301704</v>
      </c>
      <c r="E4204" t="str">
        <f t="shared" si="755"/>
        <v>1658170459</v>
      </c>
      <c r="F4204" s="1">
        <v>45022</v>
      </c>
      <c r="G4204" t="str">
        <f t="shared" si="754"/>
        <v>82087</v>
      </c>
      <c r="H4204">
        <v>1</v>
      </c>
      <c r="I4204">
        <v>53</v>
      </c>
      <c r="J4204">
        <v>0</v>
      </c>
      <c r="K4204" t="str">
        <f t="shared" si="752"/>
        <v>802</v>
      </c>
      <c r="L4204">
        <v>51.41</v>
      </c>
    </row>
    <row r="4205" spans="1:12" x14ac:dyDescent="0.25">
      <c r="A4205" t="str">
        <f t="shared" si="744"/>
        <v>89301000</v>
      </c>
      <c r="B4205" t="str">
        <f t="shared" si="750"/>
        <v>91866000</v>
      </c>
      <c r="C4205" t="str">
        <f t="shared" si="751"/>
        <v>91866313</v>
      </c>
      <c r="D4205">
        <v>89301704</v>
      </c>
      <c r="E4205" t="str">
        <f t="shared" ref="E4205:E4210" si="756">"1105260354"</f>
        <v>1105260354</v>
      </c>
      <c r="F4205" s="1">
        <v>45024</v>
      </c>
      <c r="G4205" t="str">
        <f t="shared" si="754"/>
        <v>82087</v>
      </c>
      <c r="H4205">
        <v>1</v>
      </c>
      <c r="I4205">
        <v>53</v>
      </c>
      <c r="J4205">
        <v>0</v>
      </c>
      <c r="K4205" t="str">
        <f t="shared" si="752"/>
        <v>802</v>
      </c>
      <c r="L4205">
        <v>51.41</v>
      </c>
    </row>
    <row r="4206" spans="1:12" x14ac:dyDescent="0.25">
      <c r="A4206" t="str">
        <f t="shared" si="744"/>
        <v>89301000</v>
      </c>
      <c r="B4206" t="str">
        <f t="shared" si="750"/>
        <v>91866000</v>
      </c>
      <c r="C4206" t="str">
        <f t="shared" si="751"/>
        <v>91866313</v>
      </c>
      <c r="D4206">
        <v>89301704</v>
      </c>
      <c r="E4206" t="str">
        <f t="shared" si="756"/>
        <v>1105260354</v>
      </c>
      <c r="F4206" s="1">
        <v>45022</v>
      </c>
      <c r="G4206" t="str">
        <f t="shared" si="754"/>
        <v>82087</v>
      </c>
      <c r="H4206">
        <v>1</v>
      </c>
      <c r="I4206">
        <v>53</v>
      </c>
      <c r="J4206">
        <v>0</v>
      </c>
      <c r="K4206" t="str">
        <f t="shared" si="752"/>
        <v>802</v>
      </c>
      <c r="L4206">
        <v>51.41</v>
      </c>
    </row>
    <row r="4207" spans="1:12" x14ac:dyDescent="0.25">
      <c r="A4207" t="str">
        <f t="shared" si="744"/>
        <v>89301000</v>
      </c>
      <c r="B4207" t="str">
        <f t="shared" si="750"/>
        <v>91866000</v>
      </c>
      <c r="C4207" t="str">
        <f t="shared" si="751"/>
        <v>91866313</v>
      </c>
      <c r="D4207">
        <v>89301704</v>
      </c>
      <c r="E4207" t="str">
        <f t="shared" si="756"/>
        <v>1105260354</v>
      </c>
      <c r="F4207" s="1">
        <v>45023</v>
      </c>
      <c r="G4207" t="str">
        <f t="shared" si="754"/>
        <v>82087</v>
      </c>
      <c r="H4207">
        <v>1</v>
      </c>
      <c r="I4207">
        <v>53</v>
      </c>
      <c r="J4207">
        <v>0</v>
      </c>
      <c r="K4207" t="str">
        <f t="shared" si="752"/>
        <v>802</v>
      </c>
      <c r="L4207">
        <v>51.41</v>
      </c>
    </row>
    <row r="4208" spans="1:12" x14ac:dyDescent="0.25">
      <c r="A4208" t="str">
        <f t="shared" si="744"/>
        <v>89301000</v>
      </c>
      <c r="B4208" t="str">
        <f t="shared" si="750"/>
        <v>91866000</v>
      </c>
      <c r="C4208" t="str">
        <f t="shared" si="751"/>
        <v>91866313</v>
      </c>
      <c r="D4208">
        <v>89301704</v>
      </c>
      <c r="E4208" t="str">
        <f t="shared" si="756"/>
        <v>1105260354</v>
      </c>
      <c r="F4208" s="1">
        <v>45022</v>
      </c>
      <c r="G4208" t="str">
        <f t="shared" si="754"/>
        <v>82087</v>
      </c>
      <c r="H4208">
        <v>1</v>
      </c>
      <c r="I4208">
        <v>53</v>
      </c>
      <c r="J4208">
        <v>0</v>
      </c>
      <c r="K4208" t="str">
        <f t="shared" si="752"/>
        <v>802</v>
      </c>
      <c r="L4208">
        <v>51.41</v>
      </c>
    </row>
    <row r="4209" spans="1:12" x14ac:dyDescent="0.25">
      <c r="A4209" t="str">
        <f t="shared" si="744"/>
        <v>89301000</v>
      </c>
      <c r="B4209" t="str">
        <f t="shared" si="750"/>
        <v>91866000</v>
      </c>
      <c r="C4209" t="str">
        <f t="shared" si="751"/>
        <v>91866313</v>
      </c>
      <c r="D4209">
        <v>89301704</v>
      </c>
      <c r="E4209" t="str">
        <f t="shared" si="756"/>
        <v>1105260354</v>
      </c>
      <c r="F4209" s="1">
        <v>45023</v>
      </c>
      <c r="G4209" t="str">
        <f t="shared" si="754"/>
        <v>82087</v>
      </c>
      <c r="H4209">
        <v>1</v>
      </c>
      <c r="I4209">
        <v>53</v>
      </c>
      <c r="J4209">
        <v>0</v>
      </c>
      <c r="K4209" t="str">
        <f t="shared" si="752"/>
        <v>802</v>
      </c>
      <c r="L4209">
        <v>51.41</v>
      </c>
    </row>
    <row r="4210" spans="1:12" x14ac:dyDescent="0.25">
      <c r="A4210" t="str">
        <f t="shared" si="744"/>
        <v>89301000</v>
      </c>
      <c r="B4210" t="str">
        <f t="shared" si="750"/>
        <v>91866000</v>
      </c>
      <c r="C4210" t="str">
        <f t="shared" si="751"/>
        <v>91866313</v>
      </c>
      <c r="D4210">
        <v>89301704</v>
      </c>
      <c r="E4210" t="str">
        <f t="shared" si="756"/>
        <v>1105260354</v>
      </c>
      <c r="F4210" s="1">
        <v>45024</v>
      </c>
      <c r="G4210" t="str">
        <f t="shared" si="754"/>
        <v>82087</v>
      </c>
      <c r="H4210">
        <v>1</v>
      </c>
      <c r="I4210">
        <v>53</v>
      </c>
      <c r="J4210">
        <v>0</v>
      </c>
      <c r="K4210" t="str">
        <f t="shared" si="752"/>
        <v>802</v>
      </c>
      <c r="L4210">
        <v>51.41</v>
      </c>
    </row>
    <row r="4211" spans="1:12" x14ac:dyDescent="0.25">
      <c r="A4211" t="str">
        <f t="shared" si="744"/>
        <v>89301000</v>
      </c>
      <c r="B4211" t="str">
        <f t="shared" si="750"/>
        <v>91866000</v>
      </c>
      <c r="C4211" t="str">
        <f t="shared" si="751"/>
        <v>91866313</v>
      </c>
      <c r="D4211">
        <v>89301704</v>
      </c>
      <c r="E4211" t="str">
        <f t="shared" ref="E4211:E4216" si="757">"1062211667"</f>
        <v>1062211667</v>
      </c>
      <c r="F4211" s="1">
        <v>45031</v>
      </c>
      <c r="G4211" t="str">
        <f t="shared" si="754"/>
        <v>82087</v>
      </c>
      <c r="H4211">
        <v>1</v>
      </c>
      <c r="I4211">
        <v>53</v>
      </c>
      <c r="J4211">
        <v>0</v>
      </c>
      <c r="K4211" t="str">
        <f t="shared" si="752"/>
        <v>802</v>
      </c>
      <c r="L4211">
        <v>51.41</v>
      </c>
    </row>
    <row r="4212" spans="1:12" x14ac:dyDescent="0.25">
      <c r="A4212" t="str">
        <f t="shared" si="744"/>
        <v>89301000</v>
      </c>
      <c r="B4212" t="str">
        <f t="shared" si="750"/>
        <v>91866000</v>
      </c>
      <c r="C4212" t="str">
        <f t="shared" si="751"/>
        <v>91866313</v>
      </c>
      <c r="D4212">
        <v>89301704</v>
      </c>
      <c r="E4212" t="str">
        <f t="shared" si="757"/>
        <v>1062211667</v>
      </c>
      <c r="F4212" s="1">
        <v>45031</v>
      </c>
      <c r="G4212" t="str">
        <f t="shared" si="754"/>
        <v>82087</v>
      </c>
      <c r="H4212">
        <v>1</v>
      </c>
      <c r="I4212">
        <v>53</v>
      </c>
      <c r="J4212">
        <v>0</v>
      </c>
      <c r="K4212" t="str">
        <f t="shared" si="752"/>
        <v>802</v>
      </c>
      <c r="L4212">
        <v>51.41</v>
      </c>
    </row>
    <row r="4213" spans="1:12" x14ac:dyDescent="0.25">
      <c r="A4213" t="str">
        <f t="shared" si="744"/>
        <v>89301000</v>
      </c>
      <c r="B4213" t="str">
        <f t="shared" si="750"/>
        <v>91866000</v>
      </c>
      <c r="C4213" t="str">
        <f t="shared" si="751"/>
        <v>91866313</v>
      </c>
      <c r="D4213">
        <v>89301704</v>
      </c>
      <c r="E4213" t="str">
        <f t="shared" si="757"/>
        <v>1062211667</v>
      </c>
      <c r="F4213" s="1">
        <v>45029</v>
      </c>
      <c r="G4213" t="str">
        <f t="shared" si="754"/>
        <v>82087</v>
      </c>
      <c r="H4213">
        <v>1</v>
      </c>
      <c r="I4213">
        <v>53</v>
      </c>
      <c r="J4213">
        <v>0</v>
      </c>
      <c r="K4213" t="str">
        <f t="shared" si="752"/>
        <v>802</v>
      </c>
      <c r="L4213">
        <v>51.41</v>
      </c>
    </row>
    <row r="4214" spans="1:12" x14ac:dyDescent="0.25">
      <c r="A4214" t="str">
        <f t="shared" si="744"/>
        <v>89301000</v>
      </c>
      <c r="B4214" t="str">
        <f t="shared" si="750"/>
        <v>91866000</v>
      </c>
      <c r="C4214" t="str">
        <f t="shared" si="751"/>
        <v>91866313</v>
      </c>
      <c r="D4214">
        <v>89301704</v>
      </c>
      <c r="E4214" t="str">
        <f t="shared" si="757"/>
        <v>1062211667</v>
      </c>
      <c r="F4214" s="1">
        <v>45030</v>
      </c>
      <c r="G4214" t="str">
        <f t="shared" si="754"/>
        <v>82087</v>
      </c>
      <c r="H4214">
        <v>1</v>
      </c>
      <c r="I4214">
        <v>53</v>
      </c>
      <c r="J4214">
        <v>0</v>
      </c>
      <c r="K4214" t="str">
        <f t="shared" si="752"/>
        <v>802</v>
      </c>
      <c r="L4214">
        <v>51.41</v>
      </c>
    </row>
    <row r="4215" spans="1:12" x14ac:dyDescent="0.25">
      <c r="A4215" t="str">
        <f t="shared" si="744"/>
        <v>89301000</v>
      </c>
      <c r="B4215" t="str">
        <f t="shared" si="750"/>
        <v>91866000</v>
      </c>
      <c r="C4215" t="str">
        <f t="shared" si="751"/>
        <v>91866313</v>
      </c>
      <c r="D4215">
        <v>89301704</v>
      </c>
      <c r="E4215" t="str">
        <f t="shared" si="757"/>
        <v>1062211667</v>
      </c>
      <c r="F4215" s="1">
        <v>45029</v>
      </c>
      <c r="G4215" t="str">
        <f t="shared" si="754"/>
        <v>82087</v>
      </c>
      <c r="H4215">
        <v>1</v>
      </c>
      <c r="I4215">
        <v>53</v>
      </c>
      <c r="J4215">
        <v>0</v>
      </c>
      <c r="K4215" t="str">
        <f t="shared" si="752"/>
        <v>802</v>
      </c>
      <c r="L4215">
        <v>51.41</v>
      </c>
    </row>
    <row r="4216" spans="1:12" x14ac:dyDescent="0.25">
      <c r="A4216" t="str">
        <f t="shared" si="744"/>
        <v>89301000</v>
      </c>
      <c r="B4216" t="str">
        <f t="shared" si="750"/>
        <v>91866000</v>
      </c>
      <c r="C4216" t="str">
        <f t="shared" si="751"/>
        <v>91866313</v>
      </c>
      <c r="D4216">
        <v>89301704</v>
      </c>
      <c r="E4216" t="str">
        <f t="shared" si="757"/>
        <v>1062211667</v>
      </c>
      <c r="F4216" s="1">
        <v>45030</v>
      </c>
      <c r="G4216" t="str">
        <f t="shared" si="754"/>
        <v>82087</v>
      </c>
      <c r="H4216">
        <v>1</v>
      </c>
      <c r="I4216">
        <v>53</v>
      </c>
      <c r="J4216">
        <v>0</v>
      </c>
      <c r="K4216" t="str">
        <f t="shared" si="752"/>
        <v>802</v>
      </c>
      <c r="L4216">
        <v>51.41</v>
      </c>
    </row>
    <row r="4217" spans="1:12" x14ac:dyDescent="0.25">
      <c r="A4217" t="str">
        <f t="shared" si="744"/>
        <v>89301000</v>
      </c>
      <c r="B4217" t="str">
        <f t="shared" si="750"/>
        <v>91866000</v>
      </c>
      <c r="C4217" t="str">
        <f t="shared" si="751"/>
        <v>91866313</v>
      </c>
      <c r="D4217">
        <v>89301101</v>
      </c>
      <c r="E4217" t="str">
        <f>"1303111601"</f>
        <v>1303111601</v>
      </c>
      <c r="F4217" s="1">
        <v>45030</v>
      </c>
      <c r="G4217" t="str">
        <f t="shared" si="754"/>
        <v>82087</v>
      </c>
      <c r="H4217">
        <v>1</v>
      </c>
      <c r="I4217">
        <v>53</v>
      </c>
      <c r="J4217">
        <v>0</v>
      </c>
      <c r="K4217" t="str">
        <f t="shared" si="752"/>
        <v>802</v>
      </c>
      <c r="L4217">
        <v>51.41</v>
      </c>
    </row>
    <row r="4218" spans="1:12" x14ac:dyDescent="0.25">
      <c r="A4218" t="str">
        <f t="shared" si="744"/>
        <v>89301000</v>
      </c>
      <c r="B4218" t="str">
        <f t="shared" si="750"/>
        <v>91866000</v>
      </c>
      <c r="C4218" t="str">
        <f t="shared" si="751"/>
        <v>91866313</v>
      </c>
      <c r="D4218">
        <v>89301101</v>
      </c>
      <c r="E4218" t="str">
        <f>"1303111601"</f>
        <v>1303111601</v>
      </c>
      <c r="F4218" s="1">
        <v>45030</v>
      </c>
      <c r="G4218" t="str">
        <f t="shared" si="754"/>
        <v>82087</v>
      </c>
      <c r="H4218">
        <v>1</v>
      </c>
      <c r="I4218">
        <v>53</v>
      </c>
      <c r="J4218">
        <v>0</v>
      </c>
      <c r="K4218" t="str">
        <f t="shared" si="752"/>
        <v>802</v>
      </c>
      <c r="L4218">
        <v>51.41</v>
      </c>
    </row>
    <row r="4219" spans="1:12" x14ac:dyDescent="0.25">
      <c r="A4219" t="str">
        <f t="shared" si="744"/>
        <v>89301000</v>
      </c>
      <c r="B4219" t="str">
        <f t="shared" si="750"/>
        <v>91866000</v>
      </c>
      <c r="C4219" t="str">
        <f t="shared" si="751"/>
        <v>91866313</v>
      </c>
      <c r="D4219">
        <v>89301101</v>
      </c>
      <c r="E4219" t="str">
        <f>"1303111601"</f>
        <v>1303111601</v>
      </c>
      <c r="F4219" s="1">
        <v>45031</v>
      </c>
      <c r="G4219" t="str">
        <f t="shared" si="754"/>
        <v>82087</v>
      </c>
      <c r="H4219">
        <v>1</v>
      </c>
      <c r="I4219">
        <v>53</v>
      </c>
      <c r="J4219">
        <v>0</v>
      </c>
      <c r="K4219" t="str">
        <f t="shared" si="752"/>
        <v>802</v>
      </c>
      <c r="L4219">
        <v>51.41</v>
      </c>
    </row>
    <row r="4220" spans="1:12" x14ac:dyDescent="0.25">
      <c r="A4220" t="str">
        <f t="shared" si="744"/>
        <v>89301000</v>
      </c>
      <c r="B4220" t="str">
        <f t="shared" si="750"/>
        <v>91866000</v>
      </c>
      <c r="C4220" t="str">
        <f t="shared" si="751"/>
        <v>91866313</v>
      </c>
      <c r="D4220">
        <v>89301101</v>
      </c>
      <c r="E4220" t="str">
        <f>"1303111601"</f>
        <v>1303111601</v>
      </c>
      <c r="F4220" s="1">
        <v>45031</v>
      </c>
      <c r="G4220" t="str">
        <f t="shared" si="754"/>
        <v>82087</v>
      </c>
      <c r="H4220">
        <v>1</v>
      </c>
      <c r="I4220">
        <v>53</v>
      </c>
      <c r="J4220">
        <v>0</v>
      </c>
      <c r="K4220" t="str">
        <f t="shared" si="752"/>
        <v>802</v>
      </c>
      <c r="L4220">
        <v>51.41</v>
      </c>
    </row>
    <row r="4221" spans="1:12" x14ac:dyDescent="0.25">
      <c r="A4221" t="str">
        <f t="shared" si="744"/>
        <v>89301000</v>
      </c>
      <c r="B4221" t="str">
        <f>"93699000"</f>
        <v>93699000</v>
      </c>
      <c r="C4221" t="str">
        <f>"93699001"</f>
        <v>93699001</v>
      </c>
      <c r="D4221">
        <v>89301152</v>
      </c>
      <c r="E4221" t="str">
        <f>"8662203847"</f>
        <v>8662203847</v>
      </c>
      <c r="F4221" s="1">
        <v>45019</v>
      </c>
      <c r="G4221" t="str">
        <f>"89131"</f>
        <v>89131</v>
      </c>
      <c r="H4221">
        <v>2</v>
      </c>
      <c r="I4221">
        <v>380</v>
      </c>
      <c r="J4221">
        <v>0</v>
      </c>
      <c r="K4221" t="str">
        <f>"809"</f>
        <v>809</v>
      </c>
      <c r="L4221">
        <v>558.6</v>
      </c>
    </row>
    <row r="4222" spans="1:12" x14ac:dyDescent="0.25">
      <c r="A4222" t="str">
        <f t="shared" si="744"/>
        <v>89301000</v>
      </c>
      <c r="B4222" t="str">
        <f t="shared" ref="B4222:C4225" si="758">"89632000"</f>
        <v>89632000</v>
      </c>
      <c r="C4222" t="str">
        <f t="shared" si="758"/>
        <v>89632000</v>
      </c>
      <c r="D4222">
        <v>89301212</v>
      </c>
      <c r="E4222" t="str">
        <f>"396206429"</f>
        <v>396206429</v>
      </c>
      <c r="F4222" s="1">
        <v>45019</v>
      </c>
      <c r="G4222" t="str">
        <f>"89131"</f>
        <v>89131</v>
      </c>
      <c r="H4222">
        <v>1</v>
      </c>
      <c r="I4222">
        <v>190</v>
      </c>
      <c r="J4222">
        <v>0</v>
      </c>
      <c r="K4222" t="str">
        <f>"809"</f>
        <v>809</v>
      </c>
      <c r="L4222">
        <v>279.3</v>
      </c>
    </row>
    <row r="4223" spans="1:12" x14ac:dyDescent="0.25">
      <c r="A4223" t="str">
        <f t="shared" si="744"/>
        <v>89301000</v>
      </c>
      <c r="B4223" t="str">
        <f t="shared" si="758"/>
        <v>89632000</v>
      </c>
      <c r="C4223" t="str">
        <f t="shared" si="758"/>
        <v>89632000</v>
      </c>
      <c r="D4223">
        <v>89301039</v>
      </c>
      <c r="E4223" t="str">
        <f>"6711230427"</f>
        <v>6711230427</v>
      </c>
      <c r="F4223" s="1">
        <v>45041</v>
      </c>
      <c r="G4223" t="str">
        <f>"09139"</f>
        <v>09139</v>
      </c>
      <c r="H4223">
        <v>1</v>
      </c>
      <c r="I4223">
        <v>356</v>
      </c>
      <c r="J4223">
        <v>0</v>
      </c>
      <c r="K4223" t="str">
        <f>"809"</f>
        <v>809</v>
      </c>
      <c r="L4223">
        <v>523.32000000000005</v>
      </c>
    </row>
    <row r="4224" spans="1:12" x14ac:dyDescent="0.25">
      <c r="A4224" t="str">
        <f t="shared" si="744"/>
        <v>89301000</v>
      </c>
      <c r="B4224" t="str">
        <f t="shared" si="758"/>
        <v>89632000</v>
      </c>
      <c r="C4224" t="str">
        <f t="shared" si="758"/>
        <v>89632000</v>
      </c>
      <c r="D4224">
        <v>89301212</v>
      </c>
      <c r="E4224" t="str">
        <f>"0159265700"</f>
        <v>0159265700</v>
      </c>
      <c r="F4224" s="1">
        <v>45044</v>
      </c>
      <c r="G4224" t="str">
        <f>"89513"</f>
        <v>89513</v>
      </c>
      <c r="H4224">
        <v>1</v>
      </c>
      <c r="I4224">
        <v>378</v>
      </c>
      <c r="J4224">
        <v>0</v>
      </c>
      <c r="K4224" t="str">
        <f>"809"</f>
        <v>809</v>
      </c>
      <c r="L4224">
        <v>555.66</v>
      </c>
    </row>
    <row r="4225" spans="1:12" x14ac:dyDescent="0.25">
      <c r="A4225" t="str">
        <f t="shared" si="744"/>
        <v>89301000</v>
      </c>
      <c r="B4225" t="str">
        <f t="shared" si="758"/>
        <v>89632000</v>
      </c>
      <c r="C4225" t="str">
        <f t="shared" si="758"/>
        <v>89632000</v>
      </c>
      <c r="D4225">
        <v>89301212</v>
      </c>
      <c r="E4225" t="str">
        <f>"0159265700"</f>
        <v>0159265700</v>
      </c>
      <c r="F4225" s="1">
        <v>45044</v>
      </c>
      <c r="G4225" t="str">
        <f>"89514"</f>
        <v>89514</v>
      </c>
      <c r="H4225">
        <v>1</v>
      </c>
      <c r="I4225">
        <v>378</v>
      </c>
      <c r="J4225">
        <v>0</v>
      </c>
      <c r="K4225" t="str">
        <f>"809"</f>
        <v>809</v>
      </c>
      <c r="L4225">
        <v>555.66</v>
      </c>
    </row>
    <row r="4226" spans="1:12" x14ac:dyDescent="0.25">
      <c r="A4226" t="str">
        <f t="shared" ref="A4226:A4289" si="759">"89301000"</f>
        <v>89301000</v>
      </c>
      <c r="B4226" t="str">
        <f t="shared" ref="B4226:B4254" si="760">"88805000"</f>
        <v>88805000</v>
      </c>
      <c r="C4226" t="str">
        <f t="shared" ref="C4226:C4233" si="761">"88805014"</f>
        <v>88805014</v>
      </c>
      <c r="D4226">
        <v>89301282</v>
      </c>
      <c r="E4226" t="str">
        <f>"1510240248"</f>
        <v>1510240248</v>
      </c>
      <c r="F4226" s="1">
        <v>44980</v>
      </c>
      <c r="G4226" t="str">
        <f>"94331"</f>
        <v>94331</v>
      </c>
      <c r="H4226">
        <v>1</v>
      </c>
      <c r="I4226">
        <v>7866</v>
      </c>
      <c r="J4226">
        <v>0</v>
      </c>
      <c r="K4226" t="str">
        <f t="shared" ref="K4226:K4233" si="762">"816"</f>
        <v>816</v>
      </c>
      <c r="L4226">
        <v>7079.4</v>
      </c>
    </row>
    <row r="4227" spans="1:12" x14ac:dyDescent="0.25">
      <c r="A4227" t="str">
        <f t="shared" si="759"/>
        <v>89301000</v>
      </c>
      <c r="B4227" t="str">
        <f t="shared" si="760"/>
        <v>88805000</v>
      </c>
      <c r="C4227" t="str">
        <f t="shared" si="761"/>
        <v>88805014</v>
      </c>
      <c r="D4227">
        <v>89301282</v>
      </c>
      <c r="E4227" t="str">
        <f>"1510240248"</f>
        <v>1510240248</v>
      </c>
      <c r="F4227" s="1">
        <v>44980</v>
      </c>
      <c r="G4227" t="str">
        <f>"94237"</f>
        <v>94237</v>
      </c>
      <c r="H4227">
        <v>1</v>
      </c>
      <c r="I4227">
        <v>3936</v>
      </c>
      <c r="J4227">
        <v>0</v>
      </c>
      <c r="K4227" t="str">
        <f t="shared" si="762"/>
        <v>816</v>
      </c>
      <c r="L4227">
        <v>3542.4</v>
      </c>
    </row>
    <row r="4228" spans="1:12" x14ac:dyDescent="0.25">
      <c r="A4228" t="str">
        <f t="shared" si="759"/>
        <v>89301000</v>
      </c>
      <c r="B4228" t="str">
        <f t="shared" si="760"/>
        <v>88805000</v>
      </c>
      <c r="C4228" t="str">
        <f t="shared" si="761"/>
        <v>88805014</v>
      </c>
      <c r="D4228">
        <v>89301282</v>
      </c>
      <c r="E4228" t="str">
        <f>"1510240248"</f>
        <v>1510240248</v>
      </c>
      <c r="F4228" s="1">
        <v>44980</v>
      </c>
      <c r="G4228" t="str">
        <f>"94227"</f>
        <v>94227</v>
      </c>
      <c r="H4228">
        <v>1</v>
      </c>
      <c r="I4228">
        <v>633</v>
      </c>
      <c r="J4228">
        <v>0</v>
      </c>
      <c r="K4228" t="str">
        <f t="shared" si="762"/>
        <v>816</v>
      </c>
      <c r="L4228">
        <v>569.70000000000005</v>
      </c>
    </row>
    <row r="4229" spans="1:12" x14ac:dyDescent="0.25">
      <c r="A4229" t="str">
        <f t="shared" si="759"/>
        <v>89301000</v>
      </c>
      <c r="B4229" t="str">
        <f t="shared" si="760"/>
        <v>88805000</v>
      </c>
      <c r="C4229" t="str">
        <f t="shared" si="761"/>
        <v>88805014</v>
      </c>
      <c r="D4229">
        <v>89301282</v>
      </c>
      <c r="E4229" t="str">
        <f>"1751230316"</f>
        <v>1751230316</v>
      </c>
      <c r="F4229" s="1">
        <v>44999</v>
      </c>
      <c r="G4229" t="str">
        <f>"94345"</f>
        <v>94345</v>
      </c>
      <c r="H4229">
        <v>1</v>
      </c>
      <c r="I4229">
        <v>4662</v>
      </c>
      <c r="J4229">
        <v>0</v>
      </c>
      <c r="K4229" t="str">
        <f t="shared" si="762"/>
        <v>816</v>
      </c>
      <c r="L4229">
        <v>4195.8</v>
      </c>
    </row>
    <row r="4230" spans="1:12" x14ac:dyDescent="0.25">
      <c r="A4230" t="str">
        <f t="shared" si="759"/>
        <v>89301000</v>
      </c>
      <c r="B4230" t="str">
        <f t="shared" si="760"/>
        <v>88805000</v>
      </c>
      <c r="C4230" t="str">
        <f t="shared" si="761"/>
        <v>88805014</v>
      </c>
      <c r="D4230">
        <v>89301282</v>
      </c>
      <c r="E4230" t="str">
        <f>"2256010042"</f>
        <v>2256010042</v>
      </c>
      <c r="F4230" s="1">
        <v>44999</v>
      </c>
      <c r="G4230" t="str">
        <f>"94345"</f>
        <v>94345</v>
      </c>
      <c r="H4230">
        <v>1</v>
      </c>
      <c r="I4230">
        <v>4662</v>
      </c>
      <c r="J4230">
        <v>0</v>
      </c>
      <c r="K4230" t="str">
        <f t="shared" si="762"/>
        <v>816</v>
      </c>
      <c r="L4230">
        <v>4195.8</v>
      </c>
    </row>
    <row r="4231" spans="1:12" x14ac:dyDescent="0.25">
      <c r="A4231" t="str">
        <f t="shared" si="759"/>
        <v>89301000</v>
      </c>
      <c r="B4231" t="str">
        <f t="shared" si="760"/>
        <v>88805000</v>
      </c>
      <c r="C4231" t="str">
        <f t="shared" si="761"/>
        <v>88805014</v>
      </c>
      <c r="D4231">
        <v>89301282</v>
      </c>
      <c r="E4231" t="str">
        <f>"8557217427"</f>
        <v>8557217427</v>
      </c>
      <c r="F4231" s="1">
        <v>44995</v>
      </c>
      <c r="G4231" t="str">
        <f>"94345"</f>
        <v>94345</v>
      </c>
      <c r="H4231">
        <v>1</v>
      </c>
      <c r="I4231">
        <v>4662</v>
      </c>
      <c r="J4231">
        <v>0</v>
      </c>
      <c r="K4231" t="str">
        <f t="shared" si="762"/>
        <v>816</v>
      </c>
      <c r="L4231">
        <v>4195.8</v>
      </c>
    </row>
    <row r="4232" spans="1:12" x14ac:dyDescent="0.25">
      <c r="A4232" t="str">
        <f t="shared" si="759"/>
        <v>89301000</v>
      </c>
      <c r="B4232" t="str">
        <f t="shared" si="760"/>
        <v>88805000</v>
      </c>
      <c r="C4232" t="str">
        <f t="shared" si="761"/>
        <v>88805014</v>
      </c>
      <c r="D4232">
        <v>89301282</v>
      </c>
      <c r="E4232" t="str">
        <f>"8054055691"</f>
        <v>8054055691</v>
      </c>
      <c r="F4232" s="1">
        <v>44998</v>
      </c>
      <c r="G4232" t="str">
        <f>"94345"</f>
        <v>94345</v>
      </c>
      <c r="H4232">
        <v>1</v>
      </c>
      <c r="I4232">
        <v>4662</v>
      </c>
      <c r="J4232">
        <v>0</v>
      </c>
      <c r="K4232" t="str">
        <f t="shared" si="762"/>
        <v>816</v>
      </c>
      <c r="L4232">
        <v>4195.8</v>
      </c>
    </row>
    <row r="4233" spans="1:12" x14ac:dyDescent="0.25">
      <c r="A4233" t="str">
        <f t="shared" si="759"/>
        <v>89301000</v>
      </c>
      <c r="B4233" t="str">
        <f t="shared" si="760"/>
        <v>88805000</v>
      </c>
      <c r="C4233" t="str">
        <f t="shared" si="761"/>
        <v>88805014</v>
      </c>
      <c r="D4233">
        <v>89301282</v>
      </c>
      <c r="E4233" t="str">
        <f>"8862055796"</f>
        <v>8862055796</v>
      </c>
      <c r="F4233" s="1">
        <v>44995</v>
      </c>
      <c r="G4233" t="str">
        <f>"94345"</f>
        <v>94345</v>
      </c>
      <c r="H4233">
        <v>2</v>
      </c>
      <c r="I4233">
        <v>9324</v>
      </c>
      <c r="J4233">
        <v>0</v>
      </c>
      <c r="K4233" t="str">
        <f t="shared" si="762"/>
        <v>816</v>
      </c>
      <c r="L4233">
        <v>8391.6</v>
      </c>
    </row>
    <row r="4234" spans="1:12" x14ac:dyDescent="0.25">
      <c r="A4234" t="str">
        <f t="shared" si="759"/>
        <v>89301000</v>
      </c>
      <c r="B4234" t="str">
        <f t="shared" si="760"/>
        <v>88805000</v>
      </c>
      <c r="C4234" t="str">
        <f t="shared" ref="C4234:C4248" si="763">"88805001"</f>
        <v>88805001</v>
      </c>
      <c r="D4234">
        <v>89301202</v>
      </c>
      <c r="E4234" t="str">
        <f>"6053170948"</f>
        <v>6053170948</v>
      </c>
      <c r="F4234" s="1">
        <v>45029</v>
      </c>
      <c r="G4234" t="str">
        <f t="shared" ref="G4234:G4239" si="764">"97111"</f>
        <v>97111</v>
      </c>
      <c r="H4234">
        <v>1</v>
      </c>
      <c r="I4234">
        <v>19</v>
      </c>
      <c r="J4234">
        <v>0</v>
      </c>
      <c r="K4234" t="str">
        <f t="shared" ref="K4234:K4248" si="765">"801"</f>
        <v>801</v>
      </c>
      <c r="L4234">
        <v>23.94</v>
      </c>
    </row>
    <row r="4235" spans="1:12" x14ac:dyDescent="0.25">
      <c r="A4235" t="str">
        <f t="shared" si="759"/>
        <v>89301000</v>
      </c>
      <c r="B4235" t="str">
        <f t="shared" si="760"/>
        <v>88805000</v>
      </c>
      <c r="C4235" t="str">
        <f t="shared" si="763"/>
        <v>88805001</v>
      </c>
      <c r="D4235">
        <v>89301202</v>
      </c>
      <c r="E4235" t="str">
        <f>"8411115306"</f>
        <v>8411115306</v>
      </c>
      <c r="F4235" s="1">
        <v>45035</v>
      </c>
      <c r="G4235" t="str">
        <f t="shared" si="764"/>
        <v>97111</v>
      </c>
      <c r="H4235">
        <v>1</v>
      </c>
      <c r="I4235">
        <v>19</v>
      </c>
      <c r="J4235">
        <v>0</v>
      </c>
      <c r="K4235" t="str">
        <f t="shared" si="765"/>
        <v>801</v>
      </c>
      <c r="L4235">
        <v>23.94</v>
      </c>
    </row>
    <row r="4236" spans="1:12" x14ac:dyDescent="0.25">
      <c r="A4236" t="str">
        <f t="shared" si="759"/>
        <v>89301000</v>
      </c>
      <c r="B4236" t="str">
        <f t="shared" si="760"/>
        <v>88805000</v>
      </c>
      <c r="C4236" t="str">
        <f t="shared" si="763"/>
        <v>88805001</v>
      </c>
      <c r="D4236">
        <v>89301101</v>
      </c>
      <c r="E4236" t="str">
        <f>"2157022043"</f>
        <v>2157022043</v>
      </c>
      <c r="F4236" s="1">
        <v>45042</v>
      </c>
      <c r="G4236" t="str">
        <f t="shared" si="764"/>
        <v>97111</v>
      </c>
      <c r="H4236">
        <v>1</v>
      </c>
      <c r="I4236">
        <v>19</v>
      </c>
      <c r="J4236">
        <v>0</v>
      </c>
      <c r="K4236" t="str">
        <f t="shared" si="765"/>
        <v>801</v>
      </c>
      <c r="L4236">
        <v>23.94</v>
      </c>
    </row>
    <row r="4237" spans="1:12" x14ac:dyDescent="0.25">
      <c r="A4237" t="str">
        <f t="shared" si="759"/>
        <v>89301000</v>
      </c>
      <c r="B4237" t="str">
        <f t="shared" si="760"/>
        <v>88805000</v>
      </c>
      <c r="C4237" t="str">
        <f t="shared" si="763"/>
        <v>88805001</v>
      </c>
      <c r="D4237">
        <v>89301202</v>
      </c>
      <c r="E4237" t="str">
        <f>"1156200254"</f>
        <v>1156200254</v>
      </c>
      <c r="F4237" s="1">
        <v>45029</v>
      </c>
      <c r="G4237" t="str">
        <f t="shared" si="764"/>
        <v>97111</v>
      </c>
      <c r="H4237">
        <v>1</v>
      </c>
      <c r="I4237">
        <v>19</v>
      </c>
      <c r="J4237">
        <v>0</v>
      </c>
      <c r="K4237" t="str">
        <f t="shared" si="765"/>
        <v>801</v>
      </c>
      <c r="L4237">
        <v>23.94</v>
      </c>
    </row>
    <row r="4238" spans="1:12" x14ac:dyDescent="0.25">
      <c r="A4238" t="str">
        <f t="shared" si="759"/>
        <v>89301000</v>
      </c>
      <c r="B4238" t="str">
        <f t="shared" si="760"/>
        <v>88805000</v>
      </c>
      <c r="C4238" t="str">
        <f t="shared" si="763"/>
        <v>88805001</v>
      </c>
      <c r="D4238">
        <v>89301107</v>
      </c>
      <c r="E4238" t="str">
        <f>"0508076151"</f>
        <v>0508076151</v>
      </c>
      <c r="F4238" s="1">
        <v>45042</v>
      </c>
      <c r="G4238" t="str">
        <f t="shared" si="764"/>
        <v>97111</v>
      </c>
      <c r="H4238">
        <v>1</v>
      </c>
      <c r="I4238">
        <v>19</v>
      </c>
      <c r="J4238">
        <v>0</v>
      </c>
      <c r="K4238" t="str">
        <f t="shared" si="765"/>
        <v>801</v>
      </c>
      <c r="L4238">
        <v>23.94</v>
      </c>
    </row>
    <row r="4239" spans="1:12" x14ac:dyDescent="0.25">
      <c r="A4239" t="str">
        <f t="shared" si="759"/>
        <v>89301000</v>
      </c>
      <c r="B4239" t="str">
        <f t="shared" si="760"/>
        <v>88805000</v>
      </c>
      <c r="C4239" t="str">
        <f t="shared" si="763"/>
        <v>88805001</v>
      </c>
      <c r="D4239">
        <v>89301108</v>
      </c>
      <c r="E4239" t="str">
        <f>"0812223247"</f>
        <v>0812223247</v>
      </c>
      <c r="F4239" s="1">
        <v>45036</v>
      </c>
      <c r="G4239" t="str">
        <f t="shared" si="764"/>
        <v>97111</v>
      </c>
      <c r="H4239">
        <v>1</v>
      </c>
      <c r="I4239">
        <v>19</v>
      </c>
      <c r="J4239">
        <v>0</v>
      </c>
      <c r="K4239" t="str">
        <f t="shared" si="765"/>
        <v>801</v>
      </c>
      <c r="L4239">
        <v>23.94</v>
      </c>
    </row>
    <row r="4240" spans="1:12" x14ac:dyDescent="0.25">
      <c r="A4240" t="str">
        <f t="shared" si="759"/>
        <v>89301000</v>
      </c>
      <c r="B4240" t="str">
        <f t="shared" si="760"/>
        <v>88805000</v>
      </c>
      <c r="C4240" t="str">
        <f t="shared" si="763"/>
        <v>88805001</v>
      </c>
      <c r="D4240">
        <v>89301202</v>
      </c>
      <c r="E4240" t="str">
        <f>"6053170948"</f>
        <v>6053170948</v>
      </c>
      <c r="F4240" s="1">
        <v>45029</v>
      </c>
      <c r="G4240" t="str">
        <f>"81643"</f>
        <v>81643</v>
      </c>
      <c r="H4240">
        <v>1</v>
      </c>
      <c r="I4240">
        <v>104</v>
      </c>
      <c r="J4240">
        <v>0</v>
      </c>
      <c r="K4240" t="str">
        <f t="shared" si="765"/>
        <v>801</v>
      </c>
      <c r="L4240">
        <v>87.36</v>
      </c>
    </row>
    <row r="4241" spans="1:12" x14ac:dyDescent="0.25">
      <c r="A4241" t="str">
        <f t="shared" si="759"/>
        <v>89301000</v>
      </c>
      <c r="B4241" t="str">
        <f t="shared" si="760"/>
        <v>88805000</v>
      </c>
      <c r="C4241" t="str">
        <f t="shared" si="763"/>
        <v>88805001</v>
      </c>
      <c r="D4241">
        <v>89301202</v>
      </c>
      <c r="E4241" t="str">
        <f>"8411115306"</f>
        <v>8411115306</v>
      </c>
      <c r="F4241" s="1">
        <v>45035</v>
      </c>
      <c r="G4241" t="str">
        <f>"81643"</f>
        <v>81643</v>
      </c>
      <c r="H4241">
        <v>1</v>
      </c>
      <c r="I4241">
        <v>104</v>
      </c>
      <c r="J4241">
        <v>0</v>
      </c>
      <c r="K4241" t="str">
        <f t="shared" si="765"/>
        <v>801</v>
      </c>
      <c r="L4241">
        <v>87.36</v>
      </c>
    </row>
    <row r="4242" spans="1:12" x14ac:dyDescent="0.25">
      <c r="A4242" t="str">
        <f t="shared" si="759"/>
        <v>89301000</v>
      </c>
      <c r="B4242" t="str">
        <f t="shared" si="760"/>
        <v>88805000</v>
      </c>
      <c r="C4242" t="str">
        <f t="shared" si="763"/>
        <v>88805001</v>
      </c>
      <c r="D4242">
        <v>89301202</v>
      </c>
      <c r="E4242" t="str">
        <f>"1156200254"</f>
        <v>1156200254</v>
      </c>
      <c r="F4242" s="1">
        <v>45029</v>
      </c>
      <c r="G4242" t="str">
        <f>"81643"</f>
        <v>81643</v>
      </c>
      <c r="H4242">
        <v>1</v>
      </c>
      <c r="I4242">
        <v>104</v>
      </c>
      <c r="J4242">
        <v>0</v>
      </c>
      <c r="K4242" t="str">
        <f t="shared" si="765"/>
        <v>801</v>
      </c>
      <c r="L4242">
        <v>87.36</v>
      </c>
    </row>
    <row r="4243" spans="1:12" x14ac:dyDescent="0.25">
      <c r="A4243" t="str">
        <f t="shared" si="759"/>
        <v>89301000</v>
      </c>
      <c r="B4243" t="str">
        <f t="shared" si="760"/>
        <v>88805000</v>
      </c>
      <c r="C4243" t="str">
        <f t="shared" si="763"/>
        <v>88805001</v>
      </c>
      <c r="D4243">
        <v>89301101</v>
      </c>
      <c r="E4243" t="str">
        <f>"2157022043"</f>
        <v>2157022043</v>
      </c>
      <c r="F4243" s="1">
        <v>45042</v>
      </c>
      <c r="G4243" t="str">
        <f>"81631"</f>
        <v>81631</v>
      </c>
      <c r="H4243">
        <v>1</v>
      </c>
      <c r="I4243">
        <v>299</v>
      </c>
      <c r="J4243">
        <v>0</v>
      </c>
      <c r="K4243" t="str">
        <f t="shared" si="765"/>
        <v>801</v>
      </c>
      <c r="L4243">
        <v>251.16</v>
      </c>
    </row>
    <row r="4244" spans="1:12" x14ac:dyDescent="0.25">
      <c r="A4244" t="str">
        <f t="shared" si="759"/>
        <v>89301000</v>
      </c>
      <c r="B4244" t="str">
        <f t="shared" si="760"/>
        <v>88805000</v>
      </c>
      <c r="C4244" t="str">
        <f t="shared" si="763"/>
        <v>88805001</v>
      </c>
      <c r="D4244">
        <v>89301101</v>
      </c>
      <c r="E4244" t="str">
        <f>"2157022043"</f>
        <v>2157022043</v>
      </c>
      <c r="F4244" s="1">
        <v>45042</v>
      </c>
      <c r="G4244" t="str">
        <f>"92143"</f>
        <v>92143</v>
      </c>
      <c r="H4244">
        <v>1</v>
      </c>
      <c r="I4244">
        <v>1772</v>
      </c>
      <c r="J4244">
        <v>0</v>
      </c>
      <c r="K4244" t="str">
        <f t="shared" si="765"/>
        <v>801</v>
      </c>
      <c r="L4244">
        <v>1488.48</v>
      </c>
    </row>
    <row r="4245" spans="1:12" x14ac:dyDescent="0.25">
      <c r="A4245" t="str">
        <f t="shared" si="759"/>
        <v>89301000</v>
      </c>
      <c r="B4245" t="str">
        <f t="shared" si="760"/>
        <v>88805000</v>
      </c>
      <c r="C4245" t="str">
        <f t="shared" si="763"/>
        <v>88805001</v>
      </c>
      <c r="D4245">
        <v>89301108</v>
      </c>
      <c r="E4245" t="str">
        <f>"0812223247"</f>
        <v>0812223247</v>
      </c>
      <c r="F4245" s="1">
        <v>45036</v>
      </c>
      <c r="G4245" t="str">
        <f>"81631"</f>
        <v>81631</v>
      </c>
      <c r="H4245">
        <v>1</v>
      </c>
      <c r="I4245">
        <v>299</v>
      </c>
      <c r="J4245">
        <v>0</v>
      </c>
      <c r="K4245" t="str">
        <f t="shared" si="765"/>
        <v>801</v>
      </c>
      <c r="L4245">
        <v>251.16</v>
      </c>
    </row>
    <row r="4246" spans="1:12" x14ac:dyDescent="0.25">
      <c r="A4246" t="str">
        <f t="shared" si="759"/>
        <v>89301000</v>
      </c>
      <c r="B4246" t="str">
        <f t="shared" si="760"/>
        <v>88805000</v>
      </c>
      <c r="C4246" t="str">
        <f t="shared" si="763"/>
        <v>88805001</v>
      </c>
      <c r="D4246">
        <v>89301108</v>
      </c>
      <c r="E4246" t="str">
        <f>"0812223247"</f>
        <v>0812223247</v>
      </c>
      <c r="F4246" s="1">
        <v>45036</v>
      </c>
      <c r="G4246" t="str">
        <f>"92143"</f>
        <v>92143</v>
      </c>
      <c r="H4246">
        <v>1</v>
      </c>
      <c r="I4246">
        <v>1772</v>
      </c>
      <c r="J4246">
        <v>0</v>
      </c>
      <c r="K4246" t="str">
        <f t="shared" si="765"/>
        <v>801</v>
      </c>
      <c r="L4246">
        <v>1488.48</v>
      </c>
    </row>
    <row r="4247" spans="1:12" x14ac:dyDescent="0.25">
      <c r="A4247" t="str">
        <f t="shared" si="759"/>
        <v>89301000</v>
      </c>
      <c r="B4247" t="str">
        <f t="shared" si="760"/>
        <v>88805000</v>
      </c>
      <c r="C4247" t="str">
        <f t="shared" si="763"/>
        <v>88805001</v>
      </c>
      <c r="D4247">
        <v>89301107</v>
      </c>
      <c r="E4247" t="str">
        <f>"0508076151"</f>
        <v>0508076151</v>
      </c>
      <c r="F4247" s="1">
        <v>45042</v>
      </c>
      <c r="G4247" t="str">
        <f>"81631"</f>
        <v>81631</v>
      </c>
      <c r="H4247">
        <v>1</v>
      </c>
      <c r="I4247">
        <v>299</v>
      </c>
      <c r="J4247">
        <v>0</v>
      </c>
      <c r="K4247" t="str">
        <f t="shared" si="765"/>
        <v>801</v>
      </c>
      <c r="L4247">
        <v>251.16</v>
      </c>
    </row>
    <row r="4248" spans="1:12" x14ac:dyDescent="0.25">
      <c r="A4248" t="str">
        <f t="shared" si="759"/>
        <v>89301000</v>
      </c>
      <c r="B4248" t="str">
        <f t="shared" si="760"/>
        <v>88805000</v>
      </c>
      <c r="C4248" t="str">
        <f t="shared" si="763"/>
        <v>88805001</v>
      </c>
      <c r="D4248">
        <v>89301107</v>
      </c>
      <c r="E4248" t="str">
        <f>"0508076151"</f>
        <v>0508076151</v>
      </c>
      <c r="F4248" s="1">
        <v>45042</v>
      </c>
      <c r="G4248" t="str">
        <f>"92143"</f>
        <v>92143</v>
      </c>
      <c r="H4248">
        <v>1</v>
      </c>
      <c r="I4248">
        <v>1772</v>
      </c>
      <c r="J4248">
        <v>0</v>
      </c>
      <c r="K4248" t="str">
        <f t="shared" si="765"/>
        <v>801</v>
      </c>
      <c r="L4248">
        <v>1488.48</v>
      </c>
    </row>
    <row r="4249" spans="1:12" x14ac:dyDescent="0.25">
      <c r="A4249" t="str">
        <f t="shared" si="759"/>
        <v>89301000</v>
      </c>
      <c r="B4249" t="str">
        <f t="shared" si="760"/>
        <v>88805000</v>
      </c>
      <c r="C4249" t="str">
        <f t="shared" ref="C4249:C4254" si="766">"88805014"</f>
        <v>88805014</v>
      </c>
      <c r="D4249">
        <v>89301282</v>
      </c>
      <c r="E4249" t="str">
        <f>"1154280281"</f>
        <v>1154280281</v>
      </c>
      <c r="F4249" s="1">
        <v>45029</v>
      </c>
      <c r="G4249" t="str">
        <f>"94345"</f>
        <v>94345</v>
      </c>
      <c r="H4249">
        <v>1</v>
      </c>
      <c r="I4249">
        <v>4662</v>
      </c>
      <c r="J4249">
        <v>0</v>
      </c>
      <c r="K4249" t="str">
        <f t="shared" ref="K4249:K4254" si="767">"816"</f>
        <v>816</v>
      </c>
      <c r="L4249">
        <v>4195.8</v>
      </c>
    </row>
    <row r="4250" spans="1:12" x14ac:dyDescent="0.25">
      <c r="A4250" t="str">
        <f t="shared" si="759"/>
        <v>89301000</v>
      </c>
      <c r="B4250" t="str">
        <f t="shared" si="760"/>
        <v>88805000</v>
      </c>
      <c r="C4250" t="str">
        <f t="shared" si="766"/>
        <v>88805014</v>
      </c>
      <c r="D4250">
        <v>89301282</v>
      </c>
      <c r="E4250" t="str">
        <f>"1154280281"</f>
        <v>1154280281</v>
      </c>
      <c r="F4250" s="1">
        <v>45029</v>
      </c>
      <c r="G4250" t="str">
        <f>"94948"</f>
        <v>94948</v>
      </c>
      <c r="H4250">
        <v>1</v>
      </c>
      <c r="I4250">
        <v>0</v>
      </c>
      <c r="J4250">
        <v>0</v>
      </c>
      <c r="K4250" t="str">
        <f t="shared" si="767"/>
        <v>816</v>
      </c>
      <c r="L4250">
        <v>0</v>
      </c>
    </row>
    <row r="4251" spans="1:12" x14ac:dyDescent="0.25">
      <c r="A4251" t="str">
        <f t="shared" si="759"/>
        <v>89301000</v>
      </c>
      <c r="B4251" t="str">
        <f t="shared" si="760"/>
        <v>88805000</v>
      </c>
      <c r="C4251" t="str">
        <f t="shared" si="766"/>
        <v>88805014</v>
      </c>
      <c r="D4251">
        <v>89301282</v>
      </c>
      <c r="E4251" t="str">
        <f>"1406070017"</f>
        <v>1406070017</v>
      </c>
      <c r="F4251" s="1">
        <v>45029</v>
      </c>
      <c r="G4251" t="str">
        <f>"94345"</f>
        <v>94345</v>
      </c>
      <c r="H4251">
        <v>1</v>
      </c>
      <c r="I4251">
        <v>4662</v>
      </c>
      <c r="J4251">
        <v>0</v>
      </c>
      <c r="K4251" t="str">
        <f t="shared" si="767"/>
        <v>816</v>
      </c>
      <c r="L4251">
        <v>4195.8</v>
      </c>
    </row>
    <row r="4252" spans="1:12" x14ac:dyDescent="0.25">
      <c r="A4252" t="str">
        <f t="shared" si="759"/>
        <v>89301000</v>
      </c>
      <c r="B4252" t="str">
        <f t="shared" si="760"/>
        <v>88805000</v>
      </c>
      <c r="C4252" t="str">
        <f t="shared" si="766"/>
        <v>88805014</v>
      </c>
      <c r="D4252">
        <v>89301282</v>
      </c>
      <c r="E4252" t="str">
        <f>"1406070017"</f>
        <v>1406070017</v>
      </c>
      <c r="F4252" s="1">
        <v>45029</v>
      </c>
      <c r="G4252" t="str">
        <f>"94948"</f>
        <v>94948</v>
      </c>
      <c r="H4252">
        <v>1</v>
      </c>
      <c r="I4252">
        <v>0</v>
      </c>
      <c r="J4252">
        <v>0</v>
      </c>
      <c r="K4252" t="str">
        <f t="shared" si="767"/>
        <v>816</v>
      </c>
      <c r="L4252">
        <v>0</v>
      </c>
    </row>
    <row r="4253" spans="1:12" x14ac:dyDescent="0.25">
      <c r="A4253" t="str">
        <f t="shared" si="759"/>
        <v>89301000</v>
      </c>
      <c r="B4253" t="str">
        <f t="shared" si="760"/>
        <v>88805000</v>
      </c>
      <c r="C4253" t="str">
        <f t="shared" si="766"/>
        <v>88805014</v>
      </c>
      <c r="D4253">
        <v>89301282</v>
      </c>
      <c r="E4253" t="str">
        <f>"1058270312"</f>
        <v>1058270312</v>
      </c>
      <c r="F4253" s="1">
        <v>45019</v>
      </c>
      <c r="G4253" t="str">
        <f>"94983"</f>
        <v>94983</v>
      </c>
      <c r="H4253">
        <v>1</v>
      </c>
      <c r="I4253">
        <v>0</v>
      </c>
      <c r="J4253">
        <v>39600</v>
      </c>
      <c r="K4253" t="str">
        <f t="shared" si="767"/>
        <v>816</v>
      </c>
      <c r="L4253">
        <v>39600</v>
      </c>
    </row>
    <row r="4254" spans="1:12" x14ac:dyDescent="0.25">
      <c r="A4254" t="str">
        <f t="shared" si="759"/>
        <v>89301000</v>
      </c>
      <c r="B4254" t="str">
        <f t="shared" si="760"/>
        <v>88805000</v>
      </c>
      <c r="C4254" t="str">
        <f t="shared" si="766"/>
        <v>88805014</v>
      </c>
      <c r="D4254">
        <v>89301282</v>
      </c>
      <c r="E4254" t="str">
        <f>"1058270312"</f>
        <v>1058270312</v>
      </c>
      <c r="F4254" s="1">
        <v>45019</v>
      </c>
      <c r="G4254" t="str">
        <f>"94996"</f>
        <v>94996</v>
      </c>
      <c r="H4254">
        <v>1</v>
      </c>
      <c r="I4254">
        <v>0</v>
      </c>
      <c r="J4254">
        <v>0</v>
      </c>
      <c r="K4254" t="str">
        <f t="shared" si="767"/>
        <v>816</v>
      </c>
      <c r="L4254">
        <v>0</v>
      </c>
    </row>
    <row r="4255" spans="1:12" x14ac:dyDescent="0.25">
      <c r="A4255" t="str">
        <f t="shared" si="759"/>
        <v>89301000</v>
      </c>
      <c r="B4255" t="str">
        <f t="shared" ref="B4255:B4262" si="768">"02384000"</f>
        <v>02384000</v>
      </c>
      <c r="C4255" t="str">
        <f t="shared" ref="C4255:C4262" si="769">"02384007"</f>
        <v>02384007</v>
      </c>
      <c r="D4255">
        <v>89301037</v>
      </c>
      <c r="E4255" t="str">
        <f>"6159050755"</f>
        <v>6159050755</v>
      </c>
      <c r="F4255" s="1">
        <v>45033</v>
      </c>
      <c r="G4255" t="str">
        <f>"89312"</f>
        <v>89312</v>
      </c>
      <c r="H4255">
        <v>1</v>
      </c>
      <c r="I4255">
        <v>312</v>
      </c>
      <c r="J4255">
        <v>0</v>
      </c>
      <c r="K4255" t="str">
        <f t="shared" ref="K4255:K4268" si="770">"809"</f>
        <v>809</v>
      </c>
      <c r="L4255">
        <v>340.08</v>
      </c>
    </row>
    <row r="4256" spans="1:12" x14ac:dyDescent="0.25">
      <c r="A4256" t="str">
        <f t="shared" si="759"/>
        <v>89301000</v>
      </c>
      <c r="B4256" t="str">
        <f t="shared" si="768"/>
        <v>02384000</v>
      </c>
      <c r="C4256" t="str">
        <f t="shared" si="769"/>
        <v>02384007</v>
      </c>
      <c r="D4256">
        <v>89301037</v>
      </c>
      <c r="E4256" t="str">
        <f>"6159050755"</f>
        <v>6159050755</v>
      </c>
      <c r="F4256" s="1">
        <v>45033</v>
      </c>
      <c r="G4256" t="str">
        <f>"89312"</f>
        <v>89312</v>
      </c>
      <c r="H4256">
        <v>2</v>
      </c>
      <c r="I4256">
        <v>624</v>
      </c>
      <c r="J4256">
        <v>0</v>
      </c>
      <c r="K4256" t="str">
        <f t="shared" si="770"/>
        <v>809</v>
      </c>
      <c r="L4256">
        <v>680.16</v>
      </c>
    </row>
    <row r="4257" spans="1:12" x14ac:dyDescent="0.25">
      <c r="A4257" t="str">
        <f t="shared" si="759"/>
        <v>89301000</v>
      </c>
      <c r="B4257" t="str">
        <f t="shared" si="768"/>
        <v>02384000</v>
      </c>
      <c r="C4257" t="str">
        <f t="shared" si="769"/>
        <v>02384007</v>
      </c>
      <c r="D4257">
        <v>89301215</v>
      </c>
      <c r="E4257" t="str">
        <f>"6460141347"</f>
        <v>6460141347</v>
      </c>
      <c r="F4257" s="1">
        <v>45044</v>
      </c>
      <c r="G4257" t="str">
        <f>"89513"</f>
        <v>89513</v>
      </c>
      <c r="H4257">
        <v>1</v>
      </c>
      <c r="I4257">
        <v>378</v>
      </c>
      <c r="J4257">
        <v>0</v>
      </c>
      <c r="K4257" t="str">
        <f t="shared" si="770"/>
        <v>809</v>
      </c>
      <c r="L4257">
        <v>555.66</v>
      </c>
    </row>
    <row r="4258" spans="1:12" x14ac:dyDescent="0.25">
      <c r="A4258" t="str">
        <f t="shared" si="759"/>
        <v>89301000</v>
      </c>
      <c r="B4258" t="str">
        <f t="shared" si="768"/>
        <v>02384000</v>
      </c>
      <c r="C4258" t="str">
        <f t="shared" si="769"/>
        <v>02384007</v>
      </c>
      <c r="D4258">
        <v>89301215</v>
      </c>
      <c r="E4258" t="str">
        <f>"6460141347"</f>
        <v>6460141347</v>
      </c>
      <c r="F4258" s="1">
        <v>45044</v>
      </c>
      <c r="G4258" t="str">
        <f>"89514"</f>
        <v>89514</v>
      </c>
      <c r="H4258">
        <v>1</v>
      </c>
      <c r="I4258">
        <v>378</v>
      </c>
      <c r="J4258">
        <v>0</v>
      </c>
      <c r="K4258" t="str">
        <f t="shared" si="770"/>
        <v>809</v>
      </c>
      <c r="L4258">
        <v>555.66</v>
      </c>
    </row>
    <row r="4259" spans="1:12" x14ac:dyDescent="0.25">
      <c r="A4259" t="str">
        <f t="shared" si="759"/>
        <v>89301000</v>
      </c>
      <c r="B4259" t="str">
        <f t="shared" si="768"/>
        <v>02384000</v>
      </c>
      <c r="C4259" t="str">
        <f t="shared" si="769"/>
        <v>02384007</v>
      </c>
      <c r="D4259">
        <v>89301215</v>
      </c>
      <c r="E4259" t="str">
        <f>"6460141347"</f>
        <v>6460141347</v>
      </c>
      <c r="F4259" s="1">
        <v>45044</v>
      </c>
      <c r="G4259" t="str">
        <f>"09137"</f>
        <v>09137</v>
      </c>
      <c r="H4259">
        <v>1</v>
      </c>
      <c r="I4259">
        <v>238</v>
      </c>
      <c r="J4259">
        <v>0</v>
      </c>
      <c r="K4259" t="str">
        <f t="shared" si="770"/>
        <v>809</v>
      </c>
      <c r="L4259">
        <v>349.86</v>
      </c>
    </row>
    <row r="4260" spans="1:12" x14ac:dyDescent="0.25">
      <c r="A4260" t="str">
        <f t="shared" si="759"/>
        <v>89301000</v>
      </c>
      <c r="B4260" t="str">
        <f t="shared" si="768"/>
        <v>02384000</v>
      </c>
      <c r="C4260" t="str">
        <f t="shared" si="769"/>
        <v>02384007</v>
      </c>
      <c r="D4260">
        <v>89301212</v>
      </c>
      <c r="E4260" t="str">
        <f>"6709010407"</f>
        <v>6709010407</v>
      </c>
      <c r="F4260" s="1">
        <v>45037</v>
      </c>
      <c r="G4260" t="str">
        <f>"89131"</f>
        <v>89131</v>
      </c>
      <c r="H4260">
        <v>1</v>
      </c>
      <c r="I4260">
        <v>190</v>
      </c>
      <c r="J4260">
        <v>0</v>
      </c>
      <c r="K4260" t="str">
        <f t="shared" si="770"/>
        <v>809</v>
      </c>
      <c r="L4260">
        <v>279.3</v>
      </c>
    </row>
    <row r="4261" spans="1:12" x14ac:dyDescent="0.25">
      <c r="A4261" t="str">
        <f t="shared" si="759"/>
        <v>89301000</v>
      </c>
      <c r="B4261" t="str">
        <f t="shared" si="768"/>
        <v>02384000</v>
      </c>
      <c r="C4261" t="str">
        <f t="shared" si="769"/>
        <v>02384007</v>
      </c>
      <c r="D4261">
        <v>89301037</v>
      </c>
      <c r="E4261" t="str">
        <f>"366229405"</f>
        <v>366229405</v>
      </c>
      <c r="F4261" s="1">
        <v>45020</v>
      </c>
      <c r="G4261" t="str">
        <f>"89312"</f>
        <v>89312</v>
      </c>
      <c r="H4261">
        <v>1</v>
      </c>
      <c r="I4261">
        <v>312</v>
      </c>
      <c r="J4261">
        <v>0</v>
      </c>
      <c r="K4261" t="str">
        <f t="shared" si="770"/>
        <v>809</v>
      </c>
      <c r="L4261">
        <v>340.08</v>
      </c>
    </row>
    <row r="4262" spans="1:12" x14ac:dyDescent="0.25">
      <c r="A4262" t="str">
        <f t="shared" si="759"/>
        <v>89301000</v>
      </c>
      <c r="B4262" t="str">
        <f t="shared" si="768"/>
        <v>02384000</v>
      </c>
      <c r="C4262" t="str">
        <f t="shared" si="769"/>
        <v>02384007</v>
      </c>
      <c r="D4262">
        <v>89301037</v>
      </c>
      <c r="E4262" t="str">
        <f>"366229405"</f>
        <v>366229405</v>
      </c>
      <c r="F4262" s="1">
        <v>45020</v>
      </c>
      <c r="G4262" t="str">
        <f>"89312"</f>
        <v>89312</v>
      </c>
      <c r="H4262">
        <v>2</v>
      </c>
      <c r="I4262">
        <v>624</v>
      </c>
      <c r="J4262">
        <v>0</v>
      </c>
      <c r="K4262" t="str">
        <f t="shared" si="770"/>
        <v>809</v>
      </c>
      <c r="L4262">
        <v>680.16</v>
      </c>
    </row>
    <row r="4263" spans="1:12" x14ac:dyDescent="0.25">
      <c r="A4263" t="str">
        <f t="shared" si="759"/>
        <v>89301000</v>
      </c>
      <c r="B4263" t="str">
        <f t="shared" ref="B4263:C4268" si="771">"89434000"</f>
        <v>89434000</v>
      </c>
      <c r="C4263" t="str">
        <f t="shared" si="771"/>
        <v>89434000</v>
      </c>
      <c r="D4263">
        <v>89301212</v>
      </c>
      <c r="E4263" t="str">
        <f>"445630458"</f>
        <v>445630458</v>
      </c>
      <c r="F4263" s="1">
        <v>45043</v>
      </c>
      <c r="G4263" t="str">
        <f>"89513"</f>
        <v>89513</v>
      </c>
      <c r="H4263">
        <v>1</v>
      </c>
      <c r="I4263">
        <v>378</v>
      </c>
      <c r="J4263">
        <v>0</v>
      </c>
      <c r="K4263" t="str">
        <f t="shared" si="770"/>
        <v>809</v>
      </c>
      <c r="L4263">
        <v>555.66</v>
      </c>
    </row>
    <row r="4264" spans="1:12" x14ac:dyDescent="0.25">
      <c r="A4264" t="str">
        <f t="shared" si="759"/>
        <v>89301000</v>
      </c>
      <c r="B4264" t="str">
        <f t="shared" si="771"/>
        <v>89434000</v>
      </c>
      <c r="C4264" t="str">
        <f t="shared" si="771"/>
        <v>89434000</v>
      </c>
      <c r="D4264">
        <v>89301212</v>
      </c>
      <c r="E4264" t="str">
        <f>"445630458"</f>
        <v>445630458</v>
      </c>
      <c r="F4264" s="1">
        <v>45043</v>
      </c>
      <c r="G4264" t="str">
        <f>"89514"</f>
        <v>89514</v>
      </c>
      <c r="H4264">
        <v>1</v>
      </c>
      <c r="I4264">
        <v>378</v>
      </c>
      <c r="J4264">
        <v>0</v>
      </c>
      <c r="K4264" t="str">
        <f t="shared" si="770"/>
        <v>809</v>
      </c>
      <c r="L4264">
        <v>555.66</v>
      </c>
    </row>
    <row r="4265" spans="1:12" x14ac:dyDescent="0.25">
      <c r="A4265" t="str">
        <f t="shared" si="759"/>
        <v>89301000</v>
      </c>
      <c r="B4265" t="str">
        <f t="shared" si="771"/>
        <v>89434000</v>
      </c>
      <c r="C4265" t="str">
        <f t="shared" si="771"/>
        <v>89434000</v>
      </c>
      <c r="D4265">
        <v>89301042</v>
      </c>
      <c r="E4265" t="str">
        <f>"515213276"</f>
        <v>515213276</v>
      </c>
      <c r="F4265" s="1">
        <v>45029</v>
      </c>
      <c r="G4265" t="str">
        <f>"89131"</f>
        <v>89131</v>
      </c>
      <c r="H4265">
        <v>1</v>
      </c>
      <c r="I4265">
        <v>190</v>
      </c>
      <c r="J4265">
        <v>0</v>
      </c>
      <c r="K4265" t="str">
        <f t="shared" si="770"/>
        <v>809</v>
      </c>
      <c r="L4265">
        <v>279.3</v>
      </c>
    </row>
    <row r="4266" spans="1:12" x14ac:dyDescent="0.25">
      <c r="A4266" t="str">
        <f t="shared" si="759"/>
        <v>89301000</v>
      </c>
      <c r="B4266" t="str">
        <f t="shared" si="771"/>
        <v>89434000</v>
      </c>
      <c r="C4266" t="str">
        <f t="shared" si="771"/>
        <v>89434000</v>
      </c>
      <c r="D4266">
        <v>89301042</v>
      </c>
      <c r="E4266" t="str">
        <f>"515213276"</f>
        <v>515213276</v>
      </c>
      <c r="F4266" s="1">
        <v>45029</v>
      </c>
      <c r="G4266" t="str">
        <f>"89513"</f>
        <v>89513</v>
      </c>
      <c r="H4266">
        <v>1</v>
      </c>
      <c r="I4266">
        <v>378</v>
      </c>
      <c r="J4266">
        <v>0</v>
      </c>
      <c r="K4266" t="str">
        <f t="shared" si="770"/>
        <v>809</v>
      </c>
      <c r="L4266">
        <v>555.66</v>
      </c>
    </row>
    <row r="4267" spans="1:12" x14ac:dyDescent="0.25">
      <c r="A4267" t="str">
        <f t="shared" si="759"/>
        <v>89301000</v>
      </c>
      <c r="B4267" t="str">
        <f t="shared" si="771"/>
        <v>89434000</v>
      </c>
      <c r="C4267" t="str">
        <f t="shared" si="771"/>
        <v>89434000</v>
      </c>
      <c r="D4267">
        <v>89301212</v>
      </c>
      <c r="E4267" t="str">
        <f>"6958155776"</f>
        <v>6958155776</v>
      </c>
      <c r="F4267" s="1">
        <v>45033</v>
      </c>
      <c r="G4267" t="str">
        <f>"89513"</f>
        <v>89513</v>
      </c>
      <c r="H4267">
        <v>1</v>
      </c>
      <c r="I4267">
        <v>378</v>
      </c>
      <c r="J4267">
        <v>0</v>
      </c>
      <c r="K4267" t="str">
        <f t="shared" si="770"/>
        <v>809</v>
      </c>
      <c r="L4267">
        <v>555.66</v>
      </c>
    </row>
    <row r="4268" spans="1:12" x14ac:dyDescent="0.25">
      <c r="A4268" t="str">
        <f t="shared" si="759"/>
        <v>89301000</v>
      </c>
      <c r="B4268" t="str">
        <f t="shared" si="771"/>
        <v>89434000</v>
      </c>
      <c r="C4268" t="str">
        <f t="shared" si="771"/>
        <v>89434000</v>
      </c>
      <c r="D4268">
        <v>89301212</v>
      </c>
      <c r="E4268" t="str">
        <f>"6958155776"</f>
        <v>6958155776</v>
      </c>
      <c r="F4268" s="1">
        <v>45033</v>
      </c>
      <c r="G4268" t="str">
        <f>"89514"</f>
        <v>89514</v>
      </c>
      <c r="H4268">
        <v>1</v>
      </c>
      <c r="I4268">
        <v>378</v>
      </c>
      <c r="J4268">
        <v>0</v>
      </c>
      <c r="K4268" t="str">
        <f t="shared" si="770"/>
        <v>809</v>
      </c>
      <c r="L4268">
        <v>555.66</v>
      </c>
    </row>
    <row r="4269" spans="1:12" x14ac:dyDescent="0.25">
      <c r="A4269" t="str">
        <f t="shared" si="759"/>
        <v>89301000</v>
      </c>
      <c r="B4269" t="str">
        <f t="shared" ref="B4269:B4289" si="772">"75311000"</f>
        <v>75311000</v>
      </c>
      <c r="C4269" t="str">
        <f t="shared" ref="C4269:C4288" si="773">"75311715"</f>
        <v>75311715</v>
      </c>
      <c r="D4269">
        <v>89301167</v>
      </c>
      <c r="E4269" t="str">
        <f t="shared" ref="E4269:E4289" si="774">"5957040397"</f>
        <v>5957040397</v>
      </c>
      <c r="F4269" s="1">
        <v>45033</v>
      </c>
      <c r="G4269" t="str">
        <f>"97111"</f>
        <v>97111</v>
      </c>
      <c r="H4269">
        <v>1</v>
      </c>
      <c r="I4269">
        <v>19</v>
      </c>
      <c r="J4269">
        <v>0</v>
      </c>
      <c r="K4269" t="str">
        <f t="shared" ref="K4269:K4288" si="775">"801"</f>
        <v>801</v>
      </c>
      <c r="L4269">
        <v>23.94</v>
      </c>
    </row>
    <row r="4270" spans="1:12" x14ac:dyDescent="0.25">
      <c r="A4270" t="str">
        <f t="shared" si="759"/>
        <v>89301000</v>
      </c>
      <c r="B4270" t="str">
        <f t="shared" si="772"/>
        <v>75311000</v>
      </c>
      <c r="C4270" t="str">
        <f t="shared" si="773"/>
        <v>75311715</v>
      </c>
      <c r="D4270">
        <v>89301167</v>
      </c>
      <c r="E4270" t="str">
        <f t="shared" si="774"/>
        <v>5957040397</v>
      </c>
      <c r="F4270" s="1">
        <v>45033</v>
      </c>
      <c r="G4270" t="str">
        <f>"81593"</f>
        <v>81593</v>
      </c>
      <c r="H4270">
        <v>1</v>
      </c>
      <c r="I4270">
        <v>22</v>
      </c>
      <c r="J4270">
        <v>0</v>
      </c>
      <c r="K4270" t="str">
        <f t="shared" si="775"/>
        <v>801</v>
      </c>
      <c r="L4270">
        <v>18.48</v>
      </c>
    </row>
    <row r="4271" spans="1:12" x14ac:dyDescent="0.25">
      <c r="A4271" t="str">
        <f t="shared" si="759"/>
        <v>89301000</v>
      </c>
      <c r="B4271" t="str">
        <f t="shared" si="772"/>
        <v>75311000</v>
      </c>
      <c r="C4271" t="str">
        <f t="shared" si="773"/>
        <v>75311715</v>
      </c>
      <c r="D4271">
        <v>89301167</v>
      </c>
      <c r="E4271" t="str">
        <f t="shared" si="774"/>
        <v>5957040397</v>
      </c>
      <c r="F4271" s="1">
        <v>45033</v>
      </c>
      <c r="G4271" t="str">
        <f>"81469"</f>
        <v>81469</v>
      </c>
      <c r="H4271">
        <v>1</v>
      </c>
      <c r="I4271">
        <v>16</v>
      </c>
      <c r="J4271">
        <v>0</v>
      </c>
      <c r="K4271" t="str">
        <f t="shared" si="775"/>
        <v>801</v>
      </c>
      <c r="L4271">
        <v>13.44</v>
      </c>
    </row>
    <row r="4272" spans="1:12" x14ac:dyDescent="0.25">
      <c r="A4272" t="str">
        <f t="shared" si="759"/>
        <v>89301000</v>
      </c>
      <c r="B4272" t="str">
        <f t="shared" si="772"/>
        <v>75311000</v>
      </c>
      <c r="C4272" t="str">
        <f t="shared" si="773"/>
        <v>75311715</v>
      </c>
      <c r="D4272">
        <v>89301167</v>
      </c>
      <c r="E4272" t="str">
        <f t="shared" si="774"/>
        <v>5957040397</v>
      </c>
      <c r="F4272" s="1">
        <v>45033</v>
      </c>
      <c r="G4272" t="str">
        <f>"81393"</f>
        <v>81393</v>
      </c>
      <c r="H4272">
        <v>1</v>
      </c>
      <c r="I4272">
        <v>24</v>
      </c>
      <c r="J4272">
        <v>0</v>
      </c>
      <c r="K4272" t="str">
        <f t="shared" si="775"/>
        <v>801</v>
      </c>
      <c r="L4272">
        <v>20.16</v>
      </c>
    </row>
    <row r="4273" spans="1:12" x14ac:dyDescent="0.25">
      <c r="A4273" t="str">
        <f t="shared" si="759"/>
        <v>89301000</v>
      </c>
      <c r="B4273" t="str">
        <f t="shared" si="772"/>
        <v>75311000</v>
      </c>
      <c r="C4273" t="str">
        <f t="shared" si="773"/>
        <v>75311715</v>
      </c>
      <c r="D4273">
        <v>89301167</v>
      </c>
      <c r="E4273" t="str">
        <f t="shared" si="774"/>
        <v>5957040397</v>
      </c>
      <c r="F4273" s="1">
        <v>45033</v>
      </c>
      <c r="G4273" t="str">
        <f>"81329"</f>
        <v>81329</v>
      </c>
      <c r="H4273">
        <v>1</v>
      </c>
      <c r="I4273">
        <v>17</v>
      </c>
      <c r="J4273">
        <v>0</v>
      </c>
      <c r="K4273" t="str">
        <f t="shared" si="775"/>
        <v>801</v>
      </c>
      <c r="L4273">
        <v>14.28</v>
      </c>
    </row>
    <row r="4274" spans="1:12" x14ac:dyDescent="0.25">
      <c r="A4274" t="str">
        <f t="shared" si="759"/>
        <v>89301000</v>
      </c>
      <c r="B4274" t="str">
        <f t="shared" si="772"/>
        <v>75311000</v>
      </c>
      <c r="C4274" t="str">
        <f t="shared" si="773"/>
        <v>75311715</v>
      </c>
      <c r="D4274">
        <v>89301167</v>
      </c>
      <c r="E4274" t="str">
        <f t="shared" si="774"/>
        <v>5957040397</v>
      </c>
      <c r="F4274" s="1">
        <v>45033</v>
      </c>
      <c r="G4274" t="str">
        <f>"81625"</f>
        <v>81625</v>
      </c>
      <c r="H4274">
        <v>1</v>
      </c>
      <c r="I4274">
        <v>21</v>
      </c>
      <c r="J4274">
        <v>0</v>
      </c>
      <c r="K4274" t="str">
        <f t="shared" si="775"/>
        <v>801</v>
      </c>
      <c r="L4274">
        <v>17.64</v>
      </c>
    </row>
    <row r="4275" spans="1:12" x14ac:dyDescent="0.25">
      <c r="A4275" t="str">
        <f t="shared" si="759"/>
        <v>89301000</v>
      </c>
      <c r="B4275" t="str">
        <f t="shared" si="772"/>
        <v>75311000</v>
      </c>
      <c r="C4275" t="str">
        <f t="shared" si="773"/>
        <v>75311715</v>
      </c>
      <c r="D4275">
        <v>89301167</v>
      </c>
      <c r="E4275" t="str">
        <f t="shared" si="774"/>
        <v>5957040397</v>
      </c>
      <c r="F4275" s="1">
        <v>45033</v>
      </c>
      <c r="G4275" t="str">
        <f>"81439"</f>
        <v>81439</v>
      </c>
      <c r="H4275">
        <v>1</v>
      </c>
      <c r="I4275">
        <v>16</v>
      </c>
      <c r="J4275">
        <v>0</v>
      </c>
      <c r="K4275" t="str">
        <f t="shared" si="775"/>
        <v>801</v>
      </c>
      <c r="L4275">
        <v>13.44</v>
      </c>
    </row>
    <row r="4276" spans="1:12" x14ac:dyDescent="0.25">
      <c r="A4276" t="str">
        <f t="shared" si="759"/>
        <v>89301000</v>
      </c>
      <c r="B4276" t="str">
        <f t="shared" si="772"/>
        <v>75311000</v>
      </c>
      <c r="C4276" t="str">
        <f t="shared" si="773"/>
        <v>75311715</v>
      </c>
      <c r="D4276">
        <v>89301167</v>
      </c>
      <c r="E4276" t="str">
        <f t="shared" si="774"/>
        <v>5957040397</v>
      </c>
      <c r="F4276" s="1">
        <v>45033</v>
      </c>
      <c r="G4276" t="str">
        <f>"81361"</f>
        <v>81361</v>
      </c>
      <c r="H4276">
        <v>1</v>
      </c>
      <c r="I4276">
        <v>17</v>
      </c>
      <c r="J4276">
        <v>0</v>
      </c>
      <c r="K4276" t="str">
        <f t="shared" si="775"/>
        <v>801</v>
      </c>
      <c r="L4276">
        <v>14.28</v>
      </c>
    </row>
    <row r="4277" spans="1:12" x14ac:dyDescent="0.25">
      <c r="A4277" t="str">
        <f t="shared" si="759"/>
        <v>89301000</v>
      </c>
      <c r="B4277" t="str">
        <f t="shared" si="772"/>
        <v>75311000</v>
      </c>
      <c r="C4277" t="str">
        <f t="shared" si="773"/>
        <v>75311715</v>
      </c>
      <c r="D4277">
        <v>89301167</v>
      </c>
      <c r="E4277" t="str">
        <f t="shared" si="774"/>
        <v>5957040397</v>
      </c>
      <c r="F4277" s="1">
        <v>45033</v>
      </c>
      <c r="G4277" t="str">
        <f>"81421"</f>
        <v>81421</v>
      </c>
      <c r="H4277">
        <v>1</v>
      </c>
      <c r="I4277">
        <v>19</v>
      </c>
      <c r="J4277">
        <v>0</v>
      </c>
      <c r="K4277" t="str">
        <f t="shared" si="775"/>
        <v>801</v>
      </c>
      <c r="L4277">
        <v>15.96</v>
      </c>
    </row>
    <row r="4278" spans="1:12" x14ac:dyDescent="0.25">
      <c r="A4278" t="str">
        <f t="shared" si="759"/>
        <v>89301000</v>
      </c>
      <c r="B4278" t="str">
        <f t="shared" si="772"/>
        <v>75311000</v>
      </c>
      <c r="C4278" t="str">
        <f t="shared" si="773"/>
        <v>75311715</v>
      </c>
      <c r="D4278">
        <v>89301167</v>
      </c>
      <c r="E4278" t="str">
        <f t="shared" si="774"/>
        <v>5957040397</v>
      </c>
      <c r="F4278" s="1">
        <v>45033</v>
      </c>
      <c r="G4278" t="str">
        <f>"91153"</f>
        <v>91153</v>
      </c>
      <c r="H4278">
        <v>1</v>
      </c>
      <c r="I4278">
        <v>153</v>
      </c>
      <c r="J4278">
        <v>0</v>
      </c>
      <c r="K4278" t="str">
        <f t="shared" si="775"/>
        <v>801</v>
      </c>
      <c r="L4278">
        <v>128.52000000000001</v>
      </c>
    </row>
    <row r="4279" spans="1:12" x14ac:dyDescent="0.25">
      <c r="A4279" t="str">
        <f t="shared" si="759"/>
        <v>89301000</v>
      </c>
      <c r="B4279" t="str">
        <f t="shared" si="772"/>
        <v>75311000</v>
      </c>
      <c r="C4279" t="str">
        <f t="shared" si="773"/>
        <v>75311715</v>
      </c>
      <c r="D4279">
        <v>89301167</v>
      </c>
      <c r="E4279" t="str">
        <f t="shared" si="774"/>
        <v>5957040397</v>
      </c>
      <c r="F4279" s="1">
        <v>45033</v>
      </c>
      <c r="G4279" t="str">
        <f>"81621"</f>
        <v>81621</v>
      </c>
      <c r="H4279">
        <v>1</v>
      </c>
      <c r="I4279">
        <v>19</v>
      </c>
      <c r="J4279">
        <v>0</v>
      </c>
      <c r="K4279" t="str">
        <f t="shared" si="775"/>
        <v>801</v>
      </c>
      <c r="L4279">
        <v>15.96</v>
      </c>
    </row>
    <row r="4280" spans="1:12" x14ac:dyDescent="0.25">
      <c r="A4280" t="str">
        <f t="shared" si="759"/>
        <v>89301000</v>
      </c>
      <c r="B4280" t="str">
        <f t="shared" si="772"/>
        <v>75311000</v>
      </c>
      <c r="C4280" t="str">
        <f t="shared" si="773"/>
        <v>75311715</v>
      </c>
      <c r="D4280">
        <v>89301167</v>
      </c>
      <c r="E4280" t="str">
        <f t="shared" si="774"/>
        <v>5957040397</v>
      </c>
      <c r="F4280" s="1">
        <v>45033</v>
      </c>
      <c r="G4280" t="str">
        <f>"81383"</f>
        <v>81383</v>
      </c>
      <c r="H4280">
        <v>1</v>
      </c>
      <c r="I4280">
        <v>24</v>
      </c>
      <c r="J4280">
        <v>0</v>
      </c>
      <c r="K4280" t="str">
        <f t="shared" si="775"/>
        <v>801</v>
      </c>
      <c r="L4280">
        <v>20.16</v>
      </c>
    </row>
    <row r="4281" spans="1:12" x14ac:dyDescent="0.25">
      <c r="A4281" t="str">
        <f t="shared" si="759"/>
        <v>89301000</v>
      </c>
      <c r="B4281" t="str">
        <f t="shared" si="772"/>
        <v>75311000</v>
      </c>
      <c r="C4281" t="str">
        <f t="shared" si="773"/>
        <v>75311715</v>
      </c>
      <c r="D4281">
        <v>89301167</v>
      </c>
      <c r="E4281" t="str">
        <f t="shared" si="774"/>
        <v>5957040397</v>
      </c>
      <c r="F4281" s="1">
        <v>45033</v>
      </c>
      <c r="G4281" t="str">
        <f>"81337"</f>
        <v>81337</v>
      </c>
      <c r="H4281">
        <v>1</v>
      </c>
      <c r="I4281">
        <v>20</v>
      </c>
      <c r="J4281">
        <v>0</v>
      </c>
      <c r="K4281" t="str">
        <f t="shared" si="775"/>
        <v>801</v>
      </c>
      <c r="L4281">
        <v>16.8</v>
      </c>
    </row>
    <row r="4282" spans="1:12" x14ac:dyDescent="0.25">
      <c r="A4282" t="str">
        <f t="shared" si="759"/>
        <v>89301000</v>
      </c>
      <c r="B4282" t="str">
        <f t="shared" si="772"/>
        <v>75311000</v>
      </c>
      <c r="C4282" t="str">
        <f t="shared" si="773"/>
        <v>75311715</v>
      </c>
      <c r="D4282">
        <v>89301167</v>
      </c>
      <c r="E4282" t="str">
        <f t="shared" si="774"/>
        <v>5957040397</v>
      </c>
      <c r="F4282" s="1">
        <v>45033</v>
      </c>
      <c r="G4282" t="str">
        <f>"81357"</f>
        <v>81357</v>
      </c>
      <c r="H4282">
        <v>1</v>
      </c>
      <c r="I4282">
        <v>20</v>
      </c>
      <c r="J4282">
        <v>0</v>
      </c>
      <c r="K4282" t="str">
        <f t="shared" si="775"/>
        <v>801</v>
      </c>
      <c r="L4282">
        <v>16.8</v>
      </c>
    </row>
    <row r="4283" spans="1:12" x14ac:dyDescent="0.25">
      <c r="A4283" t="str">
        <f t="shared" si="759"/>
        <v>89301000</v>
      </c>
      <c r="B4283" t="str">
        <f t="shared" si="772"/>
        <v>75311000</v>
      </c>
      <c r="C4283" t="str">
        <f t="shared" si="773"/>
        <v>75311715</v>
      </c>
      <c r="D4283">
        <v>89301167</v>
      </c>
      <c r="E4283" t="str">
        <f t="shared" si="774"/>
        <v>5957040397</v>
      </c>
      <c r="F4283" s="1">
        <v>45033</v>
      </c>
      <c r="G4283" t="str">
        <f>"81523"</f>
        <v>81523</v>
      </c>
      <c r="H4283">
        <v>1</v>
      </c>
      <c r="I4283">
        <v>23</v>
      </c>
      <c r="J4283">
        <v>0</v>
      </c>
      <c r="K4283" t="str">
        <f t="shared" si="775"/>
        <v>801</v>
      </c>
      <c r="L4283">
        <v>19.32</v>
      </c>
    </row>
    <row r="4284" spans="1:12" x14ac:dyDescent="0.25">
      <c r="A4284" t="str">
        <f t="shared" si="759"/>
        <v>89301000</v>
      </c>
      <c r="B4284" t="str">
        <f t="shared" si="772"/>
        <v>75311000</v>
      </c>
      <c r="C4284" t="str">
        <f t="shared" si="773"/>
        <v>75311715</v>
      </c>
      <c r="D4284">
        <v>89301167</v>
      </c>
      <c r="E4284" t="str">
        <f t="shared" si="774"/>
        <v>5957040397</v>
      </c>
      <c r="F4284" s="1">
        <v>45033</v>
      </c>
      <c r="G4284" t="str">
        <f>"81435"</f>
        <v>81435</v>
      </c>
      <c r="H4284">
        <v>1</v>
      </c>
      <c r="I4284">
        <v>22</v>
      </c>
      <c r="J4284">
        <v>0</v>
      </c>
      <c r="K4284" t="str">
        <f t="shared" si="775"/>
        <v>801</v>
      </c>
      <c r="L4284">
        <v>18.48</v>
      </c>
    </row>
    <row r="4285" spans="1:12" x14ac:dyDescent="0.25">
      <c r="A4285" t="str">
        <f t="shared" si="759"/>
        <v>89301000</v>
      </c>
      <c r="B4285" t="str">
        <f t="shared" si="772"/>
        <v>75311000</v>
      </c>
      <c r="C4285" t="str">
        <f t="shared" si="773"/>
        <v>75311715</v>
      </c>
      <c r="D4285">
        <v>89301167</v>
      </c>
      <c r="E4285" t="str">
        <f t="shared" si="774"/>
        <v>5957040397</v>
      </c>
      <c r="F4285" s="1">
        <v>45033</v>
      </c>
      <c r="G4285" t="str">
        <f>"81499"</f>
        <v>81499</v>
      </c>
      <c r="H4285">
        <v>1</v>
      </c>
      <c r="I4285">
        <v>18</v>
      </c>
      <c r="J4285">
        <v>0</v>
      </c>
      <c r="K4285" t="str">
        <f t="shared" si="775"/>
        <v>801</v>
      </c>
      <c r="L4285">
        <v>15.12</v>
      </c>
    </row>
    <row r="4286" spans="1:12" x14ac:dyDescent="0.25">
      <c r="A4286" t="str">
        <f t="shared" si="759"/>
        <v>89301000</v>
      </c>
      <c r="B4286" t="str">
        <f t="shared" si="772"/>
        <v>75311000</v>
      </c>
      <c r="C4286" t="str">
        <f t="shared" si="773"/>
        <v>75311715</v>
      </c>
      <c r="D4286">
        <v>89301167</v>
      </c>
      <c r="E4286" t="str">
        <f t="shared" si="774"/>
        <v>5957040397</v>
      </c>
      <c r="F4286" s="1">
        <v>45033</v>
      </c>
      <c r="G4286" t="str">
        <f>"81511"</f>
        <v>81511</v>
      </c>
      <c r="H4286">
        <v>1</v>
      </c>
      <c r="I4286">
        <v>10</v>
      </c>
      <c r="J4286">
        <v>0</v>
      </c>
      <c r="K4286" t="str">
        <f t="shared" si="775"/>
        <v>801</v>
      </c>
      <c r="L4286">
        <v>8.4</v>
      </c>
    </row>
    <row r="4287" spans="1:12" x14ac:dyDescent="0.25">
      <c r="A4287" t="str">
        <f t="shared" si="759"/>
        <v>89301000</v>
      </c>
      <c r="B4287" t="str">
        <f t="shared" si="772"/>
        <v>75311000</v>
      </c>
      <c r="C4287" t="str">
        <f t="shared" si="773"/>
        <v>75311715</v>
      </c>
      <c r="D4287">
        <v>89301167</v>
      </c>
      <c r="E4287" t="str">
        <f t="shared" si="774"/>
        <v>5957040397</v>
      </c>
      <c r="F4287" s="1">
        <v>45033</v>
      </c>
      <c r="G4287" t="str">
        <f>"93195"</f>
        <v>93195</v>
      </c>
      <c r="H4287">
        <v>1</v>
      </c>
      <c r="I4287">
        <v>183</v>
      </c>
      <c r="J4287">
        <v>0</v>
      </c>
      <c r="K4287" t="str">
        <f t="shared" si="775"/>
        <v>801</v>
      </c>
      <c r="L4287">
        <v>153.72</v>
      </c>
    </row>
    <row r="4288" spans="1:12" x14ac:dyDescent="0.25">
      <c r="A4288" t="str">
        <f t="shared" si="759"/>
        <v>89301000</v>
      </c>
      <c r="B4288" t="str">
        <f t="shared" si="772"/>
        <v>75311000</v>
      </c>
      <c r="C4288" t="str">
        <f t="shared" si="773"/>
        <v>75311715</v>
      </c>
      <c r="D4288">
        <v>89301167</v>
      </c>
      <c r="E4288" t="str">
        <f t="shared" si="774"/>
        <v>5957040397</v>
      </c>
      <c r="F4288" s="1">
        <v>45033</v>
      </c>
      <c r="G4288" t="str">
        <f>"93189"</f>
        <v>93189</v>
      </c>
      <c r="H4288">
        <v>1</v>
      </c>
      <c r="I4288">
        <v>191</v>
      </c>
      <c r="J4288">
        <v>0</v>
      </c>
      <c r="K4288" t="str">
        <f t="shared" si="775"/>
        <v>801</v>
      </c>
      <c r="L4288">
        <v>160.44</v>
      </c>
    </row>
    <row r="4289" spans="1:12" x14ac:dyDescent="0.25">
      <c r="A4289" t="str">
        <f t="shared" si="759"/>
        <v>89301000</v>
      </c>
      <c r="B4289" t="str">
        <f t="shared" si="772"/>
        <v>75311000</v>
      </c>
      <c r="C4289" t="str">
        <f>"75311001"</f>
        <v>75311001</v>
      </c>
      <c r="D4289">
        <v>89301167</v>
      </c>
      <c r="E4289" t="str">
        <f t="shared" si="774"/>
        <v>5957040397</v>
      </c>
      <c r="F4289" s="1">
        <v>45033</v>
      </c>
      <c r="G4289" t="str">
        <f>"96167"</f>
        <v>96167</v>
      </c>
      <c r="H4289">
        <v>1</v>
      </c>
      <c r="I4289">
        <v>67</v>
      </c>
      <c r="J4289">
        <v>0</v>
      </c>
      <c r="K4289" t="str">
        <f>"818"</f>
        <v>818</v>
      </c>
      <c r="L4289">
        <v>64.989999999999995</v>
      </c>
    </row>
    <row r="4290" spans="1:12" x14ac:dyDescent="0.25">
      <c r="A4290" t="str">
        <f t="shared" ref="A4290:A4353" si="776">"89301000"</f>
        <v>89301000</v>
      </c>
      <c r="B4290" t="str">
        <f t="shared" ref="B4290:B4328" si="777">"93201000"</f>
        <v>93201000</v>
      </c>
      <c r="C4290" t="str">
        <f t="shared" ref="C4290:C4325" si="778">"93201250"</f>
        <v>93201250</v>
      </c>
      <c r="D4290">
        <v>89301167</v>
      </c>
      <c r="E4290" t="str">
        <f t="shared" ref="E4290:E4328" si="779">"511221028"</f>
        <v>511221028</v>
      </c>
      <c r="F4290" s="1">
        <v>45020</v>
      </c>
      <c r="G4290" t="str">
        <f>"81393"</f>
        <v>81393</v>
      </c>
      <c r="H4290">
        <v>1</v>
      </c>
      <c r="I4290">
        <v>24</v>
      </c>
      <c r="J4290">
        <v>0</v>
      </c>
      <c r="K4290" t="str">
        <f t="shared" ref="K4290:K4325" si="780">"801"</f>
        <v>801</v>
      </c>
      <c r="L4290">
        <v>20.16</v>
      </c>
    </row>
    <row r="4291" spans="1:12" x14ac:dyDescent="0.25">
      <c r="A4291" t="str">
        <f t="shared" si="776"/>
        <v>89301000</v>
      </c>
      <c r="B4291" t="str">
        <f t="shared" si="777"/>
        <v>93201000</v>
      </c>
      <c r="C4291" t="str">
        <f t="shared" si="778"/>
        <v>93201250</v>
      </c>
      <c r="D4291">
        <v>89301167</v>
      </c>
      <c r="E4291" t="str">
        <f t="shared" si="779"/>
        <v>511221028</v>
      </c>
      <c r="F4291" s="1">
        <v>45020</v>
      </c>
      <c r="G4291" t="str">
        <f>"81499"</f>
        <v>81499</v>
      </c>
      <c r="H4291">
        <v>1</v>
      </c>
      <c r="I4291">
        <v>18</v>
      </c>
      <c r="J4291">
        <v>0</v>
      </c>
      <c r="K4291" t="str">
        <f t="shared" si="780"/>
        <v>801</v>
      </c>
      <c r="L4291">
        <v>15.12</v>
      </c>
    </row>
    <row r="4292" spans="1:12" x14ac:dyDescent="0.25">
      <c r="A4292" t="str">
        <f t="shared" si="776"/>
        <v>89301000</v>
      </c>
      <c r="B4292" t="str">
        <f t="shared" si="777"/>
        <v>93201000</v>
      </c>
      <c r="C4292" t="str">
        <f t="shared" si="778"/>
        <v>93201250</v>
      </c>
      <c r="D4292">
        <v>89301167</v>
      </c>
      <c r="E4292" t="str">
        <f t="shared" si="779"/>
        <v>511221028</v>
      </c>
      <c r="F4292" s="1">
        <v>45020</v>
      </c>
      <c r="G4292" t="str">
        <f>"81593"</f>
        <v>81593</v>
      </c>
      <c r="H4292">
        <v>1</v>
      </c>
      <c r="I4292">
        <v>22</v>
      </c>
      <c r="J4292">
        <v>0</v>
      </c>
      <c r="K4292" t="str">
        <f t="shared" si="780"/>
        <v>801</v>
      </c>
      <c r="L4292">
        <v>18.48</v>
      </c>
    </row>
    <row r="4293" spans="1:12" x14ac:dyDescent="0.25">
      <c r="A4293" t="str">
        <f t="shared" si="776"/>
        <v>89301000</v>
      </c>
      <c r="B4293" t="str">
        <f t="shared" si="777"/>
        <v>93201000</v>
      </c>
      <c r="C4293" t="str">
        <f t="shared" si="778"/>
        <v>93201250</v>
      </c>
      <c r="D4293">
        <v>89301167</v>
      </c>
      <c r="E4293" t="str">
        <f t="shared" si="779"/>
        <v>511221028</v>
      </c>
      <c r="F4293" s="1">
        <v>45020</v>
      </c>
      <c r="G4293" t="str">
        <f>"81621"</f>
        <v>81621</v>
      </c>
      <c r="H4293">
        <v>1</v>
      </c>
      <c r="I4293">
        <v>19</v>
      </c>
      <c r="J4293">
        <v>0</v>
      </c>
      <c r="K4293" t="str">
        <f t="shared" si="780"/>
        <v>801</v>
      </c>
      <c r="L4293">
        <v>15.96</v>
      </c>
    </row>
    <row r="4294" spans="1:12" x14ac:dyDescent="0.25">
      <c r="A4294" t="str">
        <f t="shared" si="776"/>
        <v>89301000</v>
      </c>
      <c r="B4294" t="str">
        <f t="shared" si="777"/>
        <v>93201000</v>
      </c>
      <c r="C4294" t="str">
        <f t="shared" si="778"/>
        <v>93201250</v>
      </c>
      <c r="D4294">
        <v>89301167</v>
      </c>
      <c r="E4294" t="str">
        <f t="shared" si="779"/>
        <v>511221028</v>
      </c>
      <c r="F4294" s="1">
        <v>45020</v>
      </c>
      <c r="G4294" t="str">
        <f>"81329"</f>
        <v>81329</v>
      </c>
      <c r="H4294">
        <v>1</v>
      </c>
      <c r="I4294">
        <v>17</v>
      </c>
      <c r="J4294">
        <v>0</v>
      </c>
      <c r="K4294" t="str">
        <f t="shared" si="780"/>
        <v>801</v>
      </c>
      <c r="L4294">
        <v>14.28</v>
      </c>
    </row>
    <row r="4295" spans="1:12" x14ac:dyDescent="0.25">
      <c r="A4295" t="str">
        <f t="shared" si="776"/>
        <v>89301000</v>
      </c>
      <c r="B4295" t="str">
        <f t="shared" si="777"/>
        <v>93201000</v>
      </c>
      <c r="C4295" t="str">
        <f t="shared" si="778"/>
        <v>93201250</v>
      </c>
      <c r="D4295">
        <v>89301167</v>
      </c>
      <c r="E4295" t="str">
        <f t="shared" si="779"/>
        <v>511221028</v>
      </c>
      <c r="F4295" s="1">
        <v>45020</v>
      </c>
      <c r="G4295" t="str">
        <f>"81625"</f>
        <v>81625</v>
      </c>
      <c r="H4295">
        <v>1</v>
      </c>
      <c r="I4295">
        <v>21</v>
      </c>
      <c r="J4295">
        <v>0</v>
      </c>
      <c r="K4295" t="str">
        <f t="shared" si="780"/>
        <v>801</v>
      </c>
      <c r="L4295">
        <v>17.64</v>
      </c>
    </row>
    <row r="4296" spans="1:12" x14ac:dyDescent="0.25">
      <c r="A4296" t="str">
        <f t="shared" si="776"/>
        <v>89301000</v>
      </c>
      <c r="B4296" t="str">
        <f t="shared" si="777"/>
        <v>93201000</v>
      </c>
      <c r="C4296" t="str">
        <f t="shared" si="778"/>
        <v>93201250</v>
      </c>
      <c r="D4296">
        <v>89301167</v>
      </c>
      <c r="E4296" t="str">
        <f t="shared" si="779"/>
        <v>511221028</v>
      </c>
      <c r="F4296" s="1">
        <v>45020</v>
      </c>
      <c r="G4296" t="str">
        <f>"81523"</f>
        <v>81523</v>
      </c>
      <c r="H4296">
        <v>1</v>
      </c>
      <c r="I4296">
        <v>23</v>
      </c>
      <c r="J4296">
        <v>0</v>
      </c>
      <c r="K4296" t="str">
        <f t="shared" si="780"/>
        <v>801</v>
      </c>
      <c r="L4296">
        <v>19.32</v>
      </c>
    </row>
    <row r="4297" spans="1:12" x14ac:dyDescent="0.25">
      <c r="A4297" t="str">
        <f t="shared" si="776"/>
        <v>89301000</v>
      </c>
      <c r="B4297" t="str">
        <f t="shared" si="777"/>
        <v>93201000</v>
      </c>
      <c r="C4297" t="str">
        <f t="shared" si="778"/>
        <v>93201250</v>
      </c>
      <c r="D4297">
        <v>89301167</v>
      </c>
      <c r="E4297" t="str">
        <f t="shared" si="779"/>
        <v>511221028</v>
      </c>
      <c r="F4297" s="1">
        <v>45020</v>
      </c>
      <c r="G4297" t="str">
        <f>"81383"</f>
        <v>81383</v>
      </c>
      <c r="H4297">
        <v>1</v>
      </c>
      <c r="I4297">
        <v>24</v>
      </c>
      <c r="J4297">
        <v>0</v>
      </c>
      <c r="K4297" t="str">
        <f t="shared" si="780"/>
        <v>801</v>
      </c>
      <c r="L4297">
        <v>20.16</v>
      </c>
    </row>
    <row r="4298" spans="1:12" x14ac:dyDescent="0.25">
      <c r="A4298" t="str">
        <f t="shared" si="776"/>
        <v>89301000</v>
      </c>
      <c r="B4298" t="str">
        <f t="shared" si="777"/>
        <v>93201000</v>
      </c>
      <c r="C4298" t="str">
        <f t="shared" si="778"/>
        <v>93201250</v>
      </c>
      <c r="D4298">
        <v>89301167</v>
      </c>
      <c r="E4298" t="str">
        <f t="shared" si="779"/>
        <v>511221028</v>
      </c>
      <c r="F4298" s="1">
        <v>45020</v>
      </c>
      <c r="G4298" t="str">
        <f>"81365"</f>
        <v>81365</v>
      </c>
      <c r="H4298">
        <v>1</v>
      </c>
      <c r="I4298">
        <v>16</v>
      </c>
      <c r="J4298">
        <v>0</v>
      </c>
      <c r="K4298" t="str">
        <f t="shared" si="780"/>
        <v>801</v>
      </c>
      <c r="L4298">
        <v>13.44</v>
      </c>
    </row>
    <row r="4299" spans="1:12" x14ac:dyDescent="0.25">
      <c r="A4299" t="str">
        <f t="shared" si="776"/>
        <v>89301000</v>
      </c>
      <c r="B4299" t="str">
        <f t="shared" si="777"/>
        <v>93201000</v>
      </c>
      <c r="C4299" t="str">
        <f t="shared" si="778"/>
        <v>93201250</v>
      </c>
      <c r="D4299">
        <v>89301167</v>
      </c>
      <c r="E4299" t="str">
        <f t="shared" si="779"/>
        <v>511221028</v>
      </c>
      <c r="F4299" s="1">
        <v>45020</v>
      </c>
      <c r="G4299" t="str">
        <f>"97111"</f>
        <v>97111</v>
      </c>
      <c r="H4299">
        <v>1</v>
      </c>
      <c r="I4299">
        <v>19</v>
      </c>
      <c r="J4299">
        <v>0</v>
      </c>
      <c r="K4299" t="str">
        <f t="shared" si="780"/>
        <v>801</v>
      </c>
      <c r="L4299">
        <v>23.94</v>
      </c>
    </row>
    <row r="4300" spans="1:12" x14ac:dyDescent="0.25">
      <c r="A4300" t="str">
        <f t="shared" si="776"/>
        <v>89301000</v>
      </c>
      <c r="B4300" t="str">
        <f t="shared" si="777"/>
        <v>93201000</v>
      </c>
      <c r="C4300" t="str">
        <f t="shared" si="778"/>
        <v>93201250</v>
      </c>
      <c r="D4300">
        <v>89301167</v>
      </c>
      <c r="E4300" t="str">
        <f t="shared" si="779"/>
        <v>511221028</v>
      </c>
      <c r="F4300" s="1">
        <v>45020</v>
      </c>
      <c r="G4300" t="str">
        <f>"81421"</f>
        <v>81421</v>
      </c>
      <c r="H4300">
        <v>1</v>
      </c>
      <c r="I4300">
        <v>19</v>
      </c>
      <c r="J4300">
        <v>0</v>
      </c>
      <c r="K4300" t="str">
        <f t="shared" si="780"/>
        <v>801</v>
      </c>
      <c r="L4300">
        <v>15.96</v>
      </c>
    </row>
    <row r="4301" spans="1:12" x14ac:dyDescent="0.25">
      <c r="A4301" t="str">
        <f t="shared" si="776"/>
        <v>89301000</v>
      </c>
      <c r="B4301" t="str">
        <f t="shared" si="777"/>
        <v>93201000</v>
      </c>
      <c r="C4301" t="str">
        <f t="shared" si="778"/>
        <v>93201250</v>
      </c>
      <c r="D4301">
        <v>89301167</v>
      </c>
      <c r="E4301" t="str">
        <f t="shared" si="779"/>
        <v>511221028</v>
      </c>
      <c r="F4301" s="1">
        <v>45020</v>
      </c>
      <c r="G4301" t="str">
        <f>"81337"</f>
        <v>81337</v>
      </c>
      <c r="H4301">
        <v>1</v>
      </c>
      <c r="I4301">
        <v>20</v>
      </c>
      <c r="J4301">
        <v>0</v>
      </c>
      <c r="K4301" t="str">
        <f t="shared" si="780"/>
        <v>801</v>
      </c>
      <c r="L4301">
        <v>16.8</v>
      </c>
    </row>
    <row r="4302" spans="1:12" x14ac:dyDescent="0.25">
      <c r="A4302" t="str">
        <f t="shared" si="776"/>
        <v>89301000</v>
      </c>
      <c r="B4302" t="str">
        <f t="shared" si="777"/>
        <v>93201000</v>
      </c>
      <c r="C4302" t="str">
        <f t="shared" si="778"/>
        <v>93201250</v>
      </c>
      <c r="D4302">
        <v>89301167</v>
      </c>
      <c r="E4302" t="str">
        <f t="shared" si="779"/>
        <v>511221028</v>
      </c>
      <c r="F4302" s="1">
        <v>45020</v>
      </c>
      <c r="G4302" t="str">
        <f>"81361"</f>
        <v>81361</v>
      </c>
      <c r="H4302">
        <v>1</v>
      </c>
      <c r="I4302">
        <v>17</v>
      </c>
      <c r="J4302">
        <v>0</v>
      </c>
      <c r="K4302" t="str">
        <f t="shared" si="780"/>
        <v>801</v>
      </c>
      <c r="L4302">
        <v>14.28</v>
      </c>
    </row>
    <row r="4303" spans="1:12" x14ac:dyDescent="0.25">
      <c r="A4303" t="str">
        <f t="shared" si="776"/>
        <v>89301000</v>
      </c>
      <c r="B4303" t="str">
        <f t="shared" si="777"/>
        <v>93201000</v>
      </c>
      <c r="C4303" t="str">
        <f t="shared" si="778"/>
        <v>93201250</v>
      </c>
      <c r="D4303">
        <v>89301167</v>
      </c>
      <c r="E4303" t="str">
        <f t="shared" si="779"/>
        <v>511221028</v>
      </c>
      <c r="F4303" s="1">
        <v>45020</v>
      </c>
      <c r="G4303" t="str">
        <f>"81357"</f>
        <v>81357</v>
      </c>
      <c r="H4303">
        <v>1</v>
      </c>
      <c r="I4303">
        <v>20</v>
      </c>
      <c r="J4303">
        <v>0</v>
      </c>
      <c r="K4303" t="str">
        <f t="shared" si="780"/>
        <v>801</v>
      </c>
      <c r="L4303">
        <v>16.8</v>
      </c>
    </row>
    <row r="4304" spans="1:12" x14ac:dyDescent="0.25">
      <c r="A4304" t="str">
        <f t="shared" si="776"/>
        <v>89301000</v>
      </c>
      <c r="B4304" t="str">
        <f t="shared" si="777"/>
        <v>93201000</v>
      </c>
      <c r="C4304" t="str">
        <f t="shared" si="778"/>
        <v>93201250</v>
      </c>
      <c r="D4304">
        <v>89301167</v>
      </c>
      <c r="E4304" t="str">
        <f t="shared" si="779"/>
        <v>511221028</v>
      </c>
      <c r="F4304" s="1">
        <v>45020</v>
      </c>
      <c r="G4304" t="str">
        <f>"81469"</f>
        <v>81469</v>
      </c>
      <c r="H4304">
        <v>1</v>
      </c>
      <c r="I4304">
        <v>16</v>
      </c>
      <c r="J4304">
        <v>0</v>
      </c>
      <c r="K4304" t="str">
        <f t="shared" si="780"/>
        <v>801</v>
      </c>
      <c r="L4304">
        <v>13.44</v>
      </c>
    </row>
    <row r="4305" spans="1:12" x14ac:dyDescent="0.25">
      <c r="A4305" t="str">
        <f t="shared" si="776"/>
        <v>89301000</v>
      </c>
      <c r="B4305" t="str">
        <f t="shared" si="777"/>
        <v>93201000</v>
      </c>
      <c r="C4305" t="str">
        <f t="shared" si="778"/>
        <v>93201250</v>
      </c>
      <c r="D4305">
        <v>89301167</v>
      </c>
      <c r="E4305" t="str">
        <f t="shared" si="779"/>
        <v>511221028</v>
      </c>
      <c r="F4305" s="1">
        <v>45020</v>
      </c>
      <c r="G4305" t="str">
        <f>"81439"</f>
        <v>81439</v>
      </c>
      <c r="H4305">
        <v>1</v>
      </c>
      <c r="I4305">
        <v>16</v>
      </c>
      <c r="J4305">
        <v>0</v>
      </c>
      <c r="K4305" t="str">
        <f t="shared" si="780"/>
        <v>801</v>
      </c>
      <c r="L4305">
        <v>13.44</v>
      </c>
    </row>
    <row r="4306" spans="1:12" x14ac:dyDescent="0.25">
      <c r="A4306" t="str">
        <f t="shared" si="776"/>
        <v>89301000</v>
      </c>
      <c r="B4306" t="str">
        <f t="shared" si="777"/>
        <v>93201000</v>
      </c>
      <c r="C4306" t="str">
        <f t="shared" si="778"/>
        <v>93201250</v>
      </c>
      <c r="D4306">
        <v>89301167</v>
      </c>
      <c r="E4306" t="str">
        <f t="shared" si="779"/>
        <v>511221028</v>
      </c>
      <c r="F4306" s="1">
        <v>45020</v>
      </c>
      <c r="G4306" t="str">
        <f>"81435"</f>
        <v>81435</v>
      </c>
      <c r="H4306">
        <v>1</v>
      </c>
      <c r="I4306">
        <v>22</v>
      </c>
      <c r="J4306">
        <v>0</v>
      </c>
      <c r="K4306" t="str">
        <f t="shared" si="780"/>
        <v>801</v>
      </c>
      <c r="L4306">
        <v>18.48</v>
      </c>
    </row>
    <row r="4307" spans="1:12" x14ac:dyDescent="0.25">
      <c r="A4307" t="str">
        <f t="shared" si="776"/>
        <v>89301000</v>
      </c>
      <c r="B4307" t="str">
        <f t="shared" si="777"/>
        <v>93201000</v>
      </c>
      <c r="C4307" t="str">
        <f t="shared" si="778"/>
        <v>93201250</v>
      </c>
      <c r="D4307">
        <v>89301167</v>
      </c>
      <c r="E4307" t="str">
        <f t="shared" si="779"/>
        <v>511221028</v>
      </c>
      <c r="F4307" s="1">
        <v>45041</v>
      </c>
      <c r="G4307" t="str">
        <f>"97111"</f>
        <v>97111</v>
      </c>
      <c r="H4307">
        <v>1</v>
      </c>
      <c r="I4307">
        <v>19</v>
      </c>
      <c r="J4307">
        <v>0</v>
      </c>
      <c r="K4307" t="str">
        <f t="shared" si="780"/>
        <v>801</v>
      </c>
      <c r="L4307">
        <v>23.94</v>
      </c>
    </row>
    <row r="4308" spans="1:12" x14ac:dyDescent="0.25">
      <c r="A4308" t="str">
        <f t="shared" si="776"/>
        <v>89301000</v>
      </c>
      <c r="B4308" t="str">
        <f t="shared" si="777"/>
        <v>93201000</v>
      </c>
      <c r="C4308" t="str">
        <f t="shared" si="778"/>
        <v>93201250</v>
      </c>
      <c r="D4308">
        <v>89301167</v>
      </c>
      <c r="E4308" t="str">
        <f t="shared" si="779"/>
        <v>511221028</v>
      </c>
      <c r="F4308" s="1">
        <v>45041</v>
      </c>
      <c r="G4308" t="str">
        <f>"97111"</f>
        <v>97111</v>
      </c>
      <c r="H4308">
        <v>1</v>
      </c>
      <c r="I4308">
        <v>19</v>
      </c>
      <c r="J4308">
        <v>0</v>
      </c>
      <c r="K4308" t="str">
        <f t="shared" si="780"/>
        <v>801</v>
      </c>
      <c r="L4308">
        <v>23.94</v>
      </c>
    </row>
    <row r="4309" spans="1:12" x14ac:dyDescent="0.25">
      <c r="A4309" t="str">
        <f t="shared" si="776"/>
        <v>89301000</v>
      </c>
      <c r="B4309" t="str">
        <f t="shared" si="777"/>
        <v>93201000</v>
      </c>
      <c r="C4309" t="str">
        <f t="shared" si="778"/>
        <v>93201250</v>
      </c>
      <c r="D4309">
        <v>89301167</v>
      </c>
      <c r="E4309" t="str">
        <f t="shared" si="779"/>
        <v>511221028</v>
      </c>
      <c r="F4309" s="1">
        <v>45041</v>
      </c>
      <c r="G4309" t="str">
        <f>"81593"</f>
        <v>81593</v>
      </c>
      <c r="H4309">
        <v>1</v>
      </c>
      <c r="I4309">
        <v>22</v>
      </c>
      <c r="J4309">
        <v>0</v>
      </c>
      <c r="K4309" t="str">
        <f t="shared" si="780"/>
        <v>801</v>
      </c>
      <c r="L4309">
        <v>18.48</v>
      </c>
    </row>
    <row r="4310" spans="1:12" x14ac:dyDescent="0.25">
      <c r="A4310" t="str">
        <f t="shared" si="776"/>
        <v>89301000</v>
      </c>
      <c r="B4310" t="str">
        <f t="shared" si="777"/>
        <v>93201000</v>
      </c>
      <c r="C4310" t="str">
        <f t="shared" si="778"/>
        <v>93201250</v>
      </c>
      <c r="D4310">
        <v>89301167</v>
      </c>
      <c r="E4310" t="str">
        <f t="shared" si="779"/>
        <v>511221028</v>
      </c>
      <c r="F4310" s="1">
        <v>45041</v>
      </c>
      <c r="G4310" t="str">
        <f>"81393"</f>
        <v>81393</v>
      </c>
      <c r="H4310">
        <v>1</v>
      </c>
      <c r="I4310">
        <v>24</v>
      </c>
      <c r="J4310">
        <v>0</v>
      </c>
      <c r="K4310" t="str">
        <f t="shared" si="780"/>
        <v>801</v>
      </c>
      <c r="L4310">
        <v>20.16</v>
      </c>
    </row>
    <row r="4311" spans="1:12" x14ac:dyDescent="0.25">
      <c r="A4311" t="str">
        <f t="shared" si="776"/>
        <v>89301000</v>
      </c>
      <c r="B4311" t="str">
        <f t="shared" si="777"/>
        <v>93201000</v>
      </c>
      <c r="C4311" t="str">
        <f t="shared" si="778"/>
        <v>93201250</v>
      </c>
      <c r="D4311">
        <v>89301167</v>
      </c>
      <c r="E4311" t="str">
        <f t="shared" si="779"/>
        <v>511221028</v>
      </c>
      <c r="F4311" s="1">
        <v>45041</v>
      </c>
      <c r="G4311" t="str">
        <f>"81469"</f>
        <v>81469</v>
      </c>
      <c r="H4311">
        <v>1</v>
      </c>
      <c r="I4311">
        <v>16</v>
      </c>
      <c r="J4311">
        <v>0</v>
      </c>
      <c r="K4311" t="str">
        <f t="shared" si="780"/>
        <v>801</v>
      </c>
      <c r="L4311">
        <v>13.44</v>
      </c>
    </row>
    <row r="4312" spans="1:12" x14ac:dyDescent="0.25">
      <c r="A4312" t="str">
        <f t="shared" si="776"/>
        <v>89301000</v>
      </c>
      <c r="B4312" t="str">
        <f t="shared" si="777"/>
        <v>93201000</v>
      </c>
      <c r="C4312" t="str">
        <f t="shared" si="778"/>
        <v>93201250</v>
      </c>
      <c r="D4312">
        <v>89301167</v>
      </c>
      <c r="E4312" t="str">
        <f t="shared" si="779"/>
        <v>511221028</v>
      </c>
      <c r="F4312" s="1">
        <v>45041</v>
      </c>
      <c r="G4312" t="str">
        <f>"93195"</f>
        <v>93195</v>
      </c>
      <c r="H4312">
        <v>1</v>
      </c>
      <c r="I4312">
        <v>183</v>
      </c>
      <c r="J4312">
        <v>0</v>
      </c>
      <c r="K4312" t="str">
        <f t="shared" si="780"/>
        <v>801</v>
      </c>
      <c r="L4312">
        <v>153.72</v>
      </c>
    </row>
    <row r="4313" spans="1:12" x14ac:dyDescent="0.25">
      <c r="A4313" t="str">
        <f t="shared" si="776"/>
        <v>89301000</v>
      </c>
      <c r="B4313" t="str">
        <f t="shared" si="777"/>
        <v>93201000</v>
      </c>
      <c r="C4313" t="str">
        <f t="shared" si="778"/>
        <v>93201250</v>
      </c>
      <c r="D4313">
        <v>89301167</v>
      </c>
      <c r="E4313" t="str">
        <f t="shared" si="779"/>
        <v>511221028</v>
      </c>
      <c r="F4313" s="1">
        <v>45041</v>
      </c>
      <c r="G4313" t="str">
        <f>"93189"</f>
        <v>93189</v>
      </c>
      <c r="H4313">
        <v>1</v>
      </c>
      <c r="I4313">
        <v>191</v>
      </c>
      <c r="J4313">
        <v>0</v>
      </c>
      <c r="K4313" t="str">
        <f t="shared" si="780"/>
        <v>801</v>
      </c>
      <c r="L4313">
        <v>160.44</v>
      </c>
    </row>
    <row r="4314" spans="1:12" x14ac:dyDescent="0.25">
      <c r="A4314" t="str">
        <f t="shared" si="776"/>
        <v>89301000</v>
      </c>
      <c r="B4314" t="str">
        <f t="shared" si="777"/>
        <v>93201000</v>
      </c>
      <c r="C4314" t="str">
        <f t="shared" si="778"/>
        <v>93201250</v>
      </c>
      <c r="D4314">
        <v>89301167</v>
      </c>
      <c r="E4314" t="str">
        <f t="shared" si="779"/>
        <v>511221028</v>
      </c>
      <c r="F4314" s="1">
        <v>45041</v>
      </c>
      <c r="G4314" t="str">
        <f>"81625"</f>
        <v>81625</v>
      </c>
      <c r="H4314">
        <v>1</v>
      </c>
      <c r="I4314">
        <v>21</v>
      </c>
      <c r="J4314">
        <v>0</v>
      </c>
      <c r="K4314" t="str">
        <f t="shared" si="780"/>
        <v>801</v>
      </c>
      <c r="L4314">
        <v>17.64</v>
      </c>
    </row>
    <row r="4315" spans="1:12" x14ac:dyDescent="0.25">
      <c r="A4315" t="str">
        <f t="shared" si="776"/>
        <v>89301000</v>
      </c>
      <c r="B4315" t="str">
        <f t="shared" si="777"/>
        <v>93201000</v>
      </c>
      <c r="C4315" t="str">
        <f t="shared" si="778"/>
        <v>93201250</v>
      </c>
      <c r="D4315">
        <v>89301167</v>
      </c>
      <c r="E4315" t="str">
        <f t="shared" si="779"/>
        <v>511221028</v>
      </c>
      <c r="F4315" s="1">
        <v>45041</v>
      </c>
      <c r="G4315" t="str">
        <f>"81439"</f>
        <v>81439</v>
      </c>
      <c r="H4315">
        <v>1</v>
      </c>
      <c r="I4315">
        <v>16</v>
      </c>
      <c r="J4315">
        <v>0</v>
      </c>
      <c r="K4315" t="str">
        <f t="shared" si="780"/>
        <v>801</v>
      </c>
      <c r="L4315">
        <v>13.44</v>
      </c>
    </row>
    <row r="4316" spans="1:12" x14ac:dyDescent="0.25">
      <c r="A4316" t="str">
        <f t="shared" si="776"/>
        <v>89301000</v>
      </c>
      <c r="B4316" t="str">
        <f t="shared" si="777"/>
        <v>93201000</v>
      </c>
      <c r="C4316" t="str">
        <f t="shared" si="778"/>
        <v>93201250</v>
      </c>
      <c r="D4316">
        <v>89301167</v>
      </c>
      <c r="E4316" t="str">
        <f t="shared" si="779"/>
        <v>511221028</v>
      </c>
      <c r="F4316" s="1">
        <v>45041</v>
      </c>
      <c r="G4316" t="str">
        <f>"81523"</f>
        <v>81523</v>
      </c>
      <c r="H4316">
        <v>1</v>
      </c>
      <c r="I4316">
        <v>23</v>
      </c>
      <c r="J4316">
        <v>0</v>
      </c>
      <c r="K4316" t="str">
        <f t="shared" si="780"/>
        <v>801</v>
      </c>
      <c r="L4316">
        <v>19.32</v>
      </c>
    </row>
    <row r="4317" spans="1:12" x14ac:dyDescent="0.25">
      <c r="A4317" t="str">
        <f t="shared" si="776"/>
        <v>89301000</v>
      </c>
      <c r="B4317" t="str">
        <f t="shared" si="777"/>
        <v>93201000</v>
      </c>
      <c r="C4317" t="str">
        <f t="shared" si="778"/>
        <v>93201250</v>
      </c>
      <c r="D4317">
        <v>89301167</v>
      </c>
      <c r="E4317" t="str">
        <f t="shared" si="779"/>
        <v>511221028</v>
      </c>
      <c r="F4317" s="1">
        <v>45041</v>
      </c>
      <c r="G4317" t="str">
        <f>"81621"</f>
        <v>81621</v>
      </c>
      <c r="H4317">
        <v>1</v>
      </c>
      <c r="I4317">
        <v>19</v>
      </c>
      <c r="J4317">
        <v>0</v>
      </c>
      <c r="K4317" t="str">
        <f t="shared" si="780"/>
        <v>801</v>
      </c>
      <c r="L4317">
        <v>15.96</v>
      </c>
    </row>
    <row r="4318" spans="1:12" x14ac:dyDescent="0.25">
      <c r="A4318" t="str">
        <f t="shared" si="776"/>
        <v>89301000</v>
      </c>
      <c r="B4318" t="str">
        <f t="shared" si="777"/>
        <v>93201000</v>
      </c>
      <c r="C4318" t="str">
        <f t="shared" si="778"/>
        <v>93201250</v>
      </c>
      <c r="D4318">
        <v>89301167</v>
      </c>
      <c r="E4318" t="str">
        <f t="shared" si="779"/>
        <v>511221028</v>
      </c>
      <c r="F4318" s="1">
        <v>45041</v>
      </c>
      <c r="G4318" t="str">
        <f>"81329"</f>
        <v>81329</v>
      </c>
      <c r="H4318">
        <v>1</v>
      </c>
      <c r="I4318">
        <v>17</v>
      </c>
      <c r="J4318">
        <v>0</v>
      </c>
      <c r="K4318" t="str">
        <f t="shared" si="780"/>
        <v>801</v>
      </c>
      <c r="L4318">
        <v>14.28</v>
      </c>
    </row>
    <row r="4319" spans="1:12" x14ac:dyDescent="0.25">
      <c r="A4319" t="str">
        <f t="shared" si="776"/>
        <v>89301000</v>
      </c>
      <c r="B4319" t="str">
        <f t="shared" si="777"/>
        <v>93201000</v>
      </c>
      <c r="C4319" t="str">
        <f t="shared" si="778"/>
        <v>93201250</v>
      </c>
      <c r="D4319">
        <v>89301167</v>
      </c>
      <c r="E4319" t="str">
        <f t="shared" si="779"/>
        <v>511221028</v>
      </c>
      <c r="F4319" s="1">
        <v>45041</v>
      </c>
      <c r="G4319" t="str">
        <f>"81421"</f>
        <v>81421</v>
      </c>
      <c r="H4319">
        <v>1</v>
      </c>
      <c r="I4319">
        <v>19</v>
      </c>
      <c r="J4319">
        <v>0</v>
      </c>
      <c r="K4319" t="str">
        <f t="shared" si="780"/>
        <v>801</v>
      </c>
      <c r="L4319">
        <v>15.96</v>
      </c>
    </row>
    <row r="4320" spans="1:12" x14ac:dyDescent="0.25">
      <c r="A4320" t="str">
        <f t="shared" si="776"/>
        <v>89301000</v>
      </c>
      <c r="B4320" t="str">
        <f t="shared" si="777"/>
        <v>93201000</v>
      </c>
      <c r="C4320" t="str">
        <f t="shared" si="778"/>
        <v>93201250</v>
      </c>
      <c r="D4320">
        <v>89301167</v>
      </c>
      <c r="E4320" t="str">
        <f t="shared" si="779"/>
        <v>511221028</v>
      </c>
      <c r="F4320" s="1">
        <v>45041</v>
      </c>
      <c r="G4320" t="str">
        <f>"81499"</f>
        <v>81499</v>
      </c>
      <c r="H4320">
        <v>1</v>
      </c>
      <c r="I4320">
        <v>18</v>
      </c>
      <c r="J4320">
        <v>0</v>
      </c>
      <c r="K4320" t="str">
        <f t="shared" si="780"/>
        <v>801</v>
      </c>
      <c r="L4320">
        <v>15.12</v>
      </c>
    </row>
    <row r="4321" spans="1:12" x14ac:dyDescent="0.25">
      <c r="A4321" t="str">
        <f t="shared" si="776"/>
        <v>89301000</v>
      </c>
      <c r="B4321" t="str">
        <f t="shared" si="777"/>
        <v>93201000</v>
      </c>
      <c r="C4321" t="str">
        <f t="shared" si="778"/>
        <v>93201250</v>
      </c>
      <c r="D4321">
        <v>89301167</v>
      </c>
      <c r="E4321" t="str">
        <f t="shared" si="779"/>
        <v>511221028</v>
      </c>
      <c r="F4321" s="1">
        <v>45041</v>
      </c>
      <c r="G4321" t="str">
        <f>"81337"</f>
        <v>81337</v>
      </c>
      <c r="H4321">
        <v>1</v>
      </c>
      <c r="I4321">
        <v>20</v>
      </c>
      <c r="J4321">
        <v>0</v>
      </c>
      <c r="K4321" t="str">
        <f t="shared" si="780"/>
        <v>801</v>
      </c>
      <c r="L4321">
        <v>16.8</v>
      </c>
    </row>
    <row r="4322" spans="1:12" x14ac:dyDescent="0.25">
      <c r="A4322" t="str">
        <f t="shared" si="776"/>
        <v>89301000</v>
      </c>
      <c r="B4322" t="str">
        <f t="shared" si="777"/>
        <v>93201000</v>
      </c>
      <c r="C4322" t="str">
        <f t="shared" si="778"/>
        <v>93201250</v>
      </c>
      <c r="D4322">
        <v>89301167</v>
      </c>
      <c r="E4322" t="str">
        <f t="shared" si="779"/>
        <v>511221028</v>
      </c>
      <c r="F4322" s="1">
        <v>45041</v>
      </c>
      <c r="G4322" t="str">
        <f>"81357"</f>
        <v>81357</v>
      </c>
      <c r="H4322">
        <v>1</v>
      </c>
      <c r="I4322">
        <v>20</v>
      </c>
      <c r="J4322">
        <v>0</v>
      </c>
      <c r="K4322" t="str">
        <f t="shared" si="780"/>
        <v>801</v>
      </c>
      <c r="L4322">
        <v>16.8</v>
      </c>
    </row>
    <row r="4323" spans="1:12" x14ac:dyDescent="0.25">
      <c r="A4323" t="str">
        <f t="shared" si="776"/>
        <v>89301000</v>
      </c>
      <c r="B4323" t="str">
        <f t="shared" si="777"/>
        <v>93201000</v>
      </c>
      <c r="C4323" t="str">
        <f t="shared" si="778"/>
        <v>93201250</v>
      </c>
      <c r="D4323">
        <v>89301167</v>
      </c>
      <c r="E4323" t="str">
        <f t="shared" si="779"/>
        <v>511221028</v>
      </c>
      <c r="F4323" s="1">
        <v>45041</v>
      </c>
      <c r="G4323" t="str">
        <f>"81435"</f>
        <v>81435</v>
      </c>
      <c r="H4323">
        <v>1</v>
      </c>
      <c r="I4323">
        <v>22</v>
      </c>
      <c r="J4323">
        <v>0</v>
      </c>
      <c r="K4323" t="str">
        <f t="shared" si="780"/>
        <v>801</v>
      </c>
      <c r="L4323">
        <v>18.48</v>
      </c>
    </row>
    <row r="4324" spans="1:12" x14ac:dyDescent="0.25">
      <c r="A4324" t="str">
        <f t="shared" si="776"/>
        <v>89301000</v>
      </c>
      <c r="B4324" t="str">
        <f t="shared" si="777"/>
        <v>93201000</v>
      </c>
      <c r="C4324" t="str">
        <f t="shared" si="778"/>
        <v>93201250</v>
      </c>
      <c r="D4324">
        <v>89301167</v>
      </c>
      <c r="E4324" t="str">
        <f t="shared" si="779"/>
        <v>511221028</v>
      </c>
      <c r="F4324" s="1">
        <v>45041</v>
      </c>
      <c r="G4324" t="str">
        <f>"81383"</f>
        <v>81383</v>
      </c>
      <c r="H4324">
        <v>1</v>
      </c>
      <c r="I4324">
        <v>24</v>
      </c>
      <c r="J4324">
        <v>0</v>
      </c>
      <c r="K4324" t="str">
        <f t="shared" si="780"/>
        <v>801</v>
      </c>
      <c r="L4324">
        <v>20.16</v>
      </c>
    </row>
    <row r="4325" spans="1:12" x14ac:dyDescent="0.25">
      <c r="A4325" t="str">
        <f t="shared" si="776"/>
        <v>89301000</v>
      </c>
      <c r="B4325" t="str">
        <f t="shared" si="777"/>
        <v>93201000</v>
      </c>
      <c r="C4325" t="str">
        <f t="shared" si="778"/>
        <v>93201250</v>
      </c>
      <c r="D4325">
        <v>89301167</v>
      </c>
      <c r="E4325" t="str">
        <f t="shared" si="779"/>
        <v>511221028</v>
      </c>
      <c r="F4325" s="1">
        <v>45041</v>
      </c>
      <c r="G4325" t="str">
        <f>"81361"</f>
        <v>81361</v>
      </c>
      <c r="H4325">
        <v>1</v>
      </c>
      <c r="I4325">
        <v>17</v>
      </c>
      <c r="J4325">
        <v>0</v>
      </c>
      <c r="K4325" t="str">
        <f t="shared" si="780"/>
        <v>801</v>
      </c>
      <c r="L4325">
        <v>14.28</v>
      </c>
    </row>
    <row r="4326" spans="1:12" x14ac:dyDescent="0.25">
      <c r="A4326" t="str">
        <f t="shared" si="776"/>
        <v>89301000</v>
      </c>
      <c r="B4326" t="str">
        <f t="shared" si="777"/>
        <v>93201000</v>
      </c>
      <c r="C4326" t="str">
        <f>"93201130"</f>
        <v>93201130</v>
      </c>
      <c r="D4326">
        <v>89301167</v>
      </c>
      <c r="E4326" t="str">
        <f t="shared" si="779"/>
        <v>511221028</v>
      </c>
      <c r="F4326" s="1">
        <v>45020</v>
      </c>
      <c r="G4326" t="str">
        <f>"96163"</f>
        <v>96163</v>
      </c>
      <c r="H4326">
        <v>1</v>
      </c>
      <c r="I4326">
        <v>28</v>
      </c>
      <c r="J4326">
        <v>0</v>
      </c>
      <c r="K4326" t="str">
        <f>"818"</f>
        <v>818</v>
      </c>
      <c r="L4326">
        <v>27.16</v>
      </c>
    </row>
    <row r="4327" spans="1:12" x14ac:dyDescent="0.25">
      <c r="A4327" t="str">
        <f t="shared" si="776"/>
        <v>89301000</v>
      </c>
      <c r="B4327" t="str">
        <f t="shared" si="777"/>
        <v>93201000</v>
      </c>
      <c r="C4327" t="str">
        <f>"93201130"</f>
        <v>93201130</v>
      </c>
      <c r="D4327">
        <v>89301167</v>
      </c>
      <c r="E4327" t="str">
        <f t="shared" si="779"/>
        <v>511221028</v>
      </c>
      <c r="F4327" s="1">
        <v>45020</v>
      </c>
      <c r="G4327" t="str">
        <f>"96857"</f>
        <v>96857</v>
      </c>
      <c r="H4327">
        <v>1</v>
      </c>
      <c r="I4327">
        <v>68</v>
      </c>
      <c r="J4327">
        <v>0</v>
      </c>
      <c r="K4327" t="str">
        <f>"818"</f>
        <v>818</v>
      </c>
      <c r="L4327">
        <v>65.959999999999994</v>
      </c>
    </row>
    <row r="4328" spans="1:12" x14ac:dyDescent="0.25">
      <c r="A4328" t="str">
        <f t="shared" si="776"/>
        <v>89301000</v>
      </c>
      <c r="B4328" t="str">
        <f t="shared" si="777"/>
        <v>93201000</v>
      </c>
      <c r="C4328" t="str">
        <f>"93201130"</f>
        <v>93201130</v>
      </c>
      <c r="D4328">
        <v>89301167</v>
      </c>
      <c r="E4328" t="str">
        <f t="shared" si="779"/>
        <v>511221028</v>
      </c>
      <c r="F4328" s="1">
        <v>45041</v>
      </c>
      <c r="G4328" t="str">
        <f>"96167"</f>
        <v>96167</v>
      </c>
      <c r="H4328">
        <v>1</v>
      </c>
      <c r="I4328">
        <v>67</v>
      </c>
      <c r="J4328">
        <v>0</v>
      </c>
      <c r="K4328" t="str">
        <f>"818"</f>
        <v>818</v>
      </c>
      <c r="L4328">
        <v>64.989999999999995</v>
      </c>
    </row>
    <row r="4329" spans="1:12" x14ac:dyDescent="0.25">
      <c r="A4329" t="str">
        <f t="shared" si="776"/>
        <v>89301000</v>
      </c>
      <c r="B4329" t="str">
        <f>"65547000"</f>
        <v>65547000</v>
      </c>
      <c r="C4329" t="str">
        <f>"65547001"</f>
        <v>65547001</v>
      </c>
      <c r="D4329">
        <v>89301032</v>
      </c>
      <c r="E4329" t="str">
        <f>"9404055727"</f>
        <v>9404055727</v>
      </c>
      <c r="F4329" s="1">
        <v>45026</v>
      </c>
      <c r="G4329" t="str">
        <f>"89713"</f>
        <v>89713</v>
      </c>
      <c r="H4329">
        <v>1</v>
      </c>
      <c r="I4329">
        <v>5411</v>
      </c>
      <c r="J4329">
        <v>0</v>
      </c>
      <c r="K4329" t="str">
        <f>"810"</f>
        <v>810</v>
      </c>
      <c r="L4329">
        <v>3517.15</v>
      </c>
    </row>
    <row r="4330" spans="1:12" x14ac:dyDescent="0.25">
      <c r="A4330" t="str">
        <f t="shared" si="776"/>
        <v>89301000</v>
      </c>
      <c r="B4330" t="str">
        <f>"65547000"</f>
        <v>65547000</v>
      </c>
      <c r="C4330" t="str">
        <f>"65547001"</f>
        <v>65547001</v>
      </c>
      <c r="D4330">
        <v>89301032</v>
      </c>
      <c r="E4330" t="str">
        <f>"9404055727"</f>
        <v>9404055727</v>
      </c>
      <c r="F4330" s="1">
        <v>45026</v>
      </c>
      <c r="G4330" t="str">
        <f>"89725"</f>
        <v>89725</v>
      </c>
      <c r="H4330">
        <v>1</v>
      </c>
      <c r="I4330">
        <v>2863</v>
      </c>
      <c r="J4330">
        <v>0</v>
      </c>
      <c r="K4330" t="str">
        <f>"810"</f>
        <v>810</v>
      </c>
      <c r="L4330">
        <v>1860.95</v>
      </c>
    </row>
    <row r="4331" spans="1:12" x14ac:dyDescent="0.25">
      <c r="A4331" t="str">
        <f t="shared" si="776"/>
        <v>89301000</v>
      </c>
      <c r="B4331" t="str">
        <f t="shared" ref="B4331:B4353" si="781">"93201000"</f>
        <v>93201000</v>
      </c>
      <c r="C4331" t="str">
        <f t="shared" ref="C4331:C4346" si="782">"93201350"</f>
        <v>93201350</v>
      </c>
      <c r="D4331">
        <v>89301062</v>
      </c>
      <c r="E4331" t="str">
        <f>"7602165780"</f>
        <v>7602165780</v>
      </c>
      <c r="F4331" s="1">
        <v>45037</v>
      </c>
      <c r="G4331" t="str">
        <f>"89615"</f>
        <v>89615</v>
      </c>
      <c r="H4331">
        <v>1</v>
      </c>
      <c r="I4331">
        <v>2199</v>
      </c>
      <c r="J4331">
        <v>0</v>
      </c>
      <c r="K4331" t="str">
        <f t="shared" ref="K4331:K4346" si="783">"809"</f>
        <v>809</v>
      </c>
      <c r="L4331">
        <v>1429.35</v>
      </c>
    </row>
    <row r="4332" spans="1:12" x14ac:dyDescent="0.25">
      <c r="A4332" t="str">
        <f t="shared" si="776"/>
        <v>89301000</v>
      </c>
      <c r="B4332" t="str">
        <f t="shared" si="781"/>
        <v>93201000</v>
      </c>
      <c r="C4332" t="str">
        <f t="shared" si="782"/>
        <v>93201350</v>
      </c>
      <c r="D4332">
        <v>89301212</v>
      </c>
      <c r="E4332" t="str">
        <f>"8055285788"</f>
        <v>8055285788</v>
      </c>
      <c r="F4332" s="1">
        <v>45020</v>
      </c>
      <c r="G4332" t="str">
        <f>"89617"</f>
        <v>89617</v>
      </c>
      <c r="H4332">
        <v>1</v>
      </c>
      <c r="I4332">
        <v>1342</v>
      </c>
      <c r="J4332">
        <v>0</v>
      </c>
      <c r="K4332" t="str">
        <f t="shared" si="783"/>
        <v>809</v>
      </c>
      <c r="L4332">
        <v>872.3</v>
      </c>
    </row>
    <row r="4333" spans="1:12" x14ac:dyDescent="0.25">
      <c r="A4333" t="str">
        <f t="shared" si="776"/>
        <v>89301000</v>
      </c>
      <c r="B4333" t="str">
        <f t="shared" si="781"/>
        <v>93201000</v>
      </c>
      <c r="C4333" t="str">
        <f t="shared" si="782"/>
        <v>93201350</v>
      </c>
      <c r="D4333">
        <v>89301212</v>
      </c>
      <c r="E4333" t="str">
        <f>"8055285788"</f>
        <v>8055285788</v>
      </c>
      <c r="F4333" s="1">
        <v>45020</v>
      </c>
      <c r="G4333" t="str">
        <f>"89619"</f>
        <v>89619</v>
      </c>
      <c r="H4333">
        <v>1</v>
      </c>
      <c r="I4333">
        <v>1218</v>
      </c>
      <c r="J4333">
        <v>0</v>
      </c>
      <c r="K4333" t="str">
        <f t="shared" si="783"/>
        <v>809</v>
      </c>
      <c r="L4333">
        <v>791.7</v>
      </c>
    </row>
    <row r="4334" spans="1:12" x14ac:dyDescent="0.25">
      <c r="A4334" t="str">
        <f t="shared" si="776"/>
        <v>89301000</v>
      </c>
      <c r="B4334" t="str">
        <f t="shared" si="781"/>
        <v>93201000</v>
      </c>
      <c r="C4334" t="str">
        <f t="shared" si="782"/>
        <v>93201350</v>
      </c>
      <c r="D4334">
        <v>89301212</v>
      </c>
      <c r="E4334" t="str">
        <f>"8055285788"</f>
        <v>8055285788</v>
      </c>
      <c r="F4334" s="1">
        <v>45020</v>
      </c>
      <c r="G4334" t="str">
        <f>"0096278"</f>
        <v>0096278</v>
      </c>
      <c r="H4334">
        <v>3.2000000000000001E-2</v>
      </c>
      <c r="J4334">
        <v>622.25</v>
      </c>
      <c r="K4334" t="str">
        <f t="shared" si="783"/>
        <v>809</v>
      </c>
      <c r="L4334">
        <v>622.25</v>
      </c>
    </row>
    <row r="4335" spans="1:12" x14ac:dyDescent="0.25">
      <c r="A4335" t="str">
        <f t="shared" si="776"/>
        <v>89301000</v>
      </c>
      <c r="B4335" t="str">
        <f t="shared" si="781"/>
        <v>93201000</v>
      </c>
      <c r="C4335" t="str">
        <f t="shared" si="782"/>
        <v>93201350</v>
      </c>
      <c r="D4335">
        <v>89301212</v>
      </c>
      <c r="E4335" t="str">
        <f>"515110056"</f>
        <v>515110056</v>
      </c>
      <c r="F4335" s="1">
        <v>45042</v>
      </c>
      <c r="G4335" t="str">
        <f>"89617"</f>
        <v>89617</v>
      </c>
      <c r="H4335">
        <v>1</v>
      </c>
      <c r="I4335">
        <v>1342</v>
      </c>
      <c r="J4335">
        <v>0</v>
      </c>
      <c r="K4335" t="str">
        <f t="shared" si="783"/>
        <v>809</v>
      </c>
      <c r="L4335">
        <v>872.3</v>
      </c>
    </row>
    <row r="4336" spans="1:12" x14ac:dyDescent="0.25">
      <c r="A4336" t="str">
        <f t="shared" si="776"/>
        <v>89301000</v>
      </c>
      <c r="B4336" t="str">
        <f t="shared" si="781"/>
        <v>93201000</v>
      </c>
      <c r="C4336" t="str">
        <f t="shared" si="782"/>
        <v>93201350</v>
      </c>
      <c r="D4336">
        <v>89301212</v>
      </c>
      <c r="E4336" t="str">
        <f>"515110056"</f>
        <v>515110056</v>
      </c>
      <c r="F4336" s="1">
        <v>45042</v>
      </c>
      <c r="G4336" t="str">
        <f>"89619"</f>
        <v>89619</v>
      </c>
      <c r="H4336">
        <v>1</v>
      </c>
      <c r="I4336">
        <v>1218</v>
      </c>
      <c r="J4336">
        <v>0</v>
      </c>
      <c r="K4336" t="str">
        <f t="shared" si="783"/>
        <v>809</v>
      </c>
      <c r="L4336">
        <v>791.7</v>
      </c>
    </row>
    <row r="4337" spans="1:12" x14ac:dyDescent="0.25">
      <c r="A4337" t="str">
        <f t="shared" si="776"/>
        <v>89301000</v>
      </c>
      <c r="B4337" t="str">
        <f t="shared" si="781"/>
        <v>93201000</v>
      </c>
      <c r="C4337" t="str">
        <f t="shared" si="782"/>
        <v>93201350</v>
      </c>
      <c r="D4337">
        <v>89301212</v>
      </c>
      <c r="E4337" t="str">
        <f>"485720450"</f>
        <v>485720450</v>
      </c>
      <c r="F4337" s="1">
        <v>45036</v>
      </c>
      <c r="G4337" t="str">
        <f>"89180"</f>
        <v>89180</v>
      </c>
      <c r="H4337">
        <v>2</v>
      </c>
      <c r="I4337">
        <v>762</v>
      </c>
      <c r="J4337">
        <v>0</v>
      </c>
      <c r="K4337" t="str">
        <f t="shared" si="783"/>
        <v>809</v>
      </c>
      <c r="L4337">
        <v>1120.1400000000001</v>
      </c>
    </row>
    <row r="4338" spans="1:12" x14ac:dyDescent="0.25">
      <c r="A4338" t="str">
        <f t="shared" si="776"/>
        <v>89301000</v>
      </c>
      <c r="B4338" t="str">
        <f t="shared" si="781"/>
        <v>93201000</v>
      </c>
      <c r="C4338" t="str">
        <f t="shared" si="782"/>
        <v>93201350</v>
      </c>
      <c r="D4338">
        <v>89301212</v>
      </c>
      <c r="E4338" t="str">
        <f>"5654271051"</f>
        <v>5654271051</v>
      </c>
      <c r="F4338" s="1">
        <v>45033</v>
      </c>
      <c r="G4338" t="str">
        <f>"89512"</f>
        <v>89512</v>
      </c>
      <c r="H4338">
        <v>1</v>
      </c>
      <c r="I4338">
        <v>283</v>
      </c>
      <c r="J4338">
        <v>0</v>
      </c>
      <c r="K4338" t="str">
        <f t="shared" si="783"/>
        <v>809</v>
      </c>
      <c r="L4338">
        <v>416.01</v>
      </c>
    </row>
    <row r="4339" spans="1:12" x14ac:dyDescent="0.25">
      <c r="A4339" t="str">
        <f t="shared" si="776"/>
        <v>89301000</v>
      </c>
      <c r="B4339" t="str">
        <f t="shared" si="781"/>
        <v>93201000</v>
      </c>
      <c r="C4339" t="str">
        <f t="shared" si="782"/>
        <v>93201350</v>
      </c>
      <c r="D4339">
        <v>89301212</v>
      </c>
      <c r="E4339" t="str">
        <f>"5654271051"</f>
        <v>5654271051</v>
      </c>
      <c r="F4339" s="1">
        <v>45033</v>
      </c>
      <c r="G4339" t="str">
        <f>"89180"</f>
        <v>89180</v>
      </c>
      <c r="H4339">
        <v>2</v>
      </c>
      <c r="I4339">
        <v>762</v>
      </c>
      <c r="J4339">
        <v>0</v>
      </c>
      <c r="K4339" t="str">
        <f t="shared" si="783"/>
        <v>809</v>
      </c>
      <c r="L4339">
        <v>1120.1400000000001</v>
      </c>
    </row>
    <row r="4340" spans="1:12" x14ac:dyDescent="0.25">
      <c r="A4340" t="str">
        <f t="shared" si="776"/>
        <v>89301000</v>
      </c>
      <c r="B4340" t="str">
        <f t="shared" si="781"/>
        <v>93201000</v>
      </c>
      <c r="C4340" t="str">
        <f t="shared" si="782"/>
        <v>93201350</v>
      </c>
      <c r="D4340">
        <v>89301212</v>
      </c>
      <c r="E4340" t="str">
        <f>"5751280348"</f>
        <v>5751280348</v>
      </c>
      <c r="F4340" s="1">
        <v>45030</v>
      </c>
      <c r="G4340" t="str">
        <f>"89512"</f>
        <v>89512</v>
      </c>
      <c r="H4340">
        <v>1</v>
      </c>
      <c r="I4340">
        <v>283</v>
      </c>
      <c r="J4340">
        <v>0</v>
      </c>
      <c r="K4340" t="str">
        <f t="shared" si="783"/>
        <v>809</v>
      </c>
      <c r="L4340">
        <v>416.01</v>
      </c>
    </row>
    <row r="4341" spans="1:12" x14ac:dyDescent="0.25">
      <c r="A4341" t="str">
        <f t="shared" si="776"/>
        <v>89301000</v>
      </c>
      <c r="B4341" t="str">
        <f t="shared" si="781"/>
        <v>93201000</v>
      </c>
      <c r="C4341" t="str">
        <f t="shared" si="782"/>
        <v>93201350</v>
      </c>
      <c r="D4341">
        <v>89301212</v>
      </c>
      <c r="E4341" t="str">
        <f>"5751280348"</f>
        <v>5751280348</v>
      </c>
      <c r="F4341" s="1">
        <v>45030</v>
      </c>
      <c r="G4341" t="str">
        <f>"89180"</f>
        <v>89180</v>
      </c>
      <c r="H4341">
        <v>2</v>
      </c>
      <c r="I4341">
        <v>762</v>
      </c>
      <c r="J4341">
        <v>0</v>
      </c>
      <c r="K4341" t="str">
        <f t="shared" si="783"/>
        <v>809</v>
      </c>
      <c r="L4341">
        <v>1120.1400000000001</v>
      </c>
    </row>
    <row r="4342" spans="1:12" x14ac:dyDescent="0.25">
      <c r="A4342" t="str">
        <f t="shared" si="776"/>
        <v>89301000</v>
      </c>
      <c r="B4342" t="str">
        <f t="shared" si="781"/>
        <v>93201000</v>
      </c>
      <c r="C4342" t="str">
        <f t="shared" si="782"/>
        <v>93201350</v>
      </c>
      <c r="D4342">
        <v>89301212</v>
      </c>
      <c r="E4342" t="str">
        <f>"5552081040"</f>
        <v>5552081040</v>
      </c>
      <c r="F4342" s="1">
        <v>45036</v>
      </c>
      <c r="G4342" t="str">
        <f>"89512"</f>
        <v>89512</v>
      </c>
      <c r="H4342">
        <v>1</v>
      </c>
      <c r="I4342">
        <v>283</v>
      </c>
      <c r="J4342">
        <v>0</v>
      </c>
      <c r="K4342" t="str">
        <f t="shared" si="783"/>
        <v>809</v>
      </c>
      <c r="L4342">
        <v>416.01</v>
      </c>
    </row>
    <row r="4343" spans="1:12" x14ac:dyDescent="0.25">
      <c r="A4343" t="str">
        <f t="shared" si="776"/>
        <v>89301000</v>
      </c>
      <c r="B4343" t="str">
        <f t="shared" si="781"/>
        <v>93201000</v>
      </c>
      <c r="C4343" t="str">
        <f t="shared" si="782"/>
        <v>93201350</v>
      </c>
      <c r="D4343">
        <v>89301212</v>
      </c>
      <c r="E4343" t="str">
        <f>"5552081040"</f>
        <v>5552081040</v>
      </c>
      <c r="F4343" s="1">
        <v>45036</v>
      </c>
      <c r="G4343" t="str">
        <f>"89313"</f>
        <v>89313</v>
      </c>
      <c r="H4343">
        <v>1</v>
      </c>
      <c r="I4343">
        <v>420</v>
      </c>
      <c r="J4343">
        <v>0</v>
      </c>
      <c r="K4343" t="str">
        <f t="shared" si="783"/>
        <v>809</v>
      </c>
      <c r="L4343">
        <v>617.4</v>
      </c>
    </row>
    <row r="4344" spans="1:12" x14ac:dyDescent="0.25">
      <c r="A4344" t="str">
        <f t="shared" si="776"/>
        <v>89301000</v>
      </c>
      <c r="B4344" t="str">
        <f t="shared" si="781"/>
        <v>93201000</v>
      </c>
      <c r="C4344" t="str">
        <f t="shared" si="782"/>
        <v>93201350</v>
      </c>
      <c r="D4344">
        <v>89301212</v>
      </c>
      <c r="E4344" t="str">
        <f>"5552081040"</f>
        <v>5552081040</v>
      </c>
      <c r="F4344" s="1">
        <v>45036</v>
      </c>
      <c r="G4344" t="str">
        <f>"89180"</f>
        <v>89180</v>
      </c>
      <c r="H4344">
        <v>2</v>
      </c>
      <c r="I4344">
        <v>762</v>
      </c>
      <c r="J4344">
        <v>0</v>
      </c>
      <c r="K4344" t="str">
        <f t="shared" si="783"/>
        <v>809</v>
      </c>
      <c r="L4344">
        <v>1120.1400000000001</v>
      </c>
    </row>
    <row r="4345" spans="1:12" x14ac:dyDescent="0.25">
      <c r="A4345" t="str">
        <f t="shared" si="776"/>
        <v>89301000</v>
      </c>
      <c r="B4345" t="str">
        <f t="shared" si="781"/>
        <v>93201000</v>
      </c>
      <c r="C4345" t="str">
        <f t="shared" si="782"/>
        <v>93201350</v>
      </c>
      <c r="D4345">
        <v>89301212</v>
      </c>
      <c r="E4345" t="str">
        <f>"7652075761"</f>
        <v>7652075761</v>
      </c>
      <c r="F4345" s="1">
        <v>45034</v>
      </c>
      <c r="G4345" t="str">
        <f>"89512"</f>
        <v>89512</v>
      </c>
      <c r="H4345">
        <v>1</v>
      </c>
      <c r="I4345">
        <v>283</v>
      </c>
      <c r="J4345">
        <v>0</v>
      </c>
      <c r="K4345" t="str">
        <f t="shared" si="783"/>
        <v>809</v>
      </c>
      <c r="L4345">
        <v>416.01</v>
      </c>
    </row>
    <row r="4346" spans="1:12" x14ac:dyDescent="0.25">
      <c r="A4346" t="str">
        <f t="shared" si="776"/>
        <v>89301000</v>
      </c>
      <c r="B4346" t="str">
        <f t="shared" si="781"/>
        <v>93201000</v>
      </c>
      <c r="C4346" t="str">
        <f t="shared" si="782"/>
        <v>93201350</v>
      </c>
      <c r="D4346">
        <v>89301212</v>
      </c>
      <c r="E4346" t="str">
        <f>"7652075761"</f>
        <v>7652075761</v>
      </c>
      <c r="F4346" s="1">
        <v>45034</v>
      </c>
      <c r="G4346" t="str">
        <f>"89180"</f>
        <v>89180</v>
      </c>
      <c r="H4346">
        <v>2</v>
      </c>
      <c r="I4346">
        <v>762</v>
      </c>
      <c r="J4346">
        <v>0</v>
      </c>
      <c r="K4346" t="str">
        <f t="shared" si="783"/>
        <v>809</v>
      </c>
      <c r="L4346">
        <v>1120.1400000000001</v>
      </c>
    </row>
    <row r="4347" spans="1:12" x14ac:dyDescent="0.25">
      <c r="A4347" t="str">
        <f t="shared" si="776"/>
        <v>89301000</v>
      </c>
      <c r="B4347" t="str">
        <f t="shared" si="781"/>
        <v>93201000</v>
      </c>
      <c r="C4347" t="str">
        <f t="shared" ref="C4347:C4353" si="784">"93201355"</f>
        <v>93201355</v>
      </c>
      <c r="D4347">
        <v>89301062</v>
      </c>
      <c r="E4347" t="str">
        <f>"8061295781"</f>
        <v>8061295781</v>
      </c>
      <c r="F4347" s="1">
        <v>45030</v>
      </c>
      <c r="G4347" t="str">
        <f>"89713"</f>
        <v>89713</v>
      </c>
      <c r="H4347">
        <v>1</v>
      </c>
      <c r="I4347">
        <v>5411</v>
      </c>
      <c r="J4347">
        <v>0</v>
      </c>
      <c r="K4347" t="str">
        <f t="shared" ref="K4347:K4353" si="785">"810"</f>
        <v>810</v>
      </c>
      <c r="L4347">
        <v>3517.15</v>
      </c>
    </row>
    <row r="4348" spans="1:12" x14ac:dyDescent="0.25">
      <c r="A4348" t="str">
        <f t="shared" si="776"/>
        <v>89301000</v>
      </c>
      <c r="B4348" t="str">
        <f t="shared" si="781"/>
        <v>93201000</v>
      </c>
      <c r="C4348" t="str">
        <f t="shared" si="784"/>
        <v>93201355</v>
      </c>
      <c r="D4348">
        <v>89301062</v>
      </c>
      <c r="E4348" t="str">
        <f>"8061295781"</f>
        <v>8061295781</v>
      </c>
      <c r="F4348" s="1">
        <v>45030</v>
      </c>
      <c r="G4348" t="str">
        <f>"89725"</f>
        <v>89725</v>
      </c>
      <c r="H4348">
        <v>1</v>
      </c>
      <c r="I4348">
        <v>2863</v>
      </c>
      <c r="J4348">
        <v>0</v>
      </c>
      <c r="K4348" t="str">
        <f t="shared" si="785"/>
        <v>810</v>
      </c>
      <c r="L4348">
        <v>1860.95</v>
      </c>
    </row>
    <row r="4349" spans="1:12" x14ac:dyDescent="0.25">
      <c r="A4349" t="str">
        <f t="shared" si="776"/>
        <v>89301000</v>
      </c>
      <c r="B4349" t="str">
        <f t="shared" si="781"/>
        <v>93201000</v>
      </c>
      <c r="C4349" t="str">
        <f t="shared" si="784"/>
        <v>93201355</v>
      </c>
      <c r="D4349">
        <v>89301062</v>
      </c>
      <c r="E4349" t="str">
        <f>"8061295781"</f>
        <v>8061295781</v>
      </c>
      <c r="F4349" s="1">
        <v>45030</v>
      </c>
      <c r="G4349" t="str">
        <f>"0054255"</f>
        <v>0054255</v>
      </c>
      <c r="H4349">
        <v>1</v>
      </c>
      <c r="J4349">
        <v>1686.92</v>
      </c>
      <c r="K4349" t="str">
        <f t="shared" si="785"/>
        <v>810</v>
      </c>
      <c r="L4349">
        <v>1686.92</v>
      </c>
    </row>
    <row r="4350" spans="1:12" x14ac:dyDescent="0.25">
      <c r="A4350" t="str">
        <f t="shared" si="776"/>
        <v>89301000</v>
      </c>
      <c r="B4350" t="str">
        <f t="shared" si="781"/>
        <v>93201000</v>
      </c>
      <c r="C4350" t="str">
        <f t="shared" si="784"/>
        <v>93201355</v>
      </c>
      <c r="D4350">
        <v>89301112</v>
      </c>
      <c r="E4350" t="str">
        <f>"8309135329"</f>
        <v>8309135329</v>
      </c>
      <c r="F4350" s="1">
        <v>45028</v>
      </c>
      <c r="G4350" t="str">
        <f>"89713"</f>
        <v>89713</v>
      </c>
      <c r="H4350">
        <v>1</v>
      </c>
      <c r="I4350">
        <v>5411</v>
      </c>
      <c r="J4350">
        <v>0</v>
      </c>
      <c r="K4350" t="str">
        <f t="shared" si="785"/>
        <v>810</v>
      </c>
      <c r="L4350">
        <v>3517.15</v>
      </c>
    </row>
    <row r="4351" spans="1:12" x14ac:dyDescent="0.25">
      <c r="A4351" t="str">
        <f t="shared" si="776"/>
        <v>89301000</v>
      </c>
      <c r="B4351" t="str">
        <f t="shared" si="781"/>
        <v>93201000</v>
      </c>
      <c r="C4351" t="str">
        <f t="shared" si="784"/>
        <v>93201355</v>
      </c>
      <c r="D4351">
        <v>89301142</v>
      </c>
      <c r="E4351" t="str">
        <f>"9160166070"</f>
        <v>9160166070</v>
      </c>
      <c r="F4351" s="1">
        <v>45040</v>
      </c>
      <c r="G4351" t="str">
        <f>"89713"</f>
        <v>89713</v>
      </c>
      <c r="H4351">
        <v>1</v>
      </c>
      <c r="I4351">
        <v>5411</v>
      </c>
      <c r="J4351">
        <v>0</v>
      </c>
      <c r="K4351" t="str">
        <f t="shared" si="785"/>
        <v>810</v>
      </c>
      <c r="L4351">
        <v>3517.15</v>
      </c>
    </row>
    <row r="4352" spans="1:12" x14ac:dyDescent="0.25">
      <c r="A4352" t="str">
        <f t="shared" si="776"/>
        <v>89301000</v>
      </c>
      <c r="B4352" t="str">
        <f t="shared" si="781"/>
        <v>93201000</v>
      </c>
      <c r="C4352" t="str">
        <f t="shared" si="784"/>
        <v>93201355</v>
      </c>
      <c r="D4352">
        <v>89301142</v>
      </c>
      <c r="E4352" t="str">
        <f>"9160166070"</f>
        <v>9160166070</v>
      </c>
      <c r="F4352" s="1">
        <v>45040</v>
      </c>
      <c r="G4352" t="str">
        <f>"89725"</f>
        <v>89725</v>
      </c>
      <c r="H4352">
        <v>1</v>
      </c>
      <c r="I4352">
        <v>2863</v>
      </c>
      <c r="J4352">
        <v>0</v>
      </c>
      <c r="K4352" t="str">
        <f t="shared" si="785"/>
        <v>810</v>
      </c>
      <c r="L4352">
        <v>1860.95</v>
      </c>
    </row>
    <row r="4353" spans="1:12" x14ac:dyDescent="0.25">
      <c r="A4353" t="str">
        <f t="shared" si="776"/>
        <v>89301000</v>
      </c>
      <c r="B4353" t="str">
        <f t="shared" si="781"/>
        <v>93201000</v>
      </c>
      <c r="C4353" t="str">
        <f t="shared" si="784"/>
        <v>93201355</v>
      </c>
      <c r="D4353">
        <v>89301142</v>
      </c>
      <c r="E4353" t="str">
        <f>"9160166070"</f>
        <v>9160166070</v>
      </c>
      <c r="F4353" s="1">
        <v>45040</v>
      </c>
      <c r="G4353" t="str">
        <f>"0054253"</f>
        <v>0054253</v>
      </c>
      <c r="H4353">
        <v>1</v>
      </c>
      <c r="J4353">
        <v>843.46</v>
      </c>
      <c r="K4353" t="str">
        <f t="shared" si="785"/>
        <v>810</v>
      </c>
      <c r="L4353">
        <v>843.46</v>
      </c>
    </row>
    <row r="4354" spans="1:12" x14ac:dyDescent="0.25">
      <c r="A4354" t="str">
        <f t="shared" ref="A4354:A4417" si="786">"89301000"</f>
        <v>89301000</v>
      </c>
      <c r="B4354" t="str">
        <f>"82083000"</f>
        <v>82083000</v>
      </c>
      <c r="C4354" t="str">
        <f>"82083102"</f>
        <v>82083102</v>
      </c>
      <c r="D4354">
        <v>89301082</v>
      </c>
      <c r="E4354" t="str">
        <f>"8556284253"</f>
        <v>8556284253</v>
      </c>
      <c r="F4354" s="1">
        <v>45042</v>
      </c>
      <c r="G4354" t="str">
        <f>"09119"</f>
        <v>09119</v>
      </c>
      <c r="H4354">
        <v>1</v>
      </c>
      <c r="I4354">
        <v>43</v>
      </c>
      <c r="J4354">
        <v>0</v>
      </c>
      <c r="K4354" t="str">
        <f>"801"</f>
        <v>801</v>
      </c>
      <c r="L4354">
        <v>54.18</v>
      </c>
    </row>
    <row r="4355" spans="1:12" x14ac:dyDescent="0.25">
      <c r="A4355" t="str">
        <f t="shared" si="786"/>
        <v>89301000</v>
      </c>
      <c r="B4355" t="str">
        <f>"82083000"</f>
        <v>82083000</v>
      </c>
      <c r="C4355" t="str">
        <f>"82083102"</f>
        <v>82083102</v>
      </c>
      <c r="D4355">
        <v>89301082</v>
      </c>
      <c r="E4355" t="str">
        <f>"8556284253"</f>
        <v>8556284253</v>
      </c>
      <c r="F4355" s="1">
        <v>45042</v>
      </c>
      <c r="G4355" t="str">
        <f>"93155"</f>
        <v>93155</v>
      </c>
      <c r="H4355">
        <v>1</v>
      </c>
      <c r="I4355">
        <v>204</v>
      </c>
      <c r="J4355">
        <v>0</v>
      </c>
      <c r="K4355" t="str">
        <f>"801"</f>
        <v>801</v>
      </c>
      <c r="L4355">
        <v>171.36</v>
      </c>
    </row>
    <row r="4356" spans="1:12" x14ac:dyDescent="0.25">
      <c r="A4356" t="str">
        <f t="shared" si="786"/>
        <v>89301000</v>
      </c>
      <c r="B4356" t="str">
        <f>"82083000"</f>
        <v>82083000</v>
      </c>
      <c r="C4356" t="str">
        <f>"82083102"</f>
        <v>82083102</v>
      </c>
      <c r="D4356">
        <v>89301082</v>
      </c>
      <c r="E4356" t="str">
        <f>"8556284253"</f>
        <v>8556284253</v>
      </c>
      <c r="F4356" s="1">
        <v>45042</v>
      </c>
      <c r="G4356" t="str">
        <f>"97111"</f>
        <v>97111</v>
      </c>
      <c r="H4356">
        <v>1</v>
      </c>
      <c r="I4356">
        <v>19</v>
      </c>
      <c r="J4356">
        <v>0</v>
      </c>
      <c r="K4356" t="str">
        <f>"801"</f>
        <v>801</v>
      </c>
      <c r="L4356">
        <v>23.94</v>
      </c>
    </row>
    <row r="4357" spans="1:12" x14ac:dyDescent="0.25">
      <c r="A4357" t="str">
        <f t="shared" si="786"/>
        <v>89301000</v>
      </c>
      <c r="B4357" t="str">
        <f>"86102000"</f>
        <v>86102000</v>
      </c>
      <c r="C4357" t="str">
        <f>"86102496"</f>
        <v>86102496</v>
      </c>
      <c r="D4357">
        <v>89301112</v>
      </c>
      <c r="E4357" t="str">
        <f>"9411225406"</f>
        <v>9411225406</v>
      </c>
      <c r="F4357" s="1">
        <v>45019</v>
      </c>
      <c r="G4357" t="str">
        <f>"89713"</f>
        <v>89713</v>
      </c>
      <c r="H4357">
        <v>1</v>
      </c>
      <c r="I4357">
        <v>5411</v>
      </c>
      <c r="J4357">
        <v>0</v>
      </c>
      <c r="K4357" t="str">
        <f t="shared" ref="K4357:K4368" si="787">"809"</f>
        <v>809</v>
      </c>
      <c r="L4357">
        <v>3517.15</v>
      </c>
    </row>
    <row r="4358" spans="1:12" x14ac:dyDescent="0.25">
      <c r="A4358" t="str">
        <f t="shared" si="786"/>
        <v>89301000</v>
      </c>
      <c r="B4358" t="str">
        <f t="shared" ref="B4358:B4372" si="788">"72931000"</f>
        <v>72931000</v>
      </c>
      <c r="C4358" t="str">
        <f t="shared" ref="C4358:C4368" si="789">"72931515"</f>
        <v>72931515</v>
      </c>
      <c r="D4358">
        <v>89301212</v>
      </c>
      <c r="E4358" t="str">
        <f t="shared" ref="E4358:E4372" si="790">"7554275696"</f>
        <v>7554275696</v>
      </c>
      <c r="F4358" s="1">
        <v>45022</v>
      </c>
      <c r="G4358" t="str">
        <f>"07640"</f>
        <v>07640</v>
      </c>
      <c r="H4358">
        <v>1</v>
      </c>
      <c r="I4358">
        <v>0</v>
      </c>
      <c r="J4358">
        <v>0</v>
      </c>
      <c r="K4358" t="str">
        <f t="shared" si="787"/>
        <v>809</v>
      </c>
      <c r="L4358">
        <v>0</v>
      </c>
    </row>
    <row r="4359" spans="1:12" x14ac:dyDescent="0.25">
      <c r="A4359" t="str">
        <f t="shared" si="786"/>
        <v>89301000</v>
      </c>
      <c r="B4359" t="str">
        <f t="shared" si="788"/>
        <v>72931000</v>
      </c>
      <c r="C4359" t="str">
        <f t="shared" si="789"/>
        <v>72931515</v>
      </c>
      <c r="D4359">
        <v>89301212</v>
      </c>
      <c r="E4359" t="str">
        <f t="shared" si="790"/>
        <v>7554275696</v>
      </c>
      <c r="F4359" s="1">
        <v>45022</v>
      </c>
      <c r="G4359" t="str">
        <f>"07652"</f>
        <v>07652</v>
      </c>
      <c r="H4359">
        <v>1</v>
      </c>
      <c r="I4359">
        <v>0</v>
      </c>
      <c r="J4359">
        <v>0</v>
      </c>
      <c r="K4359" t="str">
        <f t="shared" si="787"/>
        <v>809</v>
      </c>
      <c r="L4359">
        <v>0</v>
      </c>
    </row>
    <row r="4360" spans="1:12" x14ac:dyDescent="0.25">
      <c r="A4360" t="str">
        <f t="shared" si="786"/>
        <v>89301000</v>
      </c>
      <c r="B4360" t="str">
        <f t="shared" si="788"/>
        <v>72931000</v>
      </c>
      <c r="C4360" t="str">
        <f t="shared" si="789"/>
        <v>72931515</v>
      </c>
      <c r="D4360">
        <v>89301212</v>
      </c>
      <c r="E4360" t="str">
        <f t="shared" si="790"/>
        <v>7554275696</v>
      </c>
      <c r="F4360" s="1">
        <v>45022</v>
      </c>
      <c r="G4360" t="str">
        <f>"09233"</f>
        <v>09233</v>
      </c>
      <c r="H4360">
        <v>1</v>
      </c>
      <c r="I4360">
        <v>102</v>
      </c>
      <c r="J4360">
        <v>0</v>
      </c>
      <c r="K4360" t="str">
        <f t="shared" si="787"/>
        <v>809</v>
      </c>
      <c r="L4360">
        <v>149.94</v>
      </c>
    </row>
    <row r="4361" spans="1:12" x14ac:dyDescent="0.25">
      <c r="A4361" t="str">
        <f t="shared" si="786"/>
        <v>89301000</v>
      </c>
      <c r="B4361" t="str">
        <f t="shared" si="788"/>
        <v>72931000</v>
      </c>
      <c r="C4361" t="str">
        <f t="shared" si="789"/>
        <v>72931515</v>
      </c>
      <c r="D4361">
        <v>89301212</v>
      </c>
      <c r="E4361" t="str">
        <f t="shared" si="790"/>
        <v>7554275696</v>
      </c>
      <c r="F4361" s="1">
        <v>45022</v>
      </c>
      <c r="G4361" t="str">
        <f>"89339"</f>
        <v>89339</v>
      </c>
      <c r="H4361">
        <v>1</v>
      </c>
      <c r="I4361">
        <v>1305</v>
      </c>
      <c r="J4361">
        <v>0</v>
      </c>
      <c r="K4361" t="str">
        <f t="shared" si="787"/>
        <v>809</v>
      </c>
      <c r="L4361">
        <v>1918.35</v>
      </c>
    </row>
    <row r="4362" spans="1:12" x14ac:dyDescent="0.25">
      <c r="A4362" t="str">
        <f t="shared" si="786"/>
        <v>89301000</v>
      </c>
      <c r="B4362" t="str">
        <f t="shared" si="788"/>
        <v>72931000</v>
      </c>
      <c r="C4362" t="str">
        <f t="shared" si="789"/>
        <v>72931515</v>
      </c>
      <c r="D4362">
        <v>89301212</v>
      </c>
      <c r="E4362" t="str">
        <f t="shared" si="790"/>
        <v>7554275696</v>
      </c>
      <c r="F4362" s="1">
        <v>45022</v>
      </c>
      <c r="G4362" t="str">
        <f>"89715"</f>
        <v>89715</v>
      </c>
      <c r="H4362">
        <v>1</v>
      </c>
      <c r="I4362">
        <v>5523</v>
      </c>
      <c r="J4362">
        <v>0</v>
      </c>
      <c r="K4362" t="str">
        <f t="shared" si="787"/>
        <v>809</v>
      </c>
      <c r="L4362">
        <v>3589.95</v>
      </c>
    </row>
    <row r="4363" spans="1:12" x14ac:dyDescent="0.25">
      <c r="A4363" t="str">
        <f t="shared" si="786"/>
        <v>89301000</v>
      </c>
      <c r="B4363" t="str">
        <f t="shared" si="788"/>
        <v>72931000</v>
      </c>
      <c r="C4363" t="str">
        <f t="shared" si="789"/>
        <v>72931515</v>
      </c>
      <c r="D4363">
        <v>89301212</v>
      </c>
      <c r="E4363" t="str">
        <f t="shared" si="790"/>
        <v>7554275696</v>
      </c>
      <c r="F4363" s="1">
        <v>45022</v>
      </c>
      <c r="G4363" t="str">
        <f>"89725"</f>
        <v>89725</v>
      </c>
      <c r="H4363">
        <v>1</v>
      </c>
      <c r="I4363">
        <v>2863</v>
      </c>
      <c r="J4363">
        <v>0</v>
      </c>
      <c r="K4363" t="str">
        <f t="shared" si="787"/>
        <v>809</v>
      </c>
      <c r="L4363">
        <v>1860.95</v>
      </c>
    </row>
    <row r="4364" spans="1:12" x14ac:dyDescent="0.25">
      <c r="A4364" t="str">
        <f t="shared" si="786"/>
        <v>89301000</v>
      </c>
      <c r="B4364" t="str">
        <f t="shared" si="788"/>
        <v>72931000</v>
      </c>
      <c r="C4364" t="str">
        <f t="shared" si="789"/>
        <v>72931515</v>
      </c>
      <c r="D4364">
        <v>89301212</v>
      </c>
      <c r="E4364" t="str">
        <f t="shared" si="790"/>
        <v>7554275696</v>
      </c>
      <c r="F4364" s="1">
        <v>45022</v>
      </c>
      <c r="G4364" t="str">
        <f>"0000502"</f>
        <v>0000502</v>
      </c>
      <c r="H4364">
        <v>0.1</v>
      </c>
      <c r="J4364">
        <v>6.97</v>
      </c>
      <c r="K4364" t="str">
        <f t="shared" si="787"/>
        <v>809</v>
      </c>
      <c r="L4364">
        <v>6.97</v>
      </c>
    </row>
    <row r="4365" spans="1:12" x14ac:dyDescent="0.25">
      <c r="A4365" t="str">
        <f t="shared" si="786"/>
        <v>89301000</v>
      </c>
      <c r="B4365" t="str">
        <f t="shared" si="788"/>
        <v>72931000</v>
      </c>
      <c r="C4365" t="str">
        <f t="shared" si="789"/>
        <v>72931515</v>
      </c>
      <c r="D4365">
        <v>89301212</v>
      </c>
      <c r="E4365" t="str">
        <f t="shared" si="790"/>
        <v>7554275696</v>
      </c>
      <c r="F4365" s="1">
        <v>45022</v>
      </c>
      <c r="G4365" t="str">
        <f>"0042901"</f>
        <v>0042901</v>
      </c>
      <c r="H4365">
        <v>1</v>
      </c>
      <c r="J4365">
        <v>1433.88</v>
      </c>
      <c r="K4365" t="str">
        <f t="shared" si="787"/>
        <v>809</v>
      </c>
      <c r="L4365">
        <v>1433.88</v>
      </c>
    </row>
    <row r="4366" spans="1:12" x14ac:dyDescent="0.25">
      <c r="A4366" t="str">
        <f t="shared" si="786"/>
        <v>89301000</v>
      </c>
      <c r="B4366" t="str">
        <f t="shared" si="788"/>
        <v>72931000</v>
      </c>
      <c r="C4366" t="str">
        <f t="shared" si="789"/>
        <v>72931515</v>
      </c>
      <c r="D4366">
        <v>89301212</v>
      </c>
      <c r="E4366" t="str">
        <f t="shared" si="790"/>
        <v>7554275696</v>
      </c>
      <c r="F4366" s="1">
        <v>45022</v>
      </c>
      <c r="G4366" t="str">
        <f>"0082502"</f>
        <v>0082502</v>
      </c>
      <c r="H4366">
        <v>1</v>
      </c>
      <c r="J4366">
        <v>2093</v>
      </c>
      <c r="K4366" t="str">
        <f t="shared" si="787"/>
        <v>809</v>
      </c>
      <c r="L4366">
        <v>2093</v>
      </c>
    </row>
    <row r="4367" spans="1:12" x14ac:dyDescent="0.25">
      <c r="A4367" t="str">
        <f t="shared" si="786"/>
        <v>89301000</v>
      </c>
      <c r="B4367" t="str">
        <f t="shared" si="788"/>
        <v>72931000</v>
      </c>
      <c r="C4367" t="str">
        <f t="shared" si="789"/>
        <v>72931515</v>
      </c>
      <c r="D4367">
        <v>89301212</v>
      </c>
      <c r="E4367" t="str">
        <f t="shared" si="790"/>
        <v>7554275696</v>
      </c>
      <c r="F4367" s="1">
        <v>45022</v>
      </c>
      <c r="G4367" t="str">
        <f>"0097474"</f>
        <v>0097474</v>
      </c>
      <c r="H4367">
        <v>1</v>
      </c>
      <c r="J4367">
        <v>9223.9599999999991</v>
      </c>
      <c r="K4367" t="str">
        <f t="shared" si="787"/>
        <v>809</v>
      </c>
      <c r="L4367">
        <v>9223.9599999999991</v>
      </c>
    </row>
    <row r="4368" spans="1:12" x14ac:dyDescent="0.25">
      <c r="A4368" t="str">
        <f t="shared" si="786"/>
        <v>89301000</v>
      </c>
      <c r="B4368" t="str">
        <f t="shared" si="788"/>
        <v>72931000</v>
      </c>
      <c r="C4368" t="str">
        <f t="shared" si="789"/>
        <v>72931515</v>
      </c>
      <c r="D4368">
        <v>89301212</v>
      </c>
      <c r="E4368" t="str">
        <f t="shared" si="790"/>
        <v>7554275696</v>
      </c>
      <c r="F4368" s="1">
        <v>45022</v>
      </c>
      <c r="G4368" t="str">
        <f>"0097478"</f>
        <v>0097478</v>
      </c>
      <c r="H4368">
        <v>1</v>
      </c>
      <c r="J4368">
        <v>3264.66</v>
      </c>
      <c r="K4368" t="str">
        <f t="shared" si="787"/>
        <v>809</v>
      </c>
      <c r="L4368">
        <v>3264.66</v>
      </c>
    </row>
    <row r="4369" spans="1:12" x14ac:dyDescent="0.25">
      <c r="A4369" t="str">
        <f t="shared" si="786"/>
        <v>89301000</v>
      </c>
      <c r="B4369" t="str">
        <f t="shared" si="788"/>
        <v>72931000</v>
      </c>
      <c r="C4369" t="str">
        <f>"72931514"</f>
        <v>72931514</v>
      </c>
      <c r="D4369">
        <v>89301212</v>
      </c>
      <c r="E4369" t="str">
        <f t="shared" si="790"/>
        <v>7554275696</v>
      </c>
      <c r="F4369" s="1">
        <v>45022</v>
      </c>
      <c r="G4369" t="str">
        <f>"87613"</f>
        <v>87613</v>
      </c>
      <c r="H4369">
        <v>1</v>
      </c>
      <c r="I4369">
        <v>436</v>
      </c>
      <c r="J4369">
        <v>0</v>
      </c>
      <c r="K4369" t="str">
        <f>"807"</f>
        <v>807</v>
      </c>
      <c r="L4369">
        <v>366.24</v>
      </c>
    </row>
    <row r="4370" spans="1:12" x14ac:dyDescent="0.25">
      <c r="A4370" t="str">
        <f t="shared" si="786"/>
        <v>89301000</v>
      </c>
      <c r="B4370" t="str">
        <f t="shared" si="788"/>
        <v>72931000</v>
      </c>
      <c r="C4370" t="str">
        <f>"72931514"</f>
        <v>72931514</v>
      </c>
      <c r="D4370">
        <v>89301212</v>
      </c>
      <c r="E4370" t="str">
        <f t="shared" si="790"/>
        <v>7554275696</v>
      </c>
      <c r="F4370" s="1">
        <v>45022</v>
      </c>
      <c r="G4370" t="str">
        <f>"87129"</f>
        <v>87129</v>
      </c>
      <c r="H4370">
        <v>1</v>
      </c>
      <c r="I4370">
        <v>71</v>
      </c>
      <c r="J4370">
        <v>0</v>
      </c>
      <c r="K4370" t="str">
        <f>"807"</f>
        <v>807</v>
      </c>
      <c r="L4370">
        <v>59.64</v>
      </c>
    </row>
    <row r="4371" spans="1:12" x14ac:dyDescent="0.25">
      <c r="A4371" t="str">
        <f t="shared" si="786"/>
        <v>89301000</v>
      </c>
      <c r="B4371" t="str">
        <f t="shared" si="788"/>
        <v>72931000</v>
      </c>
      <c r="C4371" t="str">
        <f>"72931514"</f>
        <v>72931514</v>
      </c>
      <c r="D4371">
        <v>89301212</v>
      </c>
      <c r="E4371" t="str">
        <f t="shared" si="790"/>
        <v>7554275696</v>
      </c>
      <c r="F4371" s="1">
        <v>45022</v>
      </c>
      <c r="G4371" t="str">
        <f>"87215"</f>
        <v>87215</v>
      </c>
      <c r="H4371">
        <v>8</v>
      </c>
      <c r="I4371">
        <v>1656</v>
      </c>
      <c r="J4371">
        <v>0</v>
      </c>
      <c r="K4371" t="str">
        <f>"807"</f>
        <v>807</v>
      </c>
      <c r="L4371">
        <v>1391.04</v>
      </c>
    </row>
    <row r="4372" spans="1:12" x14ac:dyDescent="0.25">
      <c r="A4372" t="str">
        <f t="shared" si="786"/>
        <v>89301000</v>
      </c>
      <c r="B4372" t="str">
        <f t="shared" si="788"/>
        <v>72931000</v>
      </c>
      <c r="C4372" t="str">
        <f>"72931514"</f>
        <v>72931514</v>
      </c>
      <c r="D4372">
        <v>89301212</v>
      </c>
      <c r="E4372" t="str">
        <f t="shared" si="790"/>
        <v>7554275696</v>
      </c>
      <c r="F4372" s="1">
        <v>45028</v>
      </c>
      <c r="G4372" t="str">
        <f>"87517"</f>
        <v>87517</v>
      </c>
      <c r="H4372">
        <v>1</v>
      </c>
      <c r="I4372">
        <v>374</v>
      </c>
      <c r="J4372">
        <v>0</v>
      </c>
      <c r="K4372" t="str">
        <f>"807"</f>
        <v>807</v>
      </c>
      <c r="L4372">
        <v>314.16000000000003</v>
      </c>
    </row>
    <row r="4373" spans="1:12" x14ac:dyDescent="0.25">
      <c r="A4373" t="str">
        <f t="shared" si="786"/>
        <v>89301000</v>
      </c>
      <c r="B4373" t="str">
        <f t="shared" ref="B4373:B4404" si="791">"72077000"</f>
        <v>72077000</v>
      </c>
      <c r="C4373" t="str">
        <f t="shared" ref="C4373:C4404" si="792">"72077001"</f>
        <v>72077001</v>
      </c>
      <c r="D4373">
        <v>89301152</v>
      </c>
      <c r="E4373" t="str">
        <f t="shared" ref="E4373:E4385" si="793">"7252183521"</f>
        <v>7252183521</v>
      </c>
      <c r="F4373" s="1">
        <v>45034</v>
      </c>
      <c r="G4373" t="str">
        <f>"91359"</f>
        <v>91359</v>
      </c>
      <c r="H4373">
        <v>1</v>
      </c>
      <c r="I4373">
        <v>205</v>
      </c>
      <c r="J4373">
        <v>0</v>
      </c>
      <c r="K4373" t="str">
        <f t="shared" ref="K4373:K4404" si="794">"813"</f>
        <v>813</v>
      </c>
      <c r="L4373">
        <v>172.2</v>
      </c>
    </row>
    <row r="4374" spans="1:12" x14ac:dyDescent="0.25">
      <c r="A4374" t="str">
        <f t="shared" si="786"/>
        <v>89301000</v>
      </c>
      <c r="B4374" t="str">
        <f t="shared" si="791"/>
        <v>72077000</v>
      </c>
      <c r="C4374" t="str">
        <f t="shared" si="792"/>
        <v>72077001</v>
      </c>
      <c r="D4374">
        <v>89301152</v>
      </c>
      <c r="E4374" t="str">
        <f t="shared" si="793"/>
        <v>7252183521</v>
      </c>
      <c r="F4374" s="1">
        <v>45034</v>
      </c>
      <c r="G4374" t="str">
        <f>"91361"</f>
        <v>91361</v>
      </c>
      <c r="H4374">
        <v>1</v>
      </c>
      <c r="I4374">
        <v>444</v>
      </c>
      <c r="J4374">
        <v>0</v>
      </c>
      <c r="K4374" t="str">
        <f t="shared" si="794"/>
        <v>813</v>
      </c>
      <c r="L4374">
        <v>372.96</v>
      </c>
    </row>
    <row r="4375" spans="1:12" x14ac:dyDescent="0.25">
      <c r="A4375" t="str">
        <f t="shared" si="786"/>
        <v>89301000</v>
      </c>
      <c r="B4375" t="str">
        <f t="shared" si="791"/>
        <v>72077000</v>
      </c>
      <c r="C4375" t="str">
        <f t="shared" si="792"/>
        <v>72077001</v>
      </c>
      <c r="D4375">
        <v>89301152</v>
      </c>
      <c r="E4375" t="str">
        <f t="shared" si="793"/>
        <v>7252183521</v>
      </c>
      <c r="F4375" s="1">
        <v>45034</v>
      </c>
      <c r="G4375" t="str">
        <f>"91577"</f>
        <v>91577</v>
      </c>
      <c r="H4375">
        <v>1</v>
      </c>
      <c r="I4375">
        <v>398</v>
      </c>
      <c r="J4375">
        <v>0</v>
      </c>
      <c r="K4375" t="str">
        <f t="shared" si="794"/>
        <v>813</v>
      </c>
      <c r="L4375">
        <v>334.32</v>
      </c>
    </row>
    <row r="4376" spans="1:12" x14ac:dyDescent="0.25">
      <c r="A4376" t="str">
        <f t="shared" si="786"/>
        <v>89301000</v>
      </c>
      <c r="B4376" t="str">
        <f t="shared" si="791"/>
        <v>72077000</v>
      </c>
      <c r="C4376" t="str">
        <f t="shared" si="792"/>
        <v>72077001</v>
      </c>
      <c r="D4376">
        <v>89301152</v>
      </c>
      <c r="E4376" t="str">
        <f t="shared" si="793"/>
        <v>7252183521</v>
      </c>
      <c r="F4376" s="1">
        <v>45034</v>
      </c>
      <c r="G4376" t="str">
        <f>"91485"</f>
        <v>91485</v>
      </c>
      <c r="H4376">
        <v>1</v>
      </c>
      <c r="I4376">
        <v>268</v>
      </c>
      <c r="J4376">
        <v>0</v>
      </c>
      <c r="K4376" t="str">
        <f t="shared" si="794"/>
        <v>813</v>
      </c>
      <c r="L4376">
        <v>225.12</v>
      </c>
    </row>
    <row r="4377" spans="1:12" x14ac:dyDescent="0.25">
      <c r="A4377" t="str">
        <f t="shared" si="786"/>
        <v>89301000</v>
      </c>
      <c r="B4377" t="str">
        <f t="shared" si="791"/>
        <v>72077000</v>
      </c>
      <c r="C4377" t="str">
        <f t="shared" si="792"/>
        <v>72077001</v>
      </c>
      <c r="D4377">
        <v>89301152</v>
      </c>
      <c r="E4377" t="str">
        <f t="shared" si="793"/>
        <v>7252183521</v>
      </c>
      <c r="F4377" s="1">
        <v>45037</v>
      </c>
      <c r="G4377" t="str">
        <f t="shared" ref="G4377:G4385" si="795">"82079"</f>
        <v>82079</v>
      </c>
      <c r="H4377">
        <v>1</v>
      </c>
      <c r="I4377">
        <v>333</v>
      </c>
      <c r="J4377">
        <v>0</v>
      </c>
      <c r="K4377" t="str">
        <f t="shared" si="794"/>
        <v>813</v>
      </c>
      <c r="L4377">
        <v>279.72000000000003</v>
      </c>
    </row>
    <row r="4378" spans="1:12" x14ac:dyDescent="0.25">
      <c r="A4378" t="str">
        <f t="shared" si="786"/>
        <v>89301000</v>
      </c>
      <c r="B4378" t="str">
        <f t="shared" si="791"/>
        <v>72077000</v>
      </c>
      <c r="C4378" t="str">
        <f t="shared" si="792"/>
        <v>72077001</v>
      </c>
      <c r="D4378">
        <v>89301152</v>
      </c>
      <c r="E4378" t="str">
        <f t="shared" si="793"/>
        <v>7252183521</v>
      </c>
      <c r="F4378" s="1">
        <v>45037</v>
      </c>
      <c r="G4378" t="str">
        <f t="shared" si="795"/>
        <v>82079</v>
      </c>
      <c r="H4378">
        <v>1</v>
      </c>
      <c r="I4378">
        <v>333</v>
      </c>
      <c r="J4378">
        <v>0</v>
      </c>
      <c r="K4378" t="str">
        <f t="shared" si="794"/>
        <v>813</v>
      </c>
      <c r="L4378">
        <v>279.72000000000003</v>
      </c>
    </row>
    <row r="4379" spans="1:12" x14ac:dyDescent="0.25">
      <c r="A4379" t="str">
        <f t="shared" si="786"/>
        <v>89301000</v>
      </c>
      <c r="B4379" t="str">
        <f t="shared" si="791"/>
        <v>72077000</v>
      </c>
      <c r="C4379" t="str">
        <f t="shared" si="792"/>
        <v>72077001</v>
      </c>
      <c r="D4379">
        <v>89301152</v>
      </c>
      <c r="E4379" t="str">
        <f t="shared" si="793"/>
        <v>7252183521</v>
      </c>
      <c r="F4379" s="1">
        <v>45037</v>
      </c>
      <c r="G4379" t="str">
        <f t="shared" si="795"/>
        <v>82079</v>
      </c>
      <c r="H4379">
        <v>1</v>
      </c>
      <c r="I4379">
        <v>333</v>
      </c>
      <c r="J4379">
        <v>0</v>
      </c>
      <c r="K4379" t="str">
        <f t="shared" si="794"/>
        <v>813</v>
      </c>
      <c r="L4379">
        <v>279.72000000000003</v>
      </c>
    </row>
    <row r="4380" spans="1:12" x14ac:dyDescent="0.25">
      <c r="A4380" t="str">
        <f t="shared" si="786"/>
        <v>89301000</v>
      </c>
      <c r="B4380" t="str">
        <f t="shared" si="791"/>
        <v>72077000</v>
      </c>
      <c r="C4380" t="str">
        <f t="shared" si="792"/>
        <v>72077001</v>
      </c>
      <c r="D4380">
        <v>89301152</v>
      </c>
      <c r="E4380" t="str">
        <f t="shared" si="793"/>
        <v>7252183521</v>
      </c>
      <c r="F4380" s="1">
        <v>45037</v>
      </c>
      <c r="G4380" t="str">
        <f t="shared" si="795"/>
        <v>82079</v>
      </c>
      <c r="H4380">
        <v>1</v>
      </c>
      <c r="I4380">
        <v>333</v>
      </c>
      <c r="J4380">
        <v>0</v>
      </c>
      <c r="K4380" t="str">
        <f t="shared" si="794"/>
        <v>813</v>
      </c>
      <c r="L4380">
        <v>279.72000000000003</v>
      </c>
    </row>
    <row r="4381" spans="1:12" x14ac:dyDescent="0.25">
      <c r="A4381" t="str">
        <f t="shared" si="786"/>
        <v>89301000</v>
      </c>
      <c r="B4381" t="str">
        <f t="shared" si="791"/>
        <v>72077000</v>
      </c>
      <c r="C4381" t="str">
        <f t="shared" si="792"/>
        <v>72077001</v>
      </c>
      <c r="D4381">
        <v>89301152</v>
      </c>
      <c r="E4381" t="str">
        <f t="shared" si="793"/>
        <v>7252183521</v>
      </c>
      <c r="F4381" s="1">
        <v>45037</v>
      </c>
      <c r="G4381" t="str">
        <f t="shared" si="795"/>
        <v>82079</v>
      </c>
      <c r="H4381">
        <v>1</v>
      </c>
      <c r="I4381">
        <v>333</v>
      </c>
      <c r="J4381">
        <v>0</v>
      </c>
      <c r="K4381" t="str">
        <f t="shared" si="794"/>
        <v>813</v>
      </c>
      <c r="L4381">
        <v>279.72000000000003</v>
      </c>
    </row>
    <row r="4382" spans="1:12" x14ac:dyDescent="0.25">
      <c r="A4382" t="str">
        <f t="shared" si="786"/>
        <v>89301000</v>
      </c>
      <c r="B4382" t="str">
        <f t="shared" si="791"/>
        <v>72077000</v>
      </c>
      <c r="C4382" t="str">
        <f t="shared" si="792"/>
        <v>72077001</v>
      </c>
      <c r="D4382">
        <v>89301152</v>
      </c>
      <c r="E4382" t="str">
        <f t="shared" si="793"/>
        <v>7252183521</v>
      </c>
      <c r="F4382" s="1">
        <v>45037</v>
      </c>
      <c r="G4382" t="str">
        <f t="shared" si="795"/>
        <v>82079</v>
      </c>
      <c r="H4382">
        <v>1</v>
      </c>
      <c r="I4382">
        <v>333</v>
      </c>
      <c r="J4382">
        <v>0</v>
      </c>
      <c r="K4382" t="str">
        <f t="shared" si="794"/>
        <v>813</v>
      </c>
      <c r="L4382">
        <v>279.72000000000003</v>
      </c>
    </row>
    <row r="4383" spans="1:12" x14ac:dyDescent="0.25">
      <c r="A4383" t="str">
        <f t="shared" si="786"/>
        <v>89301000</v>
      </c>
      <c r="B4383" t="str">
        <f t="shared" si="791"/>
        <v>72077000</v>
      </c>
      <c r="C4383" t="str">
        <f t="shared" si="792"/>
        <v>72077001</v>
      </c>
      <c r="D4383">
        <v>89301152</v>
      </c>
      <c r="E4383" t="str">
        <f t="shared" si="793"/>
        <v>7252183521</v>
      </c>
      <c r="F4383" s="1">
        <v>45037</v>
      </c>
      <c r="G4383" t="str">
        <f t="shared" si="795"/>
        <v>82079</v>
      </c>
      <c r="H4383">
        <v>1</v>
      </c>
      <c r="I4383">
        <v>333</v>
      </c>
      <c r="J4383">
        <v>0</v>
      </c>
      <c r="K4383" t="str">
        <f t="shared" si="794"/>
        <v>813</v>
      </c>
      <c r="L4383">
        <v>279.72000000000003</v>
      </c>
    </row>
    <row r="4384" spans="1:12" x14ac:dyDescent="0.25">
      <c r="A4384" t="str">
        <f t="shared" si="786"/>
        <v>89301000</v>
      </c>
      <c r="B4384" t="str">
        <f t="shared" si="791"/>
        <v>72077000</v>
      </c>
      <c r="C4384" t="str">
        <f t="shared" si="792"/>
        <v>72077001</v>
      </c>
      <c r="D4384">
        <v>89301152</v>
      </c>
      <c r="E4384" t="str">
        <f t="shared" si="793"/>
        <v>7252183521</v>
      </c>
      <c r="F4384" s="1">
        <v>45037</v>
      </c>
      <c r="G4384" t="str">
        <f t="shared" si="795"/>
        <v>82079</v>
      </c>
      <c r="H4384">
        <v>1</v>
      </c>
      <c r="I4384">
        <v>333</v>
      </c>
      <c r="J4384">
        <v>0</v>
      </c>
      <c r="K4384" t="str">
        <f t="shared" si="794"/>
        <v>813</v>
      </c>
      <c r="L4384">
        <v>279.72000000000003</v>
      </c>
    </row>
    <row r="4385" spans="1:12" x14ac:dyDescent="0.25">
      <c r="A4385" t="str">
        <f t="shared" si="786"/>
        <v>89301000</v>
      </c>
      <c r="B4385" t="str">
        <f t="shared" si="791"/>
        <v>72077000</v>
      </c>
      <c r="C4385" t="str">
        <f t="shared" si="792"/>
        <v>72077001</v>
      </c>
      <c r="D4385">
        <v>89301152</v>
      </c>
      <c r="E4385" t="str">
        <f t="shared" si="793"/>
        <v>7252183521</v>
      </c>
      <c r="F4385" s="1">
        <v>45037</v>
      </c>
      <c r="G4385" t="str">
        <f t="shared" si="795"/>
        <v>82079</v>
      </c>
      <c r="H4385">
        <v>1</v>
      </c>
      <c r="I4385">
        <v>333</v>
      </c>
      <c r="J4385">
        <v>0</v>
      </c>
      <c r="K4385" t="str">
        <f t="shared" si="794"/>
        <v>813</v>
      </c>
      <c r="L4385">
        <v>279.72000000000003</v>
      </c>
    </row>
    <row r="4386" spans="1:12" x14ac:dyDescent="0.25">
      <c r="A4386" t="str">
        <f t="shared" si="786"/>
        <v>89301000</v>
      </c>
      <c r="B4386" t="str">
        <f t="shared" si="791"/>
        <v>72077000</v>
      </c>
      <c r="C4386" t="str">
        <f t="shared" si="792"/>
        <v>72077001</v>
      </c>
      <c r="D4386">
        <v>89301152</v>
      </c>
      <c r="E4386" t="str">
        <f>"7851055685"</f>
        <v>7851055685</v>
      </c>
      <c r="F4386" s="1">
        <v>45036</v>
      </c>
      <c r="G4386" t="str">
        <f>"91465"</f>
        <v>91465</v>
      </c>
      <c r="H4386">
        <v>1</v>
      </c>
      <c r="I4386">
        <v>1412</v>
      </c>
      <c r="J4386">
        <v>0</v>
      </c>
      <c r="K4386" t="str">
        <f t="shared" si="794"/>
        <v>813</v>
      </c>
      <c r="L4386">
        <v>1186.08</v>
      </c>
    </row>
    <row r="4387" spans="1:12" x14ac:dyDescent="0.25">
      <c r="A4387" t="str">
        <f t="shared" si="786"/>
        <v>89301000</v>
      </c>
      <c r="B4387" t="str">
        <f t="shared" si="791"/>
        <v>72077000</v>
      </c>
      <c r="C4387" t="str">
        <f t="shared" si="792"/>
        <v>72077001</v>
      </c>
      <c r="D4387">
        <v>89301152</v>
      </c>
      <c r="E4387" t="str">
        <f>"7851055685"</f>
        <v>7851055685</v>
      </c>
      <c r="F4387" s="1">
        <v>45037</v>
      </c>
      <c r="G4387" t="str">
        <f>"91197"</f>
        <v>91197</v>
      </c>
      <c r="H4387">
        <v>1</v>
      </c>
      <c r="I4387">
        <v>1048</v>
      </c>
      <c r="J4387">
        <v>0</v>
      </c>
      <c r="K4387" t="str">
        <f t="shared" si="794"/>
        <v>813</v>
      </c>
      <c r="L4387">
        <v>880.32</v>
      </c>
    </row>
    <row r="4388" spans="1:12" x14ac:dyDescent="0.25">
      <c r="A4388" t="str">
        <f t="shared" si="786"/>
        <v>89301000</v>
      </c>
      <c r="B4388" t="str">
        <f t="shared" si="791"/>
        <v>72077000</v>
      </c>
      <c r="C4388" t="str">
        <f t="shared" si="792"/>
        <v>72077001</v>
      </c>
      <c r="D4388">
        <v>89301152</v>
      </c>
      <c r="E4388" t="str">
        <f>"0155225774"</f>
        <v>0155225774</v>
      </c>
      <c r="F4388" s="1">
        <v>45020</v>
      </c>
      <c r="G4388" t="str">
        <f>"91465"</f>
        <v>91465</v>
      </c>
      <c r="H4388">
        <v>1</v>
      </c>
      <c r="I4388">
        <v>1412</v>
      </c>
      <c r="J4388">
        <v>0</v>
      </c>
      <c r="K4388" t="str">
        <f t="shared" si="794"/>
        <v>813</v>
      </c>
      <c r="L4388">
        <v>1186.08</v>
      </c>
    </row>
    <row r="4389" spans="1:12" x14ac:dyDescent="0.25">
      <c r="A4389" t="str">
        <f t="shared" si="786"/>
        <v>89301000</v>
      </c>
      <c r="B4389" t="str">
        <f t="shared" si="791"/>
        <v>72077000</v>
      </c>
      <c r="C4389" t="str">
        <f t="shared" si="792"/>
        <v>72077001</v>
      </c>
      <c r="D4389">
        <v>89301152</v>
      </c>
      <c r="E4389" t="str">
        <f>"0155225774"</f>
        <v>0155225774</v>
      </c>
      <c r="F4389" s="1">
        <v>45021</v>
      </c>
      <c r="G4389" t="str">
        <f>"91197"</f>
        <v>91197</v>
      </c>
      <c r="H4389">
        <v>1</v>
      </c>
      <c r="I4389">
        <v>1048</v>
      </c>
      <c r="J4389">
        <v>0</v>
      </c>
      <c r="K4389" t="str">
        <f t="shared" si="794"/>
        <v>813</v>
      </c>
      <c r="L4389">
        <v>880.32</v>
      </c>
    </row>
    <row r="4390" spans="1:12" x14ac:dyDescent="0.25">
      <c r="A4390" t="str">
        <f t="shared" si="786"/>
        <v>89301000</v>
      </c>
      <c r="B4390" t="str">
        <f t="shared" si="791"/>
        <v>72077000</v>
      </c>
      <c r="C4390" t="str">
        <f t="shared" si="792"/>
        <v>72077001</v>
      </c>
      <c r="D4390">
        <v>89301152</v>
      </c>
      <c r="E4390" t="str">
        <f>"7953304469"</f>
        <v>7953304469</v>
      </c>
      <c r="F4390" s="1">
        <v>45020</v>
      </c>
      <c r="G4390" t="str">
        <f>"91465"</f>
        <v>91465</v>
      </c>
      <c r="H4390">
        <v>1</v>
      </c>
      <c r="I4390">
        <v>1412</v>
      </c>
      <c r="J4390">
        <v>0</v>
      </c>
      <c r="K4390" t="str">
        <f t="shared" si="794"/>
        <v>813</v>
      </c>
      <c r="L4390">
        <v>1186.08</v>
      </c>
    </row>
    <row r="4391" spans="1:12" x14ac:dyDescent="0.25">
      <c r="A4391" t="str">
        <f t="shared" si="786"/>
        <v>89301000</v>
      </c>
      <c r="B4391" t="str">
        <f t="shared" si="791"/>
        <v>72077000</v>
      </c>
      <c r="C4391" t="str">
        <f t="shared" si="792"/>
        <v>72077001</v>
      </c>
      <c r="D4391">
        <v>89301152</v>
      </c>
      <c r="E4391" t="str">
        <f>"7953304469"</f>
        <v>7953304469</v>
      </c>
      <c r="F4391" s="1">
        <v>45021</v>
      </c>
      <c r="G4391" t="str">
        <f>"91197"</f>
        <v>91197</v>
      </c>
      <c r="H4391">
        <v>1</v>
      </c>
      <c r="I4391">
        <v>1048</v>
      </c>
      <c r="J4391">
        <v>0</v>
      </c>
      <c r="K4391" t="str">
        <f t="shared" si="794"/>
        <v>813</v>
      </c>
      <c r="L4391">
        <v>880.32</v>
      </c>
    </row>
    <row r="4392" spans="1:12" x14ac:dyDescent="0.25">
      <c r="A4392" t="str">
        <f t="shared" si="786"/>
        <v>89301000</v>
      </c>
      <c r="B4392" t="str">
        <f t="shared" si="791"/>
        <v>72077000</v>
      </c>
      <c r="C4392" t="str">
        <f t="shared" si="792"/>
        <v>72077001</v>
      </c>
      <c r="D4392">
        <v>89301152</v>
      </c>
      <c r="E4392" t="str">
        <f>"7557225104"</f>
        <v>7557225104</v>
      </c>
      <c r="F4392" s="1">
        <v>45021</v>
      </c>
      <c r="G4392" t="str">
        <f>"91359"</f>
        <v>91359</v>
      </c>
      <c r="H4392">
        <v>1</v>
      </c>
      <c r="I4392">
        <v>205</v>
      </c>
      <c r="J4392">
        <v>0</v>
      </c>
      <c r="K4392" t="str">
        <f t="shared" si="794"/>
        <v>813</v>
      </c>
      <c r="L4392">
        <v>172.2</v>
      </c>
    </row>
    <row r="4393" spans="1:12" x14ac:dyDescent="0.25">
      <c r="A4393" t="str">
        <f t="shared" si="786"/>
        <v>89301000</v>
      </c>
      <c r="B4393" t="str">
        <f t="shared" si="791"/>
        <v>72077000</v>
      </c>
      <c r="C4393" t="str">
        <f t="shared" si="792"/>
        <v>72077001</v>
      </c>
      <c r="D4393">
        <v>89301152</v>
      </c>
      <c r="E4393" t="str">
        <f>"7557225104"</f>
        <v>7557225104</v>
      </c>
      <c r="F4393" s="1">
        <v>45021</v>
      </c>
      <c r="G4393" t="str">
        <f>"91361"</f>
        <v>91361</v>
      </c>
      <c r="H4393">
        <v>1</v>
      </c>
      <c r="I4393">
        <v>444</v>
      </c>
      <c r="J4393">
        <v>0</v>
      </c>
      <c r="K4393" t="str">
        <f t="shared" si="794"/>
        <v>813</v>
      </c>
      <c r="L4393">
        <v>372.96</v>
      </c>
    </row>
    <row r="4394" spans="1:12" x14ac:dyDescent="0.25">
      <c r="A4394" t="str">
        <f t="shared" si="786"/>
        <v>89301000</v>
      </c>
      <c r="B4394" t="str">
        <f t="shared" si="791"/>
        <v>72077000</v>
      </c>
      <c r="C4394" t="str">
        <f t="shared" si="792"/>
        <v>72077001</v>
      </c>
      <c r="D4394">
        <v>89301152</v>
      </c>
      <c r="E4394" t="str">
        <f>"7557225104"</f>
        <v>7557225104</v>
      </c>
      <c r="F4394" s="1">
        <v>45021</v>
      </c>
      <c r="G4394" t="str">
        <f>"91577"</f>
        <v>91577</v>
      </c>
      <c r="H4394">
        <v>1</v>
      </c>
      <c r="I4394">
        <v>398</v>
      </c>
      <c r="J4394">
        <v>0</v>
      </c>
      <c r="K4394" t="str">
        <f t="shared" si="794"/>
        <v>813</v>
      </c>
      <c r="L4394">
        <v>334.32</v>
      </c>
    </row>
    <row r="4395" spans="1:12" x14ac:dyDescent="0.25">
      <c r="A4395" t="str">
        <f t="shared" si="786"/>
        <v>89301000</v>
      </c>
      <c r="B4395" t="str">
        <f t="shared" si="791"/>
        <v>72077000</v>
      </c>
      <c r="C4395" t="str">
        <f t="shared" si="792"/>
        <v>72077001</v>
      </c>
      <c r="D4395">
        <v>89301152</v>
      </c>
      <c r="E4395" t="str">
        <f>"7557225104"</f>
        <v>7557225104</v>
      </c>
      <c r="F4395" s="1">
        <v>45022</v>
      </c>
      <c r="G4395" t="str">
        <f>"91485"</f>
        <v>91485</v>
      </c>
      <c r="H4395">
        <v>1</v>
      </c>
      <c r="I4395">
        <v>268</v>
      </c>
      <c r="J4395">
        <v>0</v>
      </c>
      <c r="K4395" t="str">
        <f t="shared" si="794"/>
        <v>813</v>
      </c>
      <c r="L4395">
        <v>225.12</v>
      </c>
    </row>
    <row r="4396" spans="1:12" x14ac:dyDescent="0.25">
      <c r="A4396" t="str">
        <f t="shared" si="786"/>
        <v>89301000</v>
      </c>
      <c r="B4396" t="str">
        <f t="shared" si="791"/>
        <v>72077000</v>
      </c>
      <c r="C4396" t="str">
        <f t="shared" si="792"/>
        <v>72077001</v>
      </c>
      <c r="D4396">
        <v>89301152</v>
      </c>
      <c r="E4396" t="str">
        <f>"8612165793"</f>
        <v>8612165793</v>
      </c>
      <c r="F4396" s="1">
        <v>45021</v>
      </c>
      <c r="G4396" t="str">
        <f>"91197"</f>
        <v>91197</v>
      </c>
      <c r="H4396">
        <v>1</v>
      </c>
      <c r="I4396">
        <v>1048</v>
      </c>
      <c r="J4396">
        <v>0</v>
      </c>
      <c r="K4396" t="str">
        <f t="shared" si="794"/>
        <v>813</v>
      </c>
      <c r="L4396">
        <v>880.32</v>
      </c>
    </row>
    <row r="4397" spans="1:12" x14ac:dyDescent="0.25">
      <c r="A4397" t="str">
        <f t="shared" si="786"/>
        <v>89301000</v>
      </c>
      <c r="B4397" t="str">
        <f t="shared" si="791"/>
        <v>72077000</v>
      </c>
      <c r="C4397" t="str">
        <f t="shared" si="792"/>
        <v>72077001</v>
      </c>
      <c r="D4397">
        <v>89301152</v>
      </c>
      <c r="E4397" t="str">
        <f>"8612165793"</f>
        <v>8612165793</v>
      </c>
      <c r="F4397" s="1">
        <v>45022</v>
      </c>
      <c r="G4397" t="str">
        <f>"91465"</f>
        <v>91465</v>
      </c>
      <c r="H4397">
        <v>1</v>
      </c>
      <c r="I4397">
        <v>1412</v>
      </c>
      <c r="J4397">
        <v>0</v>
      </c>
      <c r="K4397" t="str">
        <f t="shared" si="794"/>
        <v>813</v>
      </c>
      <c r="L4397">
        <v>1186.08</v>
      </c>
    </row>
    <row r="4398" spans="1:12" x14ac:dyDescent="0.25">
      <c r="A4398" t="str">
        <f t="shared" si="786"/>
        <v>89301000</v>
      </c>
      <c r="B4398" t="str">
        <f t="shared" si="791"/>
        <v>72077000</v>
      </c>
      <c r="C4398" t="str">
        <f t="shared" si="792"/>
        <v>72077001</v>
      </c>
      <c r="D4398">
        <v>89301152</v>
      </c>
      <c r="E4398" t="str">
        <f>"8761204551"</f>
        <v>8761204551</v>
      </c>
      <c r="F4398" s="1">
        <v>45021</v>
      </c>
      <c r="G4398" t="str">
        <f>"91197"</f>
        <v>91197</v>
      </c>
      <c r="H4398">
        <v>1</v>
      </c>
      <c r="I4398">
        <v>1048</v>
      </c>
      <c r="J4398">
        <v>0</v>
      </c>
      <c r="K4398" t="str">
        <f t="shared" si="794"/>
        <v>813</v>
      </c>
      <c r="L4398">
        <v>880.32</v>
      </c>
    </row>
    <row r="4399" spans="1:12" x14ac:dyDescent="0.25">
      <c r="A4399" t="str">
        <f t="shared" si="786"/>
        <v>89301000</v>
      </c>
      <c r="B4399" t="str">
        <f t="shared" si="791"/>
        <v>72077000</v>
      </c>
      <c r="C4399" t="str">
        <f t="shared" si="792"/>
        <v>72077001</v>
      </c>
      <c r="D4399">
        <v>89301152</v>
      </c>
      <c r="E4399" t="str">
        <f>"8761204551"</f>
        <v>8761204551</v>
      </c>
      <c r="F4399" s="1">
        <v>45022</v>
      </c>
      <c r="G4399" t="str">
        <f>"91465"</f>
        <v>91465</v>
      </c>
      <c r="H4399">
        <v>1</v>
      </c>
      <c r="I4399">
        <v>1412</v>
      </c>
      <c r="J4399">
        <v>0</v>
      </c>
      <c r="K4399" t="str">
        <f t="shared" si="794"/>
        <v>813</v>
      </c>
      <c r="L4399">
        <v>1186.08</v>
      </c>
    </row>
    <row r="4400" spans="1:12" x14ac:dyDescent="0.25">
      <c r="A4400" t="str">
        <f t="shared" si="786"/>
        <v>89301000</v>
      </c>
      <c r="B4400" t="str">
        <f t="shared" si="791"/>
        <v>72077000</v>
      </c>
      <c r="C4400" t="str">
        <f t="shared" si="792"/>
        <v>72077001</v>
      </c>
      <c r="D4400">
        <v>89301152</v>
      </c>
      <c r="E4400" t="str">
        <f t="shared" ref="E4400:E4406" si="796">"5758111535"</f>
        <v>5758111535</v>
      </c>
      <c r="F4400" s="1">
        <v>45021</v>
      </c>
      <c r="G4400" t="str">
        <f>"91359"</f>
        <v>91359</v>
      </c>
      <c r="H4400">
        <v>1</v>
      </c>
      <c r="I4400">
        <v>205</v>
      </c>
      <c r="J4400">
        <v>0</v>
      </c>
      <c r="K4400" t="str">
        <f t="shared" si="794"/>
        <v>813</v>
      </c>
      <c r="L4400">
        <v>172.2</v>
      </c>
    </row>
    <row r="4401" spans="1:12" x14ac:dyDescent="0.25">
      <c r="A4401" t="str">
        <f t="shared" si="786"/>
        <v>89301000</v>
      </c>
      <c r="B4401" t="str">
        <f t="shared" si="791"/>
        <v>72077000</v>
      </c>
      <c r="C4401" t="str">
        <f t="shared" si="792"/>
        <v>72077001</v>
      </c>
      <c r="D4401">
        <v>89301152</v>
      </c>
      <c r="E4401" t="str">
        <f t="shared" si="796"/>
        <v>5758111535</v>
      </c>
      <c r="F4401" s="1">
        <v>45021</v>
      </c>
      <c r="G4401" t="str">
        <f>"91361"</f>
        <v>91361</v>
      </c>
      <c r="H4401">
        <v>1</v>
      </c>
      <c r="I4401">
        <v>444</v>
      </c>
      <c r="J4401">
        <v>0</v>
      </c>
      <c r="K4401" t="str">
        <f t="shared" si="794"/>
        <v>813</v>
      </c>
      <c r="L4401">
        <v>372.96</v>
      </c>
    </row>
    <row r="4402" spans="1:12" x14ac:dyDescent="0.25">
      <c r="A4402" t="str">
        <f t="shared" si="786"/>
        <v>89301000</v>
      </c>
      <c r="B4402" t="str">
        <f t="shared" si="791"/>
        <v>72077000</v>
      </c>
      <c r="C4402" t="str">
        <f t="shared" si="792"/>
        <v>72077001</v>
      </c>
      <c r="D4402">
        <v>89301152</v>
      </c>
      <c r="E4402" t="str">
        <f t="shared" si="796"/>
        <v>5758111535</v>
      </c>
      <c r="F4402" s="1">
        <v>45021</v>
      </c>
      <c r="G4402" t="str">
        <f>"91577"</f>
        <v>91577</v>
      </c>
      <c r="H4402">
        <v>1</v>
      </c>
      <c r="I4402">
        <v>398</v>
      </c>
      <c r="J4402">
        <v>0</v>
      </c>
      <c r="K4402" t="str">
        <f t="shared" si="794"/>
        <v>813</v>
      </c>
      <c r="L4402">
        <v>334.32</v>
      </c>
    </row>
    <row r="4403" spans="1:12" x14ac:dyDescent="0.25">
      <c r="A4403" t="str">
        <f t="shared" si="786"/>
        <v>89301000</v>
      </c>
      <c r="B4403" t="str">
        <f t="shared" si="791"/>
        <v>72077000</v>
      </c>
      <c r="C4403" t="str">
        <f t="shared" si="792"/>
        <v>72077001</v>
      </c>
      <c r="D4403">
        <v>89301152</v>
      </c>
      <c r="E4403" t="str">
        <f t="shared" si="796"/>
        <v>5758111535</v>
      </c>
      <c r="F4403" s="1">
        <v>45022</v>
      </c>
      <c r="G4403" t="str">
        <f>"91485"</f>
        <v>91485</v>
      </c>
      <c r="H4403">
        <v>1</v>
      </c>
      <c r="I4403">
        <v>268</v>
      </c>
      <c r="J4403">
        <v>0</v>
      </c>
      <c r="K4403" t="str">
        <f t="shared" si="794"/>
        <v>813</v>
      </c>
      <c r="L4403">
        <v>225.12</v>
      </c>
    </row>
    <row r="4404" spans="1:12" x14ac:dyDescent="0.25">
      <c r="A4404" t="str">
        <f t="shared" si="786"/>
        <v>89301000</v>
      </c>
      <c r="B4404" t="str">
        <f t="shared" si="791"/>
        <v>72077000</v>
      </c>
      <c r="C4404" t="str">
        <f t="shared" si="792"/>
        <v>72077001</v>
      </c>
      <c r="D4404">
        <v>89301152</v>
      </c>
      <c r="E4404" t="str">
        <f t="shared" si="796"/>
        <v>5758111535</v>
      </c>
      <c r="F4404" s="1">
        <v>45022</v>
      </c>
      <c r="G4404" t="str">
        <f>"91171"</f>
        <v>91171</v>
      </c>
      <c r="H4404">
        <v>1</v>
      </c>
      <c r="I4404">
        <v>362</v>
      </c>
      <c r="J4404">
        <v>0</v>
      </c>
      <c r="K4404" t="str">
        <f t="shared" si="794"/>
        <v>813</v>
      </c>
      <c r="L4404">
        <v>304.08</v>
      </c>
    </row>
    <row r="4405" spans="1:12" x14ac:dyDescent="0.25">
      <c r="A4405" t="str">
        <f t="shared" si="786"/>
        <v>89301000</v>
      </c>
      <c r="B4405" t="str">
        <f t="shared" ref="B4405:B4440" si="797">"72077000"</f>
        <v>72077000</v>
      </c>
      <c r="C4405" t="str">
        <f t="shared" ref="C4405:C4440" si="798">"72077001"</f>
        <v>72077001</v>
      </c>
      <c r="D4405">
        <v>89301152</v>
      </c>
      <c r="E4405" t="str">
        <f t="shared" si="796"/>
        <v>5758111535</v>
      </c>
      <c r="F4405" s="1">
        <v>45022</v>
      </c>
      <c r="G4405" t="str">
        <f>"91171"</f>
        <v>91171</v>
      </c>
      <c r="H4405">
        <v>1</v>
      </c>
      <c r="I4405">
        <v>362</v>
      </c>
      <c r="J4405">
        <v>0</v>
      </c>
      <c r="K4405" t="str">
        <f t="shared" ref="K4405:K4440" si="799">"813"</f>
        <v>813</v>
      </c>
      <c r="L4405">
        <v>304.08</v>
      </c>
    </row>
    <row r="4406" spans="1:12" x14ac:dyDescent="0.25">
      <c r="A4406" t="str">
        <f t="shared" si="786"/>
        <v>89301000</v>
      </c>
      <c r="B4406" t="str">
        <f t="shared" si="797"/>
        <v>72077000</v>
      </c>
      <c r="C4406" t="str">
        <f t="shared" si="798"/>
        <v>72077001</v>
      </c>
      <c r="D4406">
        <v>89301152</v>
      </c>
      <c r="E4406" t="str">
        <f t="shared" si="796"/>
        <v>5758111535</v>
      </c>
      <c r="F4406" s="1">
        <v>45022</v>
      </c>
      <c r="G4406" t="str">
        <f>"91171"</f>
        <v>91171</v>
      </c>
      <c r="H4406">
        <v>1</v>
      </c>
      <c r="I4406">
        <v>362</v>
      </c>
      <c r="J4406">
        <v>0</v>
      </c>
      <c r="K4406" t="str">
        <f t="shared" si="799"/>
        <v>813</v>
      </c>
      <c r="L4406">
        <v>304.08</v>
      </c>
    </row>
    <row r="4407" spans="1:12" x14ac:dyDescent="0.25">
      <c r="A4407" t="str">
        <f t="shared" si="786"/>
        <v>89301000</v>
      </c>
      <c r="B4407" t="str">
        <f t="shared" si="797"/>
        <v>72077000</v>
      </c>
      <c r="C4407" t="str">
        <f t="shared" si="798"/>
        <v>72077001</v>
      </c>
      <c r="D4407">
        <v>89301152</v>
      </c>
      <c r="E4407" t="str">
        <f>"9962205726"</f>
        <v>9962205726</v>
      </c>
      <c r="F4407" s="1">
        <v>45021</v>
      </c>
      <c r="G4407" t="str">
        <f>"91197"</f>
        <v>91197</v>
      </c>
      <c r="H4407">
        <v>1</v>
      </c>
      <c r="I4407">
        <v>1048</v>
      </c>
      <c r="J4407">
        <v>0</v>
      </c>
      <c r="K4407" t="str">
        <f t="shared" si="799"/>
        <v>813</v>
      </c>
      <c r="L4407">
        <v>880.32</v>
      </c>
    </row>
    <row r="4408" spans="1:12" x14ac:dyDescent="0.25">
      <c r="A4408" t="str">
        <f t="shared" si="786"/>
        <v>89301000</v>
      </c>
      <c r="B4408" t="str">
        <f t="shared" si="797"/>
        <v>72077000</v>
      </c>
      <c r="C4408" t="str">
        <f t="shared" si="798"/>
        <v>72077001</v>
      </c>
      <c r="D4408">
        <v>89301152</v>
      </c>
      <c r="E4408" t="str">
        <f>"9962205726"</f>
        <v>9962205726</v>
      </c>
      <c r="F4408" s="1">
        <v>45022</v>
      </c>
      <c r="G4408" t="str">
        <f>"91465"</f>
        <v>91465</v>
      </c>
      <c r="H4408">
        <v>1</v>
      </c>
      <c r="I4408">
        <v>1412</v>
      </c>
      <c r="J4408">
        <v>0</v>
      </c>
      <c r="K4408" t="str">
        <f t="shared" si="799"/>
        <v>813</v>
      </c>
      <c r="L4408">
        <v>1186.08</v>
      </c>
    </row>
    <row r="4409" spans="1:12" x14ac:dyDescent="0.25">
      <c r="A4409" t="str">
        <f t="shared" si="786"/>
        <v>89301000</v>
      </c>
      <c r="B4409" t="str">
        <f t="shared" si="797"/>
        <v>72077000</v>
      </c>
      <c r="C4409" t="str">
        <f t="shared" si="798"/>
        <v>72077001</v>
      </c>
      <c r="D4409">
        <v>89301152</v>
      </c>
      <c r="E4409" t="str">
        <f>"5962120934"</f>
        <v>5962120934</v>
      </c>
      <c r="F4409" s="1">
        <v>45021</v>
      </c>
      <c r="G4409" t="str">
        <f>"91359"</f>
        <v>91359</v>
      </c>
      <c r="H4409">
        <v>1</v>
      </c>
      <c r="I4409">
        <v>205</v>
      </c>
      <c r="J4409">
        <v>0</v>
      </c>
      <c r="K4409" t="str">
        <f t="shared" si="799"/>
        <v>813</v>
      </c>
      <c r="L4409">
        <v>172.2</v>
      </c>
    </row>
    <row r="4410" spans="1:12" x14ac:dyDescent="0.25">
      <c r="A4410" t="str">
        <f t="shared" si="786"/>
        <v>89301000</v>
      </c>
      <c r="B4410" t="str">
        <f t="shared" si="797"/>
        <v>72077000</v>
      </c>
      <c r="C4410" t="str">
        <f t="shared" si="798"/>
        <v>72077001</v>
      </c>
      <c r="D4410">
        <v>89301152</v>
      </c>
      <c r="E4410" t="str">
        <f>"5962120934"</f>
        <v>5962120934</v>
      </c>
      <c r="F4410" s="1">
        <v>45021</v>
      </c>
      <c r="G4410" t="str">
        <f>"91361"</f>
        <v>91361</v>
      </c>
      <c r="H4410">
        <v>1</v>
      </c>
      <c r="I4410">
        <v>444</v>
      </c>
      <c r="J4410">
        <v>0</v>
      </c>
      <c r="K4410" t="str">
        <f t="shared" si="799"/>
        <v>813</v>
      </c>
      <c r="L4410">
        <v>372.96</v>
      </c>
    </row>
    <row r="4411" spans="1:12" x14ac:dyDescent="0.25">
      <c r="A4411" t="str">
        <f t="shared" si="786"/>
        <v>89301000</v>
      </c>
      <c r="B4411" t="str">
        <f t="shared" si="797"/>
        <v>72077000</v>
      </c>
      <c r="C4411" t="str">
        <f t="shared" si="798"/>
        <v>72077001</v>
      </c>
      <c r="D4411">
        <v>89301152</v>
      </c>
      <c r="E4411" t="str">
        <f>"5962120934"</f>
        <v>5962120934</v>
      </c>
      <c r="F4411" s="1">
        <v>45021</v>
      </c>
      <c r="G4411" t="str">
        <f>"91577"</f>
        <v>91577</v>
      </c>
      <c r="H4411">
        <v>1</v>
      </c>
      <c r="I4411">
        <v>398</v>
      </c>
      <c r="J4411">
        <v>0</v>
      </c>
      <c r="K4411" t="str">
        <f t="shared" si="799"/>
        <v>813</v>
      </c>
      <c r="L4411">
        <v>334.32</v>
      </c>
    </row>
    <row r="4412" spans="1:12" x14ac:dyDescent="0.25">
      <c r="A4412" t="str">
        <f t="shared" si="786"/>
        <v>89301000</v>
      </c>
      <c r="B4412" t="str">
        <f t="shared" si="797"/>
        <v>72077000</v>
      </c>
      <c r="C4412" t="str">
        <f t="shared" si="798"/>
        <v>72077001</v>
      </c>
      <c r="D4412">
        <v>89301152</v>
      </c>
      <c r="E4412" t="str">
        <f>"5962120934"</f>
        <v>5962120934</v>
      </c>
      <c r="F4412" s="1">
        <v>45022</v>
      </c>
      <c r="G4412" t="str">
        <f>"91485"</f>
        <v>91485</v>
      </c>
      <c r="H4412">
        <v>1</v>
      </c>
      <c r="I4412">
        <v>268</v>
      </c>
      <c r="J4412">
        <v>0</v>
      </c>
      <c r="K4412" t="str">
        <f t="shared" si="799"/>
        <v>813</v>
      </c>
      <c r="L4412">
        <v>225.12</v>
      </c>
    </row>
    <row r="4413" spans="1:12" x14ac:dyDescent="0.25">
      <c r="A4413" t="str">
        <f t="shared" si="786"/>
        <v>89301000</v>
      </c>
      <c r="B4413" t="str">
        <f t="shared" si="797"/>
        <v>72077000</v>
      </c>
      <c r="C4413" t="str">
        <f t="shared" si="798"/>
        <v>72077001</v>
      </c>
      <c r="D4413">
        <v>89301152</v>
      </c>
      <c r="E4413" t="str">
        <f t="shared" ref="E4413:E4420" si="800">"515310017"</f>
        <v>515310017</v>
      </c>
      <c r="F4413" s="1">
        <v>45028</v>
      </c>
      <c r="G4413" t="str">
        <f>"91465"</f>
        <v>91465</v>
      </c>
      <c r="H4413">
        <v>1</v>
      </c>
      <c r="I4413">
        <v>1412</v>
      </c>
      <c r="J4413">
        <v>0</v>
      </c>
      <c r="K4413" t="str">
        <f t="shared" si="799"/>
        <v>813</v>
      </c>
      <c r="L4413">
        <v>1186.08</v>
      </c>
    </row>
    <row r="4414" spans="1:12" x14ac:dyDescent="0.25">
      <c r="A4414" t="str">
        <f t="shared" si="786"/>
        <v>89301000</v>
      </c>
      <c r="B4414" t="str">
        <f t="shared" si="797"/>
        <v>72077000</v>
      </c>
      <c r="C4414" t="str">
        <f t="shared" si="798"/>
        <v>72077001</v>
      </c>
      <c r="D4414">
        <v>89301152</v>
      </c>
      <c r="E4414" t="str">
        <f t="shared" si="800"/>
        <v>515310017</v>
      </c>
      <c r="F4414" s="1">
        <v>45028</v>
      </c>
      <c r="G4414" t="str">
        <f>"91197"</f>
        <v>91197</v>
      </c>
      <c r="H4414">
        <v>1</v>
      </c>
      <c r="I4414">
        <v>1048</v>
      </c>
      <c r="J4414">
        <v>0</v>
      </c>
      <c r="K4414" t="str">
        <f t="shared" si="799"/>
        <v>813</v>
      </c>
      <c r="L4414">
        <v>880.32</v>
      </c>
    </row>
    <row r="4415" spans="1:12" x14ac:dyDescent="0.25">
      <c r="A4415" t="str">
        <f t="shared" si="786"/>
        <v>89301000</v>
      </c>
      <c r="B4415" t="str">
        <f t="shared" si="797"/>
        <v>72077000</v>
      </c>
      <c r="C4415" t="str">
        <f t="shared" si="798"/>
        <v>72077001</v>
      </c>
      <c r="D4415">
        <v>89301152</v>
      </c>
      <c r="E4415" t="str">
        <f t="shared" si="800"/>
        <v>515310017</v>
      </c>
      <c r="F4415" s="1">
        <v>45028</v>
      </c>
      <c r="G4415" t="str">
        <f t="shared" ref="G4415:G4420" si="801">"91219"</f>
        <v>91219</v>
      </c>
      <c r="H4415">
        <v>1</v>
      </c>
      <c r="I4415">
        <v>343</v>
      </c>
      <c r="J4415">
        <v>0</v>
      </c>
      <c r="K4415" t="str">
        <f t="shared" si="799"/>
        <v>813</v>
      </c>
      <c r="L4415">
        <v>288.12</v>
      </c>
    </row>
    <row r="4416" spans="1:12" x14ac:dyDescent="0.25">
      <c r="A4416" t="str">
        <f t="shared" si="786"/>
        <v>89301000</v>
      </c>
      <c r="B4416" t="str">
        <f t="shared" si="797"/>
        <v>72077000</v>
      </c>
      <c r="C4416" t="str">
        <f t="shared" si="798"/>
        <v>72077001</v>
      </c>
      <c r="D4416">
        <v>89301152</v>
      </c>
      <c r="E4416" t="str">
        <f t="shared" si="800"/>
        <v>515310017</v>
      </c>
      <c r="F4416" s="1">
        <v>45028</v>
      </c>
      <c r="G4416" t="str">
        <f t="shared" si="801"/>
        <v>91219</v>
      </c>
      <c r="H4416">
        <v>1</v>
      </c>
      <c r="I4416">
        <v>343</v>
      </c>
      <c r="J4416">
        <v>0</v>
      </c>
      <c r="K4416" t="str">
        <f t="shared" si="799"/>
        <v>813</v>
      </c>
      <c r="L4416">
        <v>288.12</v>
      </c>
    </row>
    <row r="4417" spans="1:12" x14ac:dyDescent="0.25">
      <c r="A4417" t="str">
        <f t="shared" si="786"/>
        <v>89301000</v>
      </c>
      <c r="B4417" t="str">
        <f t="shared" si="797"/>
        <v>72077000</v>
      </c>
      <c r="C4417" t="str">
        <f t="shared" si="798"/>
        <v>72077001</v>
      </c>
      <c r="D4417">
        <v>89301152</v>
      </c>
      <c r="E4417" t="str">
        <f t="shared" si="800"/>
        <v>515310017</v>
      </c>
      <c r="F4417" s="1">
        <v>45028</v>
      </c>
      <c r="G4417" t="str">
        <f t="shared" si="801"/>
        <v>91219</v>
      </c>
      <c r="H4417">
        <v>1</v>
      </c>
      <c r="I4417">
        <v>343</v>
      </c>
      <c r="J4417">
        <v>0</v>
      </c>
      <c r="K4417" t="str">
        <f t="shared" si="799"/>
        <v>813</v>
      </c>
      <c r="L4417">
        <v>288.12</v>
      </c>
    </row>
    <row r="4418" spans="1:12" x14ac:dyDescent="0.25">
      <c r="A4418" t="str">
        <f t="shared" ref="A4418:A4481" si="802">"89301000"</f>
        <v>89301000</v>
      </c>
      <c r="B4418" t="str">
        <f t="shared" si="797"/>
        <v>72077000</v>
      </c>
      <c r="C4418" t="str">
        <f t="shared" si="798"/>
        <v>72077001</v>
      </c>
      <c r="D4418">
        <v>89301152</v>
      </c>
      <c r="E4418" t="str">
        <f t="shared" si="800"/>
        <v>515310017</v>
      </c>
      <c r="F4418" s="1">
        <v>45028</v>
      </c>
      <c r="G4418" t="str">
        <f t="shared" si="801"/>
        <v>91219</v>
      </c>
      <c r="H4418">
        <v>1</v>
      </c>
      <c r="I4418">
        <v>343</v>
      </c>
      <c r="J4418">
        <v>0</v>
      </c>
      <c r="K4418" t="str">
        <f t="shared" si="799"/>
        <v>813</v>
      </c>
      <c r="L4418">
        <v>288.12</v>
      </c>
    </row>
    <row r="4419" spans="1:12" x14ac:dyDescent="0.25">
      <c r="A4419" t="str">
        <f t="shared" si="802"/>
        <v>89301000</v>
      </c>
      <c r="B4419" t="str">
        <f t="shared" si="797"/>
        <v>72077000</v>
      </c>
      <c r="C4419" t="str">
        <f t="shared" si="798"/>
        <v>72077001</v>
      </c>
      <c r="D4419">
        <v>89301152</v>
      </c>
      <c r="E4419" t="str">
        <f t="shared" si="800"/>
        <v>515310017</v>
      </c>
      <c r="F4419" s="1">
        <v>45028</v>
      </c>
      <c r="G4419" t="str">
        <f t="shared" si="801"/>
        <v>91219</v>
      </c>
      <c r="H4419">
        <v>1</v>
      </c>
      <c r="I4419">
        <v>343</v>
      </c>
      <c r="J4419">
        <v>0</v>
      </c>
      <c r="K4419" t="str">
        <f t="shared" si="799"/>
        <v>813</v>
      </c>
      <c r="L4419">
        <v>288.12</v>
      </c>
    </row>
    <row r="4420" spans="1:12" x14ac:dyDescent="0.25">
      <c r="A4420" t="str">
        <f t="shared" si="802"/>
        <v>89301000</v>
      </c>
      <c r="B4420" t="str">
        <f t="shared" si="797"/>
        <v>72077000</v>
      </c>
      <c r="C4420" t="str">
        <f t="shared" si="798"/>
        <v>72077001</v>
      </c>
      <c r="D4420">
        <v>89301152</v>
      </c>
      <c r="E4420" t="str">
        <f t="shared" si="800"/>
        <v>515310017</v>
      </c>
      <c r="F4420" s="1">
        <v>45028</v>
      </c>
      <c r="G4420" t="str">
        <f t="shared" si="801"/>
        <v>91219</v>
      </c>
      <c r="H4420">
        <v>1</v>
      </c>
      <c r="I4420">
        <v>343</v>
      </c>
      <c r="J4420">
        <v>0</v>
      </c>
      <c r="K4420" t="str">
        <f t="shared" si="799"/>
        <v>813</v>
      </c>
      <c r="L4420">
        <v>288.12</v>
      </c>
    </row>
    <row r="4421" spans="1:12" x14ac:dyDescent="0.25">
      <c r="A4421" t="str">
        <f t="shared" si="802"/>
        <v>89301000</v>
      </c>
      <c r="B4421" t="str">
        <f t="shared" si="797"/>
        <v>72077000</v>
      </c>
      <c r="C4421" t="str">
        <f t="shared" si="798"/>
        <v>72077001</v>
      </c>
      <c r="D4421">
        <v>89301152</v>
      </c>
      <c r="E4421" t="str">
        <f>"8052134497"</f>
        <v>8052134497</v>
      </c>
      <c r="F4421" s="1">
        <v>45028</v>
      </c>
      <c r="G4421" t="str">
        <f>"91197"</f>
        <v>91197</v>
      </c>
      <c r="H4421">
        <v>1</v>
      </c>
      <c r="I4421">
        <v>1048</v>
      </c>
      <c r="J4421">
        <v>0</v>
      </c>
      <c r="K4421" t="str">
        <f t="shared" si="799"/>
        <v>813</v>
      </c>
      <c r="L4421">
        <v>880.32</v>
      </c>
    </row>
    <row r="4422" spans="1:12" x14ac:dyDescent="0.25">
      <c r="A4422" t="str">
        <f t="shared" si="802"/>
        <v>89301000</v>
      </c>
      <c r="B4422" t="str">
        <f t="shared" si="797"/>
        <v>72077000</v>
      </c>
      <c r="C4422" t="str">
        <f t="shared" si="798"/>
        <v>72077001</v>
      </c>
      <c r="D4422">
        <v>89301152</v>
      </c>
      <c r="E4422" t="str">
        <f>"8052134497"</f>
        <v>8052134497</v>
      </c>
      <c r="F4422" s="1">
        <v>45030</v>
      </c>
      <c r="G4422" t="str">
        <f>"91465"</f>
        <v>91465</v>
      </c>
      <c r="H4422">
        <v>1</v>
      </c>
      <c r="I4422">
        <v>1412</v>
      </c>
      <c r="J4422">
        <v>0</v>
      </c>
      <c r="K4422" t="str">
        <f t="shared" si="799"/>
        <v>813</v>
      </c>
      <c r="L4422">
        <v>1186.08</v>
      </c>
    </row>
    <row r="4423" spans="1:12" x14ac:dyDescent="0.25">
      <c r="A4423" t="str">
        <f t="shared" si="802"/>
        <v>89301000</v>
      </c>
      <c r="B4423" t="str">
        <f t="shared" si="797"/>
        <v>72077000</v>
      </c>
      <c r="C4423" t="str">
        <f t="shared" si="798"/>
        <v>72077001</v>
      </c>
      <c r="D4423">
        <v>89301152</v>
      </c>
      <c r="E4423" t="str">
        <f>"0306305714"</f>
        <v>0306305714</v>
      </c>
      <c r="F4423" s="1">
        <v>45028</v>
      </c>
      <c r="G4423" t="str">
        <f>"91197"</f>
        <v>91197</v>
      </c>
      <c r="H4423">
        <v>1</v>
      </c>
      <c r="I4423">
        <v>1048</v>
      </c>
      <c r="J4423">
        <v>0</v>
      </c>
      <c r="K4423" t="str">
        <f t="shared" si="799"/>
        <v>813</v>
      </c>
      <c r="L4423">
        <v>880.32</v>
      </c>
    </row>
    <row r="4424" spans="1:12" x14ac:dyDescent="0.25">
      <c r="A4424" t="str">
        <f t="shared" si="802"/>
        <v>89301000</v>
      </c>
      <c r="B4424" t="str">
        <f t="shared" si="797"/>
        <v>72077000</v>
      </c>
      <c r="C4424" t="str">
        <f t="shared" si="798"/>
        <v>72077001</v>
      </c>
      <c r="D4424">
        <v>89301152</v>
      </c>
      <c r="E4424" t="str">
        <f>"0306305714"</f>
        <v>0306305714</v>
      </c>
      <c r="F4424" s="1">
        <v>45030</v>
      </c>
      <c r="G4424" t="str">
        <f>"91465"</f>
        <v>91465</v>
      </c>
      <c r="H4424">
        <v>1</v>
      </c>
      <c r="I4424">
        <v>1412</v>
      </c>
      <c r="J4424">
        <v>0</v>
      </c>
      <c r="K4424" t="str">
        <f t="shared" si="799"/>
        <v>813</v>
      </c>
      <c r="L4424">
        <v>1186.08</v>
      </c>
    </row>
    <row r="4425" spans="1:12" x14ac:dyDescent="0.25">
      <c r="A4425" t="str">
        <f t="shared" si="802"/>
        <v>89301000</v>
      </c>
      <c r="B4425" t="str">
        <f t="shared" si="797"/>
        <v>72077000</v>
      </c>
      <c r="C4425" t="str">
        <f t="shared" si="798"/>
        <v>72077001</v>
      </c>
      <c r="D4425">
        <v>89301152</v>
      </c>
      <c r="E4425" t="str">
        <f>"0056065405"</f>
        <v>0056065405</v>
      </c>
      <c r="F4425" s="1">
        <v>45034</v>
      </c>
      <c r="G4425" t="str">
        <f>"91219"</f>
        <v>91219</v>
      </c>
      <c r="H4425">
        <v>1</v>
      </c>
      <c r="I4425">
        <v>343</v>
      </c>
      <c r="J4425">
        <v>0</v>
      </c>
      <c r="K4425" t="str">
        <f t="shared" si="799"/>
        <v>813</v>
      </c>
      <c r="L4425">
        <v>288.12</v>
      </c>
    </row>
    <row r="4426" spans="1:12" x14ac:dyDescent="0.25">
      <c r="A4426" t="str">
        <f t="shared" si="802"/>
        <v>89301000</v>
      </c>
      <c r="B4426" t="str">
        <f t="shared" si="797"/>
        <v>72077000</v>
      </c>
      <c r="C4426" t="str">
        <f t="shared" si="798"/>
        <v>72077001</v>
      </c>
      <c r="D4426">
        <v>89301152</v>
      </c>
      <c r="E4426" t="str">
        <f>"0056065405"</f>
        <v>0056065405</v>
      </c>
      <c r="F4426" s="1">
        <v>45034</v>
      </c>
      <c r="G4426" t="str">
        <f>"91219"</f>
        <v>91219</v>
      </c>
      <c r="H4426">
        <v>1</v>
      </c>
      <c r="I4426">
        <v>343</v>
      </c>
      <c r="J4426">
        <v>0</v>
      </c>
      <c r="K4426" t="str">
        <f t="shared" si="799"/>
        <v>813</v>
      </c>
      <c r="L4426">
        <v>288.12</v>
      </c>
    </row>
    <row r="4427" spans="1:12" x14ac:dyDescent="0.25">
      <c r="A4427" t="str">
        <f t="shared" si="802"/>
        <v>89301000</v>
      </c>
      <c r="B4427" t="str">
        <f t="shared" si="797"/>
        <v>72077000</v>
      </c>
      <c r="C4427" t="str">
        <f t="shared" si="798"/>
        <v>72077001</v>
      </c>
      <c r="D4427">
        <v>89301152</v>
      </c>
      <c r="E4427" t="str">
        <f>"0056065405"</f>
        <v>0056065405</v>
      </c>
      <c r="F4427" s="1">
        <v>45034</v>
      </c>
      <c r="G4427" t="str">
        <f>"91197"</f>
        <v>91197</v>
      </c>
      <c r="H4427">
        <v>1</v>
      </c>
      <c r="I4427">
        <v>1048</v>
      </c>
      <c r="J4427">
        <v>0</v>
      </c>
      <c r="K4427" t="str">
        <f t="shared" si="799"/>
        <v>813</v>
      </c>
      <c r="L4427">
        <v>880.32</v>
      </c>
    </row>
    <row r="4428" spans="1:12" x14ac:dyDescent="0.25">
      <c r="A4428" t="str">
        <f t="shared" si="802"/>
        <v>89301000</v>
      </c>
      <c r="B4428" t="str">
        <f t="shared" si="797"/>
        <v>72077000</v>
      </c>
      <c r="C4428" t="str">
        <f t="shared" si="798"/>
        <v>72077001</v>
      </c>
      <c r="D4428">
        <v>89301152</v>
      </c>
      <c r="E4428" t="str">
        <f>"0056065405"</f>
        <v>0056065405</v>
      </c>
      <c r="F4428" s="1">
        <v>45035</v>
      </c>
      <c r="G4428" t="str">
        <f>"91465"</f>
        <v>91465</v>
      </c>
      <c r="H4428">
        <v>1</v>
      </c>
      <c r="I4428">
        <v>1412</v>
      </c>
      <c r="J4428">
        <v>0</v>
      </c>
      <c r="K4428" t="str">
        <f t="shared" si="799"/>
        <v>813</v>
      </c>
      <c r="L4428">
        <v>1186.08</v>
      </c>
    </row>
    <row r="4429" spans="1:12" x14ac:dyDescent="0.25">
      <c r="A4429" t="str">
        <f t="shared" si="802"/>
        <v>89301000</v>
      </c>
      <c r="B4429" t="str">
        <f t="shared" si="797"/>
        <v>72077000</v>
      </c>
      <c r="C4429" t="str">
        <f t="shared" si="798"/>
        <v>72077001</v>
      </c>
      <c r="D4429">
        <v>89301152</v>
      </c>
      <c r="E4429" t="str">
        <f>"7706115340"</f>
        <v>7706115340</v>
      </c>
      <c r="F4429" s="1">
        <v>45036</v>
      </c>
      <c r="G4429" t="str">
        <f>"91465"</f>
        <v>91465</v>
      </c>
      <c r="H4429">
        <v>1</v>
      </c>
      <c r="I4429">
        <v>1412</v>
      </c>
      <c r="J4429">
        <v>0</v>
      </c>
      <c r="K4429" t="str">
        <f t="shared" si="799"/>
        <v>813</v>
      </c>
      <c r="L4429">
        <v>1186.08</v>
      </c>
    </row>
    <row r="4430" spans="1:12" x14ac:dyDescent="0.25">
      <c r="A4430" t="str">
        <f t="shared" si="802"/>
        <v>89301000</v>
      </c>
      <c r="B4430" t="str">
        <f t="shared" si="797"/>
        <v>72077000</v>
      </c>
      <c r="C4430" t="str">
        <f t="shared" si="798"/>
        <v>72077001</v>
      </c>
      <c r="D4430">
        <v>89301152</v>
      </c>
      <c r="E4430" t="str">
        <f>"7706115340"</f>
        <v>7706115340</v>
      </c>
      <c r="F4430" s="1">
        <v>45037</v>
      </c>
      <c r="G4430" t="str">
        <f>"91197"</f>
        <v>91197</v>
      </c>
      <c r="H4430">
        <v>1</v>
      </c>
      <c r="I4430">
        <v>1048</v>
      </c>
      <c r="J4430">
        <v>0</v>
      </c>
      <c r="K4430" t="str">
        <f t="shared" si="799"/>
        <v>813</v>
      </c>
      <c r="L4430">
        <v>880.32</v>
      </c>
    </row>
    <row r="4431" spans="1:12" x14ac:dyDescent="0.25">
      <c r="A4431" t="str">
        <f t="shared" si="802"/>
        <v>89301000</v>
      </c>
      <c r="B4431" t="str">
        <f t="shared" si="797"/>
        <v>72077000</v>
      </c>
      <c r="C4431" t="str">
        <f t="shared" si="798"/>
        <v>72077001</v>
      </c>
      <c r="D4431">
        <v>89301152</v>
      </c>
      <c r="E4431" t="str">
        <f>"6456201224"</f>
        <v>6456201224</v>
      </c>
      <c r="F4431" s="1">
        <v>45034</v>
      </c>
      <c r="G4431" t="str">
        <f>"91359"</f>
        <v>91359</v>
      </c>
      <c r="H4431">
        <v>1</v>
      </c>
      <c r="I4431">
        <v>205</v>
      </c>
      <c r="J4431">
        <v>0</v>
      </c>
      <c r="K4431" t="str">
        <f t="shared" si="799"/>
        <v>813</v>
      </c>
      <c r="L4431">
        <v>172.2</v>
      </c>
    </row>
    <row r="4432" spans="1:12" x14ac:dyDescent="0.25">
      <c r="A4432" t="str">
        <f t="shared" si="802"/>
        <v>89301000</v>
      </c>
      <c r="B4432" t="str">
        <f t="shared" si="797"/>
        <v>72077000</v>
      </c>
      <c r="C4432" t="str">
        <f t="shared" si="798"/>
        <v>72077001</v>
      </c>
      <c r="D4432">
        <v>89301152</v>
      </c>
      <c r="E4432" t="str">
        <f>"6456201224"</f>
        <v>6456201224</v>
      </c>
      <c r="F4432" s="1">
        <v>45034</v>
      </c>
      <c r="G4432" t="str">
        <f>"91361"</f>
        <v>91361</v>
      </c>
      <c r="H4432">
        <v>1</v>
      </c>
      <c r="I4432">
        <v>444</v>
      </c>
      <c r="J4432">
        <v>0</v>
      </c>
      <c r="K4432" t="str">
        <f t="shared" si="799"/>
        <v>813</v>
      </c>
      <c r="L4432">
        <v>372.96</v>
      </c>
    </row>
    <row r="4433" spans="1:12" x14ac:dyDescent="0.25">
      <c r="A4433" t="str">
        <f t="shared" si="802"/>
        <v>89301000</v>
      </c>
      <c r="B4433" t="str">
        <f t="shared" si="797"/>
        <v>72077000</v>
      </c>
      <c r="C4433" t="str">
        <f t="shared" si="798"/>
        <v>72077001</v>
      </c>
      <c r="D4433">
        <v>89301152</v>
      </c>
      <c r="E4433" t="str">
        <f>"6456201224"</f>
        <v>6456201224</v>
      </c>
      <c r="F4433" s="1">
        <v>45034</v>
      </c>
      <c r="G4433" t="str">
        <f>"91577"</f>
        <v>91577</v>
      </c>
      <c r="H4433">
        <v>1</v>
      </c>
      <c r="I4433">
        <v>398</v>
      </c>
      <c r="J4433">
        <v>0</v>
      </c>
      <c r="K4433" t="str">
        <f t="shared" si="799"/>
        <v>813</v>
      </c>
      <c r="L4433">
        <v>334.32</v>
      </c>
    </row>
    <row r="4434" spans="1:12" x14ac:dyDescent="0.25">
      <c r="A4434" t="str">
        <f t="shared" si="802"/>
        <v>89301000</v>
      </c>
      <c r="B4434" t="str">
        <f t="shared" si="797"/>
        <v>72077000</v>
      </c>
      <c r="C4434" t="str">
        <f t="shared" si="798"/>
        <v>72077001</v>
      </c>
      <c r="D4434">
        <v>89301152</v>
      </c>
      <c r="E4434" t="str">
        <f>"6456201224"</f>
        <v>6456201224</v>
      </c>
      <c r="F4434" s="1">
        <v>45034</v>
      </c>
      <c r="G4434" t="str">
        <f>"91485"</f>
        <v>91485</v>
      </c>
      <c r="H4434">
        <v>1</v>
      </c>
      <c r="I4434">
        <v>268</v>
      </c>
      <c r="J4434">
        <v>0</v>
      </c>
      <c r="K4434" t="str">
        <f t="shared" si="799"/>
        <v>813</v>
      </c>
      <c r="L4434">
        <v>225.12</v>
      </c>
    </row>
    <row r="4435" spans="1:12" x14ac:dyDescent="0.25">
      <c r="A4435" t="str">
        <f t="shared" si="802"/>
        <v>89301000</v>
      </c>
      <c r="B4435" t="str">
        <f t="shared" si="797"/>
        <v>72077000</v>
      </c>
      <c r="C4435" t="str">
        <f t="shared" si="798"/>
        <v>72077001</v>
      </c>
      <c r="D4435">
        <v>89301152</v>
      </c>
      <c r="E4435" t="str">
        <f>"9655176168"</f>
        <v>9655176168</v>
      </c>
      <c r="F4435" s="1">
        <v>45036</v>
      </c>
      <c r="G4435" t="str">
        <f>"91465"</f>
        <v>91465</v>
      </c>
      <c r="H4435">
        <v>1</v>
      </c>
      <c r="I4435">
        <v>1412</v>
      </c>
      <c r="J4435">
        <v>0</v>
      </c>
      <c r="K4435" t="str">
        <f t="shared" si="799"/>
        <v>813</v>
      </c>
      <c r="L4435">
        <v>1186.08</v>
      </c>
    </row>
    <row r="4436" spans="1:12" x14ac:dyDescent="0.25">
      <c r="A4436" t="str">
        <f t="shared" si="802"/>
        <v>89301000</v>
      </c>
      <c r="B4436" t="str">
        <f t="shared" si="797"/>
        <v>72077000</v>
      </c>
      <c r="C4436" t="str">
        <f t="shared" si="798"/>
        <v>72077001</v>
      </c>
      <c r="D4436">
        <v>89301152</v>
      </c>
      <c r="E4436" t="str">
        <f>"9655176168"</f>
        <v>9655176168</v>
      </c>
      <c r="F4436" s="1">
        <v>45037</v>
      </c>
      <c r="G4436" t="str">
        <f>"91197"</f>
        <v>91197</v>
      </c>
      <c r="H4436">
        <v>1</v>
      </c>
      <c r="I4436">
        <v>1048</v>
      </c>
      <c r="J4436">
        <v>0</v>
      </c>
      <c r="K4436" t="str">
        <f t="shared" si="799"/>
        <v>813</v>
      </c>
      <c r="L4436">
        <v>880.32</v>
      </c>
    </row>
    <row r="4437" spans="1:12" x14ac:dyDescent="0.25">
      <c r="A4437" t="str">
        <f t="shared" si="802"/>
        <v>89301000</v>
      </c>
      <c r="B4437" t="str">
        <f t="shared" si="797"/>
        <v>72077000</v>
      </c>
      <c r="C4437" t="str">
        <f t="shared" si="798"/>
        <v>72077001</v>
      </c>
      <c r="D4437">
        <v>89301152</v>
      </c>
      <c r="E4437" t="str">
        <f>"481014410"</f>
        <v>481014410</v>
      </c>
      <c r="F4437" s="1">
        <v>45037</v>
      </c>
      <c r="G4437" t="str">
        <f>"91197"</f>
        <v>91197</v>
      </c>
      <c r="H4437">
        <v>1</v>
      </c>
      <c r="I4437">
        <v>1048</v>
      </c>
      <c r="J4437">
        <v>0</v>
      </c>
      <c r="K4437" t="str">
        <f t="shared" si="799"/>
        <v>813</v>
      </c>
      <c r="L4437">
        <v>880.32</v>
      </c>
    </row>
    <row r="4438" spans="1:12" x14ac:dyDescent="0.25">
      <c r="A4438" t="str">
        <f t="shared" si="802"/>
        <v>89301000</v>
      </c>
      <c r="B4438" t="str">
        <f t="shared" si="797"/>
        <v>72077000</v>
      </c>
      <c r="C4438" t="str">
        <f t="shared" si="798"/>
        <v>72077001</v>
      </c>
      <c r="D4438">
        <v>89301152</v>
      </c>
      <c r="E4438" t="str">
        <f>"481014410"</f>
        <v>481014410</v>
      </c>
      <c r="F4438" s="1">
        <v>45042</v>
      </c>
      <c r="G4438" t="str">
        <f>"91465"</f>
        <v>91465</v>
      </c>
      <c r="H4438">
        <v>1</v>
      </c>
      <c r="I4438">
        <v>1412</v>
      </c>
      <c r="J4438">
        <v>0</v>
      </c>
      <c r="K4438" t="str">
        <f t="shared" si="799"/>
        <v>813</v>
      </c>
      <c r="L4438">
        <v>1186.08</v>
      </c>
    </row>
    <row r="4439" spans="1:12" x14ac:dyDescent="0.25">
      <c r="A4439" t="str">
        <f t="shared" si="802"/>
        <v>89301000</v>
      </c>
      <c r="B4439" t="str">
        <f t="shared" si="797"/>
        <v>72077000</v>
      </c>
      <c r="C4439" t="str">
        <f t="shared" si="798"/>
        <v>72077001</v>
      </c>
      <c r="D4439">
        <v>89301152</v>
      </c>
      <c r="E4439" t="str">
        <f>"8659284568"</f>
        <v>8659284568</v>
      </c>
      <c r="F4439" s="1">
        <v>45044</v>
      </c>
      <c r="G4439" t="str">
        <f>"91171"</f>
        <v>91171</v>
      </c>
      <c r="H4439">
        <v>1</v>
      </c>
      <c r="I4439">
        <v>362</v>
      </c>
      <c r="J4439">
        <v>0</v>
      </c>
      <c r="K4439" t="str">
        <f t="shared" si="799"/>
        <v>813</v>
      </c>
      <c r="L4439">
        <v>304.08</v>
      </c>
    </row>
    <row r="4440" spans="1:12" x14ac:dyDescent="0.25">
      <c r="A4440" t="str">
        <f t="shared" si="802"/>
        <v>89301000</v>
      </c>
      <c r="B4440" t="str">
        <f t="shared" si="797"/>
        <v>72077000</v>
      </c>
      <c r="C4440" t="str">
        <f t="shared" si="798"/>
        <v>72077001</v>
      </c>
      <c r="D4440">
        <v>89301152</v>
      </c>
      <c r="E4440" t="str">
        <f>"8659284568"</f>
        <v>8659284568</v>
      </c>
      <c r="F4440" s="1">
        <v>45044</v>
      </c>
      <c r="G4440" t="str">
        <f>"91175"</f>
        <v>91175</v>
      </c>
      <c r="H4440">
        <v>1</v>
      </c>
      <c r="I4440">
        <v>362</v>
      </c>
      <c r="J4440">
        <v>0</v>
      </c>
      <c r="K4440" t="str">
        <f t="shared" si="799"/>
        <v>813</v>
      </c>
      <c r="L4440">
        <v>304.08</v>
      </c>
    </row>
    <row r="4441" spans="1:12" x14ac:dyDescent="0.25">
      <c r="A4441" t="str">
        <f t="shared" si="802"/>
        <v>89301000</v>
      </c>
      <c r="B4441" t="str">
        <f t="shared" ref="B4441:C4445" si="803">"89345401"</f>
        <v>89345401</v>
      </c>
      <c r="C4441" t="str">
        <f t="shared" si="803"/>
        <v>89345401</v>
      </c>
      <c r="D4441">
        <v>89301212</v>
      </c>
      <c r="E4441" t="str">
        <f>"465325724"</f>
        <v>465325724</v>
      </c>
      <c r="F4441" s="1">
        <v>45033</v>
      </c>
      <c r="G4441" t="str">
        <f>"89513"</f>
        <v>89513</v>
      </c>
      <c r="H4441">
        <v>1</v>
      </c>
      <c r="I4441">
        <v>378</v>
      </c>
      <c r="J4441">
        <v>0</v>
      </c>
      <c r="K4441" t="str">
        <f>"809"</f>
        <v>809</v>
      </c>
      <c r="L4441">
        <v>555.66</v>
      </c>
    </row>
    <row r="4442" spans="1:12" x14ac:dyDescent="0.25">
      <c r="A4442" t="str">
        <f t="shared" si="802"/>
        <v>89301000</v>
      </c>
      <c r="B4442" t="str">
        <f t="shared" si="803"/>
        <v>89345401</v>
      </c>
      <c r="C4442" t="str">
        <f t="shared" si="803"/>
        <v>89345401</v>
      </c>
      <c r="D4442">
        <v>89301212</v>
      </c>
      <c r="E4442" t="str">
        <f>"465325724"</f>
        <v>465325724</v>
      </c>
      <c r="F4442" s="1">
        <v>45033</v>
      </c>
      <c r="G4442" t="str">
        <f>"89514"</f>
        <v>89514</v>
      </c>
      <c r="H4442">
        <v>1</v>
      </c>
      <c r="I4442">
        <v>378</v>
      </c>
      <c r="J4442">
        <v>0</v>
      </c>
      <c r="K4442" t="str">
        <f>"809"</f>
        <v>809</v>
      </c>
      <c r="L4442">
        <v>555.66</v>
      </c>
    </row>
    <row r="4443" spans="1:12" x14ac:dyDescent="0.25">
      <c r="A4443" t="str">
        <f t="shared" si="802"/>
        <v>89301000</v>
      </c>
      <c r="B4443" t="str">
        <f t="shared" si="803"/>
        <v>89345401</v>
      </c>
      <c r="C4443" t="str">
        <f t="shared" si="803"/>
        <v>89345401</v>
      </c>
      <c r="D4443">
        <v>89301274</v>
      </c>
      <c r="E4443" t="str">
        <f>"7112245316"</f>
        <v>7112245316</v>
      </c>
      <c r="F4443" s="1">
        <v>45020</v>
      </c>
      <c r="G4443" t="str">
        <f>"89513"</f>
        <v>89513</v>
      </c>
      <c r="H4443">
        <v>1</v>
      </c>
      <c r="I4443">
        <v>378</v>
      </c>
      <c r="J4443">
        <v>0</v>
      </c>
      <c r="K4443" t="str">
        <f>"809"</f>
        <v>809</v>
      </c>
      <c r="L4443">
        <v>555.66</v>
      </c>
    </row>
    <row r="4444" spans="1:12" x14ac:dyDescent="0.25">
      <c r="A4444" t="str">
        <f t="shared" si="802"/>
        <v>89301000</v>
      </c>
      <c r="B4444" t="str">
        <f t="shared" si="803"/>
        <v>89345401</v>
      </c>
      <c r="C4444" t="str">
        <f t="shared" si="803"/>
        <v>89345401</v>
      </c>
      <c r="D4444">
        <v>89301274</v>
      </c>
      <c r="E4444" t="str">
        <f>"7112245316"</f>
        <v>7112245316</v>
      </c>
      <c r="F4444" s="1">
        <v>45020</v>
      </c>
      <c r="G4444" t="str">
        <f>"89514"</f>
        <v>89514</v>
      </c>
      <c r="H4444">
        <v>1</v>
      </c>
      <c r="I4444">
        <v>378</v>
      </c>
      <c r="J4444">
        <v>0</v>
      </c>
      <c r="K4444" t="str">
        <f>"809"</f>
        <v>809</v>
      </c>
      <c r="L4444">
        <v>555.66</v>
      </c>
    </row>
    <row r="4445" spans="1:12" x14ac:dyDescent="0.25">
      <c r="A4445" t="str">
        <f t="shared" si="802"/>
        <v>89301000</v>
      </c>
      <c r="B4445" t="str">
        <f t="shared" si="803"/>
        <v>89345401</v>
      </c>
      <c r="C4445" t="str">
        <f t="shared" si="803"/>
        <v>89345401</v>
      </c>
      <c r="D4445">
        <v>89301212</v>
      </c>
      <c r="E4445" t="str">
        <f>"7657075349"</f>
        <v>7657075349</v>
      </c>
      <c r="F4445" s="1">
        <v>45021</v>
      </c>
      <c r="G4445" t="str">
        <f>"09139"</f>
        <v>09139</v>
      </c>
      <c r="H4445">
        <v>1</v>
      </c>
      <c r="I4445">
        <v>356</v>
      </c>
      <c r="J4445">
        <v>0</v>
      </c>
      <c r="K4445" t="str">
        <f>"809"</f>
        <v>809</v>
      </c>
      <c r="L4445">
        <v>523.32000000000005</v>
      </c>
    </row>
    <row r="4446" spans="1:12" x14ac:dyDescent="0.25">
      <c r="A4446" t="str">
        <f t="shared" si="802"/>
        <v>89301000</v>
      </c>
      <c r="B4446" t="str">
        <f t="shared" ref="B4446:B4509" si="804">"06539000"</f>
        <v>06539000</v>
      </c>
      <c r="C4446" t="str">
        <f t="shared" ref="C4446:C4473" si="805">"06539003"</f>
        <v>06539003</v>
      </c>
      <c r="D4446">
        <v>89301171</v>
      </c>
      <c r="E4446" t="str">
        <f t="shared" ref="E4446:E4473" si="806">"5953170795"</f>
        <v>5953170795</v>
      </c>
      <c r="F4446" s="1">
        <v>45016</v>
      </c>
      <c r="G4446" t="str">
        <f t="shared" ref="G4446:G4453" si="807">"91413"</f>
        <v>91413</v>
      </c>
      <c r="H4446">
        <v>1</v>
      </c>
      <c r="I4446">
        <v>868</v>
      </c>
      <c r="J4446">
        <v>0</v>
      </c>
      <c r="K4446" t="str">
        <f t="shared" ref="K4446:K4473" si="808">"813"</f>
        <v>813</v>
      </c>
      <c r="L4446">
        <v>729.12</v>
      </c>
    </row>
    <row r="4447" spans="1:12" x14ac:dyDescent="0.25">
      <c r="A4447" t="str">
        <f t="shared" si="802"/>
        <v>89301000</v>
      </c>
      <c r="B4447" t="str">
        <f t="shared" si="804"/>
        <v>06539000</v>
      </c>
      <c r="C4447" t="str">
        <f t="shared" si="805"/>
        <v>06539003</v>
      </c>
      <c r="D4447">
        <v>89301171</v>
      </c>
      <c r="E4447" t="str">
        <f t="shared" si="806"/>
        <v>5953170795</v>
      </c>
      <c r="F4447" s="1">
        <v>45016</v>
      </c>
      <c r="G4447" t="str">
        <f t="shared" si="807"/>
        <v>91413</v>
      </c>
      <c r="H4447">
        <v>1</v>
      </c>
      <c r="I4447">
        <v>868</v>
      </c>
      <c r="J4447">
        <v>0</v>
      </c>
      <c r="K4447" t="str">
        <f t="shared" si="808"/>
        <v>813</v>
      </c>
      <c r="L4447">
        <v>729.12</v>
      </c>
    </row>
    <row r="4448" spans="1:12" x14ac:dyDescent="0.25">
      <c r="A4448" t="str">
        <f t="shared" si="802"/>
        <v>89301000</v>
      </c>
      <c r="B4448" t="str">
        <f t="shared" si="804"/>
        <v>06539000</v>
      </c>
      <c r="C4448" t="str">
        <f t="shared" si="805"/>
        <v>06539003</v>
      </c>
      <c r="D4448">
        <v>89301171</v>
      </c>
      <c r="E4448" t="str">
        <f t="shared" si="806"/>
        <v>5953170795</v>
      </c>
      <c r="F4448" s="1">
        <v>45014</v>
      </c>
      <c r="G4448" t="str">
        <f t="shared" si="807"/>
        <v>91413</v>
      </c>
      <c r="H4448">
        <v>1</v>
      </c>
      <c r="I4448">
        <v>868</v>
      </c>
      <c r="J4448">
        <v>0</v>
      </c>
      <c r="K4448" t="str">
        <f t="shared" si="808"/>
        <v>813</v>
      </c>
      <c r="L4448">
        <v>729.12</v>
      </c>
    </row>
    <row r="4449" spans="1:12" x14ac:dyDescent="0.25">
      <c r="A4449" t="str">
        <f t="shared" si="802"/>
        <v>89301000</v>
      </c>
      <c r="B4449" t="str">
        <f t="shared" si="804"/>
        <v>06539000</v>
      </c>
      <c r="C4449" t="str">
        <f t="shared" si="805"/>
        <v>06539003</v>
      </c>
      <c r="D4449">
        <v>89301171</v>
      </c>
      <c r="E4449" t="str">
        <f t="shared" si="806"/>
        <v>5953170795</v>
      </c>
      <c r="F4449" s="1">
        <v>45014</v>
      </c>
      <c r="G4449" t="str">
        <f t="shared" si="807"/>
        <v>91413</v>
      </c>
      <c r="H4449">
        <v>1</v>
      </c>
      <c r="I4449">
        <v>868</v>
      </c>
      <c r="J4449">
        <v>0</v>
      </c>
      <c r="K4449" t="str">
        <f t="shared" si="808"/>
        <v>813</v>
      </c>
      <c r="L4449">
        <v>729.12</v>
      </c>
    </row>
    <row r="4450" spans="1:12" x14ac:dyDescent="0.25">
      <c r="A4450" t="str">
        <f t="shared" si="802"/>
        <v>89301000</v>
      </c>
      <c r="B4450" t="str">
        <f t="shared" si="804"/>
        <v>06539000</v>
      </c>
      <c r="C4450" t="str">
        <f t="shared" si="805"/>
        <v>06539003</v>
      </c>
      <c r="D4450">
        <v>89301171</v>
      </c>
      <c r="E4450" t="str">
        <f t="shared" si="806"/>
        <v>5953170795</v>
      </c>
      <c r="F4450" s="1">
        <v>45016</v>
      </c>
      <c r="G4450" t="str">
        <f t="shared" si="807"/>
        <v>91413</v>
      </c>
      <c r="H4450">
        <v>1</v>
      </c>
      <c r="I4450">
        <v>868</v>
      </c>
      <c r="J4450">
        <v>0</v>
      </c>
      <c r="K4450" t="str">
        <f t="shared" si="808"/>
        <v>813</v>
      </c>
      <c r="L4450">
        <v>729.12</v>
      </c>
    </row>
    <row r="4451" spans="1:12" x14ac:dyDescent="0.25">
      <c r="A4451" t="str">
        <f t="shared" si="802"/>
        <v>89301000</v>
      </c>
      <c r="B4451" t="str">
        <f t="shared" si="804"/>
        <v>06539000</v>
      </c>
      <c r="C4451" t="str">
        <f t="shared" si="805"/>
        <v>06539003</v>
      </c>
      <c r="D4451">
        <v>89301171</v>
      </c>
      <c r="E4451" t="str">
        <f t="shared" si="806"/>
        <v>5953170795</v>
      </c>
      <c r="F4451" s="1">
        <v>45016</v>
      </c>
      <c r="G4451" t="str">
        <f t="shared" si="807"/>
        <v>91413</v>
      </c>
      <c r="H4451">
        <v>1</v>
      </c>
      <c r="I4451">
        <v>868</v>
      </c>
      <c r="J4451">
        <v>0</v>
      </c>
      <c r="K4451" t="str">
        <f t="shared" si="808"/>
        <v>813</v>
      </c>
      <c r="L4451">
        <v>729.12</v>
      </c>
    </row>
    <row r="4452" spans="1:12" x14ac:dyDescent="0.25">
      <c r="A4452" t="str">
        <f t="shared" si="802"/>
        <v>89301000</v>
      </c>
      <c r="B4452" t="str">
        <f t="shared" si="804"/>
        <v>06539000</v>
      </c>
      <c r="C4452" t="str">
        <f t="shared" si="805"/>
        <v>06539003</v>
      </c>
      <c r="D4452">
        <v>89301171</v>
      </c>
      <c r="E4452" t="str">
        <f t="shared" si="806"/>
        <v>5953170795</v>
      </c>
      <c r="F4452" s="1">
        <v>45016</v>
      </c>
      <c r="G4452" t="str">
        <f t="shared" si="807"/>
        <v>91413</v>
      </c>
      <c r="H4452">
        <v>1</v>
      </c>
      <c r="I4452">
        <v>868</v>
      </c>
      <c r="J4452">
        <v>0</v>
      </c>
      <c r="K4452" t="str">
        <f t="shared" si="808"/>
        <v>813</v>
      </c>
      <c r="L4452">
        <v>729.12</v>
      </c>
    </row>
    <row r="4453" spans="1:12" x14ac:dyDescent="0.25">
      <c r="A4453" t="str">
        <f t="shared" si="802"/>
        <v>89301000</v>
      </c>
      <c r="B4453" t="str">
        <f t="shared" si="804"/>
        <v>06539000</v>
      </c>
      <c r="C4453" t="str">
        <f t="shared" si="805"/>
        <v>06539003</v>
      </c>
      <c r="D4453">
        <v>89301171</v>
      </c>
      <c r="E4453" t="str">
        <f t="shared" si="806"/>
        <v>5953170795</v>
      </c>
      <c r="F4453" s="1">
        <v>45016</v>
      </c>
      <c r="G4453" t="str">
        <f t="shared" si="807"/>
        <v>91413</v>
      </c>
      <c r="H4453">
        <v>1</v>
      </c>
      <c r="I4453">
        <v>868</v>
      </c>
      <c r="J4453">
        <v>0</v>
      </c>
      <c r="K4453" t="str">
        <f t="shared" si="808"/>
        <v>813</v>
      </c>
      <c r="L4453">
        <v>729.12</v>
      </c>
    </row>
    <row r="4454" spans="1:12" x14ac:dyDescent="0.25">
      <c r="A4454" t="str">
        <f t="shared" si="802"/>
        <v>89301000</v>
      </c>
      <c r="B4454" t="str">
        <f t="shared" si="804"/>
        <v>06539000</v>
      </c>
      <c r="C4454" t="str">
        <f t="shared" si="805"/>
        <v>06539003</v>
      </c>
      <c r="D4454">
        <v>89301171</v>
      </c>
      <c r="E4454" t="str">
        <f t="shared" si="806"/>
        <v>5953170795</v>
      </c>
      <c r="F4454" s="1">
        <v>45008</v>
      </c>
      <c r="G4454" t="str">
        <f>"91495"</f>
        <v>91495</v>
      </c>
      <c r="H4454">
        <v>1</v>
      </c>
      <c r="I4454">
        <v>595</v>
      </c>
      <c r="J4454">
        <v>0</v>
      </c>
      <c r="K4454" t="str">
        <f t="shared" si="808"/>
        <v>813</v>
      </c>
      <c r="L4454">
        <v>499.8</v>
      </c>
    </row>
    <row r="4455" spans="1:12" x14ac:dyDescent="0.25">
      <c r="A4455" t="str">
        <f t="shared" si="802"/>
        <v>89301000</v>
      </c>
      <c r="B4455" t="str">
        <f t="shared" si="804"/>
        <v>06539000</v>
      </c>
      <c r="C4455" t="str">
        <f t="shared" si="805"/>
        <v>06539003</v>
      </c>
      <c r="D4455">
        <v>89301171</v>
      </c>
      <c r="E4455" t="str">
        <f t="shared" si="806"/>
        <v>5953170795</v>
      </c>
      <c r="F4455" s="1">
        <v>45006</v>
      </c>
      <c r="G4455" t="str">
        <f t="shared" ref="G4455:G4472" si="809">"91329"</f>
        <v>91329</v>
      </c>
      <c r="H4455">
        <v>2</v>
      </c>
      <c r="I4455">
        <v>436</v>
      </c>
      <c r="J4455">
        <v>0</v>
      </c>
      <c r="K4455" t="str">
        <f t="shared" si="808"/>
        <v>813</v>
      </c>
      <c r="L4455">
        <v>366.24</v>
      </c>
    </row>
    <row r="4456" spans="1:12" x14ac:dyDescent="0.25">
      <c r="A4456" t="str">
        <f t="shared" si="802"/>
        <v>89301000</v>
      </c>
      <c r="B4456" t="str">
        <f t="shared" si="804"/>
        <v>06539000</v>
      </c>
      <c r="C4456" t="str">
        <f t="shared" si="805"/>
        <v>06539003</v>
      </c>
      <c r="D4456">
        <v>89301171</v>
      </c>
      <c r="E4456" t="str">
        <f t="shared" si="806"/>
        <v>5953170795</v>
      </c>
      <c r="F4456" s="1">
        <v>45006</v>
      </c>
      <c r="G4456" t="str">
        <f t="shared" si="809"/>
        <v>91329</v>
      </c>
      <c r="H4456">
        <v>2</v>
      </c>
      <c r="I4456">
        <v>436</v>
      </c>
      <c r="J4456">
        <v>0</v>
      </c>
      <c r="K4456" t="str">
        <f t="shared" si="808"/>
        <v>813</v>
      </c>
      <c r="L4456">
        <v>366.24</v>
      </c>
    </row>
    <row r="4457" spans="1:12" x14ac:dyDescent="0.25">
      <c r="A4457" t="str">
        <f t="shared" si="802"/>
        <v>89301000</v>
      </c>
      <c r="B4457" t="str">
        <f t="shared" si="804"/>
        <v>06539000</v>
      </c>
      <c r="C4457" t="str">
        <f t="shared" si="805"/>
        <v>06539003</v>
      </c>
      <c r="D4457">
        <v>89301171</v>
      </c>
      <c r="E4457" t="str">
        <f t="shared" si="806"/>
        <v>5953170795</v>
      </c>
      <c r="F4457" s="1">
        <v>45006</v>
      </c>
      <c r="G4457" t="str">
        <f t="shared" si="809"/>
        <v>91329</v>
      </c>
      <c r="H4457">
        <v>2</v>
      </c>
      <c r="I4457">
        <v>436</v>
      </c>
      <c r="J4457">
        <v>0</v>
      </c>
      <c r="K4457" t="str">
        <f t="shared" si="808"/>
        <v>813</v>
      </c>
      <c r="L4457">
        <v>366.24</v>
      </c>
    </row>
    <row r="4458" spans="1:12" x14ac:dyDescent="0.25">
      <c r="A4458" t="str">
        <f t="shared" si="802"/>
        <v>89301000</v>
      </c>
      <c r="B4458" t="str">
        <f t="shared" si="804"/>
        <v>06539000</v>
      </c>
      <c r="C4458" t="str">
        <f t="shared" si="805"/>
        <v>06539003</v>
      </c>
      <c r="D4458">
        <v>89301171</v>
      </c>
      <c r="E4458" t="str">
        <f t="shared" si="806"/>
        <v>5953170795</v>
      </c>
      <c r="F4458" s="1">
        <v>45006</v>
      </c>
      <c r="G4458" t="str">
        <f t="shared" si="809"/>
        <v>91329</v>
      </c>
      <c r="H4458">
        <v>2</v>
      </c>
      <c r="I4458">
        <v>436</v>
      </c>
      <c r="J4458">
        <v>0</v>
      </c>
      <c r="K4458" t="str">
        <f t="shared" si="808"/>
        <v>813</v>
      </c>
      <c r="L4458">
        <v>366.24</v>
      </c>
    </row>
    <row r="4459" spans="1:12" x14ac:dyDescent="0.25">
      <c r="A4459" t="str">
        <f t="shared" si="802"/>
        <v>89301000</v>
      </c>
      <c r="B4459" t="str">
        <f t="shared" si="804"/>
        <v>06539000</v>
      </c>
      <c r="C4459" t="str">
        <f t="shared" si="805"/>
        <v>06539003</v>
      </c>
      <c r="D4459">
        <v>89301171</v>
      </c>
      <c r="E4459" t="str">
        <f t="shared" si="806"/>
        <v>5953170795</v>
      </c>
      <c r="F4459" s="1">
        <v>45006</v>
      </c>
      <c r="G4459" t="str">
        <f t="shared" si="809"/>
        <v>91329</v>
      </c>
      <c r="H4459">
        <v>2</v>
      </c>
      <c r="I4459">
        <v>436</v>
      </c>
      <c r="J4459">
        <v>0</v>
      </c>
      <c r="K4459" t="str">
        <f t="shared" si="808"/>
        <v>813</v>
      </c>
      <c r="L4459">
        <v>366.24</v>
      </c>
    </row>
    <row r="4460" spans="1:12" x14ac:dyDescent="0.25">
      <c r="A4460" t="str">
        <f t="shared" si="802"/>
        <v>89301000</v>
      </c>
      <c r="B4460" t="str">
        <f t="shared" si="804"/>
        <v>06539000</v>
      </c>
      <c r="C4460" t="str">
        <f t="shared" si="805"/>
        <v>06539003</v>
      </c>
      <c r="D4460">
        <v>89301171</v>
      </c>
      <c r="E4460" t="str">
        <f t="shared" si="806"/>
        <v>5953170795</v>
      </c>
      <c r="F4460" s="1">
        <v>45006</v>
      </c>
      <c r="G4460" t="str">
        <f t="shared" si="809"/>
        <v>91329</v>
      </c>
      <c r="H4460">
        <v>2</v>
      </c>
      <c r="I4460">
        <v>436</v>
      </c>
      <c r="J4460">
        <v>0</v>
      </c>
      <c r="K4460" t="str">
        <f t="shared" si="808"/>
        <v>813</v>
      </c>
      <c r="L4460">
        <v>366.24</v>
      </c>
    </row>
    <row r="4461" spans="1:12" x14ac:dyDescent="0.25">
      <c r="A4461" t="str">
        <f t="shared" si="802"/>
        <v>89301000</v>
      </c>
      <c r="B4461" t="str">
        <f t="shared" si="804"/>
        <v>06539000</v>
      </c>
      <c r="C4461" t="str">
        <f t="shared" si="805"/>
        <v>06539003</v>
      </c>
      <c r="D4461">
        <v>89301171</v>
      </c>
      <c r="E4461" t="str">
        <f t="shared" si="806"/>
        <v>5953170795</v>
      </c>
      <c r="F4461" s="1">
        <v>45006</v>
      </c>
      <c r="G4461" t="str">
        <f t="shared" si="809"/>
        <v>91329</v>
      </c>
      <c r="H4461">
        <v>2</v>
      </c>
      <c r="I4461">
        <v>436</v>
      </c>
      <c r="J4461">
        <v>0</v>
      </c>
      <c r="K4461" t="str">
        <f t="shared" si="808"/>
        <v>813</v>
      </c>
      <c r="L4461">
        <v>366.24</v>
      </c>
    </row>
    <row r="4462" spans="1:12" x14ac:dyDescent="0.25">
      <c r="A4462" t="str">
        <f t="shared" si="802"/>
        <v>89301000</v>
      </c>
      <c r="B4462" t="str">
        <f t="shared" si="804"/>
        <v>06539000</v>
      </c>
      <c r="C4462" t="str">
        <f t="shared" si="805"/>
        <v>06539003</v>
      </c>
      <c r="D4462">
        <v>89301171</v>
      </c>
      <c r="E4462" t="str">
        <f t="shared" si="806"/>
        <v>5953170795</v>
      </c>
      <c r="F4462" s="1">
        <v>45006</v>
      </c>
      <c r="G4462" t="str">
        <f t="shared" si="809"/>
        <v>91329</v>
      </c>
      <c r="H4462">
        <v>2</v>
      </c>
      <c r="I4462">
        <v>436</v>
      </c>
      <c r="J4462">
        <v>0</v>
      </c>
      <c r="K4462" t="str">
        <f t="shared" si="808"/>
        <v>813</v>
      </c>
      <c r="L4462">
        <v>366.24</v>
      </c>
    </row>
    <row r="4463" spans="1:12" x14ac:dyDescent="0.25">
      <c r="A4463" t="str">
        <f t="shared" si="802"/>
        <v>89301000</v>
      </c>
      <c r="B4463" t="str">
        <f t="shared" si="804"/>
        <v>06539000</v>
      </c>
      <c r="C4463" t="str">
        <f t="shared" si="805"/>
        <v>06539003</v>
      </c>
      <c r="D4463">
        <v>89301171</v>
      </c>
      <c r="E4463" t="str">
        <f t="shared" si="806"/>
        <v>5953170795</v>
      </c>
      <c r="F4463" s="1">
        <v>45006</v>
      </c>
      <c r="G4463" t="str">
        <f t="shared" si="809"/>
        <v>91329</v>
      </c>
      <c r="H4463">
        <v>2</v>
      </c>
      <c r="I4463">
        <v>436</v>
      </c>
      <c r="J4463">
        <v>0</v>
      </c>
      <c r="K4463" t="str">
        <f t="shared" si="808"/>
        <v>813</v>
      </c>
      <c r="L4463">
        <v>366.24</v>
      </c>
    </row>
    <row r="4464" spans="1:12" x14ac:dyDescent="0.25">
      <c r="A4464" t="str">
        <f t="shared" si="802"/>
        <v>89301000</v>
      </c>
      <c r="B4464" t="str">
        <f t="shared" si="804"/>
        <v>06539000</v>
      </c>
      <c r="C4464" t="str">
        <f t="shared" si="805"/>
        <v>06539003</v>
      </c>
      <c r="D4464">
        <v>89301171</v>
      </c>
      <c r="E4464" t="str">
        <f t="shared" si="806"/>
        <v>5953170795</v>
      </c>
      <c r="F4464" s="1">
        <v>45006</v>
      </c>
      <c r="G4464" t="str">
        <f t="shared" si="809"/>
        <v>91329</v>
      </c>
      <c r="H4464">
        <v>2</v>
      </c>
      <c r="I4464">
        <v>436</v>
      </c>
      <c r="J4464">
        <v>0</v>
      </c>
      <c r="K4464" t="str">
        <f t="shared" si="808"/>
        <v>813</v>
      </c>
      <c r="L4464">
        <v>366.24</v>
      </c>
    </row>
    <row r="4465" spans="1:12" x14ac:dyDescent="0.25">
      <c r="A4465" t="str">
        <f t="shared" si="802"/>
        <v>89301000</v>
      </c>
      <c r="B4465" t="str">
        <f t="shared" si="804"/>
        <v>06539000</v>
      </c>
      <c r="C4465" t="str">
        <f t="shared" si="805"/>
        <v>06539003</v>
      </c>
      <c r="D4465">
        <v>89301171</v>
      </c>
      <c r="E4465" t="str">
        <f t="shared" si="806"/>
        <v>5953170795</v>
      </c>
      <c r="F4465" s="1">
        <v>45006</v>
      </c>
      <c r="G4465" t="str">
        <f t="shared" si="809"/>
        <v>91329</v>
      </c>
      <c r="H4465">
        <v>2</v>
      </c>
      <c r="I4465">
        <v>436</v>
      </c>
      <c r="J4465">
        <v>0</v>
      </c>
      <c r="K4465" t="str">
        <f t="shared" si="808"/>
        <v>813</v>
      </c>
      <c r="L4465">
        <v>366.24</v>
      </c>
    </row>
    <row r="4466" spans="1:12" x14ac:dyDescent="0.25">
      <c r="A4466" t="str">
        <f t="shared" si="802"/>
        <v>89301000</v>
      </c>
      <c r="B4466" t="str">
        <f t="shared" si="804"/>
        <v>06539000</v>
      </c>
      <c r="C4466" t="str">
        <f t="shared" si="805"/>
        <v>06539003</v>
      </c>
      <c r="D4466">
        <v>89301171</v>
      </c>
      <c r="E4466" t="str">
        <f t="shared" si="806"/>
        <v>5953170795</v>
      </c>
      <c r="F4466" s="1">
        <v>45006</v>
      </c>
      <c r="G4466" t="str">
        <f t="shared" si="809"/>
        <v>91329</v>
      </c>
      <c r="H4466">
        <v>2</v>
      </c>
      <c r="I4466">
        <v>436</v>
      </c>
      <c r="J4466">
        <v>0</v>
      </c>
      <c r="K4466" t="str">
        <f t="shared" si="808"/>
        <v>813</v>
      </c>
      <c r="L4466">
        <v>366.24</v>
      </c>
    </row>
    <row r="4467" spans="1:12" x14ac:dyDescent="0.25">
      <c r="A4467" t="str">
        <f t="shared" si="802"/>
        <v>89301000</v>
      </c>
      <c r="B4467" t="str">
        <f t="shared" si="804"/>
        <v>06539000</v>
      </c>
      <c r="C4467" t="str">
        <f t="shared" si="805"/>
        <v>06539003</v>
      </c>
      <c r="D4467">
        <v>89301171</v>
      </c>
      <c r="E4467" t="str">
        <f t="shared" si="806"/>
        <v>5953170795</v>
      </c>
      <c r="F4467" s="1">
        <v>45006</v>
      </c>
      <c r="G4467" t="str">
        <f t="shared" si="809"/>
        <v>91329</v>
      </c>
      <c r="H4467">
        <v>2</v>
      </c>
      <c r="I4467">
        <v>436</v>
      </c>
      <c r="J4467">
        <v>0</v>
      </c>
      <c r="K4467" t="str">
        <f t="shared" si="808"/>
        <v>813</v>
      </c>
      <c r="L4467">
        <v>366.24</v>
      </c>
    </row>
    <row r="4468" spans="1:12" x14ac:dyDescent="0.25">
      <c r="A4468" t="str">
        <f t="shared" si="802"/>
        <v>89301000</v>
      </c>
      <c r="B4468" t="str">
        <f t="shared" si="804"/>
        <v>06539000</v>
      </c>
      <c r="C4468" t="str">
        <f t="shared" si="805"/>
        <v>06539003</v>
      </c>
      <c r="D4468">
        <v>89301171</v>
      </c>
      <c r="E4468" t="str">
        <f t="shared" si="806"/>
        <v>5953170795</v>
      </c>
      <c r="F4468" s="1">
        <v>45006</v>
      </c>
      <c r="G4468" t="str">
        <f t="shared" si="809"/>
        <v>91329</v>
      </c>
      <c r="H4468">
        <v>2</v>
      </c>
      <c r="I4468">
        <v>436</v>
      </c>
      <c r="J4468">
        <v>0</v>
      </c>
      <c r="K4468" t="str">
        <f t="shared" si="808"/>
        <v>813</v>
      </c>
      <c r="L4468">
        <v>366.24</v>
      </c>
    </row>
    <row r="4469" spans="1:12" x14ac:dyDescent="0.25">
      <c r="A4469" t="str">
        <f t="shared" si="802"/>
        <v>89301000</v>
      </c>
      <c r="B4469" t="str">
        <f t="shared" si="804"/>
        <v>06539000</v>
      </c>
      <c r="C4469" t="str">
        <f t="shared" si="805"/>
        <v>06539003</v>
      </c>
      <c r="D4469">
        <v>89301171</v>
      </c>
      <c r="E4469" t="str">
        <f t="shared" si="806"/>
        <v>5953170795</v>
      </c>
      <c r="F4469" s="1">
        <v>45006</v>
      </c>
      <c r="G4469" t="str">
        <f t="shared" si="809"/>
        <v>91329</v>
      </c>
      <c r="H4469">
        <v>2</v>
      </c>
      <c r="I4469">
        <v>436</v>
      </c>
      <c r="J4469">
        <v>0</v>
      </c>
      <c r="K4469" t="str">
        <f t="shared" si="808"/>
        <v>813</v>
      </c>
      <c r="L4469">
        <v>366.24</v>
      </c>
    </row>
    <row r="4470" spans="1:12" x14ac:dyDescent="0.25">
      <c r="A4470" t="str">
        <f t="shared" si="802"/>
        <v>89301000</v>
      </c>
      <c r="B4470" t="str">
        <f t="shared" si="804"/>
        <v>06539000</v>
      </c>
      <c r="C4470" t="str">
        <f t="shared" si="805"/>
        <v>06539003</v>
      </c>
      <c r="D4470">
        <v>89301171</v>
      </c>
      <c r="E4470" t="str">
        <f t="shared" si="806"/>
        <v>5953170795</v>
      </c>
      <c r="F4470" s="1">
        <v>45006</v>
      </c>
      <c r="G4470" t="str">
        <f t="shared" si="809"/>
        <v>91329</v>
      </c>
      <c r="H4470">
        <v>2</v>
      </c>
      <c r="I4470">
        <v>436</v>
      </c>
      <c r="J4470">
        <v>0</v>
      </c>
      <c r="K4470" t="str">
        <f t="shared" si="808"/>
        <v>813</v>
      </c>
      <c r="L4470">
        <v>366.24</v>
      </c>
    </row>
    <row r="4471" spans="1:12" x14ac:dyDescent="0.25">
      <c r="A4471" t="str">
        <f t="shared" si="802"/>
        <v>89301000</v>
      </c>
      <c r="B4471" t="str">
        <f t="shared" si="804"/>
        <v>06539000</v>
      </c>
      <c r="C4471" t="str">
        <f t="shared" si="805"/>
        <v>06539003</v>
      </c>
      <c r="D4471">
        <v>89301171</v>
      </c>
      <c r="E4471" t="str">
        <f t="shared" si="806"/>
        <v>5953170795</v>
      </c>
      <c r="F4471" s="1">
        <v>45006</v>
      </c>
      <c r="G4471" t="str">
        <f t="shared" si="809"/>
        <v>91329</v>
      </c>
      <c r="H4471">
        <v>2</v>
      </c>
      <c r="I4471">
        <v>436</v>
      </c>
      <c r="J4471">
        <v>0</v>
      </c>
      <c r="K4471" t="str">
        <f t="shared" si="808"/>
        <v>813</v>
      </c>
      <c r="L4471">
        <v>366.24</v>
      </c>
    </row>
    <row r="4472" spans="1:12" x14ac:dyDescent="0.25">
      <c r="A4472" t="str">
        <f t="shared" si="802"/>
        <v>89301000</v>
      </c>
      <c r="B4472" t="str">
        <f t="shared" si="804"/>
        <v>06539000</v>
      </c>
      <c r="C4472" t="str">
        <f t="shared" si="805"/>
        <v>06539003</v>
      </c>
      <c r="D4472">
        <v>89301171</v>
      </c>
      <c r="E4472" t="str">
        <f t="shared" si="806"/>
        <v>5953170795</v>
      </c>
      <c r="F4472" s="1">
        <v>45006</v>
      </c>
      <c r="G4472" t="str">
        <f t="shared" si="809"/>
        <v>91329</v>
      </c>
      <c r="H4472">
        <v>2</v>
      </c>
      <c r="I4472">
        <v>436</v>
      </c>
      <c r="J4472">
        <v>0</v>
      </c>
      <c r="K4472" t="str">
        <f t="shared" si="808"/>
        <v>813</v>
      </c>
      <c r="L4472">
        <v>366.24</v>
      </c>
    </row>
    <row r="4473" spans="1:12" x14ac:dyDescent="0.25">
      <c r="A4473" t="str">
        <f t="shared" si="802"/>
        <v>89301000</v>
      </c>
      <c r="B4473" t="str">
        <f t="shared" si="804"/>
        <v>06539000</v>
      </c>
      <c r="C4473" t="str">
        <f t="shared" si="805"/>
        <v>06539003</v>
      </c>
      <c r="D4473">
        <v>89301171</v>
      </c>
      <c r="E4473" t="str">
        <f t="shared" si="806"/>
        <v>5953170795</v>
      </c>
      <c r="F4473" s="1">
        <v>45008</v>
      </c>
      <c r="G4473" t="str">
        <f>"91475"</f>
        <v>91475</v>
      </c>
      <c r="H4473">
        <v>1</v>
      </c>
      <c r="I4473">
        <v>213</v>
      </c>
      <c r="J4473">
        <v>0</v>
      </c>
      <c r="K4473" t="str">
        <f t="shared" si="808"/>
        <v>813</v>
      </c>
      <c r="L4473">
        <v>178.92</v>
      </c>
    </row>
    <row r="4474" spans="1:12" x14ac:dyDescent="0.25">
      <c r="A4474" t="str">
        <f t="shared" si="802"/>
        <v>89301000</v>
      </c>
      <c r="B4474" t="str">
        <f t="shared" si="804"/>
        <v>06539000</v>
      </c>
      <c r="C4474" t="str">
        <f>"06539001"</f>
        <v>06539001</v>
      </c>
      <c r="D4474">
        <v>89301171</v>
      </c>
      <c r="E4474" t="str">
        <f t="shared" ref="E4474:E4502" si="810">"0211185755"</f>
        <v>0211185755</v>
      </c>
      <c r="F4474" s="1">
        <v>44995</v>
      </c>
      <c r="G4474" t="str">
        <f>"81329"</f>
        <v>81329</v>
      </c>
      <c r="H4474">
        <v>1</v>
      </c>
      <c r="I4474">
        <v>17</v>
      </c>
      <c r="J4474">
        <v>0</v>
      </c>
      <c r="K4474" t="str">
        <f>"801"</f>
        <v>801</v>
      </c>
      <c r="L4474">
        <v>14.28</v>
      </c>
    </row>
    <row r="4475" spans="1:12" x14ac:dyDescent="0.25">
      <c r="A4475" t="str">
        <f t="shared" si="802"/>
        <v>89301000</v>
      </c>
      <c r="B4475" t="str">
        <f t="shared" si="804"/>
        <v>06539000</v>
      </c>
      <c r="C4475" t="str">
        <f>"06539001"</f>
        <v>06539001</v>
      </c>
      <c r="D4475">
        <v>89301171</v>
      </c>
      <c r="E4475" t="str">
        <f t="shared" si="810"/>
        <v>0211185755</v>
      </c>
      <c r="F4475" s="1">
        <v>44995</v>
      </c>
      <c r="G4475" t="str">
        <f>"81331"</f>
        <v>81331</v>
      </c>
      <c r="H4475">
        <v>1</v>
      </c>
      <c r="I4475">
        <v>193</v>
      </c>
      <c r="J4475">
        <v>0</v>
      </c>
      <c r="K4475" t="str">
        <f>"801"</f>
        <v>801</v>
      </c>
      <c r="L4475">
        <v>162.12</v>
      </c>
    </row>
    <row r="4476" spans="1:12" x14ac:dyDescent="0.25">
      <c r="A4476" t="str">
        <f t="shared" si="802"/>
        <v>89301000</v>
      </c>
      <c r="B4476" t="str">
        <f t="shared" si="804"/>
        <v>06539000</v>
      </c>
      <c r="C4476" t="str">
        <f t="shared" ref="C4476:C4483" si="811">"06539002"</f>
        <v>06539002</v>
      </c>
      <c r="D4476">
        <v>89301171</v>
      </c>
      <c r="E4476" t="str">
        <f t="shared" si="810"/>
        <v>0211185755</v>
      </c>
      <c r="F4476" s="1">
        <v>44995</v>
      </c>
      <c r="G4476" t="str">
        <f t="shared" ref="G4476:G4483" si="812">"82097"</f>
        <v>82097</v>
      </c>
      <c r="H4476">
        <v>1</v>
      </c>
      <c r="I4476">
        <v>381</v>
      </c>
      <c r="J4476">
        <v>0</v>
      </c>
      <c r="K4476" t="str">
        <f t="shared" ref="K4476:K4483" si="813">"802"</f>
        <v>802</v>
      </c>
      <c r="L4476">
        <v>369.57</v>
      </c>
    </row>
    <row r="4477" spans="1:12" x14ac:dyDescent="0.25">
      <c r="A4477" t="str">
        <f t="shared" si="802"/>
        <v>89301000</v>
      </c>
      <c r="B4477" t="str">
        <f t="shared" si="804"/>
        <v>06539000</v>
      </c>
      <c r="C4477" t="str">
        <f t="shared" si="811"/>
        <v>06539002</v>
      </c>
      <c r="D4477">
        <v>89301171</v>
      </c>
      <c r="E4477" t="str">
        <f t="shared" si="810"/>
        <v>0211185755</v>
      </c>
      <c r="F4477" s="1">
        <v>44995</v>
      </c>
      <c r="G4477" t="str">
        <f t="shared" si="812"/>
        <v>82097</v>
      </c>
      <c r="H4477">
        <v>1</v>
      </c>
      <c r="I4477">
        <v>381</v>
      </c>
      <c r="J4477">
        <v>0</v>
      </c>
      <c r="K4477" t="str">
        <f t="shared" si="813"/>
        <v>802</v>
      </c>
      <c r="L4477">
        <v>369.57</v>
      </c>
    </row>
    <row r="4478" spans="1:12" x14ac:dyDescent="0.25">
      <c r="A4478" t="str">
        <f t="shared" si="802"/>
        <v>89301000</v>
      </c>
      <c r="B4478" t="str">
        <f t="shared" si="804"/>
        <v>06539000</v>
      </c>
      <c r="C4478" t="str">
        <f t="shared" si="811"/>
        <v>06539002</v>
      </c>
      <c r="D4478">
        <v>89301171</v>
      </c>
      <c r="E4478" t="str">
        <f t="shared" si="810"/>
        <v>0211185755</v>
      </c>
      <c r="F4478" s="1">
        <v>44995</v>
      </c>
      <c r="G4478" t="str">
        <f t="shared" si="812"/>
        <v>82097</v>
      </c>
      <c r="H4478">
        <v>1</v>
      </c>
      <c r="I4478">
        <v>381</v>
      </c>
      <c r="J4478">
        <v>0</v>
      </c>
      <c r="K4478" t="str">
        <f t="shared" si="813"/>
        <v>802</v>
      </c>
      <c r="L4478">
        <v>369.57</v>
      </c>
    </row>
    <row r="4479" spans="1:12" x14ac:dyDescent="0.25">
      <c r="A4479" t="str">
        <f t="shared" si="802"/>
        <v>89301000</v>
      </c>
      <c r="B4479" t="str">
        <f t="shared" si="804"/>
        <v>06539000</v>
      </c>
      <c r="C4479" t="str">
        <f t="shared" si="811"/>
        <v>06539002</v>
      </c>
      <c r="D4479">
        <v>89301171</v>
      </c>
      <c r="E4479" t="str">
        <f t="shared" si="810"/>
        <v>0211185755</v>
      </c>
      <c r="F4479" s="1">
        <v>44995</v>
      </c>
      <c r="G4479" t="str">
        <f t="shared" si="812"/>
        <v>82097</v>
      </c>
      <c r="H4479">
        <v>1</v>
      </c>
      <c r="I4479">
        <v>381</v>
      </c>
      <c r="J4479">
        <v>0</v>
      </c>
      <c r="K4479" t="str">
        <f t="shared" si="813"/>
        <v>802</v>
      </c>
      <c r="L4479">
        <v>369.57</v>
      </c>
    </row>
    <row r="4480" spans="1:12" x14ac:dyDescent="0.25">
      <c r="A4480" t="str">
        <f t="shared" si="802"/>
        <v>89301000</v>
      </c>
      <c r="B4480" t="str">
        <f t="shared" si="804"/>
        <v>06539000</v>
      </c>
      <c r="C4480" t="str">
        <f t="shared" si="811"/>
        <v>06539002</v>
      </c>
      <c r="D4480">
        <v>89301171</v>
      </c>
      <c r="E4480" t="str">
        <f t="shared" si="810"/>
        <v>0211185755</v>
      </c>
      <c r="F4480" s="1">
        <v>44995</v>
      </c>
      <c r="G4480" t="str">
        <f t="shared" si="812"/>
        <v>82097</v>
      </c>
      <c r="H4480">
        <v>1</v>
      </c>
      <c r="I4480">
        <v>381</v>
      </c>
      <c r="J4480">
        <v>0</v>
      </c>
      <c r="K4480" t="str">
        <f t="shared" si="813"/>
        <v>802</v>
      </c>
      <c r="L4480">
        <v>369.57</v>
      </c>
    </row>
    <row r="4481" spans="1:12" x14ac:dyDescent="0.25">
      <c r="A4481" t="str">
        <f t="shared" si="802"/>
        <v>89301000</v>
      </c>
      <c r="B4481" t="str">
        <f t="shared" si="804"/>
        <v>06539000</v>
      </c>
      <c r="C4481" t="str">
        <f t="shared" si="811"/>
        <v>06539002</v>
      </c>
      <c r="D4481">
        <v>89301171</v>
      </c>
      <c r="E4481" t="str">
        <f t="shared" si="810"/>
        <v>0211185755</v>
      </c>
      <c r="F4481" s="1">
        <v>44995</v>
      </c>
      <c r="G4481" t="str">
        <f t="shared" si="812"/>
        <v>82097</v>
      </c>
      <c r="H4481">
        <v>1</v>
      </c>
      <c r="I4481">
        <v>381</v>
      </c>
      <c r="J4481">
        <v>0</v>
      </c>
      <c r="K4481" t="str">
        <f t="shared" si="813"/>
        <v>802</v>
      </c>
      <c r="L4481">
        <v>369.57</v>
      </c>
    </row>
    <row r="4482" spans="1:12" x14ac:dyDescent="0.25">
      <c r="A4482" t="str">
        <f t="shared" ref="A4482:A4545" si="814">"89301000"</f>
        <v>89301000</v>
      </c>
      <c r="B4482" t="str">
        <f t="shared" si="804"/>
        <v>06539000</v>
      </c>
      <c r="C4482" t="str">
        <f t="shared" si="811"/>
        <v>06539002</v>
      </c>
      <c r="D4482">
        <v>89301171</v>
      </c>
      <c r="E4482" t="str">
        <f t="shared" si="810"/>
        <v>0211185755</v>
      </c>
      <c r="F4482" s="1">
        <v>44995</v>
      </c>
      <c r="G4482" t="str">
        <f t="shared" si="812"/>
        <v>82097</v>
      </c>
      <c r="H4482">
        <v>1</v>
      </c>
      <c r="I4482">
        <v>381</v>
      </c>
      <c r="J4482">
        <v>0</v>
      </c>
      <c r="K4482" t="str">
        <f t="shared" si="813"/>
        <v>802</v>
      </c>
      <c r="L4482">
        <v>369.57</v>
      </c>
    </row>
    <row r="4483" spans="1:12" x14ac:dyDescent="0.25">
      <c r="A4483" t="str">
        <f t="shared" si="814"/>
        <v>89301000</v>
      </c>
      <c r="B4483" t="str">
        <f t="shared" si="804"/>
        <v>06539000</v>
      </c>
      <c r="C4483" t="str">
        <f t="shared" si="811"/>
        <v>06539002</v>
      </c>
      <c r="D4483">
        <v>89301171</v>
      </c>
      <c r="E4483" t="str">
        <f t="shared" si="810"/>
        <v>0211185755</v>
      </c>
      <c r="F4483" s="1">
        <v>44995</v>
      </c>
      <c r="G4483" t="str">
        <f t="shared" si="812"/>
        <v>82097</v>
      </c>
      <c r="H4483">
        <v>1</v>
      </c>
      <c r="I4483">
        <v>381</v>
      </c>
      <c r="J4483">
        <v>0</v>
      </c>
      <c r="K4483" t="str">
        <f t="shared" si="813"/>
        <v>802</v>
      </c>
      <c r="L4483">
        <v>369.57</v>
      </c>
    </row>
    <row r="4484" spans="1:12" x14ac:dyDescent="0.25">
      <c r="A4484" t="str">
        <f t="shared" si="814"/>
        <v>89301000</v>
      </c>
      <c r="B4484" t="str">
        <f t="shared" si="804"/>
        <v>06539000</v>
      </c>
      <c r="C4484" t="str">
        <f t="shared" ref="C4484:C4515" si="815">"06539003"</f>
        <v>06539003</v>
      </c>
      <c r="D4484">
        <v>89301171</v>
      </c>
      <c r="E4484" t="str">
        <f t="shared" si="810"/>
        <v>0211185755</v>
      </c>
      <c r="F4484" s="1">
        <v>45000</v>
      </c>
      <c r="G4484" t="str">
        <f>"91413"</f>
        <v>91413</v>
      </c>
      <c r="H4484">
        <v>1</v>
      </c>
      <c r="I4484">
        <v>868</v>
      </c>
      <c r="J4484">
        <v>0</v>
      </c>
      <c r="K4484" t="str">
        <f t="shared" ref="K4484:K4515" si="816">"813"</f>
        <v>813</v>
      </c>
      <c r="L4484">
        <v>729.12</v>
      </c>
    </row>
    <row r="4485" spans="1:12" x14ac:dyDescent="0.25">
      <c r="A4485" t="str">
        <f t="shared" si="814"/>
        <v>89301000</v>
      </c>
      <c r="B4485" t="str">
        <f t="shared" si="804"/>
        <v>06539000</v>
      </c>
      <c r="C4485" t="str">
        <f t="shared" si="815"/>
        <v>06539003</v>
      </c>
      <c r="D4485">
        <v>89301171</v>
      </c>
      <c r="E4485" t="str">
        <f t="shared" si="810"/>
        <v>0211185755</v>
      </c>
      <c r="F4485" s="1">
        <v>45000</v>
      </c>
      <c r="G4485" t="str">
        <f>"91413"</f>
        <v>91413</v>
      </c>
      <c r="H4485">
        <v>1</v>
      </c>
      <c r="I4485">
        <v>868</v>
      </c>
      <c r="J4485">
        <v>0</v>
      </c>
      <c r="K4485" t="str">
        <f t="shared" si="816"/>
        <v>813</v>
      </c>
      <c r="L4485">
        <v>729.12</v>
      </c>
    </row>
    <row r="4486" spans="1:12" x14ac:dyDescent="0.25">
      <c r="A4486" t="str">
        <f t="shared" si="814"/>
        <v>89301000</v>
      </c>
      <c r="B4486" t="str">
        <f t="shared" si="804"/>
        <v>06539000</v>
      </c>
      <c r="C4486" t="str">
        <f t="shared" si="815"/>
        <v>06539003</v>
      </c>
      <c r="D4486">
        <v>89301171</v>
      </c>
      <c r="E4486" t="str">
        <f t="shared" si="810"/>
        <v>0211185755</v>
      </c>
      <c r="F4486" s="1">
        <v>44995</v>
      </c>
      <c r="G4486" t="str">
        <f t="shared" ref="G4486:G4492" si="817">"91197"</f>
        <v>91197</v>
      </c>
      <c r="H4486">
        <v>1</v>
      </c>
      <c r="I4486">
        <v>1048</v>
      </c>
      <c r="J4486">
        <v>0</v>
      </c>
      <c r="K4486" t="str">
        <f t="shared" si="816"/>
        <v>813</v>
      </c>
      <c r="L4486">
        <v>880.32</v>
      </c>
    </row>
    <row r="4487" spans="1:12" x14ac:dyDescent="0.25">
      <c r="A4487" t="str">
        <f t="shared" si="814"/>
        <v>89301000</v>
      </c>
      <c r="B4487" t="str">
        <f t="shared" si="804"/>
        <v>06539000</v>
      </c>
      <c r="C4487" t="str">
        <f t="shared" si="815"/>
        <v>06539003</v>
      </c>
      <c r="D4487">
        <v>89301171</v>
      </c>
      <c r="E4487" t="str">
        <f t="shared" si="810"/>
        <v>0211185755</v>
      </c>
      <c r="F4487" s="1">
        <v>44998</v>
      </c>
      <c r="G4487" t="str">
        <f t="shared" si="817"/>
        <v>91197</v>
      </c>
      <c r="H4487">
        <v>1</v>
      </c>
      <c r="I4487">
        <v>1048</v>
      </c>
      <c r="J4487">
        <v>0</v>
      </c>
      <c r="K4487" t="str">
        <f t="shared" si="816"/>
        <v>813</v>
      </c>
      <c r="L4487">
        <v>880.32</v>
      </c>
    </row>
    <row r="4488" spans="1:12" x14ac:dyDescent="0.25">
      <c r="A4488" t="str">
        <f t="shared" si="814"/>
        <v>89301000</v>
      </c>
      <c r="B4488" t="str">
        <f t="shared" si="804"/>
        <v>06539000</v>
      </c>
      <c r="C4488" t="str">
        <f t="shared" si="815"/>
        <v>06539003</v>
      </c>
      <c r="D4488">
        <v>89301171</v>
      </c>
      <c r="E4488" t="str">
        <f t="shared" si="810"/>
        <v>0211185755</v>
      </c>
      <c r="F4488" s="1">
        <v>44998</v>
      </c>
      <c r="G4488" t="str">
        <f t="shared" si="817"/>
        <v>91197</v>
      </c>
      <c r="H4488">
        <v>1</v>
      </c>
      <c r="I4488">
        <v>1048</v>
      </c>
      <c r="J4488">
        <v>0</v>
      </c>
      <c r="K4488" t="str">
        <f t="shared" si="816"/>
        <v>813</v>
      </c>
      <c r="L4488">
        <v>880.32</v>
      </c>
    </row>
    <row r="4489" spans="1:12" x14ac:dyDescent="0.25">
      <c r="A4489" t="str">
        <f t="shared" si="814"/>
        <v>89301000</v>
      </c>
      <c r="B4489" t="str">
        <f t="shared" si="804"/>
        <v>06539000</v>
      </c>
      <c r="C4489" t="str">
        <f t="shared" si="815"/>
        <v>06539003</v>
      </c>
      <c r="D4489">
        <v>89301171</v>
      </c>
      <c r="E4489" t="str">
        <f t="shared" si="810"/>
        <v>0211185755</v>
      </c>
      <c r="F4489" s="1">
        <v>44997</v>
      </c>
      <c r="G4489" t="str">
        <f t="shared" si="817"/>
        <v>91197</v>
      </c>
      <c r="H4489">
        <v>1</v>
      </c>
      <c r="I4489">
        <v>1048</v>
      </c>
      <c r="J4489">
        <v>0</v>
      </c>
      <c r="K4489" t="str">
        <f t="shared" si="816"/>
        <v>813</v>
      </c>
      <c r="L4489">
        <v>880.32</v>
      </c>
    </row>
    <row r="4490" spans="1:12" x14ac:dyDescent="0.25">
      <c r="A4490" t="str">
        <f t="shared" si="814"/>
        <v>89301000</v>
      </c>
      <c r="B4490" t="str">
        <f t="shared" si="804"/>
        <v>06539000</v>
      </c>
      <c r="C4490" t="str">
        <f t="shared" si="815"/>
        <v>06539003</v>
      </c>
      <c r="D4490">
        <v>89301171</v>
      </c>
      <c r="E4490" t="str">
        <f t="shared" si="810"/>
        <v>0211185755</v>
      </c>
      <c r="F4490" s="1">
        <v>44997</v>
      </c>
      <c r="G4490" t="str">
        <f t="shared" si="817"/>
        <v>91197</v>
      </c>
      <c r="H4490">
        <v>1</v>
      </c>
      <c r="I4490">
        <v>1048</v>
      </c>
      <c r="J4490">
        <v>0</v>
      </c>
      <c r="K4490" t="str">
        <f t="shared" si="816"/>
        <v>813</v>
      </c>
      <c r="L4490">
        <v>880.32</v>
      </c>
    </row>
    <row r="4491" spans="1:12" x14ac:dyDescent="0.25">
      <c r="A4491" t="str">
        <f t="shared" si="814"/>
        <v>89301000</v>
      </c>
      <c r="B4491" t="str">
        <f t="shared" si="804"/>
        <v>06539000</v>
      </c>
      <c r="C4491" t="str">
        <f t="shared" si="815"/>
        <v>06539003</v>
      </c>
      <c r="D4491">
        <v>89301171</v>
      </c>
      <c r="E4491" t="str">
        <f t="shared" si="810"/>
        <v>0211185755</v>
      </c>
      <c r="F4491" s="1">
        <v>44996</v>
      </c>
      <c r="G4491" t="str">
        <f t="shared" si="817"/>
        <v>91197</v>
      </c>
      <c r="H4491">
        <v>1</v>
      </c>
      <c r="I4491">
        <v>1048</v>
      </c>
      <c r="J4491">
        <v>0</v>
      </c>
      <c r="K4491" t="str">
        <f t="shared" si="816"/>
        <v>813</v>
      </c>
      <c r="L4491">
        <v>880.32</v>
      </c>
    </row>
    <row r="4492" spans="1:12" x14ac:dyDescent="0.25">
      <c r="A4492" t="str">
        <f t="shared" si="814"/>
        <v>89301000</v>
      </c>
      <c r="B4492" t="str">
        <f t="shared" si="804"/>
        <v>06539000</v>
      </c>
      <c r="C4492" t="str">
        <f t="shared" si="815"/>
        <v>06539003</v>
      </c>
      <c r="D4492">
        <v>89301171</v>
      </c>
      <c r="E4492" t="str">
        <f t="shared" si="810"/>
        <v>0211185755</v>
      </c>
      <c r="F4492" s="1">
        <v>44996</v>
      </c>
      <c r="G4492" t="str">
        <f t="shared" si="817"/>
        <v>91197</v>
      </c>
      <c r="H4492">
        <v>1</v>
      </c>
      <c r="I4492">
        <v>1048</v>
      </c>
      <c r="J4492">
        <v>0</v>
      </c>
      <c r="K4492" t="str">
        <f t="shared" si="816"/>
        <v>813</v>
      </c>
      <c r="L4492">
        <v>880.32</v>
      </c>
    </row>
    <row r="4493" spans="1:12" x14ac:dyDescent="0.25">
      <c r="A4493" t="str">
        <f t="shared" si="814"/>
        <v>89301000</v>
      </c>
      <c r="B4493" t="str">
        <f t="shared" si="804"/>
        <v>06539000</v>
      </c>
      <c r="C4493" t="str">
        <f t="shared" si="815"/>
        <v>06539003</v>
      </c>
      <c r="D4493">
        <v>89301171</v>
      </c>
      <c r="E4493" t="str">
        <f t="shared" si="810"/>
        <v>0211185755</v>
      </c>
      <c r="F4493" s="1">
        <v>44995</v>
      </c>
      <c r="G4493" t="str">
        <f>"91129"</f>
        <v>91129</v>
      </c>
      <c r="H4493">
        <v>1</v>
      </c>
      <c r="I4493">
        <v>175</v>
      </c>
      <c r="J4493">
        <v>0</v>
      </c>
      <c r="K4493" t="str">
        <f t="shared" si="816"/>
        <v>813</v>
      </c>
      <c r="L4493">
        <v>147</v>
      </c>
    </row>
    <row r="4494" spans="1:12" x14ac:dyDescent="0.25">
      <c r="A4494" t="str">
        <f t="shared" si="814"/>
        <v>89301000</v>
      </c>
      <c r="B4494" t="str">
        <f t="shared" si="804"/>
        <v>06539000</v>
      </c>
      <c r="C4494" t="str">
        <f t="shared" si="815"/>
        <v>06539003</v>
      </c>
      <c r="D4494">
        <v>89301171</v>
      </c>
      <c r="E4494" t="str">
        <f t="shared" si="810"/>
        <v>0211185755</v>
      </c>
      <c r="F4494" s="1">
        <v>44995</v>
      </c>
      <c r="G4494" t="str">
        <f>"91131"</f>
        <v>91131</v>
      </c>
      <c r="H4494">
        <v>1</v>
      </c>
      <c r="I4494">
        <v>171</v>
      </c>
      <c r="J4494">
        <v>0</v>
      </c>
      <c r="K4494" t="str">
        <f t="shared" si="816"/>
        <v>813</v>
      </c>
      <c r="L4494">
        <v>143.63999999999999</v>
      </c>
    </row>
    <row r="4495" spans="1:12" x14ac:dyDescent="0.25">
      <c r="A4495" t="str">
        <f t="shared" si="814"/>
        <v>89301000</v>
      </c>
      <c r="B4495" t="str">
        <f t="shared" si="804"/>
        <v>06539000</v>
      </c>
      <c r="C4495" t="str">
        <f t="shared" si="815"/>
        <v>06539003</v>
      </c>
      <c r="D4495">
        <v>89301171</v>
      </c>
      <c r="E4495" t="str">
        <f t="shared" si="810"/>
        <v>0211185755</v>
      </c>
      <c r="F4495" s="1">
        <v>44995</v>
      </c>
      <c r="G4495" t="str">
        <f>"91133"</f>
        <v>91133</v>
      </c>
      <c r="H4495">
        <v>1</v>
      </c>
      <c r="I4495">
        <v>177</v>
      </c>
      <c r="J4495">
        <v>0</v>
      </c>
      <c r="K4495" t="str">
        <f t="shared" si="816"/>
        <v>813</v>
      </c>
      <c r="L4495">
        <v>148.68</v>
      </c>
    </row>
    <row r="4496" spans="1:12" x14ac:dyDescent="0.25">
      <c r="A4496" t="str">
        <f t="shared" si="814"/>
        <v>89301000</v>
      </c>
      <c r="B4496" t="str">
        <f t="shared" si="804"/>
        <v>06539000</v>
      </c>
      <c r="C4496" t="str">
        <f t="shared" si="815"/>
        <v>06539003</v>
      </c>
      <c r="D4496">
        <v>89301171</v>
      </c>
      <c r="E4496" t="str">
        <f t="shared" si="810"/>
        <v>0211185755</v>
      </c>
      <c r="F4496" s="1">
        <v>44995</v>
      </c>
      <c r="G4496" t="str">
        <f>"91171"</f>
        <v>91171</v>
      </c>
      <c r="H4496">
        <v>1</v>
      </c>
      <c r="I4496">
        <v>362</v>
      </c>
      <c r="J4496">
        <v>0</v>
      </c>
      <c r="K4496" t="str">
        <f t="shared" si="816"/>
        <v>813</v>
      </c>
      <c r="L4496">
        <v>304.08</v>
      </c>
    </row>
    <row r="4497" spans="1:12" x14ac:dyDescent="0.25">
      <c r="A4497" t="str">
        <f t="shared" si="814"/>
        <v>89301000</v>
      </c>
      <c r="B4497" t="str">
        <f t="shared" si="804"/>
        <v>06539000</v>
      </c>
      <c r="C4497" t="str">
        <f t="shared" si="815"/>
        <v>06539003</v>
      </c>
      <c r="D4497">
        <v>89301171</v>
      </c>
      <c r="E4497" t="str">
        <f t="shared" si="810"/>
        <v>0211185755</v>
      </c>
      <c r="F4497" s="1">
        <v>44995</v>
      </c>
      <c r="G4497" t="str">
        <f>"91173"</f>
        <v>91173</v>
      </c>
      <c r="H4497">
        <v>1</v>
      </c>
      <c r="I4497">
        <v>337</v>
      </c>
      <c r="J4497">
        <v>0</v>
      </c>
      <c r="K4497" t="str">
        <f t="shared" si="816"/>
        <v>813</v>
      </c>
      <c r="L4497">
        <v>283.08</v>
      </c>
    </row>
    <row r="4498" spans="1:12" x14ac:dyDescent="0.25">
      <c r="A4498" t="str">
        <f t="shared" si="814"/>
        <v>89301000</v>
      </c>
      <c r="B4498" t="str">
        <f t="shared" si="804"/>
        <v>06539000</v>
      </c>
      <c r="C4498" t="str">
        <f t="shared" si="815"/>
        <v>06539003</v>
      </c>
      <c r="D4498">
        <v>89301171</v>
      </c>
      <c r="E4498" t="str">
        <f t="shared" si="810"/>
        <v>0211185755</v>
      </c>
      <c r="F4498" s="1">
        <v>44995</v>
      </c>
      <c r="G4498" t="str">
        <f>"91175"</f>
        <v>91175</v>
      </c>
      <c r="H4498">
        <v>1</v>
      </c>
      <c r="I4498">
        <v>362</v>
      </c>
      <c r="J4498">
        <v>0</v>
      </c>
      <c r="K4498" t="str">
        <f t="shared" si="816"/>
        <v>813</v>
      </c>
      <c r="L4498">
        <v>304.08</v>
      </c>
    </row>
    <row r="4499" spans="1:12" x14ac:dyDescent="0.25">
      <c r="A4499" t="str">
        <f t="shared" si="814"/>
        <v>89301000</v>
      </c>
      <c r="B4499" t="str">
        <f t="shared" si="804"/>
        <v>06539000</v>
      </c>
      <c r="C4499" t="str">
        <f t="shared" si="815"/>
        <v>06539003</v>
      </c>
      <c r="D4499">
        <v>89301171</v>
      </c>
      <c r="E4499" t="str">
        <f t="shared" si="810"/>
        <v>0211185755</v>
      </c>
      <c r="F4499" s="1">
        <v>44996</v>
      </c>
      <c r="G4499" t="str">
        <f>"91167"</f>
        <v>91167</v>
      </c>
      <c r="H4499">
        <v>1</v>
      </c>
      <c r="I4499">
        <v>426</v>
      </c>
      <c r="J4499">
        <v>0</v>
      </c>
      <c r="K4499" t="str">
        <f t="shared" si="816"/>
        <v>813</v>
      </c>
      <c r="L4499">
        <v>357.84</v>
      </c>
    </row>
    <row r="4500" spans="1:12" x14ac:dyDescent="0.25">
      <c r="A4500" t="str">
        <f t="shared" si="814"/>
        <v>89301000</v>
      </c>
      <c r="B4500" t="str">
        <f t="shared" si="804"/>
        <v>06539000</v>
      </c>
      <c r="C4500" t="str">
        <f t="shared" si="815"/>
        <v>06539003</v>
      </c>
      <c r="D4500">
        <v>89301171</v>
      </c>
      <c r="E4500" t="str">
        <f t="shared" si="810"/>
        <v>0211185755</v>
      </c>
      <c r="F4500" s="1">
        <v>44996</v>
      </c>
      <c r="G4500" t="str">
        <f>"91169"</f>
        <v>91169</v>
      </c>
      <c r="H4500">
        <v>1</v>
      </c>
      <c r="I4500">
        <v>426</v>
      </c>
      <c r="J4500">
        <v>0</v>
      </c>
      <c r="K4500" t="str">
        <f t="shared" si="816"/>
        <v>813</v>
      </c>
      <c r="L4500">
        <v>357.84</v>
      </c>
    </row>
    <row r="4501" spans="1:12" x14ac:dyDescent="0.25">
      <c r="A4501" t="str">
        <f t="shared" si="814"/>
        <v>89301000</v>
      </c>
      <c r="B4501" t="str">
        <f t="shared" si="804"/>
        <v>06539000</v>
      </c>
      <c r="C4501" t="str">
        <f t="shared" si="815"/>
        <v>06539003</v>
      </c>
      <c r="D4501">
        <v>89301171</v>
      </c>
      <c r="E4501" t="str">
        <f t="shared" si="810"/>
        <v>0211185755</v>
      </c>
      <c r="F4501" s="1">
        <v>44995</v>
      </c>
      <c r="G4501" t="str">
        <f>"91167"</f>
        <v>91167</v>
      </c>
      <c r="H4501">
        <v>1</v>
      </c>
      <c r="I4501">
        <v>426</v>
      </c>
      <c r="J4501">
        <v>0</v>
      </c>
      <c r="K4501" t="str">
        <f t="shared" si="816"/>
        <v>813</v>
      </c>
      <c r="L4501">
        <v>357.84</v>
      </c>
    </row>
    <row r="4502" spans="1:12" x14ac:dyDescent="0.25">
      <c r="A4502" t="str">
        <f t="shared" si="814"/>
        <v>89301000</v>
      </c>
      <c r="B4502" t="str">
        <f t="shared" si="804"/>
        <v>06539000</v>
      </c>
      <c r="C4502" t="str">
        <f t="shared" si="815"/>
        <v>06539003</v>
      </c>
      <c r="D4502">
        <v>89301171</v>
      </c>
      <c r="E4502" t="str">
        <f t="shared" si="810"/>
        <v>0211185755</v>
      </c>
      <c r="F4502" s="1">
        <v>44995</v>
      </c>
      <c r="G4502" t="str">
        <f>"91169"</f>
        <v>91169</v>
      </c>
      <c r="H4502">
        <v>1</v>
      </c>
      <c r="I4502">
        <v>426</v>
      </c>
      <c r="J4502">
        <v>0</v>
      </c>
      <c r="K4502" t="str">
        <f t="shared" si="816"/>
        <v>813</v>
      </c>
      <c r="L4502">
        <v>357.84</v>
      </c>
    </row>
    <row r="4503" spans="1:12" x14ac:dyDescent="0.25">
      <c r="A4503" t="str">
        <f t="shared" si="814"/>
        <v>89301000</v>
      </c>
      <c r="B4503" t="str">
        <f t="shared" si="804"/>
        <v>06539000</v>
      </c>
      <c r="C4503" t="str">
        <f t="shared" si="815"/>
        <v>06539003</v>
      </c>
      <c r="D4503">
        <v>89301171</v>
      </c>
      <c r="E4503" t="str">
        <f t="shared" ref="E4503:E4525" si="818">"9257285774"</f>
        <v>9257285774</v>
      </c>
      <c r="F4503" s="1">
        <v>45000</v>
      </c>
      <c r="G4503" t="str">
        <f t="shared" ref="G4503:G4512" si="819">"91413"</f>
        <v>91413</v>
      </c>
      <c r="H4503">
        <v>1</v>
      </c>
      <c r="I4503">
        <v>868</v>
      </c>
      <c r="J4503">
        <v>0</v>
      </c>
      <c r="K4503" t="str">
        <f t="shared" si="816"/>
        <v>813</v>
      </c>
      <c r="L4503">
        <v>729.12</v>
      </c>
    </row>
    <row r="4504" spans="1:12" x14ac:dyDescent="0.25">
      <c r="A4504" t="str">
        <f t="shared" si="814"/>
        <v>89301000</v>
      </c>
      <c r="B4504" t="str">
        <f t="shared" si="804"/>
        <v>06539000</v>
      </c>
      <c r="C4504" t="str">
        <f t="shared" si="815"/>
        <v>06539003</v>
      </c>
      <c r="D4504">
        <v>89301171</v>
      </c>
      <c r="E4504" t="str">
        <f t="shared" si="818"/>
        <v>9257285774</v>
      </c>
      <c r="F4504" s="1">
        <v>45000</v>
      </c>
      <c r="G4504" t="str">
        <f t="shared" si="819"/>
        <v>91413</v>
      </c>
      <c r="H4504">
        <v>1</v>
      </c>
      <c r="I4504">
        <v>868</v>
      </c>
      <c r="J4504">
        <v>0</v>
      </c>
      <c r="K4504" t="str">
        <f t="shared" si="816"/>
        <v>813</v>
      </c>
      <c r="L4504">
        <v>729.12</v>
      </c>
    </row>
    <row r="4505" spans="1:12" x14ac:dyDescent="0.25">
      <c r="A4505" t="str">
        <f t="shared" si="814"/>
        <v>89301000</v>
      </c>
      <c r="B4505" t="str">
        <f t="shared" si="804"/>
        <v>06539000</v>
      </c>
      <c r="C4505" t="str">
        <f t="shared" si="815"/>
        <v>06539003</v>
      </c>
      <c r="D4505">
        <v>89301171</v>
      </c>
      <c r="E4505" t="str">
        <f t="shared" si="818"/>
        <v>9257285774</v>
      </c>
      <c r="F4505" s="1">
        <v>45016</v>
      </c>
      <c r="G4505" t="str">
        <f t="shared" si="819"/>
        <v>91413</v>
      </c>
      <c r="H4505">
        <v>1</v>
      </c>
      <c r="I4505">
        <v>868</v>
      </c>
      <c r="J4505">
        <v>0</v>
      </c>
      <c r="K4505" t="str">
        <f t="shared" si="816"/>
        <v>813</v>
      </c>
      <c r="L4505">
        <v>729.12</v>
      </c>
    </row>
    <row r="4506" spans="1:12" x14ac:dyDescent="0.25">
      <c r="A4506" t="str">
        <f t="shared" si="814"/>
        <v>89301000</v>
      </c>
      <c r="B4506" t="str">
        <f t="shared" si="804"/>
        <v>06539000</v>
      </c>
      <c r="C4506" t="str">
        <f t="shared" si="815"/>
        <v>06539003</v>
      </c>
      <c r="D4506">
        <v>89301171</v>
      </c>
      <c r="E4506" t="str">
        <f t="shared" si="818"/>
        <v>9257285774</v>
      </c>
      <c r="F4506" s="1">
        <v>45016</v>
      </c>
      <c r="G4506" t="str">
        <f t="shared" si="819"/>
        <v>91413</v>
      </c>
      <c r="H4506">
        <v>1</v>
      </c>
      <c r="I4506">
        <v>868</v>
      </c>
      <c r="J4506">
        <v>0</v>
      </c>
      <c r="K4506" t="str">
        <f t="shared" si="816"/>
        <v>813</v>
      </c>
      <c r="L4506">
        <v>729.12</v>
      </c>
    </row>
    <row r="4507" spans="1:12" x14ac:dyDescent="0.25">
      <c r="A4507" t="str">
        <f t="shared" si="814"/>
        <v>89301000</v>
      </c>
      <c r="B4507" t="str">
        <f t="shared" si="804"/>
        <v>06539000</v>
      </c>
      <c r="C4507" t="str">
        <f t="shared" si="815"/>
        <v>06539003</v>
      </c>
      <c r="D4507">
        <v>89301171</v>
      </c>
      <c r="E4507" t="str">
        <f t="shared" si="818"/>
        <v>9257285774</v>
      </c>
      <c r="F4507" s="1">
        <v>45014</v>
      </c>
      <c r="G4507" t="str">
        <f t="shared" si="819"/>
        <v>91413</v>
      </c>
      <c r="H4507">
        <v>1</v>
      </c>
      <c r="I4507">
        <v>868</v>
      </c>
      <c r="J4507">
        <v>0</v>
      </c>
      <c r="K4507" t="str">
        <f t="shared" si="816"/>
        <v>813</v>
      </c>
      <c r="L4507">
        <v>729.12</v>
      </c>
    </row>
    <row r="4508" spans="1:12" x14ac:dyDescent="0.25">
      <c r="A4508" t="str">
        <f t="shared" si="814"/>
        <v>89301000</v>
      </c>
      <c r="B4508" t="str">
        <f t="shared" si="804"/>
        <v>06539000</v>
      </c>
      <c r="C4508" t="str">
        <f t="shared" si="815"/>
        <v>06539003</v>
      </c>
      <c r="D4508">
        <v>89301171</v>
      </c>
      <c r="E4508" t="str">
        <f t="shared" si="818"/>
        <v>9257285774</v>
      </c>
      <c r="F4508" s="1">
        <v>45014</v>
      </c>
      <c r="G4508" t="str">
        <f t="shared" si="819"/>
        <v>91413</v>
      </c>
      <c r="H4508">
        <v>1</v>
      </c>
      <c r="I4508">
        <v>868</v>
      </c>
      <c r="J4508">
        <v>0</v>
      </c>
      <c r="K4508" t="str">
        <f t="shared" si="816"/>
        <v>813</v>
      </c>
      <c r="L4508">
        <v>729.12</v>
      </c>
    </row>
    <row r="4509" spans="1:12" x14ac:dyDescent="0.25">
      <c r="A4509" t="str">
        <f t="shared" si="814"/>
        <v>89301000</v>
      </c>
      <c r="B4509" t="str">
        <f t="shared" si="804"/>
        <v>06539000</v>
      </c>
      <c r="C4509" t="str">
        <f t="shared" si="815"/>
        <v>06539003</v>
      </c>
      <c r="D4509">
        <v>89301171</v>
      </c>
      <c r="E4509" t="str">
        <f t="shared" si="818"/>
        <v>9257285774</v>
      </c>
      <c r="F4509" s="1">
        <v>45016</v>
      </c>
      <c r="G4509" t="str">
        <f t="shared" si="819"/>
        <v>91413</v>
      </c>
      <c r="H4509">
        <v>1</v>
      </c>
      <c r="I4509">
        <v>868</v>
      </c>
      <c r="J4509">
        <v>0</v>
      </c>
      <c r="K4509" t="str">
        <f t="shared" si="816"/>
        <v>813</v>
      </c>
      <c r="L4509">
        <v>729.12</v>
      </c>
    </row>
    <row r="4510" spans="1:12" x14ac:dyDescent="0.25">
      <c r="A4510" t="str">
        <f t="shared" si="814"/>
        <v>89301000</v>
      </c>
      <c r="B4510" t="str">
        <f t="shared" ref="B4510:B4573" si="820">"06539000"</f>
        <v>06539000</v>
      </c>
      <c r="C4510" t="str">
        <f t="shared" si="815"/>
        <v>06539003</v>
      </c>
      <c r="D4510">
        <v>89301171</v>
      </c>
      <c r="E4510" t="str">
        <f t="shared" si="818"/>
        <v>9257285774</v>
      </c>
      <c r="F4510" s="1">
        <v>45016</v>
      </c>
      <c r="G4510" t="str">
        <f t="shared" si="819"/>
        <v>91413</v>
      </c>
      <c r="H4510">
        <v>1</v>
      </c>
      <c r="I4510">
        <v>868</v>
      </c>
      <c r="J4510">
        <v>0</v>
      </c>
      <c r="K4510" t="str">
        <f t="shared" si="816"/>
        <v>813</v>
      </c>
      <c r="L4510">
        <v>729.12</v>
      </c>
    </row>
    <row r="4511" spans="1:12" x14ac:dyDescent="0.25">
      <c r="A4511" t="str">
        <f t="shared" si="814"/>
        <v>89301000</v>
      </c>
      <c r="B4511" t="str">
        <f t="shared" si="820"/>
        <v>06539000</v>
      </c>
      <c r="C4511" t="str">
        <f t="shared" si="815"/>
        <v>06539003</v>
      </c>
      <c r="D4511">
        <v>89301171</v>
      </c>
      <c r="E4511" t="str">
        <f t="shared" si="818"/>
        <v>9257285774</v>
      </c>
      <c r="F4511" s="1">
        <v>45016</v>
      </c>
      <c r="G4511" t="str">
        <f t="shared" si="819"/>
        <v>91413</v>
      </c>
      <c r="H4511">
        <v>1</v>
      </c>
      <c r="I4511">
        <v>868</v>
      </c>
      <c r="J4511">
        <v>0</v>
      </c>
      <c r="K4511" t="str">
        <f t="shared" si="816"/>
        <v>813</v>
      </c>
      <c r="L4511">
        <v>729.12</v>
      </c>
    </row>
    <row r="4512" spans="1:12" x14ac:dyDescent="0.25">
      <c r="A4512" t="str">
        <f t="shared" si="814"/>
        <v>89301000</v>
      </c>
      <c r="B4512" t="str">
        <f t="shared" si="820"/>
        <v>06539000</v>
      </c>
      <c r="C4512" t="str">
        <f t="shared" si="815"/>
        <v>06539003</v>
      </c>
      <c r="D4512">
        <v>89301171</v>
      </c>
      <c r="E4512" t="str">
        <f t="shared" si="818"/>
        <v>9257285774</v>
      </c>
      <c r="F4512" s="1">
        <v>45016</v>
      </c>
      <c r="G4512" t="str">
        <f t="shared" si="819"/>
        <v>91413</v>
      </c>
      <c r="H4512">
        <v>1</v>
      </c>
      <c r="I4512">
        <v>868</v>
      </c>
      <c r="J4512">
        <v>0</v>
      </c>
      <c r="K4512" t="str">
        <f t="shared" si="816"/>
        <v>813</v>
      </c>
      <c r="L4512">
        <v>729.12</v>
      </c>
    </row>
    <row r="4513" spans="1:12" x14ac:dyDescent="0.25">
      <c r="A4513" t="str">
        <f t="shared" si="814"/>
        <v>89301000</v>
      </c>
      <c r="B4513" t="str">
        <f t="shared" si="820"/>
        <v>06539000</v>
      </c>
      <c r="C4513" t="str">
        <f t="shared" si="815"/>
        <v>06539003</v>
      </c>
      <c r="D4513">
        <v>89301171</v>
      </c>
      <c r="E4513" t="str">
        <f t="shared" si="818"/>
        <v>9257285774</v>
      </c>
      <c r="F4513" s="1">
        <v>44998</v>
      </c>
      <c r="G4513" t="str">
        <f t="shared" ref="G4513:G4518" si="821">"91197"</f>
        <v>91197</v>
      </c>
      <c r="H4513">
        <v>1</v>
      </c>
      <c r="I4513">
        <v>1048</v>
      </c>
      <c r="J4513">
        <v>0</v>
      </c>
      <c r="K4513" t="str">
        <f t="shared" si="816"/>
        <v>813</v>
      </c>
      <c r="L4513">
        <v>880.32</v>
      </c>
    </row>
    <row r="4514" spans="1:12" x14ac:dyDescent="0.25">
      <c r="A4514" t="str">
        <f t="shared" si="814"/>
        <v>89301000</v>
      </c>
      <c r="B4514" t="str">
        <f t="shared" si="820"/>
        <v>06539000</v>
      </c>
      <c r="C4514" t="str">
        <f t="shared" si="815"/>
        <v>06539003</v>
      </c>
      <c r="D4514">
        <v>89301171</v>
      </c>
      <c r="E4514" t="str">
        <f t="shared" si="818"/>
        <v>9257285774</v>
      </c>
      <c r="F4514" s="1">
        <v>44998</v>
      </c>
      <c r="G4514" t="str">
        <f t="shared" si="821"/>
        <v>91197</v>
      </c>
      <c r="H4514">
        <v>1</v>
      </c>
      <c r="I4514">
        <v>1048</v>
      </c>
      <c r="J4514">
        <v>0</v>
      </c>
      <c r="K4514" t="str">
        <f t="shared" si="816"/>
        <v>813</v>
      </c>
      <c r="L4514">
        <v>880.32</v>
      </c>
    </row>
    <row r="4515" spans="1:12" x14ac:dyDescent="0.25">
      <c r="A4515" t="str">
        <f t="shared" si="814"/>
        <v>89301000</v>
      </c>
      <c r="B4515" t="str">
        <f t="shared" si="820"/>
        <v>06539000</v>
      </c>
      <c r="C4515" t="str">
        <f t="shared" si="815"/>
        <v>06539003</v>
      </c>
      <c r="D4515">
        <v>89301171</v>
      </c>
      <c r="E4515" t="str">
        <f t="shared" si="818"/>
        <v>9257285774</v>
      </c>
      <c r="F4515" s="1">
        <v>44997</v>
      </c>
      <c r="G4515" t="str">
        <f t="shared" si="821"/>
        <v>91197</v>
      </c>
      <c r="H4515">
        <v>1</v>
      </c>
      <c r="I4515">
        <v>1048</v>
      </c>
      <c r="J4515">
        <v>0</v>
      </c>
      <c r="K4515" t="str">
        <f t="shared" si="816"/>
        <v>813</v>
      </c>
      <c r="L4515">
        <v>880.32</v>
      </c>
    </row>
    <row r="4516" spans="1:12" x14ac:dyDescent="0.25">
      <c r="A4516" t="str">
        <f t="shared" si="814"/>
        <v>89301000</v>
      </c>
      <c r="B4516" t="str">
        <f t="shared" si="820"/>
        <v>06539000</v>
      </c>
      <c r="C4516" t="str">
        <f t="shared" ref="C4516:C4547" si="822">"06539003"</f>
        <v>06539003</v>
      </c>
      <c r="D4516">
        <v>89301171</v>
      </c>
      <c r="E4516" t="str">
        <f t="shared" si="818"/>
        <v>9257285774</v>
      </c>
      <c r="F4516" s="1">
        <v>44997</v>
      </c>
      <c r="G4516" t="str">
        <f t="shared" si="821"/>
        <v>91197</v>
      </c>
      <c r="H4516">
        <v>1</v>
      </c>
      <c r="I4516">
        <v>1048</v>
      </c>
      <c r="J4516">
        <v>0</v>
      </c>
      <c r="K4516" t="str">
        <f t="shared" ref="K4516:K4547" si="823">"813"</f>
        <v>813</v>
      </c>
      <c r="L4516">
        <v>880.32</v>
      </c>
    </row>
    <row r="4517" spans="1:12" x14ac:dyDescent="0.25">
      <c r="A4517" t="str">
        <f t="shared" si="814"/>
        <v>89301000</v>
      </c>
      <c r="B4517" t="str">
        <f t="shared" si="820"/>
        <v>06539000</v>
      </c>
      <c r="C4517" t="str">
        <f t="shared" si="822"/>
        <v>06539003</v>
      </c>
      <c r="D4517">
        <v>89301171</v>
      </c>
      <c r="E4517" t="str">
        <f t="shared" si="818"/>
        <v>9257285774</v>
      </c>
      <c r="F4517" s="1">
        <v>44996</v>
      </c>
      <c r="G4517" t="str">
        <f t="shared" si="821"/>
        <v>91197</v>
      </c>
      <c r="H4517">
        <v>1</v>
      </c>
      <c r="I4517">
        <v>1048</v>
      </c>
      <c r="J4517">
        <v>0</v>
      </c>
      <c r="K4517" t="str">
        <f t="shared" si="823"/>
        <v>813</v>
      </c>
      <c r="L4517">
        <v>880.32</v>
      </c>
    </row>
    <row r="4518" spans="1:12" x14ac:dyDescent="0.25">
      <c r="A4518" t="str">
        <f t="shared" si="814"/>
        <v>89301000</v>
      </c>
      <c r="B4518" t="str">
        <f t="shared" si="820"/>
        <v>06539000</v>
      </c>
      <c r="C4518" t="str">
        <f t="shared" si="822"/>
        <v>06539003</v>
      </c>
      <c r="D4518">
        <v>89301171</v>
      </c>
      <c r="E4518" t="str">
        <f t="shared" si="818"/>
        <v>9257285774</v>
      </c>
      <c r="F4518" s="1">
        <v>44996</v>
      </c>
      <c r="G4518" t="str">
        <f t="shared" si="821"/>
        <v>91197</v>
      </c>
      <c r="H4518">
        <v>1</v>
      </c>
      <c r="I4518">
        <v>1048</v>
      </c>
      <c r="J4518">
        <v>0</v>
      </c>
      <c r="K4518" t="str">
        <f t="shared" si="823"/>
        <v>813</v>
      </c>
      <c r="L4518">
        <v>880.32</v>
      </c>
    </row>
    <row r="4519" spans="1:12" x14ac:dyDescent="0.25">
      <c r="A4519" t="str">
        <f t="shared" si="814"/>
        <v>89301000</v>
      </c>
      <c r="B4519" t="str">
        <f t="shared" si="820"/>
        <v>06539000</v>
      </c>
      <c r="C4519" t="str">
        <f t="shared" si="822"/>
        <v>06539003</v>
      </c>
      <c r="D4519">
        <v>89301171</v>
      </c>
      <c r="E4519" t="str">
        <f t="shared" si="818"/>
        <v>9257285774</v>
      </c>
      <c r="F4519" s="1">
        <v>45016</v>
      </c>
      <c r="G4519" t="str">
        <f>"91329"</f>
        <v>91329</v>
      </c>
      <c r="H4519">
        <v>2</v>
      </c>
      <c r="I4519">
        <v>436</v>
      </c>
      <c r="J4519">
        <v>0</v>
      </c>
      <c r="K4519" t="str">
        <f t="shared" si="823"/>
        <v>813</v>
      </c>
      <c r="L4519">
        <v>366.24</v>
      </c>
    </row>
    <row r="4520" spans="1:12" x14ac:dyDescent="0.25">
      <c r="A4520" t="str">
        <f t="shared" si="814"/>
        <v>89301000</v>
      </c>
      <c r="B4520" t="str">
        <f t="shared" si="820"/>
        <v>06539000</v>
      </c>
      <c r="C4520" t="str">
        <f t="shared" si="822"/>
        <v>06539003</v>
      </c>
      <c r="D4520">
        <v>89301171</v>
      </c>
      <c r="E4520" t="str">
        <f t="shared" si="818"/>
        <v>9257285774</v>
      </c>
      <c r="F4520" s="1">
        <v>45016</v>
      </c>
      <c r="G4520" t="str">
        <f>"91329"</f>
        <v>91329</v>
      </c>
      <c r="H4520">
        <v>2</v>
      </c>
      <c r="I4520">
        <v>436</v>
      </c>
      <c r="J4520">
        <v>0</v>
      </c>
      <c r="K4520" t="str">
        <f t="shared" si="823"/>
        <v>813</v>
      </c>
      <c r="L4520">
        <v>366.24</v>
      </c>
    </row>
    <row r="4521" spans="1:12" x14ac:dyDescent="0.25">
      <c r="A4521" t="str">
        <f t="shared" si="814"/>
        <v>89301000</v>
      </c>
      <c r="B4521" t="str">
        <f t="shared" si="820"/>
        <v>06539000</v>
      </c>
      <c r="C4521" t="str">
        <f t="shared" si="822"/>
        <v>06539003</v>
      </c>
      <c r="D4521">
        <v>89301171</v>
      </c>
      <c r="E4521" t="str">
        <f t="shared" si="818"/>
        <v>9257285774</v>
      </c>
      <c r="F4521" s="1">
        <v>45016</v>
      </c>
      <c r="G4521" t="str">
        <f>"91329"</f>
        <v>91329</v>
      </c>
      <c r="H4521">
        <v>2</v>
      </c>
      <c r="I4521">
        <v>436</v>
      </c>
      <c r="J4521">
        <v>0</v>
      </c>
      <c r="K4521" t="str">
        <f t="shared" si="823"/>
        <v>813</v>
      </c>
      <c r="L4521">
        <v>366.24</v>
      </c>
    </row>
    <row r="4522" spans="1:12" x14ac:dyDescent="0.25">
      <c r="A4522" t="str">
        <f t="shared" si="814"/>
        <v>89301000</v>
      </c>
      <c r="B4522" t="str">
        <f t="shared" si="820"/>
        <v>06539000</v>
      </c>
      <c r="C4522" t="str">
        <f t="shared" si="822"/>
        <v>06539003</v>
      </c>
      <c r="D4522">
        <v>89301171</v>
      </c>
      <c r="E4522" t="str">
        <f t="shared" si="818"/>
        <v>9257285774</v>
      </c>
      <c r="F4522" s="1">
        <v>45016</v>
      </c>
      <c r="G4522" t="str">
        <f>"91329"</f>
        <v>91329</v>
      </c>
      <c r="H4522">
        <v>2</v>
      </c>
      <c r="I4522">
        <v>436</v>
      </c>
      <c r="J4522">
        <v>0</v>
      </c>
      <c r="K4522" t="str">
        <f t="shared" si="823"/>
        <v>813</v>
      </c>
      <c r="L4522">
        <v>366.24</v>
      </c>
    </row>
    <row r="4523" spans="1:12" x14ac:dyDescent="0.25">
      <c r="A4523" t="str">
        <f t="shared" si="814"/>
        <v>89301000</v>
      </c>
      <c r="B4523" t="str">
        <f t="shared" si="820"/>
        <v>06539000</v>
      </c>
      <c r="C4523" t="str">
        <f t="shared" si="822"/>
        <v>06539003</v>
      </c>
      <c r="D4523">
        <v>89301171</v>
      </c>
      <c r="E4523" t="str">
        <f t="shared" si="818"/>
        <v>9257285774</v>
      </c>
      <c r="F4523" s="1">
        <v>44996</v>
      </c>
      <c r="G4523" t="str">
        <f>"91167"</f>
        <v>91167</v>
      </c>
      <c r="H4523">
        <v>1</v>
      </c>
      <c r="I4523">
        <v>426</v>
      </c>
      <c r="J4523">
        <v>0</v>
      </c>
      <c r="K4523" t="str">
        <f t="shared" si="823"/>
        <v>813</v>
      </c>
      <c r="L4523">
        <v>357.84</v>
      </c>
    </row>
    <row r="4524" spans="1:12" x14ac:dyDescent="0.25">
      <c r="A4524" t="str">
        <f t="shared" si="814"/>
        <v>89301000</v>
      </c>
      <c r="B4524" t="str">
        <f t="shared" si="820"/>
        <v>06539000</v>
      </c>
      <c r="C4524" t="str">
        <f t="shared" si="822"/>
        <v>06539003</v>
      </c>
      <c r="D4524">
        <v>89301171</v>
      </c>
      <c r="E4524" t="str">
        <f t="shared" si="818"/>
        <v>9257285774</v>
      </c>
      <c r="F4524" s="1">
        <v>44996</v>
      </c>
      <c r="G4524" t="str">
        <f>"91169"</f>
        <v>91169</v>
      </c>
      <c r="H4524">
        <v>1</v>
      </c>
      <c r="I4524">
        <v>426</v>
      </c>
      <c r="J4524">
        <v>0</v>
      </c>
      <c r="K4524" t="str">
        <f t="shared" si="823"/>
        <v>813</v>
      </c>
      <c r="L4524">
        <v>357.84</v>
      </c>
    </row>
    <row r="4525" spans="1:12" x14ac:dyDescent="0.25">
      <c r="A4525" t="str">
        <f t="shared" si="814"/>
        <v>89301000</v>
      </c>
      <c r="B4525" t="str">
        <f t="shared" si="820"/>
        <v>06539000</v>
      </c>
      <c r="C4525" t="str">
        <f t="shared" si="822"/>
        <v>06539003</v>
      </c>
      <c r="D4525">
        <v>89301171</v>
      </c>
      <c r="E4525" t="str">
        <f t="shared" si="818"/>
        <v>9257285774</v>
      </c>
      <c r="F4525" s="1">
        <v>45006</v>
      </c>
      <c r="G4525" t="str">
        <f>"91475"</f>
        <v>91475</v>
      </c>
      <c r="H4525">
        <v>1</v>
      </c>
      <c r="I4525">
        <v>213</v>
      </c>
      <c r="J4525">
        <v>0</v>
      </c>
      <c r="K4525" t="str">
        <f t="shared" si="823"/>
        <v>813</v>
      </c>
      <c r="L4525">
        <v>178.92</v>
      </c>
    </row>
    <row r="4526" spans="1:12" x14ac:dyDescent="0.25">
      <c r="A4526" t="str">
        <f t="shared" si="814"/>
        <v>89301000</v>
      </c>
      <c r="B4526" t="str">
        <f t="shared" si="820"/>
        <v>06539000</v>
      </c>
      <c r="C4526" t="str">
        <f t="shared" si="822"/>
        <v>06539003</v>
      </c>
      <c r="D4526">
        <v>89301171</v>
      </c>
      <c r="E4526" t="str">
        <f t="shared" ref="E4526:E4548" si="824">"7962075396"</f>
        <v>7962075396</v>
      </c>
      <c r="F4526" s="1">
        <v>45000</v>
      </c>
      <c r="G4526" t="str">
        <f t="shared" ref="G4526:G4535" si="825">"91413"</f>
        <v>91413</v>
      </c>
      <c r="H4526">
        <v>1</v>
      </c>
      <c r="I4526">
        <v>868</v>
      </c>
      <c r="J4526">
        <v>0</v>
      </c>
      <c r="K4526" t="str">
        <f t="shared" si="823"/>
        <v>813</v>
      </c>
      <c r="L4526">
        <v>729.12</v>
      </c>
    </row>
    <row r="4527" spans="1:12" x14ac:dyDescent="0.25">
      <c r="A4527" t="str">
        <f t="shared" si="814"/>
        <v>89301000</v>
      </c>
      <c r="B4527" t="str">
        <f t="shared" si="820"/>
        <v>06539000</v>
      </c>
      <c r="C4527" t="str">
        <f t="shared" si="822"/>
        <v>06539003</v>
      </c>
      <c r="D4527">
        <v>89301171</v>
      </c>
      <c r="E4527" t="str">
        <f t="shared" si="824"/>
        <v>7962075396</v>
      </c>
      <c r="F4527" s="1">
        <v>45000</v>
      </c>
      <c r="G4527" t="str">
        <f t="shared" si="825"/>
        <v>91413</v>
      </c>
      <c r="H4527">
        <v>1</v>
      </c>
      <c r="I4527">
        <v>868</v>
      </c>
      <c r="J4527">
        <v>0</v>
      </c>
      <c r="K4527" t="str">
        <f t="shared" si="823"/>
        <v>813</v>
      </c>
      <c r="L4527">
        <v>729.12</v>
      </c>
    </row>
    <row r="4528" spans="1:12" x14ac:dyDescent="0.25">
      <c r="A4528" t="str">
        <f t="shared" si="814"/>
        <v>89301000</v>
      </c>
      <c r="B4528" t="str">
        <f t="shared" si="820"/>
        <v>06539000</v>
      </c>
      <c r="C4528" t="str">
        <f t="shared" si="822"/>
        <v>06539003</v>
      </c>
      <c r="D4528">
        <v>89301171</v>
      </c>
      <c r="E4528" t="str">
        <f t="shared" si="824"/>
        <v>7962075396</v>
      </c>
      <c r="F4528" s="1">
        <v>45016</v>
      </c>
      <c r="G4528" t="str">
        <f t="shared" si="825"/>
        <v>91413</v>
      </c>
      <c r="H4528">
        <v>1</v>
      </c>
      <c r="I4528">
        <v>868</v>
      </c>
      <c r="J4528">
        <v>0</v>
      </c>
      <c r="K4528" t="str">
        <f t="shared" si="823"/>
        <v>813</v>
      </c>
      <c r="L4528">
        <v>729.12</v>
      </c>
    </row>
    <row r="4529" spans="1:12" x14ac:dyDescent="0.25">
      <c r="A4529" t="str">
        <f t="shared" si="814"/>
        <v>89301000</v>
      </c>
      <c r="B4529" t="str">
        <f t="shared" si="820"/>
        <v>06539000</v>
      </c>
      <c r="C4529" t="str">
        <f t="shared" si="822"/>
        <v>06539003</v>
      </c>
      <c r="D4529">
        <v>89301171</v>
      </c>
      <c r="E4529" t="str">
        <f t="shared" si="824"/>
        <v>7962075396</v>
      </c>
      <c r="F4529" s="1">
        <v>45016</v>
      </c>
      <c r="G4529" t="str">
        <f t="shared" si="825"/>
        <v>91413</v>
      </c>
      <c r="H4529">
        <v>1</v>
      </c>
      <c r="I4529">
        <v>868</v>
      </c>
      <c r="J4529">
        <v>0</v>
      </c>
      <c r="K4529" t="str">
        <f t="shared" si="823"/>
        <v>813</v>
      </c>
      <c r="L4529">
        <v>729.12</v>
      </c>
    </row>
    <row r="4530" spans="1:12" x14ac:dyDescent="0.25">
      <c r="A4530" t="str">
        <f t="shared" si="814"/>
        <v>89301000</v>
      </c>
      <c r="B4530" t="str">
        <f t="shared" si="820"/>
        <v>06539000</v>
      </c>
      <c r="C4530" t="str">
        <f t="shared" si="822"/>
        <v>06539003</v>
      </c>
      <c r="D4530">
        <v>89301171</v>
      </c>
      <c r="E4530" t="str">
        <f t="shared" si="824"/>
        <v>7962075396</v>
      </c>
      <c r="F4530" s="1">
        <v>45015</v>
      </c>
      <c r="G4530" t="str">
        <f t="shared" si="825"/>
        <v>91413</v>
      </c>
      <c r="H4530">
        <v>1</v>
      </c>
      <c r="I4530">
        <v>868</v>
      </c>
      <c r="J4530">
        <v>0</v>
      </c>
      <c r="K4530" t="str">
        <f t="shared" si="823"/>
        <v>813</v>
      </c>
      <c r="L4530">
        <v>729.12</v>
      </c>
    </row>
    <row r="4531" spans="1:12" x14ac:dyDescent="0.25">
      <c r="A4531" t="str">
        <f t="shared" si="814"/>
        <v>89301000</v>
      </c>
      <c r="B4531" t="str">
        <f t="shared" si="820"/>
        <v>06539000</v>
      </c>
      <c r="C4531" t="str">
        <f t="shared" si="822"/>
        <v>06539003</v>
      </c>
      <c r="D4531">
        <v>89301171</v>
      </c>
      <c r="E4531" t="str">
        <f t="shared" si="824"/>
        <v>7962075396</v>
      </c>
      <c r="F4531" s="1">
        <v>45015</v>
      </c>
      <c r="G4531" t="str">
        <f t="shared" si="825"/>
        <v>91413</v>
      </c>
      <c r="H4531">
        <v>1</v>
      </c>
      <c r="I4531">
        <v>868</v>
      </c>
      <c r="J4531">
        <v>0</v>
      </c>
      <c r="K4531" t="str">
        <f t="shared" si="823"/>
        <v>813</v>
      </c>
      <c r="L4531">
        <v>729.12</v>
      </c>
    </row>
    <row r="4532" spans="1:12" x14ac:dyDescent="0.25">
      <c r="A4532" t="str">
        <f t="shared" si="814"/>
        <v>89301000</v>
      </c>
      <c r="B4532" t="str">
        <f t="shared" si="820"/>
        <v>06539000</v>
      </c>
      <c r="C4532" t="str">
        <f t="shared" si="822"/>
        <v>06539003</v>
      </c>
      <c r="D4532">
        <v>89301171</v>
      </c>
      <c r="E4532" t="str">
        <f t="shared" si="824"/>
        <v>7962075396</v>
      </c>
      <c r="F4532" s="1">
        <v>45016</v>
      </c>
      <c r="G4532" t="str">
        <f t="shared" si="825"/>
        <v>91413</v>
      </c>
      <c r="H4532">
        <v>1</v>
      </c>
      <c r="I4532">
        <v>868</v>
      </c>
      <c r="J4532">
        <v>0</v>
      </c>
      <c r="K4532" t="str">
        <f t="shared" si="823"/>
        <v>813</v>
      </c>
      <c r="L4532">
        <v>729.12</v>
      </c>
    </row>
    <row r="4533" spans="1:12" x14ac:dyDescent="0.25">
      <c r="A4533" t="str">
        <f t="shared" si="814"/>
        <v>89301000</v>
      </c>
      <c r="B4533" t="str">
        <f t="shared" si="820"/>
        <v>06539000</v>
      </c>
      <c r="C4533" t="str">
        <f t="shared" si="822"/>
        <v>06539003</v>
      </c>
      <c r="D4533">
        <v>89301171</v>
      </c>
      <c r="E4533" t="str">
        <f t="shared" si="824"/>
        <v>7962075396</v>
      </c>
      <c r="F4533" s="1">
        <v>45016</v>
      </c>
      <c r="G4533" t="str">
        <f t="shared" si="825"/>
        <v>91413</v>
      </c>
      <c r="H4533">
        <v>1</v>
      </c>
      <c r="I4533">
        <v>868</v>
      </c>
      <c r="J4533">
        <v>0</v>
      </c>
      <c r="K4533" t="str">
        <f t="shared" si="823"/>
        <v>813</v>
      </c>
      <c r="L4533">
        <v>729.12</v>
      </c>
    </row>
    <row r="4534" spans="1:12" x14ac:dyDescent="0.25">
      <c r="A4534" t="str">
        <f t="shared" si="814"/>
        <v>89301000</v>
      </c>
      <c r="B4534" t="str">
        <f t="shared" si="820"/>
        <v>06539000</v>
      </c>
      <c r="C4534" t="str">
        <f t="shared" si="822"/>
        <v>06539003</v>
      </c>
      <c r="D4534">
        <v>89301171</v>
      </c>
      <c r="E4534" t="str">
        <f t="shared" si="824"/>
        <v>7962075396</v>
      </c>
      <c r="F4534" s="1">
        <v>45016</v>
      </c>
      <c r="G4534" t="str">
        <f t="shared" si="825"/>
        <v>91413</v>
      </c>
      <c r="H4534">
        <v>1</v>
      </c>
      <c r="I4534">
        <v>868</v>
      </c>
      <c r="J4534">
        <v>0</v>
      </c>
      <c r="K4534" t="str">
        <f t="shared" si="823"/>
        <v>813</v>
      </c>
      <c r="L4534">
        <v>729.12</v>
      </c>
    </row>
    <row r="4535" spans="1:12" x14ac:dyDescent="0.25">
      <c r="A4535" t="str">
        <f t="shared" si="814"/>
        <v>89301000</v>
      </c>
      <c r="B4535" t="str">
        <f t="shared" si="820"/>
        <v>06539000</v>
      </c>
      <c r="C4535" t="str">
        <f t="shared" si="822"/>
        <v>06539003</v>
      </c>
      <c r="D4535">
        <v>89301171</v>
      </c>
      <c r="E4535" t="str">
        <f t="shared" si="824"/>
        <v>7962075396</v>
      </c>
      <c r="F4535" s="1">
        <v>45016</v>
      </c>
      <c r="G4535" t="str">
        <f t="shared" si="825"/>
        <v>91413</v>
      </c>
      <c r="H4535">
        <v>1</v>
      </c>
      <c r="I4535">
        <v>868</v>
      </c>
      <c r="J4535">
        <v>0</v>
      </c>
      <c r="K4535" t="str">
        <f t="shared" si="823"/>
        <v>813</v>
      </c>
      <c r="L4535">
        <v>729.12</v>
      </c>
    </row>
    <row r="4536" spans="1:12" x14ac:dyDescent="0.25">
      <c r="A4536" t="str">
        <f t="shared" si="814"/>
        <v>89301000</v>
      </c>
      <c r="B4536" t="str">
        <f t="shared" si="820"/>
        <v>06539000</v>
      </c>
      <c r="C4536" t="str">
        <f t="shared" si="822"/>
        <v>06539003</v>
      </c>
      <c r="D4536">
        <v>89301171</v>
      </c>
      <c r="E4536" t="str">
        <f t="shared" si="824"/>
        <v>7962075396</v>
      </c>
      <c r="F4536" s="1">
        <v>44998</v>
      </c>
      <c r="G4536" t="str">
        <f t="shared" ref="G4536:G4541" si="826">"91197"</f>
        <v>91197</v>
      </c>
      <c r="H4536">
        <v>1</v>
      </c>
      <c r="I4536">
        <v>1048</v>
      </c>
      <c r="J4536">
        <v>0</v>
      </c>
      <c r="K4536" t="str">
        <f t="shared" si="823"/>
        <v>813</v>
      </c>
      <c r="L4536">
        <v>880.32</v>
      </c>
    </row>
    <row r="4537" spans="1:12" x14ac:dyDescent="0.25">
      <c r="A4537" t="str">
        <f t="shared" si="814"/>
        <v>89301000</v>
      </c>
      <c r="B4537" t="str">
        <f t="shared" si="820"/>
        <v>06539000</v>
      </c>
      <c r="C4537" t="str">
        <f t="shared" si="822"/>
        <v>06539003</v>
      </c>
      <c r="D4537">
        <v>89301171</v>
      </c>
      <c r="E4537" t="str">
        <f t="shared" si="824"/>
        <v>7962075396</v>
      </c>
      <c r="F4537" s="1">
        <v>44998</v>
      </c>
      <c r="G4537" t="str">
        <f t="shared" si="826"/>
        <v>91197</v>
      </c>
      <c r="H4537">
        <v>1</v>
      </c>
      <c r="I4537">
        <v>1048</v>
      </c>
      <c r="J4537">
        <v>0</v>
      </c>
      <c r="K4537" t="str">
        <f t="shared" si="823"/>
        <v>813</v>
      </c>
      <c r="L4537">
        <v>880.32</v>
      </c>
    </row>
    <row r="4538" spans="1:12" x14ac:dyDescent="0.25">
      <c r="A4538" t="str">
        <f t="shared" si="814"/>
        <v>89301000</v>
      </c>
      <c r="B4538" t="str">
        <f t="shared" si="820"/>
        <v>06539000</v>
      </c>
      <c r="C4538" t="str">
        <f t="shared" si="822"/>
        <v>06539003</v>
      </c>
      <c r="D4538">
        <v>89301171</v>
      </c>
      <c r="E4538" t="str">
        <f t="shared" si="824"/>
        <v>7962075396</v>
      </c>
      <c r="F4538" s="1">
        <v>44997</v>
      </c>
      <c r="G4538" t="str">
        <f t="shared" si="826"/>
        <v>91197</v>
      </c>
      <c r="H4538">
        <v>1</v>
      </c>
      <c r="I4538">
        <v>1048</v>
      </c>
      <c r="J4538">
        <v>0</v>
      </c>
      <c r="K4538" t="str">
        <f t="shared" si="823"/>
        <v>813</v>
      </c>
      <c r="L4538">
        <v>880.32</v>
      </c>
    </row>
    <row r="4539" spans="1:12" x14ac:dyDescent="0.25">
      <c r="A4539" t="str">
        <f t="shared" si="814"/>
        <v>89301000</v>
      </c>
      <c r="B4539" t="str">
        <f t="shared" si="820"/>
        <v>06539000</v>
      </c>
      <c r="C4539" t="str">
        <f t="shared" si="822"/>
        <v>06539003</v>
      </c>
      <c r="D4539">
        <v>89301171</v>
      </c>
      <c r="E4539" t="str">
        <f t="shared" si="824"/>
        <v>7962075396</v>
      </c>
      <c r="F4539" s="1">
        <v>44997</v>
      </c>
      <c r="G4539" t="str">
        <f t="shared" si="826"/>
        <v>91197</v>
      </c>
      <c r="H4539">
        <v>1</v>
      </c>
      <c r="I4539">
        <v>1048</v>
      </c>
      <c r="J4539">
        <v>0</v>
      </c>
      <c r="K4539" t="str">
        <f t="shared" si="823"/>
        <v>813</v>
      </c>
      <c r="L4539">
        <v>880.32</v>
      </c>
    </row>
    <row r="4540" spans="1:12" x14ac:dyDescent="0.25">
      <c r="A4540" t="str">
        <f t="shared" si="814"/>
        <v>89301000</v>
      </c>
      <c r="B4540" t="str">
        <f t="shared" si="820"/>
        <v>06539000</v>
      </c>
      <c r="C4540" t="str">
        <f t="shared" si="822"/>
        <v>06539003</v>
      </c>
      <c r="D4540">
        <v>89301171</v>
      </c>
      <c r="E4540" t="str">
        <f t="shared" si="824"/>
        <v>7962075396</v>
      </c>
      <c r="F4540" s="1">
        <v>44996</v>
      </c>
      <c r="G4540" t="str">
        <f t="shared" si="826"/>
        <v>91197</v>
      </c>
      <c r="H4540">
        <v>1</v>
      </c>
      <c r="I4540">
        <v>1048</v>
      </c>
      <c r="J4540">
        <v>0</v>
      </c>
      <c r="K4540" t="str">
        <f t="shared" si="823"/>
        <v>813</v>
      </c>
      <c r="L4540">
        <v>880.32</v>
      </c>
    </row>
    <row r="4541" spans="1:12" x14ac:dyDescent="0.25">
      <c r="A4541" t="str">
        <f t="shared" si="814"/>
        <v>89301000</v>
      </c>
      <c r="B4541" t="str">
        <f t="shared" si="820"/>
        <v>06539000</v>
      </c>
      <c r="C4541" t="str">
        <f t="shared" si="822"/>
        <v>06539003</v>
      </c>
      <c r="D4541">
        <v>89301171</v>
      </c>
      <c r="E4541" t="str">
        <f t="shared" si="824"/>
        <v>7962075396</v>
      </c>
      <c r="F4541" s="1">
        <v>44996</v>
      </c>
      <c r="G4541" t="str">
        <f t="shared" si="826"/>
        <v>91197</v>
      </c>
      <c r="H4541">
        <v>1</v>
      </c>
      <c r="I4541">
        <v>1048</v>
      </c>
      <c r="J4541">
        <v>0</v>
      </c>
      <c r="K4541" t="str">
        <f t="shared" si="823"/>
        <v>813</v>
      </c>
      <c r="L4541">
        <v>880.32</v>
      </c>
    </row>
    <row r="4542" spans="1:12" x14ac:dyDescent="0.25">
      <c r="A4542" t="str">
        <f t="shared" si="814"/>
        <v>89301000</v>
      </c>
      <c r="B4542" t="str">
        <f t="shared" si="820"/>
        <v>06539000</v>
      </c>
      <c r="C4542" t="str">
        <f t="shared" si="822"/>
        <v>06539003</v>
      </c>
      <c r="D4542">
        <v>89301171</v>
      </c>
      <c r="E4542" t="str">
        <f t="shared" si="824"/>
        <v>7962075396</v>
      </c>
      <c r="F4542" s="1">
        <v>45016</v>
      </c>
      <c r="G4542" t="str">
        <f>"91329"</f>
        <v>91329</v>
      </c>
      <c r="H4542">
        <v>2</v>
      </c>
      <c r="I4542">
        <v>436</v>
      </c>
      <c r="J4542">
        <v>0</v>
      </c>
      <c r="K4542" t="str">
        <f t="shared" si="823"/>
        <v>813</v>
      </c>
      <c r="L4542">
        <v>366.24</v>
      </c>
    </row>
    <row r="4543" spans="1:12" x14ac:dyDescent="0.25">
      <c r="A4543" t="str">
        <f t="shared" si="814"/>
        <v>89301000</v>
      </c>
      <c r="B4543" t="str">
        <f t="shared" si="820"/>
        <v>06539000</v>
      </c>
      <c r="C4543" t="str">
        <f t="shared" si="822"/>
        <v>06539003</v>
      </c>
      <c r="D4543">
        <v>89301171</v>
      </c>
      <c r="E4543" t="str">
        <f t="shared" si="824"/>
        <v>7962075396</v>
      </c>
      <c r="F4543" s="1">
        <v>45016</v>
      </c>
      <c r="G4543" t="str">
        <f>"91329"</f>
        <v>91329</v>
      </c>
      <c r="H4543">
        <v>2</v>
      </c>
      <c r="I4543">
        <v>436</v>
      </c>
      <c r="J4543">
        <v>0</v>
      </c>
      <c r="K4543" t="str">
        <f t="shared" si="823"/>
        <v>813</v>
      </c>
      <c r="L4543">
        <v>366.24</v>
      </c>
    </row>
    <row r="4544" spans="1:12" x14ac:dyDescent="0.25">
      <c r="A4544" t="str">
        <f t="shared" si="814"/>
        <v>89301000</v>
      </c>
      <c r="B4544" t="str">
        <f t="shared" si="820"/>
        <v>06539000</v>
      </c>
      <c r="C4544" t="str">
        <f t="shared" si="822"/>
        <v>06539003</v>
      </c>
      <c r="D4544">
        <v>89301171</v>
      </c>
      <c r="E4544" t="str">
        <f t="shared" si="824"/>
        <v>7962075396</v>
      </c>
      <c r="F4544" s="1">
        <v>45016</v>
      </c>
      <c r="G4544" t="str">
        <f>"91329"</f>
        <v>91329</v>
      </c>
      <c r="H4544">
        <v>2</v>
      </c>
      <c r="I4544">
        <v>436</v>
      </c>
      <c r="J4544">
        <v>0</v>
      </c>
      <c r="K4544" t="str">
        <f t="shared" si="823"/>
        <v>813</v>
      </c>
      <c r="L4544">
        <v>366.24</v>
      </c>
    </row>
    <row r="4545" spans="1:12" x14ac:dyDescent="0.25">
      <c r="A4545" t="str">
        <f t="shared" si="814"/>
        <v>89301000</v>
      </c>
      <c r="B4545" t="str">
        <f t="shared" si="820"/>
        <v>06539000</v>
      </c>
      <c r="C4545" t="str">
        <f t="shared" si="822"/>
        <v>06539003</v>
      </c>
      <c r="D4545">
        <v>89301171</v>
      </c>
      <c r="E4545" t="str">
        <f t="shared" si="824"/>
        <v>7962075396</v>
      </c>
      <c r="F4545" s="1">
        <v>45016</v>
      </c>
      <c r="G4545" t="str">
        <f>"91329"</f>
        <v>91329</v>
      </c>
      <c r="H4545">
        <v>2</v>
      </c>
      <c r="I4545">
        <v>436</v>
      </c>
      <c r="J4545">
        <v>0</v>
      </c>
      <c r="K4545" t="str">
        <f t="shared" si="823"/>
        <v>813</v>
      </c>
      <c r="L4545">
        <v>366.24</v>
      </c>
    </row>
    <row r="4546" spans="1:12" x14ac:dyDescent="0.25">
      <c r="A4546" t="str">
        <f t="shared" ref="A4546:A4609" si="827">"89301000"</f>
        <v>89301000</v>
      </c>
      <c r="B4546" t="str">
        <f t="shared" si="820"/>
        <v>06539000</v>
      </c>
      <c r="C4546" t="str">
        <f t="shared" si="822"/>
        <v>06539003</v>
      </c>
      <c r="D4546">
        <v>89301171</v>
      </c>
      <c r="E4546" t="str">
        <f t="shared" si="824"/>
        <v>7962075396</v>
      </c>
      <c r="F4546" s="1">
        <v>44996</v>
      </c>
      <c r="G4546" t="str">
        <f>"91167"</f>
        <v>91167</v>
      </c>
      <c r="H4546">
        <v>1</v>
      </c>
      <c r="I4546">
        <v>426</v>
      </c>
      <c r="J4546">
        <v>0</v>
      </c>
      <c r="K4546" t="str">
        <f t="shared" si="823"/>
        <v>813</v>
      </c>
      <c r="L4546">
        <v>357.84</v>
      </c>
    </row>
    <row r="4547" spans="1:12" x14ac:dyDescent="0.25">
      <c r="A4547" t="str">
        <f t="shared" si="827"/>
        <v>89301000</v>
      </c>
      <c r="B4547" t="str">
        <f t="shared" si="820"/>
        <v>06539000</v>
      </c>
      <c r="C4547" t="str">
        <f t="shared" si="822"/>
        <v>06539003</v>
      </c>
      <c r="D4547">
        <v>89301171</v>
      </c>
      <c r="E4547" t="str">
        <f t="shared" si="824"/>
        <v>7962075396</v>
      </c>
      <c r="F4547" s="1">
        <v>44996</v>
      </c>
      <c r="G4547" t="str">
        <f>"91169"</f>
        <v>91169</v>
      </c>
      <c r="H4547">
        <v>1</v>
      </c>
      <c r="I4547">
        <v>426</v>
      </c>
      <c r="J4547">
        <v>0</v>
      </c>
      <c r="K4547" t="str">
        <f t="shared" si="823"/>
        <v>813</v>
      </c>
      <c r="L4547">
        <v>357.84</v>
      </c>
    </row>
    <row r="4548" spans="1:12" x14ac:dyDescent="0.25">
      <c r="A4548" t="str">
        <f t="shared" si="827"/>
        <v>89301000</v>
      </c>
      <c r="B4548" t="str">
        <f t="shared" si="820"/>
        <v>06539000</v>
      </c>
      <c r="C4548" t="str">
        <f t="shared" ref="C4548:C4576" si="828">"06539003"</f>
        <v>06539003</v>
      </c>
      <c r="D4548">
        <v>89301171</v>
      </c>
      <c r="E4548" t="str">
        <f t="shared" si="824"/>
        <v>7962075396</v>
      </c>
      <c r="F4548" s="1">
        <v>45006</v>
      </c>
      <c r="G4548" t="str">
        <f>"91475"</f>
        <v>91475</v>
      </c>
      <c r="H4548">
        <v>1</v>
      </c>
      <c r="I4548">
        <v>213</v>
      </c>
      <c r="J4548">
        <v>0</v>
      </c>
      <c r="K4548" t="str">
        <f t="shared" ref="K4548:K4576" si="829">"813"</f>
        <v>813</v>
      </c>
      <c r="L4548">
        <v>178.92</v>
      </c>
    </row>
    <row r="4549" spans="1:12" x14ac:dyDescent="0.25">
      <c r="A4549" t="str">
        <f t="shared" si="827"/>
        <v>89301000</v>
      </c>
      <c r="B4549" t="str">
        <f t="shared" si="820"/>
        <v>06539000</v>
      </c>
      <c r="C4549" t="str">
        <f t="shared" si="828"/>
        <v>06539003</v>
      </c>
      <c r="D4549">
        <v>89301171</v>
      </c>
      <c r="E4549" t="str">
        <f t="shared" ref="E4549:E4576" si="830">"6456070258"</f>
        <v>6456070258</v>
      </c>
      <c r="F4549" s="1">
        <v>45007</v>
      </c>
      <c r="G4549" t="str">
        <f t="shared" ref="G4549:G4558" si="831">"91413"</f>
        <v>91413</v>
      </c>
      <c r="H4549">
        <v>1</v>
      </c>
      <c r="I4549">
        <v>868</v>
      </c>
      <c r="J4549">
        <v>0</v>
      </c>
      <c r="K4549" t="str">
        <f t="shared" si="829"/>
        <v>813</v>
      </c>
      <c r="L4549">
        <v>729.12</v>
      </c>
    </row>
    <row r="4550" spans="1:12" x14ac:dyDescent="0.25">
      <c r="A4550" t="str">
        <f t="shared" si="827"/>
        <v>89301000</v>
      </c>
      <c r="B4550" t="str">
        <f t="shared" si="820"/>
        <v>06539000</v>
      </c>
      <c r="C4550" t="str">
        <f t="shared" si="828"/>
        <v>06539003</v>
      </c>
      <c r="D4550">
        <v>89301171</v>
      </c>
      <c r="E4550" t="str">
        <f t="shared" si="830"/>
        <v>6456070258</v>
      </c>
      <c r="F4550" s="1">
        <v>45007</v>
      </c>
      <c r="G4550" t="str">
        <f t="shared" si="831"/>
        <v>91413</v>
      </c>
      <c r="H4550">
        <v>1</v>
      </c>
      <c r="I4550">
        <v>868</v>
      </c>
      <c r="J4550">
        <v>0</v>
      </c>
      <c r="K4550" t="str">
        <f t="shared" si="829"/>
        <v>813</v>
      </c>
      <c r="L4550">
        <v>729.12</v>
      </c>
    </row>
    <row r="4551" spans="1:12" x14ac:dyDescent="0.25">
      <c r="A4551" t="str">
        <f t="shared" si="827"/>
        <v>89301000</v>
      </c>
      <c r="B4551" t="str">
        <f t="shared" si="820"/>
        <v>06539000</v>
      </c>
      <c r="C4551" t="str">
        <f t="shared" si="828"/>
        <v>06539003</v>
      </c>
      <c r="D4551">
        <v>89301171</v>
      </c>
      <c r="E4551" t="str">
        <f t="shared" si="830"/>
        <v>6456070258</v>
      </c>
      <c r="F4551" s="1">
        <v>45022</v>
      </c>
      <c r="G4551" t="str">
        <f t="shared" si="831"/>
        <v>91413</v>
      </c>
      <c r="H4551">
        <v>1</v>
      </c>
      <c r="I4551">
        <v>868</v>
      </c>
      <c r="J4551">
        <v>0</v>
      </c>
      <c r="K4551" t="str">
        <f t="shared" si="829"/>
        <v>813</v>
      </c>
      <c r="L4551">
        <v>729.12</v>
      </c>
    </row>
    <row r="4552" spans="1:12" x14ac:dyDescent="0.25">
      <c r="A4552" t="str">
        <f t="shared" si="827"/>
        <v>89301000</v>
      </c>
      <c r="B4552" t="str">
        <f t="shared" si="820"/>
        <v>06539000</v>
      </c>
      <c r="C4552" t="str">
        <f t="shared" si="828"/>
        <v>06539003</v>
      </c>
      <c r="D4552">
        <v>89301171</v>
      </c>
      <c r="E4552" t="str">
        <f t="shared" si="830"/>
        <v>6456070258</v>
      </c>
      <c r="F4552" s="1">
        <v>45022</v>
      </c>
      <c r="G4552" t="str">
        <f t="shared" si="831"/>
        <v>91413</v>
      </c>
      <c r="H4552">
        <v>1</v>
      </c>
      <c r="I4552">
        <v>868</v>
      </c>
      <c r="J4552">
        <v>0</v>
      </c>
      <c r="K4552" t="str">
        <f t="shared" si="829"/>
        <v>813</v>
      </c>
      <c r="L4552">
        <v>729.12</v>
      </c>
    </row>
    <row r="4553" spans="1:12" x14ac:dyDescent="0.25">
      <c r="A4553" t="str">
        <f t="shared" si="827"/>
        <v>89301000</v>
      </c>
      <c r="B4553" t="str">
        <f t="shared" si="820"/>
        <v>06539000</v>
      </c>
      <c r="C4553" t="str">
        <f t="shared" si="828"/>
        <v>06539003</v>
      </c>
      <c r="D4553">
        <v>89301171</v>
      </c>
      <c r="E4553" t="str">
        <f t="shared" si="830"/>
        <v>6456070258</v>
      </c>
      <c r="F4553" s="1">
        <v>45021</v>
      </c>
      <c r="G4553" t="str">
        <f t="shared" si="831"/>
        <v>91413</v>
      </c>
      <c r="H4553">
        <v>1</v>
      </c>
      <c r="I4553">
        <v>868</v>
      </c>
      <c r="J4553">
        <v>0</v>
      </c>
      <c r="K4553" t="str">
        <f t="shared" si="829"/>
        <v>813</v>
      </c>
      <c r="L4553">
        <v>729.12</v>
      </c>
    </row>
    <row r="4554" spans="1:12" x14ac:dyDescent="0.25">
      <c r="A4554" t="str">
        <f t="shared" si="827"/>
        <v>89301000</v>
      </c>
      <c r="B4554" t="str">
        <f t="shared" si="820"/>
        <v>06539000</v>
      </c>
      <c r="C4554" t="str">
        <f t="shared" si="828"/>
        <v>06539003</v>
      </c>
      <c r="D4554">
        <v>89301171</v>
      </c>
      <c r="E4554" t="str">
        <f t="shared" si="830"/>
        <v>6456070258</v>
      </c>
      <c r="F4554" s="1">
        <v>45021</v>
      </c>
      <c r="G4554" t="str">
        <f t="shared" si="831"/>
        <v>91413</v>
      </c>
      <c r="H4554">
        <v>1</v>
      </c>
      <c r="I4554">
        <v>868</v>
      </c>
      <c r="J4554">
        <v>0</v>
      </c>
      <c r="K4554" t="str">
        <f t="shared" si="829"/>
        <v>813</v>
      </c>
      <c r="L4554">
        <v>729.12</v>
      </c>
    </row>
    <row r="4555" spans="1:12" x14ac:dyDescent="0.25">
      <c r="A4555" t="str">
        <f t="shared" si="827"/>
        <v>89301000</v>
      </c>
      <c r="B4555" t="str">
        <f t="shared" si="820"/>
        <v>06539000</v>
      </c>
      <c r="C4555" t="str">
        <f t="shared" si="828"/>
        <v>06539003</v>
      </c>
      <c r="D4555">
        <v>89301171</v>
      </c>
      <c r="E4555" t="str">
        <f t="shared" si="830"/>
        <v>6456070258</v>
      </c>
      <c r="F4555" s="1">
        <v>45022</v>
      </c>
      <c r="G4555" t="str">
        <f t="shared" si="831"/>
        <v>91413</v>
      </c>
      <c r="H4555">
        <v>1</v>
      </c>
      <c r="I4555">
        <v>868</v>
      </c>
      <c r="J4555">
        <v>0</v>
      </c>
      <c r="K4555" t="str">
        <f t="shared" si="829"/>
        <v>813</v>
      </c>
      <c r="L4555">
        <v>729.12</v>
      </c>
    </row>
    <row r="4556" spans="1:12" x14ac:dyDescent="0.25">
      <c r="A4556" t="str">
        <f t="shared" si="827"/>
        <v>89301000</v>
      </c>
      <c r="B4556" t="str">
        <f t="shared" si="820"/>
        <v>06539000</v>
      </c>
      <c r="C4556" t="str">
        <f t="shared" si="828"/>
        <v>06539003</v>
      </c>
      <c r="D4556">
        <v>89301171</v>
      </c>
      <c r="E4556" t="str">
        <f t="shared" si="830"/>
        <v>6456070258</v>
      </c>
      <c r="F4556" s="1">
        <v>45022</v>
      </c>
      <c r="G4556" t="str">
        <f t="shared" si="831"/>
        <v>91413</v>
      </c>
      <c r="H4556">
        <v>1</v>
      </c>
      <c r="I4556">
        <v>868</v>
      </c>
      <c r="J4556">
        <v>0</v>
      </c>
      <c r="K4556" t="str">
        <f t="shared" si="829"/>
        <v>813</v>
      </c>
      <c r="L4556">
        <v>729.12</v>
      </c>
    </row>
    <row r="4557" spans="1:12" x14ac:dyDescent="0.25">
      <c r="A4557" t="str">
        <f t="shared" si="827"/>
        <v>89301000</v>
      </c>
      <c r="B4557" t="str">
        <f t="shared" si="820"/>
        <v>06539000</v>
      </c>
      <c r="C4557" t="str">
        <f t="shared" si="828"/>
        <v>06539003</v>
      </c>
      <c r="D4557">
        <v>89301171</v>
      </c>
      <c r="E4557" t="str">
        <f t="shared" si="830"/>
        <v>6456070258</v>
      </c>
      <c r="F4557" s="1">
        <v>45022</v>
      </c>
      <c r="G4557" t="str">
        <f t="shared" si="831"/>
        <v>91413</v>
      </c>
      <c r="H4557">
        <v>1</v>
      </c>
      <c r="I4557">
        <v>868</v>
      </c>
      <c r="J4557">
        <v>0</v>
      </c>
      <c r="K4557" t="str">
        <f t="shared" si="829"/>
        <v>813</v>
      </c>
      <c r="L4557">
        <v>729.12</v>
      </c>
    </row>
    <row r="4558" spans="1:12" x14ac:dyDescent="0.25">
      <c r="A4558" t="str">
        <f t="shared" si="827"/>
        <v>89301000</v>
      </c>
      <c r="B4558" t="str">
        <f t="shared" si="820"/>
        <v>06539000</v>
      </c>
      <c r="C4558" t="str">
        <f t="shared" si="828"/>
        <v>06539003</v>
      </c>
      <c r="D4558">
        <v>89301171</v>
      </c>
      <c r="E4558" t="str">
        <f t="shared" si="830"/>
        <v>6456070258</v>
      </c>
      <c r="F4558" s="1">
        <v>45022</v>
      </c>
      <c r="G4558" t="str">
        <f t="shared" si="831"/>
        <v>91413</v>
      </c>
      <c r="H4558">
        <v>1</v>
      </c>
      <c r="I4558">
        <v>868</v>
      </c>
      <c r="J4558">
        <v>0</v>
      </c>
      <c r="K4558" t="str">
        <f t="shared" si="829"/>
        <v>813</v>
      </c>
      <c r="L4558">
        <v>729.12</v>
      </c>
    </row>
    <row r="4559" spans="1:12" x14ac:dyDescent="0.25">
      <c r="A4559" t="str">
        <f t="shared" si="827"/>
        <v>89301000</v>
      </c>
      <c r="B4559" t="str">
        <f t="shared" si="820"/>
        <v>06539000</v>
      </c>
      <c r="C4559" t="str">
        <f t="shared" si="828"/>
        <v>06539003</v>
      </c>
      <c r="D4559">
        <v>89301171</v>
      </c>
      <c r="E4559" t="str">
        <f t="shared" si="830"/>
        <v>6456070258</v>
      </c>
      <c r="F4559" s="1">
        <v>45005</v>
      </c>
      <c r="G4559" t="str">
        <f t="shared" ref="G4559:G4564" si="832">"91197"</f>
        <v>91197</v>
      </c>
      <c r="H4559">
        <v>1</v>
      </c>
      <c r="I4559">
        <v>1048</v>
      </c>
      <c r="J4559">
        <v>0</v>
      </c>
      <c r="K4559" t="str">
        <f t="shared" si="829"/>
        <v>813</v>
      </c>
      <c r="L4559">
        <v>880.32</v>
      </c>
    </row>
    <row r="4560" spans="1:12" x14ac:dyDescent="0.25">
      <c r="A4560" t="str">
        <f t="shared" si="827"/>
        <v>89301000</v>
      </c>
      <c r="B4560" t="str">
        <f t="shared" si="820"/>
        <v>06539000</v>
      </c>
      <c r="C4560" t="str">
        <f t="shared" si="828"/>
        <v>06539003</v>
      </c>
      <c r="D4560">
        <v>89301171</v>
      </c>
      <c r="E4560" t="str">
        <f t="shared" si="830"/>
        <v>6456070258</v>
      </c>
      <c r="F4560" s="1">
        <v>45005</v>
      </c>
      <c r="G4560" t="str">
        <f t="shared" si="832"/>
        <v>91197</v>
      </c>
      <c r="H4560">
        <v>1</v>
      </c>
      <c r="I4560">
        <v>1048</v>
      </c>
      <c r="J4560">
        <v>0</v>
      </c>
      <c r="K4560" t="str">
        <f t="shared" si="829"/>
        <v>813</v>
      </c>
      <c r="L4560">
        <v>880.32</v>
      </c>
    </row>
    <row r="4561" spans="1:12" x14ac:dyDescent="0.25">
      <c r="A4561" t="str">
        <f t="shared" si="827"/>
        <v>89301000</v>
      </c>
      <c r="B4561" t="str">
        <f t="shared" si="820"/>
        <v>06539000</v>
      </c>
      <c r="C4561" t="str">
        <f t="shared" si="828"/>
        <v>06539003</v>
      </c>
      <c r="D4561">
        <v>89301171</v>
      </c>
      <c r="E4561" t="str">
        <f t="shared" si="830"/>
        <v>6456070258</v>
      </c>
      <c r="F4561" s="1">
        <v>45004</v>
      </c>
      <c r="G4561" t="str">
        <f t="shared" si="832"/>
        <v>91197</v>
      </c>
      <c r="H4561">
        <v>1</v>
      </c>
      <c r="I4561">
        <v>1048</v>
      </c>
      <c r="J4561">
        <v>0</v>
      </c>
      <c r="K4561" t="str">
        <f t="shared" si="829"/>
        <v>813</v>
      </c>
      <c r="L4561">
        <v>880.32</v>
      </c>
    </row>
    <row r="4562" spans="1:12" x14ac:dyDescent="0.25">
      <c r="A4562" t="str">
        <f t="shared" si="827"/>
        <v>89301000</v>
      </c>
      <c r="B4562" t="str">
        <f t="shared" si="820"/>
        <v>06539000</v>
      </c>
      <c r="C4562" t="str">
        <f t="shared" si="828"/>
        <v>06539003</v>
      </c>
      <c r="D4562">
        <v>89301171</v>
      </c>
      <c r="E4562" t="str">
        <f t="shared" si="830"/>
        <v>6456070258</v>
      </c>
      <c r="F4562" s="1">
        <v>45004</v>
      </c>
      <c r="G4562" t="str">
        <f t="shared" si="832"/>
        <v>91197</v>
      </c>
      <c r="H4562">
        <v>1</v>
      </c>
      <c r="I4562">
        <v>1048</v>
      </c>
      <c r="J4562">
        <v>0</v>
      </c>
      <c r="K4562" t="str">
        <f t="shared" si="829"/>
        <v>813</v>
      </c>
      <c r="L4562">
        <v>880.32</v>
      </c>
    </row>
    <row r="4563" spans="1:12" x14ac:dyDescent="0.25">
      <c r="A4563" t="str">
        <f t="shared" si="827"/>
        <v>89301000</v>
      </c>
      <c r="B4563" t="str">
        <f t="shared" si="820"/>
        <v>06539000</v>
      </c>
      <c r="C4563" t="str">
        <f t="shared" si="828"/>
        <v>06539003</v>
      </c>
      <c r="D4563">
        <v>89301171</v>
      </c>
      <c r="E4563" t="str">
        <f t="shared" si="830"/>
        <v>6456070258</v>
      </c>
      <c r="F4563" s="1">
        <v>45003</v>
      </c>
      <c r="G4563" t="str">
        <f t="shared" si="832"/>
        <v>91197</v>
      </c>
      <c r="H4563">
        <v>1</v>
      </c>
      <c r="I4563">
        <v>1048</v>
      </c>
      <c r="J4563">
        <v>0</v>
      </c>
      <c r="K4563" t="str">
        <f t="shared" si="829"/>
        <v>813</v>
      </c>
      <c r="L4563">
        <v>880.32</v>
      </c>
    </row>
    <row r="4564" spans="1:12" x14ac:dyDescent="0.25">
      <c r="A4564" t="str">
        <f t="shared" si="827"/>
        <v>89301000</v>
      </c>
      <c r="B4564" t="str">
        <f t="shared" si="820"/>
        <v>06539000</v>
      </c>
      <c r="C4564" t="str">
        <f t="shared" si="828"/>
        <v>06539003</v>
      </c>
      <c r="D4564">
        <v>89301171</v>
      </c>
      <c r="E4564" t="str">
        <f t="shared" si="830"/>
        <v>6456070258</v>
      </c>
      <c r="F4564" s="1">
        <v>45003</v>
      </c>
      <c r="G4564" t="str">
        <f t="shared" si="832"/>
        <v>91197</v>
      </c>
      <c r="H4564">
        <v>1</v>
      </c>
      <c r="I4564">
        <v>1048</v>
      </c>
      <c r="J4564">
        <v>0</v>
      </c>
      <c r="K4564" t="str">
        <f t="shared" si="829"/>
        <v>813</v>
      </c>
      <c r="L4564">
        <v>880.32</v>
      </c>
    </row>
    <row r="4565" spans="1:12" x14ac:dyDescent="0.25">
      <c r="A4565" t="str">
        <f t="shared" si="827"/>
        <v>89301000</v>
      </c>
      <c r="B4565" t="str">
        <f t="shared" si="820"/>
        <v>06539000</v>
      </c>
      <c r="C4565" t="str">
        <f t="shared" si="828"/>
        <v>06539003</v>
      </c>
      <c r="D4565">
        <v>89301171</v>
      </c>
      <c r="E4565" t="str">
        <f t="shared" si="830"/>
        <v>6456070258</v>
      </c>
      <c r="F4565" s="1">
        <v>45013</v>
      </c>
      <c r="G4565" t="str">
        <f>"91329"</f>
        <v>91329</v>
      </c>
      <c r="H4565">
        <v>2</v>
      </c>
      <c r="I4565">
        <v>436</v>
      </c>
      <c r="J4565">
        <v>0</v>
      </c>
      <c r="K4565" t="str">
        <f t="shared" si="829"/>
        <v>813</v>
      </c>
      <c r="L4565">
        <v>366.24</v>
      </c>
    </row>
    <row r="4566" spans="1:12" x14ac:dyDescent="0.25">
      <c r="A4566" t="str">
        <f t="shared" si="827"/>
        <v>89301000</v>
      </c>
      <c r="B4566" t="str">
        <f t="shared" si="820"/>
        <v>06539000</v>
      </c>
      <c r="C4566" t="str">
        <f t="shared" si="828"/>
        <v>06539003</v>
      </c>
      <c r="D4566">
        <v>89301171</v>
      </c>
      <c r="E4566" t="str">
        <f t="shared" si="830"/>
        <v>6456070258</v>
      </c>
      <c r="F4566" s="1">
        <v>45013</v>
      </c>
      <c r="G4566" t="str">
        <f>"91329"</f>
        <v>91329</v>
      </c>
      <c r="H4566">
        <v>2</v>
      </c>
      <c r="I4566">
        <v>436</v>
      </c>
      <c r="J4566">
        <v>0</v>
      </c>
      <c r="K4566" t="str">
        <f t="shared" si="829"/>
        <v>813</v>
      </c>
      <c r="L4566">
        <v>366.24</v>
      </c>
    </row>
    <row r="4567" spans="1:12" x14ac:dyDescent="0.25">
      <c r="A4567" t="str">
        <f t="shared" si="827"/>
        <v>89301000</v>
      </c>
      <c r="B4567" t="str">
        <f t="shared" si="820"/>
        <v>06539000</v>
      </c>
      <c r="C4567" t="str">
        <f t="shared" si="828"/>
        <v>06539003</v>
      </c>
      <c r="D4567">
        <v>89301171</v>
      </c>
      <c r="E4567" t="str">
        <f t="shared" si="830"/>
        <v>6456070258</v>
      </c>
      <c r="F4567" s="1">
        <v>45006</v>
      </c>
      <c r="G4567" t="str">
        <f>"91329"</f>
        <v>91329</v>
      </c>
      <c r="H4567">
        <v>2</v>
      </c>
      <c r="I4567">
        <v>436</v>
      </c>
      <c r="J4567">
        <v>0</v>
      </c>
      <c r="K4567" t="str">
        <f t="shared" si="829"/>
        <v>813</v>
      </c>
      <c r="L4567">
        <v>366.24</v>
      </c>
    </row>
    <row r="4568" spans="1:12" x14ac:dyDescent="0.25">
      <c r="A4568" t="str">
        <f t="shared" si="827"/>
        <v>89301000</v>
      </c>
      <c r="B4568" t="str">
        <f t="shared" si="820"/>
        <v>06539000</v>
      </c>
      <c r="C4568" t="str">
        <f t="shared" si="828"/>
        <v>06539003</v>
      </c>
      <c r="D4568">
        <v>89301171</v>
      </c>
      <c r="E4568" t="str">
        <f t="shared" si="830"/>
        <v>6456070258</v>
      </c>
      <c r="F4568" s="1">
        <v>45006</v>
      </c>
      <c r="G4568" t="str">
        <f>"91329"</f>
        <v>91329</v>
      </c>
      <c r="H4568">
        <v>2</v>
      </c>
      <c r="I4568">
        <v>436</v>
      </c>
      <c r="J4568">
        <v>0</v>
      </c>
      <c r="K4568" t="str">
        <f t="shared" si="829"/>
        <v>813</v>
      </c>
      <c r="L4568">
        <v>366.24</v>
      </c>
    </row>
    <row r="4569" spans="1:12" x14ac:dyDescent="0.25">
      <c r="A4569" t="str">
        <f t="shared" si="827"/>
        <v>89301000</v>
      </c>
      <c r="B4569" t="str">
        <f t="shared" si="820"/>
        <v>06539000</v>
      </c>
      <c r="C4569" t="str">
        <f t="shared" si="828"/>
        <v>06539003</v>
      </c>
      <c r="D4569">
        <v>89301171</v>
      </c>
      <c r="E4569" t="str">
        <f t="shared" si="830"/>
        <v>6456070258</v>
      </c>
      <c r="F4569" s="1">
        <v>45005</v>
      </c>
      <c r="G4569" t="str">
        <f>"91129"</f>
        <v>91129</v>
      </c>
      <c r="H4569">
        <v>1</v>
      </c>
      <c r="I4569">
        <v>175</v>
      </c>
      <c r="J4569">
        <v>0</v>
      </c>
      <c r="K4569" t="str">
        <f t="shared" si="829"/>
        <v>813</v>
      </c>
      <c r="L4569">
        <v>147</v>
      </c>
    </row>
    <row r="4570" spans="1:12" x14ac:dyDescent="0.25">
      <c r="A4570" t="str">
        <f t="shared" si="827"/>
        <v>89301000</v>
      </c>
      <c r="B4570" t="str">
        <f t="shared" si="820"/>
        <v>06539000</v>
      </c>
      <c r="C4570" t="str">
        <f t="shared" si="828"/>
        <v>06539003</v>
      </c>
      <c r="D4570">
        <v>89301171</v>
      </c>
      <c r="E4570" t="str">
        <f t="shared" si="830"/>
        <v>6456070258</v>
      </c>
      <c r="F4570" s="1">
        <v>45005</v>
      </c>
      <c r="G4570" t="str">
        <f>"91131"</f>
        <v>91131</v>
      </c>
      <c r="H4570">
        <v>1</v>
      </c>
      <c r="I4570">
        <v>171</v>
      </c>
      <c r="J4570">
        <v>0</v>
      </c>
      <c r="K4570" t="str">
        <f t="shared" si="829"/>
        <v>813</v>
      </c>
      <c r="L4570">
        <v>143.63999999999999</v>
      </c>
    </row>
    <row r="4571" spans="1:12" x14ac:dyDescent="0.25">
      <c r="A4571" t="str">
        <f t="shared" si="827"/>
        <v>89301000</v>
      </c>
      <c r="B4571" t="str">
        <f t="shared" si="820"/>
        <v>06539000</v>
      </c>
      <c r="C4571" t="str">
        <f t="shared" si="828"/>
        <v>06539003</v>
      </c>
      <c r="D4571">
        <v>89301171</v>
      </c>
      <c r="E4571" t="str">
        <f t="shared" si="830"/>
        <v>6456070258</v>
      </c>
      <c r="F4571" s="1">
        <v>45005</v>
      </c>
      <c r="G4571" t="str">
        <f>"91133"</f>
        <v>91133</v>
      </c>
      <c r="H4571">
        <v>1</v>
      </c>
      <c r="I4571">
        <v>177</v>
      </c>
      <c r="J4571">
        <v>0</v>
      </c>
      <c r="K4571" t="str">
        <f t="shared" si="829"/>
        <v>813</v>
      </c>
      <c r="L4571">
        <v>148.68</v>
      </c>
    </row>
    <row r="4572" spans="1:12" x14ac:dyDescent="0.25">
      <c r="A4572" t="str">
        <f t="shared" si="827"/>
        <v>89301000</v>
      </c>
      <c r="B4572" t="str">
        <f t="shared" si="820"/>
        <v>06539000</v>
      </c>
      <c r="C4572" t="str">
        <f t="shared" si="828"/>
        <v>06539003</v>
      </c>
      <c r="D4572">
        <v>89301171</v>
      </c>
      <c r="E4572" t="str">
        <f t="shared" si="830"/>
        <v>6456070258</v>
      </c>
      <c r="F4572" s="1">
        <v>45005</v>
      </c>
      <c r="G4572" t="str">
        <f>"91171"</f>
        <v>91171</v>
      </c>
      <c r="H4572">
        <v>1</v>
      </c>
      <c r="I4572">
        <v>362</v>
      </c>
      <c r="J4572">
        <v>0</v>
      </c>
      <c r="K4572" t="str">
        <f t="shared" si="829"/>
        <v>813</v>
      </c>
      <c r="L4572">
        <v>304.08</v>
      </c>
    </row>
    <row r="4573" spans="1:12" x14ac:dyDescent="0.25">
      <c r="A4573" t="str">
        <f t="shared" si="827"/>
        <v>89301000</v>
      </c>
      <c r="B4573" t="str">
        <f t="shared" si="820"/>
        <v>06539000</v>
      </c>
      <c r="C4573" t="str">
        <f t="shared" si="828"/>
        <v>06539003</v>
      </c>
      <c r="D4573">
        <v>89301171</v>
      </c>
      <c r="E4573" t="str">
        <f t="shared" si="830"/>
        <v>6456070258</v>
      </c>
      <c r="F4573" s="1">
        <v>45005</v>
      </c>
      <c r="G4573" t="str">
        <f>"91175"</f>
        <v>91175</v>
      </c>
      <c r="H4573">
        <v>1</v>
      </c>
      <c r="I4573">
        <v>362</v>
      </c>
      <c r="J4573">
        <v>0</v>
      </c>
      <c r="K4573" t="str">
        <f t="shared" si="829"/>
        <v>813</v>
      </c>
      <c r="L4573">
        <v>304.08</v>
      </c>
    </row>
    <row r="4574" spans="1:12" x14ac:dyDescent="0.25">
      <c r="A4574" t="str">
        <f t="shared" si="827"/>
        <v>89301000</v>
      </c>
      <c r="B4574" t="str">
        <f t="shared" ref="B4574:B4637" si="833">"06539000"</f>
        <v>06539000</v>
      </c>
      <c r="C4574" t="str">
        <f t="shared" si="828"/>
        <v>06539003</v>
      </c>
      <c r="D4574">
        <v>89301171</v>
      </c>
      <c r="E4574" t="str">
        <f t="shared" si="830"/>
        <v>6456070258</v>
      </c>
      <c r="F4574" s="1">
        <v>45003</v>
      </c>
      <c r="G4574" t="str">
        <f>"91167"</f>
        <v>91167</v>
      </c>
      <c r="H4574">
        <v>1</v>
      </c>
      <c r="I4574">
        <v>426</v>
      </c>
      <c r="J4574">
        <v>0</v>
      </c>
      <c r="K4574" t="str">
        <f t="shared" si="829"/>
        <v>813</v>
      </c>
      <c r="L4574">
        <v>357.84</v>
      </c>
    </row>
    <row r="4575" spans="1:12" x14ac:dyDescent="0.25">
      <c r="A4575" t="str">
        <f t="shared" si="827"/>
        <v>89301000</v>
      </c>
      <c r="B4575" t="str">
        <f t="shared" si="833"/>
        <v>06539000</v>
      </c>
      <c r="C4575" t="str">
        <f t="shared" si="828"/>
        <v>06539003</v>
      </c>
      <c r="D4575">
        <v>89301171</v>
      </c>
      <c r="E4575" t="str">
        <f t="shared" si="830"/>
        <v>6456070258</v>
      </c>
      <c r="F4575" s="1">
        <v>45003</v>
      </c>
      <c r="G4575" t="str">
        <f>"91169"</f>
        <v>91169</v>
      </c>
      <c r="H4575">
        <v>1</v>
      </c>
      <c r="I4575">
        <v>426</v>
      </c>
      <c r="J4575">
        <v>0</v>
      </c>
      <c r="K4575" t="str">
        <f t="shared" si="829"/>
        <v>813</v>
      </c>
      <c r="L4575">
        <v>357.84</v>
      </c>
    </row>
    <row r="4576" spans="1:12" x14ac:dyDescent="0.25">
      <c r="A4576" t="str">
        <f t="shared" si="827"/>
        <v>89301000</v>
      </c>
      <c r="B4576" t="str">
        <f t="shared" si="833"/>
        <v>06539000</v>
      </c>
      <c r="C4576" t="str">
        <f t="shared" si="828"/>
        <v>06539003</v>
      </c>
      <c r="D4576">
        <v>89301171</v>
      </c>
      <c r="E4576" t="str">
        <f t="shared" si="830"/>
        <v>6456070258</v>
      </c>
      <c r="F4576" s="1">
        <v>45013</v>
      </c>
      <c r="G4576" t="str">
        <f>"91475"</f>
        <v>91475</v>
      </c>
      <c r="H4576">
        <v>1</v>
      </c>
      <c r="I4576">
        <v>213</v>
      </c>
      <c r="J4576">
        <v>0</v>
      </c>
      <c r="K4576" t="str">
        <f t="shared" si="829"/>
        <v>813</v>
      </c>
      <c r="L4576">
        <v>178.92</v>
      </c>
    </row>
    <row r="4577" spans="1:12" x14ac:dyDescent="0.25">
      <c r="A4577" t="str">
        <f t="shared" si="827"/>
        <v>89301000</v>
      </c>
      <c r="B4577" t="str">
        <f t="shared" si="833"/>
        <v>06539000</v>
      </c>
      <c r="C4577" t="str">
        <f>"06539001"</f>
        <v>06539001</v>
      </c>
      <c r="D4577">
        <v>89301172</v>
      </c>
      <c r="E4577" t="str">
        <f t="shared" ref="E4577:E4605" si="834">"0204286181"</f>
        <v>0204286181</v>
      </c>
      <c r="F4577" s="1">
        <v>45002</v>
      </c>
      <c r="G4577" t="str">
        <f>"81329"</f>
        <v>81329</v>
      </c>
      <c r="H4577">
        <v>1</v>
      </c>
      <c r="I4577">
        <v>17</v>
      </c>
      <c r="J4577">
        <v>0</v>
      </c>
      <c r="K4577" t="str">
        <f>"801"</f>
        <v>801</v>
      </c>
      <c r="L4577">
        <v>14.28</v>
      </c>
    </row>
    <row r="4578" spans="1:12" x14ac:dyDescent="0.25">
      <c r="A4578" t="str">
        <f t="shared" si="827"/>
        <v>89301000</v>
      </c>
      <c r="B4578" t="str">
        <f t="shared" si="833"/>
        <v>06539000</v>
      </c>
      <c r="C4578" t="str">
        <f>"06539001"</f>
        <v>06539001</v>
      </c>
      <c r="D4578">
        <v>89301172</v>
      </c>
      <c r="E4578" t="str">
        <f t="shared" si="834"/>
        <v>0204286181</v>
      </c>
      <c r="F4578" s="1">
        <v>45002</v>
      </c>
      <c r="G4578" t="str">
        <f>"81331"</f>
        <v>81331</v>
      </c>
      <c r="H4578">
        <v>1</v>
      </c>
      <c r="I4578">
        <v>193</v>
      </c>
      <c r="J4578">
        <v>0</v>
      </c>
      <c r="K4578" t="str">
        <f>"801"</f>
        <v>801</v>
      </c>
      <c r="L4578">
        <v>162.12</v>
      </c>
    </row>
    <row r="4579" spans="1:12" x14ac:dyDescent="0.25">
      <c r="A4579" t="str">
        <f t="shared" si="827"/>
        <v>89301000</v>
      </c>
      <c r="B4579" t="str">
        <f t="shared" si="833"/>
        <v>06539000</v>
      </c>
      <c r="C4579" t="str">
        <f t="shared" ref="C4579:C4605" si="835">"06539003"</f>
        <v>06539003</v>
      </c>
      <c r="D4579">
        <v>89301172</v>
      </c>
      <c r="E4579" t="str">
        <f t="shared" si="834"/>
        <v>0204286181</v>
      </c>
      <c r="F4579" s="1">
        <v>45007</v>
      </c>
      <c r="G4579" t="str">
        <f t="shared" ref="G4579:G4588" si="836">"91413"</f>
        <v>91413</v>
      </c>
      <c r="H4579">
        <v>1</v>
      </c>
      <c r="I4579">
        <v>868</v>
      </c>
      <c r="J4579">
        <v>0</v>
      </c>
      <c r="K4579" t="str">
        <f t="shared" ref="K4579:K4605" si="837">"813"</f>
        <v>813</v>
      </c>
      <c r="L4579">
        <v>729.12</v>
      </c>
    </row>
    <row r="4580" spans="1:12" x14ac:dyDescent="0.25">
      <c r="A4580" t="str">
        <f t="shared" si="827"/>
        <v>89301000</v>
      </c>
      <c r="B4580" t="str">
        <f t="shared" si="833"/>
        <v>06539000</v>
      </c>
      <c r="C4580" t="str">
        <f t="shared" si="835"/>
        <v>06539003</v>
      </c>
      <c r="D4580">
        <v>89301172</v>
      </c>
      <c r="E4580" t="str">
        <f t="shared" si="834"/>
        <v>0204286181</v>
      </c>
      <c r="F4580" s="1">
        <v>45007</v>
      </c>
      <c r="G4580" t="str">
        <f t="shared" si="836"/>
        <v>91413</v>
      </c>
      <c r="H4580">
        <v>1</v>
      </c>
      <c r="I4580">
        <v>868</v>
      </c>
      <c r="J4580">
        <v>0</v>
      </c>
      <c r="K4580" t="str">
        <f t="shared" si="837"/>
        <v>813</v>
      </c>
      <c r="L4580">
        <v>729.12</v>
      </c>
    </row>
    <row r="4581" spans="1:12" x14ac:dyDescent="0.25">
      <c r="A4581" t="str">
        <f t="shared" si="827"/>
        <v>89301000</v>
      </c>
      <c r="B4581" t="str">
        <f t="shared" si="833"/>
        <v>06539000</v>
      </c>
      <c r="C4581" t="str">
        <f t="shared" si="835"/>
        <v>06539003</v>
      </c>
      <c r="D4581">
        <v>89301172</v>
      </c>
      <c r="E4581" t="str">
        <f t="shared" si="834"/>
        <v>0204286181</v>
      </c>
      <c r="F4581" s="1">
        <v>45022</v>
      </c>
      <c r="G4581" t="str">
        <f t="shared" si="836"/>
        <v>91413</v>
      </c>
      <c r="H4581">
        <v>1</v>
      </c>
      <c r="I4581">
        <v>868</v>
      </c>
      <c r="J4581">
        <v>0</v>
      </c>
      <c r="K4581" t="str">
        <f t="shared" si="837"/>
        <v>813</v>
      </c>
      <c r="L4581">
        <v>729.12</v>
      </c>
    </row>
    <row r="4582" spans="1:12" x14ac:dyDescent="0.25">
      <c r="A4582" t="str">
        <f t="shared" si="827"/>
        <v>89301000</v>
      </c>
      <c r="B4582" t="str">
        <f t="shared" si="833"/>
        <v>06539000</v>
      </c>
      <c r="C4582" t="str">
        <f t="shared" si="835"/>
        <v>06539003</v>
      </c>
      <c r="D4582">
        <v>89301172</v>
      </c>
      <c r="E4582" t="str">
        <f t="shared" si="834"/>
        <v>0204286181</v>
      </c>
      <c r="F4582" s="1">
        <v>45022</v>
      </c>
      <c r="G4582" t="str">
        <f t="shared" si="836"/>
        <v>91413</v>
      </c>
      <c r="H4582">
        <v>1</v>
      </c>
      <c r="I4582">
        <v>868</v>
      </c>
      <c r="J4582">
        <v>0</v>
      </c>
      <c r="K4582" t="str">
        <f t="shared" si="837"/>
        <v>813</v>
      </c>
      <c r="L4582">
        <v>729.12</v>
      </c>
    </row>
    <row r="4583" spans="1:12" x14ac:dyDescent="0.25">
      <c r="A4583" t="str">
        <f t="shared" si="827"/>
        <v>89301000</v>
      </c>
      <c r="B4583" t="str">
        <f t="shared" si="833"/>
        <v>06539000</v>
      </c>
      <c r="C4583" t="str">
        <f t="shared" si="835"/>
        <v>06539003</v>
      </c>
      <c r="D4583">
        <v>89301172</v>
      </c>
      <c r="E4583" t="str">
        <f t="shared" si="834"/>
        <v>0204286181</v>
      </c>
      <c r="F4583" s="1">
        <v>45021</v>
      </c>
      <c r="G4583" t="str">
        <f t="shared" si="836"/>
        <v>91413</v>
      </c>
      <c r="H4583">
        <v>1</v>
      </c>
      <c r="I4583">
        <v>868</v>
      </c>
      <c r="J4583">
        <v>0</v>
      </c>
      <c r="K4583" t="str">
        <f t="shared" si="837"/>
        <v>813</v>
      </c>
      <c r="L4583">
        <v>729.12</v>
      </c>
    </row>
    <row r="4584" spans="1:12" x14ac:dyDescent="0.25">
      <c r="A4584" t="str">
        <f t="shared" si="827"/>
        <v>89301000</v>
      </c>
      <c r="B4584" t="str">
        <f t="shared" si="833"/>
        <v>06539000</v>
      </c>
      <c r="C4584" t="str">
        <f t="shared" si="835"/>
        <v>06539003</v>
      </c>
      <c r="D4584">
        <v>89301172</v>
      </c>
      <c r="E4584" t="str">
        <f t="shared" si="834"/>
        <v>0204286181</v>
      </c>
      <c r="F4584" s="1">
        <v>45021</v>
      </c>
      <c r="G4584" t="str">
        <f t="shared" si="836"/>
        <v>91413</v>
      </c>
      <c r="H4584">
        <v>1</v>
      </c>
      <c r="I4584">
        <v>868</v>
      </c>
      <c r="J4584">
        <v>0</v>
      </c>
      <c r="K4584" t="str">
        <f t="shared" si="837"/>
        <v>813</v>
      </c>
      <c r="L4584">
        <v>729.12</v>
      </c>
    </row>
    <row r="4585" spans="1:12" x14ac:dyDescent="0.25">
      <c r="A4585" t="str">
        <f t="shared" si="827"/>
        <v>89301000</v>
      </c>
      <c r="B4585" t="str">
        <f t="shared" si="833"/>
        <v>06539000</v>
      </c>
      <c r="C4585" t="str">
        <f t="shared" si="835"/>
        <v>06539003</v>
      </c>
      <c r="D4585">
        <v>89301172</v>
      </c>
      <c r="E4585" t="str">
        <f t="shared" si="834"/>
        <v>0204286181</v>
      </c>
      <c r="F4585" s="1">
        <v>45022</v>
      </c>
      <c r="G4585" t="str">
        <f t="shared" si="836"/>
        <v>91413</v>
      </c>
      <c r="H4585">
        <v>1</v>
      </c>
      <c r="I4585">
        <v>868</v>
      </c>
      <c r="J4585">
        <v>0</v>
      </c>
      <c r="K4585" t="str">
        <f t="shared" si="837"/>
        <v>813</v>
      </c>
      <c r="L4585">
        <v>729.12</v>
      </c>
    </row>
    <row r="4586" spans="1:12" x14ac:dyDescent="0.25">
      <c r="A4586" t="str">
        <f t="shared" si="827"/>
        <v>89301000</v>
      </c>
      <c r="B4586" t="str">
        <f t="shared" si="833"/>
        <v>06539000</v>
      </c>
      <c r="C4586" t="str">
        <f t="shared" si="835"/>
        <v>06539003</v>
      </c>
      <c r="D4586">
        <v>89301172</v>
      </c>
      <c r="E4586" t="str">
        <f t="shared" si="834"/>
        <v>0204286181</v>
      </c>
      <c r="F4586" s="1">
        <v>45022</v>
      </c>
      <c r="G4586" t="str">
        <f t="shared" si="836"/>
        <v>91413</v>
      </c>
      <c r="H4586">
        <v>1</v>
      </c>
      <c r="I4586">
        <v>868</v>
      </c>
      <c r="J4586">
        <v>0</v>
      </c>
      <c r="K4586" t="str">
        <f t="shared" si="837"/>
        <v>813</v>
      </c>
      <c r="L4586">
        <v>729.12</v>
      </c>
    </row>
    <row r="4587" spans="1:12" x14ac:dyDescent="0.25">
      <c r="A4587" t="str">
        <f t="shared" si="827"/>
        <v>89301000</v>
      </c>
      <c r="B4587" t="str">
        <f t="shared" si="833"/>
        <v>06539000</v>
      </c>
      <c r="C4587" t="str">
        <f t="shared" si="835"/>
        <v>06539003</v>
      </c>
      <c r="D4587">
        <v>89301172</v>
      </c>
      <c r="E4587" t="str">
        <f t="shared" si="834"/>
        <v>0204286181</v>
      </c>
      <c r="F4587" s="1">
        <v>45022</v>
      </c>
      <c r="G4587" t="str">
        <f t="shared" si="836"/>
        <v>91413</v>
      </c>
      <c r="H4587">
        <v>1</v>
      </c>
      <c r="I4587">
        <v>868</v>
      </c>
      <c r="J4587">
        <v>0</v>
      </c>
      <c r="K4587" t="str">
        <f t="shared" si="837"/>
        <v>813</v>
      </c>
      <c r="L4587">
        <v>729.12</v>
      </c>
    </row>
    <row r="4588" spans="1:12" x14ac:dyDescent="0.25">
      <c r="A4588" t="str">
        <f t="shared" si="827"/>
        <v>89301000</v>
      </c>
      <c r="B4588" t="str">
        <f t="shared" si="833"/>
        <v>06539000</v>
      </c>
      <c r="C4588" t="str">
        <f t="shared" si="835"/>
        <v>06539003</v>
      </c>
      <c r="D4588">
        <v>89301172</v>
      </c>
      <c r="E4588" t="str">
        <f t="shared" si="834"/>
        <v>0204286181</v>
      </c>
      <c r="F4588" s="1">
        <v>45022</v>
      </c>
      <c r="G4588" t="str">
        <f t="shared" si="836"/>
        <v>91413</v>
      </c>
      <c r="H4588">
        <v>1</v>
      </c>
      <c r="I4588">
        <v>868</v>
      </c>
      <c r="J4588">
        <v>0</v>
      </c>
      <c r="K4588" t="str">
        <f t="shared" si="837"/>
        <v>813</v>
      </c>
      <c r="L4588">
        <v>729.12</v>
      </c>
    </row>
    <row r="4589" spans="1:12" x14ac:dyDescent="0.25">
      <c r="A4589" t="str">
        <f t="shared" si="827"/>
        <v>89301000</v>
      </c>
      <c r="B4589" t="str">
        <f t="shared" si="833"/>
        <v>06539000</v>
      </c>
      <c r="C4589" t="str">
        <f t="shared" si="835"/>
        <v>06539003</v>
      </c>
      <c r="D4589">
        <v>89301172</v>
      </c>
      <c r="E4589" t="str">
        <f t="shared" si="834"/>
        <v>0204286181</v>
      </c>
      <c r="F4589" s="1">
        <v>45002</v>
      </c>
      <c r="G4589" t="str">
        <f t="shared" ref="G4589:G4594" si="838">"91197"</f>
        <v>91197</v>
      </c>
      <c r="H4589">
        <v>1</v>
      </c>
      <c r="I4589">
        <v>1048</v>
      </c>
      <c r="J4589">
        <v>0</v>
      </c>
      <c r="K4589" t="str">
        <f t="shared" si="837"/>
        <v>813</v>
      </c>
      <c r="L4589">
        <v>880.32</v>
      </c>
    </row>
    <row r="4590" spans="1:12" x14ac:dyDescent="0.25">
      <c r="A4590" t="str">
        <f t="shared" si="827"/>
        <v>89301000</v>
      </c>
      <c r="B4590" t="str">
        <f t="shared" si="833"/>
        <v>06539000</v>
      </c>
      <c r="C4590" t="str">
        <f t="shared" si="835"/>
        <v>06539003</v>
      </c>
      <c r="D4590">
        <v>89301172</v>
      </c>
      <c r="E4590" t="str">
        <f t="shared" si="834"/>
        <v>0204286181</v>
      </c>
      <c r="F4590" s="1">
        <v>45004</v>
      </c>
      <c r="G4590" t="str">
        <f t="shared" si="838"/>
        <v>91197</v>
      </c>
      <c r="H4590">
        <v>1</v>
      </c>
      <c r="I4590">
        <v>1048</v>
      </c>
      <c r="J4590">
        <v>0</v>
      </c>
      <c r="K4590" t="str">
        <f t="shared" si="837"/>
        <v>813</v>
      </c>
      <c r="L4590">
        <v>880.32</v>
      </c>
    </row>
    <row r="4591" spans="1:12" x14ac:dyDescent="0.25">
      <c r="A4591" t="str">
        <f t="shared" si="827"/>
        <v>89301000</v>
      </c>
      <c r="B4591" t="str">
        <f t="shared" si="833"/>
        <v>06539000</v>
      </c>
      <c r="C4591" t="str">
        <f t="shared" si="835"/>
        <v>06539003</v>
      </c>
      <c r="D4591">
        <v>89301172</v>
      </c>
      <c r="E4591" t="str">
        <f t="shared" si="834"/>
        <v>0204286181</v>
      </c>
      <c r="F4591" s="1">
        <v>45004</v>
      </c>
      <c r="G4591" t="str">
        <f t="shared" si="838"/>
        <v>91197</v>
      </c>
      <c r="H4591">
        <v>1</v>
      </c>
      <c r="I4591">
        <v>1048</v>
      </c>
      <c r="J4591">
        <v>0</v>
      </c>
      <c r="K4591" t="str">
        <f t="shared" si="837"/>
        <v>813</v>
      </c>
      <c r="L4591">
        <v>880.32</v>
      </c>
    </row>
    <row r="4592" spans="1:12" x14ac:dyDescent="0.25">
      <c r="A4592" t="str">
        <f t="shared" si="827"/>
        <v>89301000</v>
      </c>
      <c r="B4592" t="str">
        <f t="shared" si="833"/>
        <v>06539000</v>
      </c>
      <c r="C4592" t="str">
        <f t="shared" si="835"/>
        <v>06539003</v>
      </c>
      <c r="D4592">
        <v>89301172</v>
      </c>
      <c r="E4592" t="str">
        <f t="shared" si="834"/>
        <v>0204286181</v>
      </c>
      <c r="F4592" s="1">
        <v>45003</v>
      </c>
      <c r="G4592" t="str">
        <f t="shared" si="838"/>
        <v>91197</v>
      </c>
      <c r="H4592">
        <v>1</v>
      </c>
      <c r="I4592">
        <v>1048</v>
      </c>
      <c r="J4592">
        <v>0</v>
      </c>
      <c r="K4592" t="str">
        <f t="shared" si="837"/>
        <v>813</v>
      </c>
      <c r="L4592">
        <v>880.32</v>
      </c>
    </row>
    <row r="4593" spans="1:12" x14ac:dyDescent="0.25">
      <c r="A4593" t="str">
        <f t="shared" si="827"/>
        <v>89301000</v>
      </c>
      <c r="B4593" t="str">
        <f t="shared" si="833"/>
        <v>06539000</v>
      </c>
      <c r="C4593" t="str">
        <f t="shared" si="835"/>
        <v>06539003</v>
      </c>
      <c r="D4593">
        <v>89301172</v>
      </c>
      <c r="E4593" t="str">
        <f t="shared" si="834"/>
        <v>0204286181</v>
      </c>
      <c r="F4593" s="1">
        <v>45003</v>
      </c>
      <c r="G4593" t="str">
        <f t="shared" si="838"/>
        <v>91197</v>
      </c>
      <c r="H4593">
        <v>1</v>
      </c>
      <c r="I4593">
        <v>1048</v>
      </c>
      <c r="J4593">
        <v>0</v>
      </c>
      <c r="K4593" t="str">
        <f t="shared" si="837"/>
        <v>813</v>
      </c>
      <c r="L4593">
        <v>880.32</v>
      </c>
    </row>
    <row r="4594" spans="1:12" x14ac:dyDescent="0.25">
      <c r="A4594" t="str">
        <f t="shared" si="827"/>
        <v>89301000</v>
      </c>
      <c r="B4594" t="str">
        <f t="shared" si="833"/>
        <v>06539000</v>
      </c>
      <c r="C4594" t="str">
        <f t="shared" si="835"/>
        <v>06539003</v>
      </c>
      <c r="D4594">
        <v>89301172</v>
      </c>
      <c r="E4594" t="str">
        <f t="shared" si="834"/>
        <v>0204286181</v>
      </c>
      <c r="F4594" s="1">
        <v>45002</v>
      </c>
      <c r="G4594" t="str">
        <f t="shared" si="838"/>
        <v>91197</v>
      </c>
      <c r="H4594">
        <v>1</v>
      </c>
      <c r="I4594">
        <v>1048</v>
      </c>
      <c r="J4594">
        <v>0</v>
      </c>
      <c r="K4594" t="str">
        <f t="shared" si="837"/>
        <v>813</v>
      </c>
      <c r="L4594">
        <v>880.32</v>
      </c>
    </row>
    <row r="4595" spans="1:12" x14ac:dyDescent="0.25">
      <c r="A4595" t="str">
        <f t="shared" si="827"/>
        <v>89301000</v>
      </c>
      <c r="B4595" t="str">
        <f t="shared" si="833"/>
        <v>06539000</v>
      </c>
      <c r="C4595" t="str">
        <f t="shared" si="835"/>
        <v>06539003</v>
      </c>
      <c r="D4595">
        <v>89301172</v>
      </c>
      <c r="E4595" t="str">
        <f t="shared" si="834"/>
        <v>0204286181</v>
      </c>
      <c r="F4595" s="1">
        <v>45005</v>
      </c>
      <c r="G4595" t="str">
        <f>"91129"</f>
        <v>91129</v>
      </c>
      <c r="H4595">
        <v>1</v>
      </c>
      <c r="I4595">
        <v>175</v>
      </c>
      <c r="J4595">
        <v>0</v>
      </c>
      <c r="K4595" t="str">
        <f t="shared" si="837"/>
        <v>813</v>
      </c>
      <c r="L4595">
        <v>147</v>
      </c>
    </row>
    <row r="4596" spans="1:12" x14ac:dyDescent="0.25">
      <c r="A4596" t="str">
        <f t="shared" si="827"/>
        <v>89301000</v>
      </c>
      <c r="B4596" t="str">
        <f t="shared" si="833"/>
        <v>06539000</v>
      </c>
      <c r="C4596" t="str">
        <f t="shared" si="835"/>
        <v>06539003</v>
      </c>
      <c r="D4596">
        <v>89301172</v>
      </c>
      <c r="E4596" t="str">
        <f t="shared" si="834"/>
        <v>0204286181</v>
      </c>
      <c r="F4596" s="1">
        <v>45005</v>
      </c>
      <c r="G4596" t="str">
        <f>"91131"</f>
        <v>91131</v>
      </c>
      <c r="H4596">
        <v>1</v>
      </c>
      <c r="I4596">
        <v>171</v>
      </c>
      <c r="J4596">
        <v>0</v>
      </c>
      <c r="K4596" t="str">
        <f t="shared" si="837"/>
        <v>813</v>
      </c>
      <c r="L4596">
        <v>143.63999999999999</v>
      </c>
    </row>
    <row r="4597" spans="1:12" x14ac:dyDescent="0.25">
      <c r="A4597" t="str">
        <f t="shared" si="827"/>
        <v>89301000</v>
      </c>
      <c r="B4597" t="str">
        <f t="shared" si="833"/>
        <v>06539000</v>
      </c>
      <c r="C4597" t="str">
        <f t="shared" si="835"/>
        <v>06539003</v>
      </c>
      <c r="D4597">
        <v>89301172</v>
      </c>
      <c r="E4597" t="str">
        <f t="shared" si="834"/>
        <v>0204286181</v>
      </c>
      <c r="F4597" s="1">
        <v>45005</v>
      </c>
      <c r="G4597" t="str">
        <f>"91133"</f>
        <v>91133</v>
      </c>
      <c r="H4597">
        <v>1</v>
      </c>
      <c r="I4597">
        <v>177</v>
      </c>
      <c r="J4597">
        <v>0</v>
      </c>
      <c r="K4597" t="str">
        <f t="shared" si="837"/>
        <v>813</v>
      </c>
      <c r="L4597">
        <v>148.68</v>
      </c>
    </row>
    <row r="4598" spans="1:12" x14ac:dyDescent="0.25">
      <c r="A4598" t="str">
        <f t="shared" si="827"/>
        <v>89301000</v>
      </c>
      <c r="B4598" t="str">
        <f t="shared" si="833"/>
        <v>06539000</v>
      </c>
      <c r="C4598" t="str">
        <f t="shared" si="835"/>
        <v>06539003</v>
      </c>
      <c r="D4598">
        <v>89301172</v>
      </c>
      <c r="E4598" t="str">
        <f t="shared" si="834"/>
        <v>0204286181</v>
      </c>
      <c r="F4598" s="1">
        <v>45005</v>
      </c>
      <c r="G4598" t="str">
        <f>"91171"</f>
        <v>91171</v>
      </c>
      <c r="H4598">
        <v>1</v>
      </c>
      <c r="I4598">
        <v>362</v>
      </c>
      <c r="J4598">
        <v>0</v>
      </c>
      <c r="K4598" t="str">
        <f t="shared" si="837"/>
        <v>813</v>
      </c>
      <c r="L4598">
        <v>304.08</v>
      </c>
    </row>
    <row r="4599" spans="1:12" x14ac:dyDescent="0.25">
      <c r="A4599" t="str">
        <f t="shared" si="827"/>
        <v>89301000</v>
      </c>
      <c r="B4599" t="str">
        <f t="shared" si="833"/>
        <v>06539000</v>
      </c>
      <c r="C4599" t="str">
        <f t="shared" si="835"/>
        <v>06539003</v>
      </c>
      <c r="D4599">
        <v>89301172</v>
      </c>
      <c r="E4599" t="str">
        <f t="shared" si="834"/>
        <v>0204286181</v>
      </c>
      <c r="F4599" s="1">
        <v>45002</v>
      </c>
      <c r="G4599" t="str">
        <f>"91173"</f>
        <v>91173</v>
      </c>
      <c r="H4599">
        <v>1</v>
      </c>
      <c r="I4599">
        <v>337</v>
      </c>
      <c r="J4599">
        <v>0</v>
      </c>
      <c r="K4599" t="str">
        <f t="shared" si="837"/>
        <v>813</v>
      </c>
      <c r="L4599">
        <v>283.08</v>
      </c>
    </row>
    <row r="4600" spans="1:12" x14ac:dyDescent="0.25">
      <c r="A4600" t="str">
        <f t="shared" si="827"/>
        <v>89301000</v>
      </c>
      <c r="B4600" t="str">
        <f t="shared" si="833"/>
        <v>06539000</v>
      </c>
      <c r="C4600" t="str">
        <f t="shared" si="835"/>
        <v>06539003</v>
      </c>
      <c r="D4600">
        <v>89301172</v>
      </c>
      <c r="E4600" t="str">
        <f t="shared" si="834"/>
        <v>0204286181</v>
      </c>
      <c r="F4600" s="1">
        <v>45005</v>
      </c>
      <c r="G4600" t="str">
        <f>"91175"</f>
        <v>91175</v>
      </c>
      <c r="H4600">
        <v>1</v>
      </c>
      <c r="I4600">
        <v>362</v>
      </c>
      <c r="J4600">
        <v>0</v>
      </c>
      <c r="K4600" t="str">
        <f t="shared" si="837"/>
        <v>813</v>
      </c>
      <c r="L4600">
        <v>304.08</v>
      </c>
    </row>
    <row r="4601" spans="1:12" x14ac:dyDescent="0.25">
      <c r="A4601" t="str">
        <f t="shared" si="827"/>
        <v>89301000</v>
      </c>
      <c r="B4601" t="str">
        <f t="shared" si="833"/>
        <v>06539000</v>
      </c>
      <c r="C4601" t="str">
        <f t="shared" si="835"/>
        <v>06539003</v>
      </c>
      <c r="D4601">
        <v>89301172</v>
      </c>
      <c r="E4601" t="str">
        <f t="shared" si="834"/>
        <v>0204286181</v>
      </c>
      <c r="F4601" s="1">
        <v>45003</v>
      </c>
      <c r="G4601" t="str">
        <f>"91167"</f>
        <v>91167</v>
      </c>
      <c r="H4601">
        <v>1</v>
      </c>
      <c r="I4601">
        <v>426</v>
      </c>
      <c r="J4601">
        <v>0</v>
      </c>
      <c r="K4601" t="str">
        <f t="shared" si="837"/>
        <v>813</v>
      </c>
      <c r="L4601">
        <v>357.84</v>
      </c>
    </row>
    <row r="4602" spans="1:12" x14ac:dyDescent="0.25">
      <c r="A4602" t="str">
        <f t="shared" si="827"/>
        <v>89301000</v>
      </c>
      <c r="B4602" t="str">
        <f t="shared" si="833"/>
        <v>06539000</v>
      </c>
      <c r="C4602" t="str">
        <f t="shared" si="835"/>
        <v>06539003</v>
      </c>
      <c r="D4602">
        <v>89301172</v>
      </c>
      <c r="E4602" t="str">
        <f t="shared" si="834"/>
        <v>0204286181</v>
      </c>
      <c r="F4602" s="1">
        <v>45003</v>
      </c>
      <c r="G4602" t="str">
        <f>"91169"</f>
        <v>91169</v>
      </c>
      <c r="H4602">
        <v>1</v>
      </c>
      <c r="I4602">
        <v>426</v>
      </c>
      <c r="J4602">
        <v>0</v>
      </c>
      <c r="K4602" t="str">
        <f t="shared" si="837"/>
        <v>813</v>
      </c>
      <c r="L4602">
        <v>357.84</v>
      </c>
    </row>
    <row r="4603" spans="1:12" x14ac:dyDescent="0.25">
      <c r="A4603" t="str">
        <f t="shared" si="827"/>
        <v>89301000</v>
      </c>
      <c r="B4603" t="str">
        <f t="shared" si="833"/>
        <v>06539000</v>
      </c>
      <c r="C4603" t="str">
        <f t="shared" si="835"/>
        <v>06539003</v>
      </c>
      <c r="D4603">
        <v>89301172</v>
      </c>
      <c r="E4603" t="str">
        <f t="shared" si="834"/>
        <v>0204286181</v>
      </c>
      <c r="F4603" s="1">
        <v>45002</v>
      </c>
      <c r="G4603" t="str">
        <f>"91167"</f>
        <v>91167</v>
      </c>
      <c r="H4603">
        <v>1</v>
      </c>
      <c r="I4603">
        <v>426</v>
      </c>
      <c r="J4603">
        <v>0</v>
      </c>
      <c r="K4603" t="str">
        <f t="shared" si="837"/>
        <v>813</v>
      </c>
      <c r="L4603">
        <v>357.84</v>
      </c>
    </row>
    <row r="4604" spans="1:12" x14ac:dyDescent="0.25">
      <c r="A4604" t="str">
        <f t="shared" si="827"/>
        <v>89301000</v>
      </c>
      <c r="B4604" t="str">
        <f t="shared" si="833"/>
        <v>06539000</v>
      </c>
      <c r="C4604" t="str">
        <f t="shared" si="835"/>
        <v>06539003</v>
      </c>
      <c r="D4604">
        <v>89301172</v>
      </c>
      <c r="E4604" t="str">
        <f t="shared" si="834"/>
        <v>0204286181</v>
      </c>
      <c r="F4604" s="1">
        <v>45002</v>
      </c>
      <c r="G4604" t="str">
        <f>"91169"</f>
        <v>91169</v>
      </c>
      <c r="H4604">
        <v>1</v>
      </c>
      <c r="I4604">
        <v>426</v>
      </c>
      <c r="J4604">
        <v>0</v>
      </c>
      <c r="K4604" t="str">
        <f t="shared" si="837"/>
        <v>813</v>
      </c>
      <c r="L4604">
        <v>357.84</v>
      </c>
    </row>
    <row r="4605" spans="1:12" x14ac:dyDescent="0.25">
      <c r="A4605" t="str">
        <f t="shared" si="827"/>
        <v>89301000</v>
      </c>
      <c r="B4605" t="str">
        <f t="shared" si="833"/>
        <v>06539000</v>
      </c>
      <c r="C4605" t="str">
        <f t="shared" si="835"/>
        <v>06539003</v>
      </c>
      <c r="D4605">
        <v>89301172</v>
      </c>
      <c r="E4605" t="str">
        <f t="shared" si="834"/>
        <v>0204286181</v>
      </c>
      <c r="F4605" s="1">
        <v>45007</v>
      </c>
      <c r="G4605" t="str">
        <f>"91475"</f>
        <v>91475</v>
      </c>
      <c r="H4605">
        <v>1</v>
      </c>
      <c r="I4605">
        <v>213</v>
      </c>
      <c r="J4605">
        <v>0</v>
      </c>
      <c r="K4605" t="str">
        <f t="shared" si="837"/>
        <v>813</v>
      </c>
      <c r="L4605">
        <v>178.92</v>
      </c>
    </row>
    <row r="4606" spans="1:12" x14ac:dyDescent="0.25">
      <c r="A4606" t="str">
        <f t="shared" si="827"/>
        <v>89301000</v>
      </c>
      <c r="B4606" t="str">
        <f t="shared" si="833"/>
        <v>06539000</v>
      </c>
      <c r="C4606" t="str">
        <f>"06539001"</f>
        <v>06539001</v>
      </c>
      <c r="D4606">
        <v>89301172</v>
      </c>
      <c r="E4606" t="str">
        <f t="shared" ref="E4606:E4634" si="839">"0012146145"</f>
        <v>0012146145</v>
      </c>
      <c r="F4606" s="1">
        <v>45002</v>
      </c>
      <c r="G4606" t="str">
        <f>"81329"</f>
        <v>81329</v>
      </c>
      <c r="H4606">
        <v>1</v>
      </c>
      <c r="I4606">
        <v>17</v>
      </c>
      <c r="J4606">
        <v>0</v>
      </c>
      <c r="K4606" t="str">
        <f>"801"</f>
        <v>801</v>
      </c>
      <c r="L4606">
        <v>14.28</v>
      </c>
    </row>
    <row r="4607" spans="1:12" x14ac:dyDescent="0.25">
      <c r="A4607" t="str">
        <f t="shared" si="827"/>
        <v>89301000</v>
      </c>
      <c r="B4607" t="str">
        <f t="shared" si="833"/>
        <v>06539000</v>
      </c>
      <c r="C4607" t="str">
        <f>"06539001"</f>
        <v>06539001</v>
      </c>
      <c r="D4607">
        <v>89301172</v>
      </c>
      <c r="E4607" t="str">
        <f t="shared" si="839"/>
        <v>0012146145</v>
      </c>
      <c r="F4607" s="1">
        <v>45002</v>
      </c>
      <c r="G4607" t="str">
        <f>"81331"</f>
        <v>81331</v>
      </c>
      <c r="H4607">
        <v>1</v>
      </c>
      <c r="I4607">
        <v>193</v>
      </c>
      <c r="J4607">
        <v>0</v>
      </c>
      <c r="K4607" t="str">
        <f>"801"</f>
        <v>801</v>
      </c>
      <c r="L4607">
        <v>162.12</v>
      </c>
    </row>
    <row r="4608" spans="1:12" x14ac:dyDescent="0.25">
      <c r="A4608" t="str">
        <f t="shared" si="827"/>
        <v>89301000</v>
      </c>
      <c r="B4608" t="str">
        <f t="shared" si="833"/>
        <v>06539000</v>
      </c>
      <c r="C4608" t="str">
        <f t="shared" ref="C4608:C4634" si="840">"06539003"</f>
        <v>06539003</v>
      </c>
      <c r="D4608">
        <v>89301172</v>
      </c>
      <c r="E4608" t="str">
        <f t="shared" si="839"/>
        <v>0012146145</v>
      </c>
      <c r="F4608" s="1">
        <v>45007</v>
      </c>
      <c r="G4608" t="str">
        <f t="shared" ref="G4608:G4617" si="841">"91413"</f>
        <v>91413</v>
      </c>
      <c r="H4608">
        <v>1</v>
      </c>
      <c r="I4608">
        <v>868</v>
      </c>
      <c r="J4608">
        <v>0</v>
      </c>
      <c r="K4608" t="str">
        <f t="shared" ref="K4608:K4634" si="842">"813"</f>
        <v>813</v>
      </c>
      <c r="L4608">
        <v>729.12</v>
      </c>
    </row>
    <row r="4609" spans="1:12" x14ac:dyDescent="0.25">
      <c r="A4609" t="str">
        <f t="shared" si="827"/>
        <v>89301000</v>
      </c>
      <c r="B4609" t="str">
        <f t="shared" si="833"/>
        <v>06539000</v>
      </c>
      <c r="C4609" t="str">
        <f t="shared" si="840"/>
        <v>06539003</v>
      </c>
      <c r="D4609">
        <v>89301172</v>
      </c>
      <c r="E4609" t="str">
        <f t="shared" si="839"/>
        <v>0012146145</v>
      </c>
      <c r="F4609" s="1">
        <v>45007</v>
      </c>
      <c r="G4609" t="str">
        <f t="shared" si="841"/>
        <v>91413</v>
      </c>
      <c r="H4609">
        <v>1</v>
      </c>
      <c r="I4609">
        <v>868</v>
      </c>
      <c r="J4609">
        <v>0</v>
      </c>
      <c r="K4609" t="str">
        <f t="shared" si="842"/>
        <v>813</v>
      </c>
      <c r="L4609">
        <v>729.12</v>
      </c>
    </row>
    <row r="4610" spans="1:12" x14ac:dyDescent="0.25">
      <c r="A4610" t="str">
        <f t="shared" ref="A4610:A4673" si="843">"89301000"</f>
        <v>89301000</v>
      </c>
      <c r="B4610" t="str">
        <f t="shared" si="833"/>
        <v>06539000</v>
      </c>
      <c r="C4610" t="str">
        <f t="shared" si="840"/>
        <v>06539003</v>
      </c>
      <c r="D4610">
        <v>89301172</v>
      </c>
      <c r="E4610" t="str">
        <f t="shared" si="839"/>
        <v>0012146145</v>
      </c>
      <c r="F4610" s="1">
        <v>45022</v>
      </c>
      <c r="G4610" t="str">
        <f t="shared" si="841"/>
        <v>91413</v>
      </c>
      <c r="H4610">
        <v>1</v>
      </c>
      <c r="I4610">
        <v>868</v>
      </c>
      <c r="J4610">
        <v>0</v>
      </c>
      <c r="K4610" t="str">
        <f t="shared" si="842"/>
        <v>813</v>
      </c>
      <c r="L4610">
        <v>729.12</v>
      </c>
    </row>
    <row r="4611" spans="1:12" x14ac:dyDescent="0.25">
      <c r="A4611" t="str">
        <f t="shared" si="843"/>
        <v>89301000</v>
      </c>
      <c r="B4611" t="str">
        <f t="shared" si="833"/>
        <v>06539000</v>
      </c>
      <c r="C4611" t="str">
        <f t="shared" si="840"/>
        <v>06539003</v>
      </c>
      <c r="D4611">
        <v>89301172</v>
      </c>
      <c r="E4611" t="str">
        <f t="shared" si="839"/>
        <v>0012146145</v>
      </c>
      <c r="F4611" s="1">
        <v>45022</v>
      </c>
      <c r="G4611" t="str">
        <f t="shared" si="841"/>
        <v>91413</v>
      </c>
      <c r="H4611">
        <v>1</v>
      </c>
      <c r="I4611">
        <v>868</v>
      </c>
      <c r="J4611">
        <v>0</v>
      </c>
      <c r="K4611" t="str">
        <f t="shared" si="842"/>
        <v>813</v>
      </c>
      <c r="L4611">
        <v>729.12</v>
      </c>
    </row>
    <row r="4612" spans="1:12" x14ac:dyDescent="0.25">
      <c r="A4612" t="str">
        <f t="shared" si="843"/>
        <v>89301000</v>
      </c>
      <c r="B4612" t="str">
        <f t="shared" si="833"/>
        <v>06539000</v>
      </c>
      <c r="C4612" t="str">
        <f t="shared" si="840"/>
        <v>06539003</v>
      </c>
      <c r="D4612">
        <v>89301172</v>
      </c>
      <c r="E4612" t="str">
        <f t="shared" si="839"/>
        <v>0012146145</v>
      </c>
      <c r="F4612" s="1">
        <v>45021</v>
      </c>
      <c r="G4612" t="str">
        <f t="shared" si="841"/>
        <v>91413</v>
      </c>
      <c r="H4612">
        <v>1</v>
      </c>
      <c r="I4612">
        <v>868</v>
      </c>
      <c r="J4612">
        <v>0</v>
      </c>
      <c r="K4612" t="str">
        <f t="shared" si="842"/>
        <v>813</v>
      </c>
      <c r="L4612">
        <v>729.12</v>
      </c>
    </row>
    <row r="4613" spans="1:12" x14ac:dyDescent="0.25">
      <c r="A4613" t="str">
        <f t="shared" si="843"/>
        <v>89301000</v>
      </c>
      <c r="B4613" t="str">
        <f t="shared" si="833"/>
        <v>06539000</v>
      </c>
      <c r="C4613" t="str">
        <f t="shared" si="840"/>
        <v>06539003</v>
      </c>
      <c r="D4613">
        <v>89301172</v>
      </c>
      <c r="E4613" t="str">
        <f t="shared" si="839"/>
        <v>0012146145</v>
      </c>
      <c r="F4613" s="1">
        <v>45021</v>
      </c>
      <c r="G4613" t="str">
        <f t="shared" si="841"/>
        <v>91413</v>
      </c>
      <c r="H4613">
        <v>1</v>
      </c>
      <c r="I4613">
        <v>868</v>
      </c>
      <c r="J4613">
        <v>0</v>
      </c>
      <c r="K4613" t="str">
        <f t="shared" si="842"/>
        <v>813</v>
      </c>
      <c r="L4613">
        <v>729.12</v>
      </c>
    </row>
    <row r="4614" spans="1:12" x14ac:dyDescent="0.25">
      <c r="A4614" t="str">
        <f t="shared" si="843"/>
        <v>89301000</v>
      </c>
      <c r="B4614" t="str">
        <f t="shared" si="833"/>
        <v>06539000</v>
      </c>
      <c r="C4614" t="str">
        <f t="shared" si="840"/>
        <v>06539003</v>
      </c>
      <c r="D4614">
        <v>89301172</v>
      </c>
      <c r="E4614" t="str">
        <f t="shared" si="839"/>
        <v>0012146145</v>
      </c>
      <c r="F4614" s="1">
        <v>45022</v>
      </c>
      <c r="G4614" t="str">
        <f t="shared" si="841"/>
        <v>91413</v>
      </c>
      <c r="H4614">
        <v>1</v>
      </c>
      <c r="I4614">
        <v>868</v>
      </c>
      <c r="J4614">
        <v>0</v>
      </c>
      <c r="K4614" t="str">
        <f t="shared" si="842"/>
        <v>813</v>
      </c>
      <c r="L4614">
        <v>729.12</v>
      </c>
    </row>
    <row r="4615" spans="1:12" x14ac:dyDescent="0.25">
      <c r="A4615" t="str">
        <f t="shared" si="843"/>
        <v>89301000</v>
      </c>
      <c r="B4615" t="str">
        <f t="shared" si="833"/>
        <v>06539000</v>
      </c>
      <c r="C4615" t="str">
        <f t="shared" si="840"/>
        <v>06539003</v>
      </c>
      <c r="D4615">
        <v>89301172</v>
      </c>
      <c r="E4615" t="str">
        <f t="shared" si="839"/>
        <v>0012146145</v>
      </c>
      <c r="F4615" s="1">
        <v>45022</v>
      </c>
      <c r="G4615" t="str">
        <f t="shared" si="841"/>
        <v>91413</v>
      </c>
      <c r="H4615">
        <v>1</v>
      </c>
      <c r="I4615">
        <v>868</v>
      </c>
      <c r="J4615">
        <v>0</v>
      </c>
      <c r="K4615" t="str">
        <f t="shared" si="842"/>
        <v>813</v>
      </c>
      <c r="L4615">
        <v>729.12</v>
      </c>
    </row>
    <row r="4616" spans="1:12" x14ac:dyDescent="0.25">
      <c r="A4616" t="str">
        <f t="shared" si="843"/>
        <v>89301000</v>
      </c>
      <c r="B4616" t="str">
        <f t="shared" si="833"/>
        <v>06539000</v>
      </c>
      <c r="C4616" t="str">
        <f t="shared" si="840"/>
        <v>06539003</v>
      </c>
      <c r="D4616">
        <v>89301172</v>
      </c>
      <c r="E4616" t="str">
        <f t="shared" si="839"/>
        <v>0012146145</v>
      </c>
      <c r="F4616" s="1">
        <v>45022</v>
      </c>
      <c r="G4616" t="str">
        <f t="shared" si="841"/>
        <v>91413</v>
      </c>
      <c r="H4616">
        <v>1</v>
      </c>
      <c r="I4616">
        <v>868</v>
      </c>
      <c r="J4616">
        <v>0</v>
      </c>
      <c r="K4616" t="str">
        <f t="shared" si="842"/>
        <v>813</v>
      </c>
      <c r="L4616">
        <v>729.12</v>
      </c>
    </row>
    <row r="4617" spans="1:12" x14ac:dyDescent="0.25">
      <c r="A4617" t="str">
        <f t="shared" si="843"/>
        <v>89301000</v>
      </c>
      <c r="B4617" t="str">
        <f t="shared" si="833"/>
        <v>06539000</v>
      </c>
      <c r="C4617" t="str">
        <f t="shared" si="840"/>
        <v>06539003</v>
      </c>
      <c r="D4617">
        <v>89301172</v>
      </c>
      <c r="E4617" t="str">
        <f t="shared" si="839"/>
        <v>0012146145</v>
      </c>
      <c r="F4617" s="1">
        <v>45022</v>
      </c>
      <c r="G4617" t="str">
        <f t="shared" si="841"/>
        <v>91413</v>
      </c>
      <c r="H4617">
        <v>1</v>
      </c>
      <c r="I4617">
        <v>868</v>
      </c>
      <c r="J4617">
        <v>0</v>
      </c>
      <c r="K4617" t="str">
        <f t="shared" si="842"/>
        <v>813</v>
      </c>
      <c r="L4617">
        <v>729.12</v>
      </c>
    </row>
    <row r="4618" spans="1:12" x14ac:dyDescent="0.25">
      <c r="A4618" t="str">
        <f t="shared" si="843"/>
        <v>89301000</v>
      </c>
      <c r="B4618" t="str">
        <f t="shared" si="833"/>
        <v>06539000</v>
      </c>
      <c r="C4618" t="str">
        <f t="shared" si="840"/>
        <v>06539003</v>
      </c>
      <c r="D4618">
        <v>89301172</v>
      </c>
      <c r="E4618" t="str">
        <f t="shared" si="839"/>
        <v>0012146145</v>
      </c>
      <c r="F4618" s="1">
        <v>45002</v>
      </c>
      <c r="G4618" t="str">
        <f t="shared" ref="G4618:G4623" si="844">"91197"</f>
        <v>91197</v>
      </c>
      <c r="H4618">
        <v>1</v>
      </c>
      <c r="I4618">
        <v>1048</v>
      </c>
      <c r="J4618">
        <v>0</v>
      </c>
      <c r="K4618" t="str">
        <f t="shared" si="842"/>
        <v>813</v>
      </c>
      <c r="L4618">
        <v>880.32</v>
      </c>
    </row>
    <row r="4619" spans="1:12" x14ac:dyDescent="0.25">
      <c r="A4619" t="str">
        <f t="shared" si="843"/>
        <v>89301000</v>
      </c>
      <c r="B4619" t="str">
        <f t="shared" si="833"/>
        <v>06539000</v>
      </c>
      <c r="C4619" t="str">
        <f t="shared" si="840"/>
        <v>06539003</v>
      </c>
      <c r="D4619">
        <v>89301172</v>
      </c>
      <c r="E4619" t="str">
        <f t="shared" si="839"/>
        <v>0012146145</v>
      </c>
      <c r="F4619" s="1">
        <v>45004</v>
      </c>
      <c r="G4619" t="str">
        <f t="shared" si="844"/>
        <v>91197</v>
      </c>
      <c r="H4619">
        <v>1</v>
      </c>
      <c r="I4619">
        <v>1048</v>
      </c>
      <c r="J4619">
        <v>0</v>
      </c>
      <c r="K4619" t="str">
        <f t="shared" si="842"/>
        <v>813</v>
      </c>
      <c r="L4619">
        <v>880.32</v>
      </c>
    </row>
    <row r="4620" spans="1:12" x14ac:dyDescent="0.25">
      <c r="A4620" t="str">
        <f t="shared" si="843"/>
        <v>89301000</v>
      </c>
      <c r="B4620" t="str">
        <f t="shared" si="833"/>
        <v>06539000</v>
      </c>
      <c r="C4620" t="str">
        <f t="shared" si="840"/>
        <v>06539003</v>
      </c>
      <c r="D4620">
        <v>89301172</v>
      </c>
      <c r="E4620" t="str">
        <f t="shared" si="839"/>
        <v>0012146145</v>
      </c>
      <c r="F4620" s="1">
        <v>45004</v>
      </c>
      <c r="G4620" t="str">
        <f t="shared" si="844"/>
        <v>91197</v>
      </c>
      <c r="H4620">
        <v>1</v>
      </c>
      <c r="I4620">
        <v>1048</v>
      </c>
      <c r="J4620">
        <v>0</v>
      </c>
      <c r="K4620" t="str">
        <f t="shared" si="842"/>
        <v>813</v>
      </c>
      <c r="L4620">
        <v>880.32</v>
      </c>
    </row>
    <row r="4621" spans="1:12" x14ac:dyDescent="0.25">
      <c r="A4621" t="str">
        <f t="shared" si="843"/>
        <v>89301000</v>
      </c>
      <c r="B4621" t="str">
        <f t="shared" si="833"/>
        <v>06539000</v>
      </c>
      <c r="C4621" t="str">
        <f t="shared" si="840"/>
        <v>06539003</v>
      </c>
      <c r="D4621">
        <v>89301172</v>
      </c>
      <c r="E4621" t="str">
        <f t="shared" si="839"/>
        <v>0012146145</v>
      </c>
      <c r="F4621" s="1">
        <v>45003</v>
      </c>
      <c r="G4621" t="str">
        <f t="shared" si="844"/>
        <v>91197</v>
      </c>
      <c r="H4621">
        <v>1</v>
      </c>
      <c r="I4621">
        <v>1048</v>
      </c>
      <c r="J4621">
        <v>0</v>
      </c>
      <c r="K4621" t="str">
        <f t="shared" si="842"/>
        <v>813</v>
      </c>
      <c r="L4621">
        <v>880.32</v>
      </c>
    </row>
    <row r="4622" spans="1:12" x14ac:dyDescent="0.25">
      <c r="A4622" t="str">
        <f t="shared" si="843"/>
        <v>89301000</v>
      </c>
      <c r="B4622" t="str">
        <f t="shared" si="833"/>
        <v>06539000</v>
      </c>
      <c r="C4622" t="str">
        <f t="shared" si="840"/>
        <v>06539003</v>
      </c>
      <c r="D4622">
        <v>89301172</v>
      </c>
      <c r="E4622" t="str">
        <f t="shared" si="839"/>
        <v>0012146145</v>
      </c>
      <c r="F4622" s="1">
        <v>45003</v>
      </c>
      <c r="G4622" t="str">
        <f t="shared" si="844"/>
        <v>91197</v>
      </c>
      <c r="H4622">
        <v>1</v>
      </c>
      <c r="I4622">
        <v>1048</v>
      </c>
      <c r="J4622">
        <v>0</v>
      </c>
      <c r="K4622" t="str">
        <f t="shared" si="842"/>
        <v>813</v>
      </c>
      <c r="L4622">
        <v>880.32</v>
      </c>
    </row>
    <row r="4623" spans="1:12" x14ac:dyDescent="0.25">
      <c r="A4623" t="str">
        <f t="shared" si="843"/>
        <v>89301000</v>
      </c>
      <c r="B4623" t="str">
        <f t="shared" si="833"/>
        <v>06539000</v>
      </c>
      <c r="C4623" t="str">
        <f t="shared" si="840"/>
        <v>06539003</v>
      </c>
      <c r="D4623">
        <v>89301172</v>
      </c>
      <c r="E4623" t="str">
        <f t="shared" si="839"/>
        <v>0012146145</v>
      </c>
      <c r="F4623" s="1">
        <v>45002</v>
      </c>
      <c r="G4623" t="str">
        <f t="shared" si="844"/>
        <v>91197</v>
      </c>
      <c r="H4623">
        <v>1</v>
      </c>
      <c r="I4623">
        <v>1048</v>
      </c>
      <c r="J4623">
        <v>0</v>
      </c>
      <c r="K4623" t="str">
        <f t="shared" si="842"/>
        <v>813</v>
      </c>
      <c r="L4623">
        <v>880.32</v>
      </c>
    </row>
    <row r="4624" spans="1:12" x14ac:dyDescent="0.25">
      <c r="A4624" t="str">
        <f t="shared" si="843"/>
        <v>89301000</v>
      </c>
      <c r="B4624" t="str">
        <f t="shared" si="833"/>
        <v>06539000</v>
      </c>
      <c r="C4624" t="str">
        <f t="shared" si="840"/>
        <v>06539003</v>
      </c>
      <c r="D4624">
        <v>89301172</v>
      </c>
      <c r="E4624" t="str">
        <f t="shared" si="839"/>
        <v>0012146145</v>
      </c>
      <c r="F4624" s="1">
        <v>45005</v>
      </c>
      <c r="G4624" t="str">
        <f>"91129"</f>
        <v>91129</v>
      </c>
      <c r="H4624">
        <v>1</v>
      </c>
      <c r="I4624">
        <v>175</v>
      </c>
      <c r="J4624">
        <v>0</v>
      </c>
      <c r="K4624" t="str">
        <f t="shared" si="842"/>
        <v>813</v>
      </c>
      <c r="L4624">
        <v>147</v>
      </c>
    </row>
    <row r="4625" spans="1:12" x14ac:dyDescent="0.25">
      <c r="A4625" t="str">
        <f t="shared" si="843"/>
        <v>89301000</v>
      </c>
      <c r="B4625" t="str">
        <f t="shared" si="833"/>
        <v>06539000</v>
      </c>
      <c r="C4625" t="str">
        <f t="shared" si="840"/>
        <v>06539003</v>
      </c>
      <c r="D4625">
        <v>89301172</v>
      </c>
      <c r="E4625" t="str">
        <f t="shared" si="839"/>
        <v>0012146145</v>
      </c>
      <c r="F4625" s="1">
        <v>45005</v>
      </c>
      <c r="G4625" t="str">
        <f>"91131"</f>
        <v>91131</v>
      </c>
      <c r="H4625">
        <v>1</v>
      </c>
      <c r="I4625">
        <v>171</v>
      </c>
      <c r="J4625">
        <v>0</v>
      </c>
      <c r="K4625" t="str">
        <f t="shared" si="842"/>
        <v>813</v>
      </c>
      <c r="L4625">
        <v>143.63999999999999</v>
      </c>
    </row>
    <row r="4626" spans="1:12" x14ac:dyDescent="0.25">
      <c r="A4626" t="str">
        <f t="shared" si="843"/>
        <v>89301000</v>
      </c>
      <c r="B4626" t="str">
        <f t="shared" si="833"/>
        <v>06539000</v>
      </c>
      <c r="C4626" t="str">
        <f t="shared" si="840"/>
        <v>06539003</v>
      </c>
      <c r="D4626">
        <v>89301172</v>
      </c>
      <c r="E4626" t="str">
        <f t="shared" si="839"/>
        <v>0012146145</v>
      </c>
      <c r="F4626" s="1">
        <v>45005</v>
      </c>
      <c r="G4626" t="str">
        <f>"91133"</f>
        <v>91133</v>
      </c>
      <c r="H4626">
        <v>1</v>
      </c>
      <c r="I4626">
        <v>177</v>
      </c>
      <c r="J4626">
        <v>0</v>
      </c>
      <c r="K4626" t="str">
        <f t="shared" si="842"/>
        <v>813</v>
      </c>
      <c r="L4626">
        <v>148.68</v>
      </c>
    </row>
    <row r="4627" spans="1:12" x14ac:dyDescent="0.25">
      <c r="A4627" t="str">
        <f t="shared" si="843"/>
        <v>89301000</v>
      </c>
      <c r="B4627" t="str">
        <f t="shared" si="833"/>
        <v>06539000</v>
      </c>
      <c r="C4627" t="str">
        <f t="shared" si="840"/>
        <v>06539003</v>
      </c>
      <c r="D4627">
        <v>89301172</v>
      </c>
      <c r="E4627" t="str">
        <f t="shared" si="839"/>
        <v>0012146145</v>
      </c>
      <c r="F4627" s="1">
        <v>45005</v>
      </c>
      <c r="G4627" t="str">
        <f>"91171"</f>
        <v>91171</v>
      </c>
      <c r="H4627">
        <v>1</v>
      </c>
      <c r="I4627">
        <v>362</v>
      </c>
      <c r="J4627">
        <v>0</v>
      </c>
      <c r="K4627" t="str">
        <f t="shared" si="842"/>
        <v>813</v>
      </c>
      <c r="L4627">
        <v>304.08</v>
      </c>
    </row>
    <row r="4628" spans="1:12" x14ac:dyDescent="0.25">
      <c r="A4628" t="str">
        <f t="shared" si="843"/>
        <v>89301000</v>
      </c>
      <c r="B4628" t="str">
        <f t="shared" si="833"/>
        <v>06539000</v>
      </c>
      <c r="C4628" t="str">
        <f t="shared" si="840"/>
        <v>06539003</v>
      </c>
      <c r="D4628">
        <v>89301172</v>
      </c>
      <c r="E4628" t="str">
        <f t="shared" si="839"/>
        <v>0012146145</v>
      </c>
      <c r="F4628" s="1">
        <v>45002</v>
      </c>
      <c r="G4628" t="str">
        <f>"91173"</f>
        <v>91173</v>
      </c>
      <c r="H4628">
        <v>1</v>
      </c>
      <c r="I4628">
        <v>337</v>
      </c>
      <c r="J4628">
        <v>0</v>
      </c>
      <c r="K4628" t="str">
        <f t="shared" si="842"/>
        <v>813</v>
      </c>
      <c r="L4628">
        <v>283.08</v>
      </c>
    </row>
    <row r="4629" spans="1:12" x14ac:dyDescent="0.25">
      <c r="A4629" t="str">
        <f t="shared" si="843"/>
        <v>89301000</v>
      </c>
      <c r="B4629" t="str">
        <f t="shared" si="833"/>
        <v>06539000</v>
      </c>
      <c r="C4629" t="str">
        <f t="shared" si="840"/>
        <v>06539003</v>
      </c>
      <c r="D4629">
        <v>89301172</v>
      </c>
      <c r="E4629" t="str">
        <f t="shared" si="839"/>
        <v>0012146145</v>
      </c>
      <c r="F4629" s="1">
        <v>45005</v>
      </c>
      <c r="G4629" t="str">
        <f>"91175"</f>
        <v>91175</v>
      </c>
      <c r="H4629">
        <v>1</v>
      </c>
      <c r="I4629">
        <v>362</v>
      </c>
      <c r="J4629">
        <v>0</v>
      </c>
      <c r="K4629" t="str">
        <f t="shared" si="842"/>
        <v>813</v>
      </c>
      <c r="L4629">
        <v>304.08</v>
      </c>
    </row>
    <row r="4630" spans="1:12" x14ac:dyDescent="0.25">
      <c r="A4630" t="str">
        <f t="shared" si="843"/>
        <v>89301000</v>
      </c>
      <c r="B4630" t="str">
        <f t="shared" si="833"/>
        <v>06539000</v>
      </c>
      <c r="C4630" t="str">
        <f t="shared" si="840"/>
        <v>06539003</v>
      </c>
      <c r="D4630">
        <v>89301172</v>
      </c>
      <c r="E4630" t="str">
        <f t="shared" si="839"/>
        <v>0012146145</v>
      </c>
      <c r="F4630" s="1">
        <v>45003</v>
      </c>
      <c r="G4630" t="str">
        <f>"91167"</f>
        <v>91167</v>
      </c>
      <c r="H4630">
        <v>1</v>
      </c>
      <c r="I4630">
        <v>426</v>
      </c>
      <c r="J4630">
        <v>0</v>
      </c>
      <c r="K4630" t="str">
        <f t="shared" si="842"/>
        <v>813</v>
      </c>
      <c r="L4630">
        <v>357.84</v>
      </c>
    </row>
    <row r="4631" spans="1:12" x14ac:dyDescent="0.25">
      <c r="A4631" t="str">
        <f t="shared" si="843"/>
        <v>89301000</v>
      </c>
      <c r="B4631" t="str">
        <f t="shared" si="833"/>
        <v>06539000</v>
      </c>
      <c r="C4631" t="str">
        <f t="shared" si="840"/>
        <v>06539003</v>
      </c>
      <c r="D4631">
        <v>89301172</v>
      </c>
      <c r="E4631" t="str">
        <f t="shared" si="839"/>
        <v>0012146145</v>
      </c>
      <c r="F4631" s="1">
        <v>45003</v>
      </c>
      <c r="G4631" t="str">
        <f>"91169"</f>
        <v>91169</v>
      </c>
      <c r="H4631">
        <v>1</v>
      </c>
      <c r="I4631">
        <v>426</v>
      </c>
      <c r="J4631">
        <v>0</v>
      </c>
      <c r="K4631" t="str">
        <f t="shared" si="842"/>
        <v>813</v>
      </c>
      <c r="L4631">
        <v>357.84</v>
      </c>
    </row>
    <row r="4632" spans="1:12" x14ac:dyDescent="0.25">
      <c r="A4632" t="str">
        <f t="shared" si="843"/>
        <v>89301000</v>
      </c>
      <c r="B4632" t="str">
        <f t="shared" si="833"/>
        <v>06539000</v>
      </c>
      <c r="C4632" t="str">
        <f t="shared" si="840"/>
        <v>06539003</v>
      </c>
      <c r="D4632">
        <v>89301172</v>
      </c>
      <c r="E4632" t="str">
        <f t="shared" si="839"/>
        <v>0012146145</v>
      </c>
      <c r="F4632" s="1">
        <v>45002</v>
      </c>
      <c r="G4632" t="str">
        <f>"91167"</f>
        <v>91167</v>
      </c>
      <c r="H4632">
        <v>1</v>
      </c>
      <c r="I4632">
        <v>426</v>
      </c>
      <c r="J4632">
        <v>0</v>
      </c>
      <c r="K4632" t="str">
        <f t="shared" si="842"/>
        <v>813</v>
      </c>
      <c r="L4632">
        <v>357.84</v>
      </c>
    </row>
    <row r="4633" spans="1:12" x14ac:dyDescent="0.25">
      <c r="A4633" t="str">
        <f t="shared" si="843"/>
        <v>89301000</v>
      </c>
      <c r="B4633" t="str">
        <f t="shared" si="833"/>
        <v>06539000</v>
      </c>
      <c r="C4633" t="str">
        <f t="shared" si="840"/>
        <v>06539003</v>
      </c>
      <c r="D4633">
        <v>89301172</v>
      </c>
      <c r="E4633" t="str">
        <f t="shared" si="839"/>
        <v>0012146145</v>
      </c>
      <c r="F4633" s="1">
        <v>45002</v>
      </c>
      <c r="G4633" t="str">
        <f>"91169"</f>
        <v>91169</v>
      </c>
      <c r="H4633">
        <v>1</v>
      </c>
      <c r="I4633">
        <v>426</v>
      </c>
      <c r="J4633">
        <v>0</v>
      </c>
      <c r="K4633" t="str">
        <f t="shared" si="842"/>
        <v>813</v>
      </c>
      <c r="L4633">
        <v>357.84</v>
      </c>
    </row>
    <row r="4634" spans="1:12" x14ac:dyDescent="0.25">
      <c r="A4634" t="str">
        <f t="shared" si="843"/>
        <v>89301000</v>
      </c>
      <c r="B4634" t="str">
        <f t="shared" si="833"/>
        <v>06539000</v>
      </c>
      <c r="C4634" t="str">
        <f t="shared" si="840"/>
        <v>06539003</v>
      </c>
      <c r="D4634">
        <v>89301172</v>
      </c>
      <c r="E4634" t="str">
        <f t="shared" si="839"/>
        <v>0012146145</v>
      </c>
      <c r="F4634" s="1">
        <v>45007</v>
      </c>
      <c r="G4634" t="str">
        <f>"91475"</f>
        <v>91475</v>
      </c>
      <c r="H4634">
        <v>1</v>
      </c>
      <c r="I4634">
        <v>213</v>
      </c>
      <c r="J4634">
        <v>0</v>
      </c>
      <c r="K4634" t="str">
        <f t="shared" si="842"/>
        <v>813</v>
      </c>
      <c r="L4634">
        <v>178.92</v>
      </c>
    </row>
    <row r="4635" spans="1:12" x14ac:dyDescent="0.25">
      <c r="A4635" t="str">
        <f t="shared" si="843"/>
        <v>89301000</v>
      </c>
      <c r="B4635" t="str">
        <f t="shared" si="833"/>
        <v>06539000</v>
      </c>
      <c r="C4635" t="str">
        <f>"06539001"</f>
        <v>06539001</v>
      </c>
      <c r="D4635">
        <v>89301171</v>
      </c>
      <c r="E4635" t="str">
        <f t="shared" ref="E4635:E4676" si="845">"8160155333"</f>
        <v>8160155333</v>
      </c>
      <c r="F4635" s="1">
        <v>45002</v>
      </c>
      <c r="G4635" t="str">
        <f>"81329"</f>
        <v>81329</v>
      </c>
      <c r="H4635">
        <v>1</v>
      </c>
      <c r="I4635">
        <v>17</v>
      </c>
      <c r="J4635">
        <v>0</v>
      </c>
      <c r="K4635" t="str">
        <f>"801"</f>
        <v>801</v>
      </c>
      <c r="L4635">
        <v>14.28</v>
      </c>
    </row>
    <row r="4636" spans="1:12" x14ac:dyDescent="0.25">
      <c r="A4636" t="str">
        <f t="shared" si="843"/>
        <v>89301000</v>
      </c>
      <c r="B4636" t="str">
        <f t="shared" si="833"/>
        <v>06539000</v>
      </c>
      <c r="C4636" t="str">
        <f>"06539001"</f>
        <v>06539001</v>
      </c>
      <c r="D4636">
        <v>89301171</v>
      </c>
      <c r="E4636" t="str">
        <f t="shared" si="845"/>
        <v>8160155333</v>
      </c>
      <c r="F4636" s="1">
        <v>45002</v>
      </c>
      <c r="G4636" t="str">
        <f>"81331"</f>
        <v>81331</v>
      </c>
      <c r="H4636">
        <v>1</v>
      </c>
      <c r="I4636">
        <v>193</v>
      </c>
      <c r="J4636">
        <v>0</v>
      </c>
      <c r="K4636" t="str">
        <f>"801"</f>
        <v>801</v>
      </c>
      <c r="L4636">
        <v>162.12</v>
      </c>
    </row>
    <row r="4637" spans="1:12" x14ac:dyDescent="0.25">
      <c r="A4637" t="str">
        <f t="shared" si="843"/>
        <v>89301000</v>
      </c>
      <c r="B4637" t="str">
        <f t="shared" si="833"/>
        <v>06539000</v>
      </c>
      <c r="C4637" t="str">
        <f t="shared" ref="C4637:C4644" si="846">"06539002"</f>
        <v>06539002</v>
      </c>
      <c r="D4637">
        <v>89301171</v>
      </c>
      <c r="E4637" t="str">
        <f t="shared" si="845"/>
        <v>8160155333</v>
      </c>
      <c r="F4637" s="1">
        <v>45002</v>
      </c>
      <c r="G4637" t="str">
        <f t="shared" ref="G4637:G4644" si="847">"82097"</f>
        <v>82097</v>
      </c>
      <c r="H4637">
        <v>1</v>
      </c>
      <c r="I4637">
        <v>381</v>
      </c>
      <c r="J4637">
        <v>0</v>
      </c>
      <c r="K4637" t="str">
        <f t="shared" ref="K4637:K4644" si="848">"802"</f>
        <v>802</v>
      </c>
      <c r="L4637">
        <v>369.57</v>
      </c>
    </row>
    <row r="4638" spans="1:12" x14ac:dyDescent="0.25">
      <c r="A4638" t="str">
        <f t="shared" si="843"/>
        <v>89301000</v>
      </c>
      <c r="B4638" t="str">
        <f t="shared" ref="B4638:B4701" si="849">"06539000"</f>
        <v>06539000</v>
      </c>
      <c r="C4638" t="str">
        <f t="shared" si="846"/>
        <v>06539002</v>
      </c>
      <c r="D4638">
        <v>89301171</v>
      </c>
      <c r="E4638" t="str">
        <f t="shared" si="845"/>
        <v>8160155333</v>
      </c>
      <c r="F4638" s="1">
        <v>45002</v>
      </c>
      <c r="G4638" t="str">
        <f t="shared" si="847"/>
        <v>82097</v>
      </c>
      <c r="H4638">
        <v>1</v>
      </c>
      <c r="I4638">
        <v>381</v>
      </c>
      <c r="J4638">
        <v>0</v>
      </c>
      <c r="K4638" t="str">
        <f t="shared" si="848"/>
        <v>802</v>
      </c>
      <c r="L4638">
        <v>369.57</v>
      </c>
    </row>
    <row r="4639" spans="1:12" x14ac:dyDescent="0.25">
      <c r="A4639" t="str">
        <f t="shared" si="843"/>
        <v>89301000</v>
      </c>
      <c r="B4639" t="str">
        <f t="shared" si="849"/>
        <v>06539000</v>
      </c>
      <c r="C4639" t="str">
        <f t="shared" si="846"/>
        <v>06539002</v>
      </c>
      <c r="D4639">
        <v>89301171</v>
      </c>
      <c r="E4639" t="str">
        <f t="shared" si="845"/>
        <v>8160155333</v>
      </c>
      <c r="F4639" s="1">
        <v>45002</v>
      </c>
      <c r="G4639" t="str">
        <f t="shared" si="847"/>
        <v>82097</v>
      </c>
      <c r="H4639">
        <v>1</v>
      </c>
      <c r="I4639">
        <v>381</v>
      </c>
      <c r="J4639">
        <v>0</v>
      </c>
      <c r="K4639" t="str">
        <f t="shared" si="848"/>
        <v>802</v>
      </c>
      <c r="L4639">
        <v>369.57</v>
      </c>
    </row>
    <row r="4640" spans="1:12" x14ac:dyDescent="0.25">
      <c r="A4640" t="str">
        <f t="shared" si="843"/>
        <v>89301000</v>
      </c>
      <c r="B4640" t="str">
        <f t="shared" si="849"/>
        <v>06539000</v>
      </c>
      <c r="C4640" t="str">
        <f t="shared" si="846"/>
        <v>06539002</v>
      </c>
      <c r="D4640">
        <v>89301171</v>
      </c>
      <c r="E4640" t="str">
        <f t="shared" si="845"/>
        <v>8160155333</v>
      </c>
      <c r="F4640" s="1">
        <v>45002</v>
      </c>
      <c r="G4640" t="str">
        <f t="shared" si="847"/>
        <v>82097</v>
      </c>
      <c r="H4640">
        <v>1</v>
      </c>
      <c r="I4640">
        <v>381</v>
      </c>
      <c r="J4640">
        <v>0</v>
      </c>
      <c r="K4640" t="str">
        <f t="shared" si="848"/>
        <v>802</v>
      </c>
      <c r="L4640">
        <v>369.57</v>
      </c>
    </row>
    <row r="4641" spans="1:12" x14ac:dyDescent="0.25">
      <c r="A4641" t="str">
        <f t="shared" si="843"/>
        <v>89301000</v>
      </c>
      <c r="B4641" t="str">
        <f t="shared" si="849"/>
        <v>06539000</v>
      </c>
      <c r="C4641" t="str">
        <f t="shared" si="846"/>
        <v>06539002</v>
      </c>
      <c r="D4641">
        <v>89301171</v>
      </c>
      <c r="E4641" t="str">
        <f t="shared" si="845"/>
        <v>8160155333</v>
      </c>
      <c r="F4641" s="1">
        <v>45002</v>
      </c>
      <c r="G4641" t="str">
        <f t="shared" si="847"/>
        <v>82097</v>
      </c>
      <c r="H4641">
        <v>1</v>
      </c>
      <c r="I4641">
        <v>381</v>
      </c>
      <c r="J4641">
        <v>0</v>
      </c>
      <c r="K4641" t="str">
        <f t="shared" si="848"/>
        <v>802</v>
      </c>
      <c r="L4641">
        <v>369.57</v>
      </c>
    </row>
    <row r="4642" spans="1:12" x14ac:dyDescent="0.25">
      <c r="A4642" t="str">
        <f t="shared" si="843"/>
        <v>89301000</v>
      </c>
      <c r="B4642" t="str">
        <f t="shared" si="849"/>
        <v>06539000</v>
      </c>
      <c r="C4642" t="str">
        <f t="shared" si="846"/>
        <v>06539002</v>
      </c>
      <c r="D4642">
        <v>89301171</v>
      </c>
      <c r="E4642" t="str">
        <f t="shared" si="845"/>
        <v>8160155333</v>
      </c>
      <c r="F4642" s="1">
        <v>45002</v>
      </c>
      <c r="G4642" t="str">
        <f t="shared" si="847"/>
        <v>82097</v>
      </c>
      <c r="H4642">
        <v>1</v>
      </c>
      <c r="I4642">
        <v>381</v>
      </c>
      <c r="J4642">
        <v>0</v>
      </c>
      <c r="K4642" t="str">
        <f t="shared" si="848"/>
        <v>802</v>
      </c>
      <c r="L4642">
        <v>369.57</v>
      </c>
    </row>
    <row r="4643" spans="1:12" x14ac:dyDescent="0.25">
      <c r="A4643" t="str">
        <f t="shared" si="843"/>
        <v>89301000</v>
      </c>
      <c r="B4643" t="str">
        <f t="shared" si="849"/>
        <v>06539000</v>
      </c>
      <c r="C4643" t="str">
        <f t="shared" si="846"/>
        <v>06539002</v>
      </c>
      <c r="D4643">
        <v>89301171</v>
      </c>
      <c r="E4643" t="str">
        <f t="shared" si="845"/>
        <v>8160155333</v>
      </c>
      <c r="F4643" s="1">
        <v>45002</v>
      </c>
      <c r="G4643" t="str">
        <f t="shared" si="847"/>
        <v>82097</v>
      </c>
      <c r="H4643">
        <v>1</v>
      </c>
      <c r="I4643">
        <v>381</v>
      </c>
      <c r="J4643">
        <v>0</v>
      </c>
      <c r="K4643" t="str">
        <f t="shared" si="848"/>
        <v>802</v>
      </c>
      <c r="L4643">
        <v>369.57</v>
      </c>
    </row>
    <row r="4644" spans="1:12" x14ac:dyDescent="0.25">
      <c r="A4644" t="str">
        <f t="shared" si="843"/>
        <v>89301000</v>
      </c>
      <c r="B4644" t="str">
        <f t="shared" si="849"/>
        <v>06539000</v>
      </c>
      <c r="C4644" t="str">
        <f t="shared" si="846"/>
        <v>06539002</v>
      </c>
      <c r="D4644">
        <v>89301171</v>
      </c>
      <c r="E4644" t="str">
        <f t="shared" si="845"/>
        <v>8160155333</v>
      </c>
      <c r="F4644" s="1">
        <v>45002</v>
      </c>
      <c r="G4644" t="str">
        <f t="shared" si="847"/>
        <v>82097</v>
      </c>
      <c r="H4644">
        <v>1</v>
      </c>
      <c r="I4644">
        <v>381</v>
      </c>
      <c r="J4644">
        <v>0</v>
      </c>
      <c r="K4644" t="str">
        <f t="shared" si="848"/>
        <v>802</v>
      </c>
      <c r="L4644">
        <v>369.57</v>
      </c>
    </row>
    <row r="4645" spans="1:12" x14ac:dyDescent="0.25">
      <c r="A4645" t="str">
        <f t="shared" si="843"/>
        <v>89301000</v>
      </c>
      <c r="B4645" t="str">
        <f t="shared" si="849"/>
        <v>06539000</v>
      </c>
      <c r="C4645" t="str">
        <f t="shared" ref="C4645:C4676" si="850">"06539003"</f>
        <v>06539003</v>
      </c>
      <c r="D4645">
        <v>89301171</v>
      </c>
      <c r="E4645" t="str">
        <f t="shared" si="845"/>
        <v>8160155333</v>
      </c>
      <c r="F4645" s="1">
        <v>45007</v>
      </c>
      <c r="G4645" t="str">
        <f t="shared" ref="G4645:G4654" si="851">"91413"</f>
        <v>91413</v>
      </c>
      <c r="H4645">
        <v>1</v>
      </c>
      <c r="I4645">
        <v>868</v>
      </c>
      <c r="J4645">
        <v>0</v>
      </c>
      <c r="K4645" t="str">
        <f t="shared" ref="K4645:K4676" si="852">"813"</f>
        <v>813</v>
      </c>
      <c r="L4645">
        <v>729.12</v>
      </c>
    </row>
    <row r="4646" spans="1:12" x14ac:dyDescent="0.25">
      <c r="A4646" t="str">
        <f t="shared" si="843"/>
        <v>89301000</v>
      </c>
      <c r="B4646" t="str">
        <f t="shared" si="849"/>
        <v>06539000</v>
      </c>
      <c r="C4646" t="str">
        <f t="shared" si="850"/>
        <v>06539003</v>
      </c>
      <c r="D4646">
        <v>89301171</v>
      </c>
      <c r="E4646" t="str">
        <f t="shared" si="845"/>
        <v>8160155333</v>
      </c>
      <c r="F4646" s="1">
        <v>45007</v>
      </c>
      <c r="G4646" t="str">
        <f t="shared" si="851"/>
        <v>91413</v>
      </c>
      <c r="H4646">
        <v>1</v>
      </c>
      <c r="I4646">
        <v>868</v>
      </c>
      <c r="J4646">
        <v>0</v>
      </c>
      <c r="K4646" t="str">
        <f t="shared" si="852"/>
        <v>813</v>
      </c>
      <c r="L4646">
        <v>729.12</v>
      </c>
    </row>
    <row r="4647" spans="1:12" x14ac:dyDescent="0.25">
      <c r="A4647" t="str">
        <f t="shared" si="843"/>
        <v>89301000</v>
      </c>
      <c r="B4647" t="str">
        <f t="shared" si="849"/>
        <v>06539000</v>
      </c>
      <c r="C4647" t="str">
        <f t="shared" si="850"/>
        <v>06539003</v>
      </c>
      <c r="D4647">
        <v>89301171</v>
      </c>
      <c r="E4647" t="str">
        <f t="shared" si="845"/>
        <v>8160155333</v>
      </c>
      <c r="F4647" s="1">
        <v>45022</v>
      </c>
      <c r="G4647" t="str">
        <f t="shared" si="851"/>
        <v>91413</v>
      </c>
      <c r="H4647">
        <v>1</v>
      </c>
      <c r="I4647">
        <v>868</v>
      </c>
      <c r="J4647">
        <v>0</v>
      </c>
      <c r="K4647" t="str">
        <f t="shared" si="852"/>
        <v>813</v>
      </c>
      <c r="L4647">
        <v>729.12</v>
      </c>
    </row>
    <row r="4648" spans="1:12" x14ac:dyDescent="0.25">
      <c r="A4648" t="str">
        <f t="shared" si="843"/>
        <v>89301000</v>
      </c>
      <c r="B4648" t="str">
        <f t="shared" si="849"/>
        <v>06539000</v>
      </c>
      <c r="C4648" t="str">
        <f t="shared" si="850"/>
        <v>06539003</v>
      </c>
      <c r="D4648">
        <v>89301171</v>
      </c>
      <c r="E4648" t="str">
        <f t="shared" si="845"/>
        <v>8160155333</v>
      </c>
      <c r="F4648" s="1">
        <v>45022</v>
      </c>
      <c r="G4648" t="str">
        <f t="shared" si="851"/>
        <v>91413</v>
      </c>
      <c r="H4648">
        <v>1</v>
      </c>
      <c r="I4648">
        <v>868</v>
      </c>
      <c r="J4648">
        <v>0</v>
      </c>
      <c r="K4648" t="str">
        <f t="shared" si="852"/>
        <v>813</v>
      </c>
      <c r="L4648">
        <v>729.12</v>
      </c>
    </row>
    <row r="4649" spans="1:12" x14ac:dyDescent="0.25">
      <c r="A4649" t="str">
        <f t="shared" si="843"/>
        <v>89301000</v>
      </c>
      <c r="B4649" t="str">
        <f t="shared" si="849"/>
        <v>06539000</v>
      </c>
      <c r="C4649" t="str">
        <f t="shared" si="850"/>
        <v>06539003</v>
      </c>
      <c r="D4649">
        <v>89301171</v>
      </c>
      <c r="E4649" t="str">
        <f t="shared" si="845"/>
        <v>8160155333</v>
      </c>
      <c r="F4649" s="1">
        <v>45021</v>
      </c>
      <c r="G4649" t="str">
        <f t="shared" si="851"/>
        <v>91413</v>
      </c>
      <c r="H4649">
        <v>1</v>
      </c>
      <c r="I4649">
        <v>868</v>
      </c>
      <c r="J4649">
        <v>0</v>
      </c>
      <c r="K4649" t="str">
        <f t="shared" si="852"/>
        <v>813</v>
      </c>
      <c r="L4649">
        <v>729.12</v>
      </c>
    </row>
    <row r="4650" spans="1:12" x14ac:dyDescent="0.25">
      <c r="A4650" t="str">
        <f t="shared" si="843"/>
        <v>89301000</v>
      </c>
      <c r="B4650" t="str">
        <f t="shared" si="849"/>
        <v>06539000</v>
      </c>
      <c r="C4650" t="str">
        <f t="shared" si="850"/>
        <v>06539003</v>
      </c>
      <c r="D4650">
        <v>89301171</v>
      </c>
      <c r="E4650" t="str">
        <f t="shared" si="845"/>
        <v>8160155333</v>
      </c>
      <c r="F4650" s="1">
        <v>45021</v>
      </c>
      <c r="G4650" t="str">
        <f t="shared" si="851"/>
        <v>91413</v>
      </c>
      <c r="H4650">
        <v>1</v>
      </c>
      <c r="I4650">
        <v>868</v>
      </c>
      <c r="J4650">
        <v>0</v>
      </c>
      <c r="K4650" t="str">
        <f t="shared" si="852"/>
        <v>813</v>
      </c>
      <c r="L4650">
        <v>729.12</v>
      </c>
    </row>
    <row r="4651" spans="1:12" x14ac:dyDescent="0.25">
      <c r="A4651" t="str">
        <f t="shared" si="843"/>
        <v>89301000</v>
      </c>
      <c r="B4651" t="str">
        <f t="shared" si="849"/>
        <v>06539000</v>
      </c>
      <c r="C4651" t="str">
        <f t="shared" si="850"/>
        <v>06539003</v>
      </c>
      <c r="D4651">
        <v>89301171</v>
      </c>
      <c r="E4651" t="str">
        <f t="shared" si="845"/>
        <v>8160155333</v>
      </c>
      <c r="F4651" s="1">
        <v>45022</v>
      </c>
      <c r="G4651" t="str">
        <f t="shared" si="851"/>
        <v>91413</v>
      </c>
      <c r="H4651">
        <v>1</v>
      </c>
      <c r="I4651">
        <v>868</v>
      </c>
      <c r="J4651">
        <v>0</v>
      </c>
      <c r="K4651" t="str">
        <f t="shared" si="852"/>
        <v>813</v>
      </c>
      <c r="L4651">
        <v>729.12</v>
      </c>
    </row>
    <row r="4652" spans="1:12" x14ac:dyDescent="0.25">
      <c r="A4652" t="str">
        <f t="shared" si="843"/>
        <v>89301000</v>
      </c>
      <c r="B4652" t="str">
        <f t="shared" si="849"/>
        <v>06539000</v>
      </c>
      <c r="C4652" t="str">
        <f t="shared" si="850"/>
        <v>06539003</v>
      </c>
      <c r="D4652">
        <v>89301171</v>
      </c>
      <c r="E4652" t="str">
        <f t="shared" si="845"/>
        <v>8160155333</v>
      </c>
      <c r="F4652" s="1">
        <v>45022</v>
      </c>
      <c r="G4652" t="str">
        <f t="shared" si="851"/>
        <v>91413</v>
      </c>
      <c r="H4652">
        <v>1</v>
      </c>
      <c r="I4652">
        <v>868</v>
      </c>
      <c r="J4652">
        <v>0</v>
      </c>
      <c r="K4652" t="str">
        <f t="shared" si="852"/>
        <v>813</v>
      </c>
      <c r="L4652">
        <v>729.12</v>
      </c>
    </row>
    <row r="4653" spans="1:12" x14ac:dyDescent="0.25">
      <c r="A4653" t="str">
        <f t="shared" si="843"/>
        <v>89301000</v>
      </c>
      <c r="B4653" t="str">
        <f t="shared" si="849"/>
        <v>06539000</v>
      </c>
      <c r="C4653" t="str">
        <f t="shared" si="850"/>
        <v>06539003</v>
      </c>
      <c r="D4653">
        <v>89301171</v>
      </c>
      <c r="E4653" t="str">
        <f t="shared" si="845"/>
        <v>8160155333</v>
      </c>
      <c r="F4653" s="1">
        <v>45022</v>
      </c>
      <c r="G4653" t="str">
        <f t="shared" si="851"/>
        <v>91413</v>
      </c>
      <c r="H4653">
        <v>1</v>
      </c>
      <c r="I4653">
        <v>868</v>
      </c>
      <c r="J4653">
        <v>0</v>
      </c>
      <c r="K4653" t="str">
        <f t="shared" si="852"/>
        <v>813</v>
      </c>
      <c r="L4653">
        <v>729.12</v>
      </c>
    </row>
    <row r="4654" spans="1:12" x14ac:dyDescent="0.25">
      <c r="A4654" t="str">
        <f t="shared" si="843"/>
        <v>89301000</v>
      </c>
      <c r="B4654" t="str">
        <f t="shared" si="849"/>
        <v>06539000</v>
      </c>
      <c r="C4654" t="str">
        <f t="shared" si="850"/>
        <v>06539003</v>
      </c>
      <c r="D4654">
        <v>89301171</v>
      </c>
      <c r="E4654" t="str">
        <f t="shared" si="845"/>
        <v>8160155333</v>
      </c>
      <c r="F4654" s="1">
        <v>45022</v>
      </c>
      <c r="G4654" t="str">
        <f t="shared" si="851"/>
        <v>91413</v>
      </c>
      <c r="H4654">
        <v>1</v>
      </c>
      <c r="I4654">
        <v>868</v>
      </c>
      <c r="J4654">
        <v>0</v>
      </c>
      <c r="K4654" t="str">
        <f t="shared" si="852"/>
        <v>813</v>
      </c>
      <c r="L4654">
        <v>729.12</v>
      </c>
    </row>
    <row r="4655" spans="1:12" x14ac:dyDescent="0.25">
      <c r="A4655" t="str">
        <f t="shared" si="843"/>
        <v>89301000</v>
      </c>
      <c r="B4655" t="str">
        <f t="shared" si="849"/>
        <v>06539000</v>
      </c>
      <c r="C4655" t="str">
        <f t="shared" si="850"/>
        <v>06539003</v>
      </c>
      <c r="D4655">
        <v>89301171</v>
      </c>
      <c r="E4655" t="str">
        <f t="shared" si="845"/>
        <v>8160155333</v>
      </c>
      <c r="F4655" s="1">
        <v>45002</v>
      </c>
      <c r="G4655" t="str">
        <f t="shared" ref="G4655:G4661" si="853">"91197"</f>
        <v>91197</v>
      </c>
      <c r="H4655">
        <v>1</v>
      </c>
      <c r="I4655">
        <v>1048</v>
      </c>
      <c r="J4655">
        <v>0</v>
      </c>
      <c r="K4655" t="str">
        <f t="shared" si="852"/>
        <v>813</v>
      </c>
      <c r="L4655">
        <v>880.32</v>
      </c>
    </row>
    <row r="4656" spans="1:12" x14ac:dyDescent="0.25">
      <c r="A4656" t="str">
        <f t="shared" si="843"/>
        <v>89301000</v>
      </c>
      <c r="B4656" t="str">
        <f t="shared" si="849"/>
        <v>06539000</v>
      </c>
      <c r="C4656" t="str">
        <f t="shared" si="850"/>
        <v>06539003</v>
      </c>
      <c r="D4656">
        <v>89301171</v>
      </c>
      <c r="E4656" t="str">
        <f t="shared" si="845"/>
        <v>8160155333</v>
      </c>
      <c r="F4656" s="1">
        <v>45005</v>
      </c>
      <c r="G4656" t="str">
        <f t="shared" si="853"/>
        <v>91197</v>
      </c>
      <c r="H4656">
        <v>1</v>
      </c>
      <c r="I4656">
        <v>1048</v>
      </c>
      <c r="J4656">
        <v>0</v>
      </c>
      <c r="K4656" t="str">
        <f t="shared" si="852"/>
        <v>813</v>
      </c>
      <c r="L4656">
        <v>880.32</v>
      </c>
    </row>
    <row r="4657" spans="1:12" x14ac:dyDescent="0.25">
      <c r="A4657" t="str">
        <f t="shared" si="843"/>
        <v>89301000</v>
      </c>
      <c r="B4657" t="str">
        <f t="shared" si="849"/>
        <v>06539000</v>
      </c>
      <c r="C4657" t="str">
        <f t="shared" si="850"/>
        <v>06539003</v>
      </c>
      <c r="D4657">
        <v>89301171</v>
      </c>
      <c r="E4657" t="str">
        <f t="shared" si="845"/>
        <v>8160155333</v>
      </c>
      <c r="F4657" s="1">
        <v>45005</v>
      </c>
      <c r="G4657" t="str">
        <f t="shared" si="853"/>
        <v>91197</v>
      </c>
      <c r="H4657">
        <v>1</v>
      </c>
      <c r="I4657">
        <v>1048</v>
      </c>
      <c r="J4657">
        <v>0</v>
      </c>
      <c r="K4657" t="str">
        <f t="shared" si="852"/>
        <v>813</v>
      </c>
      <c r="L4657">
        <v>880.32</v>
      </c>
    </row>
    <row r="4658" spans="1:12" x14ac:dyDescent="0.25">
      <c r="A4658" t="str">
        <f t="shared" si="843"/>
        <v>89301000</v>
      </c>
      <c r="B4658" t="str">
        <f t="shared" si="849"/>
        <v>06539000</v>
      </c>
      <c r="C4658" t="str">
        <f t="shared" si="850"/>
        <v>06539003</v>
      </c>
      <c r="D4658">
        <v>89301171</v>
      </c>
      <c r="E4658" t="str">
        <f t="shared" si="845"/>
        <v>8160155333</v>
      </c>
      <c r="F4658" s="1">
        <v>45004</v>
      </c>
      <c r="G4658" t="str">
        <f t="shared" si="853"/>
        <v>91197</v>
      </c>
      <c r="H4658">
        <v>1</v>
      </c>
      <c r="I4658">
        <v>1048</v>
      </c>
      <c r="J4658">
        <v>0</v>
      </c>
      <c r="K4658" t="str">
        <f t="shared" si="852"/>
        <v>813</v>
      </c>
      <c r="L4658">
        <v>880.32</v>
      </c>
    </row>
    <row r="4659" spans="1:12" x14ac:dyDescent="0.25">
      <c r="A4659" t="str">
        <f t="shared" si="843"/>
        <v>89301000</v>
      </c>
      <c r="B4659" t="str">
        <f t="shared" si="849"/>
        <v>06539000</v>
      </c>
      <c r="C4659" t="str">
        <f t="shared" si="850"/>
        <v>06539003</v>
      </c>
      <c r="D4659">
        <v>89301171</v>
      </c>
      <c r="E4659" t="str">
        <f t="shared" si="845"/>
        <v>8160155333</v>
      </c>
      <c r="F4659" s="1">
        <v>45004</v>
      </c>
      <c r="G4659" t="str">
        <f t="shared" si="853"/>
        <v>91197</v>
      </c>
      <c r="H4659">
        <v>1</v>
      </c>
      <c r="I4659">
        <v>1048</v>
      </c>
      <c r="J4659">
        <v>0</v>
      </c>
      <c r="K4659" t="str">
        <f t="shared" si="852"/>
        <v>813</v>
      </c>
      <c r="L4659">
        <v>880.32</v>
      </c>
    </row>
    <row r="4660" spans="1:12" x14ac:dyDescent="0.25">
      <c r="A4660" t="str">
        <f t="shared" si="843"/>
        <v>89301000</v>
      </c>
      <c r="B4660" t="str">
        <f t="shared" si="849"/>
        <v>06539000</v>
      </c>
      <c r="C4660" t="str">
        <f t="shared" si="850"/>
        <v>06539003</v>
      </c>
      <c r="D4660">
        <v>89301171</v>
      </c>
      <c r="E4660" t="str">
        <f t="shared" si="845"/>
        <v>8160155333</v>
      </c>
      <c r="F4660" s="1">
        <v>45003</v>
      </c>
      <c r="G4660" t="str">
        <f t="shared" si="853"/>
        <v>91197</v>
      </c>
      <c r="H4660">
        <v>1</v>
      </c>
      <c r="I4660">
        <v>1048</v>
      </c>
      <c r="J4660">
        <v>0</v>
      </c>
      <c r="K4660" t="str">
        <f t="shared" si="852"/>
        <v>813</v>
      </c>
      <c r="L4660">
        <v>880.32</v>
      </c>
    </row>
    <row r="4661" spans="1:12" x14ac:dyDescent="0.25">
      <c r="A4661" t="str">
        <f t="shared" si="843"/>
        <v>89301000</v>
      </c>
      <c r="B4661" t="str">
        <f t="shared" si="849"/>
        <v>06539000</v>
      </c>
      <c r="C4661" t="str">
        <f t="shared" si="850"/>
        <v>06539003</v>
      </c>
      <c r="D4661">
        <v>89301171</v>
      </c>
      <c r="E4661" t="str">
        <f t="shared" si="845"/>
        <v>8160155333</v>
      </c>
      <c r="F4661" s="1">
        <v>45003</v>
      </c>
      <c r="G4661" t="str">
        <f t="shared" si="853"/>
        <v>91197</v>
      </c>
      <c r="H4661">
        <v>1</v>
      </c>
      <c r="I4661">
        <v>1048</v>
      </c>
      <c r="J4661">
        <v>0</v>
      </c>
      <c r="K4661" t="str">
        <f t="shared" si="852"/>
        <v>813</v>
      </c>
      <c r="L4661">
        <v>880.32</v>
      </c>
    </row>
    <row r="4662" spans="1:12" x14ac:dyDescent="0.25">
      <c r="A4662" t="str">
        <f t="shared" si="843"/>
        <v>89301000</v>
      </c>
      <c r="B4662" t="str">
        <f t="shared" si="849"/>
        <v>06539000</v>
      </c>
      <c r="C4662" t="str">
        <f t="shared" si="850"/>
        <v>06539003</v>
      </c>
      <c r="D4662">
        <v>89301171</v>
      </c>
      <c r="E4662" t="str">
        <f t="shared" si="845"/>
        <v>8160155333</v>
      </c>
      <c r="F4662" s="1">
        <v>45013</v>
      </c>
      <c r="G4662" t="str">
        <f>"91329"</f>
        <v>91329</v>
      </c>
      <c r="H4662">
        <v>2</v>
      </c>
      <c r="I4662">
        <v>436</v>
      </c>
      <c r="J4662">
        <v>0</v>
      </c>
      <c r="K4662" t="str">
        <f t="shared" si="852"/>
        <v>813</v>
      </c>
      <c r="L4662">
        <v>366.24</v>
      </c>
    </row>
    <row r="4663" spans="1:12" x14ac:dyDescent="0.25">
      <c r="A4663" t="str">
        <f t="shared" si="843"/>
        <v>89301000</v>
      </c>
      <c r="B4663" t="str">
        <f t="shared" si="849"/>
        <v>06539000</v>
      </c>
      <c r="C4663" t="str">
        <f t="shared" si="850"/>
        <v>06539003</v>
      </c>
      <c r="D4663">
        <v>89301171</v>
      </c>
      <c r="E4663" t="str">
        <f t="shared" si="845"/>
        <v>8160155333</v>
      </c>
      <c r="F4663" s="1">
        <v>45013</v>
      </c>
      <c r="G4663" t="str">
        <f>"91329"</f>
        <v>91329</v>
      </c>
      <c r="H4663">
        <v>2</v>
      </c>
      <c r="I4663">
        <v>436</v>
      </c>
      <c r="J4663">
        <v>0</v>
      </c>
      <c r="K4663" t="str">
        <f t="shared" si="852"/>
        <v>813</v>
      </c>
      <c r="L4663">
        <v>366.24</v>
      </c>
    </row>
    <row r="4664" spans="1:12" x14ac:dyDescent="0.25">
      <c r="A4664" t="str">
        <f t="shared" si="843"/>
        <v>89301000</v>
      </c>
      <c r="B4664" t="str">
        <f t="shared" si="849"/>
        <v>06539000</v>
      </c>
      <c r="C4664" t="str">
        <f t="shared" si="850"/>
        <v>06539003</v>
      </c>
      <c r="D4664">
        <v>89301171</v>
      </c>
      <c r="E4664" t="str">
        <f t="shared" si="845"/>
        <v>8160155333</v>
      </c>
      <c r="F4664" s="1">
        <v>45006</v>
      </c>
      <c r="G4664" t="str">
        <f>"91329"</f>
        <v>91329</v>
      </c>
      <c r="H4664">
        <v>2</v>
      </c>
      <c r="I4664">
        <v>436</v>
      </c>
      <c r="J4664">
        <v>0</v>
      </c>
      <c r="K4664" t="str">
        <f t="shared" si="852"/>
        <v>813</v>
      </c>
      <c r="L4664">
        <v>366.24</v>
      </c>
    </row>
    <row r="4665" spans="1:12" x14ac:dyDescent="0.25">
      <c r="A4665" t="str">
        <f t="shared" si="843"/>
        <v>89301000</v>
      </c>
      <c r="B4665" t="str">
        <f t="shared" si="849"/>
        <v>06539000</v>
      </c>
      <c r="C4665" t="str">
        <f t="shared" si="850"/>
        <v>06539003</v>
      </c>
      <c r="D4665">
        <v>89301171</v>
      </c>
      <c r="E4665" t="str">
        <f t="shared" si="845"/>
        <v>8160155333</v>
      </c>
      <c r="F4665" s="1">
        <v>45006</v>
      </c>
      <c r="G4665" t="str">
        <f>"91329"</f>
        <v>91329</v>
      </c>
      <c r="H4665">
        <v>2</v>
      </c>
      <c r="I4665">
        <v>436</v>
      </c>
      <c r="J4665">
        <v>0</v>
      </c>
      <c r="K4665" t="str">
        <f t="shared" si="852"/>
        <v>813</v>
      </c>
      <c r="L4665">
        <v>366.24</v>
      </c>
    </row>
    <row r="4666" spans="1:12" x14ac:dyDescent="0.25">
      <c r="A4666" t="str">
        <f t="shared" si="843"/>
        <v>89301000</v>
      </c>
      <c r="B4666" t="str">
        <f t="shared" si="849"/>
        <v>06539000</v>
      </c>
      <c r="C4666" t="str">
        <f t="shared" si="850"/>
        <v>06539003</v>
      </c>
      <c r="D4666">
        <v>89301171</v>
      </c>
      <c r="E4666" t="str">
        <f t="shared" si="845"/>
        <v>8160155333</v>
      </c>
      <c r="F4666" s="1">
        <v>45005</v>
      </c>
      <c r="G4666" t="str">
        <f>"91129"</f>
        <v>91129</v>
      </c>
      <c r="H4666">
        <v>1</v>
      </c>
      <c r="I4666">
        <v>175</v>
      </c>
      <c r="J4666">
        <v>0</v>
      </c>
      <c r="K4666" t="str">
        <f t="shared" si="852"/>
        <v>813</v>
      </c>
      <c r="L4666">
        <v>147</v>
      </c>
    </row>
    <row r="4667" spans="1:12" x14ac:dyDescent="0.25">
      <c r="A4667" t="str">
        <f t="shared" si="843"/>
        <v>89301000</v>
      </c>
      <c r="B4667" t="str">
        <f t="shared" si="849"/>
        <v>06539000</v>
      </c>
      <c r="C4667" t="str">
        <f t="shared" si="850"/>
        <v>06539003</v>
      </c>
      <c r="D4667">
        <v>89301171</v>
      </c>
      <c r="E4667" t="str">
        <f t="shared" si="845"/>
        <v>8160155333</v>
      </c>
      <c r="F4667" s="1">
        <v>45005</v>
      </c>
      <c r="G4667" t="str">
        <f>"91131"</f>
        <v>91131</v>
      </c>
      <c r="H4667">
        <v>1</v>
      </c>
      <c r="I4667">
        <v>171</v>
      </c>
      <c r="J4667">
        <v>0</v>
      </c>
      <c r="K4667" t="str">
        <f t="shared" si="852"/>
        <v>813</v>
      </c>
      <c r="L4667">
        <v>143.63999999999999</v>
      </c>
    </row>
    <row r="4668" spans="1:12" x14ac:dyDescent="0.25">
      <c r="A4668" t="str">
        <f t="shared" si="843"/>
        <v>89301000</v>
      </c>
      <c r="B4668" t="str">
        <f t="shared" si="849"/>
        <v>06539000</v>
      </c>
      <c r="C4668" t="str">
        <f t="shared" si="850"/>
        <v>06539003</v>
      </c>
      <c r="D4668">
        <v>89301171</v>
      </c>
      <c r="E4668" t="str">
        <f t="shared" si="845"/>
        <v>8160155333</v>
      </c>
      <c r="F4668" s="1">
        <v>45005</v>
      </c>
      <c r="G4668" t="str">
        <f>"91133"</f>
        <v>91133</v>
      </c>
      <c r="H4668">
        <v>1</v>
      </c>
      <c r="I4668">
        <v>177</v>
      </c>
      <c r="J4668">
        <v>0</v>
      </c>
      <c r="K4668" t="str">
        <f t="shared" si="852"/>
        <v>813</v>
      </c>
      <c r="L4668">
        <v>148.68</v>
      </c>
    </row>
    <row r="4669" spans="1:12" x14ac:dyDescent="0.25">
      <c r="A4669" t="str">
        <f t="shared" si="843"/>
        <v>89301000</v>
      </c>
      <c r="B4669" t="str">
        <f t="shared" si="849"/>
        <v>06539000</v>
      </c>
      <c r="C4669" t="str">
        <f t="shared" si="850"/>
        <v>06539003</v>
      </c>
      <c r="D4669">
        <v>89301171</v>
      </c>
      <c r="E4669" t="str">
        <f t="shared" si="845"/>
        <v>8160155333</v>
      </c>
      <c r="F4669" s="1">
        <v>45005</v>
      </c>
      <c r="G4669" t="str">
        <f>"91171"</f>
        <v>91171</v>
      </c>
      <c r="H4669">
        <v>1</v>
      </c>
      <c r="I4669">
        <v>362</v>
      </c>
      <c r="J4669">
        <v>0</v>
      </c>
      <c r="K4669" t="str">
        <f t="shared" si="852"/>
        <v>813</v>
      </c>
      <c r="L4669">
        <v>304.08</v>
      </c>
    </row>
    <row r="4670" spans="1:12" x14ac:dyDescent="0.25">
      <c r="A4670" t="str">
        <f t="shared" si="843"/>
        <v>89301000</v>
      </c>
      <c r="B4670" t="str">
        <f t="shared" si="849"/>
        <v>06539000</v>
      </c>
      <c r="C4670" t="str">
        <f t="shared" si="850"/>
        <v>06539003</v>
      </c>
      <c r="D4670">
        <v>89301171</v>
      </c>
      <c r="E4670" t="str">
        <f t="shared" si="845"/>
        <v>8160155333</v>
      </c>
      <c r="F4670" s="1">
        <v>45002</v>
      </c>
      <c r="G4670" t="str">
        <f>"91173"</f>
        <v>91173</v>
      </c>
      <c r="H4670">
        <v>1</v>
      </c>
      <c r="I4670">
        <v>337</v>
      </c>
      <c r="J4670">
        <v>0</v>
      </c>
      <c r="K4670" t="str">
        <f t="shared" si="852"/>
        <v>813</v>
      </c>
      <c r="L4670">
        <v>283.08</v>
      </c>
    </row>
    <row r="4671" spans="1:12" x14ac:dyDescent="0.25">
      <c r="A4671" t="str">
        <f t="shared" si="843"/>
        <v>89301000</v>
      </c>
      <c r="B4671" t="str">
        <f t="shared" si="849"/>
        <v>06539000</v>
      </c>
      <c r="C4671" t="str">
        <f t="shared" si="850"/>
        <v>06539003</v>
      </c>
      <c r="D4671">
        <v>89301171</v>
      </c>
      <c r="E4671" t="str">
        <f t="shared" si="845"/>
        <v>8160155333</v>
      </c>
      <c r="F4671" s="1">
        <v>45005</v>
      </c>
      <c r="G4671" t="str">
        <f>"91175"</f>
        <v>91175</v>
      </c>
      <c r="H4671">
        <v>1</v>
      </c>
      <c r="I4671">
        <v>362</v>
      </c>
      <c r="J4671">
        <v>0</v>
      </c>
      <c r="K4671" t="str">
        <f t="shared" si="852"/>
        <v>813</v>
      </c>
      <c r="L4671">
        <v>304.08</v>
      </c>
    </row>
    <row r="4672" spans="1:12" x14ac:dyDescent="0.25">
      <c r="A4672" t="str">
        <f t="shared" si="843"/>
        <v>89301000</v>
      </c>
      <c r="B4672" t="str">
        <f t="shared" si="849"/>
        <v>06539000</v>
      </c>
      <c r="C4672" t="str">
        <f t="shared" si="850"/>
        <v>06539003</v>
      </c>
      <c r="D4672">
        <v>89301171</v>
      </c>
      <c r="E4672" t="str">
        <f t="shared" si="845"/>
        <v>8160155333</v>
      </c>
      <c r="F4672" s="1">
        <v>45003</v>
      </c>
      <c r="G4672" t="str">
        <f>"91167"</f>
        <v>91167</v>
      </c>
      <c r="H4672">
        <v>1</v>
      </c>
      <c r="I4672">
        <v>426</v>
      </c>
      <c r="J4672">
        <v>0</v>
      </c>
      <c r="K4672" t="str">
        <f t="shared" si="852"/>
        <v>813</v>
      </c>
      <c r="L4672">
        <v>357.84</v>
      </c>
    </row>
    <row r="4673" spans="1:12" x14ac:dyDescent="0.25">
      <c r="A4673" t="str">
        <f t="shared" si="843"/>
        <v>89301000</v>
      </c>
      <c r="B4673" t="str">
        <f t="shared" si="849"/>
        <v>06539000</v>
      </c>
      <c r="C4673" t="str">
        <f t="shared" si="850"/>
        <v>06539003</v>
      </c>
      <c r="D4673">
        <v>89301171</v>
      </c>
      <c r="E4673" t="str">
        <f t="shared" si="845"/>
        <v>8160155333</v>
      </c>
      <c r="F4673" s="1">
        <v>45003</v>
      </c>
      <c r="G4673" t="str">
        <f>"91169"</f>
        <v>91169</v>
      </c>
      <c r="H4673">
        <v>1</v>
      </c>
      <c r="I4673">
        <v>426</v>
      </c>
      <c r="J4673">
        <v>0</v>
      </c>
      <c r="K4673" t="str">
        <f t="shared" si="852"/>
        <v>813</v>
      </c>
      <c r="L4673">
        <v>357.84</v>
      </c>
    </row>
    <row r="4674" spans="1:12" x14ac:dyDescent="0.25">
      <c r="A4674" t="str">
        <f t="shared" ref="A4674:A4737" si="854">"89301000"</f>
        <v>89301000</v>
      </c>
      <c r="B4674" t="str">
        <f t="shared" si="849"/>
        <v>06539000</v>
      </c>
      <c r="C4674" t="str">
        <f t="shared" si="850"/>
        <v>06539003</v>
      </c>
      <c r="D4674">
        <v>89301171</v>
      </c>
      <c r="E4674" t="str">
        <f t="shared" si="845"/>
        <v>8160155333</v>
      </c>
      <c r="F4674" s="1">
        <v>45002</v>
      </c>
      <c r="G4674" t="str">
        <f>"91167"</f>
        <v>91167</v>
      </c>
      <c r="H4674">
        <v>1</v>
      </c>
      <c r="I4674">
        <v>426</v>
      </c>
      <c r="J4674">
        <v>0</v>
      </c>
      <c r="K4674" t="str">
        <f t="shared" si="852"/>
        <v>813</v>
      </c>
      <c r="L4674">
        <v>357.84</v>
      </c>
    </row>
    <row r="4675" spans="1:12" x14ac:dyDescent="0.25">
      <c r="A4675" t="str">
        <f t="shared" si="854"/>
        <v>89301000</v>
      </c>
      <c r="B4675" t="str">
        <f t="shared" si="849"/>
        <v>06539000</v>
      </c>
      <c r="C4675" t="str">
        <f t="shared" si="850"/>
        <v>06539003</v>
      </c>
      <c r="D4675">
        <v>89301171</v>
      </c>
      <c r="E4675" t="str">
        <f t="shared" si="845"/>
        <v>8160155333</v>
      </c>
      <c r="F4675" s="1">
        <v>45002</v>
      </c>
      <c r="G4675" t="str">
        <f>"91169"</f>
        <v>91169</v>
      </c>
      <c r="H4675">
        <v>1</v>
      </c>
      <c r="I4675">
        <v>426</v>
      </c>
      <c r="J4675">
        <v>0</v>
      </c>
      <c r="K4675" t="str">
        <f t="shared" si="852"/>
        <v>813</v>
      </c>
      <c r="L4675">
        <v>357.84</v>
      </c>
    </row>
    <row r="4676" spans="1:12" x14ac:dyDescent="0.25">
      <c r="A4676" t="str">
        <f t="shared" si="854"/>
        <v>89301000</v>
      </c>
      <c r="B4676" t="str">
        <f t="shared" si="849"/>
        <v>06539000</v>
      </c>
      <c r="C4676" t="str">
        <f t="shared" si="850"/>
        <v>06539003</v>
      </c>
      <c r="D4676">
        <v>89301171</v>
      </c>
      <c r="E4676" t="str">
        <f t="shared" si="845"/>
        <v>8160155333</v>
      </c>
      <c r="F4676" s="1">
        <v>45013</v>
      </c>
      <c r="G4676" t="str">
        <f>"91475"</f>
        <v>91475</v>
      </c>
      <c r="H4676">
        <v>1</v>
      </c>
      <c r="I4676">
        <v>213</v>
      </c>
      <c r="J4676">
        <v>0</v>
      </c>
      <c r="K4676" t="str">
        <f t="shared" si="852"/>
        <v>813</v>
      </c>
      <c r="L4676">
        <v>178.92</v>
      </c>
    </row>
    <row r="4677" spans="1:12" x14ac:dyDescent="0.25">
      <c r="A4677" t="str">
        <f t="shared" si="854"/>
        <v>89301000</v>
      </c>
      <c r="B4677" t="str">
        <f t="shared" si="849"/>
        <v>06539000</v>
      </c>
      <c r="C4677" t="str">
        <f>"06539001"</f>
        <v>06539001</v>
      </c>
      <c r="D4677">
        <v>89301171</v>
      </c>
      <c r="E4677" t="str">
        <f t="shared" ref="E4677:E4718" si="855">"8552025768"</f>
        <v>8552025768</v>
      </c>
      <c r="F4677" s="1">
        <v>45002</v>
      </c>
      <c r="G4677" t="str">
        <f>"81329"</f>
        <v>81329</v>
      </c>
      <c r="H4677">
        <v>1</v>
      </c>
      <c r="I4677">
        <v>17</v>
      </c>
      <c r="J4677">
        <v>0</v>
      </c>
      <c r="K4677" t="str">
        <f>"801"</f>
        <v>801</v>
      </c>
      <c r="L4677">
        <v>14.28</v>
      </c>
    </row>
    <row r="4678" spans="1:12" x14ac:dyDescent="0.25">
      <c r="A4678" t="str">
        <f t="shared" si="854"/>
        <v>89301000</v>
      </c>
      <c r="B4678" t="str">
        <f t="shared" si="849"/>
        <v>06539000</v>
      </c>
      <c r="C4678" t="str">
        <f>"06539001"</f>
        <v>06539001</v>
      </c>
      <c r="D4678">
        <v>89301171</v>
      </c>
      <c r="E4678" t="str">
        <f t="shared" si="855"/>
        <v>8552025768</v>
      </c>
      <c r="F4678" s="1">
        <v>45002</v>
      </c>
      <c r="G4678" t="str">
        <f>"81331"</f>
        <v>81331</v>
      </c>
      <c r="H4678">
        <v>1</v>
      </c>
      <c r="I4678">
        <v>193</v>
      </c>
      <c r="J4678">
        <v>0</v>
      </c>
      <c r="K4678" t="str">
        <f>"801"</f>
        <v>801</v>
      </c>
      <c r="L4678">
        <v>162.12</v>
      </c>
    </row>
    <row r="4679" spans="1:12" x14ac:dyDescent="0.25">
      <c r="A4679" t="str">
        <f t="shared" si="854"/>
        <v>89301000</v>
      </c>
      <c r="B4679" t="str">
        <f t="shared" si="849"/>
        <v>06539000</v>
      </c>
      <c r="C4679" t="str">
        <f t="shared" ref="C4679:C4686" si="856">"06539002"</f>
        <v>06539002</v>
      </c>
      <c r="D4679">
        <v>89301171</v>
      </c>
      <c r="E4679" t="str">
        <f t="shared" si="855"/>
        <v>8552025768</v>
      </c>
      <c r="F4679" s="1">
        <v>45002</v>
      </c>
      <c r="G4679" t="str">
        <f t="shared" ref="G4679:G4686" si="857">"82097"</f>
        <v>82097</v>
      </c>
      <c r="H4679">
        <v>1</v>
      </c>
      <c r="I4679">
        <v>381</v>
      </c>
      <c r="J4679">
        <v>0</v>
      </c>
      <c r="K4679" t="str">
        <f t="shared" ref="K4679:K4686" si="858">"802"</f>
        <v>802</v>
      </c>
      <c r="L4679">
        <v>369.57</v>
      </c>
    </row>
    <row r="4680" spans="1:12" x14ac:dyDescent="0.25">
      <c r="A4680" t="str">
        <f t="shared" si="854"/>
        <v>89301000</v>
      </c>
      <c r="B4680" t="str">
        <f t="shared" si="849"/>
        <v>06539000</v>
      </c>
      <c r="C4680" t="str">
        <f t="shared" si="856"/>
        <v>06539002</v>
      </c>
      <c r="D4680">
        <v>89301171</v>
      </c>
      <c r="E4680" t="str">
        <f t="shared" si="855"/>
        <v>8552025768</v>
      </c>
      <c r="F4680" s="1">
        <v>45002</v>
      </c>
      <c r="G4680" t="str">
        <f t="shared" si="857"/>
        <v>82097</v>
      </c>
      <c r="H4680">
        <v>1</v>
      </c>
      <c r="I4680">
        <v>381</v>
      </c>
      <c r="J4680">
        <v>0</v>
      </c>
      <c r="K4680" t="str">
        <f t="shared" si="858"/>
        <v>802</v>
      </c>
      <c r="L4680">
        <v>369.57</v>
      </c>
    </row>
    <row r="4681" spans="1:12" x14ac:dyDescent="0.25">
      <c r="A4681" t="str">
        <f t="shared" si="854"/>
        <v>89301000</v>
      </c>
      <c r="B4681" t="str">
        <f t="shared" si="849"/>
        <v>06539000</v>
      </c>
      <c r="C4681" t="str">
        <f t="shared" si="856"/>
        <v>06539002</v>
      </c>
      <c r="D4681">
        <v>89301171</v>
      </c>
      <c r="E4681" t="str">
        <f t="shared" si="855"/>
        <v>8552025768</v>
      </c>
      <c r="F4681" s="1">
        <v>45002</v>
      </c>
      <c r="G4681" t="str">
        <f t="shared" si="857"/>
        <v>82097</v>
      </c>
      <c r="H4681">
        <v>1</v>
      </c>
      <c r="I4681">
        <v>381</v>
      </c>
      <c r="J4681">
        <v>0</v>
      </c>
      <c r="K4681" t="str">
        <f t="shared" si="858"/>
        <v>802</v>
      </c>
      <c r="L4681">
        <v>369.57</v>
      </c>
    </row>
    <row r="4682" spans="1:12" x14ac:dyDescent="0.25">
      <c r="A4682" t="str">
        <f t="shared" si="854"/>
        <v>89301000</v>
      </c>
      <c r="B4682" t="str">
        <f t="shared" si="849"/>
        <v>06539000</v>
      </c>
      <c r="C4682" t="str">
        <f t="shared" si="856"/>
        <v>06539002</v>
      </c>
      <c r="D4682">
        <v>89301171</v>
      </c>
      <c r="E4682" t="str">
        <f t="shared" si="855"/>
        <v>8552025768</v>
      </c>
      <c r="F4682" s="1">
        <v>45002</v>
      </c>
      <c r="G4682" t="str">
        <f t="shared" si="857"/>
        <v>82097</v>
      </c>
      <c r="H4682">
        <v>1</v>
      </c>
      <c r="I4682">
        <v>381</v>
      </c>
      <c r="J4682">
        <v>0</v>
      </c>
      <c r="K4682" t="str">
        <f t="shared" si="858"/>
        <v>802</v>
      </c>
      <c r="L4682">
        <v>369.57</v>
      </c>
    </row>
    <row r="4683" spans="1:12" x14ac:dyDescent="0.25">
      <c r="A4683" t="str">
        <f t="shared" si="854"/>
        <v>89301000</v>
      </c>
      <c r="B4683" t="str">
        <f t="shared" si="849"/>
        <v>06539000</v>
      </c>
      <c r="C4683" t="str">
        <f t="shared" si="856"/>
        <v>06539002</v>
      </c>
      <c r="D4683">
        <v>89301171</v>
      </c>
      <c r="E4683" t="str">
        <f t="shared" si="855"/>
        <v>8552025768</v>
      </c>
      <c r="F4683" s="1">
        <v>45002</v>
      </c>
      <c r="G4683" t="str">
        <f t="shared" si="857"/>
        <v>82097</v>
      </c>
      <c r="H4683">
        <v>1</v>
      </c>
      <c r="I4683">
        <v>381</v>
      </c>
      <c r="J4683">
        <v>0</v>
      </c>
      <c r="K4683" t="str">
        <f t="shared" si="858"/>
        <v>802</v>
      </c>
      <c r="L4683">
        <v>369.57</v>
      </c>
    </row>
    <row r="4684" spans="1:12" x14ac:dyDescent="0.25">
      <c r="A4684" t="str">
        <f t="shared" si="854"/>
        <v>89301000</v>
      </c>
      <c r="B4684" t="str">
        <f t="shared" si="849"/>
        <v>06539000</v>
      </c>
      <c r="C4684" t="str">
        <f t="shared" si="856"/>
        <v>06539002</v>
      </c>
      <c r="D4684">
        <v>89301171</v>
      </c>
      <c r="E4684" t="str">
        <f t="shared" si="855"/>
        <v>8552025768</v>
      </c>
      <c r="F4684" s="1">
        <v>45002</v>
      </c>
      <c r="G4684" t="str">
        <f t="shared" si="857"/>
        <v>82097</v>
      </c>
      <c r="H4684">
        <v>1</v>
      </c>
      <c r="I4684">
        <v>381</v>
      </c>
      <c r="J4684">
        <v>0</v>
      </c>
      <c r="K4684" t="str">
        <f t="shared" si="858"/>
        <v>802</v>
      </c>
      <c r="L4684">
        <v>369.57</v>
      </c>
    </row>
    <row r="4685" spans="1:12" x14ac:dyDescent="0.25">
      <c r="A4685" t="str">
        <f t="shared" si="854"/>
        <v>89301000</v>
      </c>
      <c r="B4685" t="str">
        <f t="shared" si="849"/>
        <v>06539000</v>
      </c>
      <c r="C4685" t="str">
        <f t="shared" si="856"/>
        <v>06539002</v>
      </c>
      <c r="D4685">
        <v>89301171</v>
      </c>
      <c r="E4685" t="str">
        <f t="shared" si="855"/>
        <v>8552025768</v>
      </c>
      <c r="F4685" s="1">
        <v>45002</v>
      </c>
      <c r="G4685" t="str">
        <f t="shared" si="857"/>
        <v>82097</v>
      </c>
      <c r="H4685">
        <v>1</v>
      </c>
      <c r="I4685">
        <v>381</v>
      </c>
      <c r="J4685">
        <v>0</v>
      </c>
      <c r="K4685" t="str">
        <f t="shared" si="858"/>
        <v>802</v>
      </c>
      <c r="L4685">
        <v>369.57</v>
      </c>
    </row>
    <row r="4686" spans="1:12" x14ac:dyDescent="0.25">
      <c r="A4686" t="str">
        <f t="shared" si="854"/>
        <v>89301000</v>
      </c>
      <c r="B4686" t="str">
        <f t="shared" si="849"/>
        <v>06539000</v>
      </c>
      <c r="C4686" t="str">
        <f t="shared" si="856"/>
        <v>06539002</v>
      </c>
      <c r="D4686">
        <v>89301171</v>
      </c>
      <c r="E4686" t="str">
        <f t="shared" si="855"/>
        <v>8552025768</v>
      </c>
      <c r="F4686" s="1">
        <v>45002</v>
      </c>
      <c r="G4686" t="str">
        <f t="shared" si="857"/>
        <v>82097</v>
      </c>
      <c r="H4686">
        <v>1</v>
      </c>
      <c r="I4686">
        <v>381</v>
      </c>
      <c r="J4686">
        <v>0</v>
      </c>
      <c r="K4686" t="str">
        <f t="shared" si="858"/>
        <v>802</v>
      </c>
      <c r="L4686">
        <v>369.57</v>
      </c>
    </row>
    <row r="4687" spans="1:12" x14ac:dyDescent="0.25">
      <c r="A4687" t="str">
        <f t="shared" si="854"/>
        <v>89301000</v>
      </c>
      <c r="B4687" t="str">
        <f t="shared" si="849"/>
        <v>06539000</v>
      </c>
      <c r="C4687" t="str">
        <f t="shared" ref="C4687:C4718" si="859">"06539003"</f>
        <v>06539003</v>
      </c>
      <c r="D4687">
        <v>89301171</v>
      </c>
      <c r="E4687" t="str">
        <f t="shared" si="855"/>
        <v>8552025768</v>
      </c>
      <c r="F4687" s="1">
        <v>45007</v>
      </c>
      <c r="G4687" t="str">
        <f t="shared" ref="G4687:G4696" si="860">"91413"</f>
        <v>91413</v>
      </c>
      <c r="H4687">
        <v>1</v>
      </c>
      <c r="I4687">
        <v>868</v>
      </c>
      <c r="J4687">
        <v>0</v>
      </c>
      <c r="K4687" t="str">
        <f t="shared" ref="K4687:K4718" si="861">"813"</f>
        <v>813</v>
      </c>
      <c r="L4687">
        <v>729.12</v>
      </c>
    </row>
    <row r="4688" spans="1:12" x14ac:dyDescent="0.25">
      <c r="A4688" t="str">
        <f t="shared" si="854"/>
        <v>89301000</v>
      </c>
      <c r="B4688" t="str">
        <f t="shared" si="849"/>
        <v>06539000</v>
      </c>
      <c r="C4688" t="str">
        <f t="shared" si="859"/>
        <v>06539003</v>
      </c>
      <c r="D4688">
        <v>89301171</v>
      </c>
      <c r="E4688" t="str">
        <f t="shared" si="855"/>
        <v>8552025768</v>
      </c>
      <c r="F4688" s="1">
        <v>45007</v>
      </c>
      <c r="G4688" t="str">
        <f t="shared" si="860"/>
        <v>91413</v>
      </c>
      <c r="H4688">
        <v>1</v>
      </c>
      <c r="I4688">
        <v>868</v>
      </c>
      <c r="J4688">
        <v>0</v>
      </c>
      <c r="K4688" t="str">
        <f t="shared" si="861"/>
        <v>813</v>
      </c>
      <c r="L4688">
        <v>729.12</v>
      </c>
    </row>
    <row r="4689" spans="1:12" x14ac:dyDescent="0.25">
      <c r="A4689" t="str">
        <f t="shared" si="854"/>
        <v>89301000</v>
      </c>
      <c r="B4689" t="str">
        <f t="shared" si="849"/>
        <v>06539000</v>
      </c>
      <c r="C4689" t="str">
        <f t="shared" si="859"/>
        <v>06539003</v>
      </c>
      <c r="D4689">
        <v>89301171</v>
      </c>
      <c r="E4689" t="str">
        <f t="shared" si="855"/>
        <v>8552025768</v>
      </c>
      <c r="F4689" s="1">
        <v>45022</v>
      </c>
      <c r="G4689" t="str">
        <f t="shared" si="860"/>
        <v>91413</v>
      </c>
      <c r="H4689">
        <v>1</v>
      </c>
      <c r="I4689">
        <v>868</v>
      </c>
      <c r="J4689">
        <v>0</v>
      </c>
      <c r="K4689" t="str">
        <f t="shared" si="861"/>
        <v>813</v>
      </c>
      <c r="L4689">
        <v>729.12</v>
      </c>
    </row>
    <row r="4690" spans="1:12" x14ac:dyDescent="0.25">
      <c r="A4690" t="str">
        <f t="shared" si="854"/>
        <v>89301000</v>
      </c>
      <c r="B4690" t="str">
        <f t="shared" si="849"/>
        <v>06539000</v>
      </c>
      <c r="C4690" t="str">
        <f t="shared" si="859"/>
        <v>06539003</v>
      </c>
      <c r="D4690">
        <v>89301171</v>
      </c>
      <c r="E4690" t="str">
        <f t="shared" si="855"/>
        <v>8552025768</v>
      </c>
      <c r="F4690" s="1">
        <v>45022</v>
      </c>
      <c r="G4690" t="str">
        <f t="shared" si="860"/>
        <v>91413</v>
      </c>
      <c r="H4690">
        <v>1</v>
      </c>
      <c r="I4690">
        <v>868</v>
      </c>
      <c r="J4690">
        <v>0</v>
      </c>
      <c r="K4690" t="str">
        <f t="shared" si="861"/>
        <v>813</v>
      </c>
      <c r="L4690">
        <v>729.12</v>
      </c>
    </row>
    <row r="4691" spans="1:12" x14ac:dyDescent="0.25">
      <c r="A4691" t="str">
        <f t="shared" si="854"/>
        <v>89301000</v>
      </c>
      <c r="B4691" t="str">
        <f t="shared" si="849"/>
        <v>06539000</v>
      </c>
      <c r="C4691" t="str">
        <f t="shared" si="859"/>
        <v>06539003</v>
      </c>
      <c r="D4691">
        <v>89301171</v>
      </c>
      <c r="E4691" t="str">
        <f t="shared" si="855"/>
        <v>8552025768</v>
      </c>
      <c r="F4691" s="1">
        <v>45021</v>
      </c>
      <c r="G4691" t="str">
        <f t="shared" si="860"/>
        <v>91413</v>
      </c>
      <c r="H4691">
        <v>1</v>
      </c>
      <c r="I4691">
        <v>868</v>
      </c>
      <c r="J4691">
        <v>0</v>
      </c>
      <c r="K4691" t="str">
        <f t="shared" si="861"/>
        <v>813</v>
      </c>
      <c r="L4691">
        <v>729.12</v>
      </c>
    </row>
    <row r="4692" spans="1:12" x14ac:dyDescent="0.25">
      <c r="A4692" t="str">
        <f t="shared" si="854"/>
        <v>89301000</v>
      </c>
      <c r="B4692" t="str">
        <f t="shared" si="849"/>
        <v>06539000</v>
      </c>
      <c r="C4692" t="str">
        <f t="shared" si="859"/>
        <v>06539003</v>
      </c>
      <c r="D4692">
        <v>89301171</v>
      </c>
      <c r="E4692" t="str">
        <f t="shared" si="855"/>
        <v>8552025768</v>
      </c>
      <c r="F4692" s="1">
        <v>45021</v>
      </c>
      <c r="G4692" t="str">
        <f t="shared" si="860"/>
        <v>91413</v>
      </c>
      <c r="H4692">
        <v>1</v>
      </c>
      <c r="I4692">
        <v>868</v>
      </c>
      <c r="J4692">
        <v>0</v>
      </c>
      <c r="K4692" t="str">
        <f t="shared" si="861"/>
        <v>813</v>
      </c>
      <c r="L4692">
        <v>729.12</v>
      </c>
    </row>
    <row r="4693" spans="1:12" x14ac:dyDescent="0.25">
      <c r="A4693" t="str">
        <f t="shared" si="854"/>
        <v>89301000</v>
      </c>
      <c r="B4693" t="str">
        <f t="shared" si="849"/>
        <v>06539000</v>
      </c>
      <c r="C4693" t="str">
        <f t="shared" si="859"/>
        <v>06539003</v>
      </c>
      <c r="D4693">
        <v>89301171</v>
      </c>
      <c r="E4693" t="str">
        <f t="shared" si="855"/>
        <v>8552025768</v>
      </c>
      <c r="F4693" s="1">
        <v>45022</v>
      </c>
      <c r="G4693" t="str">
        <f t="shared" si="860"/>
        <v>91413</v>
      </c>
      <c r="H4693">
        <v>1</v>
      </c>
      <c r="I4693">
        <v>868</v>
      </c>
      <c r="J4693">
        <v>0</v>
      </c>
      <c r="K4693" t="str">
        <f t="shared" si="861"/>
        <v>813</v>
      </c>
      <c r="L4693">
        <v>729.12</v>
      </c>
    </row>
    <row r="4694" spans="1:12" x14ac:dyDescent="0.25">
      <c r="A4694" t="str">
        <f t="shared" si="854"/>
        <v>89301000</v>
      </c>
      <c r="B4694" t="str">
        <f t="shared" si="849"/>
        <v>06539000</v>
      </c>
      <c r="C4694" t="str">
        <f t="shared" si="859"/>
        <v>06539003</v>
      </c>
      <c r="D4694">
        <v>89301171</v>
      </c>
      <c r="E4694" t="str">
        <f t="shared" si="855"/>
        <v>8552025768</v>
      </c>
      <c r="F4694" s="1">
        <v>45022</v>
      </c>
      <c r="G4694" t="str">
        <f t="shared" si="860"/>
        <v>91413</v>
      </c>
      <c r="H4694">
        <v>1</v>
      </c>
      <c r="I4694">
        <v>868</v>
      </c>
      <c r="J4694">
        <v>0</v>
      </c>
      <c r="K4694" t="str">
        <f t="shared" si="861"/>
        <v>813</v>
      </c>
      <c r="L4694">
        <v>729.12</v>
      </c>
    </row>
    <row r="4695" spans="1:12" x14ac:dyDescent="0.25">
      <c r="A4695" t="str">
        <f t="shared" si="854"/>
        <v>89301000</v>
      </c>
      <c r="B4695" t="str">
        <f t="shared" si="849"/>
        <v>06539000</v>
      </c>
      <c r="C4695" t="str">
        <f t="shared" si="859"/>
        <v>06539003</v>
      </c>
      <c r="D4695">
        <v>89301171</v>
      </c>
      <c r="E4695" t="str">
        <f t="shared" si="855"/>
        <v>8552025768</v>
      </c>
      <c r="F4695" s="1">
        <v>45022</v>
      </c>
      <c r="G4695" t="str">
        <f t="shared" si="860"/>
        <v>91413</v>
      </c>
      <c r="H4695">
        <v>1</v>
      </c>
      <c r="I4695">
        <v>868</v>
      </c>
      <c r="J4695">
        <v>0</v>
      </c>
      <c r="K4695" t="str">
        <f t="shared" si="861"/>
        <v>813</v>
      </c>
      <c r="L4695">
        <v>729.12</v>
      </c>
    </row>
    <row r="4696" spans="1:12" x14ac:dyDescent="0.25">
      <c r="A4696" t="str">
        <f t="shared" si="854"/>
        <v>89301000</v>
      </c>
      <c r="B4696" t="str">
        <f t="shared" si="849"/>
        <v>06539000</v>
      </c>
      <c r="C4696" t="str">
        <f t="shared" si="859"/>
        <v>06539003</v>
      </c>
      <c r="D4696">
        <v>89301171</v>
      </c>
      <c r="E4696" t="str">
        <f t="shared" si="855"/>
        <v>8552025768</v>
      </c>
      <c r="F4696" s="1">
        <v>45022</v>
      </c>
      <c r="G4696" t="str">
        <f t="shared" si="860"/>
        <v>91413</v>
      </c>
      <c r="H4696">
        <v>1</v>
      </c>
      <c r="I4696">
        <v>868</v>
      </c>
      <c r="J4696">
        <v>0</v>
      </c>
      <c r="K4696" t="str">
        <f t="shared" si="861"/>
        <v>813</v>
      </c>
      <c r="L4696">
        <v>729.12</v>
      </c>
    </row>
    <row r="4697" spans="1:12" x14ac:dyDescent="0.25">
      <c r="A4697" t="str">
        <f t="shared" si="854"/>
        <v>89301000</v>
      </c>
      <c r="B4697" t="str">
        <f t="shared" si="849"/>
        <v>06539000</v>
      </c>
      <c r="C4697" t="str">
        <f t="shared" si="859"/>
        <v>06539003</v>
      </c>
      <c r="D4697">
        <v>89301171</v>
      </c>
      <c r="E4697" t="str">
        <f t="shared" si="855"/>
        <v>8552025768</v>
      </c>
      <c r="F4697" s="1">
        <v>45002</v>
      </c>
      <c r="G4697" t="str">
        <f t="shared" ref="G4697:G4703" si="862">"91197"</f>
        <v>91197</v>
      </c>
      <c r="H4697">
        <v>1</v>
      </c>
      <c r="I4697">
        <v>1048</v>
      </c>
      <c r="J4697">
        <v>0</v>
      </c>
      <c r="K4697" t="str">
        <f t="shared" si="861"/>
        <v>813</v>
      </c>
      <c r="L4697">
        <v>880.32</v>
      </c>
    </row>
    <row r="4698" spans="1:12" x14ac:dyDescent="0.25">
      <c r="A4698" t="str">
        <f t="shared" si="854"/>
        <v>89301000</v>
      </c>
      <c r="B4698" t="str">
        <f t="shared" si="849"/>
        <v>06539000</v>
      </c>
      <c r="C4698" t="str">
        <f t="shared" si="859"/>
        <v>06539003</v>
      </c>
      <c r="D4698">
        <v>89301171</v>
      </c>
      <c r="E4698" t="str">
        <f t="shared" si="855"/>
        <v>8552025768</v>
      </c>
      <c r="F4698" s="1">
        <v>45005</v>
      </c>
      <c r="G4698" t="str">
        <f t="shared" si="862"/>
        <v>91197</v>
      </c>
      <c r="H4698">
        <v>1</v>
      </c>
      <c r="I4698">
        <v>1048</v>
      </c>
      <c r="J4698">
        <v>0</v>
      </c>
      <c r="K4698" t="str">
        <f t="shared" si="861"/>
        <v>813</v>
      </c>
      <c r="L4698">
        <v>880.32</v>
      </c>
    </row>
    <row r="4699" spans="1:12" x14ac:dyDescent="0.25">
      <c r="A4699" t="str">
        <f t="shared" si="854"/>
        <v>89301000</v>
      </c>
      <c r="B4699" t="str">
        <f t="shared" si="849"/>
        <v>06539000</v>
      </c>
      <c r="C4699" t="str">
        <f t="shared" si="859"/>
        <v>06539003</v>
      </c>
      <c r="D4699">
        <v>89301171</v>
      </c>
      <c r="E4699" t="str">
        <f t="shared" si="855"/>
        <v>8552025768</v>
      </c>
      <c r="F4699" s="1">
        <v>45005</v>
      </c>
      <c r="G4699" t="str">
        <f t="shared" si="862"/>
        <v>91197</v>
      </c>
      <c r="H4699">
        <v>1</v>
      </c>
      <c r="I4699">
        <v>1048</v>
      </c>
      <c r="J4699">
        <v>0</v>
      </c>
      <c r="K4699" t="str">
        <f t="shared" si="861"/>
        <v>813</v>
      </c>
      <c r="L4699">
        <v>880.32</v>
      </c>
    </row>
    <row r="4700" spans="1:12" x14ac:dyDescent="0.25">
      <c r="A4700" t="str">
        <f t="shared" si="854"/>
        <v>89301000</v>
      </c>
      <c r="B4700" t="str">
        <f t="shared" si="849"/>
        <v>06539000</v>
      </c>
      <c r="C4700" t="str">
        <f t="shared" si="859"/>
        <v>06539003</v>
      </c>
      <c r="D4700">
        <v>89301171</v>
      </c>
      <c r="E4700" t="str">
        <f t="shared" si="855"/>
        <v>8552025768</v>
      </c>
      <c r="F4700" s="1">
        <v>45004</v>
      </c>
      <c r="G4700" t="str">
        <f t="shared" si="862"/>
        <v>91197</v>
      </c>
      <c r="H4700">
        <v>1</v>
      </c>
      <c r="I4700">
        <v>1048</v>
      </c>
      <c r="J4700">
        <v>0</v>
      </c>
      <c r="K4700" t="str">
        <f t="shared" si="861"/>
        <v>813</v>
      </c>
      <c r="L4700">
        <v>880.32</v>
      </c>
    </row>
    <row r="4701" spans="1:12" x14ac:dyDescent="0.25">
      <c r="A4701" t="str">
        <f t="shared" si="854"/>
        <v>89301000</v>
      </c>
      <c r="B4701" t="str">
        <f t="shared" si="849"/>
        <v>06539000</v>
      </c>
      <c r="C4701" t="str">
        <f t="shared" si="859"/>
        <v>06539003</v>
      </c>
      <c r="D4701">
        <v>89301171</v>
      </c>
      <c r="E4701" t="str">
        <f t="shared" si="855"/>
        <v>8552025768</v>
      </c>
      <c r="F4701" s="1">
        <v>45004</v>
      </c>
      <c r="G4701" t="str">
        <f t="shared" si="862"/>
        <v>91197</v>
      </c>
      <c r="H4701">
        <v>1</v>
      </c>
      <c r="I4701">
        <v>1048</v>
      </c>
      <c r="J4701">
        <v>0</v>
      </c>
      <c r="K4701" t="str">
        <f t="shared" si="861"/>
        <v>813</v>
      </c>
      <c r="L4701">
        <v>880.32</v>
      </c>
    </row>
    <row r="4702" spans="1:12" x14ac:dyDescent="0.25">
      <c r="A4702" t="str">
        <f t="shared" si="854"/>
        <v>89301000</v>
      </c>
      <c r="B4702" t="str">
        <f t="shared" ref="B4702:B4765" si="863">"06539000"</f>
        <v>06539000</v>
      </c>
      <c r="C4702" t="str">
        <f t="shared" si="859"/>
        <v>06539003</v>
      </c>
      <c r="D4702">
        <v>89301171</v>
      </c>
      <c r="E4702" t="str">
        <f t="shared" si="855"/>
        <v>8552025768</v>
      </c>
      <c r="F4702" s="1">
        <v>45003</v>
      </c>
      <c r="G4702" t="str">
        <f t="shared" si="862"/>
        <v>91197</v>
      </c>
      <c r="H4702">
        <v>1</v>
      </c>
      <c r="I4702">
        <v>1048</v>
      </c>
      <c r="J4702">
        <v>0</v>
      </c>
      <c r="K4702" t="str">
        <f t="shared" si="861"/>
        <v>813</v>
      </c>
      <c r="L4702">
        <v>880.32</v>
      </c>
    </row>
    <row r="4703" spans="1:12" x14ac:dyDescent="0.25">
      <c r="A4703" t="str">
        <f t="shared" si="854"/>
        <v>89301000</v>
      </c>
      <c r="B4703" t="str">
        <f t="shared" si="863"/>
        <v>06539000</v>
      </c>
      <c r="C4703" t="str">
        <f t="shared" si="859"/>
        <v>06539003</v>
      </c>
      <c r="D4703">
        <v>89301171</v>
      </c>
      <c r="E4703" t="str">
        <f t="shared" si="855"/>
        <v>8552025768</v>
      </c>
      <c r="F4703" s="1">
        <v>45003</v>
      </c>
      <c r="G4703" t="str">
        <f t="shared" si="862"/>
        <v>91197</v>
      </c>
      <c r="H4703">
        <v>1</v>
      </c>
      <c r="I4703">
        <v>1048</v>
      </c>
      <c r="J4703">
        <v>0</v>
      </c>
      <c r="K4703" t="str">
        <f t="shared" si="861"/>
        <v>813</v>
      </c>
      <c r="L4703">
        <v>880.32</v>
      </c>
    </row>
    <row r="4704" spans="1:12" x14ac:dyDescent="0.25">
      <c r="A4704" t="str">
        <f t="shared" si="854"/>
        <v>89301000</v>
      </c>
      <c r="B4704" t="str">
        <f t="shared" si="863"/>
        <v>06539000</v>
      </c>
      <c r="C4704" t="str">
        <f t="shared" si="859"/>
        <v>06539003</v>
      </c>
      <c r="D4704">
        <v>89301171</v>
      </c>
      <c r="E4704" t="str">
        <f t="shared" si="855"/>
        <v>8552025768</v>
      </c>
      <c r="F4704" s="1">
        <v>45013</v>
      </c>
      <c r="G4704" t="str">
        <f>"91329"</f>
        <v>91329</v>
      </c>
      <c r="H4704">
        <v>2</v>
      </c>
      <c r="I4704">
        <v>436</v>
      </c>
      <c r="J4704">
        <v>0</v>
      </c>
      <c r="K4704" t="str">
        <f t="shared" si="861"/>
        <v>813</v>
      </c>
      <c r="L4704">
        <v>366.24</v>
      </c>
    </row>
    <row r="4705" spans="1:12" x14ac:dyDescent="0.25">
      <c r="A4705" t="str">
        <f t="shared" si="854"/>
        <v>89301000</v>
      </c>
      <c r="B4705" t="str">
        <f t="shared" si="863"/>
        <v>06539000</v>
      </c>
      <c r="C4705" t="str">
        <f t="shared" si="859"/>
        <v>06539003</v>
      </c>
      <c r="D4705">
        <v>89301171</v>
      </c>
      <c r="E4705" t="str">
        <f t="shared" si="855"/>
        <v>8552025768</v>
      </c>
      <c r="F4705" s="1">
        <v>45013</v>
      </c>
      <c r="G4705" t="str">
        <f>"91329"</f>
        <v>91329</v>
      </c>
      <c r="H4705">
        <v>2</v>
      </c>
      <c r="I4705">
        <v>436</v>
      </c>
      <c r="J4705">
        <v>0</v>
      </c>
      <c r="K4705" t="str">
        <f t="shared" si="861"/>
        <v>813</v>
      </c>
      <c r="L4705">
        <v>366.24</v>
      </c>
    </row>
    <row r="4706" spans="1:12" x14ac:dyDescent="0.25">
      <c r="A4706" t="str">
        <f t="shared" si="854"/>
        <v>89301000</v>
      </c>
      <c r="B4706" t="str">
        <f t="shared" si="863"/>
        <v>06539000</v>
      </c>
      <c r="C4706" t="str">
        <f t="shared" si="859"/>
        <v>06539003</v>
      </c>
      <c r="D4706">
        <v>89301171</v>
      </c>
      <c r="E4706" t="str">
        <f t="shared" si="855"/>
        <v>8552025768</v>
      </c>
      <c r="F4706" s="1">
        <v>45013</v>
      </c>
      <c r="G4706" t="str">
        <f>"91329"</f>
        <v>91329</v>
      </c>
      <c r="H4706">
        <v>2</v>
      </c>
      <c r="I4706">
        <v>436</v>
      </c>
      <c r="J4706">
        <v>0</v>
      </c>
      <c r="K4706" t="str">
        <f t="shared" si="861"/>
        <v>813</v>
      </c>
      <c r="L4706">
        <v>366.24</v>
      </c>
    </row>
    <row r="4707" spans="1:12" x14ac:dyDescent="0.25">
      <c r="A4707" t="str">
        <f t="shared" si="854"/>
        <v>89301000</v>
      </c>
      <c r="B4707" t="str">
        <f t="shared" si="863"/>
        <v>06539000</v>
      </c>
      <c r="C4707" t="str">
        <f t="shared" si="859"/>
        <v>06539003</v>
      </c>
      <c r="D4707">
        <v>89301171</v>
      </c>
      <c r="E4707" t="str">
        <f t="shared" si="855"/>
        <v>8552025768</v>
      </c>
      <c r="F4707" s="1">
        <v>45013</v>
      </c>
      <c r="G4707" t="str">
        <f>"91329"</f>
        <v>91329</v>
      </c>
      <c r="H4707">
        <v>2</v>
      </c>
      <c r="I4707">
        <v>436</v>
      </c>
      <c r="J4707">
        <v>0</v>
      </c>
      <c r="K4707" t="str">
        <f t="shared" si="861"/>
        <v>813</v>
      </c>
      <c r="L4707">
        <v>366.24</v>
      </c>
    </row>
    <row r="4708" spans="1:12" x14ac:dyDescent="0.25">
      <c r="A4708" t="str">
        <f t="shared" si="854"/>
        <v>89301000</v>
      </c>
      <c r="B4708" t="str">
        <f t="shared" si="863"/>
        <v>06539000</v>
      </c>
      <c r="C4708" t="str">
        <f t="shared" si="859"/>
        <v>06539003</v>
      </c>
      <c r="D4708">
        <v>89301171</v>
      </c>
      <c r="E4708" t="str">
        <f t="shared" si="855"/>
        <v>8552025768</v>
      </c>
      <c r="F4708" s="1">
        <v>45005</v>
      </c>
      <c r="G4708" t="str">
        <f>"91129"</f>
        <v>91129</v>
      </c>
      <c r="H4708">
        <v>1</v>
      </c>
      <c r="I4708">
        <v>175</v>
      </c>
      <c r="J4708">
        <v>0</v>
      </c>
      <c r="K4708" t="str">
        <f t="shared" si="861"/>
        <v>813</v>
      </c>
      <c r="L4708">
        <v>147</v>
      </c>
    </row>
    <row r="4709" spans="1:12" x14ac:dyDescent="0.25">
      <c r="A4709" t="str">
        <f t="shared" si="854"/>
        <v>89301000</v>
      </c>
      <c r="B4709" t="str">
        <f t="shared" si="863"/>
        <v>06539000</v>
      </c>
      <c r="C4709" t="str">
        <f t="shared" si="859"/>
        <v>06539003</v>
      </c>
      <c r="D4709">
        <v>89301171</v>
      </c>
      <c r="E4709" t="str">
        <f t="shared" si="855"/>
        <v>8552025768</v>
      </c>
      <c r="F4709" s="1">
        <v>45005</v>
      </c>
      <c r="G4709" t="str">
        <f>"91131"</f>
        <v>91131</v>
      </c>
      <c r="H4709">
        <v>1</v>
      </c>
      <c r="I4709">
        <v>171</v>
      </c>
      <c r="J4709">
        <v>0</v>
      </c>
      <c r="K4709" t="str">
        <f t="shared" si="861"/>
        <v>813</v>
      </c>
      <c r="L4709">
        <v>143.63999999999999</v>
      </c>
    </row>
    <row r="4710" spans="1:12" x14ac:dyDescent="0.25">
      <c r="A4710" t="str">
        <f t="shared" si="854"/>
        <v>89301000</v>
      </c>
      <c r="B4710" t="str">
        <f t="shared" si="863"/>
        <v>06539000</v>
      </c>
      <c r="C4710" t="str">
        <f t="shared" si="859"/>
        <v>06539003</v>
      </c>
      <c r="D4710">
        <v>89301171</v>
      </c>
      <c r="E4710" t="str">
        <f t="shared" si="855"/>
        <v>8552025768</v>
      </c>
      <c r="F4710" s="1">
        <v>45005</v>
      </c>
      <c r="G4710" t="str">
        <f>"91133"</f>
        <v>91133</v>
      </c>
      <c r="H4710">
        <v>1</v>
      </c>
      <c r="I4710">
        <v>177</v>
      </c>
      <c r="J4710">
        <v>0</v>
      </c>
      <c r="K4710" t="str">
        <f t="shared" si="861"/>
        <v>813</v>
      </c>
      <c r="L4710">
        <v>148.68</v>
      </c>
    </row>
    <row r="4711" spans="1:12" x14ac:dyDescent="0.25">
      <c r="A4711" t="str">
        <f t="shared" si="854"/>
        <v>89301000</v>
      </c>
      <c r="B4711" t="str">
        <f t="shared" si="863"/>
        <v>06539000</v>
      </c>
      <c r="C4711" t="str">
        <f t="shared" si="859"/>
        <v>06539003</v>
      </c>
      <c r="D4711">
        <v>89301171</v>
      </c>
      <c r="E4711" t="str">
        <f t="shared" si="855"/>
        <v>8552025768</v>
      </c>
      <c r="F4711" s="1">
        <v>45005</v>
      </c>
      <c r="G4711" t="str">
        <f>"91171"</f>
        <v>91171</v>
      </c>
      <c r="H4711">
        <v>1</v>
      </c>
      <c r="I4711">
        <v>362</v>
      </c>
      <c r="J4711">
        <v>0</v>
      </c>
      <c r="K4711" t="str">
        <f t="shared" si="861"/>
        <v>813</v>
      </c>
      <c r="L4711">
        <v>304.08</v>
      </c>
    </row>
    <row r="4712" spans="1:12" x14ac:dyDescent="0.25">
      <c r="A4712" t="str">
        <f t="shared" si="854"/>
        <v>89301000</v>
      </c>
      <c r="B4712" t="str">
        <f t="shared" si="863"/>
        <v>06539000</v>
      </c>
      <c r="C4712" t="str">
        <f t="shared" si="859"/>
        <v>06539003</v>
      </c>
      <c r="D4712">
        <v>89301171</v>
      </c>
      <c r="E4712" t="str">
        <f t="shared" si="855"/>
        <v>8552025768</v>
      </c>
      <c r="F4712" s="1">
        <v>45002</v>
      </c>
      <c r="G4712" t="str">
        <f>"91173"</f>
        <v>91173</v>
      </c>
      <c r="H4712">
        <v>1</v>
      </c>
      <c r="I4712">
        <v>337</v>
      </c>
      <c r="J4712">
        <v>0</v>
      </c>
      <c r="K4712" t="str">
        <f t="shared" si="861"/>
        <v>813</v>
      </c>
      <c r="L4712">
        <v>283.08</v>
      </c>
    </row>
    <row r="4713" spans="1:12" x14ac:dyDescent="0.25">
      <c r="A4713" t="str">
        <f t="shared" si="854"/>
        <v>89301000</v>
      </c>
      <c r="B4713" t="str">
        <f t="shared" si="863"/>
        <v>06539000</v>
      </c>
      <c r="C4713" t="str">
        <f t="shared" si="859"/>
        <v>06539003</v>
      </c>
      <c r="D4713">
        <v>89301171</v>
      </c>
      <c r="E4713" t="str">
        <f t="shared" si="855"/>
        <v>8552025768</v>
      </c>
      <c r="F4713" s="1">
        <v>45005</v>
      </c>
      <c r="G4713" t="str">
        <f>"91175"</f>
        <v>91175</v>
      </c>
      <c r="H4713">
        <v>1</v>
      </c>
      <c r="I4713">
        <v>362</v>
      </c>
      <c r="J4713">
        <v>0</v>
      </c>
      <c r="K4713" t="str">
        <f t="shared" si="861"/>
        <v>813</v>
      </c>
      <c r="L4713">
        <v>304.08</v>
      </c>
    </row>
    <row r="4714" spans="1:12" x14ac:dyDescent="0.25">
      <c r="A4714" t="str">
        <f t="shared" si="854"/>
        <v>89301000</v>
      </c>
      <c r="B4714" t="str">
        <f t="shared" si="863"/>
        <v>06539000</v>
      </c>
      <c r="C4714" t="str">
        <f t="shared" si="859"/>
        <v>06539003</v>
      </c>
      <c r="D4714">
        <v>89301171</v>
      </c>
      <c r="E4714" t="str">
        <f t="shared" si="855"/>
        <v>8552025768</v>
      </c>
      <c r="F4714" s="1">
        <v>45003</v>
      </c>
      <c r="G4714" t="str">
        <f>"91167"</f>
        <v>91167</v>
      </c>
      <c r="H4714">
        <v>1</v>
      </c>
      <c r="I4714">
        <v>426</v>
      </c>
      <c r="J4714">
        <v>0</v>
      </c>
      <c r="K4714" t="str">
        <f t="shared" si="861"/>
        <v>813</v>
      </c>
      <c r="L4714">
        <v>357.84</v>
      </c>
    </row>
    <row r="4715" spans="1:12" x14ac:dyDescent="0.25">
      <c r="A4715" t="str">
        <f t="shared" si="854"/>
        <v>89301000</v>
      </c>
      <c r="B4715" t="str">
        <f t="shared" si="863"/>
        <v>06539000</v>
      </c>
      <c r="C4715" t="str">
        <f t="shared" si="859"/>
        <v>06539003</v>
      </c>
      <c r="D4715">
        <v>89301171</v>
      </c>
      <c r="E4715" t="str">
        <f t="shared" si="855"/>
        <v>8552025768</v>
      </c>
      <c r="F4715" s="1">
        <v>45003</v>
      </c>
      <c r="G4715" t="str">
        <f>"91169"</f>
        <v>91169</v>
      </c>
      <c r="H4715">
        <v>1</v>
      </c>
      <c r="I4715">
        <v>426</v>
      </c>
      <c r="J4715">
        <v>0</v>
      </c>
      <c r="K4715" t="str">
        <f t="shared" si="861"/>
        <v>813</v>
      </c>
      <c r="L4715">
        <v>357.84</v>
      </c>
    </row>
    <row r="4716" spans="1:12" x14ac:dyDescent="0.25">
      <c r="A4716" t="str">
        <f t="shared" si="854"/>
        <v>89301000</v>
      </c>
      <c r="B4716" t="str">
        <f t="shared" si="863"/>
        <v>06539000</v>
      </c>
      <c r="C4716" t="str">
        <f t="shared" si="859"/>
        <v>06539003</v>
      </c>
      <c r="D4716">
        <v>89301171</v>
      </c>
      <c r="E4716" t="str">
        <f t="shared" si="855"/>
        <v>8552025768</v>
      </c>
      <c r="F4716" s="1">
        <v>45002</v>
      </c>
      <c r="G4716" t="str">
        <f>"91167"</f>
        <v>91167</v>
      </c>
      <c r="H4716">
        <v>1</v>
      </c>
      <c r="I4716">
        <v>426</v>
      </c>
      <c r="J4716">
        <v>0</v>
      </c>
      <c r="K4716" t="str">
        <f t="shared" si="861"/>
        <v>813</v>
      </c>
      <c r="L4716">
        <v>357.84</v>
      </c>
    </row>
    <row r="4717" spans="1:12" x14ac:dyDescent="0.25">
      <c r="A4717" t="str">
        <f t="shared" si="854"/>
        <v>89301000</v>
      </c>
      <c r="B4717" t="str">
        <f t="shared" si="863"/>
        <v>06539000</v>
      </c>
      <c r="C4717" t="str">
        <f t="shared" si="859"/>
        <v>06539003</v>
      </c>
      <c r="D4717">
        <v>89301171</v>
      </c>
      <c r="E4717" t="str">
        <f t="shared" si="855"/>
        <v>8552025768</v>
      </c>
      <c r="F4717" s="1">
        <v>45002</v>
      </c>
      <c r="G4717" t="str">
        <f>"91169"</f>
        <v>91169</v>
      </c>
      <c r="H4717">
        <v>1</v>
      </c>
      <c r="I4717">
        <v>426</v>
      </c>
      <c r="J4717">
        <v>0</v>
      </c>
      <c r="K4717" t="str">
        <f t="shared" si="861"/>
        <v>813</v>
      </c>
      <c r="L4717">
        <v>357.84</v>
      </c>
    </row>
    <row r="4718" spans="1:12" x14ac:dyDescent="0.25">
      <c r="A4718" t="str">
        <f t="shared" si="854"/>
        <v>89301000</v>
      </c>
      <c r="B4718" t="str">
        <f t="shared" si="863"/>
        <v>06539000</v>
      </c>
      <c r="C4718" t="str">
        <f t="shared" si="859"/>
        <v>06539003</v>
      </c>
      <c r="D4718">
        <v>89301171</v>
      </c>
      <c r="E4718" t="str">
        <f t="shared" si="855"/>
        <v>8552025768</v>
      </c>
      <c r="F4718" s="1">
        <v>45022</v>
      </c>
      <c r="G4718" t="str">
        <f>"91475"</f>
        <v>91475</v>
      </c>
      <c r="H4718">
        <v>1</v>
      </c>
      <c r="I4718">
        <v>213</v>
      </c>
      <c r="J4718">
        <v>0</v>
      </c>
      <c r="K4718" t="str">
        <f t="shared" si="861"/>
        <v>813</v>
      </c>
      <c r="L4718">
        <v>178.92</v>
      </c>
    </row>
    <row r="4719" spans="1:12" x14ac:dyDescent="0.25">
      <c r="A4719" t="str">
        <f t="shared" si="854"/>
        <v>89301000</v>
      </c>
      <c r="B4719" t="str">
        <f t="shared" si="863"/>
        <v>06539000</v>
      </c>
      <c r="C4719" t="str">
        <f t="shared" ref="C4719:C4742" si="864">"06539003"</f>
        <v>06539003</v>
      </c>
      <c r="D4719">
        <v>89301171</v>
      </c>
      <c r="E4719" t="str">
        <f t="shared" ref="E4719:E4731" si="865">"7107035342"</f>
        <v>7107035342</v>
      </c>
      <c r="F4719" s="1">
        <v>45022</v>
      </c>
      <c r="G4719" t="str">
        <f t="shared" ref="G4719:G4726" si="866">"91413"</f>
        <v>91413</v>
      </c>
      <c r="H4719">
        <v>1</v>
      </c>
      <c r="I4719">
        <v>868</v>
      </c>
      <c r="J4719">
        <v>0</v>
      </c>
      <c r="K4719" t="str">
        <f t="shared" ref="K4719:K4742" si="867">"813"</f>
        <v>813</v>
      </c>
      <c r="L4719">
        <v>729.12</v>
      </c>
    </row>
    <row r="4720" spans="1:12" x14ac:dyDescent="0.25">
      <c r="A4720" t="str">
        <f t="shared" si="854"/>
        <v>89301000</v>
      </c>
      <c r="B4720" t="str">
        <f t="shared" si="863"/>
        <v>06539000</v>
      </c>
      <c r="C4720" t="str">
        <f t="shared" si="864"/>
        <v>06539003</v>
      </c>
      <c r="D4720">
        <v>89301171</v>
      </c>
      <c r="E4720" t="str">
        <f t="shared" si="865"/>
        <v>7107035342</v>
      </c>
      <c r="F4720" s="1">
        <v>45022</v>
      </c>
      <c r="G4720" t="str">
        <f t="shared" si="866"/>
        <v>91413</v>
      </c>
      <c r="H4720">
        <v>1</v>
      </c>
      <c r="I4720">
        <v>868</v>
      </c>
      <c r="J4720">
        <v>0</v>
      </c>
      <c r="K4720" t="str">
        <f t="shared" si="867"/>
        <v>813</v>
      </c>
      <c r="L4720">
        <v>729.12</v>
      </c>
    </row>
    <row r="4721" spans="1:12" x14ac:dyDescent="0.25">
      <c r="A4721" t="str">
        <f t="shared" si="854"/>
        <v>89301000</v>
      </c>
      <c r="B4721" t="str">
        <f t="shared" si="863"/>
        <v>06539000</v>
      </c>
      <c r="C4721" t="str">
        <f t="shared" si="864"/>
        <v>06539003</v>
      </c>
      <c r="D4721">
        <v>89301171</v>
      </c>
      <c r="E4721" t="str">
        <f t="shared" si="865"/>
        <v>7107035342</v>
      </c>
      <c r="F4721" s="1">
        <v>45021</v>
      </c>
      <c r="G4721" t="str">
        <f t="shared" si="866"/>
        <v>91413</v>
      </c>
      <c r="H4721">
        <v>1</v>
      </c>
      <c r="I4721">
        <v>868</v>
      </c>
      <c r="J4721">
        <v>0</v>
      </c>
      <c r="K4721" t="str">
        <f t="shared" si="867"/>
        <v>813</v>
      </c>
      <c r="L4721">
        <v>729.12</v>
      </c>
    </row>
    <row r="4722" spans="1:12" x14ac:dyDescent="0.25">
      <c r="A4722" t="str">
        <f t="shared" si="854"/>
        <v>89301000</v>
      </c>
      <c r="B4722" t="str">
        <f t="shared" si="863"/>
        <v>06539000</v>
      </c>
      <c r="C4722" t="str">
        <f t="shared" si="864"/>
        <v>06539003</v>
      </c>
      <c r="D4722">
        <v>89301171</v>
      </c>
      <c r="E4722" t="str">
        <f t="shared" si="865"/>
        <v>7107035342</v>
      </c>
      <c r="F4722" s="1">
        <v>45021</v>
      </c>
      <c r="G4722" t="str">
        <f t="shared" si="866"/>
        <v>91413</v>
      </c>
      <c r="H4722">
        <v>1</v>
      </c>
      <c r="I4722">
        <v>868</v>
      </c>
      <c r="J4722">
        <v>0</v>
      </c>
      <c r="K4722" t="str">
        <f t="shared" si="867"/>
        <v>813</v>
      </c>
      <c r="L4722">
        <v>729.12</v>
      </c>
    </row>
    <row r="4723" spans="1:12" x14ac:dyDescent="0.25">
      <c r="A4723" t="str">
        <f t="shared" si="854"/>
        <v>89301000</v>
      </c>
      <c r="B4723" t="str">
        <f t="shared" si="863"/>
        <v>06539000</v>
      </c>
      <c r="C4723" t="str">
        <f t="shared" si="864"/>
        <v>06539003</v>
      </c>
      <c r="D4723">
        <v>89301171</v>
      </c>
      <c r="E4723" t="str">
        <f t="shared" si="865"/>
        <v>7107035342</v>
      </c>
      <c r="F4723" s="1">
        <v>45022</v>
      </c>
      <c r="G4723" t="str">
        <f t="shared" si="866"/>
        <v>91413</v>
      </c>
      <c r="H4723">
        <v>1</v>
      </c>
      <c r="I4723">
        <v>868</v>
      </c>
      <c r="J4723">
        <v>0</v>
      </c>
      <c r="K4723" t="str">
        <f t="shared" si="867"/>
        <v>813</v>
      </c>
      <c r="L4723">
        <v>729.12</v>
      </c>
    </row>
    <row r="4724" spans="1:12" x14ac:dyDescent="0.25">
      <c r="A4724" t="str">
        <f t="shared" si="854"/>
        <v>89301000</v>
      </c>
      <c r="B4724" t="str">
        <f t="shared" si="863"/>
        <v>06539000</v>
      </c>
      <c r="C4724" t="str">
        <f t="shared" si="864"/>
        <v>06539003</v>
      </c>
      <c r="D4724">
        <v>89301171</v>
      </c>
      <c r="E4724" t="str">
        <f t="shared" si="865"/>
        <v>7107035342</v>
      </c>
      <c r="F4724" s="1">
        <v>45022</v>
      </c>
      <c r="G4724" t="str">
        <f t="shared" si="866"/>
        <v>91413</v>
      </c>
      <c r="H4724">
        <v>1</v>
      </c>
      <c r="I4724">
        <v>868</v>
      </c>
      <c r="J4724">
        <v>0</v>
      </c>
      <c r="K4724" t="str">
        <f t="shared" si="867"/>
        <v>813</v>
      </c>
      <c r="L4724">
        <v>729.12</v>
      </c>
    </row>
    <row r="4725" spans="1:12" x14ac:dyDescent="0.25">
      <c r="A4725" t="str">
        <f t="shared" si="854"/>
        <v>89301000</v>
      </c>
      <c r="B4725" t="str">
        <f t="shared" si="863"/>
        <v>06539000</v>
      </c>
      <c r="C4725" t="str">
        <f t="shared" si="864"/>
        <v>06539003</v>
      </c>
      <c r="D4725">
        <v>89301171</v>
      </c>
      <c r="E4725" t="str">
        <f t="shared" si="865"/>
        <v>7107035342</v>
      </c>
      <c r="F4725" s="1">
        <v>45022</v>
      </c>
      <c r="G4725" t="str">
        <f t="shared" si="866"/>
        <v>91413</v>
      </c>
      <c r="H4725">
        <v>1</v>
      </c>
      <c r="I4725">
        <v>868</v>
      </c>
      <c r="J4725">
        <v>0</v>
      </c>
      <c r="K4725" t="str">
        <f t="shared" si="867"/>
        <v>813</v>
      </c>
      <c r="L4725">
        <v>729.12</v>
      </c>
    </row>
    <row r="4726" spans="1:12" x14ac:dyDescent="0.25">
      <c r="A4726" t="str">
        <f t="shared" si="854"/>
        <v>89301000</v>
      </c>
      <c r="B4726" t="str">
        <f t="shared" si="863"/>
        <v>06539000</v>
      </c>
      <c r="C4726" t="str">
        <f t="shared" si="864"/>
        <v>06539003</v>
      </c>
      <c r="D4726">
        <v>89301171</v>
      </c>
      <c r="E4726" t="str">
        <f t="shared" si="865"/>
        <v>7107035342</v>
      </c>
      <c r="F4726" s="1">
        <v>45022</v>
      </c>
      <c r="G4726" t="str">
        <f t="shared" si="866"/>
        <v>91413</v>
      </c>
      <c r="H4726">
        <v>1</v>
      </c>
      <c r="I4726">
        <v>868</v>
      </c>
      <c r="J4726">
        <v>0</v>
      </c>
      <c r="K4726" t="str">
        <f t="shared" si="867"/>
        <v>813</v>
      </c>
      <c r="L4726">
        <v>729.12</v>
      </c>
    </row>
    <row r="4727" spans="1:12" x14ac:dyDescent="0.25">
      <c r="A4727" t="str">
        <f t="shared" si="854"/>
        <v>89301000</v>
      </c>
      <c r="B4727" t="str">
        <f t="shared" si="863"/>
        <v>06539000</v>
      </c>
      <c r="C4727" t="str">
        <f t="shared" si="864"/>
        <v>06539003</v>
      </c>
      <c r="D4727">
        <v>89301171</v>
      </c>
      <c r="E4727" t="str">
        <f t="shared" si="865"/>
        <v>7107035342</v>
      </c>
      <c r="F4727" s="1">
        <v>45022</v>
      </c>
      <c r="G4727" t="str">
        <f>"91329"</f>
        <v>91329</v>
      </c>
      <c r="H4727">
        <v>2</v>
      </c>
      <c r="I4727">
        <v>436</v>
      </c>
      <c r="J4727">
        <v>0</v>
      </c>
      <c r="K4727" t="str">
        <f t="shared" si="867"/>
        <v>813</v>
      </c>
      <c r="L4727">
        <v>366.24</v>
      </c>
    </row>
    <row r="4728" spans="1:12" x14ac:dyDescent="0.25">
      <c r="A4728" t="str">
        <f t="shared" si="854"/>
        <v>89301000</v>
      </c>
      <c r="B4728" t="str">
        <f t="shared" si="863"/>
        <v>06539000</v>
      </c>
      <c r="C4728" t="str">
        <f t="shared" si="864"/>
        <v>06539003</v>
      </c>
      <c r="D4728">
        <v>89301171</v>
      </c>
      <c r="E4728" t="str">
        <f t="shared" si="865"/>
        <v>7107035342</v>
      </c>
      <c r="F4728" s="1">
        <v>45022</v>
      </c>
      <c r="G4728" t="str">
        <f>"91329"</f>
        <v>91329</v>
      </c>
      <c r="H4728">
        <v>2</v>
      </c>
      <c r="I4728">
        <v>436</v>
      </c>
      <c r="J4728">
        <v>0</v>
      </c>
      <c r="K4728" t="str">
        <f t="shared" si="867"/>
        <v>813</v>
      </c>
      <c r="L4728">
        <v>366.24</v>
      </c>
    </row>
    <row r="4729" spans="1:12" x14ac:dyDescent="0.25">
      <c r="A4729" t="str">
        <f t="shared" si="854"/>
        <v>89301000</v>
      </c>
      <c r="B4729" t="str">
        <f t="shared" si="863"/>
        <v>06539000</v>
      </c>
      <c r="C4729" t="str">
        <f t="shared" si="864"/>
        <v>06539003</v>
      </c>
      <c r="D4729">
        <v>89301171</v>
      </c>
      <c r="E4729" t="str">
        <f t="shared" si="865"/>
        <v>7107035342</v>
      </c>
      <c r="F4729" s="1">
        <v>45022</v>
      </c>
      <c r="G4729" t="str">
        <f>"91329"</f>
        <v>91329</v>
      </c>
      <c r="H4729">
        <v>2</v>
      </c>
      <c r="I4729">
        <v>436</v>
      </c>
      <c r="J4729">
        <v>0</v>
      </c>
      <c r="K4729" t="str">
        <f t="shared" si="867"/>
        <v>813</v>
      </c>
      <c r="L4729">
        <v>366.24</v>
      </c>
    </row>
    <row r="4730" spans="1:12" x14ac:dyDescent="0.25">
      <c r="A4730" t="str">
        <f t="shared" si="854"/>
        <v>89301000</v>
      </c>
      <c r="B4730" t="str">
        <f t="shared" si="863"/>
        <v>06539000</v>
      </c>
      <c r="C4730" t="str">
        <f t="shared" si="864"/>
        <v>06539003</v>
      </c>
      <c r="D4730">
        <v>89301171</v>
      </c>
      <c r="E4730" t="str">
        <f t="shared" si="865"/>
        <v>7107035342</v>
      </c>
      <c r="F4730" s="1">
        <v>45022</v>
      </c>
      <c r="G4730" t="str">
        <f>"91329"</f>
        <v>91329</v>
      </c>
      <c r="H4730">
        <v>2</v>
      </c>
      <c r="I4730">
        <v>436</v>
      </c>
      <c r="J4730">
        <v>0</v>
      </c>
      <c r="K4730" t="str">
        <f t="shared" si="867"/>
        <v>813</v>
      </c>
      <c r="L4730">
        <v>366.24</v>
      </c>
    </row>
    <row r="4731" spans="1:12" x14ac:dyDescent="0.25">
      <c r="A4731" t="str">
        <f t="shared" si="854"/>
        <v>89301000</v>
      </c>
      <c r="B4731" t="str">
        <f t="shared" si="863"/>
        <v>06539000</v>
      </c>
      <c r="C4731" t="str">
        <f t="shared" si="864"/>
        <v>06539003</v>
      </c>
      <c r="D4731">
        <v>89301171</v>
      </c>
      <c r="E4731" t="str">
        <f t="shared" si="865"/>
        <v>7107035342</v>
      </c>
      <c r="F4731" s="1">
        <v>45013</v>
      </c>
      <c r="G4731" t="str">
        <f>"91475"</f>
        <v>91475</v>
      </c>
      <c r="H4731">
        <v>1</v>
      </c>
      <c r="I4731">
        <v>213</v>
      </c>
      <c r="J4731">
        <v>0</v>
      </c>
      <c r="K4731" t="str">
        <f t="shared" si="867"/>
        <v>813</v>
      </c>
      <c r="L4731">
        <v>178.92</v>
      </c>
    </row>
    <row r="4732" spans="1:12" x14ac:dyDescent="0.25">
      <c r="A4732" t="str">
        <f t="shared" si="854"/>
        <v>89301000</v>
      </c>
      <c r="B4732" t="str">
        <f t="shared" si="863"/>
        <v>06539000</v>
      </c>
      <c r="C4732" t="str">
        <f t="shared" si="864"/>
        <v>06539003</v>
      </c>
      <c r="D4732">
        <v>89301172</v>
      </c>
      <c r="E4732" t="str">
        <f t="shared" ref="E4732:E4742" si="868">"470513415"</f>
        <v>470513415</v>
      </c>
      <c r="F4732" s="1">
        <v>45007</v>
      </c>
      <c r="G4732" t="str">
        <f t="shared" ref="G4732:G4741" si="869">"91413"</f>
        <v>91413</v>
      </c>
      <c r="H4732">
        <v>1</v>
      </c>
      <c r="I4732">
        <v>868</v>
      </c>
      <c r="J4732">
        <v>0</v>
      </c>
      <c r="K4732" t="str">
        <f t="shared" si="867"/>
        <v>813</v>
      </c>
      <c r="L4732">
        <v>729.12</v>
      </c>
    </row>
    <row r="4733" spans="1:12" x14ac:dyDescent="0.25">
      <c r="A4733" t="str">
        <f t="shared" si="854"/>
        <v>89301000</v>
      </c>
      <c r="B4733" t="str">
        <f t="shared" si="863"/>
        <v>06539000</v>
      </c>
      <c r="C4733" t="str">
        <f t="shared" si="864"/>
        <v>06539003</v>
      </c>
      <c r="D4733">
        <v>89301172</v>
      </c>
      <c r="E4733" t="str">
        <f t="shared" si="868"/>
        <v>470513415</v>
      </c>
      <c r="F4733" s="1">
        <v>45007</v>
      </c>
      <c r="G4733" t="str">
        <f t="shared" si="869"/>
        <v>91413</v>
      </c>
      <c r="H4733">
        <v>1</v>
      </c>
      <c r="I4733">
        <v>868</v>
      </c>
      <c r="J4733">
        <v>0</v>
      </c>
      <c r="K4733" t="str">
        <f t="shared" si="867"/>
        <v>813</v>
      </c>
      <c r="L4733">
        <v>729.12</v>
      </c>
    </row>
    <row r="4734" spans="1:12" x14ac:dyDescent="0.25">
      <c r="A4734" t="str">
        <f t="shared" si="854"/>
        <v>89301000</v>
      </c>
      <c r="B4734" t="str">
        <f t="shared" si="863"/>
        <v>06539000</v>
      </c>
      <c r="C4734" t="str">
        <f t="shared" si="864"/>
        <v>06539003</v>
      </c>
      <c r="D4734">
        <v>89301172</v>
      </c>
      <c r="E4734" t="str">
        <f t="shared" si="868"/>
        <v>470513415</v>
      </c>
      <c r="F4734" s="1">
        <v>45022</v>
      </c>
      <c r="G4734" t="str">
        <f t="shared" si="869"/>
        <v>91413</v>
      </c>
      <c r="H4734">
        <v>1</v>
      </c>
      <c r="I4734">
        <v>868</v>
      </c>
      <c r="J4734">
        <v>0</v>
      </c>
      <c r="K4734" t="str">
        <f t="shared" si="867"/>
        <v>813</v>
      </c>
      <c r="L4734">
        <v>729.12</v>
      </c>
    </row>
    <row r="4735" spans="1:12" x14ac:dyDescent="0.25">
      <c r="A4735" t="str">
        <f t="shared" si="854"/>
        <v>89301000</v>
      </c>
      <c r="B4735" t="str">
        <f t="shared" si="863"/>
        <v>06539000</v>
      </c>
      <c r="C4735" t="str">
        <f t="shared" si="864"/>
        <v>06539003</v>
      </c>
      <c r="D4735">
        <v>89301172</v>
      </c>
      <c r="E4735" t="str">
        <f t="shared" si="868"/>
        <v>470513415</v>
      </c>
      <c r="F4735" s="1">
        <v>45022</v>
      </c>
      <c r="G4735" t="str">
        <f t="shared" si="869"/>
        <v>91413</v>
      </c>
      <c r="H4735">
        <v>1</v>
      </c>
      <c r="I4735">
        <v>868</v>
      </c>
      <c r="J4735">
        <v>0</v>
      </c>
      <c r="K4735" t="str">
        <f t="shared" si="867"/>
        <v>813</v>
      </c>
      <c r="L4735">
        <v>729.12</v>
      </c>
    </row>
    <row r="4736" spans="1:12" x14ac:dyDescent="0.25">
      <c r="A4736" t="str">
        <f t="shared" si="854"/>
        <v>89301000</v>
      </c>
      <c r="B4736" t="str">
        <f t="shared" si="863"/>
        <v>06539000</v>
      </c>
      <c r="C4736" t="str">
        <f t="shared" si="864"/>
        <v>06539003</v>
      </c>
      <c r="D4736">
        <v>89301172</v>
      </c>
      <c r="E4736" t="str">
        <f t="shared" si="868"/>
        <v>470513415</v>
      </c>
      <c r="F4736" s="1">
        <v>45021</v>
      </c>
      <c r="G4736" t="str">
        <f t="shared" si="869"/>
        <v>91413</v>
      </c>
      <c r="H4736">
        <v>1</v>
      </c>
      <c r="I4736">
        <v>868</v>
      </c>
      <c r="J4736">
        <v>0</v>
      </c>
      <c r="K4736" t="str">
        <f t="shared" si="867"/>
        <v>813</v>
      </c>
      <c r="L4736">
        <v>729.12</v>
      </c>
    </row>
    <row r="4737" spans="1:12" x14ac:dyDescent="0.25">
      <c r="A4737" t="str">
        <f t="shared" si="854"/>
        <v>89301000</v>
      </c>
      <c r="B4737" t="str">
        <f t="shared" si="863"/>
        <v>06539000</v>
      </c>
      <c r="C4737" t="str">
        <f t="shared" si="864"/>
        <v>06539003</v>
      </c>
      <c r="D4737">
        <v>89301172</v>
      </c>
      <c r="E4737" t="str">
        <f t="shared" si="868"/>
        <v>470513415</v>
      </c>
      <c r="F4737" s="1">
        <v>45021</v>
      </c>
      <c r="G4737" t="str">
        <f t="shared" si="869"/>
        <v>91413</v>
      </c>
      <c r="H4737">
        <v>1</v>
      </c>
      <c r="I4737">
        <v>868</v>
      </c>
      <c r="J4737">
        <v>0</v>
      </c>
      <c r="K4737" t="str">
        <f t="shared" si="867"/>
        <v>813</v>
      </c>
      <c r="L4737">
        <v>729.12</v>
      </c>
    </row>
    <row r="4738" spans="1:12" x14ac:dyDescent="0.25">
      <c r="A4738" t="str">
        <f t="shared" ref="A4738:A4801" si="870">"89301000"</f>
        <v>89301000</v>
      </c>
      <c r="B4738" t="str">
        <f t="shared" si="863"/>
        <v>06539000</v>
      </c>
      <c r="C4738" t="str">
        <f t="shared" si="864"/>
        <v>06539003</v>
      </c>
      <c r="D4738">
        <v>89301172</v>
      </c>
      <c r="E4738" t="str">
        <f t="shared" si="868"/>
        <v>470513415</v>
      </c>
      <c r="F4738" s="1">
        <v>45022</v>
      </c>
      <c r="G4738" t="str">
        <f t="shared" si="869"/>
        <v>91413</v>
      </c>
      <c r="H4738">
        <v>1</v>
      </c>
      <c r="I4738">
        <v>868</v>
      </c>
      <c r="J4738">
        <v>0</v>
      </c>
      <c r="K4738" t="str">
        <f t="shared" si="867"/>
        <v>813</v>
      </c>
      <c r="L4738">
        <v>729.12</v>
      </c>
    </row>
    <row r="4739" spans="1:12" x14ac:dyDescent="0.25">
      <c r="A4739" t="str">
        <f t="shared" si="870"/>
        <v>89301000</v>
      </c>
      <c r="B4739" t="str">
        <f t="shared" si="863"/>
        <v>06539000</v>
      </c>
      <c r="C4739" t="str">
        <f t="shared" si="864"/>
        <v>06539003</v>
      </c>
      <c r="D4739">
        <v>89301172</v>
      </c>
      <c r="E4739" t="str">
        <f t="shared" si="868"/>
        <v>470513415</v>
      </c>
      <c r="F4739" s="1">
        <v>45022</v>
      </c>
      <c r="G4739" t="str">
        <f t="shared" si="869"/>
        <v>91413</v>
      </c>
      <c r="H4739">
        <v>1</v>
      </c>
      <c r="I4739">
        <v>868</v>
      </c>
      <c r="J4739">
        <v>0</v>
      </c>
      <c r="K4739" t="str">
        <f t="shared" si="867"/>
        <v>813</v>
      </c>
      <c r="L4739">
        <v>729.12</v>
      </c>
    </row>
    <row r="4740" spans="1:12" x14ac:dyDescent="0.25">
      <c r="A4740" t="str">
        <f t="shared" si="870"/>
        <v>89301000</v>
      </c>
      <c r="B4740" t="str">
        <f t="shared" si="863"/>
        <v>06539000</v>
      </c>
      <c r="C4740" t="str">
        <f t="shared" si="864"/>
        <v>06539003</v>
      </c>
      <c r="D4740">
        <v>89301172</v>
      </c>
      <c r="E4740" t="str">
        <f t="shared" si="868"/>
        <v>470513415</v>
      </c>
      <c r="F4740" s="1">
        <v>45022</v>
      </c>
      <c r="G4740" t="str">
        <f t="shared" si="869"/>
        <v>91413</v>
      </c>
      <c r="H4740">
        <v>1</v>
      </c>
      <c r="I4740">
        <v>868</v>
      </c>
      <c r="J4740">
        <v>0</v>
      </c>
      <c r="K4740" t="str">
        <f t="shared" si="867"/>
        <v>813</v>
      </c>
      <c r="L4740">
        <v>729.12</v>
      </c>
    </row>
    <row r="4741" spans="1:12" x14ac:dyDescent="0.25">
      <c r="A4741" t="str">
        <f t="shared" si="870"/>
        <v>89301000</v>
      </c>
      <c r="B4741" t="str">
        <f t="shared" si="863"/>
        <v>06539000</v>
      </c>
      <c r="C4741" t="str">
        <f t="shared" si="864"/>
        <v>06539003</v>
      </c>
      <c r="D4741">
        <v>89301172</v>
      </c>
      <c r="E4741" t="str">
        <f t="shared" si="868"/>
        <v>470513415</v>
      </c>
      <c r="F4741" s="1">
        <v>45022</v>
      </c>
      <c r="G4741" t="str">
        <f t="shared" si="869"/>
        <v>91413</v>
      </c>
      <c r="H4741">
        <v>1</v>
      </c>
      <c r="I4741">
        <v>868</v>
      </c>
      <c r="J4741">
        <v>0</v>
      </c>
      <c r="K4741" t="str">
        <f t="shared" si="867"/>
        <v>813</v>
      </c>
      <c r="L4741">
        <v>729.12</v>
      </c>
    </row>
    <row r="4742" spans="1:12" x14ac:dyDescent="0.25">
      <c r="A4742" t="str">
        <f t="shared" si="870"/>
        <v>89301000</v>
      </c>
      <c r="B4742" t="str">
        <f t="shared" si="863"/>
        <v>06539000</v>
      </c>
      <c r="C4742" t="str">
        <f t="shared" si="864"/>
        <v>06539003</v>
      </c>
      <c r="D4742">
        <v>89301172</v>
      </c>
      <c r="E4742" t="str">
        <f t="shared" si="868"/>
        <v>470513415</v>
      </c>
      <c r="F4742" s="1">
        <v>45007</v>
      </c>
      <c r="G4742" t="str">
        <f>"91475"</f>
        <v>91475</v>
      </c>
      <c r="H4742">
        <v>1</v>
      </c>
      <c r="I4742">
        <v>213</v>
      </c>
      <c r="J4742">
        <v>0</v>
      </c>
      <c r="K4742" t="str">
        <f t="shared" si="867"/>
        <v>813</v>
      </c>
      <c r="L4742">
        <v>178.92</v>
      </c>
    </row>
    <row r="4743" spans="1:12" x14ac:dyDescent="0.25">
      <c r="A4743" t="str">
        <f t="shared" si="870"/>
        <v>89301000</v>
      </c>
      <c r="B4743" t="str">
        <f t="shared" si="863"/>
        <v>06539000</v>
      </c>
      <c r="C4743" t="str">
        <f>"06539001"</f>
        <v>06539001</v>
      </c>
      <c r="D4743">
        <v>89301171</v>
      </c>
      <c r="E4743" t="str">
        <f t="shared" ref="E4743:E4784" si="871">"7858175336"</f>
        <v>7858175336</v>
      </c>
      <c r="F4743" s="1">
        <v>45009</v>
      </c>
      <c r="G4743" t="str">
        <f>"81329"</f>
        <v>81329</v>
      </c>
      <c r="H4743">
        <v>1</v>
      </c>
      <c r="I4743">
        <v>17</v>
      </c>
      <c r="J4743">
        <v>0</v>
      </c>
      <c r="K4743" t="str">
        <f>"801"</f>
        <v>801</v>
      </c>
      <c r="L4743">
        <v>14.28</v>
      </c>
    </row>
    <row r="4744" spans="1:12" x14ac:dyDescent="0.25">
      <c r="A4744" t="str">
        <f t="shared" si="870"/>
        <v>89301000</v>
      </c>
      <c r="B4744" t="str">
        <f t="shared" si="863"/>
        <v>06539000</v>
      </c>
      <c r="C4744" t="str">
        <f>"06539001"</f>
        <v>06539001</v>
      </c>
      <c r="D4744">
        <v>89301171</v>
      </c>
      <c r="E4744" t="str">
        <f t="shared" si="871"/>
        <v>7858175336</v>
      </c>
      <c r="F4744" s="1">
        <v>45009</v>
      </c>
      <c r="G4744" t="str">
        <f>"81331"</f>
        <v>81331</v>
      </c>
      <c r="H4744">
        <v>1</v>
      </c>
      <c r="I4744">
        <v>193</v>
      </c>
      <c r="J4744">
        <v>0</v>
      </c>
      <c r="K4744" t="str">
        <f>"801"</f>
        <v>801</v>
      </c>
      <c r="L4744">
        <v>162.12</v>
      </c>
    </row>
    <row r="4745" spans="1:12" x14ac:dyDescent="0.25">
      <c r="A4745" t="str">
        <f t="shared" si="870"/>
        <v>89301000</v>
      </c>
      <c r="B4745" t="str">
        <f t="shared" si="863"/>
        <v>06539000</v>
      </c>
      <c r="C4745" t="str">
        <f t="shared" ref="C4745:C4752" si="872">"06539002"</f>
        <v>06539002</v>
      </c>
      <c r="D4745">
        <v>89301171</v>
      </c>
      <c r="E4745" t="str">
        <f t="shared" si="871"/>
        <v>7858175336</v>
      </c>
      <c r="F4745" s="1">
        <v>45009</v>
      </c>
      <c r="G4745" t="str">
        <f t="shared" ref="G4745:G4752" si="873">"82097"</f>
        <v>82097</v>
      </c>
      <c r="H4745">
        <v>1</v>
      </c>
      <c r="I4745">
        <v>381</v>
      </c>
      <c r="J4745">
        <v>0</v>
      </c>
      <c r="K4745" t="str">
        <f t="shared" ref="K4745:K4752" si="874">"802"</f>
        <v>802</v>
      </c>
      <c r="L4745">
        <v>369.57</v>
      </c>
    </row>
    <row r="4746" spans="1:12" x14ac:dyDescent="0.25">
      <c r="A4746" t="str">
        <f t="shared" si="870"/>
        <v>89301000</v>
      </c>
      <c r="B4746" t="str">
        <f t="shared" si="863"/>
        <v>06539000</v>
      </c>
      <c r="C4746" t="str">
        <f t="shared" si="872"/>
        <v>06539002</v>
      </c>
      <c r="D4746">
        <v>89301171</v>
      </c>
      <c r="E4746" t="str">
        <f t="shared" si="871"/>
        <v>7858175336</v>
      </c>
      <c r="F4746" s="1">
        <v>45009</v>
      </c>
      <c r="G4746" t="str">
        <f t="shared" si="873"/>
        <v>82097</v>
      </c>
      <c r="H4746">
        <v>1</v>
      </c>
      <c r="I4746">
        <v>381</v>
      </c>
      <c r="J4746">
        <v>0</v>
      </c>
      <c r="K4746" t="str">
        <f t="shared" si="874"/>
        <v>802</v>
      </c>
      <c r="L4746">
        <v>369.57</v>
      </c>
    </row>
    <row r="4747" spans="1:12" x14ac:dyDescent="0.25">
      <c r="A4747" t="str">
        <f t="shared" si="870"/>
        <v>89301000</v>
      </c>
      <c r="B4747" t="str">
        <f t="shared" si="863"/>
        <v>06539000</v>
      </c>
      <c r="C4747" t="str">
        <f t="shared" si="872"/>
        <v>06539002</v>
      </c>
      <c r="D4747">
        <v>89301171</v>
      </c>
      <c r="E4747" t="str">
        <f t="shared" si="871"/>
        <v>7858175336</v>
      </c>
      <c r="F4747" s="1">
        <v>45009</v>
      </c>
      <c r="G4747" t="str">
        <f t="shared" si="873"/>
        <v>82097</v>
      </c>
      <c r="H4747">
        <v>1</v>
      </c>
      <c r="I4747">
        <v>381</v>
      </c>
      <c r="J4747">
        <v>0</v>
      </c>
      <c r="K4747" t="str">
        <f t="shared" si="874"/>
        <v>802</v>
      </c>
      <c r="L4747">
        <v>369.57</v>
      </c>
    </row>
    <row r="4748" spans="1:12" x14ac:dyDescent="0.25">
      <c r="A4748" t="str">
        <f t="shared" si="870"/>
        <v>89301000</v>
      </c>
      <c r="B4748" t="str">
        <f t="shared" si="863"/>
        <v>06539000</v>
      </c>
      <c r="C4748" t="str">
        <f t="shared" si="872"/>
        <v>06539002</v>
      </c>
      <c r="D4748">
        <v>89301171</v>
      </c>
      <c r="E4748" t="str">
        <f t="shared" si="871"/>
        <v>7858175336</v>
      </c>
      <c r="F4748" s="1">
        <v>45009</v>
      </c>
      <c r="G4748" t="str">
        <f t="shared" si="873"/>
        <v>82097</v>
      </c>
      <c r="H4748">
        <v>1</v>
      </c>
      <c r="I4748">
        <v>381</v>
      </c>
      <c r="J4748">
        <v>0</v>
      </c>
      <c r="K4748" t="str">
        <f t="shared" si="874"/>
        <v>802</v>
      </c>
      <c r="L4748">
        <v>369.57</v>
      </c>
    </row>
    <row r="4749" spans="1:12" x14ac:dyDescent="0.25">
      <c r="A4749" t="str">
        <f t="shared" si="870"/>
        <v>89301000</v>
      </c>
      <c r="B4749" t="str">
        <f t="shared" si="863"/>
        <v>06539000</v>
      </c>
      <c r="C4749" t="str">
        <f t="shared" si="872"/>
        <v>06539002</v>
      </c>
      <c r="D4749">
        <v>89301171</v>
      </c>
      <c r="E4749" t="str">
        <f t="shared" si="871"/>
        <v>7858175336</v>
      </c>
      <c r="F4749" s="1">
        <v>45009</v>
      </c>
      <c r="G4749" t="str">
        <f t="shared" si="873"/>
        <v>82097</v>
      </c>
      <c r="H4749">
        <v>1</v>
      </c>
      <c r="I4749">
        <v>381</v>
      </c>
      <c r="J4749">
        <v>0</v>
      </c>
      <c r="K4749" t="str">
        <f t="shared" si="874"/>
        <v>802</v>
      </c>
      <c r="L4749">
        <v>369.57</v>
      </c>
    </row>
    <row r="4750" spans="1:12" x14ac:dyDescent="0.25">
      <c r="A4750" t="str">
        <f t="shared" si="870"/>
        <v>89301000</v>
      </c>
      <c r="B4750" t="str">
        <f t="shared" si="863"/>
        <v>06539000</v>
      </c>
      <c r="C4750" t="str">
        <f t="shared" si="872"/>
        <v>06539002</v>
      </c>
      <c r="D4750">
        <v>89301171</v>
      </c>
      <c r="E4750" t="str">
        <f t="shared" si="871"/>
        <v>7858175336</v>
      </c>
      <c r="F4750" s="1">
        <v>45009</v>
      </c>
      <c r="G4750" t="str">
        <f t="shared" si="873"/>
        <v>82097</v>
      </c>
      <c r="H4750">
        <v>1</v>
      </c>
      <c r="I4750">
        <v>381</v>
      </c>
      <c r="J4750">
        <v>0</v>
      </c>
      <c r="K4750" t="str">
        <f t="shared" si="874"/>
        <v>802</v>
      </c>
      <c r="L4750">
        <v>369.57</v>
      </c>
    </row>
    <row r="4751" spans="1:12" x14ac:dyDescent="0.25">
      <c r="A4751" t="str">
        <f t="shared" si="870"/>
        <v>89301000</v>
      </c>
      <c r="B4751" t="str">
        <f t="shared" si="863"/>
        <v>06539000</v>
      </c>
      <c r="C4751" t="str">
        <f t="shared" si="872"/>
        <v>06539002</v>
      </c>
      <c r="D4751">
        <v>89301171</v>
      </c>
      <c r="E4751" t="str">
        <f t="shared" si="871"/>
        <v>7858175336</v>
      </c>
      <c r="F4751" s="1">
        <v>45009</v>
      </c>
      <c r="G4751" t="str">
        <f t="shared" si="873"/>
        <v>82097</v>
      </c>
      <c r="H4751">
        <v>1</v>
      </c>
      <c r="I4751">
        <v>381</v>
      </c>
      <c r="J4751">
        <v>0</v>
      </c>
      <c r="K4751" t="str">
        <f t="shared" si="874"/>
        <v>802</v>
      </c>
      <c r="L4751">
        <v>369.57</v>
      </c>
    </row>
    <row r="4752" spans="1:12" x14ac:dyDescent="0.25">
      <c r="A4752" t="str">
        <f t="shared" si="870"/>
        <v>89301000</v>
      </c>
      <c r="B4752" t="str">
        <f t="shared" si="863"/>
        <v>06539000</v>
      </c>
      <c r="C4752" t="str">
        <f t="shared" si="872"/>
        <v>06539002</v>
      </c>
      <c r="D4752">
        <v>89301171</v>
      </c>
      <c r="E4752" t="str">
        <f t="shared" si="871"/>
        <v>7858175336</v>
      </c>
      <c r="F4752" s="1">
        <v>45009</v>
      </c>
      <c r="G4752" t="str">
        <f t="shared" si="873"/>
        <v>82097</v>
      </c>
      <c r="H4752">
        <v>1</v>
      </c>
      <c r="I4752">
        <v>381</v>
      </c>
      <c r="J4752">
        <v>0</v>
      </c>
      <c r="K4752" t="str">
        <f t="shared" si="874"/>
        <v>802</v>
      </c>
      <c r="L4752">
        <v>369.57</v>
      </c>
    </row>
    <row r="4753" spans="1:12" x14ac:dyDescent="0.25">
      <c r="A4753" t="str">
        <f t="shared" si="870"/>
        <v>89301000</v>
      </c>
      <c r="B4753" t="str">
        <f t="shared" si="863"/>
        <v>06539000</v>
      </c>
      <c r="C4753" t="str">
        <f t="shared" ref="C4753:C4784" si="875">"06539003"</f>
        <v>06539003</v>
      </c>
      <c r="D4753">
        <v>89301171</v>
      </c>
      <c r="E4753" t="str">
        <f t="shared" si="871"/>
        <v>7858175336</v>
      </c>
      <c r="F4753" s="1">
        <v>45012</v>
      </c>
      <c r="G4753" t="str">
        <f t="shared" ref="G4753:G4762" si="876">"91413"</f>
        <v>91413</v>
      </c>
      <c r="H4753">
        <v>1</v>
      </c>
      <c r="I4753">
        <v>868</v>
      </c>
      <c r="J4753">
        <v>0</v>
      </c>
      <c r="K4753" t="str">
        <f t="shared" ref="K4753:K4784" si="877">"813"</f>
        <v>813</v>
      </c>
      <c r="L4753">
        <v>729.12</v>
      </c>
    </row>
    <row r="4754" spans="1:12" x14ac:dyDescent="0.25">
      <c r="A4754" t="str">
        <f t="shared" si="870"/>
        <v>89301000</v>
      </c>
      <c r="B4754" t="str">
        <f t="shared" si="863"/>
        <v>06539000</v>
      </c>
      <c r="C4754" t="str">
        <f t="shared" si="875"/>
        <v>06539003</v>
      </c>
      <c r="D4754">
        <v>89301171</v>
      </c>
      <c r="E4754" t="str">
        <f t="shared" si="871"/>
        <v>7858175336</v>
      </c>
      <c r="F4754" s="1">
        <v>45012</v>
      </c>
      <c r="G4754" t="str">
        <f t="shared" si="876"/>
        <v>91413</v>
      </c>
      <c r="H4754">
        <v>1</v>
      </c>
      <c r="I4754">
        <v>868</v>
      </c>
      <c r="J4754">
        <v>0</v>
      </c>
      <c r="K4754" t="str">
        <f t="shared" si="877"/>
        <v>813</v>
      </c>
      <c r="L4754">
        <v>729.12</v>
      </c>
    </row>
    <row r="4755" spans="1:12" x14ac:dyDescent="0.25">
      <c r="A4755" t="str">
        <f t="shared" si="870"/>
        <v>89301000</v>
      </c>
      <c r="B4755" t="str">
        <f t="shared" si="863"/>
        <v>06539000</v>
      </c>
      <c r="C4755" t="str">
        <f t="shared" si="875"/>
        <v>06539003</v>
      </c>
      <c r="D4755">
        <v>89301171</v>
      </c>
      <c r="E4755" t="str">
        <f t="shared" si="871"/>
        <v>7858175336</v>
      </c>
      <c r="F4755" s="1">
        <v>45029</v>
      </c>
      <c r="G4755" t="str">
        <f t="shared" si="876"/>
        <v>91413</v>
      </c>
      <c r="H4755">
        <v>1</v>
      </c>
      <c r="I4755">
        <v>868</v>
      </c>
      <c r="J4755">
        <v>0</v>
      </c>
      <c r="K4755" t="str">
        <f t="shared" si="877"/>
        <v>813</v>
      </c>
      <c r="L4755">
        <v>729.12</v>
      </c>
    </row>
    <row r="4756" spans="1:12" x14ac:dyDescent="0.25">
      <c r="A4756" t="str">
        <f t="shared" si="870"/>
        <v>89301000</v>
      </c>
      <c r="B4756" t="str">
        <f t="shared" si="863"/>
        <v>06539000</v>
      </c>
      <c r="C4756" t="str">
        <f t="shared" si="875"/>
        <v>06539003</v>
      </c>
      <c r="D4756">
        <v>89301171</v>
      </c>
      <c r="E4756" t="str">
        <f t="shared" si="871"/>
        <v>7858175336</v>
      </c>
      <c r="F4756" s="1">
        <v>45029</v>
      </c>
      <c r="G4756" t="str">
        <f t="shared" si="876"/>
        <v>91413</v>
      </c>
      <c r="H4756">
        <v>1</v>
      </c>
      <c r="I4756">
        <v>868</v>
      </c>
      <c r="J4756">
        <v>0</v>
      </c>
      <c r="K4756" t="str">
        <f t="shared" si="877"/>
        <v>813</v>
      </c>
      <c r="L4756">
        <v>729.12</v>
      </c>
    </row>
    <row r="4757" spans="1:12" x14ac:dyDescent="0.25">
      <c r="A4757" t="str">
        <f t="shared" si="870"/>
        <v>89301000</v>
      </c>
      <c r="B4757" t="str">
        <f t="shared" si="863"/>
        <v>06539000</v>
      </c>
      <c r="C4757" t="str">
        <f t="shared" si="875"/>
        <v>06539003</v>
      </c>
      <c r="D4757">
        <v>89301171</v>
      </c>
      <c r="E4757" t="str">
        <f t="shared" si="871"/>
        <v>7858175336</v>
      </c>
      <c r="F4757" s="1">
        <v>45028</v>
      </c>
      <c r="G4757" t="str">
        <f t="shared" si="876"/>
        <v>91413</v>
      </c>
      <c r="H4757">
        <v>1</v>
      </c>
      <c r="I4757">
        <v>868</v>
      </c>
      <c r="J4757">
        <v>0</v>
      </c>
      <c r="K4757" t="str">
        <f t="shared" si="877"/>
        <v>813</v>
      </c>
      <c r="L4757">
        <v>729.12</v>
      </c>
    </row>
    <row r="4758" spans="1:12" x14ac:dyDescent="0.25">
      <c r="A4758" t="str">
        <f t="shared" si="870"/>
        <v>89301000</v>
      </c>
      <c r="B4758" t="str">
        <f t="shared" si="863"/>
        <v>06539000</v>
      </c>
      <c r="C4758" t="str">
        <f t="shared" si="875"/>
        <v>06539003</v>
      </c>
      <c r="D4758">
        <v>89301171</v>
      </c>
      <c r="E4758" t="str">
        <f t="shared" si="871"/>
        <v>7858175336</v>
      </c>
      <c r="F4758" s="1">
        <v>45028</v>
      </c>
      <c r="G4758" t="str">
        <f t="shared" si="876"/>
        <v>91413</v>
      </c>
      <c r="H4758">
        <v>1</v>
      </c>
      <c r="I4758">
        <v>868</v>
      </c>
      <c r="J4758">
        <v>0</v>
      </c>
      <c r="K4758" t="str">
        <f t="shared" si="877"/>
        <v>813</v>
      </c>
      <c r="L4758">
        <v>729.12</v>
      </c>
    </row>
    <row r="4759" spans="1:12" x14ac:dyDescent="0.25">
      <c r="A4759" t="str">
        <f t="shared" si="870"/>
        <v>89301000</v>
      </c>
      <c r="B4759" t="str">
        <f t="shared" si="863"/>
        <v>06539000</v>
      </c>
      <c r="C4759" t="str">
        <f t="shared" si="875"/>
        <v>06539003</v>
      </c>
      <c r="D4759">
        <v>89301171</v>
      </c>
      <c r="E4759" t="str">
        <f t="shared" si="871"/>
        <v>7858175336</v>
      </c>
      <c r="F4759" s="1">
        <v>45029</v>
      </c>
      <c r="G4759" t="str">
        <f t="shared" si="876"/>
        <v>91413</v>
      </c>
      <c r="H4759">
        <v>1</v>
      </c>
      <c r="I4759">
        <v>868</v>
      </c>
      <c r="J4759">
        <v>0</v>
      </c>
      <c r="K4759" t="str">
        <f t="shared" si="877"/>
        <v>813</v>
      </c>
      <c r="L4759">
        <v>729.12</v>
      </c>
    </row>
    <row r="4760" spans="1:12" x14ac:dyDescent="0.25">
      <c r="A4760" t="str">
        <f t="shared" si="870"/>
        <v>89301000</v>
      </c>
      <c r="B4760" t="str">
        <f t="shared" si="863"/>
        <v>06539000</v>
      </c>
      <c r="C4760" t="str">
        <f t="shared" si="875"/>
        <v>06539003</v>
      </c>
      <c r="D4760">
        <v>89301171</v>
      </c>
      <c r="E4760" t="str">
        <f t="shared" si="871"/>
        <v>7858175336</v>
      </c>
      <c r="F4760" s="1">
        <v>45029</v>
      </c>
      <c r="G4760" t="str">
        <f t="shared" si="876"/>
        <v>91413</v>
      </c>
      <c r="H4760">
        <v>1</v>
      </c>
      <c r="I4760">
        <v>868</v>
      </c>
      <c r="J4760">
        <v>0</v>
      </c>
      <c r="K4760" t="str">
        <f t="shared" si="877"/>
        <v>813</v>
      </c>
      <c r="L4760">
        <v>729.12</v>
      </c>
    </row>
    <row r="4761" spans="1:12" x14ac:dyDescent="0.25">
      <c r="A4761" t="str">
        <f t="shared" si="870"/>
        <v>89301000</v>
      </c>
      <c r="B4761" t="str">
        <f t="shared" si="863"/>
        <v>06539000</v>
      </c>
      <c r="C4761" t="str">
        <f t="shared" si="875"/>
        <v>06539003</v>
      </c>
      <c r="D4761">
        <v>89301171</v>
      </c>
      <c r="E4761" t="str">
        <f t="shared" si="871"/>
        <v>7858175336</v>
      </c>
      <c r="F4761" s="1">
        <v>45029</v>
      </c>
      <c r="G4761" t="str">
        <f t="shared" si="876"/>
        <v>91413</v>
      </c>
      <c r="H4761">
        <v>1</v>
      </c>
      <c r="I4761">
        <v>868</v>
      </c>
      <c r="J4761">
        <v>0</v>
      </c>
      <c r="K4761" t="str">
        <f t="shared" si="877"/>
        <v>813</v>
      </c>
      <c r="L4761">
        <v>729.12</v>
      </c>
    </row>
    <row r="4762" spans="1:12" x14ac:dyDescent="0.25">
      <c r="A4762" t="str">
        <f t="shared" si="870"/>
        <v>89301000</v>
      </c>
      <c r="B4762" t="str">
        <f t="shared" si="863"/>
        <v>06539000</v>
      </c>
      <c r="C4762" t="str">
        <f t="shared" si="875"/>
        <v>06539003</v>
      </c>
      <c r="D4762">
        <v>89301171</v>
      </c>
      <c r="E4762" t="str">
        <f t="shared" si="871"/>
        <v>7858175336</v>
      </c>
      <c r="F4762" s="1">
        <v>45029</v>
      </c>
      <c r="G4762" t="str">
        <f t="shared" si="876"/>
        <v>91413</v>
      </c>
      <c r="H4762">
        <v>1</v>
      </c>
      <c r="I4762">
        <v>868</v>
      </c>
      <c r="J4762">
        <v>0</v>
      </c>
      <c r="K4762" t="str">
        <f t="shared" si="877"/>
        <v>813</v>
      </c>
      <c r="L4762">
        <v>729.12</v>
      </c>
    </row>
    <row r="4763" spans="1:12" x14ac:dyDescent="0.25">
      <c r="A4763" t="str">
        <f t="shared" si="870"/>
        <v>89301000</v>
      </c>
      <c r="B4763" t="str">
        <f t="shared" si="863"/>
        <v>06539000</v>
      </c>
      <c r="C4763" t="str">
        <f t="shared" si="875"/>
        <v>06539003</v>
      </c>
      <c r="D4763">
        <v>89301171</v>
      </c>
      <c r="E4763" t="str">
        <f t="shared" si="871"/>
        <v>7858175336</v>
      </c>
      <c r="F4763" s="1">
        <v>45009</v>
      </c>
      <c r="G4763" t="str">
        <f t="shared" ref="G4763:G4769" si="878">"91197"</f>
        <v>91197</v>
      </c>
      <c r="H4763">
        <v>1</v>
      </c>
      <c r="I4763">
        <v>1048</v>
      </c>
      <c r="J4763">
        <v>0</v>
      </c>
      <c r="K4763" t="str">
        <f t="shared" si="877"/>
        <v>813</v>
      </c>
      <c r="L4763">
        <v>880.32</v>
      </c>
    </row>
    <row r="4764" spans="1:12" x14ac:dyDescent="0.25">
      <c r="A4764" t="str">
        <f t="shared" si="870"/>
        <v>89301000</v>
      </c>
      <c r="B4764" t="str">
        <f t="shared" si="863"/>
        <v>06539000</v>
      </c>
      <c r="C4764" t="str">
        <f t="shared" si="875"/>
        <v>06539003</v>
      </c>
      <c r="D4764">
        <v>89301171</v>
      </c>
      <c r="E4764" t="str">
        <f t="shared" si="871"/>
        <v>7858175336</v>
      </c>
      <c r="F4764" s="1">
        <v>45012</v>
      </c>
      <c r="G4764" t="str">
        <f t="shared" si="878"/>
        <v>91197</v>
      </c>
      <c r="H4764">
        <v>1</v>
      </c>
      <c r="I4764">
        <v>1048</v>
      </c>
      <c r="J4764">
        <v>0</v>
      </c>
      <c r="K4764" t="str">
        <f t="shared" si="877"/>
        <v>813</v>
      </c>
      <c r="L4764">
        <v>880.32</v>
      </c>
    </row>
    <row r="4765" spans="1:12" x14ac:dyDescent="0.25">
      <c r="A4765" t="str">
        <f t="shared" si="870"/>
        <v>89301000</v>
      </c>
      <c r="B4765" t="str">
        <f t="shared" si="863"/>
        <v>06539000</v>
      </c>
      <c r="C4765" t="str">
        <f t="shared" si="875"/>
        <v>06539003</v>
      </c>
      <c r="D4765">
        <v>89301171</v>
      </c>
      <c r="E4765" t="str">
        <f t="shared" si="871"/>
        <v>7858175336</v>
      </c>
      <c r="F4765" s="1">
        <v>45012</v>
      </c>
      <c r="G4765" t="str">
        <f t="shared" si="878"/>
        <v>91197</v>
      </c>
      <c r="H4765">
        <v>1</v>
      </c>
      <c r="I4765">
        <v>1048</v>
      </c>
      <c r="J4765">
        <v>0</v>
      </c>
      <c r="K4765" t="str">
        <f t="shared" si="877"/>
        <v>813</v>
      </c>
      <c r="L4765">
        <v>880.32</v>
      </c>
    </row>
    <row r="4766" spans="1:12" x14ac:dyDescent="0.25">
      <c r="A4766" t="str">
        <f t="shared" si="870"/>
        <v>89301000</v>
      </c>
      <c r="B4766" t="str">
        <f t="shared" ref="B4766:B4829" si="879">"06539000"</f>
        <v>06539000</v>
      </c>
      <c r="C4766" t="str">
        <f t="shared" si="875"/>
        <v>06539003</v>
      </c>
      <c r="D4766">
        <v>89301171</v>
      </c>
      <c r="E4766" t="str">
        <f t="shared" si="871"/>
        <v>7858175336</v>
      </c>
      <c r="F4766" s="1">
        <v>45011</v>
      </c>
      <c r="G4766" t="str">
        <f t="shared" si="878"/>
        <v>91197</v>
      </c>
      <c r="H4766">
        <v>1</v>
      </c>
      <c r="I4766">
        <v>1048</v>
      </c>
      <c r="J4766">
        <v>0</v>
      </c>
      <c r="K4766" t="str">
        <f t="shared" si="877"/>
        <v>813</v>
      </c>
      <c r="L4766">
        <v>880.32</v>
      </c>
    </row>
    <row r="4767" spans="1:12" x14ac:dyDescent="0.25">
      <c r="A4767" t="str">
        <f t="shared" si="870"/>
        <v>89301000</v>
      </c>
      <c r="B4767" t="str">
        <f t="shared" si="879"/>
        <v>06539000</v>
      </c>
      <c r="C4767" t="str">
        <f t="shared" si="875"/>
        <v>06539003</v>
      </c>
      <c r="D4767">
        <v>89301171</v>
      </c>
      <c r="E4767" t="str">
        <f t="shared" si="871"/>
        <v>7858175336</v>
      </c>
      <c r="F4767" s="1">
        <v>45011</v>
      </c>
      <c r="G4767" t="str">
        <f t="shared" si="878"/>
        <v>91197</v>
      </c>
      <c r="H4767">
        <v>1</v>
      </c>
      <c r="I4767">
        <v>1048</v>
      </c>
      <c r="J4767">
        <v>0</v>
      </c>
      <c r="K4767" t="str">
        <f t="shared" si="877"/>
        <v>813</v>
      </c>
      <c r="L4767">
        <v>880.32</v>
      </c>
    </row>
    <row r="4768" spans="1:12" x14ac:dyDescent="0.25">
      <c r="A4768" t="str">
        <f t="shared" si="870"/>
        <v>89301000</v>
      </c>
      <c r="B4768" t="str">
        <f t="shared" si="879"/>
        <v>06539000</v>
      </c>
      <c r="C4768" t="str">
        <f t="shared" si="875"/>
        <v>06539003</v>
      </c>
      <c r="D4768">
        <v>89301171</v>
      </c>
      <c r="E4768" t="str">
        <f t="shared" si="871"/>
        <v>7858175336</v>
      </c>
      <c r="F4768" s="1">
        <v>45010</v>
      </c>
      <c r="G4768" t="str">
        <f t="shared" si="878"/>
        <v>91197</v>
      </c>
      <c r="H4768">
        <v>1</v>
      </c>
      <c r="I4768">
        <v>1048</v>
      </c>
      <c r="J4768">
        <v>0</v>
      </c>
      <c r="K4768" t="str">
        <f t="shared" si="877"/>
        <v>813</v>
      </c>
      <c r="L4768">
        <v>880.32</v>
      </c>
    </row>
    <row r="4769" spans="1:12" x14ac:dyDescent="0.25">
      <c r="A4769" t="str">
        <f t="shared" si="870"/>
        <v>89301000</v>
      </c>
      <c r="B4769" t="str">
        <f t="shared" si="879"/>
        <v>06539000</v>
      </c>
      <c r="C4769" t="str">
        <f t="shared" si="875"/>
        <v>06539003</v>
      </c>
      <c r="D4769">
        <v>89301171</v>
      </c>
      <c r="E4769" t="str">
        <f t="shared" si="871"/>
        <v>7858175336</v>
      </c>
      <c r="F4769" s="1">
        <v>45010</v>
      </c>
      <c r="G4769" t="str">
        <f t="shared" si="878"/>
        <v>91197</v>
      </c>
      <c r="H4769">
        <v>1</v>
      </c>
      <c r="I4769">
        <v>1048</v>
      </c>
      <c r="J4769">
        <v>0</v>
      </c>
      <c r="K4769" t="str">
        <f t="shared" si="877"/>
        <v>813</v>
      </c>
      <c r="L4769">
        <v>880.32</v>
      </c>
    </row>
    <row r="4770" spans="1:12" x14ac:dyDescent="0.25">
      <c r="A4770" t="str">
        <f t="shared" si="870"/>
        <v>89301000</v>
      </c>
      <c r="B4770" t="str">
        <f t="shared" si="879"/>
        <v>06539000</v>
      </c>
      <c r="C4770" t="str">
        <f t="shared" si="875"/>
        <v>06539003</v>
      </c>
      <c r="D4770">
        <v>89301171</v>
      </c>
      <c r="E4770" t="str">
        <f t="shared" si="871"/>
        <v>7858175336</v>
      </c>
      <c r="F4770" s="1">
        <v>45029</v>
      </c>
      <c r="G4770" t="str">
        <f>"91329"</f>
        <v>91329</v>
      </c>
      <c r="H4770">
        <v>2</v>
      </c>
      <c r="I4770">
        <v>436</v>
      </c>
      <c r="J4770">
        <v>0</v>
      </c>
      <c r="K4770" t="str">
        <f t="shared" si="877"/>
        <v>813</v>
      </c>
      <c r="L4770">
        <v>366.24</v>
      </c>
    </row>
    <row r="4771" spans="1:12" x14ac:dyDescent="0.25">
      <c r="A4771" t="str">
        <f t="shared" si="870"/>
        <v>89301000</v>
      </c>
      <c r="B4771" t="str">
        <f t="shared" si="879"/>
        <v>06539000</v>
      </c>
      <c r="C4771" t="str">
        <f t="shared" si="875"/>
        <v>06539003</v>
      </c>
      <c r="D4771">
        <v>89301171</v>
      </c>
      <c r="E4771" t="str">
        <f t="shared" si="871"/>
        <v>7858175336</v>
      </c>
      <c r="F4771" s="1">
        <v>45029</v>
      </c>
      <c r="G4771" t="str">
        <f>"91329"</f>
        <v>91329</v>
      </c>
      <c r="H4771">
        <v>2</v>
      </c>
      <c r="I4771">
        <v>436</v>
      </c>
      <c r="J4771">
        <v>0</v>
      </c>
      <c r="K4771" t="str">
        <f t="shared" si="877"/>
        <v>813</v>
      </c>
      <c r="L4771">
        <v>366.24</v>
      </c>
    </row>
    <row r="4772" spans="1:12" x14ac:dyDescent="0.25">
      <c r="A4772" t="str">
        <f t="shared" si="870"/>
        <v>89301000</v>
      </c>
      <c r="B4772" t="str">
        <f t="shared" si="879"/>
        <v>06539000</v>
      </c>
      <c r="C4772" t="str">
        <f t="shared" si="875"/>
        <v>06539003</v>
      </c>
      <c r="D4772">
        <v>89301171</v>
      </c>
      <c r="E4772" t="str">
        <f t="shared" si="871"/>
        <v>7858175336</v>
      </c>
      <c r="F4772" s="1">
        <v>45029</v>
      </c>
      <c r="G4772" t="str">
        <f>"91329"</f>
        <v>91329</v>
      </c>
      <c r="H4772">
        <v>2</v>
      </c>
      <c r="I4772">
        <v>436</v>
      </c>
      <c r="J4772">
        <v>0</v>
      </c>
      <c r="K4772" t="str">
        <f t="shared" si="877"/>
        <v>813</v>
      </c>
      <c r="L4772">
        <v>366.24</v>
      </c>
    </row>
    <row r="4773" spans="1:12" x14ac:dyDescent="0.25">
      <c r="A4773" t="str">
        <f t="shared" si="870"/>
        <v>89301000</v>
      </c>
      <c r="B4773" t="str">
        <f t="shared" si="879"/>
        <v>06539000</v>
      </c>
      <c r="C4773" t="str">
        <f t="shared" si="875"/>
        <v>06539003</v>
      </c>
      <c r="D4773">
        <v>89301171</v>
      </c>
      <c r="E4773" t="str">
        <f t="shared" si="871"/>
        <v>7858175336</v>
      </c>
      <c r="F4773" s="1">
        <v>45029</v>
      </c>
      <c r="G4773" t="str">
        <f>"91329"</f>
        <v>91329</v>
      </c>
      <c r="H4773">
        <v>2</v>
      </c>
      <c r="I4773">
        <v>436</v>
      </c>
      <c r="J4773">
        <v>0</v>
      </c>
      <c r="K4773" t="str">
        <f t="shared" si="877"/>
        <v>813</v>
      </c>
      <c r="L4773">
        <v>366.24</v>
      </c>
    </row>
    <row r="4774" spans="1:12" x14ac:dyDescent="0.25">
      <c r="A4774" t="str">
        <f t="shared" si="870"/>
        <v>89301000</v>
      </c>
      <c r="B4774" t="str">
        <f t="shared" si="879"/>
        <v>06539000</v>
      </c>
      <c r="C4774" t="str">
        <f t="shared" si="875"/>
        <v>06539003</v>
      </c>
      <c r="D4774">
        <v>89301171</v>
      </c>
      <c r="E4774" t="str">
        <f t="shared" si="871"/>
        <v>7858175336</v>
      </c>
      <c r="F4774" s="1">
        <v>45009</v>
      </c>
      <c r="G4774" t="str">
        <f>"91129"</f>
        <v>91129</v>
      </c>
      <c r="H4774">
        <v>1</v>
      </c>
      <c r="I4774">
        <v>175</v>
      </c>
      <c r="J4774">
        <v>0</v>
      </c>
      <c r="K4774" t="str">
        <f t="shared" si="877"/>
        <v>813</v>
      </c>
      <c r="L4774">
        <v>147</v>
      </c>
    </row>
    <row r="4775" spans="1:12" x14ac:dyDescent="0.25">
      <c r="A4775" t="str">
        <f t="shared" si="870"/>
        <v>89301000</v>
      </c>
      <c r="B4775" t="str">
        <f t="shared" si="879"/>
        <v>06539000</v>
      </c>
      <c r="C4775" t="str">
        <f t="shared" si="875"/>
        <v>06539003</v>
      </c>
      <c r="D4775">
        <v>89301171</v>
      </c>
      <c r="E4775" t="str">
        <f t="shared" si="871"/>
        <v>7858175336</v>
      </c>
      <c r="F4775" s="1">
        <v>45009</v>
      </c>
      <c r="G4775" t="str">
        <f>"91131"</f>
        <v>91131</v>
      </c>
      <c r="H4775">
        <v>1</v>
      </c>
      <c r="I4775">
        <v>171</v>
      </c>
      <c r="J4775">
        <v>0</v>
      </c>
      <c r="K4775" t="str">
        <f t="shared" si="877"/>
        <v>813</v>
      </c>
      <c r="L4775">
        <v>143.63999999999999</v>
      </c>
    </row>
    <row r="4776" spans="1:12" x14ac:dyDescent="0.25">
      <c r="A4776" t="str">
        <f t="shared" si="870"/>
        <v>89301000</v>
      </c>
      <c r="B4776" t="str">
        <f t="shared" si="879"/>
        <v>06539000</v>
      </c>
      <c r="C4776" t="str">
        <f t="shared" si="875"/>
        <v>06539003</v>
      </c>
      <c r="D4776">
        <v>89301171</v>
      </c>
      <c r="E4776" t="str">
        <f t="shared" si="871"/>
        <v>7858175336</v>
      </c>
      <c r="F4776" s="1">
        <v>45009</v>
      </c>
      <c r="G4776" t="str">
        <f>"91133"</f>
        <v>91133</v>
      </c>
      <c r="H4776">
        <v>1</v>
      </c>
      <c r="I4776">
        <v>177</v>
      </c>
      <c r="J4776">
        <v>0</v>
      </c>
      <c r="K4776" t="str">
        <f t="shared" si="877"/>
        <v>813</v>
      </c>
      <c r="L4776">
        <v>148.68</v>
      </c>
    </row>
    <row r="4777" spans="1:12" x14ac:dyDescent="0.25">
      <c r="A4777" t="str">
        <f t="shared" si="870"/>
        <v>89301000</v>
      </c>
      <c r="B4777" t="str">
        <f t="shared" si="879"/>
        <v>06539000</v>
      </c>
      <c r="C4777" t="str">
        <f t="shared" si="875"/>
        <v>06539003</v>
      </c>
      <c r="D4777">
        <v>89301171</v>
      </c>
      <c r="E4777" t="str">
        <f t="shared" si="871"/>
        <v>7858175336</v>
      </c>
      <c r="F4777" s="1">
        <v>45009</v>
      </c>
      <c r="G4777" t="str">
        <f>"91171"</f>
        <v>91171</v>
      </c>
      <c r="H4777">
        <v>1</v>
      </c>
      <c r="I4777">
        <v>362</v>
      </c>
      <c r="J4777">
        <v>0</v>
      </c>
      <c r="K4777" t="str">
        <f t="shared" si="877"/>
        <v>813</v>
      </c>
      <c r="L4777">
        <v>304.08</v>
      </c>
    </row>
    <row r="4778" spans="1:12" x14ac:dyDescent="0.25">
      <c r="A4778" t="str">
        <f t="shared" si="870"/>
        <v>89301000</v>
      </c>
      <c r="B4778" t="str">
        <f t="shared" si="879"/>
        <v>06539000</v>
      </c>
      <c r="C4778" t="str">
        <f t="shared" si="875"/>
        <v>06539003</v>
      </c>
      <c r="D4778">
        <v>89301171</v>
      </c>
      <c r="E4778" t="str">
        <f t="shared" si="871"/>
        <v>7858175336</v>
      </c>
      <c r="F4778" s="1">
        <v>45009</v>
      </c>
      <c r="G4778" t="str">
        <f>"91173"</f>
        <v>91173</v>
      </c>
      <c r="H4778">
        <v>1</v>
      </c>
      <c r="I4778">
        <v>337</v>
      </c>
      <c r="J4778">
        <v>0</v>
      </c>
      <c r="K4778" t="str">
        <f t="shared" si="877"/>
        <v>813</v>
      </c>
      <c r="L4778">
        <v>283.08</v>
      </c>
    </row>
    <row r="4779" spans="1:12" x14ac:dyDescent="0.25">
      <c r="A4779" t="str">
        <f t="shared" si="870"/>
        <v>89301000</v>
      </c>
      <c r="B4779" t="str">
        <f t="shared" si="879"/>
        <v>06539000</v>
      </c>
      <c r="C4779" t="str">
        <f t="shared" si="875"/>
        <v>06539003</v>
      </c>
      <c r="D4779">
        <v>89301171</v>
      </c>
      <c r="E4779" t="str">
        <f t="shared" si="871"/>
        <v>7858175336</v>
      </c>
      <c r="F4779" s="1">
        <v>45009</v>
      </c>
      <c r="G4779" t="str">
        <f>"91175"</f>
        <v>91175</v>
      </c>
      <c r="H4779">
        <v>1</v>
      </c>
      <c r="I4779">
        <v>362</v>
      </c>
      <c r="J4779">
        <v>0</v>
      </c>
      <c r="K4779" t="str">
        <f t="shared" si="877"/>
        <v>813</v>
      </c>
      <c r="L4779">
        <v>304.08</v>
      </c>
    </row>
    <row r="4780" spans="1:12" x14ac:dyDescent="0.25">
      <c r="A4780" t="str">
        <f t="shared" si="870"/>
        <v>89301000</v>
      </c>
      <c r="B4780" t="str">
        <f t="shared" si="879"/>
        <v>06539000</v>
      </c>
      <c r="C4780" t="str">
        <f t="shared" si="875"/>
        <v>06539003</v>
      </c>
      <c r="D4780">
        <v>89301171</v>
      </c>
      <c r="E4780" t="str">
        <f t="shared" si="871"/>
        <v>7858175336</v>
      </c>
      <c r="F4780" s="1">
        <v>45010</v>
      </c>
      <c r="G4780" t="str">
        <f>"91167"</f>
        <v>91167</v>
      </c>
      <c r="H4780">
        <v>1</v>
      </c>
      <c r="I4780">
        <v>426</v>
      </c>
      <c r="J4780">
        <v>0</v>
      </c>
      <c r="K4780" t="str">
        <f t="shared" si="877"/>
        <v>813</v>
      </c>
      <c r="L4780">
        <v>357.84</v>
      </c>
    </row>
    <row r="4781" spans="1:12" x14ac:dyDescent="0.25">
      <c r="A4781" t="str">
        <f t="shared" si="870"/>
        <v>89301000</v>
      </c>
      <c r="B4781" t="str">
        <f t="shared" si="879"/>
        <v>06539000</v>
      </c>
      <c r="C4781" t="str">
        <f t="shared" si="875"/>
        <v>06539003</v>
      </c>
      <c r="D4781">
        <v>89301171</v>
      </c>
      <c r="E4781" t="str">
        <f t="shared" si="871"/>
        <v>7858175336</v>
      </c>
      <c r="F4781" s="1">
        <v>45010</v>
      </c>
      <c r="G4781" t="str">
        <f>"91169"</f>
        <v>91169</v>
      </c>
      <c r="H4781">
        <v>1</v>
      </c>
      <c r="I4781">
        <v>426</v>
      </c>
      <c r="J4781">
        <v>0</v>
      </c>
      <c r="K4781" t="str">
        <f t="shared" si="877"/>
        <v>813</v>
      </c>
      <c r="L4781">
        <v>357.84</v>
      </c>
    </row>
    <row r="4782" spans="1:12" x14ac:dyDescent="0.25">
      <c r="A4782" t="str">
        <f t="shared" si="870"/>
        <v>89301000</v>
      </c>
      <c r="B4782" t="str">
        <f t="shared" si="879"/>
        <v>06539000</v>
      </c>
      <c r="C4782" t="str">
        <f t="shared" si="875"/>
        <v>06539003</v>
      </c>
      <c r="D4782">
        <v>89301171</v>
      </c>
      <c r="E4782" t="str">
        <f t="shared" si="871"/>
        <v>7858175336</v>
      </c>
      <c r="F4782" s="1">
        <v>45009</v>
      </c>
      <c r="G4782" t="str">
        <f>"91167"</f>
        <v>91167</v>
      </c>
      <c r="H4782">
        <v>1</v>
      </c>
      <c r="I4782">
        <v>426</v>
      </c>
      <c r="J4782">
        <v>0</v>
      </c>
      <c r="K4782" t="str">
        <f t="shared" si="877"/>
        <v>813</v>
      </c>
      <c r="L4782">
        <v>357.84</v>
      </c>
    </row>
    <row r="4783" spans="1:12" x14ac:dyDescent="0.25">
      <c r="A4783" t="str">
        <f t="shared" si="870"/>
        <v>89301000</v>
      </c>
      <c r="B4783" t="str">
        <f t="shared" si="879"/>
        <v>06539000</v>
      </c>
      <c r="C4783" t="str">
        <f t="shared" si="875"/>
        <v>06539003</v>
      </c>
      <c r="D4783">
        <v>89301171</v>
      </c>
      <c r="E4783" t="str">
        <f t="shared" si="871"/>
        <v>7858175336</v>
      </c>
      <c r="F4783" s="1">
        <v>45009</v>
      </c>
      <c r="G4783" t="str">
        <f>"91169"</f>
        <v>91169</v>
      </c>
      <c r="H4783">
        <v>1</v>
      </c>
      <c r="I4783">
        <v>426</v>
      </c>
      <c r="J4783">
        <v>0</v>
      </c>
      <c r="K4783" t="str">
        <f t="shared" si="877"/>
        <v>813</v>
      </c>
      <c r="L4783">
        <v>357.84</v>
      </c>
    </row>
    <row r="4784" spans="1:12" x14ac:dyDescent="0.25">
      <c r="A4784" t="str">
        <f t="shared" si="870"/>
        <v>89301000</v>
      </c>
      <c r="B4784" t="str">
        <f t="shared" si="879"/>
        <v>06539000</v>
      </c>
      <c r="C4784" t="str">
        <f t="shared" si="875"/>
        <v>06539003</v>
      </c>
      <c r="D4784">
        <v>89301171</v>
      </c>
      <c r="E4784" t="str">
        <f t="shared" si="871"/>
        <v>7858175336</v>
      </c>
      <c r="F4784" s="1">
        <v>45029</v>
      </c>
      <c r="G4784" t="str">
        <f>"91475"</f>
        <v>91475</v>
      </c>
      <c r="H4784">
        <v>1</v>
      </c>
      <c r="I4784">
        <v>213</v>
      </c>
      <c r="J4784">
        <v>0</v>
      </c>
      <c r="K4784" t="str">
        <f t="shared" si="877"/>
        <v>813</v>
      </c>
      <c r="L4784">
        <v>178.92</v>
      </c>
    </row>
    <row r="4785" spans="1:12" x14ac:dyDescent="0.25">
      <c r="A4785" t="str">
        <f t="shared" si="870"/>
        <v>89301000</v>
      </c>
      <c r="B4785" t="str">
        <f t="shared" si="879"/>
        <v>06539000</v>
      </c>
      <c r="C4785" t="str">
        <f t="shared" ref="C4785:C4816" si="880">"06539003"</f>
        <v>06539003</v>
      </c>
      <c r="D4785">
        <v>89301171</v>
      </c>
      <c r="E4785" t="str">
        <f t="shared" ref="E4785:E4807" si="881">"9451245727"</f>
        <v>9451245727</v>
      </c>
      <c r="F4785" s="1">
        <v>45012</v>
      </c>
      <c r="G4785" t="str">
        <f t="shared" ref="G4785:G4794" si="882">"91413"</f>
        <v>91413</v>
      </c>
      <c r="H4785">
        <v>1</v>
      </c>
      <c r="I4785">
        <v>868</v>
      </c>
      <c r="J4785">
        <v>0</v>
      </c>
      <c r="K4785" t="str">
        <f t="shared" ref="K4785:K4816" si="883">"813"</f>
        <v>813</v>
      </c>
      <c r="L4785">
        <v>729.12</v>
      </c>
    </row>
    <row r="4786" spans="1:12" x14ac:dyDescent="0.25">
      <c r="A4786" t="str">
        <f t="shared" si="870"/>
        <v>89301000</v>
      </c>
      <c r="B4786" t="str">
        <f t="shared" si="879"/>
        <v>06539000</v>
      </c>
      <c r="C4786" t="str">
        <f t="shared" si="880"/>
        <v>06539003</v>
      </c>
      <c r="D4786">
        <v>89301171</v>
      </c>
      <c r="E4786" t="str">
        <f t="shared" si="881"/>
        <v>9451245727</v>
      </c>
      <c r="F4786" s="1">
        <v>45012</v>
      </c>
      <c r="G4786" t="str">
        <f t="shared" si="882"/>
        <v>91413</v>
      </c>
      <c r="H4786">
        <v>1</v>
      </c>
      <c r="I4786">
        <v>868</v>
      </c>
      <c r="J4786">
        <v>0</v>
      </c>
      <c r="K4786" t="str">
        <f t="shared" si="883"/>
        <v>813</v>
      </c>
      <c r="L4786">
        <v>729.12</v>
      </c>
    </row>
    <row r="4787" spans="1:12" x14ac:dyDescent="0.25">
      <c r="A4787" t="str">
        <f t="shared" si="870"/>
        <v>89301000</v>
      </c>
      <c r="B4787" t="str">
        <f t="shared" si="879"/>
        <v>06539000</v>
      </c>
      <c r="C4787" t="str">
        <f t="shared" si="880"/>
        <v>06539003</v>
      </c>
      <c r="D4787">
        <v>89301171</v>
      </c>
      <c r="E4787" t="str">
        <f t="shared" si="881"/>
        <v>9451245727</v>
      </c>
      <c r="F4787" s="1">
        <v>45029</v>
      </c>
      <c r="G4787" t="str">
        <f t="shared" si="882"/>
        <v>91413</v>
      </c>
      <c r="H4787">
        <v>1</v>
      </c>
      <c r="I4787">
        <v>868</v>
      </c>
      <c r="J4787">
        <v>0</v>
      </c>
      <c r="K4787" t="str">
        <f t="shared" si="883"/>
        <v>813</v>
      </c>
      <c r="L4787">
        <v>729.12</v>
      </c>
    </row>
    <row r="4788" spans="1:12" x14ac:dyDescent="0.25">
      <c r="A4788" t="str">
        <f t="shared" si="870"/>
        <v>89301000</v>
      </c>
      <c r="B4788" t="str">
        <f t="shared" si="879"/>
        <v>06539000</v>
      </c>
      <c r="C4788" t="str">
        <f t="shared" si="880"/>
        <v>06539003</v>
      </c>
      <c r="D4788">
        <v>89301171</v>
      </c>
      <c r="E4788" t="str">
        <f t="shared" si="881"/>
        <v>9451245727</v>
      </c>
      <c r="F4788" s="1">
        <v>45029</v>
      </c>
      <c r="G4788" t="str">
        <f t="shared" si="882"/>
        <v>91413</v>
      </c>
      <c r="H4788">
        <v>1</v>
      </c>
      <c r="I4788">
        <v>868</v>
      </c>
      <c r="J4788">
        <v>0</v>
      </c>
      <c r="K4788" t="str">
        <f t="shared" si="883"/>
        <v>813</v>
      </c>
      <c r="L4788">
        <v>729.12</v>
      </c>
    </row>
    <row r="4789" spans="1:12" x14ac:dyDescent="0.25">
      <c r="A4789" t="str">
        <f t="shared" si="870"/>
        <v>89301000</v>
      </c>
      <c r="B4789" t="str">
        <f t="shared" si="879"/>
        <v>06539000</v>
      </c>
      <c r="C4789" t="str">
        <f t="shared" si="880"/>
        <v>06539003</v>
      </c>
      <c r="D4789">
        <v>89301171</v>
      </c>
      <c r="E4789" t="str">
        <f t="shared" si="881"/>
        <v>9451245727</v>
      </c>
      <c r="F4789" s="1">
        <v>45028</v>
      </c>
      <c r="G4789" t="str">
        <f t="shared" si="882"/>
        <v>91413</v>
      </c>
      <c r="H4789">
        <v>1</v>
      </c>
      <c r="I4789">
        <v>868</v>
      </c>
      <c r="J4789">
        <v>0</v>
      </c>
      <c r="K4789" t="str">
        <f t="shared" si="883"/>
        <v>813</v>
      </c>
      <c r="L4789">
        <v>729.12</v>
      </c>
    </row>
    <row r="4790" spans="1:12" x14ac:dyDescent="0.25">
      <c r="A4790" t="str">
        <f t="shared" si="870"/>
        <v>89301000</v>
      </c>
      <c r="B4790" t="str">
        <f t="shared" si="879"/>
        <v>06539000</v>
      </c>
      <c r="C4790" t="str">
        <f t="shared" si="880"/>
        <v>06539003</v>
      </c>
      <c r="D4790">
        <v>89301171</v>
      </c>
      <c r="E4790" t="str">
        <f t="shared" si="881"/>
        <v>9451245727</v>
      </c>
      <c r="F4790" s="1">
        <v>45028</v>
      </c>
      <c r="G4790" t="str">
        <f t="shared" si="882"/>
        <v>91413</v>
      </c>
      <c r="H4790">
        <v>1</v>
      </c>
      <c r="I4790">
        <v>868</v>
      </c>
      <c r="J4790">
        <v>0</v>
      </c>
      <c r="K4790" t="str">
        <f t="shared" si="883"/>
        <v>813</v>
      </c>
      <c r="L4790">
        <v>729.12</v>
      </c>
    </row>
    <row r="4791" spans="1:12" x14ac:dyDescent="0.25">
      <c r="A4791" t="str">
        <f t="shared" si="870"/>
        <v>89301000</v>
      </c>
      <c r="B4791" t="str">
        <f t="shared" si="879"/>
        <v>06539000</v>
      </c>
      <c r="C4791" t="str">
        <f t="shared" si="880"/>
        <v>06539003</v>
      </c>
      <c r="D4791">
        <v>89301171</v>
      </c>
      <c r="E4791" t="str">
        <f t="shared" si="881"/>
        <v>9451245727</v>
      </c>
      <c r="F4791" s="1">
        <v>45029</v>
      </c>
      <c r="G4791" t="str">
        <f t="shared" si="882"/>
        <v>91413</v>
      </c>
      <c r="H4791">
        <v>1</v>
      </c>
      <c r="I4791">
        <v>868</v>
      </c>
      <c r="J4791">
        <v>0</v>
      </c>
      <c r="K4791" t="str">
        <f t="shared" si="883"/>
        <v>813</v>
      </c>
      <c r="L4791">
        <v>729.12</v>
      </c>
    </row>
    <row r="4792" spans="1:12" x14ac:dyDescent="0.25">
      <c r="A4792" t="str">
        <f t="shared" si="870"/>
        <v>89301000</v>
      </c>
      <c r="B4792" t="str">
        <f t="shared" si="879"/>
        <v>06539000</v>
      </c>
      <c r="C4792" t="str">
        <f t="shared" si="880"/>
        <v>06539003</v>
      </c>
      <c r="D4792">
        <v>89301171</v>
      </c>
      <c r="E4792" t="str">
        <f t="shared" si="881"/>
        <v>9451245727</v>
      </c>
      <c r="F4792" s="1">
        <v>45029</v>
      </c>
      <c r="G4792" t="str">
        <f t="shared" si="882"/>
        <v>91413</v>
      </c>
      <c r="H4792">
        <v>1</v>
      </c>
      <c r="I4792">
        <v>868</v>
      </c>
      <c r="J4792">
        <v>0</v>
      </c>
      <c r="K4792" t="str">
        <f t="shared" si="883"/>
        <v>813</v>
      </c>
      <c r="L4792">
        <v>729.12</v>
      </c>
    </row>
    <row r="4793" spans="1:12" x14ac:dyDescent="0.25">
      <c r="A4793" t="str">
        <f t="shared" si="870"/>
        <v>89301000</v>
      </c>
      <c r="B4793" t="str">
        <f t="shared" si="879"/>
        <v>06539000</v>
      </c>
      <c r="C4793" t="str">
        <f t="shared" si="880"/>
        <v>06539003</v>
      </c>
      <c r="D4793">
        <v>89301171</v>
      </c>
      <c r="E4793" t="str">
        <f t="shared" si="881"/>
        <v>9451245727</v>
      </c>
      <c r="F4793" s="1">
        <v>45029</v>
      </c>
      <c r="G4793" t="str">
        <f t="shared" si="882"/>
        <v>91413</v>
      </c>
      <c r="H4793">
        <v>1</v>
      </c>
      <c r="I4793">
        <v>868</v>
      </c>
      <c r="J4793">
        <v>0</v>
      </c>
      <c r="K4793" t="str">
        <f t="shared" si="883"/>
        <v>813</v>
      </c>
      <c r="L4793">
        <v>729.12</v>
      </c>
    </row>
    <row r="4794" spans="1:12" x14ac:dyDescent="0.25">
      <c r="A4794" t="str">
        <f t="shared" si="870"/>
        <v>89301000</v>
      </c>
      <c r="B4794" t="str">
        <f t="shared" si="879"/>
        <v>06539000</v>
      </c>
      <c r="C4794" t="str">
        <f t="shared" si="880"/>
        <v>06539003</v>
      </c>
      <c r="D4794">
        <v>89301171</v>
      </c>
      <c r="E4794" t="str">
        <f t="shared" si="881"/>
        <v>9451245727</v>
      </c>
      <c r="F4794" s="1">
        <v>45029</v>
      </c>
      <c r="G4794" t="str">
        <f t="shared" si="882"/>
        <v>91413</v>
      </c>
      <c r="H4794">
        <v>1</v>
      </c>
      <c r="I4794">
        <v>868</v>
      </c>
      <c r="J4794">
        <v>0</v>
      </c>
      <c r="K4794" t="str">
        <f t="shared" si="883"/>
        <v>813</v>
      </c>
      <c r="L4794">
        <v>729.12</v>
      </c>
    </row>
    <row r="4795" spans="1:12" x14ac:dyDescent="0.25">
      <c r="A4795" t="str">
        <f t="shared" si="870"/>
        <v>89301000</v>
      </c>
      <c r="B4795" t="str">
        <f t="shared" si="879"/>
        <v>06539000</v>
      </c>
      <c r="C4795" t="str">
        <f t="shared" si="880"/>
        <v>06539003</v>
      </c>
      <c r="D4795">
        <v>89301171</v>
      </c>
      <c r="E4795" t="str">
        <f t="shared" si="881"/>
        <v>9451245727</v>
      </c>
      <c r="F4795" s="1">
        <v>45012</v>
      </c>
      <c r="G4795" t="str">
        <f t="shared" ref="G4795:G4800" si="884">"91197"</f>
        <v>91197</v>
      </c>
      <c r="H4795">
        <v>1</v>
      </c>
      <c r="I4795">
        <v>1048</v>
      </c>
      <c r="J4795">
        <v>0</v>
      </c>
      <c r="K4795" t="str">
        <f t="shared" si="883"/>
        <v>813</v>
      </c>
      <c r="L4795">
        <v>880.32</v>
      </c>
    </row>
    <row r="4796" spans="1:12" x14ac:dyDescent="0.25">
      <c r="A4796" t="str">
        <f t="shared" si="870"/>
        <v>89301000</v>
      </c>
      <c r="B4796" t="str">
        <f t="shared" si="879"/>
        <v>06539000</v>
      </c>
      <c r="C4796" t="str">
        <f t="shared" si="880"/>
        <v>06539003</v>
      </c>
      <c r="D4796">
        <v>89301171</v>
      </c>
      <c r="E4796" t="str">
        <f t="shared" si="881"/>
        <v>9451245727</v>
      </c>
      <c r="F4796" s="1">
        <v>45012</v>
      </c>
      <c r="G4796" t="str">
        <f t="shared" si="884"/>
        <v>91197</v>
      </c>
      <c r="H4796">
        <v>1</v>
      </c>
      <c r="I4796">
        <v>1048</v>
      </c>
      <c r="J4796">
        <v>0</v>
      </c>
      <c r="K4796" t="str">
        <f t="shared" si="883"/>
        <v>813</v>
      </c>
      <c r="L4796">
        <v>880.32</v>
      </c>
    </row>
    <row r="4797" spans="1:12" x14ac:dyDescent="0.25">
      <c r="A4797" t="str">
        <f t="shared" si="870"/>
        <v>89301000</v>
      </c>
      <c r="B4797" t="str">
        <f t="shared" si="879"/>
        <v>06539000</v>
      </c>
      <c r="C4797" t="str">
        <f t="shared" si="880"/>
        <v>06539003</v>
      </c>
      <c r="D4797">
        <v>89301171</v>
      </c>
      <c r="E4797" t="str">
        <f t="shared" si="881"/>
        <v>9451245727</v>
      </c>
      <c r="F4797" s="1">
        <v>45011</v>
      </c>
      <c r="G4797" t="str">
        <f t="shared" si="884"/>
        <v>91197</v>
      </c>
      <c r="H4797">
        <v>1</v>
      </c>
      <c r="I4797">
        <v>1048</v>
      </c>
      <c r="J4797">
        <v>0</v>
      </c>
      <c r="K4797" t="str">
        <f t="shared" si="883"/>
        <v>813</v>
      </c>
      <c r="L4797">
        <v>880.32</v>
      </c>
    </row>
    <row r="4798" spans="1:12" x14ac:dyDescent="0.25">
      <c r="A4798" t="str">
        <f t="shared" si="870"/>
        <v>89301000</v>
      </c>
      <c r="B4798" t="str">
        <f t="shared" si="879"/>
        <v>06539000</v>
      </c>
      <c r="C4798" t="str">
        <f t="shared" si="880"/>
        <v>06539003</v>
      </c>
      <c r="D4798">
        <v>89301171</v>
      </c>
      <c r="E4798" t="str">
        <f t="shared" si="881"/>
        <v>9451245727</v>
      </c>
      <c r="F4798" s="1">
        <v>45011</v>
      </c>
      <c r="G4798" t="str">
        <f t="shared" si="884"/>
        <v>91197</v>
      </c>
      <c r="H4798">
        <v>1</v>
      </c>
      <c r="I4798">
        <v>1048</v>
      </c>
      <c r="J4798">
        <v>0</v>
      </c>
      <c r="K4798" t="str">
        <f t="shared" si="883"/>
        <v>813</v>
      </c>
      <c r="L4798">
        <v>880.32</v>
      </c>
    </row>
    <row r="4799" spans="1:12" x14ac:dyDescent="0.25">
      <c r="A4799" t="str">
        <f t="shared" si="870"/>
        <v>89301000</v>
      </c>
      <c r="B4799" t="str">
        <f t="shared" si="879"/>
        <v>06539000</v>
      </c>
      <c r="C4799" t="str">
        <f t="shared" si="880"/>
        <v>06539003</v>
      </c>
      <c r="D4799">
        <v>89301171</v>
      </c>
      <c r="E4799" t="str">
        <f t="shared" si="881"/>
        <v>9451245727</v>
      </c>
      <c r="F4799" s="1">
        <v>45010</v>
      </c>
      <c r="G4799" t="str">
        <f t="shared" si="884"/>
        <v>91197</v>
      </c>
      <c r="H4799">
        <v>1</v>
      </c>
      <c r="I4799">
        <v>1048</v>
      </c>
      <c r="J4799">
        <v>0</v>
      </c>
      <c r="K4799" t="str">
        <f t="shared" si="883"/>
        <v>813</v>
      </c>
      <c r="L4799">
        <v>880.32</v>
      </c>
    </row>
    <row r="4800" spans="1:12" x14ac:dyDescent="0.25">
      <c r="A4800" t="str">
        <f t="shared" si="870"/>
        <v>89301000</v>
      </c>
      <c r="B4800" t="str">
        <f t="shared" si="879"/>
        <v>06539000</v>
      </c>
      <c r="C4800" t="str">
        <f t="shared" si="880"/>
        <v>06539003</v>
      </c>
      <c r="D4800">
        <v>89301171</v>
      </c>
      <c r="E4800" t="str">
        <f t="shared" si="881"/>
        <v>9451245727</v>
      </c>
      <c r="F4800" s="1">
        <v>45010</v>
      </c>
      <c r="G4800" t="str">
        <f t="shared" si="884"/>
        <v>91197</v>
      </c>
      <c r="H4800">
        <v>1</v>
      </c>
      <c r="I4800">
        <v>1048</v>
      </c>
      <c r="J4800">
        <v>0</v>
      </c>
      <c r="K4800" t="str">
        <f t="shared" si="883"/>
        <v>813</v>
      </c>
      <c r="L4800">
        <v>880.32</v>
      </c>
    </row>
    <row r="4801" spans="1:12" x14ac:dyDescent="0.25">
      <c r="A4801" t="str">
        <f t="shared" si="870"/>
        <v>89301000</v>
      </c>
      <c r="B4801" t="str">
        <f t="shared" si="879"/>
        <v>06539000</v>
      </c>
      <c r="C4801" t="str">
        <f t="shared" si="880"/>
        <v>06539003</v>
      </c>
      <c r="D4801">
        <v>89301171</v>
      </c>
      <c r="E4801" t="str">
        <f t="shared" si="881"/>
        <v>9451245727</v>
      </c>
      <c r="F4801" s="1">
        <v>45029</v>
      </c>
      <c r="G4801" t="str">
        <f>"91329"</f>
        <v>91329</v>
      </c>
      <c r="H4801">
        <v>2</v>
      </c>
      <c r="I4801">
        <v>436</v>
      </c>
      <c r="J4801">
        <v>0</v>
      </c>
      <c r="K4801" t="str">
        <f t="shared" si="883"/>
        <v>813</v>
      </c>
      <c r="L4801">
        <v>366.24</v>
      </c>
    </row>
    <row r="4802" spans="1:12" x14ac:dyDescent="0.25">
      <c r="A4802" t="str">
        <f t="shared" ref="A4802:A4865" si="885">"89301000"</f>
        <v>89301000</v>
      </c>
      <c r="B4802" t="str">
        <f t="shared" si="879"/>
        <v>06539000</v>
      </c>
      <c r="C4802" t="str">
        <f t="shared" si="880"/>
        <v>06539003</v>
      </c>
      <c r="D4802">
        <v>89301171</v>
      </c>
      <c r="E4802" t="str">
        <f t="shared" si="881"/>
        <v>9451245727</v>
      </c>
      <c r="F4802" s="1">
        <v>45029</v>
      </c>
      <c r="G4802" t="str">
        <f>"91329"</f>
        <v>91329</v>
      </c>
      <c r="H4802">
        <v>2</v>
      </c>
      <c r="I4802">
        <v>436</v>
      </c>
      <c r="J4802">
        <v>0</v>
      </c>
      <c r="K4802" t="str">
        <f t="shared" si="883"/>
        <v>813</v>
      </c>
      <c r="L4802">
        <v>366.24</v>
      </c>
    </row>
    <row r="4803" spans="1:12" x14ac:dyDescent="0.25">
      <c r="A4803" t="str">
        <f t="shared" si="885"/>
        <v>89301000</v>
      </c>
      <c r="B4803" t="str">
        <f t="shared" si="879"/>
        <v>06539000</v>
      </c>
      <c r="C4803" t="str">
        <f t="shared" si="880"/>
        <v>06539003</v>
      </c>
      <c r="D4803">
        <v>89301171</v>
      </c>
      <c r="E4803" t="str">
        <f t="shared" si="881"/>
        <v>9451245727</v>
      </c>
      <c r="F4803" s="1">
        <v>45029</v>
      </c>
      <c r="G4803" t="str">
        <f>"91329"</f>
        <v>91329</v>
      </c>
      <c r="H4803">
        <v>2</v>
      </c>
      <c r="I4803">
        <v>436</v>
      </c>
      <c r="J4803">
        <v>0</v>
      </c>
      <c r="K4803" t="str">
        <f t="shared" si="883"/>
        <v>813</v>
      </c>
      <c r="L4803">
        <v>366.24</v>
      </c>
    </row>
    <row r="4804" spans="1:12" x14ac:dyDescent="0.25">
      <c r="A4804" t="str">
        <f t="shared" si="885"/>
        <v>89301000</v>
      </c>
      <c r="B4804" t="str">
        <f t="shared" si="879"/>
        <v>06539000</v>
      </c>
      <c r="C4804" t="str">
        <f t="shared" si="880"/>
        <v>06539003</v>
      </c>
      <c r="D4804">
        <v>89301171</v>
      </c>
      <c r="E4804" t="str">
        <f t="shared" si="881"/>
        <v>9451245727</v>
      </c>
      <c r="F4804" s="1">
        <v>45029</v>
      </c>
      <c r="G4804" t="str">
        <f>"91329"</f>
        <v>91329</v>
      </c>
      <c r="H4804">
        <v>2</v>
      </c>
      <c r="I4804">
        <v>436</v>
      </c>
      <c r="J4804">
        <v>0</v>
      </c>
      <c r="K4804" t="str">
        <f t="shared" si="883"/>
        <v>813</v>
      </c>
      <c r="L4804">
        <v>366.24</v>
      </c>
    </row>
    <row r="4805" spans="1:12" x14ac:dyDescent="0.25">
      <c r="A4805" t="str">
        <f t="shared" si="885"/>
        <v>89301000</v>
      </c>
      <c r="B4805" t="str">
        <f t="shared" si="879"/>
        <v>06539000</v>
      </c>
      <c r="C4805" t="str">
        <f t="shared" si="880"/>
        <v>06539003</v>
      </c>
      <c r="D4805">
        <v>89301171</v>
      </c>
      <c r="E4805" t="str">
        <f t="shared" si="881"/>
        <v>9451245727</v>
      </c>
      <c r="F4805" s="1">
        <v>45010</v>
      </c>
      <c r="G4805" t="str">
        <f>"91167"</f>
        <v>91167</v>
      </c>
      <c r="H4805">
        <v>1</v>
      </c>
      <c r="I4805">
        <v>426</v>
      </c>
      <c r="J4805">
        <v>0</v>
      </c>
      <c r="K4805" t="str">
        <f t="shared" si="883"/>
        <v>813</v>
      </c>
      <c r="L4805">
        <v>357.84</v>
      </c>
    </row>
    <row r="4806" spans="1:12" x14ac:dyDescent="0.25">
      <c r="A4806" t="str">
        <f t="shared" si="885"/>
        <v>89301000</v>
      </c>
      <c r="B4806" t="str">
        <f t="shared" si="879"/>
        <v>06539000</v>
      </c>
      <c r="C4806" t="str">
        <f t="shared" si="880"/>
        <v>06539003</v>
      </c>
      <c r="D4806">
        <v>89301171</v>
      </c>
      <c r="E4806" t="str">
        <f t="shared" si="881"/>
        <v>9451245727</v>
      </c>
      <c r="F4806" s="1">
        <v>45010</v>
      </c>
      <c r="G4806" t="str">
        <f>"91169"</f>
        <v>91169</v>
      </c>
      <c r="H4806">
        <v>1</v>
      </c>
      <c r="I4806">
        <v>426</v>
      </c>
      <c r="J4806">
        <v>0</v>
      </c>
      <c r="K4806" t="str">
        <f t="shared" si="883"/>
        <v>813</v>
      </c>
      <c r="L4806">
        <v>357.84</v>
      </c>
    </row>
    <row r="4807" spans="1:12" x14ac:dyDescent="0.25">
      <c r="A4807" t="str">
        <f t="shared" si="885"/>
        <v>89301000</v>
      </c>
      <c r="B4807" t="str">
        <f t="shared" si="879"/>
        <v>06539000</v>
      </c>
      <c r="C4807" t="str">
        <f t="shared" si="880"/>
        <v>06539003</v>
      </c>
      <c r="D4807">
        <v>89301171</v>
      </c>
      <c r="E4807" t="str">
        <f t="shared" si="881"/>
        <v>9451245727</v>
      </c>
      <c r="F4807" s="1">
        <v>45013</v>
      </c>
      <c r="G4807" t="str">
        <f>"91475"</f>
        <v>91475</v>
      </c>
      <c r="H4807">
        <v>1</v>
      </c>
      <c r="I4807">
        <v>213</v>
      </c>
      <c r="J4807">
        <v>0</v>
      </c>
      <c r="K4807" t="str">
        <f t="shared" si="883"/>
        <v>813</v>
      </c>
      <c r="L4807">
        <v>178.92</v>
      </c>
    </row>
    <row r="4808" spans="1:12" x14ac:dyDescent="0.25">
      <c r="A4808" t="str">
        <f t="shared" si="885"/>
        <v>89301000</v>
      </c>
      <c r="B4808" t="str">
        <f t="shared" si="879"/>
        <v>06539000</v>
      </c>
      <c r="C4808" t="str">
        <f t="shared" si="880"/>
        <v>06539003</v>
      </c>
      <c r="D4808">
        <v>89301171</v>
      </c>
      <c r="E4808" t="str">
        <f t="shared" ref="E4808:E4830" si="886">"7962075363"</f>
        <v>7962075363</v>
      </c>
      <c r="F4808" s="1">
        <v>45012</v>
      </c>
      <c r="G4808" t="str">
        <f t="shared" ref="G4808:G4817" si="887">"91413"</f>
        <v>91413</v>
      </c>
      <c r="H4808">
        <v>1</v>
      </c>
      <c r="I4808">
        <v>868</v>
      </c>
      <c r="J4808">
        <v>0</v>
      </c>
      <c r="K4808" t="str">
        <f t="shared" si="883"/>
        <v>813</v>
      </c>
      <c r="L4808">
        <v>729.12</v>
      </c>
    </row>
    <row r="4809" spans="1:12" x14ac:dyDescent="0.25">
      <c r="A4809" t="str">
        <f t="shared" si="885"/>
        <v>89301000</v>
      </c>
      <c r="B4809" t="str">
        <f t="shared" si="879"/>
        <v>06539000</v>
      </c>
      <c r="C4809" t="str">
        <f t="shared" si="880"/>
        <v>06539003</v>
      </c>
      <c r="D4809">
        <v>89301171</v>
      </c>
      <c r="E4809" t="str">
        <f t="shared" si="886"/>
        <v>7962075363</v>
      </c>
      <c r="F4809" s="1">
        <v>45012</v>
      </c>
      <c r="G4809" t="str">
        <f t="shared" si="887"/>
        <v>91413</v>
      </c>
      <c r="H4809">
        <v>1</v>
      </c>
      <c r="I4809">
        <v>868</v>
      </c>
      <c r="J4809">
        <v>0</v>
      </c>
      <c r="K4809" t="str">
        <f t="shared" si="883"/>
        <v>813</v>
      </c>
      <c r="L4809">
        <v>729.12</v>
      </c>
    </row>
    <row r="4810" spans="1:12" x14ac:dyDescent="0.25">
      <c r="A4810" t="str">
        <f t="shared" si="885"/>
        <v>89301000</v>
      </c>
      <c r="B4810" t="str">
        <f t="shared" si="879"/>
        <v>06539000</v>
      </c>
      <c r="C4810" t="str">
        <f t="shared" si="880"/>
        <v>06539003</v>
      </c>
      <c r="D4810">
        <v>89301171</v>
      </c>
      <c r="E4810" t="str">
        <f t="shared" si="886"/>
        <v>7962075363</v>
      </c>
      <c r="F4810" s="1">
        <v>45029</v>
      </c>
      <c r="G4810" t="str">
        <f t="shared" si="887"/>
        <v>91413</v>
      </c>
      <c r="H4810">
        <v>1</v>
      </c>
      <c r="I4810">
        <v>868</v>
      </c>
      <c r="J4810">
        <v>0</v>
      </c>
      <c r="K4810" t="str">
        <f t="shared" si="883"/>
        <v>813</v>
      </c>
      <c r="L4810">
        <v>729.12</v>
      </c>
    </row>
    <row r="4811" spans="1:12" x14ac:dyDescent="0.25">
      <c r="A4811" t="str">
        <f t="shared" si="885"/>
        <v>89301000</v>
      </c>
      <c r="B4811" t="str">
        <f t="shared" si="879"/>
        <v>06539000</v>
      </c>
      <c r="C4811" t="str">
        <f t="shared" si="880"/>
        <v>06539003</v>
      </c>
      <c r="D4811">
        <v>89301171</v>
      </c>
      <c r="E4811" t="str">
        <f t="shared" si="886"/>
        <v>7962075363</v>
      </c>
      <c r="F4811" s="1">
        <v>45029</v>
      </c>
      <c r="G4811" t="str">
        <f t="shared" si="887"/>
        <v>91413</v>
      </c>
      <c r="H4811">
        <v>1</v>
      </c>
      <c r="I4811">
        <v>868</v>
      </c>
      <c r="J4811">
        <v>0</v>
      </c>
      <c r="K4811" t="str">
        <f t="shared" si="883"/>
        <v>813</v>
      </c>
      <c r="L4811">
        <v>729.12</v>
      </c>
    </row>
    <row r="4812" spans="1:12" x14ac:dyDescent="0.25">
      <c r="A4812" t="str">
        <f t="shared" si="885"/>
        <v>89301000</v>
      </c>
      <c r="B4812" t="str">
        <f t="shared" si="879"/>
        <v>06539000</v>
      </c>
      <c r="C4812" t="str">
        <f t="shared" si="880"/>
        <v>06539003</v>
      </c>
      <c r="D4812">
        <v>89301171</v>
      </c>
      <c r="E4812" t="str">
        <f t="shared" si="886"/>
        <v>7962075363</v>
      </c>
      <c r="F4812" s="1">
        <v>45028</v>
      </c>
      <c r="G4812" t="str">
        <f t="shared" si="887"/>
        <v>91413</v>
      </c>
      <c r="H4812">
        <v>1</v>
      </c>
      <c r="I4812">
        <v>868</v>
      </c>
      <c r="J4812">
        <v>0</v>
      </c>
      <c r="K4812" t="str">
        <f t="shared" si="883"/>
        <v>813</v>
      </c>
      <c r="L4812">
        <v>729.12</v>
      </c>
    </row>
    <row r="4813" spans="1:12" x14ac:dyDescent="0.25">
      <c r="A4813" t="str">
        <f t="shared" si="885"/>
        <v>89301000</v>
      </c>
      <c r="B4813" t="str">
        <f t="shared" si="879"/>
        <v>06539000</v>
      </c>
      <c r="C4813" t="str">
        <f t="shared" si="880"/>
        <v>06539003</v>
      </c>
      <c r="D4813">
        <v>89301171</v>
      </c>
      <c r="E4813" t="str">
        <f t="shared" si="886"/>
        <v>7962075363</v>
      </c>
      <c r="F4813" s="1">
        <v>45028</v>
      </c>
      <c r="G4813" t="str">
        <f t="shared" si="887"/>
        <v>91413</v>
      </c>
      <c r="H4813">
        <v>1</v>
      </c>
      <c r="I4813">
        <v>868</v>
      </c>
      <c r="J4813">
        <v>0</v>
      </c>
      <c r="K4813" t="str">
        <f t="shared" si="883"/>
        <v>813</v>
      </c>
      <c r="L4813">
        <v>729.12</v>
      </c>
    </row>
    <row r="4814" spans="1:12" x14ac:dyDescent="0.25">
      <c r="A4814" t="str">
        <f t="shared" si="885"/>
        <v>89301000</v>
      </c>
      <c r="B4814" t="str">
        <f t="shared" si="879"/>
        <v>06539000</v>
      </c>
      <c r="C4814" t="str">
        <f t="shared" si="880"/>
        <v>06539003</v>
      </c>
      <c r="D4814">
        <v>89301171</v>
      </c>
      <c r="E4814" t="str">
        <f t="shared" si="886"/>
        <v>7962075363</v>
      </c>
      <c r="F4814" s="1">
        <v>45029</v>
      </c>
      <c r="G4814" t="str">
        <f t="shared" si="887"/>
        <v>91413</v>
      </c>
      <c r="H4814">
        <v>1</v>
      </c>
      <c r="I4814">
        <v>868</v>
      </c>
      <c r="J4814">
        <v>0</v>
      </c>
      <c r="K4814" t="str">
        <f t="shared" si="883"/>
        <v>813</v>
      </c>
      <c r="L4814">
        <v>729.12</v>
      </c>
    </row>
    <row r="4815" spans="1:12" x14ac:dyDescent="0.25">
      <c r="A4815" t="str">
        <f t="shared" si="885"/>
        <v>89301000</v>
      </c>
      <c r="B4815" t="str">
        <f t="shared" si="879"/>
        <v>06539000</v>
      </c>
      <c r="C4815" t="str">
        <f t="shared" si="880"/>
        <v>06539003</v>
      </c>
      <c r="D4815">
        <v>89301171</v>
      </c>
      <c r="E4815" t="str">
        <f t="shared" si="886"/>
        <v>7962075363</v>
      </c>
      <c r="F4815" s="1">
        <v>45029</v>
      </c>
      <c r="G4815" t="str">
        <f t="shared" si="887"/>
        <v>91413</v>
      </c>
      <c r="H4815">
        <v>1</v>
      </c>
      <c r="I4815">
        <v>868</v>
      </c>
      <c r="J4815">
        <v>0</v>
      </c>
      <c r="K4815" t="str">
        <f t="shared" si="883"/>
        <v>813</v>
      </c>
      <c r="L4815">
        <v>729.12</v>
      </c>
    </row>
    <row r="4816" spans="1:12" x14ac:dyDescent="0.25">
      <c r="A4816" t="str">
        <f t="shared" si="885"/>
        <v>89301000</v>
      </c>
      <c r="B4816" t="str">
        <f t="shared" si="879"/>
        <v>06539000</v>
      </c>
      <c r="C4816" t="str">
        <f t="shared" si="880"/>
        <v>06539003</v>
      </c>
      <c r="D4816">
        <v>89301171</v>
      </c>
      <c r="E4816" t="str">
        <f t="shared" si="886"/>
        <v>7962075363</v>
      </c>
      <c r="F4816" s="1">
        <v>45029</v>
      </c>
      <c r="G4816" t="str">
        <f t="shared" si="887"/>
        <v>91413</v>
      </c>
      <c r="H4816">
        <v>1</v>
      </c>
      <c r="I4816">
        <v>868</v>
      </c>
      <c r="J4816">
        <v>0</v>
      </c>
      <c r="K4816" t="str">
        <f t="shared" si="883"/>
        <v>813</v>
      </c>
      <c r="L4816">
        <v>729.12</v>
      </c>
    </row>
    <row r="4817" spans="1:12" x14ac:dyDescent="0.25">
      <c r="A4817" t="str">
        <f t="shared" si="885"/>
        <v>89301000</v>
      </c>
      <c r="B4817" t="str">
        <f t="shared" si="879"/>
        <v>06539000</v>
      </c>
      <c r="C4817" t="str">
        <f t="shared" ref="C4817:C4853" si="888">"06539003"</f>
        <v>06539003</v>
      </c>
      <c r="D4817">
        <v>89301171</v>
      </c>
      <c r="E4817" t="str">
        <f t="shared" si="886"/>
        <v>7962075363</v>
      </c>
      <c r="F4817" s="1">
        <v>45029</v>
      </c>
      <c r="G4817" t="str">
        <f t="shared" si="887"/>
        <v>91413</v>
      </c>
      <c r="H4817">
        <v>1</v>
      </c>
      <c r="I4817">
        <v>868</v>
      </c>
      <c r="J4817">
        <v>0</v>
      </c>
      <c r="K4817" t="str">
        <f t="shared" ref="K4817:K4853" si="889">"813"</f>
        <v>813</v>
      </c>
      <c r="L4817">
        <v>729.12</v>
      </c>
    </row>
    <row r="4818" spans="1:12" x14ac:dyDescent="0.25">
      <c r="A4818" t="str">
        <f t="shared" si="885"/>
        <v>89301000</v>
      </c>
      <c r="B4818" t="str">
        <f t="shared" si="879"/>
        <v>06539000</v>
      </c>
      <c r="C4818" t="str">
        <f t="shared" si="888"/>
        <v>06539003</v>
      </c>
      <c r="D4818">
        <v>89301171</v>
      </c>
      <c r="E4818" t="str">
        <f t="shared" si="886"/>
        <v>7962075363</v>
      </c>
      <c r="F4818" s="1">
        <v>45012</v>
      </c>
      <c r="G4818" t="str">
        <f t="shared" ref="G4818:G4823" si="890">"91197"</f>
        <v>91197</v>
      </c>
      <c r="H4818">
        <v>1</v>
      </c>
      <c r="I4818">
        <v>1048</v>
      </c>
      <c r="J4818">
        <v>0</v>
      </c>
      <c r="K4818" t="str">
        <f t="shared" si="889"/>
        <v>813</v>
      </c>
      <c r="L4818">
        <v>880.32</v>
      </c>
    </row>
    <row r="4819" spans="1:12" x14ac:dyDescent="0.25">
      <c r="A4819" t="str">
        <f t="shared" si="885"/>
        <v>89301000</v>
      </c>
      <c r="B4819" t="str">
        <f t="shared" si="879"/>
        <v>06539000</v>
      </c>
      <c r="C4819" t="str">
        <f t="shared" si="888"/>
        <v>06539003</v>
      </c>
      <c r="D4819">
        <v>89301171</v>
      </c>
      <c r="E4819" t="str">
        <f t="shared" si="886"/>
        <v>7962075363</v>
      </c>
      <c r="F4819" s="1">
        <v>45012</v>
      </c>
      <c r="G4819" t="str">
        <f t="shared" si="890"/>
        <v>91197</v>
      </c>
      <c r="H4819">
        <v>1</v>
      </c>
      <c r="I4819">
        <v>1048</v>
      </c>
      <c r="J4819">
        <v>0</v>
      </c>
      <c r="K4819" t="str">
        <f t="shared" si="889"/>
        <v>813</v>
      </c>
      <c r="L4819">
        <v>880.32</v>
      </c>
    </row>
    <row r="4820" spans="1:12" x14ac:dyDescent="0.25">
      <c r="A4820" t="str">
        <f t="shared" si="885"/>
        <v>89301000</v>
      </c>
      <c r="B4820" t="str">
        <f t="shared" si="879"/>
        <v>06539000</v>
      </c>
      <c r="C4820" t="str">
        <f t="shared" si="888"/>
        <v>06539003</v>
      </c>
      <c r="D4820">
        <v>89301171</v>
      </c>
      <c r="E4820" t="str">
        <f t="shared" si="886"/>
        <v>7962075363</v>
      </c>
      <c r="F4820" s="1">
        <v>45011</v>
      </c>
      <c r="G4820" t="str">
        <f t="shared" si="890"/>
        <v>91197</v>
      </c>
      <c r="H4820">
        <v>1</v>
      </c>
      <c r="I4820">
        <v>1048</v>
      </c>
      <c r="J4820">
        <v>0</v>
      </c>
      <c r="K4820" t="str">
        <f t="shared" si="889"/>
        <v>813</v>
      </c>
      <c r="L4820">
        <v>880.32</v>
      </c>
    </row>
    <row r="4821" spans="1:12" x14ac:dyDescent="0.25">
      <c r="A4821" t="str">
        <f t="shared" si="885"/>
        <v>89301000</v>
      </c>
      <c r="B4821" t="str">
        <f t="shared" si="879"/>
        <v>06539000</v>
      </c>
      <c r="C4821" t="str">
        <f t="shared" si="888"/>
        <v>06539003</v>
      </c>
      <c r="D4821">
        <v>89301171</v>
      </c>
      <c r="E4821" t="str">
        <f t="shared" si="886"/>
        <v>7962075363</v>
      </c>
      <c r="F4821" s="1">
        <v>45011</v>
      </c>
      <c r="G4821" t="str">
        <f t="shared" si="890"/>
        <v>91197</v>
      </c>
      <c r="H4821">
        <v>1</v>
      </c>
      <c r="I4821">
        <v>1048</v>
      </c>
      <c r="J4821">
        <v>0</v>
      </c>
      <c r="K4821" t="str">
        <f t="shared" si="889"/>
        <v>813</v>
      </c>
      <c r="L4821">
        <v>880.32</v>
      </c>
    </row>
    <row r="4822" spans="1:12" x14ac:dyDescent="0.25">
      <c r="A4822" t="str">
        <f t="shared" si="885"/>
        <v>89301000</v>
      </c>
      <c r="B4822" t="str">
        <f t="shared" si="879"/>
        <v>06539000</v>
      </c>
      <c r="C4822" t="str">
        <f t="shared" si="888"/>
        <v>06539003</v>
      </c>
      <c r="D4822">
        <v>89301171</v>
      </c>
      <c r="E4822" t="str">
        <f t="shared" si="886"/>
        <v>7962075363</v>
      </c>
      <c r="F4822" s="1">
        <v>45010</v>
      </c>
      <c r="G4822" t="str">
        <f t="shared" si="890"/>
        <v>91197</v>
      </c>
      <c r="H4822">
        <v>1</v>
      </c>
      <c r="I4822">
        <v>1048</v>
      </c>
      <c r="J4822">
        <v>0</v>
      </c>
      <c r="K4822" t="str">
        <f t="shared" si="889"/>
        <v>813</v>
      </c>
      <c r="L4822">
        <v>880.32</v>
      </c>
    </row>
    <row r="4823" spans="1:12" x14ac:dyDescent="0.25">
      <c r="A4823" t="str">
        <f t="shared" si="885"/>
        <v>89301000</v>
      </c>
      <c r="B4823" t="str">
        <f t="shared" si="879"/>
        <v>06539000</v>
      </c>
      <c r="C4823" t="str">
        <f t="shared" si="888"/>
        <v>06539003</v>
      </c>
      <c r="D4823">
        <v>89301171</v>
      </c>
      <c r="E4823" t="str">
        <f t="shared" si="886"/>
        <v>7962075363</v>
      </c>
      <c r="F4823" s="1">
        <v>45010</v>
      </c>
      <c r="G4823" t="str">
        <f t="shared" si="890"/>
        <v>91197</v>
      </c>
      <c r="H4823">
        <v>1</v>
      </c>
      <c r="I4823">
        <v>1048</v>
      </c>
      <c r="J4823">
        <v>0</v>
      </c>
      <c r="K4823" t="str">
        <f t="shared" si="889"/>
        <v>813</v>
      </c>
      <c r="L4823">
        <v>880.32</v>
      </c>
    </row>
    <row r="4824" spans="1:12" x14ac:dyDescent="0.25">
      <c r="A4824" t="str">
        <f t="shared" si="885"/>
        <v>89301000</v>
      </c>
      <c r="B4824" t="str">
        <f t="shared" si="879"/>
        <v>06539000</v>
      </c>
      <c r="C4824" t="str">
        <f t="shared" si="888"/>
        <v>06539003</v>
      </c>
      <c r="D4824">
        <v>89301171</v>
      </c>
      <c r="E4824" t="str">
        <f t="shared" si="886"/>
        <v>7962075363</v>
      </c>
      <c r="F4824" s="1">
        <v>45013</v>
      </c>
      <c r="G4824" t="str">
        <f>"91329"</f>
        <v>91329</v>
      </c>
      <c r="H4824">
        <v>2</v>
      </c>
      <c r="I4824">
        <v>436</v>
      </c>
      <c r="J4824">
        <v>0</v>
      </c>
      <c r="K4824" t="str">
        <f t="shared" si="889"/>
        <v>813</v>
      </c>
      <c r="L4824">
        <v>366.24</v>
      </c>
    </row>
    <row r="4825" spans="1:12" x14ac:dyDescent="0.25">
      <c r="A4825" t="str">
        <f t="shared" si="885"/>
        <v>89301000</v>
      </c>
      <c r="B4825" t="str">
        <f t="shared" si="879"/>
        <v>06539000</v>
      </c>
      <c r="C4825" t="str">
        <f t="shared" si="888"/>
        <v>06539003</v>
      </c>
      <c r="D4825">
        <v>89301171</v>
      </c>
      <c r="E4825" t="str">
        <f t="shared" si="886"/>
        <v>7962075363</v>
      </c>
      <c r="F4825" s="1">
        <v>45013</v>
      </c>
      <c r="G4825" t="str">
        <f>"91329"</f>
        <v>91329</v>
      </c>
      <c r="H4825">
        <v>2</v>
      </c>
      <c r="I4825">
        <v>436</v>
      </c>
      <c r="J4825">
        <v>0</v>
      </c>
      <c r="K4825" t="str">
        <f t="shared" si="889"/>
        <v>813</v>
      </c>
      <c r="L4825">
        <v>366.24</v>
      </c>
    </row>
    <row r="4826" spans="1:12" x14ac:dyDescent="0.25">
      <c r="A4826" t="str">
        <f t="shared" si="885"/>
        <v>89301000</v>
      </c>
      <c r="B4826" t="str">
        <f t="shared" si="879"/>
        <v>06539000</v>
      </c>
      <c r="C4826" t="str">
        <f t="shared" si="888"/>
        <v>06539003</v>
      </c>
      <c r="D4826">
        <v>89301171</v>
      </c>
      <c r="E4826" t="str">
        <f t="shared" si="886"/>
        <v>7962075363</v>
      </c>
      <c r="F4826" s="1">
        <v>45013</v>
      </c>
      <c r="G4826" t="str">
        <f>"91329"</f>
        <v>91329</v>
      </c>
      <c r="H4826">
        <v>2</v>
      </c>
      <c r="I4826">
        <v>436</v>
      </c>
      <c r="J4826">
        <v>0</v>
      </c>
      <c r="K4826" t="str">
        <f t="shared" si="889"/>
        <v>813</v>
      </c>
      <c r="L4826">
        <v>366.24</v>
      </c>
    </row>
    <row r="4827" spans="1:12" x14ac:dyDescent="0.25">
      <c r="A4827" t="str">
        <f t="shared" si="885"/>
        <v>89301000</v>
      </c>
      <c r="B4827" t="str">
        <f t="shared" si="879"/>
        <v>06539000</v>
      </c>
      <c r="C4827" t="str">
        <f t="shared" si="888"/>
        <v>06539003</v>
      </c>
      <c r="D4827">
        <v>89301171</v>
      </c>
      <c r="E4827" t="str">
        <f t="shared" si="886"/>
        <v>7962075363</v>
      </c>
      <c r="F4827" s="1">
        <v>45013</v>
      </c>
      <c r="G4827" t="str">
        <f>"91329"</f>
        <v>91329</v>
      </c>
      <c r="H4827">
        <v>2</v>
      </c>
      <c r="I4827">
        <v>436</v>
      </c>
      <c r="J4827">
        <v>0</v>
      </c>
      <c r="K4827" t="str">
        <f t="shared" si="889"/>
        <v>813</v>
      </c>
      <c r="L4827">
        <v>366.24</v>
      </c>
    </row>
    <row r="4828" spans="1:12" x14ac:dyDescent="0.25">
      <c r="A4828" t="str">
        <f t="shared" si="885"/>
        <v>89301000</v>
      </c>
      <c r="B4828" t="str">
        <f t="shared" si="879"/>
        <v>06539000</v>
      </c>
      <c r="C4828" t="str">
        <f t="shared" si="888"/>
        <v>06539003</v>
      </c>
      <c r="D4828">
        <v>89301171</v>
      </c>
      <c r="E4828" t="str">
        <f t="shared" si="886"/>
        <v>7962075363</v>
      </c>
      <c r="F4828" s="1">
        <v>45010</v>
      </c>
      <c r="G4828" t="str">
        <f>"91167"</f>
        <v>91167</v>
      </c>
      <c r="H4828">
        <v>1</v>
      </c>
      <c r="I4828">
        <v>426</v>
      </c>
      <c r="J4828">
        <v>0</v>
      </c>
      <c r="K4828" t="str">
        <f t="shared" si="889"/>
        <v>813</v>
      </c>
      <c r="L4828">
        <v>357.84</v>
      </c>
    </row>
    <row r="4829" spans="1:12" x14ac:dyDescent="0.25">
      <c r="A4829" t="str">
        <f t="shared" si="885"/>
        <v>89301000</v>
      </c>
      <c r="B4829" t="str">
        <f t="shared" si="879"/>
        <v>06539000</v>
      </c>
      <c r="C4829" t="str">
        <f t="shared" si="888"/>
        <v>06539003</v>
      </c>
      <c r="D4829">
        <v>89301171</v>
      </c>
      <c r="E4829" t="str">
        <f t="shared" si="886"/>
        <v>7962075363</v>
      </c>
      <c r="F4829" s="1">
        <v>45010</v>
      </c>
      <c r="G4829" t="str">
        <f>"91169"</f>
        <v>91169</v>
      </c>
      <c r="H4829">
        <v>1</v>
      </c>
      <c r="I4829">
        <v>426</v>
      </c>
      <c r="J4829">
        <v>0</v>
      </c>
      <c r="K4829" t="str">
        <f t="shared" si="889"/>
        <v>813</v>
      </c>
      <c r="L4829">
        <v>357.84</v>
      </c>
    </row>
    <row r="4830" spans="1:12" x14ac:dyDescent="0.25">
      <c r="A4830" t="str">
        <f t="shared" si="885"/>
        <v>89301000</v>
      </c>
      <c r="B4830" t="str">
        <f t="shared" ref="B4830:B4893" si="891">"06539000"</f>
        <v>06539000</v>
      </c>
      <c r="C4830" t="str">
        <f t="shared" si="888"/>
        <v>06539003</v>
      </c>
      <c r="D4830">
        <v>89301171</v>
      </c>
      <c r="E4830" t="str">
        <f t="shared" si="886"/>
        <v>7962075363</v>
      </c>
      <c r="F4830" s="1">
        <v>45013</v>
      </c>
      <c r="G4830" t="str">
        <f>"91475"</f>
        <v>91475</v>
      </c>
      <c r="H4830">
        <v>1</v>
      </c>
      <c r="I4830">
        <v>213</v>
      </c>
      <c r="J4830">
        <v>0</v>
      </c>
      <c r="K4830" t="str">
        <f t="shared" si="889"/>
        <v>813</v>
      </c>
      <c r="L4830">
        <v>178.92</v>
      </c>
    </row>
    <row r="4831" spans="1:12" x14ac:dyDescent="0.25">
      <c r="A4831" t="str">
        <f t="shared" si="885"/>
        <v>89301000</v>
      </c>
      <c r="B4831" t="str">
        <f t="shared" si="891"/>
        <v>06539000</v>
      </c>
      <c r="C4831" t="str">
        <f t="shared" si="888"/>
        <v>06539003</v>
      </c>
      <c r="D4831">
        <v>89301172</v>
      </c>
      <c r="E4831" t="str">
        <f t="shared" ref="E4831:E4853" si="892">"8108175339"</f>
        <v>8108175339</v>
      </c>
      <c r="F4831" s="1">
        <v>45021</v>
      </c>
      <c r="G4831" t="str">
        <f t="shared" ref="G4831:G4840" si="893">"91413"</f>
        <v>91413</v>
      </c>
      <c r="H4831">
        <v>1</v>
      </c>
      <c r="I4831">
        <v>868</v>
      </c>
      <c r="J4831">
        <v>0</v>
      </c>
      <c r="K4831" t="str">
        <f t="shared" si="889"/>
        <v>813</v>
      </c>
      <c r="L4831">
        <v>729.12</v>
      </c>
    </row>
    <row r="4832" spans="1:12" x14ac:dyDescent="0.25">
      <c r="A4832" t="str">
        <f t="shared" si="885"/>
        <v>89301000</v>
      </c>
      <c r="B4832" t="str">
        <f t="shared" si="891"/>
        <v>06539000</v>
      </c>
      <c r="C4832" t="str">
        <f t="shared" si="888"/>
        <v>06539003</v>
      </c>
      <c r="D4832">
        <v>89301172</v>
      </c>
      <c r="E4832" t="str">
        <f t="shared" si="892"/>
        <v>8108175339</v>
      </c>
      <c r="F4832" s="1">
        <v>45021</v>
      </c>
      <c r="G4832" t="str">
        <f t="shared" si="893"/>
        <v>91413</v>
      </c>
      <c r="H4832">
        <v>1</v>
      </c>
      <c r="I4832">
        <v>868</v>
      </c>
      <c r="J4832">
        <v>0</v>
      </c>
      <c r="K4832" t="str">
        <f t="shared" si="889"/>
        <v>813</v>
      </c>
      <c r="L4832">
        <v>729.12</v>
      </c>
    </row>
    <row r="4833" spans="1:12" x14ac:dyDescent="0.25">
      <c r="A4833" t="str">
        <f t="shared" si="885"/>
        <v>89301000</v>
      </c>
      <c r="B4833" t="str">
        <f t="shared" si="891"/>
        <v>06539000</v>
      </c>
      <c r="C4833" t="str">
        <f t="shared" si="888"/>
        <v>06539003</v>
      </c>
      <c r="D4833">
        <v>89301172</v>
      </c>
      <c r="E4833" t="str">
        <f t="shared" si="892"/>
        <v>8108175339</v>
      </c>
      <c r="F4833" s="1">
        <v>45036</v>
      </c>
      <c r="G4833" t="str">
        <f t="shared" si="893"/>
        <v>91413</v>
      </c>
      <c r="H4833">
        <v>1</v>
      </c>
      <c r="I4833">
        <v>868</v>
      </c>
      <c r="J4833">
        <v>0</v>
      </c>
      <c r="K4833" t="str">
        <f t="shared" si="889"/>
        <v>813</v>
      </c>
      <c r="L4833">
        <v>729.12</v>
      </c>
    </row>
    <row r="4834" spans="1:12" x14ac:dyDescent="0.25">
      <c r="A4834" t="str">
        <f t="shared" si="885"/>
        <v>89301000</v>
      </c>
      <c r="B4834" t="str">
        <f t="shared" si="891"/>
        <v>06539000</v>
      </c>
      <c r="C4834" t="str">
        <f t="shared" si="888"/>
        <v>06539003</v>
      </c>
      <c r="D4834">
        <v>89301172</v>
      </c>
      <c r="E4834" t="str">
        <f t="shared" si="892"/>
        <v>8108175339</v>
      </c>
      <c r="F4834" s="1">
        <v>45036</v>
      </c>
      <c r="G4834" t="str">
        <f t="shared" si="893"/>
        <v>91413</v>
      </c>
      <c r="H4834">
        <v>1</v>
      </c>
      <c r="I4834">
        <v>868</v>
      </c>
      <c r="J4834">
        <v>0</v>
      </c>
      <c r="K4834" t="str">
        <f t="shared" si="889"/>
        <v>813</v>
      </c>
      <c r="L4834">
        <v>729.12</v>
      </c>
    </row>
    <row r="4835" spans="1:12" x14ac:dyDescent="0.25">
      <c r="A4835" t="str">
        <f t="shared" si="885"/>
        <v>89301000</v>
      </c>
      <c r="B4835" t="str">
        <f t="shared" si="891"/>
        <v>06539000</v>
      </c>
      <c r="C4835" t="str">
        <f t="shared" si="888"/>
        <v>06539003</v>
      </c>
      <c r="D4835">
        <v>89301172</v>
      </c>
      <c r="E4835" t="str">
        <f t="shared" si="892"/>
        <v>8108175339</v>
      </c>
      <c r="F4835" s="1">
        <v>45035</v>
      </c>
      <c r="G4835" t="str">
        <f t="shared" si="893"/>
        <v>91413</v>
      </c>
      <c r="H4835">
        <v>1</v>
      </c>
      <c r="I4835">
        <v>868</v>
      </c>
      <c r="J4835">
        <v>0</v>
      </c>
      <c r="K4835" t="str">
        <f t="shared" si="889"/>
        <v>813</v>
      </c>
      <c r="L4835">
        <v>729.12</v>
      </c>
    </row>
    <row r="4836" spans="1:12" x14ac:dyDescent="0.25">
      <c r="A4836" t="str">
        <f t="shared" si="885"/>
        <v>89301000</v>
      </c>
      <c r="B4836" t="str">
        <f t="shared" si="891"/>
        <v>06539000</v>
      </c>
      <c r="C4836" t="str">
        <f t="shared" si="888"/>
        <v>06539003</v>
      </c>
      <c r="D4836">
        <v>89301172</v>
      </c>
      <c r="E4836" t="str">
        <f t="shared" si="892"/>
        <v>8108175339</v>
      </c>
      <c r="F4836" s="1">
        <v>45035</v>
      </c>
      <c r="G4836" t="str">
        <f t="shared" si="893"/>
        <v>91413</v>
      </c>
      <c r="H4836">
        <v>1</v>
      </c>
      <c r="I4836">
        <v>868</v>
      </c>
      <c r="J4836">
        <v>0</v>
      </c>
      <c r="K4836" t="str">
        <f t="shared" si="889"/>
        <v>813</v>
      </c>
      <c r="L4836">
        <v>729.12</v>
      </c>
    </row>
    <row r="4837" spans="1:12" x14ac:dyDescent="0.25">
      <c r="A4837" t="str">
        <f t="shared" si="885"/>
        <v>89301000</v>
      </c>
      <c r="B4837" t="str">
        <f t="shared" si="891"/>
        <v>06539000</v>
      </c>
      <c r="C4837" t="str">
        <f t="shared" si="888"/>
        <v>06539003</v>
      </c>
      <c r="D4837">
        <v>89301172</v>
      </c>
      <c r="E4837" t="str">
        <f t="shared" si="892"/>
        <v>8108175339</v>
      </c>
      <c r="F4837" s="1">
        <v>45036</v>
      </c>
      <c r="G4837" t="str">
        <f t="shared" si="893"/>
        <v>91413</v>
      </c>
      <c r="H4837">
        <v>1</v>
      </c>
      <c r="I4837">
        <v>868</v>
      </c>
      <c r="J4837">
        <v>0</v>
      </c>
      <c r="K4837" t="str">
        <f t="shared" si="889"/>
        <v>813</v>
      </c>
      <c r="L4837">
        <v>729.12</v>
      </c>
    </row>
    <row r="4838" spans="1:12" x14ac:dyDescent="0.25">
      <c r="A4838" t="str">
        <f t="shared" si="885"/>
        <v>89301000</v>
      </c>
      <c r="B4838" t="str">
        <f t="shared" si="891"/>
        <v>06539000</v>
      </c>
      <c r="C4838" t="str">
        <f t="shared" si="888"/>
        <v>06539003</v>
      </c>
      <c r="D4838">
        <v>89301172</v>
      </c>
      <c r="E4838" t="str">
        <f t="shared" si="892"/>
        <v>8108175339</v>
      </c>
      <c r="F4838" s="1">
        <v>45036</v>
      </c>
      <c r="G4838" t="str">
        <f t="shared" si="893"/>
        <v>91413</v>
      </c>
      <c r="H4838">
        <v>1</v>
      </c>
      <c r="I4838">
        <v>868</v>
      </c>
      <c r="J4838">
        <v>0</v>
      </c>
      <c r="K4838" t="str">
        <f t="shared" si="889"/>
        <v>813</v>
      </c>
      <c r="L4838">
        <v>729.12</v>
      </c>
    </row>
    <row r="4839" spans="1:12" x14ac:dyDescent="0.25">
      <c r="A4839" t="str">
        <f t="shared" si="885"/>
        <v>89301000</v>
      </c>
      <c r="B4839" t="str">
        <f t="shared" si="891"/>
        <v>06539000</v>
      </c>
      <c r="C4839" t="str">
        <f t="shared" si="888"/>
        <v>06539003</v>
      </c>
      <c r="D4839">
        <v>89301172</v>
      </c>
      <c r="E4839" t="str">
        <f t="shared" si="892"/>
        <v>8108175339</v>
      </c>
      <c r="F4839" s="1">
        <v>45036</v>
      </c>
      <c r="G4839" t="str">
        <f t="shared" si="893"/>
        <v>91413</v>
      </c>
      <c r="H4839">
        <v>1</v>
      </c>
      <c r="I4839">
        <v>868</v>
      </c>
      <c r="J4839">
        <v>0</v>
      </c>
      <c r="K4839" t="str">
        <f t="shared" si="889"/>
        <v>813</v>
      </c>
      <c r="L4839">
        <v>729.12</v>
      </c>
    </row>
    <row r="4840" spans="1:12" x14ac:dyDescent="0.25">
      <c r="A4840" t="str">
        <f t="shared" si="885"/>
        <v>89301000</v>
      </c>
      <c r="B4840" t="str">
        <f t="shared" si="891"/>
        <v>06539000</v>
      </c>
      <c r="C4840" t="str">
        <f t="shared" si="888"/>
        <v>06539003</v>
      </c>
      <c r="D4840">
        <v>89301172</v>
      </c>
      <c r="E4840" t="str">
        <f t="shared" si="892"/>
        <v>8108175339</v>
      </c>
      <c r="F4840" s="1">
        <v>45036</v>
      </c>
      <c r="G4840" t="str">
        <f t="shared" si="893"/>
        <v>91413</v>
      </c>
      <c r="H4840">
        <v>1</v>
      </c>
      <c r="I4840">
        <v>868</v>
      </c>
      <c r="J4840">
        <v>0</v>
      </c>
      <c r="K4840" t="str">
        <f t="shared" si="889"/>
        <v>813</v>
      </c>
      <c r="L4840">
        <v>729.12</v>
      </c>
    </row>
    <row r="4841" spans="1:12" x14ac:dyDescent="0.25">
      <c r="A4841" t="str">
        <f t="shared" si="885"/>
        <v>89301000</v>
      </c>
      <c r="B4841" t="str">
        <f t="shared" si="891"/>
        <v>06539000</v>
      </c>
      <c r="C4841" t="str">
        <f t="shared" si="888"/>
        <v>06539003</v>
      </c>
      <c r="D4841">
        <v>89301172</v>
      </c>
      <c r="E4841" t="str">
        <f t="shared" si="892"/>
        <v>8108175339</v>
      </c>
      <c r="F4841" s="1">
        <v>45019</v>
      </c>
      <c r="G4841" t="str">
        <f t="shared" ref="G4841:G4846" si="894">"91197"</f>
        <v>91197</v>
      </c>
      <c r="H4841">
        <v>1</v>
      </c>
      <c r="I4841">
        <v>1048</v>
      </c>
      <c r="J4841">
        <v>0</v>
      </c>
      <c r="K4841" t="str">
        <f t="shared" si="889"/>
        <v>813</v>
      </c>
      <c r="L4841">
        <v>880.32</v>
      </c>
    </row>
    <row r="4842" spans="1:12" x14ac:dyDescent="0.25">
      <c r="A4842" t="str">
        <f t="shared" si="885"/>
        <v>89301000</v>
      </c>
      <c r="B4842" t="str">
        <f t="shared" si="891"/>
        <v>06539000</v>
      </c>
      <c r="C4842" t="str">
        <f t="shared" si="888"/>
        <v>06539003</v>
      </c>
      <c r="D4842">
        <v>89301172</v>
      </c>
      <c r="E4842" t="str">
        <f t="shared" si="892"/>
        <v>8108175339</v>
      </c>
      <c r="F4842" s="1">
        <v>45019</v>
      </c>
      <c r="G4842" t="str">
        <f t="shared" si="894"/>
        <v>91197</v>
      </c>
      <c r="H4842">
        <v>1</v>
      </c>
      <c r="I4842">
        <v>1048</v>
      </c>
      <c r="J4842">
        <v>0</v>
      </c>
      <c r="K4842" t="str">
        <f t="shared" si="889"/>
        <v>813</v>
      </c>
      <c r="L4842">
        <v>880.32</v>
      </c>
    </row>
    <row r="4843" spans="1:12" x14ac:dyDescent="0.25">
      <c r="A4843" t="str">
        <f t="shared" si="885"/>
        <v>89301000</v>
      </c>
      <c r="B4843" t="str">
        <f t="shared" si="891"/>
        <v>06539000</v>
      </c>
      <c r="C4843" t="str">
        <f t="shared" si="888"/>
        <v>06539003</v>
      </c>
      <c r="D4843">
        <v>89301172</v>
      </c>
      <c r="E4843" t="str">
        <f t="shared" si="892"/>
        <v>8108175339</v>
      </c>
      <c r="F4843" s="1">
        <v>45018</v>
      </c>
      <c r="G4843" t="str">
        <f t="shared" si="894"/>
        <v>91197</v>
      </c>
      <c r="H4843">
        <v>1</v>
      </c>
      <c r="I4843">
        <v>1048</v>
      </c>
      <c r="J4843">
        <v>0</v>
      </c>
      <c r="K4843" t="str">
        <f t="shared" si="889"/>
        <v>813</v>
      </c>
      <c r="L4843">
        <v>880.32</v>
      </c>
    </row>
    <row r="4844" spans="1:12" x14ac:dyDescent="0.25">
      <c r="A4844" t="str">
        <f t="shared" si="885"/>
        <v>89301000</v>
      </c>
      <c r="B4844" t="str">
        <f t="shared" si="891"/>
        <v>06539000</v>
      </c>
      <c r="C4844" t="str">
        <f t="shared" si="888"/>
        <v>06539003</v>
      </c>
      <c r="D4844">
        <v>89301172</v>
      </c>
      <c r="E4844" t="str">
        <f t="shared" si="892"/>
        <v>8108175339</v>
      </c>
      <c r="F4844" s="1">
        <v>45018</v>
      </c>
      <c r="G4844" t="str">
        <f t="shared" si="894"/>
        <v>91197</v>
      </c>
      <c r="H4844">
        <v>1</v>
      </c>
      <c r="I4844">
        <v>1048</v>
      </c>
      <c r="J4844">
        <v>0</v>
      </c>
      <c r="K4844" t="str">
        <f t="shared" si="889"/>
        <v>813</v>
      </c>
      <c r="L4844">
        <v>880.32</v>
      </c>
    </row>
    <row r="4845" spans="1:12" x14ac:dyDescent="0.25">
      <c r="A4845" t="str">
        <f t="shared" si="885"/>
        <v>89301000</v>
      </c>
      <c r="B4845" t="str">
        <f t="shared" si="891"/>
        <v>06539000</v>
      </c>
      <c r="C4845" t="str">
        <f t="shared" si="888"/>
        <v>06539003</v>
      </c>
      <c r="D4845">
        <v>89301172</v>
      </c>
      <c r="E4845" t="str">
        <f t="shared" si="892"/>
        <v>8108175339</v>
      </c>
      <c r="F4845" s="1">
        <v>45017</v>
      </c>
      <c r="G4845" t="str">
        <f t="shared" si="894"/>
        <v>91197</v>
      </c>
      <c r="H4845">
        <v>1</v>
      </c>
      <c r="I4845">
        <v>1048</v>
      </c>
      <c r="J4845">
        <v>0</v>
      </c>
      <c r="K4845" t="str">
        <f t="shared" si="889"/>
        <v>813</v>
      </c>
      <c r="L4845">
        <v>880.32</v>
      </c>
    </row>
    <row r="4846" spans="1:12" x14ac:dyDescent="0.25">
      <c r="A4846" t="str">
        <f t="shared" si="885"/>
        <v>89301000</v>
      </c>
      <c r="B4846" t="str">
        <f t="shared" si="891"/>
        <v>06539000</v>
      </c>
      <c r="C4846" t="str">
        <f t="shared" si="888"/>
        <v>06539003</v>
      </c>
      <c r="D4846">
        <v>89301172</v>
      </c>
      <c r="E4846" t="str">
        <f t="shared" si="892"/>
        <v>8108175339</v>
      </c>
      <c r="F4846" s="1">
        <v>45017</v>
      </c>
      <c r="G4846" t="str">
        <f t="shared" si="894"/>
        <v>91197</v>
      </c>
      <c r="H4846">
        <v>1</v>
      </c>
      <c r="I4846">
        <v>1048</v>
      </c>
      <c r="J4846">
        <v>0</v>
      </c>
      <c r="K4846" t="str">
        <f t="shared" si="889"/>
        <v>813</v>
      </c>
      <c r="L4846">
        <v>880.32</v>
      </c>
    </row>
    <row r="4847" spans="1:12" x14ac:dyDescent="0.25">
      <c r="A4847" t="str">
        <f t="shared" si="885"/>
        <v>89301000</v>
      </c>
      <c r="B4847" t="str">
        <f t="shared" si="891"/>
        <v>06539000</v>
      </c>
      <c r="C4847" t="str">
        <f t="shared" si="888"/>
        <v>06539003</v>
      </c>
      <c r="D4847">
        <v>89301172</v>
      </c>
      <c r="E4847" t="str">
        <f t="shared" si="892"/>
        <v>8108175339</v>
      </c>
      <c r="F4847" s="1">
        <v>45021</v>
      </c>
      <c r="G4847" t="str">
        <f>"91329"</f>
        <v>91329</v>
      </c>
      <c r="H4847">
        <v>2</v>
      </c>
      <c r="I4847">
        <v>436</v>
      </c>
      <c r="J4847">
        <v>0</v>
      </c>
      <c r="K4847" t="str">
        <f t="shared" si="889"/>
        <v>813</v>
      </c>
      <c r="L4847">
        <v>366.24</v>
      </c>
    </row>
    <row r="4848" spans="1:12" x14ac:dyDescent="0.25">
      <c r="A4848" t="str">
        <f t="shared" si="885"/>
        <v>89301000</v>
      </c>
      <c r="B4848" t="str">
        <f t="shared" si="891"/>
        <v>06539000</v>
      </c>
      <c r="C4848" t="str">
        <f t="shared" si="888"/>
        <v>06539003</v>
      </c>
      <c r="D4848">
        <v>89301172</v>
      </c>
      <c r="E4848" t="str">
        <f t="shared" si="892"/>
        <v>8108175339</v>
      </c>
      <c r="F4848" s="1">
        <v>45021</v>
      </c>
      <c r="G4848" t="str">
        <f>"91329"</f>
        <v>91329</v>
      </c>
      <c r="H4848">
        <v>2</v>
      </c>
      <c r="I4848">
        <v>436</v>
      </c>
      <c r="J4848">
        <v>0</v>
      </c>
      <c r="K4848" t="str">
        <f t="shared" si="889"/>
        <v>813</v>
      </c>
      <c r="L4848">
        <v>366.24</v>
      </c>
    </row>
    <row r="4849" spans="1:12" x14ac:dyDescent="0.25">
      <c r="A4849" t="str">
        <f t="shared" si="885"/>
        <v>89301000</v>
      </c>
      <c r="B4849" t="str">
        <f t="shared" si="891"/>
        <v>06539000</v>
      </c>
      <c r="C4849" t="str">
        <f t="shared" si="888"/>
        <v>06539003</v>
      </c>
      <c r="D4849">
        <v>89301172</v>
      </c>
      <c r="E4849" t="str">
        <f t="shared" si="892"/>
        <v>8108175339</v>
      </c>
      <c r="F4849" s="1">
        <v>45021</v>
      </c>
      <c r="G4849" t="str">
        <f>"91329"</f>
        <v>91329</v>
      </c>
      <c r="H4849">
        <v>2</v>
      </c>
      <c r="I4849">
        <v>436</v>
      </c>
      <c r="J4849">
        <v>0</v>
      </c>
      <c r="K4849" t="str">
        <f t="shared" si="889"/>
        <v>813</v>
      </c>
      <c r="L4849">
        <v>366.24</v>
      </c>
    </row>
    <row r="4850" spans="1:12" x14ac:dyDescent="0.25">
      <c r="A4850" t="str">
        <f t="shared" si="885"/>
        <v>89301000</v>
      </c>
      <c r="B4850" t="str">
        <f t="shared" si="891"/>
        <v>06539000</v>
      </c>
      <c r="C4850" t="str">
        <f t="shared" si="888"/>
        <v>06539003</v>
      </c>
      <c r="D4850">
        <v>89301172</v>
      </c>
      <c r="E4850" t="str">
        <f t="shared" si="892"/>
        <v>8108175339</v>
      </c>
      <c r="F4850" s="1">
        <v>45021</v>
      </c>
      <c r="G4850" t="str">
        <f>"91329"</f>
        <v>91329</v>
      </c>
      <c r="H4850">
        <v>2</v>
      </c>
      <c r="I4850">
        <v>436</v>
      </c>
      <c r="J4850">
        <v>0</v>
      </c>
      <c r="K4850" t="str">
        <f t="shared" si="889"/>
        <v>813</v>
      </c>
      <c r="L4850">
        <v>366.24</v>
      </c>
    </row>
    <row r="4851" spans="1:12" x14ac:dyDescent="0.25">
      <c r="A4851" t="str">
        <f t="shared" si="885"/>
        <v>89301000</v>
      </c>
      <c r="B4851" t="str">
        <f t="shared" si="891"/>
        <v>06539000</v>
      </c>
      <c r="C4851" t="str">
        <f t="shared" si="888"/>
        <v>06539003</v>
      </c>
      <c r="D4851">
        <v>89301172</v>
      </c>
      <c r="E4851" t="str">
        <f t="shared" si="892"/>
        <v>8108175339</v>
      </c>
      <c r="F4851" s="1">
        <v>45017</v>
      </c>
      <c r="G4851" t="str">
        <f>"91167"</f>
        <v>91167</v>
      </c>
      <c r="H4851">
        <v>1</v>
      </c>
      <c r="I4851">
        <v>426</v>
      </c>
      <c r="J4851">
        <v>0</v>
      </c>
      <c r="K4851" t="str">
        <f t="shared" si="889"/>
        <v>813</v>
      </c>
      <c r="L4851">
        <v>357.84</v>
      </c>
    </row>
    <row r="4852" spans="1:12" x14ac:dyDescent="0.25">
      <c r="A4852" t="str">
        <f t="shared" si="885"/>
        <v>89301000</v>
      </c>
      <c r="B4852" t="str">
        <f t="shared" si="891"/>
        <v>06539000</v>
      </c>
      <c r="C4852" t="str">
        <f t="shared" si="888"/>
        <v>06539003</v>
      </c>
      <c r="D4852">
        <v>89301172</v>
      </c>
      <c r="E4852" t="str">
        <f t="shared" si="892"/>
        <v>8108175339</v>
      </c>
      <c r="F4852" s="1">
        <v>45017</v>
      </c>
      <c r="G4852" t="str">
        <f>"91169"</f>
        <v>91169</v>
      </c>
      <c r="H4852">
        <v>1</v>
      </c>
      <c r="I4852">
        <v>426</v>
      </c>
      <c r="J4852">
        <v>0</v>
      </c>
      <c r="K4852" t="str">
        <f t="shared" si="889"/>
        <v>813</v>
      </c>
      <c r="L4852">
        <v>357.84</v>
      </c>
    </row>
    <row r="4853" spans="1:12" x14ac:dyDescent="0.25">
      <c r="A4853" t="str">
        <f t="shared" si="885"/>
        <v>89301000</v>
      </c>
      <c r="B4853" t="str">
        <f t="shared" si="891"/>
        <v>06539000</v>
      </c>
      <c r="C4853" t="str">
        <f t="shared" si="888"/>
        <v>06539003</v>
      </c>
      <c r="D4853">
        <v>89301172</v>
      </c>
      <c r="E4853" t="str">
        <f t="shared" si="892"/>
        <v>8108175339</v>
      </c>
      <c r="F4853" s="1">
        <v>45036</v>
      </c>
      <c r="G4853" t="str">
        <f>"91475"</f>
        <v>91475</v>
      </c>
      <c r="H4853">
        <v>1</v>
      </c>
      <c r="I4853">
        <v>213</v>
      </c>
      <c r="J4853">
        <v>0</v>
      </c>
      <c r="K4853" t="str">
        <f t="shared" si="889"/>
        <v>813</v>
      </c>
      <c r="L4853">
        <v>178.92</v>
      </c>
    </row>
    <row r="4854" spans="1:12" x14ac:dyDescent="0.25">
      <c r="A4854" t="str">
        <f t="shared" si="885"/>
        <v>89301000</v>
      </c>
      <c r="B4854" t="str">
        <f t="shared" si="891"/>
        <v>06539000</v>
      </c>
      <c r="C4854" t="str">
        <f>"06539001"</f>
        <v>06539001</v>
      </c>
      <c r="D4854">
        <v>89301171</v>
      </c>
      <c r="E4854" t="str">
        <f t="shared" ref="E4854:E4895" si="895">"7356025380"</f>
        <v>7356025380</v>
      </c>
      <c r="F4854" s="1">
        <v>45022</v>
      </c>
      <c r="G4854" t="str">
        <f>"81329"</f>
        <v>81329</v>
      </c>
      <c r="H4854">
        <v>1</v>
      </c>
      <c r="I4854">
        <v>17</v>
      </c>
      <c r="J4854">
        <v>0</v>
      </c>
      <c r="K4854" t="str">
        <f>"801"</f>
        <v>801</v>
      </c>
      <c r="L4854">
        <v>14.28</v>
      </c>
    </row>
    <row r="4855" spans="1:12" x14ac:dyDescent="0.25">
      <c r="A4855" t="str">
        <f t="shared" si="885"/>
        <v>89301000</v>
      </c>
      <c r="B4855" t="str">
        <f t="shared" si="891"/>
        <v>06539000</v>
      </c>
      <c r="C4855" t="str">
        <f>"06539001"</f>
        <v>06539001</v>
      </c>
      <c r="D4855">
        <v>89301171</v>
      </c>
      <c r="E4855" t="str">
        <f t="shared" si="895"/>
        <v>7356025380</v>
      </c>
      <c r="F4855" s="1">
        <v>45022</v>
      </c>
      <c r="G4855" t="str">
        <f>"81331"</f>
        <v>81331</v>
      </c>
      <c r="H4855">
        <v>1</v>
      </c>
      <c r="I4855">
        <v>193</v>
      </c>
      <c r="J4855">
        <v>0</v>
      </c>
      <c r="K4855" t="str">
        <f>"801"</f>
        <v>801</v>
      </c>
      <c r="L4855">
        <v>162.12</v>
      </c>
    </row>
    <row r="4856" spans="1:12" x14ac:dyDescent="0.25">
      <c r="A4856" t="str">
        <f t="shared" si="885"/>
        <v>89301000</v>
      </c>
      <c r="B4856" t="str">
        <f t="shared" si="891"/>
        <v>06539000</v>
      </c>
      <c r="C4856" t="str">
        <f t="shared" ref="C4856:C4863" si="896">"06539002"</f>
        <v>06539002</v>
      </c>
      <c r="D4856">
        <v>89301171</v>
      </c>
      <c r="E4856" t="str">
        <f t="shared" si="895"/>
        <v>7356025380</v>
      </c>
      <c r="F4856" s="1">
        <v>45022</v>
      </c>
      <c r="G4856" t="str">
        <f t="shared" ref="G4856:G4863" si="897">"82097"</f>
        <v>82097</v>
      </c>
      <c r="H4856">
        <v>1</v>
      </c>
      <c r="I4856">
        <v>381</v>
      </c>
      <c r="J4856">
        <v>0</v>
      </c>
      <c r="K4856" t="str">
        <f t="shared" ref="K4856:K4863" si="898">"802"</f>
        <v>802</v>
      </c>
      <c r="L4856">
        <v>369.57</v>
      </c>
    </row>
    <row r="4857" spans="1:12" x14ac:dyDescent="0.25">
      <c r="A4857" t="str">
        <f t="shared" si="885"/>
        <v>89301000</v>
      </c>
      <c r="B4857" t="str">
        <f t="shared" si="891"/>
        <v>06539000</v>
      </c>
      <c r="C4857" t="str">
        <f t="shared" si="896"/>
        <v>06539002</v>
      </c>
      <c r="D4857">
        <v>89301171</v>
      </c>
      <c r="E4857" t="str">
        <f t="shared" si="895"/>
        <v>7356025380</v>
      </c>
      <c r="F4857" s="1">
        <v>45022</v>
      </c>
      <c r="G4857" t="str">
        <f t="shared" si="897"/>
        <v>82097</v>
      </c>
      <c r="H4857">
        <v>1</v>
      </c>
      <c r="I4857">
        <v>381</v>
      </c>
      <c r="J4857">
        <v>0</v>
      </c>
      <c r="K4857" t="str">
        <f t="shared" si="898"/>
        <v>802</v>
      </c>
      <c r="L4857">
        <v>369.57</v>
      </c>
    </row>
    <row r="4858" spans="1:12" x14ac:dyDescent="0.25">
      <c r="A4858" t="str">
        <f t="shared" si="885"/>
        <v>89301000</v>
      </c>
      <c r="B4858" t="str">
        <f t="shared" si="891"/>
        <v>06539000</v>
      </c>
      <c r="C4858" t="str">
        <f t="shared" si="896"/>
        <v>06539002</v>
      </c>
      <c r="D4858">
        <v>89301171</v>
      </c>
      <c r="E4858" t="str">
        <f t="shared" si="895"/>
        <v>7356025380</v>
      </c>
      <c r="F4858" s="1">
        <v>45022</v>
      </c>
      <c r="G4858" t="str">
        <f t="shared" si="897"/>
        <v>82097</v>
      </c>
      <c r="H4858">
        <v>1</v>
      </c>
      <c r="I4858">
        <v>381</v>
      </c>
      <c r="J4858">
        <v>0</v>
      </c>
      <c r="K4858" t="str">
        <f t="shared" si="898"/>
        <v>802</v>
      </c>
      <c r="L4858">
        <v>369.57</v>
      </c>
    </row>
    <row r="4859" spans="1:12" x14ac:dyDescent="0.25">
      <c r="A4859" t="str">
        <f t="shared" si="885"/>
        <v>89301000</v>
      </c>
      <c r="B4859" t="str">
        <f t="shared" si="891"/>
        <v>06539000</v>
      </c>
      <c r="C4859" t="str">
        <f t="shared" si="896"/>
        <v>06539002</v>
      </c>
      <c r="D4859">
        <v>89301171</v>
      </c>
      <c r="E4859" t="str">
        <f t="shared" si="895"/>
        <v>7356025380</v>
      </c>
      <c r="F4859" s="1">
        <v>45022</v>
      </c>
      <c r="G4859" t="str">
        <f t="shared" si="897"/>
        <v>82097</v>
      </c>
      <c r="H4859">
        <v>1</v>
      </c>
      <c r="I4859">
        <v>381</v>
      </c>
      <c r="J4859">
        <v>0</v>
      </c>
      <c r="K4859" t="str">
        <f t="shared" si="898"/>
        <v>802</v>
      </c>
      <c r="L4859">
        <v>369.57</v>
      </c>
    </row>
    <row r="4860" spans="1:12" x14ac:dyDescent="0.25">
      <c r="A4860" t="str">
        <f t="shared" si="885"/>
        <v>89301000</v>
      </c>
      <c r="B4860" t="str">
        <f t="shared" si="891"/>
        <v>06539000</v>
      </c>
      <c r="C4860" t="str">
        <f t="shared" si="896"/>
        <v>06539002</v>
      </c>
      <c r="D4860">
        <v>89301171</v>
      </c>
      <c r="E4860" t="str">
        <f t="shared" si="895"/>
        <v>7356025380</v>
      </c>
      <c r="F4860" s="1">
        <v>45022</v>
      </c>
      <c r="G4860" t="str">
        <f t="shared" si="897"/>
        <v>82097</v>
      </c>
      <c r="H4860">
        <v>1</v>
      </c>
      <c r="I4860">
        <v>381</v>
      </c>
      <c r="J4860">
        <v>0</v>
      </c>
      <c r="K4860" t="str">
        <f t="shared" si="898"/>
        <v>802</v>
      </c>
      <c r="L4860">
        <v>369.57</v>
      </c>
    </row>
    <row r="4861" spans="1:12" x14ac:dyDescent="0.25">
      <c r="A4861" t="str">
        <f t="shared" si="885"/>
        <v>89301000</v>
      </c>
      <c r="B4861" t="str">
        <f t="shared" si="891"/>
        <v>06539000</v>
      </c>
      <c r="C4861" t="str">
        <f t="shared" si="896"/>
        <v>06539002</v>
      </c>
      <c r="D4861">
        <v>89301171</v>
      </c>
      <c r="E4861" t="str">
        <f t="shared" si="895"/>
        <v>7356025380</v>
      </c>
      <c r="F4861" s="1">
        <v>45022</v>
      </c>
      <c r="G4861" t="str">
        <f t="shared" si="897"/>
        <v>82097</v>
      </c>
      <c r="H4861">
        <v>1</v>
      </c>
      <c r="I4861">
        <v>381</v>
      </c>
      <c r="J4861">
        <v>0</v>
      </c>
      <c r="K4861" t="str">
        <f t="shared" si="898"/>
        <v>802</v>
      </c>
      <c r="L4861">
        <v>369.57</v>
      </c>
    </row>
    <row r="4862" spans="1:12" x14ac:dyDescent="0.25">
      <c r="A4862" t="str">
        <f t="shared" si="885"/>
        <v>89301000</v>
      </c>
      <c r="B4862" t="str">
        <f t="shared" si="891"/>
        <v>06539000</v>
      </c>
      <c r="C4862" t="str">
        <f t="shared" si="896"/>
        <v>06539002</v>
      </c>
      <c r="D4862">
        <v>89301171</v>
      </c>
      <c r="E4862" t="str">
        <f t="shared" si="895"/>
        <v>7356025380</v>
      </c>
      <c r="F4862" s="1">
        <v>45022</v>
      </c>
      <c r="G4862" t="str">
        <f t="shared" si="897"/>
        <v>82097</v>
      </c>
      <c r="H4862">
        <v>1</v>
      </c>
      <c r="I4862">
        <v>381</v>
      </c>
      <c r="J4862">
        <v>0</v>
      </c>
      <c r="K4862" t="str">
        <f t="shared" si="898"/>
        <v>802</v>
      </c>
      <c r="L4862">
        <v>369.57</v>
      </c>
    </row>
    <row r="4863" spans="1:12" x14ac:dyDescent="0.25">
      <c r="A4863" t="str">
        <f t="shared" si="885"/>
        <v>89301000</v>
      </c>
      <c r="B4863" t="str">
        <f t="shared" si="891"/>
        <v>06539000</v>
      </c>
      <c r="C4863" t="str">
        <f t="shared" si="896"/>
        <v>06539002</v>
      </c>
      <c r="D4863">
        <v>89301171</v>
      </c>
      <c r="E4863" t="str">
        <f t="shared" si="895"/>
        <v>7356025380</v>
      </c>
      <c r="F4863" s="1">
        <v>45022</v>
      </c>
      <c r="G4863" t="str">
        <f t="shared" si="897"/>
        <v>82097</v>
      </c>
      <c r="H4863">
        <v>1</v>
      </c>
      <c r="I4863">
        <v>381</v>
      </c>
      <c r="J4863">
        <v>0</v>
      </c>
      <c r="K4863" t="str">
        <f t="shared" si="898"/>
        <v>802</v>
      </c>
      <c r="L4863">
        <v>369.57</v>
      </c>
    </row>
    <row r="4864" spans="1:12" x14ac:dyDescent="0.25">
      <c r="A4864" t="str">
        <f t="shared" si="885"/>
        <v>89301000</v>
      </c>
      <c r="B4864" t="str">
        <f t="shared" si="891"/>
        <v>06539000</v>
      </c>
      <c r="C4864" t="str">
        <f t="shared" ref="C4864:C4895" si="899">"06539003"</f>
        <v>06539003</v>
      </c>
      <c r="D4864">
        <v>89301171</v>
      </c>
      <c r="E4864" t="str">
        <f t="shared" si="895"/>
        <v>7356025380</v>
      </c>
      <c r="F4864" s="1">
        <v>45029</v>
      </c>
      <c r="G4864" t="str">
        <f t="shared" ref="G4864:G4873" si="900">"91413"</f>
        <v>91413</v>
      </c>
      <c r="H4864">
        <v>1</v>
      </c>
      <c r="I4864">
        <v>868</v>
      </c>
      <c r="J4864">
        <v>0</v>
      </c>
      <c r="K4864" t="str">
        <f t="shared" ref="K4864:K4895" si="901">"813"</f>
        <v>813</v>
      </c>
      <c r="L4864">
        <v>729.12</v>
      </c>
    </row>
    <row r="4865" spans="1:12" x14ac:dyDescent="0.25">
      <c r="A4865" t="str">
        <f t="shared" si="885"/>
        <v>89301000</v>
      </c>
      <c r="B4865" t="str">
        <f t="shared" si="891"/>
        <v>06539000</v>
      </c>
      <c r="C4865" t="str">
        <f t="shared" si="899"/>
        <v>06539003</v>
      </c>
      <c r="D4865">
        <v>89301171</v>
      </c>
      <c r="E4865" t="str">
        <f t="shared" si="895"/>
        <v>7356025380</v>
      </c>
      <c r="F4865" s="1">
        <v>45029</v>
      </c>
      <c r="G4865" t="str">
        <f t="shared" si="900"/>
        <v>91413</v>
      </c>
      <c r="H4865">
        <v>1</v>
      </c>
      <c r="I4865">
        <v>868</v>
      </c>
      <c r="J4865">
        <v>0</v>
      </c>
      <c r="K4865" t="str">
        <f t="shared" si="901"/>
        <v>813</v>
      </c>
      <c r="L4865">
        <v>729.12</v>
      </c>
    </row>
    <row r="4866" spans="1:12" x14ac:dyDescent="0.25">
      <c r="A4866" t="str">
        <f t="shared" ref="A4866:A4929" si="902">"89301000"</f>
        <v>89301000</v>
      </c>
      <c r="B4866" t="str">
        <f t="shared" si="891"/>
        <v>06539000</v>
      </c>
      <c r="C4866" t="str">
        <f t="shared" si="899"/>
        <v>06539003</v>
      </c>
      <c r="D4866">
        <v>89301171</v>
      </c>
      <c r="E4866" t="str">
        <f t="shared" si="895"/>
        <v>7356025380</v>
      </c>
      <c r="F4866" s="1">
        <v>45044</v>
      </c>
      <c r="G4866" t="str">
        <f t="shared" si="900"/>
        <v>91413</v>
      </c>
      <c r="H4866">
        <v>1</v>
      </c>
      <c r="I4866">
        <v>868</v>
      </c>
      <c r="J4866">
        <v>0</v>
      </c>
      <c r="K4866" t="str">
        <f t="shared" si="901"/>
        <v>813</v>
      </c>
      <c r="L4866">
        <v>729.12</v>
      </c>
    </row>
    <row r="4867" spans="1:12" x14ac:dyDescent="0.25">
      <c r="A4867" t="str">
        <f t="shared" si="902"/>
        <v>89301000</v>
      </c>
      <c r="B4867" t="str">
        <f t="shared" si="891"/>
        <v>06539000</v>
      </c>
      <c r="C4867" t="str">
        <f t="shared" si="899"/>
        <v>06539003</v>
      </c>
      <c r="D4867">
        <v>89301171</v>
      </c>
      <c r="E4867" t="str">
        <f t="shared" si="895"/>
        <v>7356025380</v>
      </c>
      <c r="F4867" s="1">
        <v>45044</v>
      </c>
      <c r="G4867" t="str">
        <f t="shared" si="900"/>
        <v>91413</v>
      </c>
      <c r="H4867">
        <v>1</v>
      </c>
      <c r="I4867">
        <v>868</v>
      </c>
      <c r="J4867">
        <v>0</v>
      </c>
      <c r="K4867" t="str">
        <f t="shared" si="901"/>
        <v>813</v>
      </c>
      <c r="L4867">
        <v>729.12</v>
      </c>
    </row>
    <row r="4868" spans="1:12" x14ac:dyDescent="0.25">
      <c r="A4868" t="str">
        <f t="shared" si="902"/>
        <v>89301000</v>
      </c>
      <c r="B4868" t="str">
        <f t="shared" si="891"/>
        <v>06539000</v>
      </c>
      <c r="C4868" t="str">
        <f t="shared" si="899"/>
        <v>06539003</v>
      </c>
      <c r="D4868">
        <v>89301171</v>
      </c>
      <c r="E4868" t="str">
        <f t="shared" si="895"/>
        <v>7356025380</v>
      </c>
      <c r="F4868" s="1">
        <v>45042</v>
      </c>
      <c r="G4868" t="str">
        <f t="shared" si="900"/>
        <v>91413</v>
      </c>
      <c r="H4868">
        <v>1</v>
      </c>
      <c r="I4868">
        <v>868</v>
      </c>
      <c r="J4868">
        <v>0</v>
      </c>
      <c r="K4868" t="str">
        <f t="shared" si="901"/>
        <v>813</v>
      </c>
      <c r="L4868">
        <v>729.12</v>
      </c>
    </row>
    <row r="4869" spans="1:12" x14ac:dyDescent="0.25">
      <c r="A4869" t="str">
        <f t="shared" si="902"/>
        <v>89301000</v>
      </c>
      <c r="B4869" t="str">
        <f t="shared" si="891"/>
        <v>06539000</v>
      </c>
      <c r="C4869" t="str">
        <f t="shared" si="899"/>
        <v>06539003</v>
      </c>
      <c r="D4869">
        <v>89301171</v>
      </c>
      <c r="E4869" t="str">
        <f t="shared" si="895"/>
        <v>7356025380</v>
      </c>
      <c r="F4869" s="1">
        <v>45042</v>
      </c>
      <c r="G4869" t="str">
        <f t="shared" si="900"/>
        <v>91413</v>
      </c>
      <c r="H4869">
        <v>1</v>
      </c>
      <c r="I4869">
        <v>868</v>
      </c>
      <c r="J4869">
        <v>0</v>
      </c>
      <c r="K4869" t="str">
        <f t="shared" si="901"/>
        <v>813</v>
      </c>
      <c r="L4869">
        <v>729.12</v>
      </c>
    </row>
    <row r="4870" spans="1:12" x14ac:dyDescent="0.25">
      <c r="A4870" t="str">
        <f t="shared" si="902"/>
        <v>89301000</v>
      </c>
      <c r="B4870" t="str">
        <f t="shared" si="891"/>
        <v>06539000</v>
      </c>
      <c r="C4870" t="str">
        <f t="shared" si="899"/>
        <v>06539003</v>
      </c>
      <c r="D4870">
        <v>89301171</v>
      </c>
      <c r="E4870" t="str">
        <f t="shared" si="895"/>
        <v>7356025380</v>
      </c>
      <c r="F4870" s="1">
        <v>45044</v>
      </c>
      <c r="G4870" t="str">
        <f t="shared" si="900"/>
        <v>91413</v>
      </c>
      <c r="H4870">
        <v>1</v>
      </c>
      <c r="I4870">
        <v>868</v>
      </c>
      <c r="J4870">
        <v>0</v>
      </c>
      <c r="K4870" t="str">
        <f t="shared" si="901"/>
        <v>813</v>
      </c>
      <c r="L4870">
        <v>729.12</v>
      </c>
    </row>
    <row r="4871" spans="1:12" x14ac:dyDescent="0.25">
      <c r="A4871" t="str">
        <f t="shared" si="902"/>
        <v>89301000</v>
      </c>
      <c r="B4871" t="str">
        <f t="shared" si="891"/>
        <v>06539000</v>
      </c>
      <c r="C4871" t="str">
        <f t="shared" si="899"/>
        <v>06539003</v>
      </c>
      <c r="D4871">
        <v>89301171</v>
      </c>
      <c r="E4871" t="str">
        <f t="shared" si="895"/>
        <v>7356025380</v>
      </c>
      <c r="F4871" s="1">
        <v>45044</v>
      </c>
      <c r="G4871" t="str">
        <f t="shared" si="900"/>
        <v>91413</v>
      </c>
      <c r="H4871">
        <v>1</v>
      </c>
      <c r="I4871">
        <v>868</v>
      </c>
      <c r="J4871">
        <v>0</v>
      </c>
      <c r="K4871" t="str">
        <f t="shared" si="901"/>
        <v>813</v>
      </c>
      <c r="L4871">
        <v>729.12</v>
      </c>
    </row>
    <row r="4872" spans="1:12" x14ac:dyDescent="0.25">
      <c r="A4872" t="str">
        <f t="shared" si="902"/>
        <v>89301000</v>
      </c>
      <c r="B4872" t="str">
        <f t="shared" si="891"/>
        <v>06539000</v>
      </c>
      <c r="C4872" t="str">
        <f t="shared" si="899"/>
        <v>06539003</v>
      </c>
      <c r="D4872">
        <v>89301171</v>
      </c>
      <c r="E4872" t="str">
        <f t="shared" si="895"/>
        <v>7356025380</v>
      </c>
      <c r="F4872" s="1">
        <v>45044</v>
      </c>
      <c r="G4872" t="str">
        <f t="shared" si="900"/>
        <v>91413</v>
      </c>
      <c r="H4872">
        <v>1</v>
      </c>
      <c r="I4872">
        <v>868</v>
      </c>
      <c r="J4872">
        <v>0</v>
      </c>
      <c r="K4872" t="str">
        <f t="shared" si="901"/>
        <v>813</v>
      </c>
      <c r="L4872">
        <v>729.12</v>
      </c>
    </row>
    <row r="4873" spans="1:12" x14ac:dyDescent="0.25">
      <c r="A4873" t="str">
        <f t="shared" si="902"/>
        <v>89301000</v>
      </c>
      <c r="B4873" t="str">
        <f t="shared" si="891"/>
        <v>06539000</v>
      </c>
      <c r="C4873" t="str">
        <f t="shared" si="899"/>
        <v>06539003</v>
      </c>
      <c r="D4873">
        <v>89301171</v>
      </c>
      <c r="E4873" t="str">
        <f t="shared" si="895"/>
        <v>7356025380</v>
      </c>
      <c r="F4873" s="1">
        <v>45044</v>
      </c>
      <c r="G4873" t="str">
        <f t="shared" si="900"/>
        <v>91413</v>
      </c>
      <c r="H4873">
        <v>1</v>
      </c>
      <c r="I4873">
        <v>868</v>
      </c>
      <c r="J4873">
        <v>0</v>
      </c>
      <c r="K4873" t="str">
        <f t="shared" si="901"/>
        <v>813</v>
      </c>
      <c r="L4873">
        <v>729.12</v>
      </c>
    </row>
    <row r="4874" spans="1:12" x14ac:dyDescent="0.25">
      <c r="A4874" t="str">
        <f t="shared" si="902"/>
        <v>89301000</v>
      </c>
      <c r="B4874" t="str">
        <f t="shared" si="891"/>
        <v>06539000</v>
      </c>
      <c r="C4874" t="str">
        <f t="shared" si="899"/>
        <v>06539003</v>
      </c>
      <c r="D4874">
        <v>89301171</v>
      </c>
      <c r="E4874" t="str">
        <f t="shared" si="895"/>
        <v>7356025380</v>
      </c>
      <c r="F4874" s="1">
        <v>45022</v>
      </c>
      <c r="G4874" t="str">
        <f t="shared" ref="G4874:G4880" si="903">"91197"</f>
        <v>91197</v>
      </c>
      <c r="H4874">
        <v>1</v>
      </c>
      <c r="I4874">
        <v>1048</v>
      </c>
      <c r="J4874">
        <v>0</v>
      </c>
      <c r="K4874" t="str">
        <f t="shared" si="901"/>
        <v>813</v>
      </c>
      <c r="L4874">
        <v>880.32</v>
      </c>
    </row>
    <row r="4875" spans="1:12" x14ac:dyDescent="0.25">
      <c r="A4875" t="str">
        <f t="shared" si="902"/>
        <v>89301000</v>
      </c>
      <c r="B4875" t="str">
        <f t="shared" si="891"/>
        <v>06539000</v>
      </c>
      <c r="C4875" t="str">
        <f t="shared" si="899"/>
        <v>06539003</v>
      </c>
      <c r="D4875">
        <v>89301171</v>
      </c>
      <c r="E4875" t="str">
        <f t="shared" si="895"/>
        <v>7356025380</v>
      </c>
      <c r="F4875" s="1">
        <v>45025</v>
      </c>
      <c r="G4875" t="str">
        <f t="shared" si="903"/>
        <v>91197</v>
      </c>
      <c r="H4875">
        <v>1</v>
      </c>
      <c r="I4875">
        <v>1048</v>
      </c>
      <c r="J4875">
        <v>0</v>
      </c>
      <c r="K4875" t="str">
        <f t="shared" si="901"/>
        <v>813</v>
      </c>
      <c r="L4875">
        <v>880.32</v>
      </c>
    </row>
    <row r="4876" spans="1:12" x14ac:dyDescent="0.25">
      <c r="A4876" t="str">
        <f t="shared" si="902"/>
        <v>89301000</v>
      </c>
      <c r="B4876" t="str">
        <f t="shared" si="891"/>
        <v>06539000</v>
      </c>
      <c r="C4876" t="str">
        <f t="shared" si="899"/>
        <v>06539003</v>
      </c>
      <c r="D4876">
        <v>89301171</v>
      </c>
      <c r="E4876" t="str">
        <f t="shared" si="895"/>
        <v>7356025380</v>
      </c>
      <c r="F4876" s="1">
        <v>45025</v>
      </c>
      <c r="G4876" t="str">
        <f t="shared" si="903"/>
        <v>91197</v>
      </c>
      <c r="H4876">
        <v>1</v>
      </c>
      <c r="I4876">
        <v>1048</v>
      </c>
      <c r="J4876">
        <v>0</v>
      </c>
      <c r="K4876" t="str">
        <f t="shared" si="901"/>
        <v>813</v>
      </c>
      <c r="L4876">
        <v>880.32</v>
      </c>
    </row>
    <row r="4877" spans="1:12" x14ac:dyDescent="0.25">
      <c r="A4877" t="str">
        <f t="shared" si="902"/>
        <v>89301000</v>
      </c>
      <c r="B4877" t="str">
        <f t="shared" si="891"/>
        <v>06539000</v>
      </c>
      <c r="C4877" t="str">
        <f t="shared" si="899"/>
        <v>06539003</v>
      </c>
      <c r="D4877">
        <v>89301171</v>
      </c>
      <c r="E4877" t="str">
        <f t="shared" si="895"/>
        <v>7356025380</v>
      </c>
      <c r="F4877" s="1">
        <v>45024</v>
      </c>
      <c r="G4877" t="str">
        <f t="shared" si="903"/>
        <v>91197</v>
      </c>
      <c r="H4877">
        <v>1</v>
      </c>
      <c r="I4877">
        <v>1048</v>
      </c>
      <c r="J4877">
        <v>0</v>
      </c>
      <c r="K4877" t="str">
        <f t="shared" si="901"/>
        <v>813</v>
      </c>
      <c r="L4877">
        <v>880.32</v>
      </c>
    </row>
    <row r="4878" spans="1:12" x14ac:dyDescent="0.25">
      <c r="A4878" t="str">
        <f t="shared" si="902"/>
        <v>89301000</v>
      </c>
      <c r="B4878" t="str">
        <f t="shared" si="891"/>
        <v>06539000</v>
      </c>
      <c r="C4878" t="str">
        <f t="shared" si="899"/>
        <v>06539003</v>
      </c>
      <c r="D4878">
        <v>89301171</v>
      </c>
      <c r="E4878" t="str">
        <f t="shared" si="895"/>
        <v>7356025380</v>
      </c>
      <c r="F4878" s="1">
        <v>45024</v>
      </c>
      <c r="G4878" t="str">
        <f t="shared" si="903"/>
        <v>91197</v>
      </c>
      <c r="H4878">
        <v>1</v>
      </c>
      <c r="I4878">
        <v>1048</v>
      </c>
      <c r="J4878">
        <v>0</v>
      </c>
      <c r="K4878" t="str">
        <f t="shared" si="901"/>
        <v>813</v>
      </c>
      <c r="L4878">
        <v>880.32</v>
      </c>
    </row>
    <row r="4879" spans="1:12" x14ac:dyDescent="0.25">
      <c r="A4879" t="str">
        <f t="shared" si="902"/>
        <v>89301000</v>
      </c>
      <c r="B4879" t="str">
        <f t="shared" si="891"/>
        <v>06539000</v>
      </c>
      <c r="C4879" t="str">
        <f t="shared" si="899"/>
        <v>06539003</v>
      </c>
      <c r="D4879">
        <v>89301171</v>
      </c>
      <c r="E4879" t="str">
        <f t="shared" si="895"/>
        <v>7356025380</v>
      </c>
      <c r="F4879" s="1">
        <v>45023</v>
      </c>
      <c r="G4879" t="str">
        <f t="shared" si="903"/>
        <v>91197</v>
      </c>
      <c r="H4879">
        <v>1</v>
      </c>
      <c r="I4879">
        <v>1048</v>
      </c>
      <c r="J4879">
        <v>0</v>
      </c>
      <c r="K4879" t="str">
        <f t="shared" si="901"/>
        <v>813</v>
      </c>
      <c r="L4879">
        <v>880.32</v>
      </c>
    </row>
    <row r="4880" spans="1:12" x14ac:dyDescent="0.25">
      <c r="A4880" t="str">
        <f t="shared" si="902"/>
        <v>89301000</v>
      </c>
      <c r="B4880" t="str">
        <f t="shared" si="891"/>
        <v>06539000</v>
      </c>
      <c r="C4880" t="str">
        <f t="shared" si="899"/>
        <v>06539003</v>
      </c>
      <c r="D4880">
        <v>89301171</v>
      </c>
      <c r="E4880" t="str">
        <f t="shared" si="895"/>
        <v>7356025380</v>
      </c>
      <c r="F4880" s="1">
        <v>45023</v>
      </c>
      <c r="G4880" t="str">
        <f t="shared" si="903"/>
        <v>91197</v>
      </c>
      <c r="H4880">
        <v>1</v>
      </c>
      <c r="I4880">
        <v>1048</v>
      </c>
      <c r="J4880">
        <v>0</v>
      </c>
      <c r="K4880" t="str">
        <f t="shared" si="901"/>
        <v>813</v>
      </c>
      <c r="L4880">
        <v>880.32</v>
      </c>
    </row>
    <row r="4881" spans="1:12" x14ac:dyDescent="0.25">
      <c r="A4881" t="str">
        <f t="shared" si="902"/>
        <v>89301000</v>
      </c>
      <c r="B4881" t="str">
        <f t="shared" si="891"/>
        <v>06539000</v>
      </c>
      <c r="C4881" t="str">
        <f t="shared" si="899"/>
        <v>06539003</v>
      </c>
      <c r="D4881">
        <v>89301171</v>
      </c>
      <c r="E4881" t="str">
        <f t="shared" si="895"/>
        <v>7356025380</v>
      </c>
      <c r="F4881" s="1">
        <v>45044</v>
      </c>
      <c r="G4881" t="str">
        <f>"91329"</f>
        <v>91329</v>
      </c>
      <c r="H4881">
        <v>2</v>
      </c>
      <c r="I4881">
        <v>436</v>
      </c>
      <c r="J4881">
        <v>0</v>
      </c>
      <c r="K4881" t="str">
        <f t="shared" si="901"/>
        <v>813</v>
      </c>
      <c r="L4881">
        <v>366.24</v>
      </c>
    </row>
    <row r="4882" spans="1:12" x14ac:dyDescent="0.25">
      <c r="A4882" t="str">
        <f t="shared" si="902"/>
        <v>89301000</v>
      </c>
      <c r="B4882" t="str">
        <f t="shared" si="891"/>
        <v>06539000</v>
      </c>
      <c r="C4882" t="str">
        <f t="shared" si="899"/>
        <v>06539003</v>
      </c>
      <c r="D4882">
        <v>89301171</v>
      </c>
      <c r="E4882" t="str">
        <f t="shared" si="895"/>
        <v>7356025380</v>
      </c>
      <c r="F4882" s="1">
        <v>45044</v>
      </c>
      <c r="G4882" t="str">
        <f>"91329"</f>
        <v>91329</v>
      </c>
      <c r="H4882">
        <v>2</v>
      </c>
      <c r="I4882">
        <v>436</v>
      </c>
      <c r="J4882">
        <v>0</v>
      </c>
      <c r="K4882" t="str">
        <f t="shared" si="901"/>
        <v>813</v>
      </c>
      <c r="L4882">
        <v>366.24</v>
      </c>
    </row>
    <row r="4883" spans="1:12" x14ac:dyDescent="0.25">
      <c r="A4883" t="str">
        <f t="shared" si="902"/>
        <v>89301000</v>
      </c>
      <c r="B4883" t="str">
        <f t="shared" si="891"/>
        <v>06539000</v>
      </c>
      <c r="C4883" t="str">
        <f t="shared" si="899"/>
        <v>06539003</v>
      </c>
      <c r="D4883">
        <v>89301171</v>
      </c>
      <c r="E4883" t="str">
        <f t="shared" si="895"/>
        <v>7356025380</v>
      </c>
      <c r="F4883" s="1">
        <v>45044</v>
      </c>
      <c r="G4883" t="str">
        <f>"91329"</f>
        <v>91329</v>
      </c>
      <c r="H4883">
        <v>2</v>
      </c>
      <c r="I4883">
        <v>436</v>
      </c>
      <c r="J4883">
        <v>0</v>
      </c>
      <c r="K4883" t="str">
        <f t="shared" si="901"/>
        <v>813</v>
      </c>
      <c r="L4883">
        <v>366.24</v>
      </c>
    </row>
    <row r="4884" spans="1:12" x14ac:dyDescent="0.25">
      <c r="A4884" t="str">
        <f t="shared" si="902"/>
        <v>89301000</v>
      </c>
      <c r="B4884" t="str">
        <f t="shared" si="891"/>
        <v>06539000</v>
      </c>
      <c r="C4884" t="str">
        <f t="shared" si="899"/>
        <v>06539003</v>
      </c>
      <c r="D4884">
        <v>89301171</v>
      </c>
      <c r="E4884" t="str">
        <f t="shared" si="895"/>
        <v>7356025380</v>
      </c>
      <c r="F4884" s="1">
        <v>45044</v>
      </c>
      <c r="G4884" t="str">
        <f>"91329"</f>
        <v>91329</v>
      </c>
      <c r="H4884">
        <v>2</v>
      </c>
      <c r="I4884">
        <v>436</v>
      </c>
      <c r="J4884">
        <v>0</v>
      </c>
      <c r="K4884" t="str">
        <f t="shared" si="901"/>
        <v>813</v>
      </c>
      <c r="L4884">
        <v>366.24</v>
      </c>
    </row>
    <row r="4885" spans="1:12" x14ac:dyDescent="0.25">
      <c r="A4885" t="str">
        <f t="shared" si="902"/>
        <v>89301000</v>
      </c>
      <c r="B4885" t="str">
        <f t="shared" si="891"/>
        <v>06539000</v>
      </c>
      <c r="C4885" t="str">
        <f t="shared" si="899"/>
        <v>06539003</v>
      </c>
      <c r="D4885">
        <v>89301171</v>
      </c>
      <c r="E4885" t="str">
        <f t="shared" si="895"/>
        <v>7356025380</v>
      </c>
      <c r="F4885" s="1">
        <v>45022</v>
      </c>
      <c r="G4885" t="str">
        <f>"91129"</f>
        <v>91129</v>
      </c>
      <c r="H4885">
        <v>1</v>
      </c>
      <c r="I4885">
        <v>175</v>
      </c>
      <c r="J4885">
        <v>0</v>
      </c>
      <c r="K4885" t="str">
        <f t="shared" si="901"/>
        <v>813</v>
      </c>
      <c r="L4885">
        <v>147</v>
      </c>
    </row>
    <row r="4886" spans="1:12" x14ac:dyDescent="0.25">
      <c r="A4886" t="str">
        <f t="shared" si="902"/>
        <v>89301000</v>
      </c>
      <c r="B4886" t="str">
        <f t="shared" si="891"/>
        <v>06539000</v>
      </c>
      <c r="C4886" t="str">
        <f t="shared" si="899"/>
        <v>06539003</v>
      </c>
      <c r="D4886">
        <v>89301171</v>
      </c>
      <c r="E4886" t="str">
        <f t="shared" si="895"/>
        <v>7356025380</v>
      </c>
      <c r="F4886" s="1">
        <v>45022</v>
      </c>
      <c r="G4886" t="str">
        <f>"91131"</f>
        <v>91131</v>
      </c>
      <c r="H4886">
        <v>1</v>
      </c>
      <c r="I4886">
        <v>171</v>
      </c>
      <c r="J4886">
        <v>0</v>
      </c>
      <c r="K4886" t="str">
        <f t="shared" si="901"/>
        <v>813</v>
      </c>
      <c r="L4886">
        <v>143.63999999999999</v>
      </c>
    </row>
    <row r="4887" spans="1:12" x14ac:dyDescent="0.25">
      <c r="A4887" t="str">
        <f t="shared" si="902"/>
        <v>89301000</v>
      </c>
      <c r="B4887" t="str">
        <f t="shared" si="891"/>
        <v>06539000</v>
      </c>
      <c r="C4887" t="str">
        <f t="shared" si="899"/>
        <v>06539003</v>
      </c>
      <c r="D4887">
        <v>89301171</v>
      </c>
      <c r="E4887" t="str">
        <f t="shared" si="895"/>
        <v>7356025380</v>
      </c>
      <c r="F4887" s="1">
        <v>45022</v>
      </c>
      <c r="G4887" t="str">
        <f>"91133"</f>
        <v>91133</v>
      </c>
      <c r="H4887">
        <v>1</v>
      </c>
      <c r="I4887">
        <v>177</v>
      </c>
      <c r="J4887">
        <v>0</v>
      </c>
      <c r="K4887" t="str">
        <f t="shared" si="901"/>
        <v>813</v>
      </c>
      <c r="L4887">
        <v>148.68</v>
      </c>
    </row>
    <row r="4888" spans="1:12" x14ac:dyDescent="0.25">
      <c r="A4888" t="str">
        <f t="shared" si="902"/>
        <v>89301000</v>
      </c>
      <c r="B4888" t="str">
        <f t="shared" si="891"/>
        <v>06539000</v>
      </c>
      <c r="C4888" t="str">
        <f t="shared" si="899"/>
        <v>06539003</v>
      </c>
      <c r="D4888">
        <v>89301171</v>
      </c>
      <c r="E4888" t="str">
        <f t="shared" si="895"/>
        <v>7356025380</v>
      </c>
      <c r="F4888" s="1">
        <v>45022</v>
      </c>
      <c r="G4888" t="str">
        <f>"91171"</f>
        <v>91171</v>
      </c>
      <c r="H4888">
        <v>1</v>
      </c>
      <c r="I4888">
        <v>362</v>
      </c>
      <c r="J4888">
        <v>0</v>
      </c>
      <c r="K4888" t="str">
        <f t="shared" si="901"/>
        <v>813</v>
      </c>
      <c r="L4888">
        <v>304.08</v>
      </c>
    </row>
    <row r="4889" spans="1:12" x14ac:dyDescent="0.25">
      <c r="A4889" t="str">
        <f t="shared" si="902"/>
        <v>89301000</v>
      </c>
      <c r="B4889" t="str">
        <f t="shared" si="891"/>
        <v>06539000</v>
      </c>
      <c r="C4889" t="str">
        <f t="shared" si="899"/>
        <v>06539003</v>
      </c>
      <c r="D4889">
        <v>89301171</v>
      </c>
      <c r="E4889" t="str">
        <f t="shared" si="895"/>
        <v>7356025380</v>
      </c>
      <c r="F4889" s="1">
        <v>45022</v>
      </c>
      <c r="G4889" t="str">
        <f>"91173"</f>
        <v>91173</v>
      </c>
      <c r="H4889">
        <v>1</v>
      </c>
      <c r="I4889">
        <v>337</v>
      </c>
      <c r="J4889">
        <v>0</v>
      </c>
      <c r="K4889" t="str">
        <f t="shared" si="901"/>
        <v>813</v>
      </c>
      <c r="L4889">
        <v>283.08</v>
      </c>
    </row>
    <row r="4890" spans="1:12" x14ac:dyDescent="0.25">
      <c r="A4890" t="str">
        <f t="shared" si="902"/>
        <v>89301000</v>
      </c>
      <c r="B4890" t="str">
        <f t="shared" si="891"/>
        <v>06539000</v>
      </c>
      <c r="C4890" t="str">
        <f t="shared" si="899"/>
        <v>06539003</v>
      </c>
      <c r="D4890">
        <v>89301171</v>
      </c>
      <c r="E4890" t="str">
        <f t="shared" si="895"/>
        <v>7356025380</v>
      </c>
      <c r="F4890" s="1">
        <v>45022</v>
      </c>
      <c r="G4890" t="str">
        <f>"91175"</f>
        <v>91175</v>
      </c>
      <c r="H4890">
        <v>1</v>
      </c>
      <c r="I4890">
        <v>362</v>
      </c>
      <c r="J4890">
        <v>0</v>
      </c>
      <c r="K4890" t="str">
        <f t="shared" si="901"/>
        <v>813</v>
      </c>
      <c r="L4890">
        <v>304.08</v>
      </c>
    </row>
    <row r="4891" spans="1:12" x14ac:dyDescent="0.25">
      <c r="A4891" t="str">
        <f t="shared" si="902"/>
        <v>89301000</v>
      </c>
      <c r="B4891" t="str">
        <f t="shared" si="891"/>
        <v>06539000</v>
      </c>
      <c r="C4891" t="str">
        <f t="shared" si="899"/>
        <v>06539003</v>
      </c>
      <c r="D4891">
        <v>89301171</v>
      </c>
      <c r="E4891" t="str">
        <f t="shared" si="895"/>
        <v>7356025380</v>
      </c>
      <c r="F4891" s="1">
        <v>45023</v>
      </c>
      <c r="G4891" t="str">
        <f>"91167"</f>
        <v>91167</v>
      </c>
      <c r="H4891">
        <v>1</v>
      </c>
      <c r="I4891">
        <v>426</v>
      </c>
      <c r="J4891">
        <v>0</v>
      </c>
      <c r="K4891" t="str">
        <f t="shared" si="901"/>
        <v>813</v>
      </c>
      <c r="L4891">
        <v>357.84</v>
      </c>
    </row>
    <row r="4892" spans="1:12" x14ac:dyDescent="0.25">
      <c r="A4892" t="str">
        <f t="shared" si="902"/>
        <v>89301000</v>
      </c>
      <c r="B4892" t="str">
        <f t="shared" si="891"/>
        <v>06539000</v>
      </c>
      <c r="C4892" t="str">
        <f t="shared" si="899"/>
        <v>06539003</v>
      </c>
      <c r="D4892">
        <v>89301171</v>
      </c>
      <c r="E4892" t="str">
        <f t="shared" si="895"/>
        <v>7356025380</v>
      </c>
      <c r="F4892" s="1">
        <v>45023</v>
      </c>
      <c r="G4892" t="str">
        <f>"91169"</f>
        <v>91169</v>
      </c>
      <c r="H4892">
        <v>1</v>
      </c>
      <c r="I4892">
        <v>426</v>
      </c>
      <c r="J4892">
        <v>0</v>
      </c>
      <c r="K4892" t="str">
        <f t="shared" si="901"/>
        <v>813</v>
      </c>
      <c r="L4892">
        <v>357.84</v>
      </c>
    </row>
    <row r="4893" spans="1:12" x14ac:dyDescent="0.25">
      <c r="A4893" t="str">
        <f t="shared" si="902"/>
        <v>89301000</v>
      </c>
      <c r="B4893" t="str">
        <f t="shared" si="891"/>
        <v>06539000</v>
      </c>
      <c r="C4893" t="str">
        <f t="shared" si="899"/>
        <v>06539003</v>
      </c>
      <c r="D4893">
        <v>89301171</v>
      </c>
      <c r="E4893" t="str">
        <f t="shared" si="895"/>
        <v>7356025380</v>
      </c>
      <c r="F4893" s="1">
        <v>45022</v>
      </c>
      <c r="G4893" t="str">
        <f>"91167"</f>
        <v>91167</v>
      </c>
      <c r="H4893">
        <v>1</v>
      </c>
      <c r="I4893">
        <v>426</v>
      </c>
      <c r="J4893">
        <v>0</v>
      </c>
      <c r="K4893" t="str">
        <f t="shared" si="901"/>
        <v>813</v>
      </c>
      <c r="L4893">
        <v>357.84</v>
      </c>
    </row>
    <row r="4894" spans="1:12" x14ac:dyDescent="0.25">
      <c r="A4894" t="str">
        <f t="shared" si="902"/>
        <v>89301000</v>
      </c>
      <c r="B4894" t="str">
        <f t="shared" ref="B4894:B4960" si="904">"06539000"</f>
        <v>06539000</v>
      </c>
      <c r="C4894" t="str">
        <f t="shared" si="899"/>
        <v>06539003</v>
      </c>
      <c r="D4894">
        <v>89301171</v>
      </c>
      <c r="E4894" t="str">
        <f t="shared" si="895"/>
        <v>7356025380</v>
      </c>
      <c r="F4894" s="1">
        <v>45022</v>
      </c>
      <c r="G4894" t="str">
        <f>"91169"</f>
        <v>91169</v>
      </c>
      <c r="H4894">
        <v>1</v>
      </c>
      <c r="I4894">
        <v>426</v>
      </c>
      <c r="J4894">
        <v>0</v>
      </c>
      <c r="K4894" t="str">
        <f t="shared" si="901"/>
        <v>813</v>
      </c>
      <c r="L4894">
        <v>357.84</v>
      </c>
    </row>
    <row r="4895" spans="1:12" x14ac:dyDescent="0.25">
      <c r="A4895" t="str">
        <f t="shared" si="902"/>
        <v>89301000</v>
      </c>
      <c r="B4895" t="str">
        <f t="shared" si="904"/>
        <v>06539000</v>
      </c>
      <c r="C4895" t="str">
        <f t="shared" si="899"/>
        <v>06539003</v>
      </c>
      <c r="D4895">
        <v>89301171</v>
      </c>
      <c r="E4895" t="str">
        <f t="shared" si="895"/>
        <v>7356025380</v>
      </c>
      <c r="F4895" s="1">
        <v>45044</v>
      </c>
      <c r="G4895" t="str">
        <f>"91475"</f>
        <v>91475</v>
      </c>
      <c r="H4895">
        <v>1</v>
      </c>
      <c r="I4895">
        <v>213</v>
      </c>
      <c r="J4895">
        <v>0</v>
      </c>
      <c r="K4895" t="str">
        <f t="shared" si="901"/>
        <v>813</v>
      </c>
      <c r="L4895">
        <v>178.92</v>
      </c>
    </row>
    <row r="4896" spans="1:12" x14ac:dyDescent="0.25">
      <c r="A4896" t="str">
        <f t="shared" si="902"/>
        <v>89301000</v>
      </c>
      <c r="B4896" t="str">
        <f t="shared" si="904"/>
        <v>06539000</v>
      </c>
      <c r="C4896" t="str">
        <f>"06539001"</f>
        <v>06539001</v>
      </c>
      <c r="D4896">
        <v>89301171</v>
      </c>
      <c r="E4896" t="str">
        <f t="shared" ref="E4896:E4937" si="905">"6959164465"</f>
        <v>6959164465</v>
      </c>
      <c r="F4896" s="1">
        <v>45022</v>
      </c>
      <c r="G4896" t="str">
        <f>"81329"</f>
        <v>81329</v>
      </c>
      <c r="H4896">
        <v>1</v>
      </c>
      <c r="I4896">
        <v>17</v>
      </c>
      <c r="J4896">
        <v>0</v>
      </c>
      <c r="K4896" t="str">
        <f>"801"</f>
        <v>801</v>
      </c>
      <c r="L4896">
        <v>14.28</v>
      </c>
    </row>
    <row r="4897" spans="1:12" x14ac:dyDescent="0.25">
      <c r="A4897" t="str">
        <f t="shared" si="902"/>
        <v>89301000</v>
      </c>
      <c r="B4897" t="str">
        <f t="shared" si="904"/>
        <v>06539000</v>
      </c>
      <c r="C4897" t="str">
        <f>"06539001"</f>
        <v>06539001</v>
      </c>
      <c r="D4897">
        <v>89301171</v>
      </c>
      <c r="E4897" t="str">
        <f t="shared" si="905"/>
        <v>6959164465</v>
      </c>
      <c r="F4897" s="1">
        <v>45022</v>
      </c>
      <c r="G4897" t="str">
        <f>"81331"</f>
        <v>81331</v>
      </c>
      <c r="H4897">
        <v>1</v>
      </c>
      <c r="I4897">
        <v>193</v>
      </c>
      <c r="J4897">
        <v>0</v>
      </c>
      <c r="K4897" t="str">
        <f>"801"</f>
        <v>801</v>
      </c>
      <c r="L4897">
        <v>162.12</v>
      </c>
    </row>
    <row r="4898" spans="1:12" x14ac:dyDescent="0.25">
      <c r="A4898" t="str">
        <f t="shared" si="902"/>
        <v>89301000</v>
      </c>
      <c r="B4898" t="str">
        <f t="shared" si="904"/>
        <v>06539000</v>
      </c>
      <c r="C4898" t="str">
        <f t="shared" ref="C4898:C4905" si="906">"06539002"</f>
        <v>06539002</v>
      </c>
      <c r="D4898">
        <v>89301171</v>
      </c>
      <c r="E4898" t="str">
        <f t="shared" si="905"/>
        <v>6959164465</v>
      </c>
      <c r="F4898" s="1">
        <v>45022</v>
      </c>
      <c r="G4898" t="str">
        <f t="shared" ref="G4898:G4905" si="907">"82097"</f>
        <v>82097</v>
      </c>
      <c r="H4898">
        <v>1</v>
      </c>
      <c r="I4898">
        <v>381</v>
      </c>
      <c r="J4898">
        <v>0</v>
      </c>
      <c r="K4898" t="str">
        <f t="shared" ref="K4898:K4905" si="908">"802"</f>
        <v>802</v>
      </c>
      <c r="L4898">
        <v>369.57</v>
      </c>
    </row>
    <row r="4899" spans="1:12" x14ac:dyDescent="0.25">
      <c r="A4899" t="str">
        <f t="shared" si="902"/>
        <v>89301000</v>
      </c>
      <c r="B4899" t="str">
        <f t="shared" si="904"/>
        <v>06539000</v>
      </c>
      <c r="C4899" t="str">
        <f t="shared" si="906"/>
        <v>06539002</v>
      </c>
      <c r="D4899">
        <v>89301171</v>
      </c>
      <c r="E4899" t="str">
        <f t="shared" si="905"/>
        <v>6959164465</v>
      </c>
      <c r="F4899" s="1">
        <v>45022</v>
      </c>
      <c r="G4899" t="str">
        <f t="shared" si="907"/>
        <v>82097</v>
      </c>
      <c r="H4899">
        <v>1</v>
      </c>
      <c r="I4899">
        <v>381</v>
      </c>
      <c r="J4899">
        <v>0</v>
      </c>
      <c r="K4899" t="str">
        <f t="shared" si="908"/>
        <v>802</v>
      </c>
      <c r="L4899">
        <v>369.57</v>
      </c>
    </row>
    <row r="4900" spans="1:12" x14ac:dyDescent="0.25">
      <c r="A4900" t="str">
        <f t="shared" si="902"/>
        <v>89301000</v>
      </c>
      <c r="B4900" t="str">
        <f t="shared" si="904"/>
        <v>06539000</v>
      </c>
      <c r="C4900" t="str">
        <f t="shared" si="906"/>
        <v>06539002</v>
      </c>
      <c r="D4900">
        <v>89301171</v>
      </c>
      <c r="E4900" t="str">
        <f t="shared" si="905"/>
        <v>6959164465</v>
      </c>
      <c r="F4900" s="1">
        <v>45022</v>
      </c>
      <c r="G4900" t="str">
        <f t="shared" si="907"/>
        <v>82097</v>
      </c>
      <c r="H4900">
        <v>1</v>
      </c>
      <c r="I4900">
        <v>381</v>
      </c>
      <c r="J4900">
        <v>0</v>
      </c>
      <c r="K4900" t="str">
        <f t="shared" si="908"/>
        <v>802</v>
      </c>
      <c r="L4900">
        <v>369.57</v>
      </c>
    </row>
    <row r="4901" spans="1:12" x14ac:dyDescent="0.25">
      <c r="A4901" t="str">
        <f t="shared" si="902"/>
        <v>89301000</v>
      </c>
      <c r="B4901" t="str">
        <f t="shared" si="904"/>
        <v>06539000</v>
      </c>
      <c r="C4901" t="str">
        <f t="shared" si="906"/>
        <v>06539002</v>
      </c>
      <c r="D4901">
        <v>89301171</v>
      </c>
      <c r="E4901" t="str">
        <f t="shared" si="905"/>
        <v>6959164465</v>
      </c>
      <c r="F4901" s="1">
        <v>45022</v>
      </c>
      <c r="G4901" t="str">
        <f t="shared" si="907"/>
        <v>82097</v>
      </c>
      <c r="H4901">
        <v>1</v>
      </c>
      <c r="I4901">
        <v>381</v>
      </c>
      <c r="J4901">
        <v>0</v>
      </c>
      <c r="K4901" t="str">
        <f t="shared" si="908"/>
        <v>802</v>
      </c>
      <c r="L4901">
        <v>369.57</v>
      </c>
    </row>
    <row r="4902" spans="1:12" x14ac:dyDescent="0.25">
      <c r="A4902" t="str">
        <f t="shared" si="902"/>
        <v>89301000</v>
      </c>
      <c r="B4902" t="str">
        <f t="shared" si="904"/>
        <v>06539000</v>
      </c>
      <c r="C4902" t="str">
        <f t="shared" si="906"/>
        <v>06539002</v>
      </c>
      <c r="D4902">
        <v>89301171</v>
      </c>
      <c r="E4902" t="str">
        <f t="shared" si="905"/>
        <v>6959164465</v>
      </c>
      <c r="F4902" s="1">
        <v>45022</v>
      </c>
      <c r="G4902" t="str">
        <f t="shared" si="907"/>
        <v>82097</v>
      </c>
      <c r="H4902">
        <v>1</v>
      </c>
      <c r="I4902">
        <v>381</v>
      </c>
      <c r="J4902">
        <v>0</v>
      </c>
      <c r="K4902" t="str">
        <f t="shared" si="908"/>
        <v>802</v>
      </c>
      <c r="L4902">
        <v>369.57</v>
      </c>
    </row>
    <row r="4903" spans="1:12" x14ac:dyDescent="0.25">
      <c r="A4903" t="str">
        <f t="shared" si="902"/>
        <v>89301000</v>
      </c>
      <c r="B4903" t="str">
        <f t="shared" si="904"/>
        <v>06539000</v>
      </c>
      <c r="C4903" t="str">
        <f t="shared" si="906"/>
        <v>06539002</v>
      </c>
      <c r="D4903">
        <v>89301171</v>
      </c>
      <c r="E4903" t="str">
        <f t="shared" si="905"/>
        <v>6959164465</v>
      </c>
      <c r="F4903" s="1">
        <v>45022</v>
      </c>
      <c r="G4903" t="str">
        <f t="shared" si="907"/>
        <v>82097</v>
      </c>
      <c r="H4903">
        <v>1</v>
      </c>
      <c r="I4903">
        <v>381</v>
      </c>
      <c r="J4903">
        <v>0</v>
      </c>
      <c r="K4903" t="str">
        <f t="shared" si="908"/>
        <v>802</v>
      </c>
      <c r="L4903">
        <v>369.57</v>
      </c>
    </row>
    <row r="4904" spans="1:12" x14ac:dyDescent="0.25">
      <c r="A4904" t="str">
        <f t="shared" si="902"/>
        <v>89301000</v>
      </c>
      <c r="B4904" t="str">
        <f t="shared" si="904"/>
        <v>06539000</v>
      </c>
      <c r="C4904" t="str">
        <f t="shared" si="906"/>
        <v>06539002</v>
      </c>
      <c r="D4904">
        <v>89301171</v>
      </c>
      <c r="E4904" t="str">
        <f t="shared" si="905"/>
        <v>6959164465</v>
      </c>
      <c r="F4904" s="1">
        <v>45022</v>
      </c>
      <c r="G4904" t="str">
        <f t="shared" si="907"/>
        <v>82097</v>
      </c>
      <c r="H4904">
        <v>1</v>
      </c>
      <c r="I4904">
        <v>381</v>
      </c>
      <c r="J4904">
        <v>0</v>
      </c>
      <c r="K4904" t="str">
        <f t="shared" si="908"/>
        <v>802</v>
      </c>
      <c r="L4904">
        <v>369.57</v>
      </c>
    </row>
    <row r="4905" spans="1:12" x14ac:dyDescent="0.25">
      <c r="A4905" t="str">
        <f t="shared" si="902"/>
        <v>89301000</v>
      </c>
      <c r="B4905" t="str">
        <f t="shared" si="904"/>
        <v>06539000</v>
      </c>
      <c r="C4905" t="str">
        <f t="shared" si="906"/>
        <v>06539002</v>
      </c>
      <c r="D4905">
        <v>89301171</v>
      </c>
      <c r="E4905" t="str">
        <f t="shared" si="905"/>
        <v>6959164465</v>
      </c>
      <c r="F4905" s="1">
        <v>45022</v>
      </c>
      <c r="G4905" t="str">
        <f t="shared" si="907"/>
        <v>82097</v>
      </c>
      <c r="H4905">
        <v>1</v>
      </c>
      <c r="I4905">
        <v>381</v>
      </c>
      <c r="J4905">
        <v>0</v>
      </c>
      <c r="K4905" t="str">
        <f t="shared" si="908"/>
        <v>802</v>
      </c>
      <c r="L4905">
        <v>369.57</v>
      </c>
    </row>
    <row r="4906" spans="1:12" x14ac:dyDescent="0.25">
      <c r="A4906" t="str">
        <f t="shared" si="902"/>
        <v>89301000</v>
      </c>
      <c r="B4906" t="str">
        <f t="shared" si="904"/>
        <v>06539000</v>
      </c>
      <c r="C4906" t="str">
        <f t="shared" ref="C4906:C4937" si="909">"06539003"</f>
        <v>06539003</v>
      </c>
      <c r="D4906">
        <v>89301171</v>
      </c>
      <c r="E4906" t="str">
        <f t="shared" si="905"/>
        <v>6959164465</v>
      </c>
      <c r="F4906" s="1">
        <v>45029</v>
      </c>
      <c r="G4906" t="str">
        <f t="shared" ref="G4906:G4915" si="910">"91413"</f>
        <v>91413</v>
      </c>
      <c r="H4906">
        <v>1</v>
      </c>
      <c r="I4906">
        <v>868</v>
      </c>
      <c r="J4906">
        <v>0</v>
      </c>
      <c r="K4906" t="str">
        <f t="shared" ref="K4906:K4937" si="911">"813"</f>
        <v>813</v>
      </c>
      <c r="L4906">
        <v>729.12</v>
      </c>
    </row>
    <row r="4907" spans="1:12" x14ac:dyDescent="0.25">
      <c r="A4907" t="str">
        <f t="shared" si="902"/>
        <v>89301000</v>
      </c>
      <c r="B4907" t="str">
        <f t="shared" si="904"/>
        <v>06539000</v>
      </c>
      <c r="C4907" t="str">
        <f t="shared" si="909"/>
        <v>06539003</v>
      </c>
      <c r="D4907">
        <v>89301171</v>
      </c>
      <c r="E4907" t="str">
        <f t="shared" si="905"/>
        <v>6959164465</v>
      </c>
      <c r="F4907" s="1">
        <v>45029</v>
      </c>
      <c r="G4907" t="str">
        <f t="shared" si="910"/>
        <v>91413</v>
      </c>
      <c r="H4907">
        <v>1</v>
      </c>
      <c r="I4907">
        <v>868</v>
      </c>
      <c r="J4907">
        <v>0</v>
      </c>
      <c r="K4907" t="str">
        <f t="shared" si="911"/>
        <v>813</v>
      </c>
      <c r="L4907">
        <v>729.12</v>
      </c>
    </row>
    <row r="4908" spans="1:12" x14ac:dyDescent="0.25">
      <c r="A4908" t="str">
        <f t="shared" si="902"/>
        <v>89301000</v>
      </c>
      <c r="B4908" t="str">
        <f t="shared" si="904"/>
        <v>06539000</v>
      </c>
      <c r="C4908" t="str">
        <f t="shared" si="909"/>
        <v>06539003</v>
      </c>
      <c r="D4908">
        <v>89301171</v>
      </c>
      <c r="E4908" t="str">
        <f t="shared" si="905"/>
        <v>6959164465</v>
      </c>
      <c r="F4908" s="1">
        <v>45044</v>
      </c>
      <c r="G4908" t="str">
        <f t="shared" si="910"/>
        <v>91413</v>
      </c>
      <c r="H4908">
        <v>1</v>
      </c>
      <c r="I4908">
        <v>868</v>
      </c>
      <c r="J4908">
        <v>0</v>
      </c>
      <c r="K4908" t="str">
        <f t="shared" si="911"/>
        <v>813</v>
      </c>
      <c r="L4908">
        <v>729.12</v>
      </c>
    </row>
    <row r="4909" spans="1:12" x14ac:dyDescent="0.25">
      <c r="A4909" t="str">
        <f t="shared" si="902"/>
        <v>89301000</v>
      </c>
      <c r="B4909" t="str">
        <f t="shared" si="904"/>
        <v>06539000</v>
      </c>
      <c r="C4909" t="str">
        <f t="shared" si="909"/>
        <v>06539003</v>
      </c>
      <c r="D4909">
        <v>89301171</v>
      </c>
      <c r="E4909" t="str">
        <f t="shared" si="905"/>
        <v>6959164465</v>
      </c>
      <c r="F4909" s="1">
        <v>45044</v>
      </c>
      <c r="G4909" t="str">
        <f t="shared" si="910"/>
        <v>91413</v>
      </c>
      <c r="H4909">
        <v>1</v>
      </c>
      <c r="I4909">
        <v>868</v>
      </c>
      <c r="J4909">
        <v>0</v>
      </c>
      <c r="K4909" t="str">
        <f t="shared" si="911"/>
        <v>813</v>
      </c>
      <c r="L4909">
        <v>729.12</v>
      </c>
    </row>
    <row r="4910" spans="1:12" x14ac:dyDescent="0.25">
      <c r="A4910" t="str">
        <f t="shared" si="902"/>
        <v>89301000</v>
      </c>
      <c r="B4910" t="str">
        <f t="shared" si="904"/>
        <v>06539000</v>
      </c>
      <c r="C4910" t="str">
        <f t="shared" si="909"/>
        <v>06539003</v>
      </c>
      <c r="D4910">
        <v>89301171</v>
      </c>
      <c r="E4910" t="str">
        <f t="shared" si="905"/>
        <v>6959164465</v>
      </c>
      <c r="F4910" s="1">
        <v>45042</v>
      </c>
      <c r="G4910" t="str">
        <f t="shared" si="910"/>
        <v>91413</v>
      </c>
      <c r="H4910">
        <v>1</v>
      </c>
      <c r="I4910">
        <v>868</v>
      </c>
      <c r="J4910">
        <v>0</v>
      </c>
      <c r="K4910" t="str">
        <f t="shared" si="911"/>
        <v>813</v>
      </c>
      <c r="L4910">
        <v>729.12</v>
      </c>
    </row>
    <row r="4911" spans="1:12" x14ac:dyDescent="0.25">
      <c r="A4911" t="str">
        <f t="shared" si="902"/>
        <v>89301000</v>
      </c>
      <c r="B4911" t="str">
        <f t="shared" si="904"/>
        <v>06539000</v>
      </c>
      <c r="C4911" t="str">
        <f t="shared" si="909"/>
        <v>06539003</v>
      </c>
      <c r="D4911">
        <v>89301171</v>
      </c>
      <c r="E4911" t="str">
        <f t="shared" si="905"/>
        <v>6959164465</v>
      </c>
      <c r="F4911" s="1">
        <v>45042</v>
      </c>
      <c r="G4911" t="str">
        <f t="shared" si="910"/>
        <v>91413</v>
      </c>
      <c r="H4911">
        <v>1</v>
      </c>
      <c r="I4911">
        <v>868</v>
      </c>
      <c r="J4911">
        <v>0</v>
      </c>
      <c r="K4911" t="str">
        <f t="shared" si="911"/>
        <v>813</v>
      </c>
      <c r="L4911">
        <v>729.12</v>
      </c>
    </row>
    <row r="4912" spans="1:12" x14ac:dyDescent="0.25">
      <c r="A4912" t="str">
        <f t="shared" si="902"/>
        <v>89301000</v>
      </c>
      <c r="B4912" t="str">
        <f t="shared" si="904"/>
        <v>06539000</v>
      </c>
      <c r="C4912" t="str">
        <f t="shared" si="909"/>
        <v>06539003</v>
      </c>
      <c r="D4912">
        <v>89301171</v>
      </c>
      <c r="E4912" t="str">
        <f t="shared" si="905"/>
        <v>6959164465</v>
      </c>
      <c r="F4912" s="1">
        <v>45044</v>
      </c>
      <c r="G4912" t="str">
        <f t="shared" si="910"/>
        <v>91413</v>
      </c>
      <c r="H4912">
        <v>1</v>
      </c>
      <c r="I4912">
        <v>868</v>
      </c>
      <c r="J4912">
        <v>0</v>
      </c>
      <c r="K4912" t="str">
        <f t="shared" si="911"/>
        <v>813</v>
      </c>
      <c r="L4912">
        <v>729.12</v>
      </c>
    </row>
    <row r="4913" spans="1:12" x14ac:dyDescent="0.25">
      <c r="A4913" t="str">
        <f t="shared" si="902"/>
        <v>89301000</v>
      </c>
      <c r="B4913" t="str">
        <f t="shared" si="904"/>
        <v>06539000</v>
      </c>
      <c r="C4913" t="str">
        <f t="shared" si="909"/>
        <v>06539003</v>
      </c>
      <c r="D4913">
        <v>89301171</v>
      </c>
      <c r="E4913" t="str">
        <f t="shared" si="905"/>
        <v>6959164465</v>
      </c>
      <c r="F4913" s="1">
        <v>45044</v>
      </c>
      <c r="G4913" t="str">
        <f t="shared" si="910"/>
        <v>91413</v>
      </c>
      <c r="H4913">
        <v>1</v>
      </c>
      <c r="I4913">
        <v>868</v>
      </c>
      <c r="J4913">
        <v>0</v>
      </c>
      <c r="K4913" t="str">
        <f t="shared" si="911"/>
        <v>813</v>
      </c>
      <c r="L4913">
        <v>729.12</v>
      </c>
    </row>
    <row r="4914" spans="1:12" x14ac:dyDescent="0.25">
      <c r="A4914" t="str">
        <f t="shared" si="902"/>
        <v>89301000</v>
      </c>
      <c r="B4914" t="str">
        <f t="shared" si="904"/>
        <v>06539000</v>
      </c>
      <c r="C4914" t="str">
        <f t="shared" si="909"/>
        <v>06539003</v>
      </c>
      <c r="D4914">
        <v>89301171</v>
      </c>
      <c r="E4914" t="str">
        <f t="shared" si="905"/>
        <v>6959164465</v>
      </c>
      <c r="F4914" s="1">
        <v>45044</v>
      </c>
      <c r="G4914" t="str">
        <f t="shared" si="910"/>
        <v>91413</v>
      </c>
      <c r="H4914">
        <v>1</v>
      </c>
      <c r="I4914">
        <v>868</v>
      </c>
      <c r="J4914">
        <v>0</v>
      </c>
      <c r="K4914" t="str">
        <f t="shared" si="911"/>
        <v>813</v>
      </c>
      <c r="L4914">
        <v>729.12</v>
      </c>
    </row>
    <row r="4915" spans="1:12" x14ac:dyDescent="0.25">
      <c r="A4915" t="str">
        <f t="shared" si="902"/>
        <v>89301000</v>
      </c>
      <c r="B4915" t="str">
        <f t="shared" si="904"/>
        <v>06539000</v>
      </c>
      <c r="C4915" t="str">
        <f t="shared" si="909"/>
        <v>06539003</v>
      </c>
      <c r="D4915">
        <v>89301171</v>
      </c>
      <c r="E4915" t="str">
        <f t="shared" si="905"/>
        <v>6959164465</v>
      </c>
      <c r="F4915" s="1">
        <v>45044</v>
      </c>
      <c r="G4915" t="str">
        <f t="shared" si="910"/>
        <v>91413</v>
      </c>
      <c r="H4915">
        <v>1</v>
      </c>
      <c r="I4915">
        <v>868</v>
      </c>
      <c r="J4915">
        <v>0</v>
      </c>
      <c r="K4915" t="str">
        <f t="shared" si="911"/>
        <v>813</v>
      </c>
      <c r="L4915">
        <v>729.12</v>
      </c>
    </row>
    <row r="4916" spans="1:12" x14ac:dyDescent="0.25">
      <c r="A4916" t="str">
        <f t="shared" si="902"/>
        <v>89301000</v>
      </c>
      <c r="B4916" t="str">
        <f t="shared" si="904"/>
        <v>06539000</v>
      </c>
      <c r="C4916" t="str">
        <f t="shared" si="909"/>
        <v>06539003</v>
      </c>
      <c r="D4916">
        <v>89301171</v>
      </c>
      <c r="E4916" t="str">
        <f t="shared" si="905"/>
        <v>6959164465</v>
      </c>
      <c r="F4916" s="1">
        <v>45022</v>
      </c>
      <c r="G4916" t="str">
        <f t="shared" ref="G4916:G4922" si="912">"91197"</f>
        <v>91197</v>
      </c>
      <c r="H4916">
        <v>1</v>
      </c>
      <c r="I4916">
        <v>1048</v>
      </c>
      <c r="J4916">
        <v>0</v>
      </c>
      <c r="K4916" t="str">
        <f t="shared" si="911"/>
        <v>813</v>
      </c>
      <c r="L4916">
        <v>880.32</v>
      </c>
    </row>
    <row r="4917" spans="1:12" x14ac:dyDescent="0.25">
      <c r="A4917" t="str">
        <f t="shared" si="902"/>
        <v>89301000</v>
      </c>
      <c r="B4917" t="str">
        <f t="shared" si="904"/>
        <v>06539000</v>
      </c>
      <c r="C4917" t="str">
        <f t="shared" si="909"/>
        <v>06539003</v>
      </c>
      <c r="D4917">
        <v>89301171</v>
      </c>
      <c r="E4917" t="str">
        <f t="shared" si="905"/>
        <v>6959164465</v>
      </c>
      <c r="F4917" s="1">
        <v>45025</v>
      </c>
      <c r="G4917" t="str">
        <f t="shared" si="912"/>
        <v>91197</v>
      </c>
      <c r="H4917">
        <v>1</v>
      </c>
      <c r="I4917">
        <v>1048</v>
      </c>
      <c r="J4917">
        <v>0</v>
      </c>
      <c r="K4917" t="str">
        <f t="shared" si="911"/>
        <v>813</v>
      </c>
      <c r="L4917">
        <v>880.32</v>
      </c>
    </row>
    <row r="4918" spans="1:12" x14ac:dyDescent="0.25">
      <c r="A4918" t="str">
        <f t="shared" si="902"/>
        <v>89301000</v>
      </c>
      <c r="B4918" t="str">
        <f t="shared" si="904"/>
        <v>06539000</v>
      </c>
      <c r="C4918" t="str">
        <f t="shared" si="909"/>
        <v>06539003</v>
      </c>
      <c r="D4918">
        <v>89301171</v>
      </c>
      <c r="E4918" t="str">
        <f t="shared" si="905"/>
        <v>6959164465</v>
      </c>
      <c r="F4918" s="1">
        <v>45025</v>
      </c>
      <c r="G4918" t="str">
        <f t="shared" si="912"/>
        <v>91197</v>
      </c>
      <c r="H4918">
        <v>1</v>
      </c>
      <c r="I4918">
        <v>1048</v>
      </c>
      <c r="J4918">
        <v>0</v>
      </c>
      <c r="K4918" t="str">
        <f t="shared" si="911"/>
        <v>813</v>
      </c>
      <c r="L4918">
        <v>880.32</v>
      </c>
    </row>
    <row r="4919" spans="1:12" x14ac:dyDescent="0.25">
      <c r="A4919" t="str">
        <f t="shared" si="902"/>
        <v>89301000</v>
      </c>
      <c r="B4919" t="str">
        <f t="shared" si="904"/>
        <v>06539000</v>
      </c>
      <c r="C4919" t="str">
        <f t="shared" si="909"/>
        <v>06539003</v>
      </c>
      <c r="D4919">
        <v>89301171</v>
      </c>
      <c r="E4919" t="str">
        <f t="shared" si="905"/>
        <v>6959164465</v>
      </c>
      <c r="F4919" s="1">
        <v>45024</v>
      </c>
      <c r="G4919" t="str">
        <f t="shared" si="912"/>
        <v>91197</v>
      </c>
      <c r="H4919">
        <v>1</v>
      </c>
      <c r="I4919">
        <v>1048</v>
      </c>
      <c r="J4919">
        <v>0</v>
      </c>
      <c r="K4919" t="str">
        <f t="shared" si="911"/>
        <v>813</v>
      </c>
      <c r="L4919">
        <v>880.32</v>
      </c>
    </row>
    <row r="4920" spans="1:12" x14ac:dyDescent="0.25">
      <c r="A4920" t="str">
        <f t="shared" si="902"/>
        <v>89301000</v>
      </c>
      <c r="B4920" t="str">
        <f t="shared" si="904"/>
        <v>06539000</v>
      </c>
      <c r="C4920" t="str">
        <f t="shared" si="909"/>
        <v>06539003</v>
      </c>
      <c r="D4920">
        <v>89301171</v>
      </c>
      <c r="E4920" t="str">
        <f t="shared" si="905"/>
        <v>6959164465</v>
      </c>
      <c r="F4920" s="1">
        <v>45024</v>
      </c>
      <c r="G4920" t="str">
        <f t="shared" si="912"/>
        <v>91197</v>
      </c>
      <c r="H4920">
        <v>1</v>
      </c>
      <c r="I4920">
        <v>1048</v>
      </c>
      <c r="J4920">
        <v>0</v>
      </c>
      <c r="K4920" t="str">
        <f t="shared" si="911"/>
        <v>813</v>
      </c>
      <c r="L4920">
        <v>880.32</v>
      </c>
    </row>
    <row r="4921" spans="1:12" x14ac:dyDescent="0.25">
      <c r="A4921" t="str">
        <f t="shared" si="902"/>
        <v>89301000</v>
      </c>
      <c r="B4921" t="str">
        <f t="shared" si="904"/>
        <v>06539000</v>
      </c>
      <c r="C4921" t="str">
        <f t="shared" si="909"/>
        <v>06539003</v>
      </c>
      <c r="D4921">
        <v>89301171</v>
      </c>
      <c r="E4921" t="str">
        <f t="shared" si="905"/>
        <v>6959164465</v>
      </c>
      <c r="F4921" s="1">
        <v>45023</v>
      </c>
      <c r="G4921" t="str">
        <f t="shared" si="912"/>
        <v>91197</v>
      </c>
      <c r="H4921">
        <v>1</v>
      </c>
      <c r="I4921">
        <v>1048</v>
      </c>
      <c r="J4921">
        <v>0</v>
      </c>
      <c r="K4921" t="str">
        <f t="shared" si="911"/>
        <v>813</v>
      </c>
      <c r="L4921">
        <v>880.32</v>
      </c>
    </row>
    <row r="4922" spans="1:12" x14ac:dyDescent="0.25">
      <c r="A4922" t="str">
        <f t="shared" si="902"/>
        <v>89301000</v>
      </c>
      <c r="B4922" t="str">
        <f t="shared" si="904"/>
        <v>06539000</v>
      </c>
      <c r="C4922" t="str">
        <f t="shared" si="909"/>
        <v>06539003</v>
      </c>
      <c r="D4922">
        <v>89301171</v>
      </c>
      <c r="E4922" t="str">
        <f t="shared" si="905"/>
        <v>6959164465</v>
      </c>
      <c r="F4922" s="1">
        <v>45023</v>
      </c>
      <c r="G4922" t="str">
        <f t="shared" si="912"/>
        <v>91197</v>
      </c>
      <c r="H4922">
        <v>1</v>
      </c>
      <c r="I4922">
        <v>1048</v>
      </c>
      <c r="J4922">
        <v>0</v>
      </c>
      <c r="K4922" t="str">
        <f t="shared" si="911"/>
        <v>813</v>
      </c>
      <c r="L4922">
        <v>880.32</v>
      </c>
    </row>
    <row r="4923" spans="1:12" x14ac:dyDescent="0.25">
      <c r="A4923" t="str">
        <f t="shared" si="902"/>
        <v>89301000</v>
      </c>
      <c r="B4923" t="str">
        <f t="shared" si="904"/>
        <v>06539000</v>
      </c>
      <c r="C4923" t="str">
        <f t="shared" si="909"/>
        <v>06539003</v>
      </c>
      <c r="D4923">
        <v>89301171</v>
      </c>
      <c r="E4923" t="str">
        <f t="shared" si="905"/>
        <v>6959164465</v>
      </c>
      <c r="F4923" s="1">
        <v>45044</v>
      </c>
      <c r="G4923" t="str">
        <f>"91329"</f>
        <v>91329</v>
      </c>
      <c r="H4923">
        <v>2</v>
      </c>
      <c r="I4923">
        <v>436</v>
      </c>
      <c r="J4923">
        <v>0</v>
      </c>
      <c r="K4923" t="str">
        <f t="shared" si="911"/>
        <v>813</v>
      </c>
      <c r="L4923">
        <v>366.24</v>
      </c>
    </row>
    <row r="4924" spans="1:12" x14ac:dyDescent="0.25">
      <c r="A4924" t="str">
        <f t="shared" si="902"/>
        <v>89301000</v>
      </c>
      <c r="B4924" t="str">
        <f t="shared" si="904"/>
        <v>06539000</v>
      </c>
      <c r="C4924" t="str">
        <f t="shared" si="909"/>
        <v>06539003</v>
      </c>
      <c r="D4924">
        <v>89301171</v>
      </c>
      <c r="E4924" t="str">
        <f t="shared" si="905"/>
        <v>6959164465</v>
      </c>
      <c r="F4924" s="1">
        <v>45044</v>
      </c>
      <c r="G4924" t="str">
        <f>"91329"</f>
        <v>91329</v>
      </c>
      <c r="H4924">
        <v>2</v>
      </c>
      <c r="I4924">
        <v>436</v>
      </c>
      <c r="J4924">
        <v>0</v>
      </c>
      <c r="K4924" t="str">
        <f t="shared" si="911"/>
        <v>813</v>
      </c>
      <c r="L4924">
        <v>366.24</v>
      </c>
    </row>
    <row r="4925" spans="1:12" x14ac:dyDescent="0.25">
      <c r="A4925" t="str">
        <f t="shared" si="902"/>
        <v>89301000</v>
      </c>
      <c r="B4925" t="str">
        <f t="shared" si="904"/>
        <v>06539000</v>
      </c>
      <c r="C4925" t="str">
        <f t="shared" si="909"/>
        <v>06539003</v>
      </c>
      <c r="D4925">
        <v>89301171</v>
      </c>
      <c r="E4925" t="str">
        <f t="shared" si="905"/>
        <v>6959164465</v>
      </c>
      <c r="F4925" s="1">
        <v>45044</v>
      </c>
      <c r="G4925" t="str">
        <f>"91329"</f>
        <v>91329</v>
      </c>
      <c r="H4925">
        <v>2</v>
      </c>
      <c r="I4925">
        <v>436</v>
      </c>
      <c r="J4925">
        <v>0</v>
      </c>
      <c r="K4925" t="str">
        <f t="shared" si="911"/>
        <v>813</v>
      </c>
      <c r="L4925">
        <v>366.24</v>
      </c>
    </row>
    <row r="4926" spans="1:12" x14ac:dyDescent="0.25">
      <c r="A4926" t="str">
        <f t="shared" si="902"/>
        <v>89301000</v>
      </c>
      <c r="B4926" t="str">
        <f t="shared" si="904"/>
        <v>06539000</v>
      </c>
      <c r="C4926" t="str">
        <f t="shared" si="909"/>
        <v>06539003</v>
      </c>
      <c r="D4926">
        <v>89301171</v>
      </c>
      <c r="E4926" t="str">
        <f t="shared" si="905"/>
        <v>6959164465</v>
      </c>
      <c r="F4926" s="1">
        <v>45044</v>
      </c>
      <c r="G4926" t="str">
        <f>"91329"</f>
        <v>91329</v>
      </c>
      <c r="H4926">
        <v>2</v>
      </c>
      <c r="I4926">
        <v>436</v>
      </c>
      <c r="J4926">
        <v>0</v>
      </c>
      <c r="K4926" t="str">
        <f t="shared" si="911"/>
        <v>813</v>
      </c>
      <c r="L4926">
        <v>366.24</v>
      </c>
    </row>
    <row r="4927" spans="1:12" x14ac:dyDescent="0.25">
      <c r="A4927" t="str">
        <f t="shared" si="902"/>
        <v>89301000</v>
      </c>
      <c r="B4927" t="str">
        <f t="shared" si="904"/>
        <v>06539000</v>
      </c>
      <c r="C4927" t="str">
        <f t="shared" si="909"/>
        <v>06539003</v>
      </c>
      <c r="D4927">
        <v>89301171</v>
      </c>
      <c r="E4927" t="str">
        <f t="shared" si="905"/>
        <v>6959164465</v>
      </c>
      <c r="F4927" s="1">
        <v>45022</v>
      </c>
      <c r="G4927" t="str">
        <f>"91129"</f>
        <v>91129</v>
      </c>
      <c r="H4927">
        <v>1</v>
      </c>
      <c r="I4927">
        <v>175</v>
      </c>
      <c r="J4927">
        <v>0</v>
      </c>
      <c r="K4927" t="str">
        <f t="shared" si="911"/>
        <v>813</v>
      </c>
      <c r="L4927">
        <v>147</v>
      </c>
    </row>
    <row r="4928" spans="1:12" x14ac:dyDescent="0.25">
      <c r="A4928" t="str">
        <f t="shared" si="902"/>
        <v>89301000</v>
      </c>
      <c r="B4928" t="str">
        <f t="shared" si="904"/>
        <v>06539000</v>
      </c>
      <c r="C4928" t="str">
        <f t="shared" si="909"/>
        <v>06539003</v>
      </c>
      <c r="D4928">
        <v>89301171</v>
      </c>
      <c r="E4928" t="str">
        <f t="shared" si="905"/>
        <v>6959164465</v>
      </c>
      <c r="F4928" s="1">
        <v>45022</v>
      </c>
      <c r="G4928" t="str">
        <f>"91131"</f>
        <v>91131</v>
      </c>
      <c r="H4928">
        <v>1</v>
      </c>
      <c r="I4928">
        <v>171</v>
      </c>
      <c r="J4928">
        <v>0</v>
      </c>
      <c r="K4928" t="str">
        <f t="shared" si="911"/>
        <v>813</v>
      </c>
      <c r="L4928">
        <v>143.63999999999999</v>
      </c>
    </row>
    <row r="4929" spans="1:12" x14ac:dyDescent="0.25">
      <c r="A4929" t="str">
        <f t="shared" si="902"/>
        <v>89301000</v>
      </c>
      <c r="B4929" t="str">
        <f t="shared" si="904"/>
        <v>06539000</v>
      </c>
      <c r="C4929" t="str">
        <f t="shared" si="909"/>
        <v>06539003</v>
      </c>
      <c r="D4929">
        <v>89301171</v>
      </c>
      <c r="E4929" t="str">
        <f t="shared" si="905"/>
        <v>6959164465</v>
      </c>
      <c r="F4929" s="1">
        <v>45022</v>
      </c>
      <c r="G4929" t="str">
        <f>"91133"</f>
        <v>91133</v>
      </c>
      <c r="H4929">
        <v>1</v>
      </c>
      <c r="I4929">
        <v>177</v>
      </c>
      <c r="J4929">
        <v>0</v>
      </c>
      <c r="K4929" t="str">
        <f t="shared" si="911"/>
        <v>813</v>
      </c>
      <c r="L4929">
        <v>148.68</v>
      </c>
    </row>
    <row r="4930" spans="1:12" x14ac:dyDescent="0.25">
      <c r="A4930" t="str">
        <f t="shared" ref="A4930:A4993" si="913">"89301000"</f>
        <v>89301000</v>
      </c>
      <c r="B4930" t="str">
        <f t="shared" si="904"/>
        <v>06539000</v>
      </c>
      <c r="C4930" t="str">
        <f t="shared" si="909"/>
        <v>06539003</v>
      </c>
      <c r="D4930">
        <v>89301171</v>
      </c>
      <c r="E4930" t="str">
        <f t="shared" si="905"/>
        <v>6959164465</v>
      </c>
      <c r="F4930" s="1">
        <v>45022</v>
      </c>
      <c r="G4930" t="str">
        <f>"91171"</f>
        <v>91171</v>
      </c>
      <c r="H4930">
        <v>1</v>
      </c>
      <c r="I4930">
        <v>362</v>
      </c>
      <c r="J4930">
        <v>0</v>
      </c>
      <c r="K4930" t="str">
        <f t="shared" si="911"/>
        <v>813</v>
      </c>
      <c r="L4930">
        <v>304.08</v>
      </c>
    </row>
    <row r="4931" spans="1:12" x14ac:dyDescent="0.25">
      <c r="A4931" t="str">
        <f t="shared" si="913"/>
        <v>89301000</v>
      </c>
      <c r="B4931" t="str">
        <f t="shared" si="904"/>
        <v>06539000</v>
      </c>
      <c r="C4931" t="str">
        <f t="shared" si="909"/>
        <v>06539003</v>
      </c>
      <c r="D4931">
        <v>89301171</v>
      </c>
      <c r="E4931" t="str">
        <f t="shared" si="905"/>
        <v>6959164465</v>
      </c>
      <c r="F4931" s="1">
        <v>45022</v>
      </c>
      <c r="G4931" t="str">
        <f>"91173"</f>
        <v>91173</v>
      </c>
      <c r="H4931">
        <v>1</v>
      </c>
      <c r="I4931">
        <v>337</v>
      </c>
      <c r="J4931">
        <v>0</v>
      </c>
      <c r="K4931" t="str">
        <f t="shared" si="911"/>
        <v>813</v>
      </c>
      <c r="L4931">
        <v>283.08</v>
      </c>
    </row>
    <row r="4932" spans="1:12" x14ac:dyDescent="0.25">
      <c r="A4932" t="str">
        <f t="shared" si="913"/>
        <v>89301000</v>
      </c>
      <c r="B4932" t="str">
        <f t="shared" si="904"/>
        <v>06539000</v>
      </c>
      <c r="C4932" t="str">
        <f t="shared" si="909"/>
        <v>06539003</v>
      </c>
      <c r="D4932">
        <v>89301171</v>
      </c>
      <c r="E4932" t="str">
        <f t="shared" si="905"/>
        <v>6959164465</v>
      </c>
      <c r="F4932" s="1">
        <v>45022</v>
      </c>
      <c r="G4932" t="str">
        <f>"91175"</f>
        <v>91175</v>
      </c>
      <c r="H4932">
        <v>1</v>
      </c>
      <c r="I4932">
        <v>362</v>
      </c>
      <c r="J4932">
        <v>0</v>
      </c>
      <c r="K4932" t="str">
        <f t="shared" si="911"/>
        <v>813</v>
      </c>
      <c r="L4932">
        <v>304.08</v>
      </c>
    </row>
    <row r="4933" spans="1:12" x14ac:dyDescent="0.25">
      <c r="A4933" t="str">
        <f t="shared" si="913"/>
        <v>89301000</v>
      </c>
      <c r="B4933" t="str">
        <f t="shared" si="904"/>
        <v>06539000</v>
      </c>
      <c r="C4933" t="str">
        <f t="shared" si="909"/>
        <v>06539003</v>
      </c>
      <c r="D4933">
        <v>89301171</v>
      </c>
      <c r="E4933" t="str">
        <f t="shared" si="905"/>
        <v>6959164465</v>
      </c>
      <c r="F4933" s="1">
        <v>45023</v>
      </c>
      <c r="G4933" t="str">
        <f>"91167"</f>
        <v>91167</v>
      </c>
      <c r="H4933">
        <v>1</v>
      </c>
      <c r="I4933">
        <v>426</v>
      </c>
      <c r="J4933">
        <v>0</v>
      </c>
      <c r="K4933" t="str">
        <f t="shared" si="911"/>
        <v>813</v>
      </c>
      <c r="L4933">
        <v>357.84</v>
      </c>
    </row>
    <row r="4934" spans="1:12" x14ac:dyDescent="0.25">
      <c r="A4934" t="str">
        <f t="shared" si="913"/>
        <v>89301000</v>
      </c>
      <c r="B4934" t="str">
        <f t="shared" si="904"/>
        <v>06539000</v>
      </c>
      <c r="C4934" t="str">
        <f t="shared" si="909"/>
        <v>06539003</v>
      </c>
      <c r="D4934">
        <v>89301171</v>
      </c>
      <c r="E4934" t="str">
        <f t="shared" si="905"/>
        <v>6959164465</v>
      </c>
      <c r="F4934" s="1">
        <v>45023</v>
      </c>
      <c r="G4934" t="str">
        <f>"91169"</f>
        <v>91169</v>
      </c>
      <c r="H4934">
        <v>1</v>
      </c>
      <c r="I4934">
        <v>426</v>
      </c>
      <c r="J4934">
        <v>0</v>
      </c>
      <c r="K4934" t="str">
        <f t="shared" si="911"/>
        <v>813</v>
      </c>
      <c r="L4934">
        <v>357.84</v>
      </c>
    </row>
    <row r="4935" spans="1:12" x14ac:dyDescent="0.25">
      <c r="A4935" t="str">
        <f t="shared" si="913"/>
        <v>89301000</v>
      </c>
      <c r="B4935" t="str">
        <f t="shared" si="904"/>
        <v>06539000</v>
      </c>
      <c r="C4935" t="str">
        <f t="shared" si="909"/>
        <v>06539003</v>
      </c>
      <c r="D4935">
        <v>89301171</v>
      </c>
      <c r="E4935" t="str">
        <f t="shared" si="905"/>
        <v>6959164465</v>
      </c>
      <c r="F4935" s="1">
        <v>45022</v>
      </c>
      <c r="G4935" t="str">
        <f>"91167"</f>
        <v>91167</v>
      </c>
      <c r="H4935">
        <v>1</v>
      </c>
      <c r="I4935">
        <v>426</v>
      </c>
      <c r="J4935">
        <v>0</v>
      </c>
      <c r="K4935" t="str">
        <f t="shared" si="911"/>
        <v>813</v>
      </c>
      <c r="L4935">
        <v>357.84</v>
      </c>
    </row>
    <row r="4936" spans="1:12" x14ac:dyDescent="0.25">
      <c r="A4936" t="str">
        <f t="shared" si="913"/>
        <v>89301000</v>
      </c>
      <c r="B4936" t="str">
        <f t="shared" si="904"/>
        <v>06539000</v>
      </c>
      <c r="C4936" t="str">
        <f t="shared" si="909"/>
        <v>06539003</v>
      </c>
      <c r="D4936">
        <v>89301171</v>
      </c>
      <c r="E4936" t="str">
        <f t="shared" si="905"/>
        <v>6959164465</v>
      </c>
      <c r="F4936" s="1">
        <v>45022</v>
      </c>
      <c r="G4936" t="str">
        <f>"91169"</f>
        <v>91169</v>
      </c>
      <c r="H4936">
        <v>1</v>
      </c>
      <c r="I4936">
        <v>426</v>
      </c>
      <c r="J4936">
        <v>0</v>
      </c>
      <c r="K4936" t="str">
        <f t="shared" si="911"/>
        <v>813</v>
      </c>
      <c r="L4936">
        <v>357.84</v>
      </c>
    </row>
    <row r="4937" spans="1:12" x14ac:dyDescent="0.25">
      <c r="A4937" t="str">
        <f t="shared" si="913"/>
        <v>89301000</v>
      </c>
      <c r="B4937" t="str">
        <f t="shared" si="904"/>
        <v>06539000</v>
      </c>
      <c r="C4937" t="str">
        <f t="shared" si="909"/>
        <v>06539003</v>
      </c>
      <c r="D4937">
        <v>89301171</v>
      </c>
      <c r="E4937" t="str">
        <f t="shared" si="905"/>
        <v>6959164465</v>
      </c>
      <c r="F4937" s="1">
        <v>45044</v>
      </c>
      <c r="G4937" t="str">
        <f>"91475"</f>
        <v>91475</v>
      </c>
      <c r="H4937">
        <v>1</v>
      </c>
      <c r="I4937">
        <v>213</v>
      </c>
      <c r="J4937">
        <v>0</v>
      </c>
      <c r="K4937" t="str">
        <f t="shared" si="911"/>
        <v>813</v>
      </c>
      <c r="L4937">
        <v>178.92</v>
      </c>
    </row>
    <row r="4938" spans="1:12" x14ac:dyDescent="0.25">
      <c r="A4938" t="str">
        <f t="shared" si="913"/>
        <v>89301000</v>
      </c>
      <c r="B4938" t="str">
        <f t="shared" si="904"/>
        <v>06539000</v>
      </c>
      <c r="C4938" t="str">
        <f t="shared" ref="C4938:C4960" si="914">"06539003"</f>
        <v>06539003</v>
      </c>
      <c r="D4938">
        <v>89301171</v>
      </c>
      <c r="E4938" t="str">
        <f t="shared" ref="E4938:E4960" si="915">"7661094463"</f>
        <v>7661094463</v>
      </c>
      <c r="F4938" s="1">
        <v>45029</v>
      </c>
      <c r="G4938" t="str">
        <f t="shared" ref="G4938:G4947" si="916">"91413"</f>
        <v>91413</v>
      </c>
      <c r="H4938">
        <v>1</v>
      </c>
      <c r="I4938">
        <v>868</v>
      </c>
      <c r="J4938">
        <v>0</v>
      </c>
      <c r="K4938" t="str">
        <f t="shared" ref="K4938:K4960" si="917">"813"</f>
        <v>813</v>
      </c>
      <c r="L4938">
        <v>729.12</v>
      </c>
    </row>
    <row r="4939" spans="1:12" x14ac:dyDescent="0.25">
      <c r="A4939" t="str">
        <f t="shared" si="913"/>
        <v>89301000</v>
      </c>
      <c r="B4939" t="str">
        <f t="shared" si="904"/>
        <v>06539000</v>
      </c>
      <c r="C4939" t="str">
        <f t="shared" si="914"/>
        <v>06539003</v>
      </c>
      <c r="D4939">
        <v>89301171</v>
      </c>
      <c r="E4939" t="str">
        <f t="shared" si="915"/>
        <v>7661094463</v>
      </c>
      <c r="F4939" s="1">
        <v>45029</v>
      </c>
      <c r="G4939" t="str">
        <f t="shared" si="916"/>
        <v>91413</v>
      </c>
      <c r="H4939">
        <v>1</v>
      </c>
      <c r="I4939">
        <v>868</v>
      </c>
      <c r="J4939">
        <v>0</v>
      </c>
      <c r="K4939" t="str">
        <f t="shared" si="917"/>
        <v>813</v>
      </c>
      <c r="L4939">
        <v>729.12</v>
      </c>
    </row>
    <row r="4940" spans="1:12" x14ac:dyDescent="0.25">
      <c r="A4940" t="str">
        <f t="shared" si="913"/>
        <v>89301000</v>
      </c>
      <c r="B4940" t="str">
        <f t="shared" si="904"/>
        <v>06539000</v>
      </c>
      <c r="C4940" t="str">
        <f t="shared" si="914"/>
        <v>06539003</v>
      </c>
      <c r="D4940">
        <v>89301171</v>
      </c>
      <c r="E4940" t="str">
        <f t="shared" si="915"/>
        <v>7661094463</v>
      </c>
      <c r="F4940" s="1">
        <v>45044</v>
      </c>
      <c r="G4940" t="str">
        <f t="shared" si="916"/>
        <v>91413</v>
      </c>
      <c r="H4940">
        <v>1</v>
      </c>
      <c r="I4940">
        <v>868</v>
      </c>
      <c r="J4940">
        <v>0</v>
      </c>
      <c r="K4940" t="str">
        <f t="shared" si="917"/>
        <v>813</v>
      </c>
      <c r="L4940">
        <v>729.12</v>
      </c>
    </row>
    <row r="4941" spans="1:12" x14ac:dyDescent="0.25">
      <c r="A4941" t="str">
        <f t="shared" si="913"/>
        <v>89301000</v>
      </c>
      <c r="B4941" t="str">
        <f t="shared" si="904"/>
        <v>06539000</v>
      </c>
      <c r="C4941" t="str">
        <f t="shared" si="914"/>
        <v>06539003</v>
      </c>
      <c r="D4941">
        <v>89301171</v>
      </c>
      <c r="E4941" t="str">
        <f t="shared" si="915"/>
        <v>7661094463</v>
      </c>
      <c r="F4941" s="1">
        <v>45044</v>
      </c>
      <c r="G4941" t="str">
        <f t="shared" si="916"/>
        <v>91413</v>
      </c>
      <c r="H4941">
        <v>1</v>
      </c>
      <c r="I4941">
        <v>868</v>
      </c>
      <c r="J4941">
        <v>0</v>
      </c>
      <c r="K4941" t="str">
        <f t="shared" si="917"/>
        <v>813</v>
      </c>
      <c r="L4941">
        <v>729.12</v>
      </c>
    </row>
    <row r="4942" spans="1:12" x14ac:dyDescent="0.25">
      <c r="A4942" t="str">
        <f t="shared" si="913"/>
        <v>89301000</v>
      </c>
      <c r="B4942" t="str">
        <f t="shared" si="904"/>
        <v>06539000</v>
      </c>
      <c r="C4942" t="str">
        <f t="shared" si="914"/>
        <v>06539003</v>
      </c>
      <c r="D4942">
        <v>89301171</v>
      </c>
      <c r="E4942" t="str">
        <f t="shared" si="915"/>
        <v>7661094463</v>
      </c>
      <c r="F4942" s="1">
        <v>45042</v>
      </c>
      <c r="G4942" t="str">
        <f t="shared" si="916"/>
        <v>91413</v>
      </c>
      <c r="H4942">
        <v>1</v>
      </c>
      <c r="I4942">
        <v>868</v>
      </c>
      <c r="J4942">
        <v>0</v>
      </c>
      <c r="K4942" t="str">
        <f t="shared" si="917"/>
        <v>813</v>
      </c>
      <c r="L4942">
        <v>729.12</v>
      </c>
    </row>
    <row r="4943" spans="1:12" x14ac:dyDescent="0.25">
      <c r="A4943" t="str">
        <f t="shared" si="913"/>
        <v>89301000</v>
      </c>
      <c r="B4943" t="str">
        <f t="shared" si="904"/>
        <v>06539000</v>
      </c>
      <c r="C4943" t="str">
        <f t="shared" si="914"/>
        <v>06539003</v>
      </c>
      <c r="D4943">
        <v>89301171</v>
      </c>
      <c r="E4943" t="str">
        <f t="shared" si="915"/>
        <v>7661094463</v>
      </c>
      <c r="F4943" s="1">
        <v>45042</v>
      </c>
      <c r="G4943" t="str">
        <f t="shared" si="916"/>
        <v>91413</v>
      </c>
      <c r="H4943">
        <v>1</v>
      </c>
      <c r="I4943">
        <v>868</v>
      </c>
      <c r="J4943">
        <v>0</v>
      </c>
      <c r="K4943" t="str">
        <f t="shared" si="917"/>
        <v>813</v>
      </c>
      <c r="L4943">
        <v>729.12</v>
      </c>
    </row>
    <row r="4944" spans="1:12" x14ac:dyDescent="0.25">
      <c r="A4944" t="str">
        <f t="shared" si="913"/>
        <v>89301000</v>
      </c>
      <c r="B4944" t="str">
        <f t="shared" si="904"/>
        <v>06539000</v>
      </c>
      <c r="C4944" t="str">
        <f t="shared" si="914"/>
        <v>06539003</v>
      </c>
      <c r="D4944">
        <v>89301171</v>
      </c>
      <c r="E4944" t="str">
        <f t="shared" si="915"/>
        <v>7661094463</v>
      </c>
      <c r="F4944" s="1">
        <v>45044</v>
      </c>
      <c r="G4944" t="str">
        <f t="shared" si="916"/>
        <v>91413</v>
      </c>
      <c r="H4944">
        <v>1</v>
      </c>
      <c r="I4944">
        <v>868</v>
      </c>
      <c r="J4944">
        <v>0</v>
      </c>
      <c r="K4944" t="str">
        <f t="shared" si="917"/>
        <v>813</v>
      </c>
      <c r="L4944">
        <v>729.12</v>
      </c>
    </row>
    <row r="4945" spans="1:12" x14ac:dyDescent="0.25">
      <c r="A4945" t="str">
        <f t="shared" si="913"/>
        <v>89301000</v>
      </c>
      <c r="B4945" t="str">
        <f t="shared" si="904"/>
        <v>06539000</v>
      </c>
      <c r="C4945" t="str">
        <f t="shared" si="914"/>
        <v>06539003</v>
      </c>
      <c r="D4945">
        <v>89301171</v>
      </c>
      <c r="E4945" t="str">
        <f t="shared" si="915"/>
        <v>7661094463</v>
      </c>
      <c r="F4945" s="1">
        <v>45044</v>
      </c>
      <c r="G4945" t="str">
        <f t="shared" si="916"/>
        <v>91413</v>
      </c>
      <c r="H4945">
        <v>1</v>
      </c>
      <c r="I4945">
        <v>868</v>
      </c>
      <c r="J4945">
        <v>0</v>
      </c>
      <c r="K4945" t="str">
        <f t="shared" si="917"/>
        <v>813</v>
      </c>
      <c r="L4945">
        <v>729.12</v>
      </c>
    </row>
    <row r="4946" spans="1:12" x14ac:dyDescent="0.25">
      <c r="A4946" t="str">
        <f t="shared" si="913"/>
        <v>89301000</v>
      </c>
      <c r="B4946" t="str">
        <f t="shared" si="904"/>
        <v>06539000</v>
      </c>
      <c r="C4946" t="str">
        <f t="shared" si="914"/>
        <v>06539003</v>
      </c>
      <c r="D4946">
        <v>89301171</v>
      </c>
      <c r="E4946" t="str">
        <f t="shared" si="915"/>
        <v>7661094463</v>
      </c>
      <c r="F4946" s="1">
        <v>45044</v>
      </c>
      <c r="G4946" t="str">
        <f t="shared" si="916"/>
        <v>91413</v>
      </c>
      <c r="H4946">
        <v>1</v>
      </c>
      <c r="I4946">
        <v>868</v>
      </c>
      <c r="J4946">
        <v>0</v>
      </c>
      <c r="K4946" t="str">
        <f t="shared" si="917"/>
        <v>813</v>
      </c>
      <c r="L4946">
        <v>729.12</v>
      </c>
    </row>
    <row r="4947" spans="1:12" x14ac:dyDescent="0.25">
      <c r="A4947" t="str">
        <f t="shared" si="913"/>
        <v>89301000</v>
      </c>
      <c r="B4947" t="str">
        <f t="shared" si="904"/>
        <v>06539000</v>
      </c>
      <c r="C4947" t="str">
        <f t="shared" si="914"/>
        <v>06539003</v>
      </c>
      <c r="D4947">
        <v>89301171</v>
      </c>
      <c r="E4947" t="str">
        <f t="shared" si="915"/>
        <v>7661094463</v>
      </c>
      <c r="F4947" s="1">
        <v>45044</v>
      </c>
      <c r="G4947" t="str">
        <f t="shared" si="916"/>
        <v>91413</v>
      </c>
      <c r="H4947">
        <v>1</v>
      </c>
      <c r="I4947">
        <v>868</v>
      </c>
      <c r="J4947">
        <v>0</v>
      </c>
      <c r="K4947" t="str">
        <f t="shared" si="917"/>
        <v>813</v>
      </c>
      <c r="L4947">
        <v>729.12</v>
      </c>
    </row>
    <row r="4948" spans="1:12" x14ac:dyDescent="0.25">
      <c r="A4948" t="str">
        <f t="shared" si="913"/>
        <v>89301000</v>
      </c>
      <c r="B4948" t="str">
        <f t="shared" si="904"/>
        <v>06539000</v>
      </c>
      <c r="C4948" t="str">
        <f t="shared" si="914"/>
        <v>06539003</v>
      </c>
      <c r="D4948">
        <v>89301171</v>
      </c>
      <c r="E4948" t="str">
        <f t="shared" si="915"/>
        <v>7661094463</v>
      </c>
      <c r="F4948" s="1">
        <v>45025</v>
      </c>
      <c r="G4948" t="str">
        <f t="shared" ref="G4948:G4953" si="918">"91197"</f>
        <v>91197</v>
      </c>
      <c r="H4948">
        <v>1</v>
      </c>
      <c r="I4948">
        <v>1048</v>
      </c>
      <c r="J4948">
        <v>0</v>
      </c>
      <c r="K4948" t="str">
        <f t="shared" si="917"/>
        <v>813</v>
      </c>
      <c r="L4948">
        <v>880.32</v>
      </c>
    </row>
    <row r="4949" spans="1:12" x14ac:dyDescent="0.25">
      <c r="A4949" t="str">
        <f t="shared" si="913"/>
        <v>89301000</v>
      </c>
      <c r="B4949" t="str">
        <f t="shared" si="904"/>
        <v>06539000</v>
      </c>
      <c r="C4949" t="str">
        <f t="shared" si="914"/>
        <v>06539003</v>
      </c>
      <c r="D4949">
        <v>89301171</v>
      </c>
      <c r="E4949" t="str">
        <f t="shared" si="915"/>
        <v>7661094463</v>
      </c>
      <c r="F4949" s="1">
        <v>45025</v>
      </c>
      <c r="G4949" t="str">
        <f t="shared" si="918"/>
        <v>91197</v>
      </c>
      <c r="H4949">
        <v>1</v>
      </c>
      <c r="I4949">
        <v>1048</v>
      </c>
      <c r="J4949">
        <v>0</v>
      </c>
      <c r="K4949" t="str">
        <f t="shared" si="917"/>
        <v>813</v>
      </c>
      <c r="L4949">
        <v>880.32</v>
      </c>
    </row>
    <row r="4950" spans="1:12" x14ac:dyDescent="0.25">
      <c r="A4950" t="str">
        <f t="shared" si="913"/>
        <v>89301000</v>
      </c>
      <c r="B4950" t="str">
        <f t="shared" si="904"/>
        <v>06539000</v>
      </c>
      <c r="C4950" t="str">
        <f t="shared" si="914"/>
        <v>06539003</v>
      </c>
      <c r="D4950">
        <v>89301171</v>
      </c>
      <c r="E4950" t="str">
        <f t="shared" si="915"/>
        <v>7661094463</v>
      </c>
      <c r="F4950" s="1">
        <v>45024</v>
      </c>
      <c r="G4950" t="str">
        <f t="shared" si="918"/>
        <v>91197</v>
      </c>
      <c r="H4950">
        <v>1</v>
      </c>
      <c r="I4950">
        <v>1048</v>
      </c>
      <c r="J4950">
        <v>0</v>
      </c>
      <c r="K4950" t="str">
        <f t="shared" si="917"/>
        <v>813</v>
      </c>
      <c r="L4950">
        <v>880.32</v>
      </c>
    </row>
    <row r="4951" spans="1:12" x14ac:dyDescent="0.25">
      <c r="A4951" t="str">
        <f t="shared" si="913"/>
        <v>89301000</v>
      </c>
      <c r="B4951" t="str">
        <f t="shared" si="904"/>
        <v>06539000</v>
      </c>
      <c r="C4951" t="str">
        <f t="shared" si="914"/>
        <v>06539003</v>
      </c>
      <c r="D4951">
        <v>89301171</v>
      </c>
      <c r="E4951" t="str">
        <f t="shared" si="915"/>
        <v>7661094463</v>
      </c>
      <c r="F4951" s="1">
        <v>45024</v>
      </c>
      <c r="G4951" t="str">
        <f t="shared" si="918"/>
        <v>91197</v>
      </c>
      <c r="H4951">
        <v>1</v>
      </c>
      <c r="I4951">
        <v>1048</v>
      </c>
      <c r="J4951">
        <v>0</v>
      </c>
      <c r="K4951" t="str">
        <f t="shared" si="917"/>
        <v>813</v>
      </c>
      <c r="L4951">
        <v>880.32</v>
      </c>
    </row>
    <row r="4952" spans="1:12" x14ac:dyDescent="0.25">
      <c r="A4952" t="str">
        <f t="shared" si="913"/>
        <v>89301000</v>
      </c>
      <c r="B4952" t="str">
        <f t="shared" si="904"/>
        <v>06539000</v>
      </c>
      <c r="C4952" t="str">
        <f t="shared" si="914"/>
        <v>06539003</v>
      </c>
      <c r="D4952">
        <v>89301171</v>
      </c>
      <c r="E4952" t="str">
        <f t="shared" si="915"/>
        <v>7661094463</v>
      </c>
      <c r="F4952" s="1">
        <v>45023</v>
      </c>
      <c r="G4952" t="str">
        <f t="shared" si="918"/>
        <v>91197</v>
      </c>
      <c r="H4952">
        <v>1</v>
      </c>
      <c r="I4952">
        <v>1048</v>
      </c>
      <c r="J4952">
        <v>0</v>
      </c>
      <c r="K4952" t="str">
        <f t="shared" si="917"/>
        <v>813</v>
      </c>
      <c r="L4952">
        <v>880.32</v>
      </c>
    </row>
    <row r="4953" spans="1:12" x14ac:dyDescent="0.25">
      <c r="A4953" t="str">
        <f t="shared" si="913"/>
        <v>89301000</v>
      </c>
      <c r="B4953" t="str">
        <f t="shared" si="904"/>
        <v>06539000</v>
      </c>
      <c r="C4953" t="str">
        <f t="shared" si="914"/>
        <v>06539003</v>
      </c>
      <c r="D4953">
        <v>89301171</v>
      </c>
      <c r="E4953" t="str">
        <f t="shared" si="915"/>
        <v>7661094463</v>
      </c>
      <c r="F4953" s="1">
        <v>45023</v>
      </c>
      <c r="G4953" t="str">
        <f t="shared" si="918"/>
        <v>91197</v>
      </c>
      <c r="H4953">
        <v>1</v>
      </c>
      <c r="I4953">
        <v>1048</v>
      </c>
      <c r="J4953">
        <v>0</v>
      </c>
      <c r="K4953" t="str">
        <f t="shared" si="917"/>
        <v>813</v>
      </c>
      <c r="L4953">
        <v>880.32</v>
      </c>
    </row>
    <row r="4954" spans="1:12" x14ac:dyDescent="0.25">
      <c r="A4954" t="str">
        <f t="shared" si="913"/>
        <v>89301000</v>
      </c>
      <c r="B4954" t="str">
        <f t="shared" si="904"/>
        <v>06539000</v>
      </c>
      <c r="C4954" t="str">
        <f t="shared" si="914"/>
        <v>06539003</v>
      </c>
      <c r="D4954">
        <v>89301171</v>
      </c>
      <c r="E4954" t="str">
        <f t="shared" si="915"/>
        <v>7661094463</v>
      </c>
      <c r="F4954" s="1">
        <v>45044</v>
      </c>
      <c r="G4954" t="str">
        <f>"91329"</f>
        <v>91329</v>
      </c>
      <c r="H4954">
        <v>2</v>
      </c>
      <c r="I4954">
        <v>436</v>
      </c>
      <c r="J4954">
        <v>0</v>
      </c>
      <c r="K4954" t="str">
        <f t="shared" si="917"/>
        <v>813</v>
      </c>
      <c r="L4954">
        <v>366.24</v>
      </c>
    </row>
    <row r="4955" spans="1:12" x14ac:dyDescent="0.25">
      <c r="A4955" t="str">
        <f t="shared" si="913"/>
        <v>89301000</v>
      </c>
      <c r="B4955" t="str">
        <f t="shared" si="904"/>
        <v>06539000</v>
      </c>
      <c r="C4955" t="str">
        <f t="shared" si="914"/>
        <v>06539003</v>
      </c>
      <c r="D4955">
        <v>89301171</v>
      </c>
      <c r="E4955" t="str">
        <f t="shared" si="915"/>
        <v>7661094463</v>
      </c>
      <c r="F4955" s="1">
        <v>45044</v>
      </c>
      <c r="G4955" t="str">
        <f>"91329"</f>
        <v>91329</v>
      </c>
      <c r="H4955">
        <v>2</v>
      </c>
      <c r="I4955">
        <v>436</v>
      </c>
      <c r="J4955">
        <v>0</v>
      </c>
      <c r="K4955" t="str">
        <f t="shared" si="917"/>
        <v>813</v>
      </c>
      <c r="L4955">
        <v>366.24</v>
      </c>
    </row>
    <row r="4956" spans="1:12" x14ac:dyDescent="0.25">
      <c r="A4956" t="str">
        <f t="shared" si="913"/>
        <v>89301000</v>
      </c>
      <c r="B4956" t="str">
        <f t="shared" si="904"/>
        <v>06539000</v>
      </c>
      <c r="C4956" t="str">
        <f t="shared" si="914"/>
        <v>06539003</v>
      </c>
      <c r="D4956">
        <v>89301171</v>
      </c>
      <c r="E4956" t="str">
        <f t="shared" si="915"/>
        <v>7661094463</v>
      </c>
      <c r="F4956" s="1">
        <v>45044</v>
      </c>
      <c r="G4956" t="str">
        <f>"91329"</f>
        <v>91329</v>
      </c>
      <c r="H4956">
        <v>2</v>
      </c>
      <c r="I4956">
        <v>436</v>
      </c>
      <c r="J4956">
        <v>0</v>
      </c>
      <c r="K4956" t="str">
        <f t="shared" si="917"/>
        <v>813</v>
      </c>
      <c r="L4956">
        <v>366.24</v>
      </c>
    </row>
    <row r="4957" spans="1:12" x14ac:dyDescent="0.25">
      <c r="A4957" t="str">
        <f t="shared" si="913"/>
        <v>89301000</v>
      </c>
      <c r="B4957" t="str">
        <f t="shared" si="904"/>
        <v>06539000</v>
      </c>
      <c r="C4957" t="str">
        <f t="shared" si="914"/>
        <v>06539003</v>
      </c>
      <c r="D4957">
        <v>89301171</v>
      </c>
      <c r="E4957" t="str">
        <f t="shared" si="915"/>
        <v>7661094463</v>
      </c>
      <c r="F4957" s="1">
        <v>45044</v>
      </c>
      <c r="G4957" t="str">
        <f>"91329"</f>
        <v>91329</v>
      </c>
      <c r="H4957">
        <v>2</v>
      </c>
      <c r="I4957">
        <v>436</v>
      </c>
      <c r="J4957">
        <v>0</v>
      </c>
      <c r="K4957" t="str">
        <f t="shared" si="917"/>
        <v>813</v>
      </c>
      <c r="L4957">
        <v>366.24</v>
      </c>
    </row>
    <row r="4958" spans="1:12" x14ac:dyDescent="0.25">
      <c r="A4958" t="str">
        <f t="shared" si="913"/>
        <v>89301000</v>
      </c>
      <c r="B4958" t="str">
        <f t="shared" si="904"/>
        <v>06539000</v>
      </c>
      <c r="C4958" t="str">
        <f t="shared" si="914"/>
        <v>06539003</v>
      </c>
      <c r="D4958">
        <v>89301171</v>
      </c>
      <c r="E4958" t="str">
        <f t="shared" si="915"/>
        <v>7661094463</v>
      </c>
      <c r="F4958" s="1">
        <v>45023</v>
      </c>
      <c r="G4958" t="str">
        <f>"91167"</f>
        <v>91167</v>
      </c>
      <c r="H4958">
        <v>1</v>
      </c>
      <c r="I4958">
        <v>426</v>
      </c>
      <c r="J4958">
        <v>0</v>
      </c>
      <c r="K4958" t="str">
        <f t="shared" si="917"/>
        <v>813</v>
      </c>
      <c r="L4958">
        <v>357.84</v>
      </c>
    </row>
    <row r="4959" spans="1:12" x14ac:dyDescent="0.25">
      <c r="A4959" t="str">
        <f t="shared" si="913"/>
        <v>89301000</v>
      </c>
      <c r="B4959" t="str">
        <f t="shared" si="904"/>
        <v>06539000</v>
      </c>
      <c r="C4959" t="str">
        <f t="shared" si="914"/>
        <v>06539003</v>
      </c>
      <c r="D4959">
        <v>89301171</v>
      </c>
      <c r="E4959" t="str">
        <f t="shared" si="915"/>
        <v>7661094463</v>
      </c>
      <c r="F4959" s="1">
        <v>45023</v>
      </c>
      <c r="G4959" t="str">
        <f>"91169"</f>
        <v>91169</v>
      </c>
      <c r="H4959">
        <v>1</v>
      </c>
      <c r="I4959">
        <v>426</v>
      </c>
      <c r="J4959">
        <v>0</v>
      </c>
      <c r="K4959" t="str">
        <f t="shared" si="917"/>
        <v>813</v>
      </c>
      <c r="L4959">
        <v>357.84</v>
      </c>
    </row>
    <row r="4960" spans="1:12" x14ac:dyDescent="0.25">
      <c r="A4960" t="str">
        <f t="shared" si="913"/>
        <v>89301000</v>
      </c>
      <c r="B4960" t="str">
        <f t="shared" si="904"/>
        <v>06539000</v>
      </c>
      <c r="C4960" t="str">
        <f t="shared" si="914"/>
        <v>06539003</v>
      </c>
      <c r="D4960">
        <v>89301171</v>
      </c>
      <c r="E4960" t="str">
        <f t="shared" si="915"/>
        <v>7661094463</v>
      </c>
      <c r="F4960" s="1">
        <v>45044</v>
      </c>
      <c r="G4960" t="str">
        <f>"91475"</f>
        <v>91475</v>
      </c>
      <c r="H4960">
        <v>1</v>
      </c>
      <c r="I4960">
        <v>213</v>
      </c>
      <c r="J4960">
        <v>0</v>
      </c>
      <c r="K4960" t="str">
        <f t="shared" si="917"/>
        <v>813</v>
      </c>
      <c r="L4960">
        <v>178.92</v>
      </c>
    </row>
    <row r="4961" spans="1:12" x14ac:dyDescent="0.25">
      <c r="A4961" t="str">
        <f t="shared" si="913"/>
        <v>89301000</v>
      </c>
      <c r="B4961" t="str">
        <f t="shared" ref="B4961:B4992" si="919">"10510000"</f>
        <v>10510000</v>
      </c>
      <c r="C4961" t="str">
        <f t="shared" ref="C4961:C4992" si="920">"10510001"</f>
        <v>10510001</v>
      </c>
      <c r="D4961">
        <v>89301202</v>
      </c>
      <c r="E4961" t="str">
        <f>"9762135735"</f>
        <v>9762135735</v>
      </c>
      <c r="F4961" s="1">
        <v>45036</v>
      </c>
      <c r="G4961" t="str">
        <f>"82145"</f>
        <v>82145</v>
      </c>
      <c r="H4961">
        <v>1</v>
      </c>
      <c r="I4961">
        <v>59</v>
      </c>
      <c r="J4961">
        <v>0</v>
      </c>
      <c r="K4961" t="str">
        <f t="shared" ref="K4961:K4992" si="921">"802"</f>
        <v>802</v>
      </c>
      <c r="L4961">
        <v>57.23</v>
      </c>
    </row>
    <row r="4962" spans="1:12" x14ac:dyDescent="0.25">
      <c r="A4962" t="str">
        <f t="shared" si="913"/>
        <v>89301000</v>
      </c>
      <c r="B4962" t="str">
        <f t="shared" si="919"/>
        <v>10510000</v>
      </c>
      <c r="C4962" t="str">
        <f t="shared" si="920"/>
        <v>10510001</v>
      </c>
      <c r="D4962">
        <v>89301202</v>
      </c>
      <c r="E4962" t="str">
        <f>"9762135735"</f>
        <v>9762135735</v>
      </c>
      <c r="F4962" s="1">
        <v>45036</v>
      </c>
      <c r="G4962" t="str">
        <f>"82111"</f>
        <v>82111</v>
      </c>
      <c r="H4962">
        <v>1</v>
      </c>
      <c r="I4962">
        <v>37</v>
      </c>
      <c r="J4962">
        <v>0</v>
      </c>
      <c r="K4962" t="str">
        <f t="shared" si="921"/>
        <v>802</v>
      </c>
      <c r="L4962">
        <v>35.89</v>
      </c>
    </row>
    <row r="4963" spans="1:12" x14ac:dyDescent="0.25">
      <c r="A4963" t="str">
        <f t="shared" si="913"/>
        <v>89301000</v>
      </c>
      <c r="B4963" t="str">
        <f t="shared" si="919"/>
        <v>10510000</v>
      </c>
      <c r="C4963" t="str">
        <f t="shared" si="920"/>
        <v>10510001</v>
      </c>
      <c r="D4963">
        <v>89301202</v>
      </c>
      <c r="E4963" t="str">
        <f>"9762135735"</f>
        <v>9762135735</v>
      </c>
      <c r="F4963" s="1">
        <v>45036</v>
      </c>
      <c r="G4963" t="str">
        <f>"82079"</f>
        <v>82079</v>
      </c>
      <c r="H4963">
        <v>1</v>
      </c>
      <c r="I4963">
        <v>333</v>
      </c>
      <c r="J4963">
        <v>0</v>
      </c>
      <c r="K4963" t="str">
        <f t="shared" si="921"/>
        <v>802</v>
      </c>
      <c r="L4963">
        <v>323.01</v>
      </c>
    </row>
    <row r="4964" spans="1:12" x14ac:dyDescent="0.25">
      <c r="A4964" t="str">
        <f t="shared" si="913"/>
        <v>89301000</v>
      </c>
      <c r="B4964" t="str">
        <f t="shared" si="919"/>
        <v>10510000</v>
      </c>
      <c r="C4964" t="str">
        <f t="shared" si="920"/>
        <v>10510001</v>
      </c>
      <c r="D4964">
        <v>89301202</v>
      </c>
      <c r="E4964" t="str">
        <f>"9762135735"</f>
        <v>9762135735</v>
      </c>
      <c r="F4964" s="1">
        <v>45036</v>
      </c>
      <c r="G4964" t="str">
        <f>"82113"</f>
        <v>82113</v>
      </c>
      <c r="H4964">
        <v>1</v>
      </c>
      <c r="I4964">
        <v>363</v>
      </c>
      <c r="J4964">
        <v>0</v>
      </c>
      <c r="K4964" t="str">
        <f t="shared" si="921"/>
        <v>802</v>
      </c>
      <c r="L4964">
        <v>352.11</v>
      </c>
    </row>
    <row r="4965" spans="1:12" x14ac:dyDescent="0.25">
      <c r="A4965" t="str">
        <f t="shared" si="913"/>
        <v>89301000</v>
      </c>
      <c r="B4965" t="str">
        <f t="shared" si="919"/>
        <v>10510000</v>
      </c>
      <c r="C4965" t="str">
        <f t="shared" si="920"/>
        <v>10510001</v>
      </c>
      <c r="D4965">
        <v>89301202</v>
      </c>
      <c r="E4965" t="str">
        <f>"9762135735"</f>
        <v>9762135735</v>
      </c>
      <c r="F4965" s="1">
        <v>45035</v>
      </c>
      <c r="G4965" t="str">
        <f>"97111"</f>
        <v>97111</v>
      </c>
      <c r="H4965">
        <v>1</v>
      </c>
      <c r="I4965">
        <v>19</v>
      </c>
      <c r="J4965">
        <v>0</v>
      </c>
      <c r="K4965" t="str">
        <f t="shared" si="921"/>
        <v>802</v>
      </c>
      <c r="L4965">
        <v>23.94</v>
      </c>
    </row>
    <row r="4966" spans="1:12" x14ac:dyDescent="0.25">
      <c r="A4966" t="str">
        <f t="shared" si="913"/>
        <v>89301000</v>
      </c>
      <c r="B4966" t="str">
        <f t="shared" si="919"/>
        <v>10510000</v>
      </c>
      <c r="C4966" t="str">
        <f t="shared" si="920"/>
        <v>10510001</v>
      </c>
      <c r="D4966">
        <v>89301202</v>
      </c>
      <c r="E4966" t="str">
        <f>"2303180275"</f>
        <v>2303180275</v>
      </c>
      <c r="F4966" s="1">
        <v>45037</v>
      </c>
      <c r="G4966" t="str">
        <f>"82113"</f>
        <v>82113</v>
      </c>
      <c r="H4966">
        <v>1</v>
      </c>
      <c r="I4966">
        <v>363</v>
      </c>
      <c r="J4966">
        <v>0</v>
      </c>
      <c r="K4966" t="str">
        <f t="shared" si="921"/>
        <v>802</v>
      </c>
      <c r="L4966">
        <v>352.11</v>
      </c>
    </row>
    <row r="4967" spans="1:12" x14ac:dyDescent="0.25">
      <c r="A4967" t="str">
        <f t="shared" si="913"/>
        <v>89301000</v>
      </c>
      <c r="B4967" t="str">
        <f t="shared" si="919"/>
        <v>10510000</v>
      </c>
      <c r="C4967" t="str">
        <f t="shared" si="920"/>
        <v>10510001</v>
      </c>
      <c r="D4967">
        <v>89301202</v>
      </c>
      <c r="E4967" t="str">
        <f>"2303180275"</f>
        <v>2303180275</v>
      </c>
      <c r="F4967" s="1">
        <v>45037</v>
      </c>
      <c r="G4967" t="str">
        <f>"82145"</f>
        <v>82145</v>
      </c>
      <c r="H4967">
        <v>1</v>
      </c>
      <c r="I4967">
        <v>59</v>
      </c>
      <c r="J4967">
        <v>0</v>
      </c>
      <c r="K4967" t="str">
        <f t="shared" si="921"/>
        <v>802</v>
      </c>
      <c r="L4967">
        <v>57.23</v>
      </c>
    </row>
    <row r="4968" spans="1:12" x14ac:dyDescent="0.25">
      <c r="A4968" t="str">
        <f t="shared" si="913"/>
        <v>89301000</v>
      </c>
      <c r="B4968" t="str">
        <f t="shared" si="919"/>
        <v>10510000</v>
      </c>
      <c r="C4968" t="str">
        <f t="shared" si="920"/>
        <v>10510001</v>
      </c>
      <c r="D4968">
        <v>89301202</v>
      </c>
      <c r="E4968" t="str">
        <f>"2303180275"</f>
        <v>2303180275</v>
      </c>
      <c r="F4968" s="1">
        <v>45037</v>
      </c>
      <c r="G4968" t="str">
        <f>"82111"</f>
        <v>82111</v>
      </c>
      <c r="H4968">
        <v>1</v>
      </c>
      <c r="I4968">
        <v>37</v>
      </c>
      <c r="J4968">
        <v>0</v>
      </c>
      <c r="K4968" t="str">
        <f t="shared" si="921"/>
        <v>802</v>
      </c>
      <c r="L4968">
        <v>35.89</v>
      </c>
    </row>
    <row r="4969" spans="1:12" x14ac:dyDescent="0.25">
      <c r="A4969" t="str">
        <f t="shared" si="913"/>
        <v>89301000</v>
      </c>
      <c r="B4969" t="str">
        <f t="shared" si="919"/>
        <v>10510000</v>
      </c>
      <c r="C4969" t="str">
        <f t="shared" si="920"/>
        <v>10510001</v>
      </c>
      <c r="D4969">
        <v>89301202</v>
      </c>
      <c r="E4969" t="str">
        <f>"2303180275"</f>
        <v>2303180275</v>
      </c>
      <c r="F4969" s="1">
        <v>45037</v>
      </c>
      <c r="G4969" t="str">
        <f>"82079"</f>
        <v>82079</v>
      </c>
      <c r="H4969">
        <v>1</v>
      </c>
      <c r="I4969">
        <v>333</v>
      </c>
      <c r="J4969">
        <v>0</v>
      </c>
      <c r="K4969" t="str">
        <f t="shared" si="921"/>
        <v>802</v>
      </c>
      <c r="L4969">
        <v>323.01</v>
      </c>
    </row>
    <row r="4970" spans="1:12" x14ac:dyDescent="0.25">
      <c r="A4970" t="str">
        <f t="shared" si="913"/>
        <v>89301000</v>
      </c>
      <c r="B4970" t="str">
        <f t="shared" si="919"/>
        <v>10510000</v>
      </c>
      <c r="C4970" t="str">
        <f t="shared" si="920"/>
        <v>10510001</v>
      </c>
      <c r="D4970">
        <v>89301202</v>
      </c>
      <c r="E4970" t="str">
        <f>"2303180275"</f>
        <v>2303180275</v>
      </c>
      <c r="F4970" s="1">
        <v>45036</v>
      </c>
      <c r="G4970" t="str">
        <f>"97111"</f>
        <v>97111</v>
      </c>
      <c r="H4970">
        <v>1</v>
      </c>
      <c r="I4970">
        <v>19</v>
      </c>
      <c r="J4970">
        <v>0</v>
      </c>
      <c r="K4970" t="str">
        <f t="shared" si="921"/>
        <v>802</v>
      </c>
      <c r="L4970">
        <v>23.94</v>
      </c>
    </row>
    <row r="4971" spans="1:12" x14ac:dyDescent="0.25">
      <c r="A4971" t="str">
        <f t="shared" si="913"/>
        <v>89301000</v>
      </c>
      <c r="B4971" t="str">
        <f t="shared" si="919"/>
        <v>10510000</v>
      </c>
      <c r="C4971" t="str">
        <f t="shared" si="920"/>
        <v>10510001</v>
      </c>
      <c r="D4971">
        <v>89301091</v>
      </c>
      <c r="E4971" t="str">
        <f>"2354230307"</f>
        <v>2354230307</v>
      </c>
      <c r="F4971" s="1">
        <v>45044</v>
      </c>
      <c r="G4971" t="str">
        <f>"82111"</f>
        <v>82111</v>
      </c>
      <c r="H4971">
        <v>1</v>
      </c>
      <c r="I4971">
        <v>37</v>
      </c>
      <c r="J4971">
        <v>0</v>
      </c>
      <c r="K4971" t="str">
        <f t="shared" si="921"/>
        <v>802</v>
      </c>
      <c r="L4971">
        <v>35.89</v>
      </c>
    </row>
    <row r="4972" spans="1:12" x14ac:dyDescent="0.25">
      <c r="A4972" t="str">
        <f t="shared" si="913"/>
        <v>89301000</v>
      </c>
      <c r="B4972" t="str">
        <f t="shared" si="919"/>
        <v>10510000</v>
      </c>
      <c r="C4972" t="str">
        <f t="shared" si="920"/>
        <v>10510001</v>
      </c>
      <c r="D4972">
        <v>89301355</v>
      </c>
      <c r="E4972" t="str">
        <f>"8861086212"</f>
        <v>8861086212</v>
      </c>
      <c r="F4972" s="1">
        <v>45037</v>
      </c>
      <c r="G4972" t="str">
        <f t="shared" ref="G4972:G4977" si="922">"82077"</f>
        <v>82077</v>
      </c>
      <c r="H4972">
        <v>2</v>
      </c>
      <c r="I4972">
        <v>702</v>
      </c>
      <c r="J4972">
        <v>0</v>
      </c>
      <c r="K4972" t="str">
        <f t="shared" si="921"/>
        <v>802</v>
      </c>
      <c r="L4972">
        <v>680.94</v>
      </c>
    </row>
    <row r="4973" spans="1:12" x14ac:dyDescent="0.25">
      <c r="A4973" t="str">
        <f t="shared" si="913"/>
        <v>89301000</v>
      </c>
      <c r="B4973" t="str">
        <f t="shared" si="919"/>
        <v>10510000</v>
      </c>
      <c r="C4973" t="str">
        <f t="shared" si="920"/>
        <v>10510001</v>
      </c>
      <c r="D4973">
        <v>89301355</v>
      </c>
      <c r="E4973" t="str">
        <f>"8861086212"</f>
        <v>8861086212</v>
      </c>
      <c r="F4973" s="1">
        <v>45037</v>
      </c>
      <c r="G4973" t="str">
        <f t="shared" si="922"/>
        <v>82077</v>
      </c>
      <c r="H4973">
        <v>2</v>
      </c>
      <c r="I4973">
        <v>702</v>
      </c>
      <c r="J4973">
        <v>0</v>
      </c>
      <c r="K4973" t="str">
        <f t="shared" si="921"/>
        <v>802</v>
      </c>
      <c r="L4973">
        <v>680.94</v>
      </c>
    </row>
    <row r="4974" spans="1:12" x14ac:dyDescent="0.25">
      <c r="A4974" t="str">
        <f t="shared" si="913"/>
        <v>89301000</v>
      </c>
      <c r="B4974" t="str">
        <f t="shared" si="919"/>
        <v>10510000</v>
      </c>
      <c r="C4974" t="str">
        <f t="shared" si="920"/>
        <v>10510001</v>
      </c>
      <c r="D4974">
        <v>89301355</v>
      </c>
      <c r="E4974" t="str">
        <f>"8861086212"</f>
        <v>8861086212</v>
      </c>
      <c r="F4974" s="1">
        <v>45034</v>
      </c>
      <c r="G4974" t="str">
        <f t="shared" si="922"/>
        <v>82077</v>
      </c>
      <c r="H4974">
        <v>1</v>
      </c>
      <c r="I4974">
        <v>351</v>
      </c>
      <c r="J4974">
        <v>0</v>
      </c>
      <c r="K4974" t="str">
        <f t="shared" si="921"/>
        <v>802</v>
      </c>
      <c r="L4974">
        <v>340.47</v>
      </c>
    </row>
    <row r="4975" spans="1:12" x14ac:dyDescent="0.25">
      <c r="A4975" t="str">
        <f t="shared" si="913"/>
        <v>89301000</v>
      </c>
      <c r="B4975" t="str">
        <f t="shared" si="919"/>
        <v>10510000</v>
      </c>
      <c r="C4975" t="str">
        <f t="shared" si="920"/>
        <v>10510001</v>
      </c>
      <c r="D4975">
        <v>89301355</v>
      </c>
      <c r="E4975" t="str">
        <f>"7858085697"</f>
        <v>7858085697</v>
      </c>
      <c r="F4975" s="1">
        <v>45041</v>
      </c>
      <c r="G4975" t="str">
        <f t="shared" si="922"/>
        <v>82077</v>
      </c>
      <c r="H4975">
        <v>1</v>
      </c>
      <c r="I4975">
        <v>351</v>
      </c>
      <c r="J4975">
        <v>0</v>
      </c>
      <c r="K4975" t="str">
        <f t="shared" si="921"/>
        <v>802</v>
      </c>
      <c r="L4975">
        <v>340.47</v>
      </c>
    </row>
    <row r="4976" spans="1:12" x14ac:dyDescent="0.25">
      <c r="A4976" t="str">
        <f t="shared" si="913"/>
        <v>89301000</v>
      </c>
      <c r="B4976" t="str">
        <f t="shared" si="919"/>
        <v>10510000</v>
      </c>
      <c r="C4976" t="str">
        <f t="shared" si="920"/>
        <v>10510001</v>
      </c>
      <c r="D4976">
        <v>89301355</v>
      </c>
      <c r="E4976" t="str">
        <f>"7858085697"</f>
        <v>7858085697</v>
      </c>
      <c r="F4976" s="1">
        <v>45042</v>
      </c>
      <c r="G4976" t="str">
        <f t="shared" si="922"/>
        <v>82077</v>
      </c>
      <c r="H4976">
        <v>2</v>
      </c>
      <c r="I4976">
        <v>702</v>
      </c>
      <c r="J4976">
        <v>0</v>
      </c>
      <c r="K4976" t="str">
        <f t="shared" si="921"/>
        <v>802</v>
      </c>
      <c r="L4976">
        <v>680.94</v>
      </c>
    </row>
    <row r="4977" spans="1:12" x14ac:dyDescent="0.25">
      <c r="A4977" t="str">
        <f t="shared" si="913"/>
        <v>89301000</v>
      </c>
      <c r="B4977" t="str">
        <f t="shared" si="919"/>
        <v>10510000</v>
      </c>
      <c r="C4977" t="str">
        <f t="shared" si="920"/>
        <v>10510001</v>
      </c>
      <c r="D4977">
        <v>89301355</v>
      </c>
      <c r="E4977" t="str">
        <f>"7858085697"</f>
        <v>7858085697</v>
      </c>
      <c r="F4977" s="1">
        <v>45042</v>
      </c>
      <c r="G4977" t="str">
        <f t="shared" si="922"/>
        <v>82077</v>
      </c>
      <c r="H4977">
        <v>2</v>
      </c>
      <c r="I4977">
        <v>702</v>
      </c>
      <c r="J4977">
        <v>0</v>
      </c>
      <c r="K4977" t="str">
        <f t="shared" si="921"/>
        <v>802</v>
      </c>
      <c r="L4977">
        <v>680.94</v>
      </c>
    </row>
    <row r="4978" spans="1:12" x14ac:dyDescent="0.25">
      <c r="A4978" t="str">
        <f t="shared" si="913"/>
        <v>89301000</v>
      </c>
      <c r="B4978" t="str">
        <f t="shared" si="919"/>
        <v>10510000</v>
      </c>
      <c r="C4978" t="str">
        <f t="shared" si="920"/>
        <v>10510001</v>
      </c>
      <c r="D4978">
        <v>89301082</v>
      </c>
      <c r="E4978" t="str">
        <f>"8905165742"</f>
        <v>8905165742</v>
      </c>
      <c r="F4978" s="1">
        <v>45041</v>
      </c>
      <c r="G4978" t="str">
        <f>"82119"</f>
        <v>82119</v>
      </c>
      <c r="H4978">
        <v>1</v>
      </c>
      <c r="I4978">
        <v>230</v>
      </c>
      <c r="J4978">
        <v>0</v>
      </c>
      <c r="K4978" t="str">
        <f t="shared" si="921"/>
        <v>802</v>
      </c>
      <c r="L4978">
        <v>223.1</v>
      </c>
    </row>
    <row r="4979" spans="1:12" x14ac:dyDescent="0.25">
      <c r="A4979" t="str">
        <f t="shared" si="913"/>
        <v>89301000</v>
      </c>
      <c r="B4979" t="str">
        <f t="shared" si="919"/>
        <v>10510000</v>
      </c>
      <c r="C4979" t="str">
        <f t="shared" si="920"/>
        <v>10510001</v>
      </c>
      <c r="D4979">
        <v>89301082</v>
      </c>
      <c r="E4979" t="str">
        <f>"8905165742"</f>
        <v>8905165742</v>
      </c>
      <c r="F4979" s="1">
        <v>45043</v>
      </c>
      <c r="G4979" t="str">
        <f>"82119"</f>
        <v>82119</v>
      </c>
      <c r="H4979">
        <v>2</v>
      </c>
      <c r="I4979">
        <v>460</v>
      </c>
      <c r="J4979">
        <v>0</v>
      </c>
      <c r="K4979" t="str">
        <f t="shared" si="921"/>
        <v>802</v>
      </c>
      <c r="L4979">
        <v>446.2</v>
      </c>
    </row>
    <row r="4980" spans="1:12" x14ac:dyDescent="0.25">
      <c r="A4980" t="str">
        <f t="shared" si="913"/>
        <v>89301000</v>
      </c>
      <c r="B4980" t="str">
        <f t="shared" si="919"/>
        <v>10510000</v>
      </c>
      <c r="C4980" t="str">
        <f t="shared" si="920"/>
        <v>10510001</v>
      </c>
      <c r="D4980">
        <v>89301082</v>
      </c>
      <c r="E4980" t="str">
        <f>"8905165742"</f>
        <v>8905165742</v>
      </c>
      <c r="F4980" s="1">
        <v>45041</v>
      </c>
      <c r="G4980" t="str">
        <f>"82077"</f>
        <v>82077</v>
      </c>
      <c r="H4980">
        <v>1</v>
      </c>
      <c r="I4980">
        <v>351</v>
      </c>
      <c r="J4980">
        <v>0</v>
      </c>
      <c r="K4980" t="str">
        <f t="shared" si="921"/>
        <v>802</v>
      </c>
      <c r="L4980">
        <v>340.47</v>
      </c>
    </row>
    <row r="4981" spans="1:12" x14ac:dyDescent="0.25">
      <c r="A4981" t="str">
        <f t="shared" si="913"/>
        <v>89301000</v>
      </c>
      <c r="B4981" t="str">
        <f t="shared" si="919"/>
        <v>10510000</v>
      </c>
      <c r="C4981" t="str">
        <f t="shared" si="920"/>
        <v>10510001</v>
      </c>
      <c r="D4981">
        <v>89301082</v>
      </c>
      <c r="E4981" t="str">
        <f>"8905165742"</f>
        <v>8905165742</v>
      </c>
      <c r="F4981" s="1">
        <v>45041</v>
      </c>
      <c r="G4981" t="str">
        <f>"82135"</f>
        <v>82135</v>
      </c>
      <c r="H4981">
        <v>1</v>
      </c>
      <c r="I4981">
        <v>829</v>
      </c>
      <c r="J4981">
        <v>0</v>
      </c>
      <c r="K4981" t="str">
        <f t="shared" si="921"/>
        <v>802</v>
      </c>
      <c r="L4981">
        <v>804.13</v>
      </c>
    </row>
    <row r="4982" spans="1:12" x14ac:dyDescent="0.25">
      <c r="A4982" t="str">
        <f t="shared" si="913"/>
        <v>89301000</v>
      </c>
      <c r="B4982" t="str">
        <f t="shared" si="919"/>
        <v>10510000</v>
      </c>
      <c r="C4982" t="str">
        <f t="shared" si="920"/>
        <v>10510001</v>
      </c>
      <c r="D4982">
        <v>89301311</v>
      </c>
      <c r="E4982" t="str">
        <f>"516217255"</f>
        <v>516217255</v>
      </c>
      <c r="F4982" s="1">
        <v>45019</v>
      </c>
      <c r="G4982" t="str">
        <f>"82077"</f>
        <v>82077</v>
      </c>
      <c r="H4982">
        <v>1</v>
      </c>
      <c r="I4982">
        <v>351</v>
      </c>
      <c r="J4982">
        <v>0</v>
      </c>
      <c r="K4982" t="str">
        <f t="shared" si="921"/>
        <v>802</v>
      </c>
      <c r="L4982">
        <v>340.47</v>
      </c>
    </row>
    <row r="4983" spans="1:12" x14ac:dyDescent="0.25">
      <c r="A4983" t="str">
        <f t="shared" si="913"/>
        <v>89301000</v>
      </c>
      <c r="B4983" t="str">
        <f t="shared" si="919"/>
        <v>10510000</v>
      </c>
      <c r="C4983" t="str">
        <f t="shared" si="920"/>
        <v>10510001</v>
      </c>
      <c r="D4983">
        <v>89301311</v>
      </c>
      <c r="E4983" t="str">
        <f>"516217255"</f>
        <v>516217255</v>
      </c>
      <c r="F4983" s="1">
        <v>45019</v>
      </c>
      <c r="G4983" t="str">
        <f>"82077"</f>
        <v>82077</v>
      </c>
      <c r="H4983">
        <v>1</v>
      </c>
      <c r="I4983">
        <v>351</v>
      </c>
      <c r="J4983">
        <v>0</v>
      </c>
      <c r="K4983" t="str">
        <f t="shared" si="921"/>
        <v>802</v>
      </c>
      <c r="L4983">
        <v>340.47</v>
      </c>
    </row>
    <row r="4984" spans="1:12" x14ac:dyDescent="0.25">
      <c r="A4984" t="str">
        <f t="shared" si="913"/>
        <v>89301000</v>
      </c>
      <c r="B4984" t="str">
        <f t="shared" si="919"/>
        <v>10510000</v>
      </c>
      <c r="C4984" t="str">
        <f t="shared" si="920"/>
        <v>10510001</v>
      </c>
      <c r="D4984">
        <v>89301171</v>
      </c>
      <c r="E4984" t="str">
        <f>"6058121674"</f>
        <v>6058121674</v>
      </c>
      <c r="F4984" s="1">
        <v>44984</v>
      </c>
      <c r="G4984" t="str">
        <f>"82034"</f>
        <v>82034</v>
      </c>
      <c r="H4984">
        <v>1</v>
      </c>
      <c r="I4984">
        <v>354</v>
      </c>
      <c r="J4984">
        <v>0</v>
      </c>
      <c r="K4984" t="str">
        <f t="shared" si="921"/>
        <v>802</v>
      </c>
      <c r="L4984">
        <v>343.38</v>
      </c>
    </row>
    <row r="4985" spans="1:12" x14ac:dyDescent="0.25">
      <c r="A4985" t="str">
        <f t="shared" si="913"/>
        <v>89301000</v>
      </c>
      <c r="B4985" t="str">
        <f t="shared" si="919"/>
        <v>10510000</v>
      </c>
      <c r="C4985" t="str">
        <f t="shared" si="920"/>
        <v>10510001</v>
      </c>
      <c r="D4985">
        <v>89301171</v>
      </c>
      <c r="E4985" t="str">
        <f>"6058121674"</f>
        <v>6058121674</v>
      </c>
      <c r="F4985" s="1">
        <v>44984</v>
      </c>
      <c r="G4985" t="str">
        <f>"82041"</f>
        <v>82041</v>
      </c>
      <c r="H4985">
        <v>1</v>
      </c>
      <c r="I4985">
        <v>1096</v>
      </c>
      <c r="J4985">
        <v>0</v>
      </c>
      <c r="K4985" t="str">
        <f t="shared" si="921"/>
        <v>802</v>
      </c>
      <c r="L4985">
        <v>1063.1199999999999</v>
      </c>
    </row>
    <row r="4986" spans="1:12" x14ac:dyDescent="0.25">
      <c r="A4986" t="str">
        <f t="shared" si="913"/>
        <v>89301000</v>
      </c>
      <c r="B4986" t="str">
        <f t="shared" si="919"/>
        <v>10510000</v>
      </c>
      <c r="C4986" t="str">
        <f t="shared" si="920"/>
        <v>10510001</v>
      </c>
      <c r="D4986">
        <v>89301171</v>
      </c>
      <c r="E4986" t="str">
        <f>"6058121674"</f>
        <v>6058121674</v>
      </c>
      <c r="F4986" s="1">
        <v>44984</v>
      </c>
      <c r="G4986" t="str">
        <f>"82041"</f>
        <v>82041</v>
      </c>
      <c r="H4986">
        <v>1</v>
      </c>
      <c r="I4986">
        <v>1096</v>
      </c>
      <c r="J4986">
        <v>0</v>
      </c>
      <c r="K4986" t="str">
        <f t="shared" si="921"/>
        <v>802</v>
      </c>
      <c r="L4986">
        <v>1063.1199999999999</v>
      </c>
    </row>
    <row r="4987" spans="1:12" x14ac:dyDescent="0.25">
      <c r="A4987" t="str">
        <f t="shared" si="913"/>
        <v>89301000</v>
      </c>
      <c r="B4987" t="str">
        <f t="shared" si="919"/>
        <v>10510000</v>
      </c>
      <c r="C4987" t="str">
        <f t="shared" si="920"/>
        <v>10510001</v>
      </c>
      <c r="D4987">
        <v>89301171</v>
      </c>
      <c r="E4987" t="str">
        <f>"6209170308"</f>
        <v>6209170308</v>
      </c>
      <c r="F4987" s="1">
        <v>45020</v>
      </c>
      <c r="G4987" t="str">
        <f>"82034"</f>
        <v>82034</v>
      </c>
      <c r="H4987">
        <v>1</v>
      </c>
      <c r="I4987">
        <v>354</v>
      </c>
      <c r="J4987">
        <v>0</v>
      </c>
      <c r="K4987" t="str">
        <f t="shared" si="921"/>
        <v>802</v>
      </c>
      <c r="L4987">
        <v>343.38</v>
      </c>
    </row>
    <row r="4988" spans="1:12" x14ac:dyDescent="0.25">
      <c r="A4988" t="str">
        <f t="shared" si="913"/>
        <v>89301000</v>
      </c>
      <c r="B4988" t="str">
        <f t="shared" si="919"/>
        <v>10510000</v>
      </c>
      <c r="C4988" t="str">
        <f t="shared" si="920"/>
        <v>10510001</v>
      </c>
      <c r="D4988">
        <v>89301171</v>
      </c>
      <c r="E4988" t="str">
        <f>"6209170308"</f>
        <v>6209170308</v>
      </c>
      <c r="F4988" s="1">
        <v>45020</v>
      </c>
      <c r="G4988" t="str">
        <f>"82041"</f>
        <v>82041</v>
      </c>
      <c r="H4988">
        <v>1</v>
      </c>
      <c r="I4988">
        <v>1096</v>
      </c>
      <c r="J4988">
        <v>0</v>
      </c>
      <c r="K4988" t="str">
        <f t="shared" si="921"/>
        <v>802</v>
      </c>
      <c r="L4988">
        <v>1063.1199999999999</v>
      </c>
    </row>
    <row r="4989" spans="1:12" x14ac:dyDescent="0.25">
      <c r="A4989" t="str">
        <f t="shared" si="913"/>
        <v>89301000</v>
      </c>
      <c r="B4989" t="str">
        <f t="shared" si="919"/>
        <v>10510000</v>
      </c>
      <c r="C4989" t="str">
        <f t="shared" si="920"/>
        <v>10510001</v>
      </c>
      <c r="D4989">
        <v>89301171</v>
      </c>
      <c r="E4989" t="str">
        <f>"6209170308"</f>
        <v>6209170308</v>
      </c>
      <c r="F4989" s="1">
        <v>45020</v>
      </c>
      <c r="G4989" t="str">
        <f>"82041"</f>
        <v>82041</v>
      </c>
      <c r="H4989">
        <v>1</v>
      </c>
      <c r="I4989">
        <v>1096</v>
      </c>
      <c r="J4989">
        <v>0</v>
      </c>
      <c r="K4989" t="str">
        <f t="shared" si="921"/>
        <v>802</v>
      </c>
      <c r="L4989">
        <v>1063.1199999999999</v>
      </c>
    </row>
    <row r="4990" spans="1:12" x14ac:dyDescent="0.25">
      <c r="A4990" t="str">
        <f t="shared" si="913"/>
        <v>89301000</v>
      </c>
      <c r="B4990" t="str">
        <f t="shared" si="919"/>
        <v>10510000</v>
      </c>
      <c r="C4990" t="str">
        <f t="shared" si="920"/>
        <v>10510001</v>
      </c>
      <c r="D4990">
        <v>89301171</v>
      </c>
      <c r="E4990" t="str">
        <f>"7356025380"</f>
        <v>7356025380</v>
      </c>
      <c r="F4990" s="1">
        <v>45027</v>
      </c>
      <c r="G4990" t="str">
        <f>"82034"</f>
        <v>82034</v>
      </c>
      <c r="H4990">
        <v>1</v>
      </c>
      <c r="I4990">
        <v>354</v>
      </c>
      <c r="J4990">
        <v>0</v>
      </c>
      <c r="K4990" t="str">
        <f t="shared" si="921"/>
        <v>802</v>
      </c>
      <c r="L4990">
        <v>343.38</v>
      </c>
    </row>
    <row r="4991" spans="1:12" x14ac:dyDescent="0.25">
      <c r="A4991" t="str">
        <f t="shared" si="913"/>
        <v>89301000</v>
      </c>
      <c r="B4991" t="str">
        <f t="shared" si="919"/>
        <v>10510000</v>
      </c>
      <c r="C4991" t="str">
        <f t="shared" si="920"/>
        <v>10510001</v>
      </c>
      <c r="D4991">
        <v>89301171</v>
      </c>
      <c r="E4991" t="str">
        <f>"7356025380"</f>
        <v>7356025380</v>
      </c>
      <c r="F4991" s="1">
        <v>45027</v>
      </c>
      <c r="G4991" t="str">
        <f>"82041"</f>
        <v>82041</v>
      </c>
      <c r="H4991">
        <v>1</v>
      </c>
      <c r="I4991">
        <v>1096</v>
      </c>
      <c r="J4991">
        <v>0</v>
      </c>
      <c r="K4991" t="str">
        <f t="shared" si="921"/>
        <v>802</v>
      </c>
      <c r="L4991">
        <v>1063.1199999999999</v>
      </c>
    </row>
    <row r="4992" spans="1:12" x14ac:dyDescent="0.25">
      <c r="A4992" t="str">
        <f t="shared" si="913"/>
        <v>89301000</v>
      </c>
      <c r="B4992" t="str">
        <f t="shared" si="919"/>
        <v>10510000</v>
      </c>
      <c r="C4992" t="str">
        <f t="shared" si="920"/>
        <v>10510001</v>
      </c>
      <c r="D4992">
        <v>89301171</v>
      </c>
      <c r="E4992" t="str">
        <f>"7356025380"</f>
        <v>7356025380</v>
      </c>
      <c r="F4992" s="1">
        <v>45027</v>
      </c>
      <c r="G4992" t="str">
        <f>"82041"</f>
        <v>82041</v>
      </c>
      <c r="H4992">
        <v>1</v>
      </c>
      <c r="I4992">
        <v>1096</v>
      </c>
      <c r="J4992">
        <v>0</v>
      </c>
      <c r="K4992" t="str">
        <f t="shared" si="921"/>
        <v>802</v>
      </c>
      <c r="L4992">
        <v>1063.1199999999999</v>
      </c>
    </row>
    <row r="4993" spans="1:12" x14ac:dyDescent="0.25">
      <c r="A4993" t="str">
        <f t="shared" si="913"/>
        <v>89301000</v>
      </c>
      <c r="B4993" t="str">
        <f t="shared" ref="B4993:B5013" si="923">"10510000"</f>
        <v>10510000</v>
      </c>
      <c r="C4993" t="str">
        <f t="shared" ref="C4993:C5013" si="924">"10510001"</f>
        <v>10510001</v>
      </c>
      <c r="D4993">
        <v>89301171</v>
      </c>
      <c r="E4993" t="str">
        <f>"7661094463"</f>
        <v>7661094463</v>
      </c>
      <c r="F4993" s="1">
        <v>45027</v>
      </c>
      <c r="G4993" t="str">
        <f>"82041"</f>
        <v>82041</v>
      </c>
      <c r="H4993">
        <v>1</v>
      </c>
      <c r="I4993">
        <v>1096</v>
      </c>
      <c r="J4993">
        <v>0</v>
      </c>
      <c r="K4993" t="str">
        <f t="shared" ref="K4993:K5013" si="925">"802"</f>
        <v>802</v>
      </c>
      <c r="L4993">
        <v>1063.1199999999999</v>
      </c>
    </row>
    <row r="4994" spans="1:12" x14ac:dyDescent="0.25">
      <c r="A4994" t="str">
        <f t="shared" ref="A4994:A5057" si="926">"89301000"</f>
        <v>89301000</v>
      </c>
      <c r="B4994" t="str">
        <f t="shared" si="923"/>
        <v>10510000</v>
      </c>
      <c r="C4994" t="str">
        <f t="shared" si="924"/>
        <v>10510001</v>
      </c>
      <c r="D4994">
        <v>89301171</v>
      </c>
      <c r="E4994" t="str">
        <f>"7661094463"</f>
        <v>7661094463</v>
      </c>
      <c r="F4994" s="1">
        <v>45027</v>
      </c>
      <c r="G4994" t="str">
        <f>"82041"</f>
        <v>82041</v>
      </c>
      <c r="H4994">
        <v>1</v>
      </c>
      <c r="I4994">
        <v>1096</v>
      </c>
      <c r="J4994">
        <v>0</v>
      </c>
      <c r="K4994" t="str">
        <f t="shared" si="925"/>
        <v>802</v>
      </c>
      <c r="L4994">
        <v>1063.1199999999999</v>
      </c>
    </row>
    <row r="4995" spans="1:12" x14ac:dyDescent="0.25">
      <c r="A4995" t="str">
        <f t="shared" si="926"/>
        <v>89301000</v>
      </c>
      <c r="B4995" t="str">
        <f t="shared" si="923"/>
        <v>10510000</v>
      </c>
      <c r="C4995" t="str">
        <f t="shared" si="924"/>
        <v>10510001</v>
      </c>
      <c r="D4995">
        <v>89301171</v>
      </c>
      <c r="E4995" t="str">
        <f>"7661094463"</f>
        <v>7661094463</v>
      </c>
      <c r="F4995" s="1">
        <v>45027</v>
      </c>
      <c r="G4995" t="str">
        <f>"82034"</f>
        <v>82034</v>
      </c>
      <c r="H4995">
        <v>1</v>
      </c>
      <c r="I4995">
        <v>354</v>
      </c>
      <c r="J4995">
        <v>0</v>
      </c>
      <c r="K4995" t="str">
        <f t="shared" si="925"/>
        <v>802</v>
      </c>
      <c r="L4995">
        <v>343.38</v>
      </c>
    </row>
    <row r="4996" spans="1:12" x14ac:dyDescent="0.25">
      <c r="A4996" t="str">
        <f t="shared" si="926"/>
        <v>89301000</v>
      </c>
      <c r="B4996" t="str">
        <f t="shared" si="923"/>
        <v>10510000</v>
      </c>
      <c r="C4996" t="str">
        <f t="shared" si="924"/>
        <v>10510001</v>
      </c>
      <c r="D4996">
        <v>89301171</v>
      </c>
      <c r="E4996" t="str">
        <f>"6959164465"</f>
        <v>6959164465</v>
      </c>
      <c r="F4996" s="1">
        <v>45027</v>
      </c>
      <c r="G4996" t="str">
        <f>"82034"</f>
        <v>82034</v>
      </c>
      <c r="H4996">
        <v>1</v>
      </c>
      <c r="I4996">
        <v>354</v>
      </c>
      <c r="J4996">
        <v>0</v>
      </c>
      <c r="K4996" t="str">
        <f t="shared" si="925"/>
        <v>802</v>
      </c>
      <c r="L4996">
        <v>343.38</v>
      </c>
    </row>
    <row r="4997" spans="1:12" x14ac:dyDescent="0.25">
      <c r="A4997" t="str">
        <f t="shared" si="926"/>
        <v>89301000</v>
      </c>
      <c r="B4997" t="str">
        <f t="shared" si="923"/>
        <v>10510000</v>
      </c>
      <c r="C4997" t="str">
        <f t="shared" si="924"/>
        <v>10510001</v>
      </c>
      <c r="D4997">
        <v>89301171</v>
      </c>
      <c r="E4997" t="str">
        <f>"6959164465"</f>
        <v>6959164465</v>
      </c>
      <c r="F4997" s="1">
        <v>45027</v>
      </c>
      <c r="G4997" t="str">
        <f>"82041"</f>
        <v>82041</v>
      </c>
      <c r="H4997">
        <v>1</v>
      </c>
      <c r="I4997">
        <v>1096</v>
      </c>
      <c r="J4997">
        <v>0</v>
      </c>
      <c r="K4997" t="str">
        <f t="shared" si="925"/>
        <v>802</v>
      </c>
      <c r="L4997">
        <v>1063.1199999999999</v>
      </c>
    </row>
    <row r="4998" spans="1:12" x14ac:dyDescent="0.25">
      <c r="A4998" t="str">
        <f t="shared" si="926"/>
        <v>89301000</v>
      </c>
      <c r="B4998" t="str">
        <f t="shared" si="923"/>
        <v>10510000</v>
      </c>
      <c r="C4998" t="str">
        <f t="shared" si="924"/>
        <v>10510001</v>
      </c>
      <c r="D4998">
        <v>89301171</v>
      </c>
      <c r="E4998" t="str">
        <f>"6959164465"</f>
        <v>6959164465</v>
      </c>
      <c r="F4998" s="1">
        <v>45027</v>
      </c>
      <c r="G4998" t="str">
        <f>"82041"</f>
        <v>82041</v>
      </c>
      <c r="H4998">
        <v>1</v>
      </c>
      <c r="I4998">
        <v>1096</v>
      </c>
      <c r="J4998">
        <v>0</v>
      </c>
      <c r="K4998" t="str">
        <f t="shared" si="925"/>
        <v>802</v>
      </c>
      <c r="L4998">
        <v>1063.1199999999999</v>
      </c>
    </row>
    <row r="4999" spans="1:12" x14ac:dyDescent="0.25">
      <c r="A4999" t="str">
        <f t="shared" si="926"/>
        <v>89301000</v>
      </c>
      <c r="B4999" t="str">
        <f t="shared" si="923"/>
        <v>10510000</v>
      </c>
      <c r="C4999" t="str">
        <f t="shared" si="924"/>
        <v>10510001</v>
      </c>
      <c r="D4999">
        <v>89301171</v>
      </c>
      <c r="E4999" t="str">
        <f>"0112186140"</f>
        <v>0112186140</v>
      </c>
      <c r="F4999" s="1">
        <v>45030</v>
      </c>
      <c r="G4999" t="str">
        <f>"82034"</f>
        <v>82034</v>
      </c>
      <c r="H4999">
        <v>1</v>
      </c>
      <c r="I4999">
        <v>354</v>
      </c>
      <c r="J4999">
        <v>0</v>
      </c>
      <c r="K4999" t="str">
        <f t="shared" si="925"/>
        <v>802</v>
      </c>
      <c r="L4999">
        <v>343.38</v>
      </c>
    </row>
    <row r="5000" spans="1:12" x14ac:dyDescent="0.25">
      <c r="A5000" t="str">
        <f t="shared" si="926"/>
        <v>89301000</v>
      </c>
      <c r="B5000" t="str">
        <f t="shared" si="923"/>
        <v>10510000</v>
      </c>
      <c r="C5000" t="str">
        <f t="shared" si="924"/>
        <v>10510001</v>
      </c>
      <c r="D5000">
        <v>89301171</v>
      </c>
      <c r="E5000" t="str">
        <f>"0112186140"</f>
        <v>0112186140</v>
      </c>
      <c r="F5000" s="1">
        <v>45030</v>
      </c>
      <c r="G5000" t="str">
        <f>"82041"</f>
        <v>82041</v>
      </c>
      <c r="H5000">
        <v>1</v>
      </c>
      <c r="I5000">
        <v>1096</v>
      </c>
      <c r="J5000">
        <v>0</v>
      </c>
      <c r="K5000" t="str">
        <f t="shared" si="925"/>
        <v>802</v>
      </c>
      <c r="L5000">
        <v>1063.1199999999999</v>
      </c>
    </row>
    <row r="5001" spans="1:12" x14ac:dyDescent="0.25">
      <c r="A5001" t="str">
        <f t="shared" si="926"/>
        <v>89301000</v>
      </c>
      <c r="B5001" t="str">
        <f t="shared" si="923"/>
        <v>10510000</v>
      </c>
      <c r="C5001" t="str">
        <f t="shared" si="924"/>
        <v>10510001</v>
      </c>
      <c r="D5001">
        <v>89301171</v>
      </c>
      <c r="E5001" t="str">
        <f>"0112186140"</f>
        <v>0112186140</v>
      </c>
      <c r="F5001" s="1">
        <v>45030</v>
      </c>
      <c r="G5001" t="str">
        <f>"82041"</f>
        <v>82041</v>
      </c>
      <c r="H5001">
        <v>1</v>
      </c>
      <c r="I5001">
        <v>1096</v>
      </c>
      <c r="J5001">
        <v>0</v>
      </c>
      <c r="K5001" t="str">
        <f t="shared" si="925"/>
        <v>802</v>
      </c>
      <c r="L5001">
        <v>1063.1199999999999</v>
      </c>
    </row>
    <row r="5002" spans="1:12" x14ac:dyDescent="0.25">
      <c r="A5002" t="str">
        <f t="shared" si="926"/>
        <v>89301000</v>
      </c>
      <c r="B5002" t="str">
        <f t="shared" si="923"/>
        <v>10510000</v>
      </c>
      <c r="C5002" t="str">
        <f t="shared" si="924"/>
        <v>10510001</v>
      </c>
      <c r="D5002">
        <v>89301172</v>
      </c>
      <c r="E5002" t="str">
        <f>"470127402"</f>
        <v>470127402</v>
      </c>
      <c r="F5002" s="1">
        <v>45035</v>
      </c>
      <c r="G5002" t="str">
        <f>"82041"</f>
        <v>82041</v>
      </c>
      <c r="H5002">
        <v>1</v>
      </c>
      <c r="I5002">
        <v>1096</v>
      </c>
      <c r="J5002">
        <v>0</v>
      </c>
      <c r="K5002" t="str">
        <f t="shared" si="925"/>
        <v>802</v>
      </c>
      <c r="L5002">
        <v>1063.1199999999999</v>
      </c>
    </row>
    <row r="5003" spans="1:12" x14ac:dyDescent="0.25">
      <c r="A5003" t="str">
        <f t="shared" si="926"/>
        <v>89301000</v>
      </c>
      <c r="B5003" t="str">
        <f t="shared" si="923"/>
        <v>10510000</v>
      </c>
      <c r="C5003" t="str">
        <f t="shared" si="924"/>
        <v>10510001</v>
      </c>
      <c r="D5003">
        <v>89301172</v>
      </c>
      <c r="E5003" t="str">
        <f>"470127402"</f>
        <v>470127402</v>
      </c>
      <c r="F5003" s="1">
        <v>45035</v>
      </c>
      <c r="G5003" t="str">
        <f>"82041"</f>
        <v>82041</v>
      </c>
      <c r="H5003">
        <v>1</v>
      </c>
      <c r="I5003">
        <v>1096</v>
      </c>
      <c r="J5003">
        <v>0</v>
      </c>
      <c r="K5003" t="str">
        <f t="shared" si="925"/>
        <v>802</v>
      </c>
      <c r="L5003">
        <v>1063.1199999999999</v>
      </c>
    </row>
    <row r="5004" spans="1:12" x14ac:dyDescent="0.25">
      <c r="A5004" t="str">
        <f t="shared" si="926"/>
        <v>89301000</v>
      </c>
      <c r="B5004" t="str">
        <f t="shared" si="923"/>
        <v>10510000</v>
      </c>
      <c r="C5004" t="str">
        <f t="shared" si="924"/>
        <v>10510001</v>
      </c>
      <c r="D5004">
        <v>89301172</v>
      </c>
      <c r="E5004" t="str">
        <f>"470127402"</f>
        <v>470127402</v>
      </c>
      <c r="F5004" s="1">
        <v>45035</v>
      </c>
      <c r="G5004" t="str">
        <f>"82034"</f>
        <v>82034</v>
      </c>
      <c r="H5004">
        <v>1</v>
      </c>
      <c r="I5004">
        <v>354</v>
      </c>
      <c r="J5004">
        <v>0</v>
      </c>
      <c r="K5004" t="str">
        <f t="shared" si="925"/>
        <v>802</v>
      </c>
      <c r="L5004">
        <v>343.38</v>
      </c>
    </row>
    <row r="5005" spans="1:12" x14ac:dyDescent="0.25">
      <c r="A5005" t="str">
        <f t="shared" si="926"/>
        <v>89301000</v>
      </c>
      <c r="B5005" t="str">
        <f t="shared" si="923"/>
        <v>10510000</v>
      </c>
      <c r="C5005" t="str">
        <f t="shared" si="924"/>
        <v>10510001</v>
      </c>
      <c r="D5005">
        <v>89301171</v>
      </c>
      <c r="E5005" t="str">
        <f>"6754046244"</f>
        <v>6754046244</v>
      </c>
      <c r="F5005" s="1">
        <v>45041</v>
      </c>
      <c r="G5005" t="str">
        <f>"82034"</f>
        <v>82034</v>
      </c>
      <c r="H5005">
        <v>1</v>
      </c>
      <c r="I5005">
        <v>354</v>
      </c>
      <c r="J5005">
        <v>0</v>
      </c>
      <c r="K5005" t="str">
        <f t="shared" si="925"/>
        <v>802</v>
      </c>
      <c r="L5005">
        <v>343.38</v>
      </c>
    </row>
    <row r="5006" spans="1:12" x14ac:dyDescent="0.25">
      <c r="A5006" t="str">
        <f t="shared" si="926"/>
        <v>89301000</v>
      </c>
      <c r="B5006" t="str">
        <f t="shared" si="923"/>
        <v>10510000</v>
      </c>
      <c r="C5006" t="str">
        <f t="shared" si="924"/>
        <v>10510001</v>
      </c>
      <c r="D5006">
        <v>89301171</v>
      </c>
      <c r="E5006" t="str">
        <f>"6754046244"</f>
        <v>6754046244</v>
      </c>
      <c r="F5006" s="1">
        <v>45041</v>
      </c>
      <c r="G5006" t="str">
        <f>"82041"</f>
        <v>82041</v>
      </c>
      <c r="H5006">
        <v>1</v>
      </c>
      <c r="I5006">
        <v>1096</v>
      </c>
      <c r="J5006">
        <v>0</v>
      </c>
      <c r="K5006" t="str">
        <f t="shared" si="925"/>
        <v>802</v>
      </c>
      <c r="L5006">
        <v>1063.1199999999999</v>
      </c>
    </row>
    <row r="5007" spans="1:12" x14ac:dyDescent="0.25">
      <c r="A5007" t="str">
        <f t="shared" si="926"/>
        <v>89301000</v>
      </c>
      <c r="B5007" t="str">
        <f t="shared" si="923"/>
        <v>10510000</v>
      </c>
      <c r="C5007" t="str">
        <f t="shared" si="924"/>
        <v>10510001</v>
      </c>
      <c r="D5007">
        <v>89301171</v>
      </c>
      <c r="E5007" t="str">
        <f>"6754046244"</f>
        <v>6754046244</v>
      </c>
      <c r="F5007" s="1">
        <v>45041</v>
      </c>
      <c r="G5007" t="str">
        <f>"82041"</f>
        <v>82041</v>
      </c>
      <c r="H5007">
        <v>1</v>
      </c>
      <c r="I5007">
        <v>1096</v>
      </c>
      <c r="J5007">
        <v>0</v>
      </c>
      <c r="K5007" t="str">
        <f t="shared" si="925"/>
        <v>802</v>
      </c>
      <c r="L5007">
        <v>1063.1199999999999</v>
      </c>
    </row>
    <row r="5008" spans="1:12" x14ac:dyDescent="0.25">
      <c r="A5008" t="str">
        <f t="shared" si="926"/>
        <v>89301000</v>
      </c>
      <c r="B5008" t="str">
        <f t="shared" si="923"/>
        <v>10510000</v>
      </c>
      <c r="C5008" t="str">
        <f t="shared" si="924"/>
        <v>10510001</v>
      </c>
      <c r="D5008">
        <v>89301171</v>
      </c>
      <c r="E5008" t="str">
        <f>"6411231464"</f>
        <v>6411231464</v>
      </c>
      <c r="F5008" s="1">
        <v>45041</v>
      </c>
      <c r="G5008" t="str">
        <f>"82034"</f>
        <v>82034</v>
      </c>
      <c r="H5008">
        <v>1</v>
      </c>
      <c r="I5008">
        <v>354</v>
      </c>
      <c r="J5008">
        <v>0</v>
      </c>
      <c r="K5008" t="str">
        <f t="shared" si="925"/>
        <v>802</v>
      </c>
      <c r="L5008">
        <v>343.38</v>
      </c>
    </row>
    <row r="5009" spans="1:12" x14ac:dyDescent="0.25">
      <c r="A5009" t="str">
        <f t="shared" si="926"/>
        <v>89301000</v>
      </c>
      <c r="B5009" t="str">
        <f t="shared" si="923"/>
        <v>10510000</v>
      </c>
      <c r="C5009" t="str">
        <f t="shared" si="924"/>
        <v>10510001</v>
      </c>
      <c r="D5009">
        <v>89301171</v>
      </c>
      <c r="E5009" t="str">
        <f>"6411231464"</f>
        <v>6411231464</v>
      </c>
      <c r="F5009" s="1">
        <v>45041</v>
      </c>
      <c r="G5009" t="str">
        <f>"82041"</f>
        <v>82041</v>
      </c>
      <c r="H5009">
        <v>1</v>
      </c>
      <c r="I5009">
        <v>1096</v>
      </c>
      <c r="J5009">
        <v>0</v>
      </c>
      <c r="K5009" t="str">
        <f t="shared" si="925"/>
        <v>802</v>
      </c>
      <c r="L5009">
        <v>1063.1199999999999</v>
      </c>
    </row>
    <row r="5010" spans="1:12" x14ac:dyDescent="0.25">
      <c r="A5010" t="str">
        <f t="shared" si="926"/>
        <v>89301000</v>
      </c>
      <c r="B5010" t="str">
        <f t="shared" si="923"/>
        <v>10510000</v>
      </c>
      <c r="C5010" t="str">
        <f t="shared" si="924"/>
        <v>10510001</v>
      </c>
      <c r="D5010">
        <v>89301171</v>
      </c>
      <c r="E5010" t="str">
        <f>"6411231464"</f>
        <v>6411231464</v>
      </c>
      <c r="F5010" s="1">
        <v>45041</v>
      </c>
      <c r="G5010" t="str">
        <f>"82041"</f>
        <v>82041</v>
      </c>
      <c r="H5010">
        <v>1</v>
      </c>
      <c r="I5010">
        <v>1096</v>
      </c>
      <c r="J5010">
        <v>0</v>
      </c>
      <c r="K5010" t="str">
        <f t="shared" si="925"/>
        <v>802</v>
      </c>
      <c r="L5010">
        <v>1063.1199999999999</v>
      </c>
    </row>
    <row r="5011" spans="1:12" x14ac:dyDescent="0.25">
      <c r="A5011" t="str">
        <f t="shared" si="926"/>
        <v>89301000</v>
      </c>
      <c r="B5011" t="str">
        <f t="shared" si="923"/>
        <v>10510000</v>
      </c>
      <c r="C5011" t="str">
        <f t="shared" si="924"/>
        <v>10510001</v>
      </c>
      <c r="D5011">
        <v>89301172</v>
      </c>
      <c r="E5011" t="str">
        <f>"8411235360"</f>
        <v>8411235360</v>
      </c>
      <c r="F5011" s="1">
        <v>45041</v>
      </c>
      <c r="G5011" t="str">
        <f>"82041"</f>
        <v>82041</v>
      </c>
      <c r="H5011">
        <v>1</v>
      </c>
      <c r="I5011">
        <v>1096</v>
      </c>
      <c r="J5011">
        <v>0</v>
      </c>
      <c r="K5011" t="str">
        <f t="shared" si="925"/>
        <v>802</v>
      </c>
      <c r="L5011">
        <v>1063.1199999999999</v>
      </c>
    </row>
    <row r="5012" spans="1:12" x14ac:dyDescent="0.25">
      <c r="A5012" t="str">
        <f t="shared" si="926"/>
        <v>89301000</v>
      </c>
      <c r="B5012" t="str">
        <f t="shared" si="923"/>
        <v>10510000</v>
      </c>
      <c r="C5012" t="str">
        <f t="shared" si="924"/>
        <v>10510001</v>
      </c>
      <c r="D5012">
        <v>89301172</v>
      </c>
      <c r="E5012" t="str">
        <f>"8411235360"</f>
        <v>8411235360</v>
      </c>
      <c r="F5012" s="1">
        <v>45041</v>
      </c>
      <c r="G5012" t="str">
        <f>"82041"</f>
        <v>82041</v>
      </c>
      <c r="H5012">
        <v>1</v>
      </c>
      <c r="I5012">
        <v>1096</v>
      </c>
      <c r="J5012">
        <v>0</v>
      </c>
      <c r="K5012" t="str">
        <f t="shared" si="925"/>
        <v>802</v>
      </c>
      <c r="L5012">
        <v>1063.1199999999999</v>
      </c>
    </row>
    <row r="5013" spans="1:12" x14ac:dyDescent="0.25">
      <c r="A5013" t="str">
        <f t="shared" si="926"/>
        <v>89301000</v>
      </c>
      <c r="B5013" t="str">
        <f t="shared" si="923"/>
        <v>10510000</v>
      </c>
      <c r="C5013" t="str">
        <f t="shared" si="924"/>
        <v>10510001</v>
      </c>
      <c r="D5013">
        <v>89301172</v>
      </c>
      <c r="E5013" t="str">
        <f>"8411235360"</f>
        <v>8411235360</v>
      </c>
      <c r="F5013" s="1">
        <v>45041</v>
      </c>
      <c r="G5013" t="str">
        <f>"82034"</f>
        <v>82034</v>
      </c>
      <c r="H5013">
        <v>1</v>
      </c>
      <c r="I5013">
        <v>354</v>
      </c>
      <c r="J5013">
        <v>0</v>
      </c>
      <c r="K5013" t="str">
        <f t="shared" si="925"/>
        <v>802</v>
      </c>
      <c r="L5013">
        <v>343.38</v>
      </c>
    </row>
    <row r="5014" spans="1:12" x14ac:dyDescent="0.25">
      <c r="A5014" t="str">
        <f t="shared" si="926"/>
        <v>89301000</v>
      </c>
      <c r="B5014" t="str">
        <f>"77140000"</f>
        <v>77140000</v>
      </c>
      <c r="C5014" t="str">
        <f>"77140001"</f>
        <v>77140001</v>
      </c>
      <c r="D5014">
        <v>89301212</v>
      </c>
      <c r="E5014" t="str">
        <f>"8651204848"</f>
        <v>8651204848</v>
      </c>
      <c r="F5014" s="1">
        <v>45021</v>
      </c>
      <c r="G5014" t="str">
        <f>"89513"</f>
        <v>89513</v>
      </c>
      <c r="H5014">
        <v>1</v>
      </c>
      <c r="I5014">
        <v>378</v>
      </c>
      <c r="J5014">
        <v>0</v>
      </c>
      <c r="K5014" t="str">
        <f t="shared" ref="K5014:K5056" si="927">"809"</f>
        <v>809</v>
      </c>
      <c r="L5014">
        <v>555.66</v>
      </c>
    </row>
    <row r="5015" spans="1:12" x14ac:dyDescent="0.25">
      <c r="A5015" t="str">
        <f t="shared" si="926"/>
        <v>89301000</v>
      </c>
      <c r="B5015" t="str">
        <f>"77140000"</f>
        <v>77140000</v>
      </c>
      <c r="C5015" t="str">
        <f>"77140001"</f>
        <v>77140001</v>
      </c>
      <c r="D5015">
        <v>89301212</v>
      </c>
      <c r="E5015" t="str">
        <f>"8651204848"</f>
        <v>8651204848</v>
      </c>
      <c r="F5015" s="1">
        <v>45021</v>
      </c>
      <c r="G5015" t="str">
        <f>"89514"</f>
        <v>89514</v>
      </c>
      <c r="H5015">
        <v>1</v>
      </c>
      <c r="I5015">
        <v>378</v>
      </c>
      <c r="J5015">
        <v>0</v>
      </c>
      <c r="K5015" t="str">
        <f t="shared" si="927"/>
        <v>809</v>
      </c>
      <c r="L5015">
        <v>555.66</v>
      </c>
    </row>
    <row r="5016" spans="1:12" x14ac:dyDescent="0.25">
      <c r="A5016" t="str">
        <f t="shared" si="926"/>
        <v>89301000</v>
      </c>
      <c r="B5016" t="str">
        <f>"77140000"</f>
        <v>77140000</v>
      </c>
      <c r="C5016" t="str">
        <f>"77140001"</f>
        <v>77140001</v>
      </c>
      <c r="D5016">
        <v>89301322</v>
      </c>
      <c r="E5016" t="str">
        <f>"5562231994"</f>
        <v>5562231994</v>
      </c>
      <c r="F5016" s="1">
        <v>45035</v>
      </c>
      <c r="G5016" t="str">
        <f>"89513"</f>
        <v>89513</v>
      </c>
      <c r="H5016">
        <v>1</v>
      </c>
      <c r="I5016">
        <v>378</v>
      </c>
      <c r="J5016">
        <v>0</v>
      </c>
      <c r="K5016" t="str">
        <f t="shared" si="927"/>
        <v>809</v>
      </c>
      <c r="L5016">
        <v>555.66</v>
      </c>
    </row>
    <row r="5017" spans="1:12" x14ac:dyDescent="0.25">
      <c r="A5017" t="str">
        <f t="shared" si="926"/>
        <v>89301000</v>
      </c>
      <c r="B5017" t="str">
        <f>"77140000"</f>
        <v>77140000</v>
      </c>
      <c r="C5017" t="str">
        <f>"77140001"</f>
        <v>77140001</v>
      </c>
      <c r="D5017">
        <v>89301322</v>
      </c>
      <c r="E5017" t="str">
        <f>"5562231994"</f>
        <v>5562231994</v>
      </c>
      <c r="F5017" s="1">
        <v>45035</v>
      </c>
      <c r="G5017" t="str">
        <f>"89514"</f>
        <v>89514</v>
      </c>
      <c r="H5017">
        <v>1</v>
      </c>
      <c r="I5017">
        <v>378</v>
      </c>
      <c r="J5017">
        <v>0</v>
      </c>
      <c r="K5017" t="str">
        <f t="shared" si="927"/>
        <v>809</v>
      </c>
      <c r="L5017">
        <v>555.66</v>
      </c>
    </row>
    <row r="5018" spans="1:12" x14ac:dyDescent="0.25">
      <c r="A5018" t="str">
        <f t="shared" si="926"/>
        <v>89301000</v>
      </c>
      <c r="B5018" t="str">
        <f>"77913000"</f>
        <v>77913000</v>
      </c>
      <c r="C5018" t="str">
        <f>"77913001"</f>
        <v>77913001</v>
      </c>
      <c r="D5018">
        <v>89301212</v>
      </c>
      <c r="E5018" t="str">
        <f>"8651204848"</f>
        <v>8651204848</v>
      </c>
      <c r="F5018" s="1">
        <v>45021</v>
      </c>
      <c r="G5018" t="str">
        <f t="shared" ref="G5018:G5023" si="928">"89512"</f>
        <v>89512</v>
      </c>
      <c r="H5018">
        <v>1</v>
      </c>
      <c r="I5018">
        <v>283</v>
      </c>
      <c r="J5018">
        <v>0</v>
      </c>
      <c r="K5018" t="str">
        <f t="shared" si="927"/>
        <v>809</v>
      </c>
      <c r="L5018">
        <v>416.01</v>
      </c>
    </row>
    <row r="5019" spans="1:12" x14ac:dyDescent="0.25">
      <c r="A5019" t="str">
        <f t="shared" si="926"/>
        <v>89301000</v>
      </c>
      <c r="B5019" t="str">
        <f t="shared" ref="B5019:B5053" si="929">"89895000"</f>
        <v>89895000</v>
      </c>
      <c r="C5019" t="str">
        <f t="shared" ref="C5019:C5053" si="930">"89895002"</f>
        <v>89895002</v>
      </c>
      <c r="D5019">
        <v>89301212</v>
      </c>
      <c r="E5019" t="str">
        <f>"436228445"</f>
        <v>436228445</v>
      </c>
      <c r="F5019" s="1">
        <v>44991</v>
      </c>
      <c r="G5019" t="str">
        <f t="shared" si="928"/>
        <v>89512</v>
      </c>
      <c r="H5019">
        <v>1</v>
      </c>
      <c r="I5019">
        <v>283</v>
      </c>
      <c r="J5019">
        <v>0</v>
      </c>
      <c r="K5019" t="str">
        <f t="shared" si="927"/>
        <v>809</v>
      </c>
      <c r="L5019">
        <v>416.01</v>
      </c>
    </row>
    <row r="5020" spans="1:12" x14ac:dyDescent="0.25">
      <c r="A5020" t="str">
        <f t="shared" si="926"/>
        <v>89301000</v>
      </c>
      <c r="B5020" t="str">
        <f t="shared" si="929"/>
        <v>89895000</v>
      </c>
      <c r="C5020" t="str">
        <f t="shared" si="930"/>
        <v>89895002</v>
      </c>
      <c r="D5020">
        <v>89301212</v>
      </c>
      <c r="E5020" t="str">
        <f>"6152250907"</f>
        <v>6152250907</v>
      </c>
      <c r="F5020" s="1">
        <v>44991</v>
      </c>
      <c r="G5020" t="str">
        <f t="shared" si="928"/>
        <v>89512</v>
      </c>
      <c r="H5020">
        <v>1</v>
      </c>
      <c r="I5020">
        <v>283</v>
      </c>
      <c r="J5020">
        <v>0</v>
      </c>
      <c r="K5020" t="str">
        <f t="shared" si="927"/>
        <v>809</v>
      </c>
      <c r="L5020">
        <v>416.01</v>
      </c>
    </row>
    <row r="5021" spans="1:12" x14ac:dyDescent="0.25">
      <c r="A5021" t="str">
        <f t="shared" si="926"/>
        <v>89301000</v>
      </c>
      <c r="B5021" t="str">
        <f t="shared" si="929"/>
        <v>89895000</v>
      </c>
      <c r="C5021" t="str">
        <f t="shared" si="930"/>
        <v>89895002</v>
      </c>
      <c r="D5021">
        <v>89301212</v>
      </c>
      <c r="E5021" t="str">
        <f>"6253100040"</f>
        <v>6253100040</v>
      </c>
      <c r="F5021" s="1">
        <v>44993</v>
      </c>
      <c r="G5021" t="str">
        <f t="shared" si="928"/>
        <v>89512</v>
      </c>
      <c r="H5021">
        <v>1</v>
      </c>
      <c r="I5021">
        <v>283</v>
      </c>
      <c r="J5021">
        <v>0</v>
      </c>
      <c r="K5021" t="str">
        <f t="shared" si="927"/>
        <v>809</v>
      </c>
      <c r="L5021">
        <v>416.01</v>
      </c>
    </row>
    <row r="5022" spans="1:12" x14ac:dyDescent="0.25">
      <c r="A5022" t="str">
        <f t="shared" si="926"/>
        <v>89301000</v>
      </c>
      <c r="B5022" t="str">
        <f t="shared" si="929"/>
        <v>89895000</v>
      </c>
      <c r="C5022" t="str">
        <f t="shared" si="930"/>
        <v>89895002</v>
      </c>
      <c r="D5022">
        <v>89301212</v>
      </c>
      <c r="E5022" t="str">
        <f>"6360290673"</f>
        <v>6360290673</v>
      </c>
      <c r="F5022" s="1">
        <v>45012</v>
      </c>
      <c r="G5022" t="str">
        <f t="shared" si="928"/>
        <v>89512</v>
      </c>
      <c r="H5022">
        <v>1</v>
      </c>
      <c r="I5022">
        <v>283</v>
      </c>
      <c r="J5022">
        <v>0</v>
      </c>
      <c r="K5022" t="str">
        <f t="shared" si="927"/>
        <v>809</v>
      </c>
      <c r="L5022">
        <v>416.01</v>
      </c>
    </row>
    <row r="5023" spans="1:12" x14ac:dyDescent="0.25">
      <c r="A5023" t="str">
        <f t="shared" si="926"/>
        <v>89301000</v>
      </c>
      <c r="B5023" t="str">
        <f t="shared" si="929"/>
        <v>89895000</v>
      </c>
      <c r="C5023" t="str">
        <f t="shared" si="930"/>
        <v>89895002</v>
      </c>
      <c r="D5023">
        <v>89301212</v>
      </c>
      <c r="E5023" t="str">
        <f>"7554275696"</f>
        <v>7554275696</v>
      </c>
      <c r="F5023" s="1">
        <v>45012</v>
      </c>
      <c r="G5023" t="str">
        <f t="shared" si="928"/>
        <v>89512</v>
      </c>
      <c r="H5023">
        <v>1</v>
      </c>
      <c r="I5023">
        <v>283</v>
      </c>
      <c r="J5023">
        <v>0</v>
      </c>
      <c r="K5023" t="str">
        <f t="shared" si="927"/>
        <v>809</v>
      </c>
      <c r="L5023">
        <v>416.01</v>
      </c>
    </row>
    <row r="5024" spans="1:12" x14ac:dyDescent="0.25">
      <c r="A5024" t="str">
        <f t="shared" si="926"/>
        <v>89301000</v>
      </c>
      <c r="B5024" t="str">
        <f t="shared" si="929"/>
        <v>89895000</v>
      </c>
      <c r="C5024" t="str">
        <f t="shared" si="930"/>
        <v>89895002</v>
      </c>
      <c r="D5024">
        <v>89301212</v>
      </c>
      <c r="E5024" t="str">
        <f>"6158280348"</f>
        <v>6158280348</v>
      </c>
      <c r="F5024" s="1">
        <v>44960</v>
      </c>
      <c r="G5024" t="str">
        <f>"89180"</f>
        <v>89180</v>
      </c>
      <c r="H5024">
        <v>1</v>
      </c>
      <c r="I5024">
        <v>381</v>
      </c>
      <c r="J5024">
        <v>0</v>
      </c>
      <c r="K5024" t="str">
        <f t="shared" si="927"/>
        <v>809</v>
      </c>
      <c r="L5024">
        <v>560.07000000000005</v>
      </c>
    </row>
    <row r="5025" spans="1:12" x14ac:dyDescent="0.25">
      <c r="A5025" t="str">
        <f t="shared" si="926"/>
        <v>89301000</v>
      </c>
      <c r="B5025" t="str">
        <f t="shared" si="929"/>
        <v>89895000</v>
      </c>
      <c r="C5025" t="str">
        <f t="shared" si="930"/>
        <v>89895002</v>
      </c>
      <c r="D5025">
        <v>89301212</v>
      </c>
      <c r="E5025" t="str">
        <f>"6158280348"</f>
        <v>6158280348</v>
      </c>
      <c r="F5025" s="1">
        <v>44960</v>
      </c>
      <c r="G5025" t="str">
        <f>"89335"</f>
        <v>89335</v>
      </c>
      <c r="H5025">
        <v>1</v>
      </c>
      <c r="I5025">
        <v>185</v>
      </c>
      <c r="J5025">
        <v>0</v>
      </c>
      <c r="K5025" t="str">
        <f t="shared" si="927"/>
        <v>809</v>
      </c>
      <c r="L5025">
        <v>271.95</v>
      </c>
    </row>
    <row r="5026" spans="1:12" x14ac:dyDescent="0.25">
      <c r="A5026" t="str">
        <f t="shared" si="926"/>
        <v>89301000</v>
      </c>
      <c r="B5026" t="str">
        <f t="shared" si="929"/>
        <v>89895000</v>
      </c>
      <c r="C5026" t="str">
        <f t="shared" si="930"/>
        <v>89895002</v>
      </c>
      <c r="D5026">
        <v>89301212</v>
      </c>
      <c r="E5026" t="str">
        <f>"6158280348"</f>
        <v>6158280348</v>
      </c>
      <c r="F5026" s="1">
        <v>44960</v>
      </c>
      <c r="G5026" t="str">
        <f>"89512"</f>
        <v>89512</v>
      </c>
      <c r="H5026">
        <v>1</v>
      </c>
      <c r="I5026">
        <v>283</v>
      </c>
      <c r="J5026">
        <v>0</v>
      </c>
      <c r="K5026" t="str">
        <f t="shared" si="927"/>
        <v>809</v>
      </c>
      <c r="L5026">
        <v>416.01</v>
      </c>
    </row>
    <row r="5027" spans="1:12" x14ac:dyDescent="0.25">
      <c r="A5027" t="str">
        <f t="shared" si="926"/>
        <v>89301000</v>
      </c>
      <c r="B5027" t="str">
        <f t="shared" si="929"/>
        <v>89895000</v>
      </c>
      <c r="C5027" t="str">
        <f t="shared" si="930"/>
        <v>89895002</v>
      </c>
      <c r="D5027">
        <v>89301212</v>
      </c>
      <c r="E5027" t="str">
        <f>"6158280348"</f>
        <v>6158280348</v>
      </c>
      <c r="F5027" s="1">
        <v>44960</v>
      </c>
      <c r="G5027" t="str">
        <f>"0000502"</f>
        <v>0000502</v>
      </c>
      <c r="H5027">
        <v>0.1</v>
      </c>
      <c r="J5027">
        <v>6.97</v>
      </c>
      <c r="K5027" t="str">
        <f t="shared" si="927"/>
        <v>809</v>
      </c>
      <c r="L5027">
        <v>6.97</v>
      </c>
    </row>
    <row r="5028" spans="1:12" x14ac:dyDescent="0.25">
      <c r="A5028" t="str">
        <f t="shared" si="926"/>
        <v>89301000</v>
      </c>
      <c r="B5028" t="str">
        <f t="shared" si="929"/>
        <v>89895000</v>
      </c>
      <c r="C5028" t="str">
        <f t="shared" si="930"/>
        <v>89895002</v>
      </c>
      <c r="D5028">
        <v>89301212</v>
      </c>
      <c r="E5028" t="str">
        <f>"6158280348"</f>
        <v>6158280348</v>
      </c>
      <c r="F5028" s="1">
        <v>44960</v>
      </c>
      <c r="G5028" t="str">
        <f>"0142906"</f>
        <v>0142906</v>
      </c>
      <c r="H5028">
        <v>1</v>
      </c>
      <c r="J5028">
        <v>6990</v>
      </c>
      <c r="K5028" t="str">
        <f t="shared" si="927"/>
        <v>809</v>
      </c>
      <c r="L5028">
        <v>6990</v>
      </c>
    </row>
    <row r="5029" spans="1:12" x14ac:dyDescent="0.25">
      <c r="A5029" t="str">
        <f t="shared" si="926"/>
        <v>89301000</v>
      </c>
      <c r="B5029" t="str">
        <f t="shared" si="929"/>
        <v>89895000</v>
      </c>
      <c r="C5029" t="str">
        <f t="shared" si="930"/>
        <v>89895002</v>
      </c>
      <c r="D5029">
        <v>89301212</v>
      </c>
      <c r="E5029" t="str">
        <f>"356205759"</f>
        <v>356205759</v>
      </c>
      <c r="F5029" s="1">
        <v>45042</v>
      </c>
      <c r="G5029" t="str">
        <f>"89180"</f>
        <v>89180</v>
      </c>
      <c r="H5029">
        <v>2</v>
      </c>
      <c r="I5029">
        <v>762</v>
      </c>
      <c r="J5029">
        <v>0</v>
      </c>
      <c r="K5029" t="str">
        <f t="shared" si="927"/>
        <v>809</v>
      </c>
      <c r="L5029">
        <v>1120.1400000000001</v>
      </c>
    </row>
    <row r="5030" spans="1:12" x14ac:dyDescent="0.25">
      <c r="A5030" t="str">
        <f t="shared" si="926"/>
        <v>89301000</v>
      </c>
      <c r="B5030" t="str">
        <f t="shared" si="929"/>
        <v>89895000</v>
      </c>
      <c r="C5030" t="str">
        <f t="shared" si="930"/>
        <v>89895002</v>
      </c>
      <c r="D5030">
        <v>89301212</v>
      </c>
      <c r="E5030" t="str">
        <f>"356205759"</f>
        <v>356205759</v>
      </c>
      <c r="F5030" s="1">
        <v>45042</v>
      </c>
      <c r="G5030" t="str">
        <f>"89512"</f>
        <v>89512</v>
      </c>
      <c r="H5030">
        <v>1</v>
      </c>
      <c r="I5030">
        <v>283</v>
      </c>
      <c r="J5030">
        <v>0</v>
      </c>
      <c r="K5030" t="str">
        <f t="shared" si="927"/>
        <v>809</v>
      </c>
      <c r="L5030">
        <v>416.01</v>
      </c>
    </row>
    <row r="5031" spans="1:12" x14ac:dyDescent="0.25">
      <c r="A5031" t="str">
        <f t="shared" si="926"/>
        <v>89301000</v>
      </c>
      <c r="B5031" t="str">
        <f t="shared" si="929"/>
        <v>89895000</v>
      </c>
      <c r="C5031" t="str">
        <f t="shared" si="930"/>
        <v>89895002</v>
      </c>
      <c r="D5031">
        <v>89301212</v>
      </c>
      <c r="E5031" t="str">
        <f>"405424448"</f>
        <v>405424448</v>
      </c>
      <c r="F5031" s="1">
        <v>45040</v>
      </c>
      <c r="G5031" t="str">
        <f>"89180"</f>
        <v>89180</v>
      </c>
      <c r="H5031">
        <v>2</v>
      </c>
      <c r="I5031">
        <v>762</v>
      </c>
      <c r="J5031">
        <v>0</v>
      </c>
      <c r="K5031" t="str">
        <f t="shared" si="927"/>
        <v>809</v>
      </c>
      <c r="L5031">
        <v>1120.1400000000001</v>
      </c>
    </row>
    <row r="5032" spans="1:12" x14ac:dyDescent="0.25">
      <c r="A5032" t="str">
        <f t="shared" si="926"/>
        <v>89301000</v>
      </c>
      <c r="B5032" t="str">
        <f t="shared" si="929"/>
        <v>89895000</v>
      </c>
      <c r="C5032" t="str">
        <f t="shared" si="930"/>
        <v>89895002</v>
      </c>
      <c r="D5032">
        <v>89301212</v>
      </c>
      <c r="E5032" t="str">
        <f>"515518066"</f>
        <v>515518066</v>
      </c>
      <c r="F5032" s="1">
        <v>45041</v>
      </c>
      <c r="G5032" t="str">
        <f>"89513"</f>
        <v>89513</v>
      </c>
      <c r="H5032">
        <v>1</v>
      </c>
      <c r="I5032">
        <v>378</v>
      </c>
      <c r="J5032">
        <v>0</v>
      </c>
      <c r="K5032" t="str">
        <f t="shared" si="927"/>
        <v>809</v>
      </c>
      <c r="L5032">
        <v>555.66</v>
      </c>
    </row>
    <row r="5033" spans="1:12" x14ac:dyDescent="0.25">
      <c r="A5033" t="str">
        <f t="shared" si="926"/>
        <v>89301000</v>
      </c>
      <c r="B5033" t="str">
        <f t="shared" si="929"/>
        <v>89895000</v>
      </c>
      <c r="C5033" t="str">
        <f t="shared" si="930"/>
        <v>89895002</v>
      </c>
      <c r="D5033">
        <v>89301212</v>
      </c>
      <c r="E5033" t="str">
        <f>"515518066"</f>
        <v>515518066</v>
      </c>
      <c r="F5033" s="1">
        <v>45041</v>
      </c>
      <c r="G5033" t="str">
        <f>"89180"</f>
        <v>89180</v>
      </c>
      <c r="H5033">
        <v>2</v>
      </c>
      <c r="I5033">
        <v>762</v>
      </c>
      <c r="J5033">
        <v>0</v>
      </c>
      <c r="K5033" t="str">
        <f t="shared" si="927"/>
        <v>809</v>
      </c>
      <c r="L5033">
        <v>1120.1400000000001</v>
      </c>
    </row>
    <row r="5034" spans="1:12" x14ac:dyDescent="0.25">
      <c r="A5034" t="str">
        <f t="shared" si="926"/>
        <v>89301000</v>
      </c>
      <c r="B5034" t="str">
        <f t="shared" si="929"/>
        <v>89895000</v>
      </c>
      <c r="C5034" t="str">
        <f t="shared" si="930"/>
        <v>89895002</v>
      </c>
      <c r="D5034">
        <v>89301212</v>
      </c>
      <c r="E5034" t="str">
        <f>"515518066"</f>
        <v>515518066</v>
      </c>
      <c r="F5034" s="1">
        <v>45041</v>
      </c>
      <c r="G5034" t="str">
        <f>"89514"</f>
        <v>89514</v>
      </c>
      <c r="H5034">
        <v>1</v>
      </c>
      <c r="I5034">
        <v>378</v>
      </c>
      <c r="J5034">
        <v>0</v>
      </c>
      <c r="K5034" t="str">
        <f t="shared" si="927"/>
        <v>809</v>
      </c>
      <c r="L5034">
        <v>555.66</v>
      </c>
    </row>
    <row r="5035" spans="1:12" x14ac:dyDescent="0.25">
      <c r="A5035" t="str">
        <f t="shared" si="926"/>
        <v>89301000</v>
      </c>
      <c r="B5035" t="str">
        <f t="shared" si="929"/>
        <v>89895000</v>
      </c>
      <c r="C5035" t="str">
        <f t="shared" si="930"/>
        <v>89895002</v>
      </c>
      <c r="D5035">
        <v>89301212</v>
      </c>
      <c r="E5035" t="str">
        <f>"515518066"</f>
        <v>515518066</v>
      </c>
      <c r="F5035" s="1">
        <v>45041</v>
      </c>
      <c r="G5035" t="str">
        <f>"89512"</f>
        <v>89512</v>
      </c>
      <c r="H5035">
        <v>1</v>
      </c>
      <c r="I5035">
        <v>283</v>
      </c>
      <c r="J5035">
        <v>0</v>
      </c>
      <c r="K5035" t="str">
        <f t="shared" si="927"/>
        <v>809</v>
      </c>
      <c r="L5035">
        <v>416.01</v>
      </c>
    </row>
    <row r="5036" spans="1:12" x14ac:dyDescent="0.25">
      <c r="A5036" t="str">
        <f t="shared" si="926"/>
        <v>89301000</v>
      </c>
      <c r="B5036" t="str">
        <f t="shared" si="929"/>
        <v>89895000</v>
      </c>
      <c r="C5036" t="str">
        <f t="shared" si="930"/>
        <v>89895002</v>
      </c>
      <c r="D5036">
        <v>89301212</v>
      </c>
      <c r="E5036" t="str">
        <f>"5559221910"</f>
        <v>5559221910</v>
      </c>
      <c r="F5036" s="1">
        <v>45019</v>
      </c>
      <c r="G5036" t="str">
        <f>"89180"</f>
        <v>89180</v>
      </c>
      <c r="H5036">
        <v>2</v>
      </c>
      <c r="I5036">
        <v>762</v>
      </c>
      <c r="J5036">
        <v>0</v>
      </c>
      <c r="K5036" t="str">
        <f t="shared" si="927"/>
        <v>809</v>
      </c>
      <c r="L5036">
        <v>1120.1400000000001</v>
      </c>
    </row>
    <row r="5037" spans="1:12" x14ac:dyDescent="0.25">
      <c r="A5037" t="str">
        <f t="shared" si="926"/>
        <v>89301000</v>
      </c>
      <c r="B5037" t="str">
        <f t="shared" si="929"/>
        <v>89895000</v>
      </c>
      <c r="C5037" t="str">
        <f t="shared" si="930"/>
        <v>89895002</v>
      </c>
      <c r="D5037">
        <v>89301212</v>
      </c>
      <c r="E5037" t="str">
        <f>"5559221910"</f>
        <v>5559221910</v>
      </c>
      <c r="F5037" s="1">
        <v>45019</v>
      </c>
      <c r="G5037" t="str">
        <f>"89512"</f>
        <v>89512</v>
      </c>
      <c r="H5037">
        <v>1</v>
      </c>
      <c r="I5037">
        <v>283</v>
      </c>
      <c r="J5037">
        <v>0</v>
      </c>
      <c r="K5037" t="str">
        <f t="shared" si="927"/>
        <v>809</v>
      </c>
      <c r="L5037">
        <v>416.01</v>
      </c>
    </row>
    <row r="5038" spans="1:12" x14ac:dyDescent="0.25">
      <c r="A5038" t="str">
        <f t="shared" si="926"/>
        <v>89301000</v>
      </c>
      <c r="B5038" t="str">
        <f t="shared" si="929"/>
        <v>89895000</v>
      </c>
      <c r="C5038" t="str">
        <f t="shared" si="930"/>
        <v>89895002</v>
      </c>
      <c r="D5038">
        <v>89301212</v>
      </c>
      <c r="E5038" t="str">
        <f>"5562181218"</f>
        <v>5562181218</v>
      </c>
      <c r="F5038" s="1">
        <v>45040</v>
      </c>
      <c r="G5038" t="str">
        <f>"89180"</f>
        <v>89180</v>
      </c>
      <c r="H5038">
        <v>2</v>
      </c>
      <c r="I5038">
        <v>762</v>
      </c>
      <c r="J5038">
        <v>0</v>
      </c>
      <c r="K5038" t="str">
        <f t="shared" si="927"/>
        <v>809</v>
      </c>
      <c r="L5038">
        <v>1120.1400000000001</v>
      </c>
    </row>
    <row r="5039" spans="1:12" x14ac:dyDescent="0.25">
      <c r="A5039" t="str">
        <f t="shared" si="926"/>
        <v>89301000</v>
      </c>
      <c r="B5039" t="str">
        <f t="shared" si="929"/>
        <v>89895000</v>
      </c>
      <c r="C5039" t="str">
        <f t="shared" si="930"/>
        <v>89895002</v>
      </c>
      <c r="D5039">
        <v>89301212</v>
      </c>
      <c r="E5039" t="str">
        <f>"5562181218"</f>
        <v>5562181218</v>
      </c>
      <c r="F5039" s="1">
        <v>45040</v>
      </c>
      <c r="G5039" t="str">
        <f>"89513"</f>
        <v>89513</v>
      </c>
      <c r="H5039">
        <v>1</v>
      </c>
      <c r="I5039">
        <v>378</v>
      </c>
      <c r="J5039">
        <v>0</v>
      </c>
      <c r="K5039" t="str">
        <f t="shared" si="927"/>
        <v>809</v>
      </c>
      <c r="L5039">
        <v>555.66</v>
      </c>
    </row>
    <row r="5040" spans="1:12" x14ac:dyDescent="0.25">
      <c r="A5040" t="str">
        <f t="shared" si="926"/>
        <v>89301000</v>
      </c>
      <c r="B5040" t="str">
        <f t="shared" si="929"/>
        <v>89895000</v>
      </c>
      <c r="C5040" t="str">
        <f t="shared" si="930"/>
        <v>89895002</v>
      </c>
      <c r="D5040">
        <v>89301212</v>
      </c>
      <c r="E5040" t="str">
        <f>"5562181218"</f>
        <v>5562181218</v>
      </c>
      <c r="F5040" s="1">
        <v>45040</v>
      </c>
      <c r="G5040" t="str">
        <f>"89514"</f>
        <v>89514</v>
      </c>
      <c r="H5040">
        <v>1</v>
      </c>
      <c r="I5040">
        <v>378</v>
      </c>
      <c r="J5040">
        <v>0</v>
      </c>
      <c r="K5040" t="str">
        <f t="shared" si="927"/>
        <v>809</v>
      </c>
      <c r="L5040">
        <v>555.66</v>
      </c>
    </row>
    <row r="5041" spans="1:12" x14ac:dyDescent="0.25">
      <c r="A5041" t="str">
        <f t="shared" si="926"/>
        <v>89301000</v>
      </c>
      <c r="B5041" t="str">
        <f t="shared" si="929"/>
        <v>89895000</v>
      </c>
      <c r="C5041" t="str">
        <f t="shared" si="930"/>
        <v>89895002</v>
      </c>
      <c r="D5041">
        <v>89301212</v>
      </c>
      <c r="E5041" t="str">
        <f>"5562181218"</f>
        <v>5562181218</v>
      </c>
      <c r="F5041" s="1">
        <v>45040</v>
      </c>
      <c r="G5041" t="str">
        <f>"89512"</f>
        <v>89512</v>
      </c>
      <c r="H5041">
        <v>1</v>
      </c>
      <c r="I5041">
        <v>283</v>
      </c>
      <c r="J5041">
        <v>0</v>
      </c>
      <c r="K5041" t="str">
        <f t="shared" si="927"/>
        <v>809</v>
      </c>
      <c r="L5041">
        <v>416.01</v>
      </c>
    </row>
    <row r="5042" spans="1:12" x14ac:dyDescent="0.25">
      <c r="A5042" t="str">
        <f t="shared" si="926"/>
        <v>89301000</v>
      </c>
      <c r="B5042" t="str">
        <f t="shared" si="929"/>
        <v>89895000</v>
      </c>
      <c r="C5042" t="str">
        <f t="shared" si="930"/>
        <v>89895002</v>
      </c>
      <c r="D5042">
        <v>89301212</v>
      </c>
      <c r="E5042" t="str">
        <f>"6960223743"</f>
        <v>6960223743</v>
      </c>
      <c r="F5042" s="1">
        <v>45033</v>
      </c>
      <c r="G5042" t="str">
        <f>"89180"</f>
        <v>89180</v>
      </c>
      <c r="H5042">
        <v>2</v>
      </c>
      <c r="I5042">
        <v>762</v>
      </c>
      <c r="J5042">
        <v>0</v>
      </c>
      <c r="K5042" t="str">
        <f t="shared" si="927"/>
        <v>809</v>
      </c>
      <c r="L5042">
        <v>1120.1400000000001</v>
      </c>
    </row>
    <row r="5043" spans="1:12" x14ac:dyDescent="0.25">
      <c r="A5043" t="str">
        <f t="shared" si="926"/>
        <v>89301000</v>
      </c>
      <c r="B5043" t="str">
        <f t="shared" si="929"/>
        <v>89895000</v>
      </c>
      <c r="C5043" t="str">
        <f t="shared" si="930"/>
        <v>89895002</v>
      </c>
      <c r="D5043">
        <v>89301212</v>
      </c>
      <c r="E5043" t="str">
        <f>"6960223743"</f>
        <v>6960223743</v>
      </c>
      <c r="F5043" s="1">
        <v>45033</v>
      </c>
      <c r="G5043" t="str">
        <f>"89512"</f>
        <v>89512</v>
      </c>
      <c r="H5043">
        <v>1</v>
      </c>
      <c r="I5043">
        <v>283</v>
      </c>
      <c r="J5043">
        <v>0</v>
      </c>
      <c r="K5043" t="str">
        <f t="shared" si="927"/>
        <v>809</v>
      </c>
      <c r="L5043">
        <v>416.01</v>
      </c>
    </row>
    <row r="5044" spans="1:12" x14ac:dyDescent="0.25">
      <c r="A5044" t="str">
        <f t="shared" si="926"/>
        <v>89301000</v>
      </c>
      <c r="B5044" t="str">
        <f t="shared" si="929"/>
        <v>89895000</v>
      </c>
      <c r="C5044" t="str">
        <f t="shared" si="930"/>
        <v>89895002</v>
      </c>
      <c r="D5044">
        <v>89301212</v>
      </c>
      <c r="E5044" t="str">
        <f>"7158186684"</f>
        <v>7158186684</v>
      </c>
      <c r="F5044" s="1">
        <v>45019</v>
      </c>
      <c r="G5044" t="str">
        <f>"89513"</f>
        <v>89513</v>
      </c>
      <c r="H5044">
        <v>1</v>
      </c>
      <c r="I5044">
        <v>378</v>
      </c>
      <c r="J5044">
        <v>0</v>
      </c>
      <c r="K5044" t="str">
        <f t="shared" si="927"/>
        <v>809</v>
      </c>
      <c r="L5044">
        <v>555.66</v>
      </c>
    </row>
    <row r="5045" spans="1:12" x14ac:dyDescent="0.25">
      <c r="A5045" t="str">
        <f t="shared" si="926"/>
        <v>89301000</v>
      </c>
      <c r="B5045" t="str">
        <f t="shared" si="929"/>
        <v>89895000</v>
      </c>
      <c r="C5045" t="str">
        <f t="shared" si="930"/>
        <v>89895002</v>
      </c>
      <c r="D5045">
        <v>89301212</v>
      </c>
      <c r="E5045" t="str">
        <f>"7158186684"</f>
        <v>7158186684</v>
      </c>
      <c r="F5045" s="1">
        <v>45019</v>
      </c>
      <c r="G5045" t="str">
        <f>"89514"</f>
        <v>89514</v>
      </c>
      <c r="H5045">
        <v>1</v>
      </c>
      <c r="I5045">
        <v>378</v>
      </c>
      <c r="J5045">
        <v>0</v>
      </c>
      <c r="K5045" t="str">
        <f t="shared" si="927"/>
        <v>809</v>
      </c>
      <c r="L5045">
        <v>555.66</v>
      </c>
    </row>
    <row r="5046" spans="1:12" x14ac:dyDescent="0.25">
      <c r="A5046" t="str">
        <f t="shared" si="926"/>
        <v>89301000</v>
      </c>
      <c r="B5046" t="str">
        <f t="shared" si="929"/>
        <v>89895000</v>
      </c>
      <c r="C5046" t="str">
        <f t="shared" si="930"/>
        <v>89895002</v>
      </c>
      <c r="D5046">
        <v>89301212</v>
      </c>
      <c r="E5046" t="str">
        <f>"7158186684"</f>
        <v>7158186684</v>
      </c>
      <c r="F5046" s="1">
        <v>45019</v>
      </c>
      <c r="G5046" t="str">
        <f>"89512"</f>
        <v>89512</v>
      </c>
      <c r="H5046">
        <v>1</v>
      </c>
      <c r="I5046">
        <v>283</v>
      </c>
      <c r="J5046">
        <v>0</v>
      </c>
      <c r="K5046" t="str">
        <f t="shared" si="927"/>
        <v>809</v>
      </c>
      <c r="L5046">
        <v>416.01</v>
      </c>
    </row>
    <row r="5047" spans="1:12" x14ac:dyDescent="0.25">
      <c r="A5047" t="str">
        <f t="shared" si="926"/>
        <v>89301000</v>
      </c>
      <c r="B5047" t="str">
        <f t="shared" si="929"/>
        <v>89895000</v>
      </c>
      <c r="C5047" t="str">
        <f t="shared" si="930"/>
        <v>89895002</v>
      </c>
      <c r="D5047">
        <v>89301212</v>
      </c>
      <c r="E5047" t="str">
        <f>"7458155331"</f>
        <v>7458155331</v>
      </c>
      <c r="F5047" s="1">
        <v>45028</v>
      </c>
      <c r="G5047" t="str">
        <f>"89180"</f>
        <v>89180</v>
      </c>
      <c r="H5047">
        <v>1</v>
      </c>
      <c r="I5047">
        <v>381</v>
      </c>
      <c r="J5047">
        <v>0</v>
      </c>
      <c r="K5047" t="str">
        <f t="shared" si="927"/>
        <v>809</v>
      </c>
      <c r="L5047">
        <v>560.07000000000005</v>
      </c>
    </row>
    <row r="5048" spans="1:12" x14ac:dyDescent="0.25">
      <c r="A5048" t="str">
        <f t="shared" si="926"/>
        <v>89301000</v>
      </c>
      <c r="B5048" t="str">
        <f t="shared" si="929"/>
        <v>89895000</v>
      </c>
      <c r="C5048" t="str">
        <f t="shared" si="930"/>
        <v>89895002</v>
      </c>
      <c r="D5048">
        <v>89301212</v>
      </c>
      <c r="E5048" t="str">
        <f>"7458155331"</f>
        <v>7458155331</v>
      </c>
      <c r="F5048" s="1">
        <v>45028</v>
      </c>
      <c r="G5048" t="str">
        <f>"89512"</f>
        <v>89512</v>
      </c>
      <c r="H5048">
        <v>1</v>
      </c>
      <c r="I5048">
        <v>283</v>
      </c>
      <c r="J5048">
        <v>0</v>
      </c>
      <c r="K5048" t="str">
        <f t="shared" si="927"/>
        <v>809</v>
      </c>
      <c r="L5048">
        <v>416.01</v>
      </c>
    </row>
    <row r="5049" spans="1:12" x14ac:dyDescent="0.25">
      <c r="A5049" t="str">
        <f t="shared" si="926"/>
        <v>89301000</v>
      </c>
      <c r="B5049" t="str">
        <f t="shared" si="929"/>
        <v>89895000</v>
      </c>
      <c r="C5049" t="str">
        <f t="shared" si="930"/>
        <v>89895002</v>
      </c>
      <c r="D5049">
        <v>89301212</v>
      </c>
      <c r="E5049" t="str">
        <f>"7653245303"</f>
        <v>7653245303</v>
      </c>
      <c r="F5049" s="1">
        <v>45043</v>
      </c>
      <c r="G5049" t="str">
        <f>"89180"</f>
        <v>89180</v>
      </c>
      <c r="H5049">
        <v>2</v>
      </c>
      <c r="I5049">
        <v>762</v>
      </c>
      <c r="J5049">
        <v>0</v>
      </c>
      <c r="K5049" t="str">
        <f t="shared" si="927"/>
        <v>809</v>
      </c>
      <c r="L5049">
        <v>1120.1400000000001</v>
      </c>
    </row>
    <row r="5050" spans="1:12" x14ac:dyDescent="0.25">
      <c r="A5050" t="str">
        <f t="shared" si="926"/>
        <v>89301000</v>
      </c>
      <c r="B5050" t="str">
        <f t="shared" si="929"/>
        <v>89895000</v>
      </c>
      <c r="C5050" t="str">
        <f t="shared" si="930"/>
        <v>89895002</v>
      </c>
      <c r="D5050">
        <v>89301212</v>
      </c>
      <c r="E5050" t="str">
        <f>"7653245303"</f>
        <v>7653245303</v>
      </c>
      <c r="F5050" s="1">
        <v>45043</v>
      </c>
      <c r="G5050" t="str">
        <f>"89512"</f>
        <v>89512</v>
      </c>
      <c r="H5050">
        <v>1</v>
      </c>
      <c r="I5050">
        <v>283</v>
      </c>
      <c r="J5050">
        <v>0</v>
      </c>
      <c r="K5050" t="str">
        <f t="shared" si="927"/>
        <v>809</v>
      </c>
      <c r="L5050">
        <v>416.01</v>
      </c>
    </row>
    <row r="5051" spans="1:12" x14ac:dyDescent="0.25">
      <c r="A5051" t="str">
        <f t="shared" si="926"/>
        <v>89301000</v>
      </c>
      <c r="B5051" t="str">
        <f t="shared" si="929"/>
        <v>89895000</v>
      </c>
      <c r="C5051" t="str">
        <f t="shared" si="930"/>
        <v>89895002</v>
      </c>
      <c r="D5051">
        <v>89301212</v>
      </c>
      <c r="E5051" t="str">
        <f>"8153065338"</f>
        <v>8153065338</v>
      </c>
      <c r="F5051" s="1">
        <v>45029</v>
      </c>
      <c r="G5051" t="str">
        <f>"89512"</f>
        <v>89512</v>
      </c>
      <c r="H5051">
        <v>1</v>
      </c>
      <c r="I5051">
        <v>283</v>
      </c>
      <c r="J5051">
        <v>0</v>
      </c>
      <c r="K5051" t="str">
        <f t="shared" si="927"/>
        <v>809</v>
      </c>
      <c r="L5051">
        <v>416.01</v>
      </c>
    </row>
    <row r="5052" spans="1:12" x14ac:dyDescent="0.25">
      <c r="A5052" t="str">
        <f t="shared" si="926"/>
        <v>89301000</v>
      </c>
      <c r="B5052" t="str">
        <f t="shared" si="929"/>
        <v>89895000</v>
      </c>
      <c r="C5052" t="str">
        <f t="shared" si="930"/>
        <v>89895002</v>
      </c>
      <c r="D5052">
        <v>89301039</v>
      </c>
      <c r="E5052" t="str">
        <f>"9912205699"</f>
        <v>9912205699</v>
      </c>
      <c r="F5052" s="1">
        <v>45037</v>
      </c>
      <c r="G5052" t="str">
        <f>"89512"</f>
        <v>89512</v>
      </c>
      <c r="H5052">
        <v>1</v>
      </c>
      <c r="I5052">
        <v>283</v>
      </c>
      <c r="J5052">
        <v>0</v>
      </c>
      <c r="K5052" t="str">
        <f t="shared" si="927"/>
        <v>809</v>
      </c>
      <c r="L5052">
        <v>416.01</v>
      </c>
    </row>
    <row r="5053" spans="1:12" x14ac:dyDescent="0.25">
      <c r="A5053" t="str">
        <f t="shared" si="926"/>
        <v>89301000</v>
      </c>
      <c r="B5053" t="str">
        <f t="shared" si="929"/>
        <v>89895000</v>
      </c>
      <c r="C5053" t="str">
        <f t="shared" si="930"/>
        <v>89895002</v>
      </c>
      <c r="D5053">
        <v>89301039</v>
      </c>
      <c r="E5053" t="str">
        <f>"9912205699"</f>
        <v>9912205699</v>
      </c>
      <c r="F5053" s="1">
        <v>45037</v>
      </c>
      <c r="G5053" t="str">
        <f>"09511"</f>
        <v>09511</v>
      </c>
      <c r="H5053">
        <v>1</v>
      </c>
      <c r="I5053">
        <v>45</v>
      </c>
      <c r="J5053">
        <v>0</v>
      </c>
      <c r="K5053" t="str">
        <f t="shared" si="927"/>
        <v>809</v>
      </c>
      <c r="L5053">
        <v>66.150000000000006</v>
      </c>
    </row>
    <row r="5054" spans="1:12" x14ac:dyDescent="0.25">
      <c r="A5054" t="str">
        <f t="shared" si="926"/>
        <v>89301000</v>
      </c>
      <c r="B5054" t="str">
        <f>"85600000"</f>
        <v>85600000</v>
      </c>
      <c r="C5054" t="str">
        <f>"85600421"</f>
        <v>85600421</v>
      </c>
      <c r="D5054">
        <v>89301322</v>
      </c>
      <c r="E5054" t="str">
        <f>"506231072"</f>
        <v>506231072</v>
      </c>
      <c r="F5054" s="1">
        <v>45036</v>
      </c>
      <c r="G5054" t="str">
        <f>"89131"</f>
        <v>89131</v>
      </c>
      <c r="H5054">
        <v>1</v>
      </c>
      <c r="I5054">
        <v>190</v>
      </c>
      <c r="J5054">
        <v>0</v>
      </c>
      <c r="K5054" t="str">
        <f t="shared" si="927"/>
        <v>809</v>
      </c>
      <c r="L5054">
        <v>279.3</v>
      </c>
    </row>
    <row r="5055" spans="1:12" x14ac:dyDescent="0.25">
      <c r="A5055" t="str">
        <f t="shared" si="926"/>
        <v>89301000</v>
      </c>
      <c r="B5055" t="str">
        <f>"95202000"</f>
        <v>95202000</v>
      </c>
      <c r="C5055" t="str">
        <f>"95202511"</f>
        <v>95202511</v>
      </c>
      <c r="D5055">
        <v>89301012</v>
      </c>
      <c r="E5055" t="str">
        <f>"480705167"</f>
        <v>480705167</v>
      </c>
      <c r="F5055" s="1">
        <v>45034</v>
      </c>
      <c r="G5055" t="str">
        <f>"89517"</f>
        <v>89517</v>
      </c>
      <c r="H5055">
        <v>1</v>
      </c>
      <c r="I5055">
        <v>994</v>
      </c>
      <c r="J5055">
        <v>0</v>
      </c>
      <c r="K5055" t="str">
        <f t="shared" si="927"/>
        <v>809</v>
      </c>
      <c r="L5055">
        <v>1461.18</v>
      </c>
    </row>
    <row r="5056" spans="1:12" x14ac:dyDescent="0.25">
      <c r="A5056" t="str">
        <f t="shared" si="926"/>
        <v>89301000</v>
      </c>
      <c r="B5056" t="str">
        <f>"95202000"</f>
        <v>95202000</v>
      </c>
      <c r="C5056" t="str">
        <f>"95202511"</f>
        <v>95202511</v>
      </c>
      <c r="D5056">
        <v>89301012</v>
      </c>
      <c r="E5056" t="str">
        <f>"480705167"</f>
        <v>480705167</v>
      </c>
      <c r="F5056" s="1">
        <v>45034</v>
      </c>
      <c r="G5056" t="str">
        <f>"09572"</f>
        <v>09572</v>
      </c>
      <c r="H5056">
        <v>1</v>
      </c>
      <c r="I5056">
        <v>0</v>
      </c>
      <c r="J5056">
        <v>0</v>
      </c>
      <c r="K5056" t="str">
        <f t="shared" si="927"/>
        <v>809</v>
      </c>
      <c r="L5056">
        <v>0</v>
      </c>
    </row>
    <row r="5057" spans="1:12" x14ac:dyDescent="0.25">
      <c r="A5057" t="str">
        <f t="shared" si="926"/>
        <v>89301000</v>
      </c>
      <c r="B5057" t="str">
        <f t="shared" ref="B5057:B5088" si="931">"78006000"</f>
        <v>78006000</v>
      </c>
      <c r="C5057" t="str">
        <f>"78006532"</f>
        <v>78006532</v>
      </c>
      <c r="D5057">
        <v>89301062</v>
      </c>
      <c r="E5057" t="str">
        <f>"8603066131"</f>
        <v>8603066131</v>
      </c>
      <c r="F5057" s="1">
        <v>45044</v>
      </c>
      <c r="G5057" t="str">
        <f>"89713"</f>
        <v>89713</v>
      </c>
      <c r="H5057">
        <v>1</v>
      </c>
      <c r="I5057">
        <v>5411</v>
      </c>
      <c r="J5057">
        <v>0</v>
      </c>
      <c r="K5057" t="str">
        <f>"810"</f>
        <v>810</v>
      </c>
      <c r="L5057">
        <v>3517.15</v>
      </c>
    </row>
    <row r="5058" spans="1:12" x14ac:dyDescent="0.25">
      <c r="A5058" t="str">
        <f t="shared" ref="A5058:A5121" si="932">"89301000"</f>
        <v>89301000</v>
      </c>
      <c r="B5058" t="str">
        <f t="shared" si="931"/>
        <v>78006000</v>
      </c>
      <c r="C5058" t="str">
        <f t="shared" ref="C5058:C5068" si="933">"78006207"</f>
        <v>78006207</v>
      </c>
      <c r="D5058">
        <v>89301167</v>
      </c>
      <c r="E5058" t="str">
        <f>"5854210813"</f>
        <v>5854210813</v>
      </c>
      <c r="F5058" s="1">
        <v>45040</v>
      </c>
      <c r="G5058" t="str">
        <f>"91153"</f>
        <v>91153</v>
      </c>
      <c r="H5058">
        <v>1</v>
      </c>
      <c r="I5058">
        <v>153</v>
      </c>
      <c r="J5058">
        <v>0</v>
      </c>
      <c r="K5058" t="str">
        <f t="shared" ref="K5058:K5068" si="934">"813"</f>
        <v>813</v>
      </c>
      <c r="L5058">
        <v>128.52000000000001</v>
      </c>
    </row>
    <row r="5059" spans="1:12" x14ac:dyDescent="0.25">
      <c r="A5059" t="str">
        <f t="shared" si="932"/>
        <v>89301000</v>
      </c>
      <c r="B5059" t="str">
        <f t="shared" si="931"/>
        <v>78006000</v>
      </c>
      <c r="C5059" t="str">
        <f t="shared" si="933"/>
        <v>78006207</v>
      </c>
      <c r="D5059">
        <v>89301171</v>
      </c>
      <c r="E5059" t="str">
        <f>"7661094463"</f>
        <v>7661094463</v>
      </c>
      <c r="F5059" s="1">
        <v>45043</v>
      </c>
      <c r="G5059" t="str">
        <f t="shared" ref="G5059:G5068" si="935">"91197"</f>
        <v>91197</v>
      </c>
      <c r="H5059">
        <v>6</v>
      </c>
      <c r="I5059">
        <v>6288</v>
      </c>
      <c r="J5059">
        <v>0</v>
      </c>
      <c r="K5059" t="str">
        <f t="shared" si="934"/>
        <v>813</v>
      </c>
      <c r="L5059">
        <v>5281.92</v>
      </c>
    </row>
    <row r="5060" spans="1:12" x14ac:dyDescent="0.25">
      <c r="A5060" t="str">
        <f t="shared" si="932"/>
        <v>89301000</v>
      </c>
      <c r="B5060" t="str">
        <f t="shared" si="931"/>
        <v>78006000</v>
      </c>
      <c r="C5060" t="str">
        <f t="shared" si="933"/>
        <v>78006207</v>
      </c>
      <c r="D5060">
        <v>89301171</v>
      </c>
      <c r="E5060" t="str">
        <f>"9451245727"</f>
        <v>9451245727</v>
      </c>
      <c r="F5060" s="1">
        <v>45022</v>
      </c>
      <c r="G5060" t="str">
        <f t="shared" si="935"/>
        <v>91197</v>
      </c>
      <c r="H5060">
        <v>6</v>
      </c>
      <c r="I5060">
        <v>6288</v>
      </c>
      <c r="J5060">
        <v>0</v>
      </c>
      <c r="K5060" t="str">
        <f t="shared" si="934"/>
        <v>813</v>
      </c>
      <c r="L5060">
        <v>5281.92</v>
      </c>
    </row>
    <row r="5061" spans="1:12" x14ac:dyDescent="0.25">
      <c r="A5061" t="str">
        <f t="shared" si="932"/>
        <v>89301000</v>
      </c>
      <c r="B5061" t="str">
        <f t="shared" si="931"/>
        <v>78006000</v>
      </c>
      <c r="C5061" t="str">
        <f t="shared" si="933"/>
        <v>78006207</v>
      </c>
      <c r="D5061">
        <v>89301171</v>
      </c>
      <c r="E5061" t="str">
        <f>"7962075363"</f>
        <v>7962075363</v>
      </c>
      <c r="F5061" s="1">
        <v>45022</v>
      </c>
      <c r="G5061" t="str">
        <f t="shared" si="935"/>
        <v>91197</v>
      </c>
      <c r="H5061">
        <v>6</v>
      </c>
      <c r="I5061">
        <v>6288</v>
      </c>
      <c r="J5061">
        <v>0</v>
      </c>
      <c r="K5061" t="str">
        <f t="shared" si="934"/>
        <v>813</v>
      </c>
      <c r="L5061">
        <v>5281.92</v>
      </c>
    </row>
    <row r="5062" spans="1:12" x14ac:dyDescent="0.25">
      <c r="A5062" t="str">
        <f t="shared" si="932"/>
        <v>89301000</v>
      </c>
      <c r="B5062" t="str">
        <f t="shared" si="931"/>
        <v>78006000</v>
      </c>
      <c r="C5062" t="str">
        <f t="shared" si="933"/>
        <v>78006207</v>
      </c>
      <c r="D5062">
        <v>89301171</v>
      </c>
      <c r="E5062" t="str">
        <f>"8160155333"</f>
        <v>8160155333</v>
      </c>
      <c r="F5062" s="1">
        <v>45022</v>
      </c>
      <c r="G5062" t="str">
        <f t="shared" si="935"/>
        <v>91197</v>
      </c>
      <c r="H5062">
        <v>6</v>
      </c>
      <c r="I5062">
        <v>6288</v>
      </c>
      <c r="J5062">
        <v>0</v>
      </c>
      <c r="K5062" t="str">
        <f t="shared" si="934"/>
        <v>813</v>
      </c>
      <c r="L5062">
        <v>5281.92</v>
      </c>
    </row>
    <row r="5063" spans="1:12" x14ac:dyDescent="0.25">
      <c r="A5063" t="str">
        <f t="shared" si="932"/>
        <v>89301000</v>
      </c>
      <c r="B5063" t="str">
        <f t="shared" si="931"/>
        <v>78006000</v>
      </c>
      <c r="C5063" t="str">
        <f t="shared" si="933"/>
        <v>78006207</v>
      </c>
      <c r="D5063">
        <v>89301171</v>
      </c>
      <c r="E5063" t="str">
        <f>"7858175336"</f>
        <v>7858175336</v>
      </c>
      <c r="F5063" s="1">
        <v>45022</v>
      </c>
      <c r="G5063" t="str">
        <f t="shared" si="935"/>
        <v>91197</v>
      </c>
      <c r="H5063">
        <v>6</v>
      </c>
      <c r="I5063">
        <v>6288</v>
      </c>
      <c r="J5063">
        <v>0</v>
      </c>
      <c r="K5063" t="str">
        <f t="shared" si="934"/>
        <v>813</v>
      </c>
      <c r="L5063">
        <v>5281.92</v>
      </c>
    </row>
    <row r="5064" spans="1:12" x14ac:dyDescent="0.25">
      <c r="A5064" t="str">
        <f t="shared" si="932"/>
        <v>89301000</v>
      </c>
      <c r="B5064" t="str">
        <f t="shared" si="931"/>
        <v>78006000</v>
      </c>
      <c r="C5064" t="str">
        <f t="shared" si="933"/>
        <v>78006207</v>
      </c>
      <c r="D5064">
        <v>89301171</v>
      </c>
      <c r="E5064" t="str">
        <f>"6959164465"</f>
        <v>6959164465</v>
      </c>
      <c r="F5064" s="1">
        <v>45043</v>
      </c>
      <c r="G5064" t="str">
        <f t="shared" si="935"/>
        <v>91197</v>
      </c>
      <c r="H5064">
        <v>6</v>
      </c>
      <c r="I5064">
        <v>6288</v>
      </c>
      <c r="J5064">
        <v>0</v>
      </c>
      <c r="K5064" t="str">
        <f t="shared" si="934"/>
        <v>813</v>
      </c>
      <c r="L5064">
        <v>5281.92</v>
      </c>
    </row>
    <row r="5065" spans="1:12" x14ac:dyDescent="0.25">
      <c r="A5065" t="str">
        <f t="shared" si="932"/>
        <v>89301000</v>
      </c>
      <c r="B5065" t="str">
        <f t="shared" si="931"/>
        <v>78006000</v>
      </c>
      <c r="C5065" t="str">
        <f t="shared" si="933"/>
        <v>78006207</v>
      </c>
      <c r="D5065">
        <v>89301171</v>
      </c>
      <c r="E5065" t="str">
        <f>"6456070258"</f>
        <v>6456070258</v>
      </c>
      <c r="F5065" s="1">
        <v>45022</v>
      </c>
      <c r="G5065" t="str">
        <f t="shared" si="935"/>
        <v>91197</v>
      </c>
      <c r="H5065">
        <v>6</v>
      </c>
      <c r="I5065">
        <v>6288</v>
      </c>
      <c r="J5065">
        <v>0</v>
      </c>
      <c r="K5065" t="str">
        <f t="shared" si="934"/>
        <v>813</v>
      </c>
      <c r="L5065">
        <v>5281.92</v>
      </c>
    </row>
    <row r="5066" spans="1:12" x14ac:dyDescent="0.25">
      <c r="A5066" t="str">
        <f t="shared" si="932"/>
        <v>89301000</v>
      </c>
      <c r="B5066" t="str">
        <f t="shared" si="931"/>
        <v>78006000</v>
      </c>
      <c r="C5066" t="str">
        <f t="shared" si="933"/>
        <v>78006207</v>
      </c>
      <c r="D5066">
        <v>89301171</v>
      </c>
      <c r="E5066" t="str">
        <f>"7356025380"</f>
        <v>7356025380</v>
      </c>
      <c r="F5066" s="1">
        <v>45043</v>
      </c>
      <c r="G5066" t="str">
        <f t="shared" si="935"/>
        <v>91197</v>
      </c>
      <c r="H5066">
        <v>6</v>
      </c>
      <c r="I5066">
        <v>6288</v>
      </c>
      <c r="J5066">
        <v>0</v>
      </c>
      <c r="K5066" t="str">
        <f t="shared" si="934"/>
        <v>813</v>
      </c>
      <c r="L5066">
        <v>5281.92</v>
      </c>
    </row>
    <row r="5067" spans="1:12" x14ac:dyDescent="0.25">
      <c r="A5067" t="str">
        <f t="shared" si="932"/>
        <v>89301000</v>
      </c>
      <c r="B5067" t="str">
        <f t="shared" si="931"/>
        <v>78006000</v>
      </c>
      <c r="C5067" t="str">
        <f t="shared" si="933"/>
        <v>78006207</v>
      </c>
      <c r="D5067">
        <v>89301171</v>
      </c>
      <c r="E5067" t="str">
        <f>"6411231464"</f>
        <v>6411231464</v>
      </c>
      <c r="F5067" s="1">
        <v>45043</v>
      </c>
      <c r="G5067" t="str">
        <f t="shared" si="935"/>
        <v>91197</v>
      </c>
      <c r="H5067">
        <v>6</v>
      </c>
      <c r="I5067">
        <v>6288</v>
      </c>
      <c r="J5067">
        <v>0</v>
      </c>
      <c r="K5067" t="str">
        <f t="shared" si="934"/>
        <v>813</v>
      </c>
      <c r="L5067">
        <v>5281.92</v>
      </c>
    </row>
    <row r="5068" spans="1:12" x14ac:dyDescent="0.25">
      <c r="A5068" t="str">
        <f t="shared" si="932"/>
        <v>89301000</v>
      </c>
      <c r="B5068" t="str">
        <f t="shared" si="931"/>
        <v>78006000</v>
      </c>
      <c r="C5068" t="str">
        <f t="shared" si="933"/>
        <v>78006207</v>
      </c>
      <c r="D5068">
        <v>89301171</v>
      </c>
      <c r="E5068" t="str">
        <f>"470513415"</f>
        <v>470513415</v>
      </c>
      <c r="F5068" s="1">
        <v>45022</v>
      </c>
      <c r="G5068" t="str">
        <f t="shared" si="935"/>
        <v>91197</v>
      </c>
      <c r="H5068">
        <v>6</v>
      </c>
      <c r="I5068">
        <v>6288</v>
      </c>
      <c r="J5068">
        <v>0</v>
      </c>
      <c r="K5068" t="str">
        <f t="shared" si="934"/>
        <v>813</v>
      </c>
      <c r="L5068">
        <v>5281.92</v>
      </c>
    </row>
    <row r="5069" spans="1:12" x14ac:dyDescent="0.25">
      <c r="A5069" t="str">
        <f t="shared" si="932"/>
        <v>89301000</v>
      </c>
      <c r="B5069" t="str">
        <f t="shared" si="931"/>
        <v>78006000</v>
      </c>
      <c r="C5069" t="str">
        <f t="shared" ref="C5069:C5080" si="936">"78006233"</f>
        <v>78006233</v>
      </c>
      <c r="D5069">
        <v>89301312</v>
      </c>
      <c r="E5069" t="str">
        <f>"7353124460"</f>
        <v>7353124460</v>
      </c>
      <c r="F5069" s="1">
        <v>45022</v>
      </c>
      <c r="G5069" t="str">
        <f>"89713"</f>
        <v>89713</v>
      </c>
      <c r="H5069">
        <v>1</v>
      </c>
      <c r="I5069">
        <v>5411</v>
      </c>
      <c r="J5069">
        <v>0</v>
      </c>
      <c r="K5069" t="str">
        <f t="shared" ref="K5069:K5080" si="937">"810"</f>
        <v>810</v>
      </c>
      <c r="L5069">
        <v>3517.15</v>
      </c>
    </row>
    <row r="5070" spans="1:12" x14ac:dyDescent="0.25">
      <c r="A5070" t="str">
        <f t="shared" si="932"/>
        <v>89301000</v>
      </c>
      <c r="B5070" t="str">
        <f t="shared" si="931"/>
        <v>78006000</v>
      </c>
      <c r="C5070" t="str">
        <f t="shared" si="936"/>
        <v>78006233</v>
      </c>
      <c r="D5070">
        <v>89301312</v>
      </c>
      <c r="E5070" t="str">
        <f>"7353124460"</f>
        <v>7353124460</v>
      </c>
      <c r="F5070" s="1">
        <v>45022</v>
      </c>
      <c r="G5070" t="str">
        <f>"89725"</f>
        <v>89725</v>
      </c>
      <c r="H5070">
        <v>1</v>
      </c>
      <c r="I5070">
        <v>2863</v>
      </c>
      <c r="J5070">
        <v>0</v>
      </c>
      <c r="K5070" t="str">
        <f t="shared" si="937"/>
        <v>810</v>
      </c>
      <c r="L5070">
        <v>1860.95</v>
      </c>
    </row>
    <row r="5071" spans="1:12" x14ac:dyDescent="0.25">
      <c r="A5071" t="str">
        <f t="shared" si="932"/>
        <v>89301000</v>
      </c>
      <c r="B5071" t="str">
        <f t="shared" si="931"/>
        <v>78006000</v>
      </c>
      <c r="C5071" t="str">
        <f t="shared" si="936"/>
        <v>78006233</v>
      </c>
      <c r="D5071">
        <v>89301062</v>
      </c>
      <c r="E5071" t="str">
        <f>"5505050650"</f>
        <v>5505050650</v>
      </c>
      <c r="F5071" s="1">
        <v>45029</v>
      </c>
      <c r="G5071" t="str">
        <f>"89713"</f>
        <v>89713</v>
      </c>
      <c r="H5071">
        <v>1</v>
      </c>
      <c r="I5071">
        <v>5411</v>
      </c>
      <c r="J5071">
        <v>0</v>
      </c>
      <c r="K5071" t="str">
        <f t="shared" si="937"/>
        <v>810</v>
      </c>
      <c r="L5071">
        <v>3517.15</v>
      </c>
    </row>
    <row r="5072" spans="1:12" x14ac:dyDescent="0.25">
      <c r="A5072" t="str">
        <f t="shared" si="932"/>
        <v>89301000</v>
      </c>
      <c r="B5072" t="str">
        <f t="shared" si="931"/>
        <v>78006000</v>
      </c>
      <c r="C5072" t="str">
        <f t="shared" si="936"/>
        <v>78006233</v>
      </c>
      <c r="D5072">
        <v>89301062</v>
      </c>
      <c r="E5072" t="str">
        <f>"5505050650"</f>
        <v>5505050650</v>
      </c>
      <c r="F5072" s="1">
        <v>45029</v>
      </c>
      <c r="G5072" t="str">
        <f>"89725"</f>
        <v>89725</v>
      </c>
      <c r="H5072">
        <v>1</v>
      </c>
      <c r="I5072">
        <v>2863</v>
      </c>
      <c r="J5072">
        <v>0</v>
      </c>
      <c r="K5072" t="str">
        <f t="shared" si="937"/>
        <v>810</v>
      </c>
      <c r="L5072">
        <v>1860.95</v>
      </c>
    </row>
    <row r="5073" spans="1:12" x14ac:dyDescent="0.25">
      <c r="A5073" t="str">
        <f t="shared" si="932"/>
        <v>89301000</v>
      </c>
      <c r="B5073" t="str">
        <f t="shared" si="931"/>
        <v>78006000</v>
      </c>
      <c r="C5073" t="str">
        <f t="shared" si="936"/>
        <v>78006233</v>
      </c>
      <c r="D5073">
        <v>89301062</v>
      </c>
      <c r="E5073" t="str">
        <f>"5505050650"</f>
        <v>5505050650</v>
      </c>
      <c r="F5073" s="1">
        <v>45029</v>
      </c>
      <c r="G5073" t="str">
        <f>"89713"</f>
        <v>89713</v>
      </c>
      <c r="H5073">
        <v>1</v>
      </c>
      <c r="I5073">
        <v>5411</v>
      </c>
      <c r="J5073">
        <v>0</v>
      </c>
      <c r="K5073" t="str">
        <f t="shared" si="937"/>
        <v>810</v>
      </c>
      <c r="L5073">
        <v>3517.15</v>
      </c>
    </row>
    <row r="5074" spans="1:12" x14ac:dyDescent="0.25">
      <c r="A5074" t="str">
        <f t="shared" si="932"/>
        <v>89301000</v>
      </c>
      <c r="B5074" t="str">
        <f t="shared" si="931"/>
        <v>78006000</v>
      </c>
      <c r="C5074" t="str">
        <f t="shared" si="936"/>
        <v>78006233</v>
      </c>
      <c r="D5074">
        <v>89301062</v>
      </c>
      <c r="E5074" t="str">
        <f>"5505050650"</f>
        <v>5505050650</v>
      </c>
      <c r="F5074" s="1">
        <v>45029</v>
      </c>
      <c r="G5074" t="str">
        <f>"89713"</f>
        <v>89713</v>
      </c>
      <c r="H5074">
        <v>1</v>
      </c>
      <c r="I5074">
        <v>5411</v>
      </c>
      <c r="J5074">
        <v>0</v>
      </c>
      <c r="K5074" t="str">
        <f t="shared" si="937"/>
        <v>810</v>
      </c>
      <c r="L5074">
        <v>3517.15</v>
      </c>
    </row>
    <row r="5075" spans="1:12" x14ac:dyDescent="0.25">
      <c r="A5075" t="str">
        <f t="shared" si="932"/>
        <v>89301000</v>
      </c>
      <c r="B5075" t="str">
        <f t="shared" si="931"/>
        <v>78006000</v>
      </c>
      <c r="C5075" t="str">
        <f t="shared" si="936"/>
        <v>78006233</v>
      </c>
      <c r="D5075">
        <v>89301062</v>
      </c>
      <c r="E5075" t="str">
        <f>"5505050650"</f>
        <v>5505050650</v>
      </c>
      <c r="F5075" s="1">
        <v>45029</v>
      </c>
      <c r="G5075" t="str">
        <f>"0207745"</f>
        <v>0207745</v>
      </c>
      <c r="H5075">
        <v>0.2</v>
      </c>
      <c r="J5075">
        <v>1295.26</v>
      </c>
      <c r="K5075" t="str">
        <f t="shared" si="937"/>
        <v>810</v>
      </c>
      <c r="L5075">
        <v>1295.26</v>
      </c>
    </row>
    <row r="5076" spans="1:12" x14ac:dyDescent="0.25">
      <c r="A5076" t="str">
        <f t="shared" si="932"/>
        <v>89301000</v>
      </c>
      <c r="B5076" t="str">
        <f t="shared" si="931"/>
        <v>78006000</v>
      </c>
      <c r="C5076" t="str">
        <f t="shared" si="936"/>
        <v>78006233</v>
      </c>
      <c r="D5076">
        <v>89301061</v>
      </c>
      <c r="E5076" t="str">
        <f>"8956294765"</f>
        <v>8956294765</v>
      </c>
      <c r="F5076" s="1">
        <v>45040</v>
      </c>
      <c r="G5076" t="str">
        <f>"89713"</f>
        <v>89713</v>
      </c>
      <c r="H5076">
        <v>1</v>
      </c>
      <c r="I5076">
        <v>5411</v>
      </c>
      <c r="J5076">
        <v>0</v>
      </c>
      <c r="K5076" t="str">
        <f t="shared" si="937"/>
        <v>810</v>
      </c>
      <c r="L5076">
        <v>3517.15</v>
      </c>
    </row>
    <row r="5077" spans="1:12" x14ac:dyDescent="0.25">
      <c r="A5077" t="str">
        <f t="shared" si="932"/>
        <v>89301000</v>
      </c>
      <c r="B5077" t="str">
        <f t="shared" si="931"/>
        <v>78006000</v>
      </c>
      <c r="C5077" t="str">
        <f t="shared" si="936"/>
        <v>78006233</v>
      </c>
      <c r="D5077">
        <v>89301061</v>
      </c>
      <c r="E5077" t="str">
        <f>"8956294765"</f>
        <v>8956294765</v>
      </c>
      <c r="F5077" s="1">
        <v>45040</v>
      </c>
      <c r="G5077" t="str">
        <f>"89713"</f>
        <v>89713</v>
      </c>
      <c r="H5077">
        <v>1</v>
      </c>
      <c r="I5077">
        <v>5411</v>
      </c>
      <c r="J5077">
        <v>0</v>
      </c>
      <c r="K5077" t="str">
        <f t="shared" si="937"/>
        <v>810</v>
      </c>
      <c r="L5077">
        <v>3517.15</v>
      </c>
    </row>
    <row r="5078" spans="1:12" x14ac:dyDescent="0.25">
      <c r="A5078" t="str">
        <f t="shared" si="932"/>
        <v>89301000</v>
      </c>
      <c r="B5078" t="str">
        <f t="shared" si="931"/>
        <v>78006000</v>
      </c>
      <c r="C5078" t="str">
        <f t="shared" si="936"/>
        <v>78006233</v>
      </c>
      <c r="D5078">
        <v>89301061</v>
      </c>
      <c r="E5078" t="str">
        <f>"8956294765"</f>
        <v>8956294765</v>
      </c>
      <c r="F5078" s="1">
        <v>45040</v>
      </c>
      <c r="G5078" t="str">
        <f>"89725"</f>
        <v>89725</v>
      </c>
      <c r="H5078">
        <v>1</v>
      </c>
      <c r="I5078">
        <v>2863</v>
      </c>
      <c r="J5078">
        <v>0</v>
      </c>
      <c r="K5078" t="str">
        <f t="shared" si="937"/>
        <v>810</v>
      </c>
      <c r="L5078">
        <v>1860.95</v>
      </c>
    </row>
    <row r="5079" spans="1:12" x14ac:dyDescent="0.25">
      <c r="A5079" t="str">
        <f t="shared" si="932"/>
        <v>89301000</v>
      </c>
      <c r="B5079" t="str">
        <f t="shared" si="931"/>
        <v>78006000</v>
      </c>
      <c r="C5079" t="str">
        <f t="shared" si="936"/>
        <v>78006233</v>
      </c>
      <c r="D5079">
        <v>89301312</v>
      </c>
      <c r="E5079" t="str">
        <f>"7554085704"</f>
        <v>7554085704</v>
      </c>
      <c r="F5079" s="1">
        <v>45041</v>
      </c>
      <c r="G5079" t="str">
        <f>"89713"</f>
        <v>89713</v>
      </c>
      <c r="H5079">
        <v>1</v>
      </c>
      <c r="I5079">
        <v>5411</v>
      </c>
      <c r="J5079">
        <v>0</v>
      </c>
      <c r="K5079" t="str">
        <f t="shared" si="937"/>
        <v>810</v>
      </c>
      <c r="L5079">
        <v>3517.15</v>
      </c>
    </row>
    <row r="5080" spans="1:12" x14ac:dyDescent="0.25">
      <c r="A5080" t="str">
        <f t="shared" si="932"/>
        <v>89301000</v>
      </c>
      <c r="B5080" t="str">
        <f t="shared" si="931"/>
        <v>78006000</v>
      </c>
      <c r="C5080" t="str">
        <f t="shared" si="936"/>
        <v>78006233</v>
      </c>
      <c r="D5080">
        <v>89301312</v>
      </c>
      <c r="E5080" t="str">
        <f>"9356055742"</f>
        <v>9356055742</v>
      </c>
      <c r="F5080" s="1">
        <v>45042</v>
      </c>
      <c r="G5080" t="str">
        <f>"89713"</f>
        <v>89713</v>
      </c>
      <c r="H5080">
        <v>1</v>
      </c>
      <c r="I5080">
        <v>5411</v>
      </c>
      <c r="J5080">
        <v>0</v>
      </c>
      <c r="K5080" t="str">
        <f t="shared" si="937"/>
        <v>810</v>
      </c>
      <c r="L5080">
        <v>3517.15</v>
      </c>
    </row>
    <row r="5081" spans="1:12" x14ac:dyDescent="0.25">
      <c r="A5081" t="str">
        <f t="shared" si="932"/>
        <v>89301000</v>
      </c>
      <c r="B5081" t="str">
        <f t="shared" si="931"/>
        <v>78006000</v>
      </c>
      <c r="C5081" t="str">
        <f>"78006205"</f>
        <v>78006205</v>
      </c>
      <c r="D5081">
        <v>89301167</v>
      </c>
      <c r="E5081" t="str">
        <f>"5854210813"</f>
        <v>5854210813</v>
      </c>
      <c r="F5081" s="1">
        <v>45040</v>
      </c>
      <c r="G5081" t="str">
        <f>"96167"</f>
        <v>96167</v>
      </c>
      <c r="H5081">
        <v>1</v>
      </c>
      <c r="I5081">
        <v>67</v>
      </c>
      <c r="J5081">
        <v>0</v>
      </c>
      <c r="K5081" t="str">
        <f>"818"</f>
        <v>818</v>
      </c>
      <c r="L5081">
        <v>64.989999999999995</v>
      </c>
    </row>
    <row r="5082" spans="1:12" x14ac:dyDescent="0.25">
      <c r="A5082" t="str">
        <f t="shared" si="932"/>
        <v>89301000</v>
      </c>
      <c r="B5082" t="str">
        <f t="shared" si="931"/>
        <v>78006000</v>
      </c>
      <c r="C5082" t="str">
        <f t="shared" ref="C5082:C5087" si="938">"78006831"</f>
        <v>78006831</v>
      </c>
      <c r="D5082">
        <v>89301034</v>
      </c>
      <c r="E5082" t="str">
        <f>"7606293508"</f>
        <v>7606293508</v>
      </c>
      <c r="F5082" s="1">
        <v>45033</v>
      </c>
      <c r="G5082" t="str">
        <f>"89513"</f>
        <v>89513</v>
      </c>
      <c r="H5082">
        <v>1</v>
      </c>
      <c r="I5082">
        <v>378</v>
      </c>
      <c r="J5082">
        <v>0</v>
      </c>
      <c r="K5082" t="str">
        <f t="shared" ref="K5082:K5104" si="939">"809"</f>
        <v>809</v>
      </c>
      <c r="L5082">
        <v>555.66</v>
      </c>
    </row>
    <row r="5083" spans="1:12" x14ac:dyDescent="0.25">
      <c r="A5083" t="str">
        <f t="shared" si="932"/>
        <v>89301000</v>
      </c>
      <c r="B5083" t="str">
        <f t="shared" si="931"/>
        <v>78006000</v>
      </c>
      <c r="C5083" t="str">
        <f t="shared" si="938"/>
        <v>78006831</v>
      </c>
      <c r="D5083">
        <v>89301034</v>
      </c>
      <c r="E5083" t="str">
        <f>"7606293508"</f>
        <v>7606293508</v>
      </c>
      <c r="F5083" s="1">
        <v>45033</v>
      </c>
      <c r="G5083" t="str">
        <f>"89514"</f>
        <v>89514</v>
      </c>
      <c r="H5083">
        <v>1</v>
      </c>
      <c r="I5083">
        <v>378</v>
      </c>
      <c r="J5083">
        <v>0</v>
      </c>
      <c r="K5083" t="str">
        <f t="shared" si="939"/>
        <v>809</v>
      </c>
      <c r="L5083">
        <v>555.66</v>
      </c>
    </row>
    <row r="5084" spans="1:12" x14ac:dyDescent="0.25">
      <c r="A5084" t="str">
        <f t="shared" si="932"/>
        <v>89301000</v>
      </c>
      <c r="B5084" t="str">
        <f t="shared" si="931"/>
        <v>78006000</v>
      </c>
      <c r="C5084" t="str">
        <f t="shared" si="938"/>
        <v>78006831</v>
      </c>
      <c r="D5084">
        <v>89301034</v>
      </c>
      <c r="E5084" t="str">
        <f>"7452155304"</f>
        <v>7452155304</v>
      </c>
      <c r="F5084" s="1">
        <v>45033</v>
      </c>
      <c r="G5084" t="str">
        <f>"89513"</f>
        <v>89513</v>
      </c>
      <c r="H5084">
        <v>1</v>
      </c>
      <c r="I5084">
        <v>378</v>
      </c>
      <c r="J5084">
        <v>0</v>
      </c>
      <c r="K5084" t="str">
        <f t="shared" si="939"/>
        <v>809</v>
      </c>
      <c r="L5084">
        <v>555.66</v>
      </c>
    </row>
    <row r="5085" spans="1:12" x14ac:dyDescent="0.25">
      <c r="A5085" t="str">
        <f t="shared" si="932"/>
        <v>89301000</v>
      </c>
      <c r="B5085" t="str">
        <f t="shared" si="931"/>
        <v>78006000</v>
      </c>
      <c r="C5085" t="str">
        <f t="shared" si="938"/>
        <v>78006831</v>
      </c>
      <c r="D5085">
        <v>89301034</v>
      </c>
      <c r="E5085" t="str">
        <f>"7452155304"</f>
        <v>7452155304</v>
      </c>
      <c r="F5085" s="1">
        <v>45033</v>
      </c>
      <c r="G5085" t="str">
        <f>"89514"</f>
        <v>89514</v>
      </c>
      <c r="H5085">
        <v>1</v>
      </c>
      <c r="I5085">
        <v>378</v>
      </c>
      <c r="J5085">
        <v>0</v>
      </c>
      <c r="K5085" t="str">
        <f t="shared" si="939"/>
        <v>809</v>
      </c>
      <c r="L5085">
        <v>555.66</v>
      </c>
    </row>
    <row r="5086" spans="1:12" x14ac:dyDescent="0.25">
      <c r="A5086" t="str">
        <f t="shared" si="932"/>
        <v>89301000</v>
      </c>
      <c r="B5086" t="str">
        <f t="shared" si="931"/>
        <v>78006000</v>
      </c>
      <c r="C5086" t="str">
        <f t="shared" si="938"/>
        <v>78006831</v>
      </c>
      <c r="D5086">
        <v>89301037</v>
      </c>
      <c r="E5086" t="str">
        <f>"5856251907"</f>
        <v>5856251907</v>
      </c>
      <c r="F5086" s="1">
        <v>45033</v>
      </c>
      <c r="G5086" t="str">
        <f>"89131"</f>
        <v>89131</v>
      </c>
      <c r="H5086">
        <v>1</v>
      </c>
      <c r="I5086">
        <v>190</v>
      </c>
      <c r="J5086">
        <v>0</v>
      </c>
      <c r="K5086" t="str">
        <f t="shared" si="939"/>
        <v>809</v>
      </c>
      <c r="L5086">
        <v>279.3</v>
      </c>
    </row>
    <row r="5087" spans="1:12" x14ac:dyDescent="0.25">
      <c r="A5087" t="str">
        <f t="shared" si="932"/>
        <v>89301000</v>
      </c>
      <c r="B5087" t="str">
        <f t="shared" si="931"/>
        <v>78006000</v>
      </c>
      <c r="C5087" t="str">
        <f t="shared" si="938"/>
        <v>78006831</v>
      </c>
      <c r="D5087">
        <v>89301212</v>
      </c>
      <c r="E5087" t="str">
        <f>"535404202"</f>
        <v>535404202</v>
      </c>
      <c r="F5087" s="1">
        <v>45035</v>
      </c>
      <c r="G5087" t="str">
        <f>"89131"</f>
        <v>89131</v>
      </c>
      <c r="H5087">
        <v>1</v>
      </c>
      <c r="I5087">
        <v>190</v>
      </c>
      <c r="J5087">
        <v>0</v>
      </c>
      <c r="K5087" t="str">
        <f t="shared" si="939"/>
        <v>809</v>
      </c>
      <c r="L5087">
        <v>279.3</v>
      </c>
    </row>
    <row r="5088" spans="1:12" x14ac:dyDescent="0.25">
      <c r="A5088" t="str">
        <f t="shared" si="932"/>
        <v>89301000</v>
      </c>
      <c r="B5088" t="str">
        <f t="shared" si="931"/>
        <v>78006000</v>
      </c>
      <c r="C5088" t="str">
        <f t="shared" ref="C5088:C5102" si="940">"78006231"</f>
        <v>78006231</v>
      </c>
      <c r="D5088">
        <v>89301212</v>
      </c>
      <c r="E5088" t="str">
        <f>"7561145350"</f>
        <v>7561145350</v>
      </c>
      <c r="F5088" s="1">
        <v>45030</v>
      </c>
      <c r="G5088" t="str">
        <f>"89180"</f>
        <v>89180</v>
      </c>
      <c r="H5088">
        <v>2</v>
      </c>
      <c r="I5088">
        <v>762</v>
      </c>
      <c r="J5088">
        <v>0</v>
      </c>
      <c r="K5088" t="str">
        <f t="shared" si="939"/>
        <v>809</v>
      </c>
      <c r="L5088">
        <v>1120.1400000000001</v>
      </c>
    </row>
    <row r="5089" spans="1:12" x14ac:dyDescent="0.25">
      <c r="A5089" t="str">
        <f t="shared" si="932"/>
        <v>89301000</v>
      </c>
      <c r="B5089" t="str">
        <f t="shared" ref="B5089:B5115" si="941">"78006000"</f>
        <v>78006000</v>
      </c>
      <c r="C5089" t="str">
        <f t="shared" si="940"/>
        <v>78006231</v>
      </c>
      <c r="D5089">
        <v>89301212</v>
      </c>
      <c r="E5089" t="str">
        <f>"7561145350"</f>
        <v>7561145350</v>
      </c>
      <c r="F5089" s="1">
        <v>45030</v>
      </c>
      <c r="G5089" t="str">
        <f>"89512"</f>
        <v>89512</v>
      </c>
      <c r="H5089">
        <v>1</v>
      </c>
      <c r="I5089">
        <v>283</v>
      </c>
      <c r="J5089">
        <v>0</v>
      </c>
      <c r="K5089" t="str">
        <f t="shared" si="939"/>
        <v>809</v>
      </c>
      <c r="L5089">
        <v>416.01</v>
      </c>
    </row>
    <row r="5090" spans="1:12" x14ac:dyDescent="0.25">
      <c r="A5090" t="str">
        <f t="shared" si="932"/>
        <v>89301000</v>
      </c>
      <c r="B5090" t="str">
        <f t="shared" si="941"/>
        <v>78006000</v>
      </c>
      <c r="C5090" t="str">
        <f t="shared" si="940"/>
        <v>78006231</v>
      </c>
      <c r="D5090">
        <v>89301292</v>
      </c>
      <c r="E5090" t="str">
        <f>"7961214470"</f>
        <v>7961214470</v>
      </c>
      <c r="F5090" s="1">
        <v>45035</v>
      </c>
      <c r="G5090" t="str">
        <f>"89180"</f>
        <v>89180</v>
      </c>
      <c r="H5090">
        <v>2</v>
      </c>
      <c r="I5090">
        <v>762</v>
      </c>
      <c r="J5090">
        <v>0</v>
      </c>
      <c r="K5090" t="str">
        <f t="shared" si="939"/>
        <v>809</v>
      </c>
      <c r="L5090">
        <v>1120.1400000000001</v>
      </c>
    </row>
    <row r="5091" spans="1:12" x14ac:dyDescent="0.25">
      <c r="A5091" t="str">
        <f t="shared" si="932"/>
        <v>89301000</v>
      </c>
      <c r="B5091" t="str">
        <f t="shared" si="941"/>
        <v>78006000</v>
      </c>
      <c r="C5091" t="str">
        <f t="shared" si="940"/>
        <v>78006231</v>
      </c>
      <c r="D5091">
        <v>89301212</v>
      </c>
      <c r="E5091" t="str">
        <f>"7561145350"</f>
        <v>7561145350</v>
      </c>
      <c r="F5091" s="1">
        <v>45030</v>
      </c>
      <c r="G5091" t="str">
        <f>"89513"</f>
        <v>89513</v>
      </c>
      <c r="H5091">
        <v>1</v>
      </c>
      <c r="I5091">
        <v>378</v>
      </c>
      <c r="J5091">
        <v>0</v>
      </c>
      <c r="K5091" t="str">
        <f t="shared" si="939"/>
        <v>809</v>
      </c>
      <c r="L5091">
        <v>555.66</v>
      </c>
    </row>
    <row r="5092" spans="1:12" x14ac:dyDescent="0.25">
      <c r="A5092" t="str">
        <f t="shared" si="932"/>
        <v>89301000</v>
      </c>
      <c r="B5092" t="str">
        <f t="shared" si="941"/>
        <v>78006000</v>
      </c>
      <c r="C5092" t="str">
        <f t="shared" si="940"/>
        <v>78006231</v>
      </c>
      <c r="D5092">
        <v>89301212</v>
      </c>
      <c r="E5092" t="str">
        <f>"7561145350"</f>
        <v>7561145350</v>
      </c>
      <c r="F5092" s="1">
        <v>45030</v>
      </c>
      <c r="G5092" t="str">
        <f>"89514"</f>
        <v>89514</v>
      </c>
      <c r="H5092">
        <v>1</v>
      </c>
      <c r="I5092">
        <v>378</v>
      </c>
      <c r="J5092">
        <v>0</v>
      </c>
      <c r="K5092" t="str">
        <f t="shared" si="939"/>
        <v>809</v>
      </c>
      <c r="L5092">
        <v>555.66</v>
      </c>
    </row>
    <row r="5093" spans="1:12" x14ac:dyDescent="0.25">
      <c r="A5093" t="str">
        <f t="shared" si="932"/>
        <v>89301000</v>
      </c>
      <c r="B5093" t="str">
        <f t="shared" si="941"/>
        <v>78006000</v>
      </c>
      <c r="C5093" t="str">
        <f t="shared" si="940"/>
        <v>78006231</v>
      </c>
      <c r="D5093">
        <v>89301292</v>
      </c>
      <c r="E5093" t="str">
        <f>"7961214470"</f>
        <v>7961214470</v>
      </c>
      <c r="F5093" s="1">
        <v>45035</v>
      </c>
      <c r="G5093" t="str">
        <f>"89513"</f>
        <v>89513</v>
      </c>
      <c r="H5093">
        <v>1</v>
      </c>
      <c r="I5093">
        <v>378</v>
      </c>
      <c r="J5093">
        <v>0</v>
      </c>
      <c r="K5093" t="str">
        <f t="shared" si="939"/>
        <v>809</v>
      </c>
      <c r="L5093">
        <v>555.66</v>
      </c>
    </row>
    <row r="5094" spans="1:12" x14ac:dyDescent="0.25">
      <c r="A5094" t="str">
        <f t="shared" si="932"/>
        <v>89301000</v>
      </c>
      <c r="B5094" t="str">
        <f t="shared" si="941"/>
        <v>78006000</v>
      </c>
      <c r="C5094" t="str">
        <f t="shared" si="940"/>
        <v>78006231</v>
      </c>
      <c r="D5094">
        <v>89301292</v>
      </c>
      <c r="E5094" t="str">
        <f>"7961214470"</f>
        <v>7961214470</v>
      </c>
      <c r="F5094" s="1">
        <v>45035</v>
      </c>
      <c r="G5094" t="str">
        <f>"89514"</f>
        <v>89514</v>
      </c>
      <c r="H5094">
        <v>1</v>
      </c>
      <c r="I5094">
        <v>378</v>
      </c>
      <c r="J5094">
        <v>0</v>
      </c>
      <c r="K5094" t="str">
        <f t="shared" si="939"/>
        <v>809</v>
      </c>
      <c r="L5094">
        <v>555.66</v>
      </c>
    </row>
    <row r="5095" spans="1:12" x14ac:dyDescent="0.25">
      <c r="A5095" t="str">
        <f t="shared" si="932"/>
        <v>89301000</v>
      </c>
      <c r="B5095" t="str">
        <f t="shared" si="941"/>
        <v>78006000</v>
      </c>
      <c r="C5095" t="str">
        <f t="shared" si="940"/>
        <v>78006231</v>
      </c>
      <c r="D5095">
        <v>89301212</v>
      </c>
      <c r="E5095" t="str">
        <f>"535823134"</f>
        <v>535823134</v>
      </c>
      <c r="F5095" s="1">
        <v>45022</v>
      </c>
      <c r="G5095" t="str">
        <f>"89131"</f>
        <v>89131</v>
      </c>
      <c r="H5095">
        <v>1</v>
      </c>
      <c r="I5095">
        <v>190</v>
      </c>
      <c r="J5095">
        <v>0</v>
      </c>
      <c r="K5095" t="str">
        <f t="shared" si="939"/>
        <v>809</v>
      </c>
      <c r="L5095">
        <v>279.3</v>
      </c>
    </row>
    <row r="5096" spans="1:12" x14ac:dyDescent="0.25">
      <c r="A5096" t="str">
        <f t="shared" si="932"/>
        <v>89301000</v>
      </c>
      <c r="B5096" t="str">
        <f t="shared" si="941"/>
        <v>78006000</v>
      </c>
      <c r="C5096" t="str">
        <f t="shared" si="940"/>
        <v>78006231</v>
      </c>
      <c r="D5096">
        <v>89301062</v>
      </c>
      <c r="E5096" t="str">
        <f>"8801274944"</f>
        <v>8801274944</v>
      </c>
      <c r="F5096" s="1">
        <v>45043</v>
      </c>
      <c r="G5096" t="str">
        <f>"89119"</f>
        <v>89119</v>
      </c>
      <c r="H5096">
        <v>1</v>
      </c>
      <c r="I5096">
        <v>204</v>
      </c>
      <c r="J5096">
        <v>0</v>
      </c>
      <c r="K5096" t="str">
        <f t="shared" si="939"/>
        <v>809</v>
      </c>
      <c r="L5096">
        <v>299.88</v>
      </c>
    </row>
    <row r="5097" spans="1:12" x14ac:dyDescent="0.25">
      <c r="A5097" t="str">
        <f t="shared" si="932"/>
        <v>89301000</v>
      </c>
      <c r="B5097" t="str">
        <f t="shared" si="941"/>
        <v>78006000</v>
      </c>
      <c r="C5097" t="str">
        <f t="shared" si="940"/>
        <v>78006231</v>
      </c>
      <c r="D5097">
        <v>89301172</v>
      </c>
      <c r="E5097" t="str">
        <f>"7657244518"</f>
        <v>7657244518</v>
      </c>
      <c r="F5097" s="1">
        <v>45021</v>
      </c>
      <c r="G5097" t="str">
        <f>"89513"</f>
        <v>89513</v>
      </c>
      <c r="H5097">
        <v>1</v>
      </c>
      <c r="I5097">
        <v>378</v>
      </c>
      <c r="J5097">
        <v>0</v>
      </c>
      <c r="K5097" t="str">
        <f t="shared" si="939"/>
        <v>809</v>
      </c>
      <c r="L5097">
        <v>555.66</v>
      </c>
    </row>
    <row r="5098" spans="1:12" x14ac:dyDescent="0.25">
      <c r="A5098" t="str">
        <f t="shared" si="932"/>
        <v>89301000</v>
      </c>
      <c r="B5098" t="str">
        <f t="shared" si="941"/>
        <v>78006000</v>
      </c>
      <c r="C5098" t="str">
        <f t="shared" si="940"/>
        <v>78006231</v>
      </c>
      <c r="D5098">
        <v>89301172</v>
      </c>
      <c r="E5098" t="str">
        <f>"7657244518"</f>
        <v>7657244518</v>
      </c>
      <c r="F5098" s="1">
        <v>45021</v>
      </c>
      <c r="G5098" t="str">
        <f>"89514"</f>
        <v>89514</v>
      </c>
      <c r="H5098">
        <v>1</v>
      </c>
      <c r="I5098">
        <v>378</v>
      </c>
      <c r="J5098">
        <v>0</v>
      </c>
      <c r="K5098" t="str">
        <f t="shared" si="939"/>
        <v>809</v>
      </c>
      <c r="L5098">
        <v>555.66</v>
      </c>
    </row>
    <row r="5099" spans="1:12" x14ac:dyDescent="0.25">
      <c r="A5099" t="str">
        <f t="shared" si="932"/>
        <v>89301000</v>
      </c>
      <c r="B5099" t="str">
        <f t="shared" si="941"/>
        <v>78006000</v>
      </c>
      <c r="C5099" t="str">
        <f t="shared" si="940"/>
        <v>78006231</v>
      </c>
      <c r="D5099">
        <v>89301212</v>
      </c>
      <c r="E5099" t="str">
        <f>"535823134"</f>
        <v>535823134</v>
      </c>
      <c r="F5099" s="1">
        <v>45022</v>
      </c>
      <c r="G5099" t="str">
        <f>"89513"</f>
        <v>89513</v>
      </c>
      <c r="H5099">
        <v>1</v>
      </c>
      <c r="I5099">
        <v>378</v>
      </c>
      <c r="J5099">
        <v>0</v>
      </c>
      <c r="K5099" t="str">
        <f t="shared" si="939"/>
        <v>809</v>
      </c>
      <c r="L5099">
        <v>555.66</v>
      </c>
    </row>
    <row r="5100" spans="1:12" x14ac:dyDescent="0.25">
      <c r="A5100" t="str">
        <f t="shared" si="932"/>
        <v>89301000</v>
      </c>
      <c r="B5100" t="str">
        <f t="shared" si="941"/>
        <v>78006000</v>
      </c>
      <c r="C5100" t="str">
        <f t="shared" si="940"/>
        <v>78006231</v>
      </c>
      <c r="D5100">
        <v>89301212</v>
      </c>
      <c r="E5100" t="str">
        <f>"535823134"</f>
        <v>535823134</v>
      </c>
      <c r="F5100" s="1">
        <v>45022</v>
      </c>
      <c r="G5100" t="str">
        <f>"89514"</f>
        <v>89514</v>
      </c>
      <c r="H5100">
        <v>1</v>
      </c>
      <c r="I5100">
        <v>378</v>
      </c>
      <c r="J5100">
        <v>0</v>
      </c>
      <c r="K5100" t="str">
        <f t="shared" si="939"/>
        <v>809</v>
      </c>
      <c r="L5100">
        <v>555.66</v>
      </c>
    </row>
    <row r="5101" spans="1:12" x14ac:dyDescent="0.25">
      <c r="A5101" t="str">
        <f t="shared" si="932"/>
        <v>89301000</v>
      </c>
      <c r="B5101" t="str">
        <f t="shared" si="941"/>
        <v>78006000</v>
      </c>
      <c r="C5101" t="str">
        <f t="shared" si="940"/>
        <v>78006231</v>
      </c>
      <c r="D5101">
        <v>89301042</v>
      </c>
      <c r="E5101" t="str">
        <f>"6407220083"</f>
        <v>6407220083</v>
      </c>
      <c r="F5101" s="1">
        <v>45029</v>
      </c>
      <c r="G5101" t="str">
        <f>"89513"</f>
        <v>89513</v>
      </c>
      <c r="H5101">
        <v>1</v>
      </c>
      <c r="I5101">
        <v>378</v>
      </c>
      <c r="J5101">
        <v>0</v>
      </c>
      <c r="K5101" t="str">
        <f t="shared" si="939"/>
        <v>809</v>
      </c>
      <c r="L5101">
        <v>555.66</v>
      </c>
    </row>
    <row r="5102" spans="1:12" x14ac:dyDescent="0.25">
      <c r="A5102" t="str">
        <f t="shared" si="932"/>
        <v>89301000</v>
      </c>
      <c r="B5102" t="str">
        <f t="shared" si="941"/>
        <v>78006000</v>
      </c>
      <c r="C5102" t="str">
        <f t="shared" si="940"/>
        <v>78006231</v>
      </c>
      <c r="D5102">
        <v>89301042</v>
      </c>
      <c r="E5102" t="str">
        <f>"6407220083"</f>
        <v>6407220083</v>
      </c>
      <c r="F5102" s="1">
        <v>45029</v>
      </c>
      <c r="G5102" t="str">
        <f>"89514"</f>
        <v>89514</v>
      </c>
      <c r="H5102">
        <v>1</v>
      </c>
      <c r="I5102">
        <v>378</v>
      </c>
      <c r="J5102">
        <v>0</v>
      </c>
      <c r="K5102" t="str">
        <f t="shared" si="939"/>
        <v>809</v>
      </c>
      <c r="L5102">
        <v>555.66</v>
      </c>
    </row>
    <row r="5103" spans="1:12" x14ac:dyDescent="0.25">
      <c r="A5103" t="str">
        <f t="shared" si="932"/>
        <v>89301000</v>
      </c>
      <c r="B5103" t="str">
        <f t="shared" si="941"/>
        <v>78006000</v>
      </c>
      <c r="C5103" t="str">
        <f>"78006531"</f>
        <v>78006531</v>
      </c>
      <c r="D5103">
        <v>89301215</v>
      </c>
      <c r="E5103" t="str">
        <f>"535414122"</f>
        <v>535414122</v>
      </c>
      <c r="F5103" s="1">
        <v>45044</v>
      </c>
      <c r="G5103" t="str">
        <f>"89513"</f>
        <v>89513</v>
      </c>
      <c r="H5103">
        <v>1</v>
      </c>
      <c r="I5103">
        <v>378</v>
      </c>
      <c r="J5103">
        <v>0</v>
      </c>
      <c r="K5103" t="str">
        <f t="shared" si="939"/>
        <v>809</v>
      </c>
      <c r="L5103">
        <v>555.66</v>
      </c>
    </row>
    <row r="5104" spans="1:12" x14ac:dyDescent="0.25">
      <c r="A5104" t="str">
        <f t="shared" si="932"/>
        <v>89301000</v>
      </c>
      <c r="B5104" t="str">
        <f t="shared" si="941"/>
        <v>78006000</v>
      </c>
      <c r="C5104" t="str">
        <f>"78006531"</f>
        <v>78006531</v>
      </c>
      <c r="D5104">
        <v>89301215</v>
      </c>
      <c r="E5104" t="str">
        <f>"535414122"</f>
        <v>535414122</v>
      </c>
      <c r="F5104" s="1">
        <v>45044</v>
      </c>
      <c r="G5104" t="str">
        <f>"89514"</f>
        <v>89514</v>
      </c>
      <c r="H5104">
        <v>1</v>
      </c>
      <c r="I5104">
        <v>378</v>
      </c>
      <c r="J5104">
        <v>0</v>
      </c>
      <c r="K5104" t="str">
        <f t="shared" si="939"/>
        <v>809</v>
      </c>
      <c r="L5104">
        <v>555.66</v>
      </c>
    </row>
    <row r="5105" spans="1:12" x14ac:dyDescent="0.25">
      <c r="A5105" t="str">
        <f t="shared" si="932"/>
        <v>89301000</v>
      </c>
      <c r="B5105" t="str">
        <f t="shared" si="941"/>
        <v>78006000</v>
      </c>
      <c r="C5105" t="str">
        <f t="shared" ref="C5105:C5115" si="942">"78006201"</f>
        <v>78006201</v>
      </c>
      <c r="D5105">
        <v>89301167</v>
      </c>
      <c r="E5105" t="str">
        <f t="shared" ref="E5105:E5111" si="943">"5854210813"</f>
        <v>5854210813</v>
      </c>
      <c r="F5105" s="1">
        <v>45040</v>
      </c>
      <c r="G5105" t="str">
        <f>"81329"</f>
        <v>81329</v>
      </c>
      <c r="H5105">
        <v>1</v>
      </c>
      <c r="I5105">
        <v>17</v>
      </c>
      <c r="J5105">
        <v>0</v>
      </c>
      <c r="K5105" t="str">
        <f t="shared" ref="K5105:K5115" si="944">"801"</f>
        <v>801</v>
      </c>
      <c r="L5105">
        <v>14.28</v>
      </c>
    </row>
    <row r="5106" spans="1:12" x14ac:dyDescent="0.25">
      <c r="A5106" t="str">
        <f t="shared" si="932"/>
        <v>89301000</v>
      </c>
      <c r="B5106" t="str">
        <f t="shared" si="941"/>
        <v>78006000</v>
      </c>
      <c r="C5106" t="str">
        <f t="shared" si="942"/>
        <v>78006201</v>
      </c>
      <c r="D5106">
        <v>89301167</v>
      </c>
      <c r="E5106" t="str">
        <f t="shared" si="943"/>
        <v>5854210813</v>
      </c>
      <c r="F5106" s="1">
        <v>45040</v>
      </c>
      <c r="G5106" t="str">
        <f>"81383"</f>
        <v>81383</v>
      </c>
      <c r="H5106">
        <v>1</v>
      </c>
      <c r="I5106">
        <v>24</v>
      </c>
      <c r="J5106">
        <v>0</v>
      </c>
      <c r="K5106" t="str">
        <f t="shared" si="944"/>
        <v>801</v>
      </c>
      <c r="L5106">
        <v>20.16</v>
      </c>
    </row>
    <row r="5107" spans="1:12" x14ac:dyDescent="0.25">
      <c r="A5107" t="str">
        <f t="shared" si="932"/>
        <v>89301000</v>
      </c>
      <c r="B5107" t="str">
        <f t="shared" si="941"/>
        <v>78006000</v>
      </c>
      <c r="C5107" t="str">
        <f t="shared" si="942"/>
        <v>78006201</v>
      </c>
      <c r="D5107">
        <v>89301167</v>
      </c>
      <c r="E5107" t="str">
        <f t="shared" si="943"/>
        <v>5854210813</v>
      </c>
      <c r="F5107" s="1">
        <v>45040</v>
      </c>
      <c r="G5107" t="str">
        <f>"81625"</f>
        <v>81625</v>
      </c>
      <c r="H5107">
        <v>1</v>
      </c>
      <c r="I5107">
        <v>21</v>
      </c>
      <c r="J5107">
        <v>0</v>
      </c>
      <c r="K5107" t="str">
        <f t="shared" si="944"/>
        <v>801</v>
      </c>
      <c r="L5107">
        <v>17.64</v>
      </c>
    </row>
    <row r="5108" spans="1:12" x14ac:dyDescent="0.25">
      <c r="A5108" t="str">
        <f t="shared" si="932"/>
        <v>89301000</v>
      </c>
      <c r="B5108" t="str">
        <f t="shared" si="941"/>
        <v>78006000</v>
      </c>
      <c r="C5108" t="str">
        <f t="shared" si="942"/>
        <v>78006201</v>
      </c>
      <c r="D5108">
        <v>89301167</v>
      </c>
      <c r="E5108" t="str">
        <f t="shared" si="943"/>
        <v>5854210813</v>
      </c>
      <c r="F5108" s="1">
        <v>45040</v>
      </c>
      <c r="G5108" t="str">
        <f>"93131"</f>
        <v>93131</v>
      </c>
      <c r="H5108">
        <v>1</v>
      </c>
      <c r="I5108">
        <v>197</v>
      </c>
      <c r="J5108">
        <v>0</v>
      </c>
      <c r="K5108" t="str">
        <f t="shared" si="944"/>
        <v>801</v>
      </c>
      <c r="L5108">
        <v>165.48</v>
      </c>
    </row>
    <row r="5109" spans="1:12" x14ac:dyDescent="0.25">
      <c r="A5109" t="str">
        <f t="shared" si="932"/>
        <v>89301000</v>
      </c>
      <c r="B5109" t="str">
        <f t="shared" si="941"/>
        <v>78006000</v>
      </c>
      <c r="C5109" t="str">
        <f t="shared" si="942"/>
        <v>78006201</v>
      </c>
      <c r="D5109">
        <v>89301167</v>
      </c>
      <c r="E5109" t="str">
        <f t="shared" si="943"/>
        <v>5854210813</v>
      </c>
      <c r="F5109" s="1">
        <v>45040</v>
      </c>
      <c r="G5109" t="str">
        <f>"93189"</f>
        <v>93189</v>
      </c>
      <c r="H5109">
        <v>1</v>
      </c>
      <c r="I5109">
        <v>191</v>
      </c>
      <c r="J5109">
        <v>0</v>
      </c>
      <c r="K5109" t="str">
        <f t="shared" si="944"/>
        <v>801</v>
      </c>
      <c r="L5109">
        <v>160.44</v>
      </c>
    </row>
    <row r="5110" spans="1:12" x14ac:dyDescent="0.25">
      <c r="A5110" t="str">
        <f t="shared" si="932"/>
        <v>89301000</v>
      </c>
      <c r="B5110" t="str">
        <f t="shared" si="941"/>
        <v>78006000</v>
      </c>
      <c r="C5110" t="str">
        <f t="shared" si="942"/>
        <v>78006201</v>
      </c>
      <c r="D5110">
        <v>89301167</v>
      </c>
      <c r="E5110" t="str">
        <f t="shared" si="943"/>
        <v>5854210813</v>
      </c>
      <c r="F5110" s="1">
        <v>45040</v>
      </c>
      <c r="G5110" t="str">
        <f>"93195"</f>
        <v>93195</v>
      </c>
      <c r="H5110">
        <v>1</v>
      </c>
      <c r="I5110">
        <v>183</v>
      </c>
      <c r="J5110">
        <v>0</v>
      </c>
      <c r="K5110" t="str">
        <f t="shared" si="944"/>
        <v>801</v>
      </c>
      <c r="L5110">
        <v>153.72</v>
      </c>
    </row>
    <row r="5111" spans="1:12" x14ac:dyDescent="0.25">
      <c r="A5111" t="str">
        <f t="shared" si="932"/>
        <v>89301000</v>
      </c>
      <c r="B5111" t="str">
        <f t="shared" si="941"/>
        <v>78006000</v>
      </c>
      <c r="C5111" t="str">
        <f t="shared" si="942"/>
        <v>78006201</v>
      </c>
      <c r="D5111">
        <v>89301167</v>
      </c>
      <c r="E5111" t="str">
        <f t="shared" si="943"/>
        <v>5854210813</v>
      </c>
      <c r="F5111" s="1">
        <v>45040</v>
      </c>
      <c r="G5111" t="str">
        <f>"97111"</f>
        <v>97111</v>
      </c>
      <c r="H5111">
        <v>1</v>
      </c>
      <c r="I5111">
        <v>19</v>
      </c>
      <c r="J5111">
        <v>0</v>
      </c>
      <c r="K5111" t="str">
        <f t="shared" si="944"/>
        <v>801</v>
      </c>
      <c r="L5111">
        <v>23.94</v>
      </c>
    </row>
    <row r="5112" spans="1:12" x14ac:dyDescent="0.25">
      <c r="A5112" t="str">
        <f t="shared" si="932"/>
        <v>89301000</v>
      </c>
      <c r="B5112" t="str">
        <f t="shared" si="941"/>
        <v>78006000</v>
      </c>
      <c r="C5112" t="str">
        <f t="shared" si="942"/>
        <v>78006201</v>
      </c>
      <c r="D5112">
        <v>89301171</v>
      </c>
      <c r="E5112" t="str">
        <f>"8411235360"</f>
        <v>8411235360</v>
      </c>
      <c r="F5112" s="1">
        <v>45036</v>
      </c>
      <c r="G5112" t="str">
        <f>"81703"</f>
        <v>81703</v>
      </c>
      <c r="H5112">
        <v>2</v>
      </c>
      <c r="I5112">
        <v>556</v>
      </c>
      <c r="J5112">
        <v>0</v>
      </c>
      <c r="K5112" t="str">
        <f t="shared" si="944"/>
        <v>801</v>
      </c>
      <c r="L5112">
        <v>467.04</v>
      </c>
    </row>
    <row r="5113" spans="1:12" x14ac:dyDescent="0.25">
      <c r="A5113" t="str">
        <f t="shared" si="932"/>
        <v>89301000</v>
      </c>
      <c r="B5113" t="str">
        <f t="shared" si="941"/>
        <v>78006000</v>
      </c>
      <c r="C5113" t="str">
        <f t="shared" si="942"/>
        <v>78006201</v>
      </c>
      <c r="D5113">
        <v>89301171</v>
      </c>
      <c r="E5113" t="str">
        <f>"6959164465"</f>
        <v>6959164465</v>
      </c>
      <c r="F5113" s="1">
        <v>45021</v>
      </c>
      <c r="G5113" t="str">
        <f>"81703"</f>
        <v>81703</v>
      </c>
      <c r="H5113">
        <v>2</v>
      </c>
      <c r="I5113">
        <v>556</v>
      </c>
      <c r="J5113">
        <v>0</v>
      </c>
      <c r="K5113" t="str">
        <f t="shared" si="944"/>
        <v>801</v>
      </c>
      <c r="L5113">
        <v>467.04</v>
      </c>
    </row>
    <row r="5114" spans="1:12" x14ac:dyDescent="0.25">
      <c r="A5114" t="str">
        <f t="shared" si="932"/>
        <v>89301000</v>
      </c>
      <c r="B5114" t="str">
        <f t="shared" si="941"/>
        <v>78006000</v>
      </c>
      <c r="C5114" t="str">
        <f t="shared" si="942"/>
        <v>78006201</v>
      </c>
      <c r="D5114">
        <v>89301171</v>
      </c>
      <c r="E5114" t="str">
        <f>"8160155333"</f>
        <v>8160155333</v>
      </c>
      <c r="F5114" s="1">
        <v>45022</v>
      </c>
      <c r="G5114" t="str">
        <f>"97111"</f>
        <v>97111</v>
      </c>
      <c r="H5114">
        <v>1</v>
      </c>
      <c r="I5114">
        <v>19</v>
      </c>
      <c r="J5114">
        <v>0</v>
      </c>
      <c r="K5114" t="str">
        <f t="shared" si="944"/>
        <v>801</v>
      </c>
      <c r="L5114">
        <v>23.94</v>
      </c>
    </row>
    <row r="5115" spans="1:12" x14ac:dyDescent="0.25">
      <c r="A5115" t="str">
        <f t="shared" si="932"/>
        <v>89301000</v>
      </c>
      <c r="B5115" t="str">
        <f t="shared" si="941"/>
        <v>78006000</v>
      </c>
      <c r="C5115" t="str">
        <f t="shared" si="942"/>
        <v>78006201</v>
      </c>
      <c r="D5115">
        <v>89301167</v>
      </c>
      <c r="E5115" t="str">
        <f>"5854210813"</f>
        <v>5854210813</v>
      </c>
      <c r="F5115" s="1">
        <v>45040</v>
      </c>
      <c r="G5115" t="str">
        <f>"09119"</f>
        <v>09119</v>
      </c>
      <c r="H5115">
        <v>1</v>
      </c>
      <c r="I5115">
        <v>43</v>
      </c>
      <c r="J5115">
        <v>0</v>
      </c>
      <c r="K5115" t="str">
        <f t="shared" si="944"/>
        <v>801</v>
      </c>
      <c r="L5115">
        <v>54.18</v>
      </c>
    </row>
    <row r="5116" spans="1:12" x14ac:dyDescent="0.25">
      <c r="A5116" t="str">
        <f t="shared" si="932"/>
        <v>89301000</v>
      </c>
      <c r="B5116" t="str">
        <f t="shared" ref="B5116:B5153" si="945">"89903000"</f>
        <v>89903000</v>
      </c>
      <c r="C5116" t="str">
        <f>"89903504"</f>
        <v>89903504</v>
      </c>
      <c r="D5116">
        <v>89301062</v>
      </c>
      <c r="E5116" t="str">
        <f>"6252040025"</f>
        <v>6252040025</v>
      </c>
      <c r="F5116" s="1">
        <v>45021</v>
      </c>
      <c r="G5116" t="str">
        <f>"89713"</f>
        <v>89713</v>
      </c>
      <c r="H5116">
        <v>1</v>
      </c>
      <c r="I5116">
        <v>5411</v>
      </c>
      <c r="J5116">
        <v>0</v>
      </c>
      <c r="K5116" t="str">
        <f>"810"</f>
        <v>810</v>
      </c>
      <c r="L5116">
        <v>3517.15</v>
      </c>
    </row>
    <row r="5117" spans="1:12" x14ac:dyDescent="0.25">
      <c r="A5117" t="str">
        <f t="shared" si="932"/>
        <v>89301000</v>
      </c>
      <c r="B5117" t="str">
        <f t="shared" si="945"/>
        <v>89903000</v>
      </c>
      <c r="C5117" t="str">
        <f t="shared" ref="C5117:C5153" si="946">"89903503"</f>
        <v>89903503</v>
      </c>
      <c r="D5117">
        <v>89301062</v>
      </c>
      <c r="E5117" t="str">
        <f t="shared" ref="E5117:E5123" si="947">"8356225779"</f>
        <v>8356225779</v>
      </c>
      <c r="F5117" s="1">
        <v>45027</v>
      </c>
      <c r="G5117" t="str">
        <f>"09233"</f>
        <v>09233</v>
      </c>
      <c r="H5117">
        <v>1</v>
      </c>
      <c r="I5117">
        <v>102</v>
      </c>
      <c r="J5117">
        <v>0</v>
      </c>
      <c r="K5117" t="str">
        <f t="shared" ref="K5117:K5153" si="948">"809"</f>
        <v>809</v>
      </c>
      <c r="L5117">
        <v>149.94</v>
      </c>
    </row>
    <row r="5118" spans="1:12" x14ac:dyDescent="0.25">
      <c r="A5118" t="str">
        <f t="shared" si="932"/>
        <v>89301000</v>
      </c>
      <c r="B5118" t="str">
        <f t="shared" si="945"/>
        <v>89903000</v>
      </c>
      <c r="C5118" t="str">
        <f t="shared" si="946"/>
        <v>89903503</v>
      </c>
      <c r="D5118">
        <v>89301062</v>
      </c>
      <c r="E5118" t="str">
        <f t="shared" si="947"/>
        <v>8356225779</v>
      </c>
      <c r="F5118" s="1">
        <v>45027</v>
      </c>
      <c r="G5118" t="str">
        <f>"89311"</f>
        <v>89311</v>
      </c>
      <c r="H5118">
        <v>1</v>
      </c>
      <c r="I5118">
        <v>970</v>
      </c>
      <c r="J5118">
        <v>0</v>
      </c>
      <c r="K5118" t="str">
        <f t="shared" si="948"/>
        <v>809</v>
      </c>
      <c r="L5118">
        <v>1425.9</v>
      </c>
    </row>
    <row r="5119" spans="1:12" x14ac:dyDescent="0.25">
      <c r="A5119" t="str">
        <f t="shared" si="932"/>
        <v>89301000</v>
      </c>
      <c r="B5119" t="str">
        <f t="shared" si="945"/>
        <v>89903000</v>
      </c>
      <c r="C5119" t="str">
        <f t="shared" si="946"/>
        <v>89903503</v>
      </c>
      <c r="D5119">
        <v>89301062</v>
      </c>
      <c r="E5119" t="str">
        <f t="shared" si="947"/>
        <v>8356225779</v>
      </c>
      <c r="F5119" s="1">
        <v>45027</v>
      </c>
      <c r="G5119" t="str">
        <f>"89615"</f>
        <v>89615</v>
      </c>
      <c r="H5119">
        <v>1</v>
      </c>
      <c r="I5119">
        <v>2199</v>
      </c>
      <c r="J5119">
        <v>0</v>
      </c>
      <c r="K5119" t="str">
        <f t="shared" si="948"/>
        <v>809</v>
      </c>
      <c r="L5119">
        <v>1429.35</v>
      </c>
    </row>
    <row r="5120" spans="1:12" x14ac:dyDescent="0.25">
      <c r="A5120" t="str">
        <f t="shared" si="932"/>
        <v>89301000</v>
      </c>
      <c r="B5120" t="str">
        <f t="shared" si="945"/>
        <v>89903000</v>
      </c>
      <c r="C5120" t="str">
        <f t="shared" si="946"/>
        <v>89903503</v>
      </c>
      <c r="D5120">
        <v>89301062</v>
      </c>
      <c r="E5120" t="str">
        <f t="shared" si="947"/>
        <v>8356225779</v>
      </c>
      <c r="F5120" s="1">
        <v>45027</v>
      </c>
      <c r="G5120" t="str">
        <f>"0084090"</f>
        <v>0084090</v>
      </c>
      <c r="H5120">
        <v>0.1</v>
      </c>
      <c r="J5120">
        <v>8.52</v>
      </c>
      <c r="K5120" t="str">
        <f t="shared" si="948"/>
        <v>809</v>
      </c>
      <c r="L5120">
        <v>8.52</v>
      </c>
    </row>
    <row r="5121" spans="1:12" x14ac:dyDescent="0.25">
      <c r="A5121" t="str">
        <f t="shared" si="932"/>
        <v>89301000</v>
      </c>
      <c r="B5121" t="str">
        <f t="shared" si="945"/>
        <v>89903000</v>
      </c>
      <c r="C5121" t="str">
        <f t="shared" si="946"/>
        <v>89903503</v>
      </c>
      <c r="D5121">
        <v>89301062</v>
      </c>
      <c r="E5121" t="str">
        <f t="shared" si="947"/>
        <v>8356225779</v>
      </c>
      <c r="F5121" s="1">
        <v>45027</v>
      </c>
      <c r="G5121" t="str">
        <f>"0096251"</f>
        <v>0096251</v>
      </c>
      <c r="H5121">
        <v>8.0000000000000002E-3</v>
      </c>
      <c r="J5121">
        <v>9.36</v>
      </c>
      <c r="K5121" t="str">
        <f t="shared" si="948"/>
        <v>809</v>
      </c>
      <c r="L5121">
        <v>9.36</v>
      </c>
    </row>
    <row r="5122" spans="1:12" x14ac:dyDescent="0.25">
      <c r="A5122" t="str">
        <f t="shared" ref="A5122:A5185" si="949">"89301000"</f>
        <v>89301000</v>
      </c>
      <c r="B5122" t="str">
        <f t="shared" si="945"/>
        <v>89903000</v>
      </c>
      <c r="C5122" t="str">
        <f t="shared" si="946"/>
        <v>89903503</v>
      </c>
      <c r="D5122">
        <v>89301062</v>
      </c>
      <c r="E5122" t="str">
        <f t="shared" si="947"/>
        <v>8356225779</v>
      </c>
      <c r="F5122" s="1">
        <v>45027</v>
      </c>
      <c r="G5122" t="str">
        <f>"0194183"</f>
        <v>0194183</v>
      </c>
      <c r="H5122">
        <v>1</v>
      </c>
      <c r="J5122">
        <v>53</v>
      </c>
      <c r="K5122" t="str">
        <f t="shared" si="948"/>
        <v>809</v>
      </c>
      <c r="L5122">
        <v>53</v>
      </c>
    </row>
    <row r="5123" spans="1:12" x14ac:dyDescent="0.25">
      <c r="A5123" t="str">
        <f t="shared" si="949"/>
        <v>89301000</v>
      </c>
      <c r="B5123" t="str">
        <f t="shared" si="945"/>
        <v>89903000</v>
      </c>
      <c r="C5123" t="str">
        <f t="shared" si="946"/>
        <v>89903503</v>
      </c>
      <c r="D5123">
        <v>89301062</v>
      </c>
      <c r="E5123" t="str">
        <f t="shared" si="947"/>
        <v>8356225779</v>
      </c>
      <c r="F5123" s="1">
        <v>45027</v>
      </c>
      <c r="G5123" t="str">
        <f>"0225891"</f>
        <v>0225891</v>
      </c>
      <c r="H5123">
        <v>0.05</v>
      </c>
      <c r="J5123">
        <v>18.39</v>
      </c>
      <c r="K5123" t="str">
        <f t="shared" si="948"/>
        <v>809</v>
      </c>
      <c r="L5123">
        <v>18.39</v>
      </c>
    </row>
    <row r="5124" spans="1:12" x14ac:dyDescent="0.25">
      <c r="A5124" t="str">
        <f t="shared" si="949"/>
        <v>89301000</v>
      </c>
      <c r="B5124" t="str">
        <f t="shared" si="945"/>
        <v>89903000</v>
      </c>
      <c r="C5124" t="str">
        <f t="shared" si="946"/>
        <v>89903503</v>
      </c>
      <c r="D5124">
        <v>89301171</v>
      </c>
      <c r="E5124" t="str">
        <f>"6058121674"</f>
        <v>6058121674</v>
      </c>
      <c r="F5124" s="1">
        <v>45037</v>
      </c>
      <c r="G5124" t="str">
        <f>"09233"</f>
        <v>09233</v>
      </c>
      <c r="H5124">
        <v>1</v>
      </c>
      <c r="I5124">
        <v>102</v>
      </c>
      <c r="J5124">
        <v>0</v>
      </c>
      <c r="K5124" t="str">
        <f t="shared" si="948"/>
        <v>809</v>
      </c>
      <c r="L5124">
        <v>149.94</v>
      </c>
    </row>
    <row r="5125" spans="1:12" x14ac:dyDescent="0.25">
      <c r="A5125" t="str">
        <f t="shared" si="949"/>
        <v>89301000</v>
      </c>
      <c r="B5125" t="str">
        <f t="shared" si="945"/>
        <v>89903000</v>
      </c>
      <c r="C5125" t="str">
        <f t="shared" si="946"/>
        <v>89903503</v>
      </c>
      <c r="D5125">
        <v>89301171</v>
      </c>
      <c r="E5125" t="str">
        <f>"6058121674"</f>
        <v>6058121674</v>
      </c>
      <c r="F5125" s="1">
        <v>45037</v>
      </c>
      <c r="G5125" t="str">
        <f>"89311"</f>
        <v>89311</v>
      </c>
      <c r="H5125">
        <v>1</v>
      </c>
      <c r="I5125">
        <v>970</v>
      </c>
      <c r="J5125">
        <v>0</v>
      </c>
      <c r="K5125" t="str">
        <f t="shared" si="948"/>
        <v>809</v>
      </c>
      <c r="L5125">
        <v>1425.9</v>
      </c>
    </row>
    <row r="5126" spans="1:12" x14ac:dyDescent="0.25">
      <c r="A5126" t="str">
        <f t="shared" si="949"/>
        <v>89301000</v>
      </c>
      <c r="B5126" t="str">
        <f t="shared" si="945"/>
        <v>89903000</v>
      </c>
      <c r="C5126" t="str">
        <f t="shared" si="946"/>
        <v>89903503</v>
      </c>
      <c r="D5126">
        <v>89301171</v>
      </c>
      <c r="E5126" t="str">
        <f>"6058121674"</f>
        <v>6058121674</v>
      </c>
      <c r="F5126" s="1">
        <v>45037</v>
      </c>
      <c r="G5126" t="str">
        <f>"89615"</f>
        <v>89615</v>
      </c>
      <c r="H5126">
        <v>1</v>
      </c>
      <c r="I5126">
        <v>2199</v>
      </c>
      <c r="J5126">
        <v>0</v>
      </c>
      <c r="K5126" t="str">
        <f t="shared" si="948"/>
        <v>809</v>
      </c>
      <c r="L5126">
        <v>1429.35</v>
      </c>
    </row>
    <row r="5127" spans="1:12" x14ac:dyDescent="0.25">
      <c r="A5127" t="str">
        <f t="shared" si="949"/>
        <v>89301000</v>
      </c>
      <c r="B5127" t="str">
        <f t="shared" si="945"/>
        <v>89903000</v>
      </c>
      <c r="C5127" t="str">
        <f t="shared" si="946"/>
        <v>89903503</v>
      </c>
      <c r="D5127">
        <v>89301171</v>
      </c>
      <c r="E5127" t="str">
        <f>"6058121674"</f>
        <v>6058121674</v>
      </c>
      <c r="F5127" s="1">
        <v>45037</v>
      </c>
      <c r="G5127" t="str">
        <f>"0096251"</f>
        <v>0096251</v>
      </c>
      <c r="H5127">
        <v>8.0000000000000002E-3</v>
      </c>
      <c r="J5127">
        <v>9.36</v>
      </c>
      <c r="K5127" t="str">
        <f t="shared" si="948"/>
        <v>809</v>
      </c>
      <c r="L5127">
        <v>9.36</v>
      </c>
    </row>
    <row r="5128" spans="1:12" x14ac:dyDescent="0.25">
      <c r="A5128" t="str">
        <f t="shared" si="949"/>
        <v>89301000</v>
      </c>
      <c r="B5128" t="str">
        <f t="shared" si="945"/>
        <v>89903000</v>
      </c>
      <c r="C5128" t="str">
        <f t="shared" si="946"/>
        <v>89903503</v>
      </c>
      <c r="D5128">
        <v>89301171</v>
      </c>
      <c r="E5128" t="str">
        <f>"6058121674"</f>
        <v>6058121674</v>
      </c>
      <c r="F5128" s="1">
        <v>45037</v>
      </c>
      <c r="G5128" t="str">
        <f>"0194183"</f>
        <v>0194183</v>
      </c>
      <c r="H5128">
        <v>1</v>
      </c>
      <c r="J5128">
        <v>53</v>
      </c>
      <c r="K5128" t="str">
        <f t="shared" si="948"/>
        <v>809</v>
      </c>
      <c r="L5128">
        <v>53</v>
      </c>
    </row>
    <row r="5129" spans="1:12" x14ac:dyDescent="0.25">
      <c r="A5129" t="str">
        <f t="shared" si="949"/>
        <v>89301000</v>
      </c>
      <c r="B5129" t="str">
        <f t="shared" si="945"/>
        <v>89903000</v>
      </c>
      <c r="C5129" t="str">
        <f t="shared" si="946"/>
        <v>89903503</v>
      </c>
      <c r="D5129">
        <v>89301062</v>
      </c>
      <c r="E5129" t="str">
        <f t="shared" ref="E5129:E5135" si="950">"425401422"</f>
        <v>425401422</v>
      </c>
      <c r="F5129" s="1">
        <v>44960</v>
      </c>
      <c r="G5129" t="str">
        <f>"09233"</f>
        <v>09233</v>
      </c>
      <c r="H5129">
        <v>1</v>
      </c>
      <c r="I5129">
        <v>102</v>
      </c>
      <c r="J5129">
        <v>0</v>
      </c>
      <c r="K5129" t="str">
        <f t="shared" si="948"/>
        <v>809</v>
      </c>
      <c r="L5129">
        <v>149.94</v>
      </c>
    </row>
    <row r="5130" spans="1:12" x14ac:dyDescent="0.25">
      <c r="A5130" t="str">
        <f t="shared" si="949"/>
        <v>89301000</v>
      </c>
      <c r="B5130" t="str">
        <f t="shared" si="945"/>
        <v>89903000</v>
      </c>
      <c r="C5130" t="str">
        <f t="shared" si="946"/>
        <v>89903503</v>
      </c>
      <c r="D5130">
        <v>89301062</v>
      </c>
      <c r="E5130" t="str">
        <f t="shared" si="950"/>
        <v>425401422</v>
      </c>
      <c r="F5130" s="1">
        <v>44960</v>
      </c>
      <c r="G5130" t="str">
        <f>"89311"</f>
        <v>89311</v>
      </c>
      <c r="H5130">
        <v>1</v>
      </c>
      <c r="I5130">
        <v>970</v>
      </c>
      <c r="J5130">
        <v>0</v>
      </c>
      <c r="K5130" t="str">
        <f t="shared" si="948"/>
        <v>809</v>
      </c>
      <c r="L5130">
        <v>1425.9</v>
      </c>
    </row>
    <row r="5131" spans="1:12" x14ac:dyDescent="0.25">
      <c r="A5131" t="str">
        <f t="shared" si="949"/>
        <v>89301000</v>
      </c>
      <c r="B5131" t="str">
        <f t="shared" si="945"/>
        <v>89903000</v>
      </c>
      <c r="C5131" t="str">
        <f t="shared" si="946"/>
        <v>89903503</v>
      </c>
      <c r="D5131">
        <v>89301062</v>
      </c>
      <c r="E5131" t="str">
        <f t="shared" si="950"/>
        <v>425401422</v>
      </c>
      <c r="F5131" s="1">
        <v>44960</v>
      </c>
      <c r="G5131" t="str">
        <f>"89615"</f>
        <v>89615</v>
      </c>
      <c r="H5131">
        <v>1</v>
      </c>
      <c r="I5131">
        <v>2199</v>
      </c>
      <c r="J5131">
        <v>0</v>
      </c>
      <c r="K5131" t="str">
        <f t="shared" si="948"/>
        <v>809</v>
      </c>
      <c r="L5131">
        <v>1429.35</v>
      </c>
    </row>
    <row r="5132" spans="1:12" x14ac:dyDescent="0.25">
      <c r="A5132" t="str">
        <f t="shared" si="949"/>
        <v>89301000</v>
      </c>
      <c r="B5132" t="str">
        <f t="shared" si="945"/>
        <v>89903000</v>
      </c>
      <c r="C5132" t="str">
        <f t="shared" si="946"/>
        <v>89903503</v>
      </c>
      <c r="D5132">
        <v>89301062</v>
      </c>
      <c r="E5132" t="str">
        <f t="shared" si="950"/>
        <v>425401422</v>
      </c>
      <c r="F5132" s="1">
        <v>44960</v>
      </c>
      <c r="G5132" t="str">
        <f>"0000502"</f>
        <v>0000502</v>
      </c>
      <c r="H5132">
        <v>0.1</v>
      </c>
      <c r="J5132">
        <v>6.97</v>
      </c>
      <c r="K5132" t="str">
        <f t="shared" si="948"/>
        <v>809</v>
      </c>
      <c r="L5132">
        <v>6.97</v>
      </c>
    </row>
    <row r="5133" spans="1:12" x14ac:dyDescent="0.25">
      <c r="A5133" t="str">
        <f t="shared" si="949"/>
        <v>89301000</v>
      </c>
      <c r="B5133" t="str">
        <f t="shared" si="945"/>
        <v>89903000</v>
      </c>
      <c r="C5133" t="str">
        <f t="shared" si="946"/>
        <v>89903503</v>
      </c>
      <c r="D5133">
        <v>89301062</v>
      </c>
      <c r="E5133" t="str">
        <f t="shared" si="950"/>
        <v>425401422</v>
      </c>
      <c r="F5133" s="1">
        <v>44960</v>
      </c>
      <c r="G5133" t="str">
        <f>"0084090"</f>
        <v>0084090</v>
      </c>
      <c r="H5133">
        <v>0.2</v>
      </c>
      <c r="J5133">
        <v>17.03</v>
      </c>
      <c r="K5133" t="str">
        <f t="shared" si="948"/>
        <v>809</v>
      </c>
      <c r="L5133">
        <v>17.03</v>
      </c>
    </row>
    <row r="5134" spans="1:12" x14ac:dyDescent="0.25">
      <c r="A5134" t="str">
        <f t="shared" si="949"/>
        <v>89301000</v>
      </c>
      <c r="B5134" t="str">
        <f t="shared" si="945"/>
        <v>89903000</v>
      </c>
      <c r="C5134" t="str">
        <f t="shared" si="946"/>
        <v>89903503</v>
      </c>
      <c r="D5134">
        <v>89301062</v>
      </c>
      <c r="E5134" t="str">
        <f t="shared" si="950"/>
        <v>425401422</v>
      </c>
      <c r="F5134" s="1">
        <v>44960</v>
      </c>
      <c r="G5134" t="str">
        <f>"0096251"</f>
        <v>0096251</v>
      </c>
      <c r="H5134">
        <v>8.0000000000000002E-3</v>
      </c>
      <c r="J5134">
        <v>9.36</v>
      </c>
      <c r="K5134" t="str">
        <f t="shared" si="948"/>
        <v>809</v>
      </c>
      <c r="L5134">
        <v>9.36</v>
      </c>
    </row>
    <row r="5135" spans="1:12" x14ac:dyDescent="0.25">
      <c r="A5135" t="str">
        <f t="shared" si="949"/>
        <v>89301000</v>
      </c>
      <c r="B5135" t="str">
        <f t="shared" si="945"/>
        <v>89903000</v>
      </c>
      <c r="C5135" t="str">
        <f t="shared" si="946"/>
        <v>89903503</v>
      </c>
      <c r="D5135">
        <v>89301062</v>
      </c>
      <c r="E5135" t="str">
        <f t="shared" si="950"/>
        <v>425401422</v>
      </c>
      <c r="F5135" s="1">
        <v>44960</v>
      </c>
      <c r="G5135" t="str">
        <f>"0194183"</f>
        <v>0194183</v>
      </c>
      <c r="H5135">
        <v>2</v>
      </c>
      <c r="J5135">
        <v>106</v>
      </c>
      <c r="K5135" t="str">
        <f t="shared" si="948"/>
        <v>809</v>
      </c>
      <c r="L5135">
        <v>106</v>
      </c>
    </row>
    <row r="5136" spans="1:12" x14ac:dyDescent="0.25">
      <c r="A5136" t="str">
        <f t="shared" si="949"/>
        <v>89301000</v>
      </c>
      <c r="B5136" t="str">
        <f t="shared" si="945"/>
        <v>89903000</v>
      </c>
      <c r="C5136" t="str">
        <f t="shared" si="946"/>
        <v>89903503</v>
      </c>
      <c r="D5136">
        <v>89301062</v>
      </c>
      <c r="E5136" t="str">
        <f>"535205136"</f>
        <v>535205136</v>
      </c>
      <c r="F5136" s="1">
        <v>44965</v>
      </c>
      <c r="G5136" t="str">
        <f>"09233"</f>
        <v>09233</v>
      </c>
      <c r="H5136">
        <v>1</v>
      </c>
      <c r="I5136">
        <v>102</v>
      </c>
      <c r="J5136">
        <v>0</v>
      </c>
      <c r="K5136" t="str">
        <f t="shared" si="948"/>
        <v>809</v>
      </c>
      <c r="L5136">
        <v>149.94</v>
      </c>
    </row>
    <row r="5137" spans="1:12" x14ac:dyDescent="0.25">
      <c r="A5137" t="str">
        <f t="shared" si="949"/>
        <v>89301000</v>
      </c>
      <c r="B5137" t="str">
        <f t="shared" si="945"/>
        <v>89903000</v>
      </c>
      <c r="C5137" t="str">
        <f t="shared" si="946"/>
        <v>89903503</v>
      </c>
      <c r="D5137">
        <v>89301062</v>
      </c>
      <c r="E5137" t="str">
        <f>"535205136"</f>
        <v>535205136</v>
      </c>
      <c r="F5137" s="1">
        <v>44965</v>
      </c>
      <c r="G5137" t="str">
        <f>"89311"</f>
        <v>89311</v>
      </c>
      <c r="H5137">
        <v>1</v>
      </c>
      <c r="I5137">
        <v>970</v>
      </c>
      <c r="J5137">
        <v>0</v>
      </c>
      <c r="K5137" t="str">
        <f t="shared" si="948"/>
        <v>809</v>
      </c>
      <c r="L5137">
        <v>1425.9</v>
      </c>
    </row>
    <row r="5138" spans="1:12" x14ac:dyDescent="0.25">
      <c r="A5138" t="str">
        <f t="shared" si="949"/>
        <v>89301000</v>
      </c>
      <c r="B5138" t="str">
        <f t="shared" si="945"/>
        <v>89903000</v>
      </c>
      <c r="C5138" t="str">
        <f t="shared" si="946"/>
        <v>89903503</v>
      </c>
      <c r="D5138">
        <v>89301062</v>
      </c>
      <c r="E5138" t="str">
        <f>"535205136"</f>
        <v>535205136</v>
      </c>
      <c r="F5138" s="1">
        <v>44965</v>
      </c>
      <c r="G5138" t="str">
        <f>"89615"</f>
        <v>89615</v>
      </c>
      <c r="H5138">
        <v>1</v>
      </c>
      <c r="I5138">
        <v>2199</v>
      </c>
      <c r="J5138">
        <v>0</v>
      </c>
      <c r="K5138" t="str">
        <f t="shared" si="948"/>
        <v>809</v>
      </c>
      <c r="L5138">
        <v>1429.35</v>
      </c>
    </row>
    <row r="5139" spans="1:12" x14ac:dyDescent="0.25">
      <c r="A5139" t="str">
        <f t="shared" si="949"/>
        <v>89301000</v>
      </c>
      <c r="B5139" t="str">
        <f t="shared" si="945"/>
        <v>89903000</v>
      </c>
      <c r="C5139" t="str">
        <f t="shared" si="946"/>
        <v>89903503</v>
      </c>
      <c r="D5139">
        <v>89301062</v>
      </c>
      <c r="E5139" t="str">
        <f>"535205136"</f>
        <v>535205136</v>
      </c>
      <c r="F5139" s="1">
        <v>44965</v>
      </c>
      <c r="G5139" t="str">
        <f>"0228011"</f>
        <v>0228011</v>
      </c>
      <c r="H5139">
        <v>0.2</v>
      </c>
      <c r="J5139">
        <v>17</v>
      </c>
      <c r="K5139" t="str">
        <f t="shared" si="948"/>
        <v>809</v>
      </c>
      <c r="L5139">
        <v>17</v>
      </c>
    </row>
    <row r="5140" spans="1:12" x14ac:dyDescent="0.25">
      <c r="A5140" t="str">
        <f t="shared" si="949"/>
        <v>89301000</v>
      </c>
      <c r="B5140" t="str">
        <f t="shared" si="945"/>
        <v>89903000</v>
      </c>
      <c r="C5140" t="str">
        <f t="shared" si="946"/>
        <v>89903503</v>
      </c>
      <c r="D5140">
        <v>89301062</v>
      </c>
      <c r="E5140" t="str">
        <f t="shared" ref="E5140:E5146" si="951">"425401422"</f>
        <v>425401422</v>
      </c>
      <c r="F5140" s="1">
        <v>44978</v>
      </c>
      <c r="G5140" t="str">
        <f>"09233"</f>
        <v>09233</v>
      </c>
      <c r="H5140">
        <v>1</v>
      </c>
      <c r="I5140">
        <v>102</v>
      </c>
      <c r="J5140">
        <v>0</v>
      </c>
      <c r="K5140" t="str">
        <f t="shared" si="948"/>
        <v>809</v>
      </c>
      <c r="L5140">
        <v>149.94</v>
      </c>
    </row>
    <row r="5141" spans="1:12" x14ac:dyDescent="0.25">
      <c r="A5141" t="str">
        <f t="shared" si="949"/>
        <v>89301000</v>
      </c>
      <c r="B5141" t="str">
        <f t="shared" si="945"/>
        <v>89903000</v>
      </c>
      <c r="C5141" t="str">
        <f t="shared" si="946"/>
        <v>89903503</v>
      </c>
      <c r="D5141">
        <v>89301062</v>
      </c>
      <c r="E5141" t="str">
        <f t="shared" si="951"/>
        <v>425401422</v>
      </c>
      <c r="F5141" s="1">
        <v>44978</v>
      </c>
      <c r="G5141" t="str">
        <f>"89311"</f>
        <v>89311</v>
      </c>
      <c r="H5141">
        <v>1</v>
      </c>
      <c r="I5141">
        <v>970</v>
      </c>
      <c r="J5141">
        <v>0</v>
      </c>
      <c r="K5141" t="str">
        <f t="shared" si="948"/>
        <v>809</v>
      </c>
      <c r="L5141">
        <v>1425.9</v>
      </c>
    </row>
    <row r="5142" spans="1:12" x14ac:dyDescent="0.25">
      <c r="A5142" t="str">
        <f t="shared" si="949"/>
        <v>89301000</v>
      </c>
      <c r="B5142" t="str">
        <f t="shared" si="945"/>
        <v>89903000</v>
      </c>
      <c r="C5142" t="str">
        <f t="shared" si="946"/>
        <v>89903503</v>
      </c>
      <c r="D5142">
        <v>89301062</v>
      </c>
      <c r="E5142" t="str">
        <f t="shared" si="951"/>
        <v>425401422</v>
      </c>
      <c r="F5142" s="1">
        <v>44978</v>
      </c>
      <c r="G5142" t="str">
        <f>"89615"</f>
        <v>89615</v>
      </c>
      <c r="H5142">
        <v>1</v>
      </c>
      <c r="I5142">
        <v>2199</v>
      </c>
      <c r="J5142">
        <v>0</v>
      </c>
      <c r="K5142" t="str">
        <f t="shared" si="948"/>
        <v>809</v>
      </c>
      <c r="L5142">
        <v>1429.35</v>
      </c>
    </row>
    <row r="5143" spans="1:12" x14ac:dyDescent="0.25">
      <c r="A5143" t="str">
        <f t="shared" si="949"/>
        <v>89301000</v>
      </c>
      <c r="B5143" t="str">
        <f t="shared" si="945"/>
        <v>89903000</v>
      </c>
      <c r="C5143" t="str">
        <f t="shared" si="946"/>
        <v>89903503</v>
      </c>
      <c r="D5143">
        <v>89301062</v>
      </c>
      <c r="E5143" t="str">
        <f t="shared" si="951"/>
        <v>425401422</v>
      </c>
      <c r="F5143" s="1">
        <v>44978</v>
      </c>
      <c r="G5143" t="str">
        <f>"0000502"</f>
        <v>0000502</v>
      </c>
      <c r="H5143">
        <v>0.1</v>
      </c>
      <c r="J5143">
        <v>6.97</v>
      </c>
      <c r="K5143" t="str">
        <f t="shared" si="948"/>
        <v>809</v>
      </c>
      <c r="L5143">
        <v>6.97</v>
      </c>
    </row>
    <row r="5144" spans="1:12" x14ac:dyDescent="0.25">
      <c r="A5144" t="str">
        <f t="shared" si="949"/>
        <v>89301000</v>
      </c>
      <c r="B5144" t="str">
        <f t="shared" si="945"/>
        <v>89903000</v>
      </c>
      <c r="C5144" t="str">
        <f t="shared" si="946"/>
        <v>89903503</v>
      </c>
      <c r="D5144">
        <v>89301062</v>
      </c>
      <c r="E5144" t="str">
        <f t="shared" si="951"/>
        <v>425401422</v>
      </c>
      <c r="F5144" s="1">
        <v>44978</v>
      </c>
      <c r="G5144" t="str">
        <f>"0084090"</f>
        <v>0084090</v>
      </c>
      <c r="H5144">
        <v>0.2</v>
      </c>
      <c r="J5144">
        <v>17.03</v>
      </c>
      <c r="K5144" t="str">
        <f t="shared" si="948"/>
        <v>809</v>
      </c>
      <c r="L5144">
        <v>17.03</v>
      </c>
    </row>
    <row r="5145" spans="1:12" x14ac:dyDescent="0.25">
      <c r="A5145" t="str">
        <f t="shared" si="949"/>
        <v>89301000</v>
      </c>
      <c r="B5145" t="str">
        <f t="shared" si="945"/>
        <v>89903000</v>
      </c>
      <c r="C5145" t="str">
        <f t="shared" si="946"/>
        <v>89903503</v>
      </c>
      <c r="D5145">
        <v>89301062</v>
      </c>
      <c r="E5145" t="str">
        <f t="shared" si="951"/>
        <v>425401422</v>
      </c>
      <c r="F5145" s="1">
        <v>44978</v>
      </c>
      <c r="G5145" t="str">
        <f>"0096251"</f>
        <v>0096251</v>
      </c>
      <c r="H5145">
        <v>8.0000000000000002E-3</v>
      </c>
      <c r="J5145">
        <v>9.36</v>
      </c>
      <c r="K5145" t="str">
        <f t="shared" si="948"/>
        <v>809</v>
      </c>
      <c r="L5145">
        <v>9.36</v>
      </c>
    </row>
    <row r="5146" spans="1:12" x14ac:dyDescent="0.25">
      <c r="A5146" t="str">
        <f t="shared" si="949"/>
        <v>89301000</v>
      </c>
      <c r="B5146" t="str">
        <f t="shared" si="945"/>
        <v>89903000</v>
      </c>
      <c r="C5146" t="str">
        <f t="shared" si="946"/>
        <v>89903503</v>
      </c>
      <c r="D5146">
        <v>89301062</v>
      </c>
      <c r="E5146" t="str">
        <f t="shared" si="951"/>
        <v>425401422</v>
      </c>
      <c r="F5146" s="1">
        <v>44978</v>
      </c>
      <c r="G5146" t="str">
        <f>"0194183"</f>
        <v>0194183</v>
      </c>
      <c r="H5146">
        <v>2</v>
      </c>
      <c r="J5146">
        <v>106</v>
      </c>
      <c r="K5146" t="str">
        <f t="shared" si="948"/>
        <v>809</v>
      </c>
      <c r="L5146">
        <v>106</v>
      </c>
    </row>
    <row r="5147" spans="1:12" x14ac:dyDescent="0.25">
      <c r="A5147" t="str">
        <f t="shared" si="949"/>
        <v>89301000</v>
      </c>
      <c r="B5147" t="str">
        <f t="shared" si="945"/>
        <v>89903000</v>
      </c>
      <c r="C5147" t="str">
        <f t="shared" si="946"/>
        <v>89903503</v>
      </c>
      <c r="D5147">
        <v>89301062</v>
      </c>
      <c r="E5147" t="str">
        <f t="shared" ref="E5147:E5153" si="952">"6512061424"</f>
        <v>6512061424</v>
      </c>
      <c r="F5147" s="1">
        <v>44981</v>
      </c>
      <c r="G5147" t="str">
        <f>"09233"</f>
        <v>09233</v>
      </c>
      <c r="H5147">
        <v>0</v>
      </c>
      <c r="I5147">
        <v>0</v>
      </c>
      <c r="J5147">
        <v>0</v>
      </c>
      <c r="K5147" t="str">
        <f t="shared" si="948"/>
        <v>809</v>
      </c>
      <c r="L5147">
        <v>0</v>
      </c>
    </row>
    <row r="5148" spans="1:12" x14ac:dyDescent="0.25">
      <c r="A5148" t="str">
        <f t="shared" si="949"/>
        <v>89301000</v>
      </c>
      <c r="B5148" t="str">
        <f t="shared" si="945"/>
        <v>89903000</v>
      </c>
      <c r="C5148" t="str">
        <f t="shared" si="946"/>
        <v>89903503</v>
      </c>
      <c r="D5148">
        <v>89301062</v>
      </c>
      <c r="E5148" t="str">
        <f t="shared" si="952"/>
        <v>6512061424</v>
      </c>
      <c r="F5148" s="1">
        <v>44981</v>
      </c>
      <c r="G5148" t="str">
        <f>"89311"</f>
        <v>89311</v>
      </c>
      <c r="H5148">
        <v>0</v>
      </c>
      <c r="I5148">
        <v>0</v>
      </c>
      <c r="J5148">
        <v>0</v>
      </c>
      <c r="K5148" t="str">
        <f t="shared" si="948"/>
        <v>809</v>
      </c>
      <c r="L5148">
        <v>0</v>
      </c>
    </row>
    <row r="5149" spans="1:12" x14ac:dyDescent="0.25">
      <c r="A5149" t="str">
        <f t="shared" si="949"/>
        <v>89301000</v>
      </c>
      <c r="B5149" t="str">
        <f t="shared" si="945"/>
        <v>89903000</v>
      </c>
      <c r="C5149" t="str">
        <f t="shared" si="946"/>
        <v>89903503</v>
      </c>
      <c r="D5149">
        <v>89301062</v>
      </c>
      <c r="E5149" t="str">
        <f t="shared" si="952"/>
        <v>6512061424</v>
      </c>
      <c r="F5149" s="1">
        <v>44981</v>
      </c>
      <c r="G5149" t="str">
        <f>"89615"</f>
        <v>89615</v>
      </c>
      <c r="H5149">
        <v>0</v>
      </c>
      <c r="I5149">
        <v>0</v>
      </c>
      <c r="J5149">
        <v>0</v>
      </c>
      <c r="K5149" t="str">
        <f t="shared" si="948"/>
        <v>809</v>
      </c>
      <c r="L5149">
        <v>0</v>
      </c>
    </row>
    <row r="5150" spans="1:12" x14ac:dyDescent="0.25">
      <c r="A5150" t="str">
        <f t="shared" si="949"/>
        <v>89301000</v>
      </c>
      <c r="B5150" t="str">
        <f t="shared" si="945"/>
        <v>89903000</v>
      </c>
      <c r="C5150" t="str">
        <f t="shared" si="946"/>
        <v>89903503</v>
      </c>
      <c r="D5150">
        <v>89301062</v>
      </c>
      <c r="E5150" t="str">
        <f t="shared" si="952"/>
        <v>6512061424</v>
      </c>
      <c r="F5150" s="1">
        <v>44981</v>
      </c>
      <c r="G5150" t="str">
        <f>"0000502"</f>
        <v>0000502</v>
      </c>
      <c r="H5150">
        <v>0</v>
      </c>
      <c r="I5150">
        <v>0</v>
      </c>
      <c r="J5150">
        <v>0</v>
      </c>
      <c r="K5150" t="str">
        <f t="shared" si="948"/>
        <v>809</v>
      </c>
      <c r="L5150">
        <v>0</v>
      </c>
    </row>
    <row r="5151" spans="1:12" x14ac:dyDescent="0.25">
      <c r="A5151" t="str">
        <f t="shared" si="949"/>
        <v>89301000</v>
      </c>
      <c r="B5151" t="str">
        <f t="shared" si="945"/>
        <v>89903000</v>
      </c>
      <c r="C5151" t="str">
        <f t="shared" si="946"/>
        <v>89903503</v>
      </c>
      <c r="D5151">
        <v>89301062</v>
      </c>
      <c r="E5151" t="str">
        <f t="shared" si="952"/>
        <v>6512061424</v>
      </c>
      <c r="F5151" s="1">
        <v>44981</v>
      </c>
      <c r="G5151" t="str">
        <f>"0084090"</f>
        <v>0084090</v>
      </c>
      <c r="H5151">
        <v>0</v>
      </c>
      <c r="I5151">
        <v>0</v>
      </c>
      <c r="J5151">
        <v>0</v>
      </c>
      <c r="K5151" t="str">
        <f t="shared" si="948"/>
        <v>809</v>
      </c>
      <c r="L5151">
        <v>0</v>
      </c>
    </row>
    <row r="5152" spans="1:12" x14ac:dyDescent="0.25">
      <c r="A5152" t="str">
        <f t="shared" si="949"/>
        <v>89301000</v>
      </c>
      <c r="B5152" t="str">
        <f t="shared" si="945"/>
        <v>89903000</v>
      </c>
      <c r="C5152" t="str">
        <f t="shared" si="946"/>
        <v>89903503</v>
      </c>
      <c r="D5152">
        <v>89301062</v>
      </c>
      <c r="E5152" t="str">
        <f t="shared" si="952"/>
        <v>6512061424</v>
      </c>
      <c r="F5152" s="1">
        <v>44981</v>
      </c>
      <c r="G5152" t="str">
        <f>"0096251"</f>
        <v>0096251</v>
      </c>
      <c r="H5152">
        <v>0</v>
      </c>
      <c r="I5152">
        <v>0</v>
      </c>
      <c r="J5152">
        <v>0</v>
      </c>
      <c r="K5152" t="str">
        <f t="shared" si="948"/>
        <v>809</v>
      </c>
      <c r="L5152">
        <v>0</v>
      </c>
    </row>
    <row r="5153" spans="1:12" x14ac:dyDescent="0.25">
      <c r="A5153" t="str">
        <f t="shared" si="949"/>
        <v>89301000</v>
      </c>
      <c r="B5153" t="str">
        <f t="shared" si="945"/>
        <v>89903000</v>
      </c>
      <c r="C5153" t="str">
        <f t="shared" si="946"/>
        <v>89903503</v>
      </c>
      <c r="D5153">
        <v>89301062</v>
      </c>
      <c r="E5153" t="str">
        <f t="shared" si="952"/>
        <v>6512061424</v>
      </c>
      <c r="F5153" s="1">
        <v>44981</v>
      </c>
      <c r="G5153" t="str">
        <f>"0194183"</f>
        <v>0194183</v>
      </c>
      <c r="H5153">
        <v>0</v>
      </c>
      <c r="I5153">
        <v>0</v>
      </c>
      <c r="J5153">
        <v>0</v>
      </c>
      <c r="K5153" t="str">
        <f t="shared" si="948"/>
        <v>809</v>
      </c>
      <c r="L5153">
        <v>0</v>
      </c>
    </row>
    <row r="5154" spans="1:12" x14ac:dyDescent="0.25">
      <c r="A5154" t="str">
        <f t="shared" si="949"/>
        <v>89301000</v>
      </c>
      <c r="B5154" t="str">
        <f t="shared" ref="B5154:B5185" si="953">"78006000"</f>
        <v>78006000</v>
      </c>
      <c r="C5154" t="str">
        <f>"78006205"</f>
        <v>78006205</v>
      </c>
      <c r="D5154">
        <v>89301167</v>
      </c>
      <c r="E5154" t="str">
        <f>"7003135304"</f>
        <v>7003135304</v>
      </c>
      <c r="F5154" s="1">
        <v>44949</v>
      </c>
      <c r="G5154" t="str">
        <f>"96167"</f>
        <v>96167</v>
      </c>
      <c r="H5154">
        <v>1</v>
      </c>
      <c r="I5154">
        <v>67</v>
      </c>
      <c r="J5154">
        <v>0</v>
      </c>
      <c r="K5154" t="str">
        <f>"818"</f>
        <v>818</v>
      </c>
      <c r="L5154">
        <v>64.989999999999995</v>
      </c>
    </row>
    <row r="5155" spans="1:12" x14ac:dyDescent="0.25">
      <c r="A5155" t="str">
        <f t="shared" si="949"/>
        <v>89301000</v>
      </c>
      <c r="B5155" t="str">
        <f t="shared" si="953"/>
        <v>78006000</v>
      </c>
      <c r="C5155" t="str">
        <f>"78006205"</f>
        <v>78006205</v>
      </c>
      <c r="D5155">
        <v>89301167</v>
      </c>
      <c r="E5155" t="str">
        <f>"7003135304"</f>
        <v>7003135304</v>
      </c>
      <c r="F5155" s="1">
        <v>44928</v>
      </c>
      <c r="G5155" t="str">
        <f>"96167"</f>
        <v>96167</v>
      </c>
      <c r="H5155">
        <v>1</v>
      </c>
      <c r="I5155">
        <v>67</v>
      </c>
      <c r="J5155">
        <v>0</v>
      </c>
      <c r="K5155" t="str">
        <f>"818"</f>
        <v>818</v>
      </c>
      <c r="L5155">
        <v>64.989999999999995</v>
      </c>
    </row>
    <row r="5156" spans="1:12" x14ac:dyDescent="0.25">
      <c r="A5156" t="str">
        <f t="shared" si="949"/>
        <v>89301000</v>
      </c>
      <c r="B5156" t="str">
        <f t="shared" si="953"/>
        <v>78006000</v>
      </c>
      <c r="C5156" t="str">
        <f t="shared" ref="C5156:C5164" si="954">"78006231"</f>
        <v>78006231</v>
      </c>
      <c r="D5156">
        <v>89301212</v>
      </c>
      <c r="E5156" t="str">
        <f>"8654184913"</f>
        <v>8654184913</v>
      </c>
      <c r="F5156" s="1">
        <v>44930</v>
      </c>
      <c r="G5156" t="str">
        <f>"89180"</f>
        <v>89180</v>
      </c>
      <c r="H5156">
        <v>2</v>
      </c>
      <c r="I5156">
        <v>762</v>
      </c>
      <c r="J5156">
        <v>0</v>
      </c>
      <c r="K5156" t="str">
        <f t="shared" ref="K5156:K5175" si="955">"809"</f>
        <v>809</v>
      </c>
      <c r="L5156">
        <v>1120.1400000000001</v>
      </c>
    </row>
    <row r="5157" spans="1:12" x14ac:dyDescent="0.25">
      <c r="A5157" t="str">
        <f t="shared" si="949"/>
        <v>89301000</v>
      </c>
      <c r="B5157" t="str">
        <f t="shared" si="953"/>
        <v>78006000</v>
      </c>
      <c r="C5157" t="str">
        <f t="shared" si="954"/>
        <v>78006231</v>
      </c>
      <c r="D5157">
        <v>89301212</v>
      </c>
      <c r="E5157" t="str">
        <f>"8654184913"</f>
        <v>8654184913</v>
      </c>
      <c r="F5157" s="1">
        <v>44930</v>
      </c>
      <c r="G5157" t="str">
        <f>"89512"</f>
        <v>89512</v>
      </c>
      <c r="H5157">
        <v>1</v>
      </c>
      <c r="I5157">
        <v>283</v>
      </c>
      <c r="J5157">
        <v>0</v>
      </c>
      <c r="K5157" t="str">
        <f t="shared" si="955"/>
        <v>809</v>
      </c>
      <c r="L5157">
        <v>416.01</v>
      </c>
    </row>
    <row r="5158" spans="1:12" x14ac:dyDescent="0.25">
      <c r="A5158" t="str">
        <f t="shared" si="949"/>
        <v>89301000</v>
      </c>
      <c r="B5158" t="str">
        <f t="shared" si="953"/>
        <v>78006000</v>
      </c>
      <c r="C5158" t="str">
        <f t="shared" si="954"/>
        <v>78006231</v>
      </c>
      <c r="D5158">
        <v>89301212</v>
      </c>
      <c r="E5158" t="str">
        <f>"6260100495"</f>
        <v>6260100495</v>
      </c>
      <c r="F5158" s="1">
        <v>44945</v>
      </c>
      <c r="G5158" t="str">
        <f>"89180"</f>
        <v>89180</v>
      </c>
      <c r="H5158">
        <v>1</v>
      </c>
      <c r="I5158">
        <v>381</v>
      </c>
      <c r="J5158">
        <v>0</v>
      </c>
      <c r="K5158" t="str">
        <f t="shared" si="955"/>
        <v>809</v>
      </c>
      <c r="L5158">
        <v>560.07000000000005</v>
      </c>
    </row>
    <row r="5159" spans="1:12" x14ac:dyDescent="0.25">
      <c r="A5159" t="str">
        <f t="shared" si="949"/>
        <v>89301000</v>
      </c>
      <c r="B5159" t="str">
        <f t="shared" si="953"/>
        <v>78006000</v>
      </c>
      <c r="C5159" t="str">
        <f t="shared" si="954"/>
        <v>78006231</v>
      </c>
      <c r="D5159">
        <v>89301212</v>
      </c>
      <c r="E5159" t="str">
        <f>"6260100495"</f>
        <v>6260100495</v>
      </c>
      <c r="F5159" s="1">
        <v>44945</v>
      </c>
      <c r="G5159" t="str">
        <f>"89512"</f>
        <v>89512</v>
      </c>
      <c r="H5159">
        <v>1</v>
      </c>
      <c r="I5159">
        <v>283</v>
      </c>
      <c r="J5159">
        <v>0</v>
      </c>
      <c r="K5159" t="str">
        <f t="shared" si="955"/>
        <v>809</v>
      </c>
      <c r="L5159">
        <v>416.01</v>
      </c>
    </row>
    <row r="5160" spans="1:12" x14ac:dyDescent="0.25">
      <c r="A5160" t="str">
        <f t="shared" si="949"/>
        <v>89301000</v>
      </c>
      <c r="B5160" t="str">
        <f t="shared" si="953"/>
        <v>78006000</v>
      </c>
      <c r="C5160" t="str">
        <f t="shared" si="954"/>
        <v>78006231</v>
      </c>
      <c r="D5160">
        <v>89301212</v>
      </c>
      <c r="E5160" t="str">
        <f>"5553132420"</f>
        <v>5553132420</v>
      </c>
      <c r="F5160" s="1">
        <v>44953</v>
      </c>
      <c r="G5160" t="str">
        <f>"89180"</f>
        <v>89180</v>
      </c>
      <c r="H5160">
        <v>1</v>
      </c>
      <c r="I5160">
        <v>381</v>
      </c>
      <c r="J5160">
        <v>0</v>
      </c>
      <c r="K5160" t="str">
        <f t="shared" si="955"/>
        <v>809</v>
      </c>
      <c r="L5160">
        <v>560.07000000000005</v>
      </c>
    </row>
    <row r="5161" spans="1:12" x14ac:dyDescent="0.25">
      <c r="A5161" t="str">
        <f t="shared" si="949"/>
        <v>89301000</v>
      </c>
      <c r="B5161" t="str">
        <f t="shared" si="953"/>
        <v>78006000</v>
      </c>
      <c r="C5161" t="str">
        <f t="shared" si="954"/>
        <v>78006231</v>
      </c>
      <c r="D5161">
        <v>89301212</v>
      </c>
      <c r="E5161" t="str">
        <f>"7959304518"</f>
        <v>7959304518</v>
      </c>
      <c r="F5161" s="1">
        <v>44929</v>
      </c>
      <c r="G5161" t="str">
        <f>"89512"</f>
        <v>89512</v>
      </c>
      <c r="H5161">
        <v>1</v>
      </c>
      <c r="I5161">
        <v>283</v>
      </c>
      <c r="J5161">
        <v>0</v>
      </c>
      <c r="K5161" t="str">
        <f t="shared" si="955"/>
        <v>809</v>
      </c>
      <c r="L5161">
        <v>416.01</v>
      </c>
    </row>
    <row r="5162" spans="1:12" x14ac:dyDescent="0.25">
      <c r="A5162" t="str">
        <f t="shared" si="949"/>
        <v>89301000</v>
      </c>
      <c r="B5162" t="str">
        <f t="shared" si="953"/>
        <v>78006000</v>
      </c>
      <c r="C5162" t="str">
        <f t="shared" si="954"/>
        <v>78006231</v>
      </c>
      <c r="D5162">
        <v>89301212</v>
      </c>
      <c r="E5162" t="str">
        <f>"7462035350"</f>
        <v>7462035350</v>
      </c>
      <c r="F5162" s="1">
        <v>44936</v>
      </c>
      <c r="G5162" t="str">
        <f>"89512"</f>
        <v>89512</v>
      </c>
      <c r="H5162">
        <v>1</v>
      </c>
      <c r="I5162">
        <v>283</v>
      </c>
      <c r="J5162">
        <v>0</v>
      </c>
      <c r="K5162" t="str">
        <f t="shared" si="955"/>
        <v>809</v>
      </c>
      <c r="L5162">
        <v>416.01</v>
      </c>
    </row>
    <row r="5163" spans="1:12" x14ac:dyDescent="0.25">
      <c r="A5163" t="str">
        <f t="shared" si="949"/>
        <v>89301000</v>
      </c>
      <c r="B5163" t="str">
        <f t="shared" si="953"/>
        <v>78006000</v>
      </c>
      <c r="C5163" t="str">
        <f t="shared" si="954"/>
        <v>78006231</v>
      </c>
      <c r="D5163">
        <v>89301212</v>
      </c>
      <c r="E5163" t="str">
        <f>"5561121863"</f>
        <v>5561121863</v>
      </c>
      <c r="F5163" s="1">
        <v>44949</v>
      </c>
      <c r="G5163" t="str">
        <f>"89513"</f>
        <v>89513</v>
      </c>
      <c r="H5163">
        <v>1</v>
      </c>
      <c r="I5163">
        <v>378</v>
      </c>
      <c r="J5163">
        <v>0</v>
      </c>
      <c r="K5163" t="str">
        <f t="shared" si="955"/>
        <v>809</v>
      </c>
      <c r="L5163">
        <v>555.66</v>
      </c>
    </row>
    <row r="5164" spans="1:12" x14ac:dyDescent="0.25">
      <c r="A5164" t="str">
        <f t="shared" si="949"/>
        <v>89301000</v>
      </c>
      <c r="B5164" t="str">
        <f t="shared" si="953"/>
        <v>78006000</v>
      </c>
      <c r="C5164" t="str">
        <f t="shared" si="954"/>
        <v>78006231</v>
      </c>
      <c r="D5164">
        <v>89301212</v>
      </c>
      <c r="E5164" t="str">
        <f>"5561121863"</f>
        <v>5561121863</v>
      </c>
      <c r="F5164" s="1">
        <v>44949</v>
      </c>
      <c r="G5164" t="str">
        <f>"89514"</f>
        <v>89514</v>
      </c>
      <c r="H5164">
        <v>1</v>
      </c>
      <c r="I5164">
        <v>378</v>
      </c>
      <c r="J5164">
        <v>0</v>
      </c>
      <c r="K5164" t="str">
        <f t="shared" si="955"/>
        <v>809</v>
      </c>
      <c r="L5164">
        <v>555.66</v>
      </c>
    </row>
    <row r="5165" spans="1:12" x14ac:dyDescent="0.25">
      <c r="A5165" t="str">
        <f t="shared" si="949"/>
        <v>89301000</v>
      </c>
      <c r="B5165" t="str">
        <f t="shared" si="953"/>
        <v>78006000</v>
      </c>
      <c r="C5165" t="str">
        <f t="shared" ref="C5165:C5175" si="956">"78006831"</f>
        <v>78006831</v>
      </c>
      <c r="D5165">
        <v>89301042</v>
      </c>
      <c r="E5165" t="str">
        <f>"8753315824"</f>
        <v>8753315824</v>
      </c>
      <c r="F5165" s="1">
        <v>44945</v>
      </c>
      <c r="G5165" t="str">
        <f>"89619"</f>
        <v>89619</v>
      </c>
      <c r="H5165">
        <v>1</v>
      </c>
      <c r="I5165">
        <v>1218</v>
      </c>
      <c r="J5165">
        <v>0</v>
      </c>
      <c r="K5165" t="str">
        <f t="shared" si="955"/>
        <v>809</v>
      </c>
      <c r="L5165">
        <v>791.7</v>
      </c>
    </row>
    <row r="5166" spans="1:12" x14ac:dyDescent="0.25">
      <c r="A5166" t="str">
        <f t="shared" si="949"/>
        <v>89301000</v>
      </c>
      <c r="B5166" t="str">
        <f t="shared" si="953"/>
        <v>78006000</v>
      </c>
      <c r="C5166" t="str">
        <f t="shared" si="956"/>
        <v>78006831</v>
      </c>
      <c r="D5166">
        <v>89301042</v>
      </c>
      <c r="E5166" t="str">
        <f>"8753315824"</f>
        <v>8753315824</v>
      </c>
      <c r="F5166" s="1">
        <v>44945</v>
      </c>
      <c r="G5166" t="str">
        <f>"89611"</f>
        <v>89611</v>
      </c>
      <c r="H5166">
        <v>1</v>
      </c>
      <c r="I5166">
        <v>2262</v>
      </c>
      <c r="J5166">
        <v>0</v>
      </c>
      <c r="K5166" t="str">
        <f t="shared" si="955"/>
        <v>809</v>
      </c>
      <c r="L5166">
        <v>1470.3</v>
      </c>
    </row>
    <row r="5167" spans="1:12" x14ac:dyDescent="0.25">
      <c r="A5167" t="str">
        <f t="shared" si="949"/>
        <v>89301000</v>
      </c>
      <c r="B5167" t="str">
        <f t="shared" si="953"/>
        <v>78006000</v>
      </c>
      <c r="C5167" t="str">
        <f t="shared" si="956"/>
        <v>78006831</v>
      </c>
      <c r="D5167">
        <v>89301042</v>
      </c>
      <c r="E5167" t="str">
        <f>"8753315824"</f>
        <v>8753315824</v>
      </c>
      <c r="F5167" s="1">
        <v>44945</v>
      </c>
      <c r="G5167" t="str">
        <f>"0137480"</f>
        <v>0137480</v>
      </c>
      <c r="H5167">
        <v>0.2</v>
      </c>
      <c r="J5167">
        <v>1004.83</v>
      </c>
      <c r="K5167" t="str">
        <f t="shared" si="955"/>
        <v>809</v>
      </c>
      <c r="L5167">
        <v>1004.83</v>
      </c>
    </row>
    <row r="5168" spans="1:12" x14ac:dyDescent="0.25">
      <c r="A5168" t="str">
        <f t="shared" si="949"/>
        <v>89301000</v>
      </c>
      <c r="B5168" t="str">
        <f t="shared" si="953"/>
        <v>78006000</v>
      </c>
      <c r="C5168" t="str">
        <f t="shared" si="956"/>
        <v>78006831</v>
      </c>
      <c r="D5168">
        <v>89301042</v>
      </c>
      <c r="E5168" t="str">
        <f>"8753315824"</f>
        <v>8753315824</v>
      </c>
      <c r="F5168" s="1">
        <v>44945</v>
      </c>
      <c r="G5168" t="str">
        <f>"0059496"</f>
        <v>0059496</v>
      </c>
      <c r="H5168">
        <v>0.1</v>
      </c>
      <c r="J5168">
        <v>25.21</v>
      </c>
      <c r="K5168" t="str">
        <f t="shared" si="955"/>
        <v>809</v>
      </c>
      <c r="L5168">
        <v>25.21</v>
      </c>
    </row>
    <row r="5169" spans="1:12" x14ac:dyDescent="0.25">
      <c r="A5169" t="str">
        <f t="shared" si="949"/>
        <v>89301000</v>
      </c>
      <c r="B5169" t="str">
        <f t="shared" si="953"/>
        <v>78006000</v>
      </c>
      <c r="C5169" t="str">
        <f t="shared" si="956"/>
        <v>78006831</v>
      </c>
      <c r="D5169">
        <v>89301132</v>
      </c>
      <c r="E5169" t="str">
        <f>"9558610512"</f>
        <v>9558610512</v>
      </c>
      <c r="F5169" s="1">
        <v>44951</v>
      </c>
      <c r="G5169" t="str">
        <f>"89615"</f>
        <v>89615</v>
      </c>
      <c r="H5169">
        <v>1</v>
      </c>
      <c r="I5169">
        <v>2199</v>
      </c>
      <c r="J5169">
        <v>0</v>
      </c>
      <c r="K5169" t="str">
        <f t="shared" si="955"/>
        <v>809</v>
      </c>
      <c r="L5169">
        <v>1429.35</v>
      </c>
    </row>
    <row r="5170" spans="1:12" x14ac:dyDescent="0.25">
      <c r="A5170" t="str">
        <f t="shared" si="949"/>
        <v>89301000</v>
      </c>
      <c r="B5170" t="str">
        <f t="shared" si="953"/>
        <v>78006000</v>
      </c>
      <c r="C5170" t="str">
        <f t="shared" si="956"/>
        <v>78006831</v>
      </c>
      <c r="D5170">
        <v>89301212</v>
      </c>
      <c r="E5170" t="str">
        <f>"7260305327"</f>
        <v>7260305327</v>
      </c>
      <c r="F5170" s="1">
        <v>44951</v>
      </c>
      <c r="G5170" t="str">
        <f>"89513"</f>
        <v>89513</v>
      </c>
      <c r="H5170">
        <v>1</v>
      </c>
      <c r="I5170">
        <v>378</v>
      </c>
      <c r="J5170">
        <v>0</v>
      </c>
      <c r="K5170" t="str">
        <f t="shared" si="955"/>
        <v>809</v>
      </c>
      <c r="L5170">
        <v>555.66</v>
      </c>
    </row>
    <row r="5171" spans="1:12" x14ac:dyDescent="0.25">
      <c r="A5171" t="str">
        <f t="shared" si="949"/>
        <v>89301000</v>
      </c>
      <c r="B5171" t="str">
        <f t="shared" si="953"/>
        <v>78006000</v>
      </c>
      <c r="C5171" t="str">
        <f t="shared" si="956"/>
        <v>78006831</v>
      </c>
      <c r="D5171">
        <v>89301212</v>
      </c>
      <c r="E5171" t="str">
        <f>"7260305327"</f>
        <v>7260305327</v>
      </c>
      <c r="F5171" s="1">
        <v>44951</v>
      </c>
      <c r="G5171" t="str">
        <f>"89514"</f>
        <v>89514</v>
      </c>
      <c r="H5171">
        <v>1</v>
      </c>
      <c r="I5171">
        <v>378</v>
      </c>
      <c r="J5171">
        <v>0</v>
      </c>
      <c r="K5171" t="str">
        <f t="shared" si="955"/>
        <v>809</v>
      </c>
      <c r="L5171">
        <v>555.66</v>
      </c>
    </row>
    <row r="5172" spans="1:12" x14ac:dyDescent="0.25">
      <c r="A5172" t="str">
        <f t="shared" si="949"/>
        <v>89301000</v>
      </c>
      <c r="B5172" t="str">
        <f t="shared" si="953"/>
        <v>78006000</v>
      </c>
      <c r="C5172" t="str">
        <f t="shared" si="956"/>
        <v>78006831</v>
      </c>
      <c r="D5172">
        <v>89301215</v>
      </c>
      <c r="E5172" t="str">
        <f>"7462085312"</f>
        <v>7462085312</v>
      </c>
      <c r="F5172" s="1">
        <v>44937</v>
      </c>
      <c r="G5172" t="str">
        <f>"89513"</f>
        <v>89513</v>
      </c>
      <c r="H5172">
        <v>1</v>
      </c>
      <c r="I5172">
        <v>378</v>
      </c>
      <c r="J5172">
        <v>0</v>
      </c>
      <c r="K5172" t="str">
        <f t="shared" si="955"/>
        <v>809</v>
      </c>
      <c r="L5172">
        <v>555.66</v>
      </c>
    </row>
    <row r="5173" spans="1:12" x14ac:dyDescent="0.25">
      <c r="A5173" t="str">
        <f t="shared" si="949"/>
        <v>89301000</v>
      </c>
      <c r="B5173" t="str">
        <f t="shared" si="953"/>
        <v>78006000</v>
      </c>
      <c r="C5173" t="str">
        <f t="shared" si="956"/>
        <v>78006831</v>
      </c>
      <c r="D5173">
        <v>89301215</v>
      </c>
      <c r="E5173" t="str">
        <f>"7462085312"</f>
        <v>7462085312</v>
      </c>
      <c r="F5173" s="1">
        <v>44937</v>
      </c>
      <c r="G5173" t="str">
        <f>"89514"</f>
        <v>89514</v>
      </c>
      <c r="H5173">
        <v>1</v>
      </c>
      <c r="I5173">
        <v>378</v>
      </c>
      <c r="J5173">
        <v>0</v>
      </c>
      <c r="K5173" t="str">
        <f t="shared" si="955"/>
        <v>809</v>
      </c>
      <c r="L5173">
        <v>555.66</v>
      </c>
    </row>
    <row r="5174" spans="1:12" x14ac:dyDescent="0.25">
      <c r="A5174" t="str">
        <f t="shared" si="949"/>
        <v>89301000</v>
      </c>
      <c r="B5174" t="str">
        <f t="shared" si="953"/>
        <v>78006000</v>
      </c>
      <c r="C5174" t="str">
        <f t="shared" si="956"/>
        <v>78006831</v>
      </c>
      <c r="D5174">
        <v>89301212</v>
      </c>
      <c r="E5174" t="str">
        <f>"525611368"</f>
        <v>525611368</v>
      </c>
      <c r="F5174" s="1">
        <v>44944</v>
      </c>
      <c r="G5174" t="str">
        <f>"89513"</f>
        <v>89513</v>
      </c>
      <c r="H5174">
        <v>1</v>
      </c>
      <c r="I5174">
        <v>378</v>
      </c>
      <c r="J5174">
        <v>0</v>
      </c>
      <c r="K5174" t="str">
        <f t="shared" si="955"/>
        <v>809</v>
      </c>
      <c r="L5174">
        <v>555.66</v>
      </c>
    </row>
    <row r="5175" spans="1:12" x14ac:dyDescent="0.25">
      <c r="A5175" t="str">
        <f t="shared" si="949"/>
        <v>89301000</v>
      </c>
      <c r="B5175" t="str">
        <f t="shared" si="953"/>
        <v>78006000</v>
      </c>
      <c r="C5175" t="str">
        <f t="shared" si="956"/>
        <v>78006831</v>
      </c>
      <c r="D5175">
        <v>89301212</v>
      </c>
      <c r="E5175" t="str">
        <f>"525611368"</f>
        <v>525611368</v>
      </c>
      <c r="F5175" s="1">
        <v>44944</v>
      </c>
      <c r="G5175" t="str">
        <f>"89514"</f>
        <v>89514</v>
      </c>
      <c r="H5175">
        <v>1</v>
      </c>
      <c r="I5175">
        <v>378</v>
      </c>
      <c r="J5175">
        <v>0</v>
      </c>
      <c r="K5175" t="str">
        <f t="shared" si="955"/>
        <v>809</v>
      </c>
      <c r="L5175">
        <v>555.66</v>
      </c>
    </row>
    <row r="5176" spans="1:12" x14ac:dyDescent="0.25">
      <c r="A5176" t="str">
        <f t="shared" si="949"/>
        <v>89301000</v>
      </c>
      <c r="B5176" t="str">
        <f t="shared" si="953"/>
        <v>78006000</v>
      </c>
      <c r="C5176" t="str">
        <f>"78006205"</f>
        <v>78006205</v>
      </c>
      <c r="D5176">
        <v>89301167</v>
      </c>
      <c r="E5176" t="str">
        <f>"5854210813"</f>
        <v>5854210813</v>
      </c>
      <c r="F5176" s="1">
        <v>44946</v>
      </c>
      <c r="G5176" t="str">
        <f>"96167"</f>
        <v>96167</v>
      </c>
      <c r="H5176">
        <v>1</v>
      </c>
      <c r="I5176">
        <v>67</v>
      </c>
      <c r="J5176">
        <v>0</v>
      </c>
      <c r="K5176" t="str">
        <f>"818"</f>
        <v>818</v>
      </c>
      <c r="L5176">
        <v>64.989999999999995</v>
      </c>
    </row>
    <row r="5177" spans="1:12" x14ac:dyDescent="0.25">
      <c r="A5177" t="str">
        <f t="shared" si="949"/>
        <v>89301000</v>
      </c>
      <c r="B5177" t="str">
        <f t="shared" si="953"/>
        <v>78006000</v>
      </c>
      <c r="C5177" t="str">
        <f t="shared" ref="C5177:C5188" si="957">"78006207"</f>
        <v>78006207</v>
      </c>
      <c r="D5177">
        <v>89301167</v>
      </c>
      <c r="E5177" t="str">
        <f>"5854210813"</f>
        <v>5854210813</v>
      </c>
      <c r="F5177" s="1">
        <v>44946</v>
      </c>
      <c r="G5177" t="str">
        <f>"91153"</f>
        <v>91153</v>
      </c>
      <c r="H5177">
        <v>1</v>
      </c>
      <c r="I5177">
        <v>153</v>
      </c>
      <c r="J5177">
        <v>0</v>
      </c>
      <c r="K5177" t="str">
        <f t="shared" ref="K5177:K5188" si="958">"813"</f>
        <v>813</v>
      </c>
      <c r="L5177">
        <v>128.52000000000001</v>
      </c>
    </row>
    <row r="5178" spans="1:12" x14ac:dyDescent="0.25">
      <c r="A5178" t="str">
        <f t="shared" si="949"/>
        <v>89301000</v>
      </c>
      <c r="B5178" t="str">
        <f t="shared" si="953"/>
        <v>78006000</v>
      </c>
      <c r="C5178" t="str">
        <f t="shared" si="957"/>
        <v>78006207</v>
      </c>
      <c r="D5178">
        <v>89301171</v>
      </c>
      <c r="E5178" t="str">
        <f>"515516337"</f>
        <v>515516337</v>
      </c>
      <c r="F5178" s="1">
        <v>44944</v>
      </c>
      <c r="G5178" t="str">
        <f t="shared" ref="G5178:G5188" si="959">"91197"</f>
        <v>91197</v>
      </c>
      <c r="H5178">
        <v>6</v>
      </c>
      <c r="I5178">
        <v>6288</v>
      </c>
      <c r="J5178">
        <v>0</v>
      </c>
      <c r="K5178" t="str">
        <f t="shared" si="958"/>
        <v>813</v>
      </c>
      <c r="L5178">
        <v>5281.92</v>
      </c>
    </row>
    <row r="5179" spans="1:12" x14ac:dyDescent="0.25">
      <c r="A5179" t="str">
        <f t="shared" si="949"/>
        <v>89301000</v>
      </c>
      <c r="B5179" t="str">
        <f t="shared" si="953"/>
        <v>78006000</v>
      </c>
      <c r="C5179" t="str">
        <f t="shared" si="957"/>
        <v>78006207</v>
      </c>
      <c r="D5179">
        <v>89301171</v>
      </c>
      <c r="E5179" t="str">
        <f>"0406123223"</f>
        <v>0406123223</v>
      </c>
      <c r="F5179" s="1">
        <v>44928</v>
      </c>
      <c r="G5179" t="str">
        <f t="shared" si="959"/>
        <v>91197</v>
      </c>
      <c r="H5179">
        <v>6</v>
      </c>
      <c r="I5179">
        <v>6288</v>
      </c>
      <c r="J5179">
        <v>0</v>
      </c>
      <c r="K5179" t="str">
        <f t="shared" si="958"/>
        <v>813</v>
      </c>
      <c r="L5179">
        <v>5281.92</v>
      </c>
    </row>
    <row r="5180" spans="1:12" x14ac:dyDescent="0.25">
      <c r="A5180" t="str">
        <f t="shared" si="949"/>
        <v>89301000</v>
      </c>
      <c r="B5180" t="str">
        <f t="shared" si="953"/>
        <v>78006000</v>
      </c>
      <c r="C5180" t="str">
        <f t="shared" si="957"/>
        <v>78006207</v>
      </c>
      <c r="D5180">
        <v>89301171</v>
      </c>
      <c r="E5180" t="str">
        <f>"7504134880"</f>
        <v>7504134880</v>
      </c>
      <c r="F5180" s="1">
        <v>44928</v>
      </c>
      <c r="G5180" t="str">
        <f t="shared" si="959"/>
        <v>91197</v>
      </c>
      <c r="H5180">
        <v>6</v>
      </c>
      <c r="I5180">
        <v>6288</v>
      </c>
      <c r="J5180">
        <v>0</v>
      </c>
      <c r="K5180" t="str">
        <f t="shared" si="958"/>
        <v>813</v>
      </c>
      <c r="L5180">
        <v>5281.92</v>
      </c>
    </row>
    <row r="5181" spans="1:12" x14ac:dyDescent="0.25">
      <c r="A5181" t="str">
        <f t="shared" si="949"/>
        <v>89301000</v>
      </c>
      <c r="B5181" t="str">
        <f t="shared" si="953"/>
        <v>78006000</v>
      </c>
      <c r="C5181" t="str">
        <f t="shared" si="957"/>
        <v>78006207</v>
      </c>
      <c r="D5181">
        <v>89301171</v>
      </c>
      <c r="E5181" t="str">
        <f>"7309195344"</f>
        <v>7309195344</v>
      </c>
      <c r="F5181" s="1">
        <v>44936</v>
      </c>
      <c r="G5181" t="str">
        <f t="shared" si="959"/>
        <v>91197</v>
      </c>
      <c r="H5181">
        <v>6</v>
      </c>
      <c r="I5181">
        <v>6288</v>
      </c>
      <c r="J5181">
        <v>0</v>
      </c>
      <c r="K5181" t="str">
        <f t="shared" si="958"/>
        <v>813</v>
      </c>
      <c r="L5181">
        <v>5281.92</v>
      </c>
    </row>
    <row r="5182" spans="1:12" x14ac:dyDescent="0.25">
      <c r="A5182" t="str">
        <f t="shared" si="949"/>
        <v>89301000</v>
      </c>
      <c r="B5182" t="str">
        <f t="shared" si="953"/>
        <v>78006000</v>
      </c>
      <c r="C5182" t="str">
        <f t="shared" si="957"/>
        <v>78006207</v>
      </c>
      <c r="D5182">
        <v>89301171</v>
      </c>
      <c r="E5182" t="str">
        <f>"9957315709"</f>
        <v>9957315709</v>
      </c>
      <c r="F5182" s="1">
        <v>44944</v>
      </c>
      <c r="G5182" t="str">
        <f t="shared" si="959"/>
        <v>91197</v>
      </c>
      <c r="H5182">
        <v>6</v>
      </c>
      <c r="I5182">
        <v>6288</v>
      </c>
      <c r="J5182">
        <v>0</v>
      </c>
      <c r="K5182" t="str">
        <f t="shared" si="958"/>
        <v>813</v>
      </c>
      <c r="L5182">
        <v>5281.92</v>
      </c>
    </row>
    <row r="5183" spans="1:12" x14ac:dyDescent="0.25">
      <c r="A5183" t="str">
        <f t="shared" si="949"/>
        <v>89301000</v>
      </c>
      <c r="B5183" t="str">
        <f t="shared" si="953"/>
        <v>78006000</v>
      </c>
      <c r="C5183" t="str">
        <f t="shared" si="957"/>
        <v>78006207</v>
      </c>
      <c r="D5183">
        <v>89301171</v>
      </c>
      <c r="E5183" t="str">
        <f>"9653024854"</f>
        <v>9653024854</v>
      </c>
      <c r="F5183" s="1">
        <v>44949</v>
      </c>
      <c r="G5183" t="str">
        <f t="shared" si="959"/>
        <v>91197</v>
      </c>
      <c r="H5183">
        <v>6</v>
      </c>
      <c r="I5183">
        <v>6288</v>
      </c>
      <c r="J5183">
        <v>0</v>
      </c>
      <c r="K5183" t="str">
        <f t="shared" si="958"/>
        <v>813</v>
      </c>
      <c r="L5183">
        <v>5281.92</v>
      </c>
    </row>
    <row r="5184" spans="1:12" x14ac:dyDescent="0.25">
      <c r="A5184" t="str">
        <f t="shared" si="949"/>
        <v>89301000</v>
      </c>
      <c r="B5184" t="str">
        <f t="shared" si="953"/>
        <v>78006000</v>
      </c>
      <c r="C5184" t="str">
        <f t="shared" si="957"/>
        <v>78006207</v>
      </c>
      <c r="D5184">
        <v>89301171</v>
      </c>
      <c r="E5184" t="str">
        <f>"5404080220"</f>
        <v>5404080220</v>
      </c>
      <c r="F5184" s="1">
        <v>44936</v>
      </c>
      <c r="G5184" t="str">
        <f t="shared" si="959"/>
        <v>91197</v>
      </c>
      <c r="H5184">
        <v>6</v>
      </c>
      <c r="I5184">
        <v>6288</v>
      </c>
      <c r="J5184">
        <v>0</v>
      </c>
      <c r="K5184" t="str">
        <f t="shared" si="958"/>
        <v>813</v>
      </c>
      <c r="L5184">
        <v>5281.92</v>
      </c>
    </row>
    <row r="5185" spans="1:12" x14ac:dyDescent="0.25">
      <c r="A5185" t="str">
        <f t="shared" si="949"/>
        <v>89301000</v>
      </c>
      <c r="B5185" t="str">
        <f t="shared" si="953"/>
        <v>78006000</v>
      </c>
      <c r="C5185" t="str">
        <f t="shared" si="957"/>
        <v>78006207</v>
      </c>
      <c r="D5185">
        <v>89301171</v>
      </c>
      <c r="E5185" t="str">
        <f>"5951011418"</f>
        <v>5951011418</v>
      </c>
      <c r="F5185" s="1">
        <v>44949</v>
      </c>
      <c r="G5185" t="str">
        <f t="shared" si="959"/>
        <v>91197</v>
      </c>
      <c r="H5185">
        <v>6</v>
      </c>
      <c r="I5185">
        <v>6288</v>
      </c>
      <c r="J5185">
        <v>0</v>
      </c>
      <c r="K5185" t="str">
        <f t="shared" si="958"/>
        <v>813</v>
      </c>
      <c r="L5185">
        <v>5281.92</v>
      </c>
    </row>
    <row r="5186" spans="1:12" x14ac:dyDescent="0.25">
      <c r="A5186" t="str">
        <f t="shared" ref="A5186:A5249" si="960">"89301000"</f>
        <v>89301000</v>
      </c>
      <c r="B5186" t="str">
        <f t="shared" ref="B5186:B5217" si="961">"78006000"</f>
        <v>78006000</v>
      </c>
      <c r="C5186" t="str">
        <f t="shared" si="957"/>
        <v>78006207</v>
      </c>
      <c r="D5186">
        <v>89301171</v>
      </c>
      <c r="E5186" t="str">
        <f>"7361195787"</f>
        <v>7361195787</v>
      </c>
      <c r="F5186" s="1">
        <v>44944</v>
      </c>
      <c r="G5186" t="str">
        <f t="shared" si="959"/>
        <v>91197</v>
      </c>
      <c r="H5186">
        <v>6</v>
      </c>
      <c r="I5186">
        <v>6288</v>
      </c>
      <c r="J5186">
        <v>0</v>
      </c>
      <c r="K5186" t="str">
        <f t="shared" si="958"/>
        <v>813</v>
      </c>
      <c r="L5186">
        <v>5281.92</v>
      </c>
    </row>
    <row r="5187" spans="1:12" x14ac:dyDescent="0.25">
      <c r="A5187" t="str">
        <f t="shared" si="960"/>
        <v>89301000</v>
      </c>
      <c r="B5187" t="str">
        <f t="shared" si="961"/>
        <v>78006000</v>
      </c>
      <c r="C5187" t="str">
        <f t="shared" si="957"/>
        <v>78006207</v>
      </c>
      <c r="D5187">
        <v>89301171</v>
      </c>
      <c r="E5187" t="str">
        <f>"6454220575"</f>
        <v>6454220575</v>
      </c>
      <c r="F5187" s="1">
        <v>44949</v>
      </c>
      <c r="G5187" t="str">
        <f t="shared" si="959"/>
        <v>91197</v>
      </c>
      <c r="H5187">
        <v>6</v>
      </c>
      <c r="I5187">
        <v>6288</v>
      </c>
      <c r="J5187">
        <v>0</v>
      </c>
      <c r="K5187" t="str">
        <f t="shared" si="958"/>
        <v>813</v>
      </c>
      <c r="L5187">
        <v>5281.92</v>
      </c>
    </row>
    <row r="5188" spans="1:12" x14ac:dyDescent="0.25">
      <c r="A5188" t="str">
        <f t="shared" si="960"/>
        <v>89301000</v>
      </c>
      <c r="B5188" t="str">
        <f t="shared" si="961"/>
        <v>78006000</v>
      </c>
      <c r="C5188" t="str">
        <f t="shared" si="957"/>
        <v>78006207</v>
      </c>
      <c r="D5188">
        <v>89301171</v>
      </c>
      <c r="E5188" t="str">
        <f>"7805105319"</f>
        <v>7805105319</v>
      </c>
      <c r="F5188" s="1">
        <v>44936</v>
      </c>
      <c r="G5188" t="str">
        <f t="shared" si="959"/>
        <v>91197</v>
      </c>
      <c r="H5188">
        <v>6</v>
      </c>
      <c r="I5188">
        <v>6288</v>
      </c>
      <c r="J5188">
        <v>0</v>
      </c>
      <c r="K5188" t="str">
        <f t="shared" si="958"/>
        <v>813</v>
      </c>
      <c r="L5188">
        <v>5281.92</v>
      </c>
    </row>
    <row r="5189" spans="1:12" x14ac:dyDescent="0.25">
      <c r="A5189" t="str">
        <f t="shared" si="960"/>
        <v>89301000</v>
      </c>
      <c r="B5189" t="str">
        <f t="shared" si="961"/>
        <v>78006000</v>
      </c>
      <c r="C5189" t="str">
        <f t="shared" ref="C5189:C5208" si="962">"78006201"</f>
        <v>78006201</v>
      </c>
      <c r="D5189">
        <v>89301171</v>
      </c>
      <c r="E5189" t="str">
        <f>"7210055358"</f>
        <v>7210055358</v>
      </c>
      <c r="F5189" s="1">
        <v>44949</v>
      </c>
      <c r="G5189" t="str">
        <f>"81703"</f>
        <v>81703</v>
      </c>
      <c r="H5189">
        <v>2</v>
      </c>
      <c r="I5189">
        <v>556</v>
      </c>
      <c r="J5189">
        <v>0</v>
      </c>
      <c r="K5189" t="str">
        <f t="shared" ref="K5189:K5208" si="963">"801"</f>
        <v>801</v>
      </c>
      <c r="L5189">
        <v>467.04</v>
      </c>
    </row>
    <row r="5190" spans="1:12" x14ac:dyDescent="0.25">
      <c r="A5190" t="str">
        <f t="shared" si="960"/>
        <v>89301000</v>
      </c>
      <c r="B5190" t="str">
        <f t="shared" si="961"/>
        <v>78006000</v>
      </c>
      <c r="C5190" t="str">
        <f t="shared" si="962"/>
        <v>78006201</v>
      </c>
      <c r="D5190">
        <v>89301171</v>
      </c>
      <c r="E5190" t="str">
        <f>"9653024854"</f>
        <v>9653024854</v>
      </c>
      <c r="F5190" s="1">
        <v>44938</v>
      </c>
      <c r="G5190" t="str">
        <f>"81703"</f>
        <v>81703</v>
      </c>
      <c r="H5190">
        <v>2</v>
      </c>
      <c r="I5190">
        <v>556</v>
      </c>
      <c r="J5190">
        <v>0</v>
      </c>
      <c r="K5190" t="str">
        <f t="shared" si="963"/>
        <v>801</v>
      </c>
      <c r="L5190">
        <v>467.04</v>
      </c>
    </row>
    <row r="5191" spans="1:12" x14ac:dyDescent="0.25">
      <c r="A5191" t="str">
        <f t="shared" si="960"/>
        <v>89301000</v>
      </c>
      <c r="B5191" t="str">
        <f t="shared" si="961"/>
        <v>78006000</v>
      </c>
      <c r="C5191" t="str">
        <f t="shared" si="962"/>
        <v>78006201</v>
      </c>
      <c r="D5191">
        <v>89301171</v>
      </c>
      <c r="E5191" t="str">
        <f>"7361195787"</f>
        <v>7361195787</v>
      </c>
      <c r="F5191" s="1">
        <v>44935</v>
      </c>
      <c r="G5191" t="str">
        <f>"81703"</f>
        <v>81703</v>
      </c>
      <c r="H5191">
        <v>2</v>
      </c>
      <c r="I5191">
        <v>556</v>
      </c>
      <c r="J5191">
        <v>0</v>
      </c>
      <c r="K5191" t="str">
        <f t="shared" si="963"/>
        <v>801</v>
      </c>
      <c r="L5191">
        <v>467.04</v>
      </c>
    </row>
    <row r="5192" spans="1:12" x14ac:dyDescent="0.25">
      <c r="A5192" t="str">
        <f t="shared" si="960"/>
        <v>89301000</v>
      </c>
      <c r="B5192" t="str">
        <f t="shared" si="961"/>
        <v>78006000</v>
      </c>
      <c r="C5192" t="str">
        <f t="shared" si="962"/>
        <v>78006201</v>
      </c>
      <c r="D5192">
        <v>89301171</v>
      </c>
      <c r="E5192" t="str">
        <f>"6856081650"</f>
        <v>6856081650</v>
      </c>
      <c r="F5192" s="1">
        <v>44949</v>
      </c>
      <c r="G5192" t="str">
        <f>"81703"</f>
        <v>81703</v>
      </c>
      <c r="H5192">
        <v>2</v>
      </c>
      <c r="I5192">
        <v>556</v>
      </c>
      <c r="J5192">
        <v>0</v>
      </c>
      <c r="K5192" t="str">
        <f t="shared" si="963"/>
        <v>801</v>
      </c>
      <c r="L5192">
        <v>467.04</v>
      </c>
    </row>
    <row r="5193" spans="1:12" x14ac:dyDescent="0.25">
      <c r="A5193" t="str">
        <f t="shared" si="960"/>
        <v>89301000</v>
      </c>
      <c r="B5193" t="str">
        <f t="shared" si="961"/>
        <v>78006000</v>
      </c>
      <c r="C5193" t="str">
        <f t="shared" si="962"/>
        <v>78006201</v>
      </c>
      <c r="D5193">
        <v>89301171</v>
      </c>
      <c r="E5193" t="str">
        <f>"7309195344"</f>
        <v>7309195344</v>
      </c>
      <c r="F5193" s="1">
        <v>44936</v>
      </c>
      <c r="G5193" t="str">
        <f>"97111"</f>
        <v>97111</v>
      </c>
      <c r="H5193">
        <v>1</v>
      </c>
      <c r="I5193">
        <v>19</v>
      </c>
      <c r="J5193">
        <v>0</v>
      </c>
      <c r="K5193" t="str">
        <f t="shared" si="963"/>
        <v>801</v>
      </c>
      <c r="L5193">
        <v>23.94</v>
      </c>
    </row>
    <row r="5194" spans="1:12" x14ac:dyDescent="0.25">
      <c r="A5194" t="str">
        <f t="shared" si="960"/>
        <v>89301000</v>
      </c>
      <c r="B5194" t="str">
        <f t="shared" si="961"/>
        <v>78006000</v>
      </c>
      <c r="C5194" t="str">
        <f t="shared" si="962"/>
        <v>78006201</v>
      </c>
      <c r="D5194">
        <v>89301171</v>
      </c>
      <c r="E5194" t="str">
        <f>"7805105319"</f>
        <v>7805105319</v>
      </c>
      <c r="F5194" s="1">
        <v>44936</v>
      </c>
      <c r="G5194" t="str">
        <f>"97111"</f>
        <v>97111</v>
      </c>
      <c r="H5194">
        <v>1</v>
      </c>
      <c r="I5194">
        <v>19</v>
      </c>
      <c r="J5194">
        <v>0</v>
      </c>
      <c r="K5194" t="str">
        <f t="shared" si="963"/>
        <v>801</v>
      </c>
      <c r="L5194">
        <v>23.94</v>
      </c>
    </row>
    <row r="5195" spans="1:12" x14ac:dyDescent="0.25">
      <c r="A5195" t="str">
        <f t="shared" si="960"/>
        <v>89301000</v>
      </c>
      <c r="B5195" t="str">
        <f t="shared" si="961"/>
        <v>78006000</v>
      </c>
      <c r="C5195" t="str">
        <f t="shared" si="962"/>
        <v>78006201</v>
      </c>
      <c r="D5195">
        <v>89301167</v>
      </c>
      <c r="E5195" t="str">
        <f t="shared" ref="E5195:E5202" si="964">"5854210813"</f>
        <v>5854210813</v>
      </c>
      <c r="F5195" s="1">
        <v>44946</v>
      </c>
      <c r="G5195" t="str">
        <f>"81249"</f>
        <v>81249</v>
      </c>
      <c r="H5195">
        <v>1</v>
      </c>
      <c r="I5195">
        <v>334</v>
      </c>
      <c r="J5195">
        <v>0</v>
      </c>
      <c r="K5195" t="str">
        <f t="shared" si="963"/>
        <v>801</v>
      </c>
      <c r="L5195">
        <v>280.56</v>
      </c>
    </row>
    <row r="5196" spans="1:12" x14ac:dyDescent="0.25">
      <c r="A5196" t="str">
        <f t="shared" si="960"/>
        <v>89301000</v>
      </c>
      <c r="B5196" t="str">
        <f t="shared" si="961"/>
        <v>78006000</v>
      </c>
      <c r="C5196" t="str">
        <f t="shared" si="962"/>
        <v>78006201</v>
      </c>
      <c r="D5196">
        <v>89301167</v>
      </c>
      <c r="E5196" t="str">
        <f t="shared" si="964"/>
        <v>5854210813</v>
      </c>
      <c r="F5196" s="1">
        <v>44946</v>
      </c>
      <c r="G5196" t="str">
        <f>"81329"</f>
        <v>81329</v>
      </c>
      <c r="H5196">
        <v>1</v>
      </c>
      <c r="I5196">
        <v>17</v>
      </c>
      <c r="J5196">
        <v>0</v>
      </c>
      <c r="K5196" t="str">
        <f t="shared" si="963"/>
        <v>801</v>
      </c>
      <c r="L5196">
        <v>14.28</v>
      </c>
    </row>
    <row r="5197" spans="1:12" x14ac:dyDescent="0.25">
      <c r="A5197" t="str">
        <f t="shared" si="960"/>
        <v>89301000</v>
      </c>
      <c r="B5197" t="str">
        <f t="shared" si="961"/>
        <v>78006000</v>
      </c>
      <c r="C5197" t="str">
        <f t="shared" si="962"/>
        <v>78006201</v>
      </c>
      <c r="D5197">
        <v>89301167</v>
      </c>
      <c r="E5197" t="str">
        <f t="shared" si="964"/>
        <v>5854210813</v>
      </c>
      <c r="F5197" s="1">
        <v>44946</v>
      </c>
      <c r="G5197" t="str">
        <f>"81383"</f>
        <v>81383</v>
      </c>
      <c r="H5197">
        <v>1</v>
      </c>
      <c r="I5197">
        <v>24</v>
      </c>
      <c r="J5197">
        <v>0</v>
      </c>
      <c r="K5197" t="str">
        <f t="shared" si="963"/>
        <v>801</v>
      </c>
      <c r="L5197">
        <v>20.16</v>
      </c>
    </row>
    <row r="5198" spans="1:12" x14ac:dyDescent="0.25">
      <c r="A5198" t="str">
        <f t="shared" si="960"/>
        <v>89301000</v>
      </c>
      <c r="B5198" t="str">
        <f t="shared" si="961"/>
        <v>78006000</v>
      </c>
      <c r="C5198" t="str">
        <f t="shared" si="962"/>
        <v>78006201</v>
      </c>
      <c r="D5198">
        <v>89301167</v>
      </c>
      <c r="E5198" t="str">
        <f t="shared" si="964"/>
        <v>5854210813</v>
      </c>
      <c r="F5198" s="1">
        <v>44946</v>
      </c>
      <c r="G5198" t="str">
        <f>"81625"</f>
        <v>81625</v>
      </c>
      <c r="H5198">
        <v>1</v>
      </c>
      <c r="I5198">
        <v>21</v>
      </c>
      <c r="J5198">
        <v>0</v>
      </c>
      <c r="K5198" t="str">
        <f t="shared" si="963"/>
        <v>801</v>
      </c>
      <c r="L5198">
        <v>17.64</v>
      </c>
    </row>
    <row r="5199" spans="1:12" x14ac:dyDescent="0.25">
      <c r="A5199" t="str">
        <f t="shared" si="960"/>
        <v>89301000</v>
      </c>
      <c r="B5199" t="str">
        <f t="shared" si="961"/>
        <v>78006000</v>
      </c>
      <c r="C5199" t="str">
        <f t="shared" si="962"/>
        <v>78006201</v>
      </c>
      <c r="D5199">
        <v>89301167</v>
      </c>
      <c r="E5199" t="str">
        <f t="shared" si="964"/>
        <v>5854210813</v>
      </c>
      <c r="F5199" s="1">
        <v>44946</v>
      </c>
      <c r="G5199" t="str">
        <f>"93131"</f>
        <v>93131</v>
      </c>
      <c r="H5199">
        <v>1</v>
      </c>
      <c r="I5199">
        <v>197</v>
      </c>
      <c r="J5199">
        <v>0</v>
      </c>
      <c r="K5199" t="str">
        <f t="shared" si="963"/>
        <v>801</v>
      </c>
      <c r="L5199">
        <v>165.48</v>
      </c>
    </row>
    <row r="5200" spans="1:12" x14ac:dyDescent="0.25">
      <c r="A5200" t="str">
        <f t="shared" si="960"/>
        <v>89301000</v>
      </c>
      <c r="B5200" t="str">
        <f t="shared" si="961"/>
        <v>78006000</v>
      </c>
      <c r="C5200" t="str">
        <f t="shared" si="962"/>
        <v>78006201</v>
      </c>
      <c r="D5200">
        <v>89301167</v>
      </c>
      <c r="E5200" t="str">
        <f t="shared" si="964"/>
        <v>5854210813</v>
      </c>
      <c r="F5200" s="1">
        <v>44946</v>
      </c>
      <c r="G5200" t="str">
        <f>"93189"</f>
        <v>93189</v>
      </c>
      <c r="H5200">
        <v>1</v>
      </c>
      <c r="I5200">
        <v>191</v>
      </c>
      <c r="J5200">
        <v>0</v>
      </c>
      <c r="K5200" t="str">
        <f t="shared" si="963"/>
        <v>801</v>
      </c>
      <c r="L5200">
        <v>160.44</v>
      </c>
    </row>
    <row r="5201" spans="1:12" x14ac:dyDescent="0.25">
      <c r="A5201" t="str">
        <f t="shared" si="960"/>
        <v>89301000</v>
      </c>
      <c r="B5201" t="str">
        <f t="shared" si="961"/>
        <v>78006000</v>
      </c>
      <c r="C5201" t="str">
        <f t="shared" si="962"/>
        <v>78006201</v>
      </c>
      <c r="D5201">
        <v>89301167</v>
      </c>
      <c r="E5201" t="str">
        <f t="shared" si="964"/>
        <v>5854210813</v>
      </c>
      <c r="F5201" s="1">
        <v>44946</v>
      </c>
      <c r="G5201" t="str">
        <f>"93195"</f>
        <v>93195</v>
      </c>
      <c r="H5201">
        <v>1</v>
      </c>
      <c r="I5201">
        <v>183</v>
      </c>
      <c r="J5201">
        <v>0</v>
      </c>
      <c r="K5201" t="str">
        <f t="shared" si="963"/>
        <v>801</v>
      </c>
      <c r="L5201">
        <v>153.72</v>
      </c>
    </row>
    <row r="5202" spans="1:12" x14ac:dyDescent="0.25">
      <c r="A5202" t="str">
        <f t="shared" si="960"/>
        <v>89301000</v>
      </c>
      <c r="B5202" t="str">
        <f t="shared" si="961"/>
        <v>78006000</v>
      </c>
      <c r="C5202" t="str">
        <f t="shared" si="962"/>
        <v>78006201</v>
      </c>
      <c r="D5202">
        <v>89301167</v>
      </c>
      <c r="E5202" t="str">
        <f t="shared" si="964"/>
        <v>5854210813</v>
      </c>
      <c r="F5202" s="1">
        <v>44946</v>
      </c>
      <c r="G5202" t="str">
        <f>"97111"</f>
        <v>97111</v>
      </c>
      <c r="H5202">
        <v>1</v>
      </c>
      <c r="I5202">
        <v>19</v>
      </c>
      <c r="J5202">
        <v>0</v>
      </c>
      <c r="K5202" t="str">
        <f t="shared" si="963"/>
        <v>801</v>
      </c>
      <c r="L5202">
        <v>23.94</v>
      </c>
    </row>
    <row r="5203" spans="1:12" x14ac:dyDescent="0.25">
      <c r="A5203" t="str">
        <f t="shared" si="960"/>
        <v>89301000</v>
      </c>
      <c r="B5203" t="str">
        <f t="shared" si="961"/>
        <v>78006000</v>
      </c>
      <c r="C5203" t="str">
        <f t="shared" si="962"/>
        <v>78006201</v>
      </c>
      <c r="D5203">
        <v>89301167</v>
      </c>
      <c r="E5203" t="str">
        <f>"7003135304"</f>
        <v>7003135304</v>
      </c>
      <c r="F5203" s="1">
        <v>44928</v>
      </c>
      <c r="G5203" t="str">
        <f>"81249"</f>
        <v>81249</v>
      </c>
      <c r="H5203">
        <v>1</v>
      </c>
      <c r="I5203">
        <v>334</v>
      </c>
      <c r="J5203">
        <v>0</v>
      </c>
      <c r="K5203" t="str">
        <f t="shared" si="963"/>
        <v>801</v>
      </c>
      <c r="L5203">
        <v>280.56</v>
      </c>
    </row>
    <row r="5204" spans="1:12" x14ac:dyDescent="0.25">
      <c r="A5204" t="str">
        <f t="shared" si="960"/>
        <v>89301000</v>
      </c>
      <c r="B5204" t="str">
        <f t="shared" si="961"/>
        <v>78006000</v>
      </c>
      <c r="C5204" t="str">
        <f t="shared" si="962"/>
        <v>78006201</v>
      </c>
      <c r="D5204">
        <v>89301167</v>
      </c>
      <c r="E5204" t="str">
        <f>"7003135304"</f>
        <v>7003135304</v>
      </c>
      <c r="F5204" s="1">
        <v>44928</v>
      </c>
      <c r="G5204" t="str">
        <f>"93131"</f>
        <v>93131</v>
      </c>
      <c r="H5204">
        <v>1</v>
      </c>
      <c r="I5204">
        <v>197</v>
      </c>
      <c r="J5204">
        <v>0</v>
      </c>
      <c r="K5204" t="str">
        <f t="shared" si="963"/>
        <v>801</v>
      </c>
      <c r="L5204">
        <v>165.48</v>
      </c>
    </row>
    <row r="5205" spans="1:12" x14ac:dyDescent="0.25">
      <c r="A5205" t="str">
        <f t="shared" si="960"/>
        <v>89301000</v>
      </c>
      <c r="B5205" t="str">
        <f t="shared" si="961"/>
        <v>78006000</v>
      </c>
      <c r="C5205" t="str">
        <f t="shared" si="962"/>
        <v>78006201</v>
      </c>
      <c r="D5205">
        <v>89301167</v>
      </c>
      <c r="E5205" t="str">
        <f>"7003135304"</f>
        <v>7003135304</v>
      </c>
      <c r="F5205" s="1">
        <v>44928</v>
      </c>
      <c r="G5205" t="str">
        <f>"93191"</f>
        <v>93191</v>
      </c>
      <c r="H5205">
        <v>1</v>
      </c>
      <c r="I5205">
        <v>186</v>
      </c>
      <c r="J5205">
        <v>0</v>
      </c>
      <c r="K5205" t="str">
        <f t="shared" si="963"/>
        <v>801</v>
      </c>
      <c r="L5205">
        <v>156.24</v>
      </c>
    </row>
    <row r="5206" spans="1:12" x14ac:dyDescent="0.25">
      <c r="A5206" t="str">
        <f t="shared" si="960"/>
        <v>89301000</v>
      </c>
      <c r="B5206" t="str">
        <f t="shared" si="961"/>
        <v>78006000</v>
      </c>
      <c r="C5206" t="str">
        <f t="shared" si="962"/>
        <v>78006201</v>
      </c>
      <c r="D5206">
        <v>89301167</v>
      </c>
      <c r="E5206" t="str">
        <f>"7003135304"</f>
        <v>7003135304</v>
      </c>
      <c r="F5206" s="1">
        <v>44949</v>
      </c>
      <c r="G5206" t="str">
        <f>"81249"</f>
        <v>81249</v>
      </c>
      <c r="H5206">
        <v>1</v>
      </c>
      <c r="I5206">
        <v>334</v>
      </c>
      <c r="J5206">
        <v>0</v>
      </c>
      <c r="K5206" t="str">
        <f t="shared" si="963"/>
        <v>801</v>
      </c>
      <c r="L5206">
        <v>280.56</v>
      </c>
    </row>
    <row r="5207" spans="1:12" x14ac:dyDescent="0.25">
      <c r="A5207" t="str">
        <f t="shared" si="960"/>
        <v>89301000</v>
      </c>
      <c r="B5207" t="str">
        <f t="shared" si="961"/>
        <v>78006000</v>
      </c>
      <c r="C5207" t="str">
        <f t="shared" si="962"/>
        <v>78006201</v>
      </c>
      <c r="D5207">
        <v>89301167</v>
      </c>
      <c r="E5207" t="str">
        <f>"7003135304"</f>
        <v>7003135304</v>
      </c>
      <c r="F5207" s="1">
        <v>44949</v>
      </c>
      <c r="G5207" t="str">
        <f>"93131"</f>
        <v>93131</v>
      </c>
      <c r="H5207">
        <v>1</v>
      </c>
      <c r="I5207">
        <v>197</v>
      </c>
      <c r="J5207">
        <v>0</v>
      </c>
      <c r="K5207" t="str">
        <f t="shared" si="963"/>
        <v>801</v>
      </c>
      <c r="L5207">
        <v>165.48</v>
      </c>
    </row>
    <row r="5208" spans="1:12" x14ac:dyDescent="0.25">
      <c r="A5208" t="str">
        <f t="shared" si="960"/>
        <v>89301000</v>
      </c>
      <c r="B5208" t="str">
        <f t="shared" si="961"/>
        <v>78006000</v>
      </c>
      <c r="C5208" t="str">
        <f t="shared" si="962"/>
        <v>78006201</v>
      </c>
      <c r="D5208">
        <v>89301167</v>
      </c>
      <c r="E5208" t="str">
        <f>"5854210813"</f>
        <v>5854210813</v>
      </c>
      <c r="F5208" s="1">
        <v>44946</v>
      </c>
      <c r="G5208" t="str">
        <f>"09119"</f>
        <v>09119</v>
      </c>
      <c r="H5208">
        <v>1</v>
      </c>
      <c r="I5208">
        <v>43</v>
      </c>
      <c r="J5208">
        <v>0</v>
      </c>
      <c r="K5208" t="str">
        <f t="shared" si="963"/>
        <v>801</v>
      </c>
      <c r="L5208">
        <v>54.18</v>
      </c>
    </row>
    <row r="5209" spans="1:12" x14ac:dyDescent="0.25">
      <c r="A5209" t="str">
        <f t="shared" si="960"/>
        <v>89301000</v>
      </c>
      <c r="B5209" t="str">
        <f t="shared" si="961"/>
        <v>78006000</v>
      </c>
      <c r="C5209" t="str">
        <f>"78006207"</f>
        <v>78006207</v>
      </c>
      <c r="D5209">
        <v>89301167</v>
      </c>
      <c r="E5209" t="str">
        <f t="shared" ref="E5209:E5225" si="965">"7003135304"</f>
        <v>7003135304</v>
      </c>
      <c r="F5209" s="1">
        <v>44928</v>
      </c>
      <c r="G5209" t="str">
        <f>"91153"</f>
        <v>91153</v>
      </c>
      <c r="H5209">
        <v>1</v>
      </c>
      <c r="I5209">
        <v>153</v>
      </c>
      <c r="J5209">
        <v>0</v>
      </c>
      <c r="K5209" t="str">
        <f>"813"</f>
        <v>813</v>
      </c>
      <c r="L5209">
        <v>128.52000000000001</v>
      </c>
    </row>
    <row r="5210" spans="1:12" x14ac:dyDescent="0.25">
      <c r="A5210" t="str">
        <f t="shared" si="960"/>
        <v>89301000</v>
      </c>
      <c r="B5210" t="str">
        <f t="shared" si="961"/>
        <v>78006000</v>
      </c>
      <c r="C5210" t="str">
        <f>"78006207"</f>
        <v>78006207</v>
      </c>
      <c r="D5210">
        <v>89301167</v>
      </c>
      <c r="E5210" t="str">
        <f t="shared" si="965"/>
        <v>7003135304</v>
      </c>
      <c r="F5210" s="1">
        <v>44949</v>
      </c>
      <c r="G5210" t="str">
        <f>"91153"</f>
        <v>91153</v>
      </c>
      <c r="H5210">
        <v>1</v>
      </c>
      <c r="I5210">
        <v>153</v>
      </c>
      <c r="J5210">
        <v>0</v>
      </c>
      <c r="K5210" t="str">
        <f>"813"</f>
        <v>813</v>
      </c>
      <c r="L5210">
        <v>128.52000000000001</v>
      </c>
    </row>
    <row r="5211" spans="1:12" x14ac:dyDescent="0.25">
      <c r="A5211" t="str">
        <f t="shared" si="960"/>
        <v>89301000</v>
      </c>
      <c r="B5211" t="str">
        <f t="shared" si="961"/>
        <v>78006000</v>
      </c>
      <c r="C5211" t="str">
        <f t="shared" ref="C5211:C5226" si="966">"78006201"</f>
        <v>78006201</v>
      </c>
      <c r="D5211">
        <v>89301167</v>
      </c>
      <c r="E5211" t="str">
        <f t="shared" si="965"/>
        <v>7003135304</v>
      </c>
      <c r="F5211" s="1">
        <v>44949</v>
      </c>
      <c r="G5211" t="str">
        <f>"81329"</f>
        <v>81329</v>
      </c>
      <c r="H5211">
        <v>1</v>
      </c>
      <c r="I5211">
        <v>17</v>
      </c>
      <c r="J5211">
        <v>0</v>
      </c>
      <c r="K5211" t="str">
        <f t="shared" ref="K5211:K5226" si="967">"801"</f>
        <v>801</v>
      </c>
      <c r="L5211">
        <v>14.28</v>
      </c>
    </row>
    <row r="5212" spans="1:12" x14ac:dyDescent="0.25">
      <c r="A5212" t="str">
        <f t="shared" si="960"/>
        <v>89301000</v>
      </c>
      <c r="B5212" t="str">
        <f t="shared" si="961"/>
        <v>78006000</v>
      </c>
      <c r="C5212" t="str">
        <f t="shared" si="966"/>
        <v>78006201</v>
      </c>
      <c r="D5212">
        <v>89301167</v>
      </c>
      <c r="E5212" t="str">
        <f t="shared" si="965"/>
        <v>7003135304</v>
      </c>
      <c r="F5212" s="1">
        <v>44949</v>
      </c>
      <c r="G5212" t="str">
        <f>"81383"</f>
        <v>81383</v>
      </c>
      <c r="H5212">
        <v>1</v>
      </c>
      <c r="I5212">
        <v>24</v>
      </c>
      <c r="J5212">
        <v>0</v>
      </c>
      <c r="K5212" t="str">
        <f t="shared" si="967"/>
        <v>801</v>
      </c>
      <c r="L5212">
        <v>20.16</v>
      </c>
    </row>
    <row r="5213" spans="1:12" x14ac:dyDescent="0.25">
      <c r="A5213" t="str">
        <f t="shared" si="960"/>
        <v>89301000</v>
      </c>
      <c r="B5213" t="str">
        <f t="shared" si="961"/>
        <v>78006000</v>
      </c>
      <c r="C5213" t="str">
        <f t="shared" si="966"/>
        <v>78006201</v>
      </c>
      <c r="D5213">
        <v>89301167</v>
      </c>
      <c r="E5213" t="str">
        <f t="shared" si="965"/>
        <v>7003135304</v>
      </c>
      <c r="F5213" s="1">
        <v>44949</v>
      </c>
      <c r="G5213" t="str">
        <f>"81563"</f>
        <v>81563</v>
      </c>
      <c r="H5213">
        <v>1</v>
      </c>
      <c r="I5213">
        <v>14</v>
      </c>
      <c r="J5213">
        <v>0</v>
      </c>
      <c r="K5213" t="str">
        <f t="shared" si="967"/>
        <v>801</v>
      </c>
      <c r="L5213">
        <v>11.76</v>
      </c>
    </row>
    <row r="5214" spans="1:12" x14ac:dyDescent="0.25">
      <c r="A5214" t="str">
        <f t="shared" si="960"/>
        <v>89301000</v>
      </c>
      <c r="B5214" t="str">
        <f t="shared" si="961"/>
        <v>78006000</v>
      </c>
      <c r="C5214" t="str">
        <f t="shared" si="966"/>
        <v>78006201</v>
      </c>
      <c r="D5214">
        <v>89301167</v>
      </c>
      <c r="E5214" t="str">
        <f t="shared" si="965"/>
        <v>7003135304</v>
      </c>
      <c r="F5214" s="1">
        <v>44949</v>
      </c>
      <c r="G5214" t="str">
        <f>"81625"</f>
        <v>81625</v>
      </c>
      <c r="H5214">
        <v>1</v>
      </c>
      <c r="I5214">
        <v>21</v>
      </c>
      <c r="J5214">
        <v>0</v>
      </c>
      <c r="K5214" t="str">
        <f t="shared" si="967"/>
        <v>801</v>
      </c>
      <c r="L5214">
        <v>17.64</v>
      </c>
    </row>
    <row r="5215" spans="1:12" x14ac:dyDescent="0.25">
      <c r="A5215" t="str">
        <f t="shared" si="960"/>
        <v>89301000</v>
      </c>
      <c r="B5215" t="str">
        <f t="shared" si="961"/>
        <v>78006000</v>
      </c>
      <c r="C5215" t="str">
        <f t="shared" si="966"/>
        <v>78006201</v>
      </c>
      <c r="D5215">
        <v>89301167</v>
      </c>
      <c r="E5215" t="str">
        <f t="shared" si="965"/>
        <v>7003135304</v>
      </c>
      <c r="F5215" s="1">
        <v>44949</v>
      </c>
      <c r="G5215" t="str">
        <f>"93189"</f>
        <v>93189</v>
      </c>
      <c r="H5215">
        <v>1</v>
      </c>
      <c r="I5215">
        <v>191</v>
      </c>
      <c r="J5215">
        <v>0</v>
      </c>
      <c r="K5215" t="str">
        <f t="shared" si="967"/>
        <v>801</v>
      </c>
      <c r="L5215">
        <v>160.44</v>
      </c>
    </row>
    <row r="5216" spans="1:12" x14ac:dyDescent="0.25">
      <c r="A5216" t="str">
        <f t="shared" si="960"/>
        <v>89301000</v>
      </c>
      <c r="B5216" t="str">
        <f t="shared" si="961"/>
        <v>78006000</v>
      </c>
      <c r="C5216" t="str">
        <f t="shared" si="966"/>
        <v>78006201</v>
      </c>
      <c r="D5216">
        <v>89301167</v>
      </c>
      <c r="E5216" t="str">
        <f t="shared" si="965"/>
        <v>7003135304</v>
      </c>
      <c r="F5216" s="1">
        <v>44949</v>
      </c>
      <c r="G5216" t="str">
        <f>"93195"</f>
        <v>93195</v>
      </c>
      <c r="H5216">
        <v>1</v>
      </c>
      <c r="I5216">
        <v>183</v>
      </c>
      <c r="J5216">
        <v>0</v>
      </c>
      <c r="K5216" t="str">
        <f t="shared" si="967"/>
        <v>801</v>
      </c>
      <c r="L5216">
        <v>153.72</v>
      </c>
    </row>
    <row r="5217" spans="1:12" x14ac:dyDescent="0.25">
      <c r="A5217" t="str">
        <f t="shared" si="960"/>
        <v>89301000</v>
      </c>
      <c r="B5217" t="str">
        <f t="shared" si="961"/>
        <v>78006000</v>
      </c>
      <c r="C5217" t="str">
        <f t="shared" si="966"/>
        <v>78006201</v>
      </c>
      <c r="D5217">
        <v>89301167</v>
      </c>
      <c r="E5217" t="str">
        <f t="shared" si="965"/>
        <v>7003135304</v>
      </c>
      <c r="F5217" s="1">
        <v>44949</v>
      </c>
      <c r="G5217" t="str">
        <f>"97111"</f>
        <v>97111</v>
      </c>
      <c r="H5217">
        <v>1</v>
      </c>
      <c r="I5217">
        <v>19</v>
      </c>
      <c r="J5217">
        <v>0</v>
      </c>
      <c r="K5217" t="str">
        <f t="shared" si="967"/>
        <v>801</v>
      </c>
      <c r="L5217">
        <v>23.94</v>
      </c>
    </row>
    <row r="5218" spans="1:12" x14ac:dyDescent="0.25">
      <c r="A5218" t="str">
        <f t="shared" si="960"/>
        <v>89301000</v>
      </c>
      <c r="B5218" t="str">
        <f t="shared" ref="B5218:B5226" si="968">"78006000"</f>
        <v>78006000</v>
      </c>
      <c r="C5218" t="str">
        <f t="shared" si="966"/>
        <v>78006201</v>
      </c>
      <c r="D5218">
        <v>89301167</v>
      </c>
      <c r="E5218" t="str">
        <f t="shared" si="965"/>
        <v>7003135304</v>
      </c>
      <c r="F5218" s="1">
        <v>44928</v>
      </c>
      <c r="G5218" t="str">
        <f>"81329"</f>
        <v>81329</v>
      </c>
      <c r="H5218">
        <v>1</v>
      </c>
      <c r="I5218">
        <v>17</v>
      </c>
      <c r="J5218">
        <v>0</v>
      </c>
      <c r="K5218" t="str">
        <f t="shared" si="967"/>
        <v>801</v>
      </c>
      <c r="L5218">
        <v>14.28</v>
      </c>
    </row>
    <row r="5219" spans="1:12" x14ac:dyDescent="0.25">
      <c r="A5219" t="str">
        <f t="shared" si="960"/>
        <v>89301000</v>
      </c>
      <c r="B5219" t="str">
        <f t="shared" si="968"/>
        <v>78006000</v>
      </c>
      <c r="C5219" t="str">
        <f t="shared" si="966"/>
        <v>78006201</v>
      </c>
      <c r="D5219">
        <v>89301167</v>
      </c>
      <c r="E5219" t="str">
        <f t="shared" si="965"/>
        <v>7003135304</v>
      </c>
      <c r="F5219" s="1">
        <v>44928</v>
      </c>
      <c r="G5219" t="str">
        <f>"81383"</f>
        <v>81383</v>
      </c>
      <c r="H5219">
        <v>1</v>
      </c>
      <c r="I5219">
        <v>24</v>
      </c>
      <c r="J5219">
        <v>0</v>
      </c>
      <c r="K5219" t="str">
        <f t="shared" si="967"/>
        <v>801</v>
      </c>
      <c r="L5219">
        <v>20.16</v>
      </c>
    </row>
    <row r="5220" spans="1:12" x14ac:dyDescent="0.25">
      <c r="A5220" t="str">
        <f t="shared" si="960"/>
        <v>89301000</v>
      </c>
      <c r="B5220" t="str">
        <f t="shared" si="968"/>
        <v>78006000</v>
      </c>
      <c r="C5220" t="str">
        <f t="shared" si="966"/>
        <v>78006201</v>
      </c>
      <c r="D5220">
        <v>89301167</v>
      </c>
      <c r="E5220" t="str">
        <f t="shared" si="965"/>
        <v>7003135304</v>
      </c>
      <c r="F5220" s="1">
        <v>44928</v>
      </c>
      <c r="G5220" t="str">
        <f>"81465"</f>
        <v>81465</v>
      </c>
      <c r="H5220">
        <v>1</v>
      </c>
      <c r="I5220">
        <v>21</v>
      </c>
      <c r="J5220">
        <v>0</v>
      </c>
      <c r="K5220" t="str">
        <f t="shared" si="967"/>
        <v>801</v>
      </c>
      <c r="L5220">
        <v>17.64</v>
      </c>
    </row>
    <row r="5221" spans="1:12" x14ac:dyDescent="0.25">
      <c r="A5221" t="str">
        <f t="shared" si="960"/>
        <v>89301000</v>
      </c>
      <c r="B5221" t="str">
        <f t="shared" si="968"/>
        <v>78006000</v>
      </c>
      <c r="C5221" t="str">
        <f t="shared" si="966"/>
        <v>78006201</v>
      </c>
      <c r="D5221">
        <v>89301167</v>
      </c>
      <c r="E5221" t="str">
        <f t="shared" si="965"/>
        <v>7003135304</v>
      </c>
      <c r="F5221" s="1">
        <v>44928</v>
      </c>
      <c r="G5221" t="str">
        <f>"81563"</f>
        <v>81563</v>
      </c>
      <c r="H5221">
        <v>1</v>
      </c>
      <c r="I5221">
        <v>14</v>
      </c>
      <c r="J5221">
        <v>0</v>
      </c>
      <c r="K5221" t="str">
        <f t="shared" si="967"/>
        <v>801</v>
      </c>
      <c r="L5221">
        <v>11.76</v>
      </c>
    </row>
    <row r="5222" spans="1:12" x14ac:dyDescent="0.25">
      <c r="A5222" t="str">
        <f t="shared" si="960"/>
        <v>89301000</v>
      </c>
      <c r="B5222" t="str">
        <f t="shared" si="968"/>
        <v>78006000</v>
      </c>
      <c r="C5222" t="str">
        <f t="shared" si="966"/>
        <v>78006201</v>
      </c>
      <c r="D5222">
        <v>89301167</v>
      </c>
      <c r="E5222" t="str">
        <f t="shared" si="965"/>
        <v>7003135304</v>
      </c>
      <c r="F5222" s="1">
        <v>44928</v>
      </c>
      <c r="G5222" t="str">
        <f>"81625"</f>
        <v>81625</v>
      </c>
      <c r="H5222">
        <v>1</v>
      </c>
      <c r="I5222">
        <v>21</v>
      </c>
      <c r="J5222">
        <v>0</v>
      </c>
      <c r="K5222" t="str">
        <f t="shared" si="967"/>
        <v>801</v>
      </c>
      <c r="L5222">
        <v>17.64</v>
      </c>
    </row>
    <row r="5223" spans="1:12" x14ac:dyDescent="0.25">
      <c r="A5223" t="str">
        <f t="shared" si="960"/>
        <v>89301000</v>
      </c>
      <c r="B5223" t="str">
        <f t="shared" si="968"/>
        <v>78006000</v>
      </c>
      <c r="C5223" t="str">
        <f t="shared" si="966"/>
        <v>78006201</v>
      </c>
      <c r="D5223">
        <v>89301167</v>
      </c>
      <c r="E5223" t="str">
        <f t="shared" si="965"/>
        <v>7003135304</v>
      </c>
      <c r="F5223" s="1">
        <v>44928</v>
      </c>
      <c r="G5223" t="str">
        <f>"93189"</f>
        <v>93189</v>
      </c>
      <c r="H5223">
        <v>1</v>
      </c>
      <c r="I5223">
        <v>191</v>
      </c>
      <c r="J5223">
        <v>0</v>
      </c>
      <c r="K5223" t="str">
        <f t="shared" si="967"/>
        <v>801</v>
      </c>
      <c r="L5223">
        <v>160.44</v>
      </c>
    </row>
    <row r="5224" spans="1:12" x14ac:dyDescent="0.25">
      <c r="A5224" t="str">
        <f t="shared" si="960"/>
        <v>89301000</v>
      </c>
      <c r="B5224" t="str">
        <f t="shared" si="968"/>
        <v>78006000</v>
      </c>
      <c r="C5224" t="str">
        <f t="shared" si="966"/>
        <v>78006201</v>
      </c>
      <c r="D5224">
        <v>89301167</v>
      </c>
      <c r="E5224" t="str">
        <f t="shared" si="965"/>
        <v>7003135304</v>
      </c>
      <c r="F5224" s="1">
        <v>44928</v>
      </c>
      <c r="G5224" t="str">
        <f>"93195"</f>
        <v>93195</v>
      </c>
      <c r="H5224">
        <v>1</v>
      </c>
      <c r="I5224">
        <v>183</v>
      </c>
      <c r="J5224">
        <v>0</v>
      </c>
      <c r="K5224" t="str">
        <f t="shared" si="967"/>
        <v>801</v>
      </c>
      <c r="L5224">
        <v>153.72</v>
      </c>
    </row>
    <row r="5225" spans="1:12" x14ac:dyDescent="0.25">
      <c r="A5225" t="str">
        <f t="shared" si="960"/>
        <v>89301000</v>
      </c>
      <c r="B5225" t="str">
        <f t="shared" si="968"/>
        <v>78006000</v>
      </c>
      <c r="C5225" t="str">
        <f t="shared" si="966"/>
        <v>78006201</v>
      </c>
      <c r="D5225">
        <v>89301167</v>
      </c>
      <c r="E5225" t="str">
        <f t="shared" si="965"/>
        <v>7003135304</v>
      </c>
      <c r="F5225" s="1">
        <v>44928</v>
      </c>
      <c r="G5225" t="str">
        <f>"97111"</f>
        <v>97111</v>
      </c>
      <c r="H5225">
        <v>1</v>
      </c>
      <c r="I5225">
        <v>19</v>
      </c>
      <c r="J5225">
        <v>0</v>
      </c>
      <c r="K5225" t="str">
        <f t="shared" si="967"/>
        <v>801</v>
      </c>
      <c r="L5225">
        <v>23.94</v>
      </c>
    </row>
    <row r="5226" spans="1:12" x14ac:dyDescent="0.25">
      <c r="A5226" t="str">
        <f t="shared" si="960"/>
        <v>89301000</v>
      </c>
      <c r="B5226" t="str">
        <f t="shared" si="968"/>
        <v>78006000</v>
      </c>
      <c r="C5226" t="str">
        <f t="shared" si="966"/>
        <v>78006201</v>
      </c>
      <c r="D5226">
        <v>89301082</v>
      </c>
      <c r="E5226" t="str">
        <f>"9362205721"</f>
        <v>9362205721</v>
      </c>
      <c r="F5226" s="1">
        <v>44928</v>
      </c>
      <c r="G5226" t="str">
        <f>"81707"</f>
        <v>81707</v>
      </c>
      <c r="H5226">
        <v>1</v>
      </c>
      <c r="I5226">
        <v>394</v>
      </c>
      <c r="J5226">
        <v>0</v>
      </c>
      <c r="K5226" t="str">
        <f t="shared" si="967"/>
        <v>801</v>
      </c>
      <c r="L5226">
        <v>330.96</v>
      </c>
    </row>
    <row r="5227" spans="1:12" x14ac:dyDescent="0.25">
      <c r="A5227" t="str">
        <f t="shared" si="960"/>
        <v>89301000</v>
      </c>
      <c r="B5227" t="str">
        <f t="shared" ref="B5227:B5255" si="969">"72100000"</f>
        <v>72100000</v>
      </c>
      <c r="C5227" t="str">
        <f t="shared" ref="C5227:C5243" si="970">"72100632"</f>
        <v>72100632</v>
      </c>
      <c r="D5227">
        <v>89301091</v>
      </c>
      <c r="E5227" t="str">
        <f>"2301230525"</f>
        <v>2301230525</v>
      </c>
      <c r="F5227" s="1">
        <v>44956</v>
      </c>
      <c r="G5227" t="str">
        <f>"94297"</f>
        <v>94297</v>
      </c>
      <c r="H5227">
        <v>1</v>
      </c>
      <c r="I5227">
        <v>304</v>
      </c>
      <c r="J5227">
        <v>0</v>
      </c>
      <c r="K5227" t="str">
        <f t="shared" ref="K5227:K5243" si="971">"816"</f>
        <v>816</v>
      </c>
      <c r="L5227">
        <v>304</v>
      </c>
    </row>
    <row r="5228" spans="1:12" x14ac:dyDescent="0.25">
      <c r="A5228" t="str">
        <f t="shared" si="960"/>
        <v>89301000</v>
      </c>
      <c r="B5228" t="str">
        <f t="shared" si="969"/>
        <v>72100000</v>
      </c>
      <c r="C5228" t="str">
        <f t="shared" si="970"/>
        <v>72100632</v>
      </c>
      <c r="D5228">
        <v>89301091</v>
      </c>
      <c r="E5228" t="str">
        <f>"2301230558"</f>
        <v>2301230558</v>
      </c>
      <c r="F5228" s="1">
        <v>44956</v>
      </c>
      <c r="G5228" t="str">
        <f>"94297"</f>
        <v>94297</v>
      </c>
      <c r="H5228">
        <v>1</v>
      </c>
      <c r="I5228">
        <v>304</v>
      </c>
      <c r="J5228">
        <v>0</v>
      </c>
      <c r="K5228" t="str">
        <f t="shared" si="971"/>
        <v>816</v>
      </c>
      <c r="L5228">
        <v>304</v>
      </c>
    </row>
    <row r="5229" spans="1:12" x14ac:dyDescent="0.25">
      <c r="A5229" t="str">
        <f t="shared" si="960"/>
        <v>89301000</v>
      </c>
      <c r="B5229" t="str">
        <f t="shared" si="969"/>
        <v>72100000</v>
      </c>
      <c r="C5229" t="str">
        <f t="shared" si="970"/>
        <v>72100632</v>
      </c>
      <c r="D5229">
        <v>89301091</v>
      </c>
      <c r="E5229" t="str">
        <f>"2301240084"</f>
        <v>2301240084</v>
      </c>
      <c r="F5229" s="1">
        <v>44957</v>
      </c>
      <c r="G5229" t="str">
        <f>"94297"</f>
        <v>94297</v>
      </c>
      <c r="H5229">
        <v>1</v>
      </c>
      <c r="I5229">
        <v>304</v>
      </c>
      <c r="J5229">
        <v>0</v>
      </c>
      <c r="K5229" t="str">
        <f t="shared" si="971"/>
        <v>816</v>
      </c>
      <c r="L5229">
        <v>304</v>
      </c>
    </row>
    <row r="5230" spans="1:12" x14ac:dyDescent="0.25">
      <c r="A5230" t="str">
        <f t="shared" si="960"/>
        <v>89301000</v>
      </c>
      <c r="B5230" t="str">
        <f t="shared" si="969"/>
        <v>72100000</v>
      </c>
      <c r="C5230" t="str">
        <f t="shared" si="970"/>
        <v>72100632</v>
      </c>
      <c r="D5230">
        <v>89301091</v>
      </c>
      <c r="E5230" t="str">
        <f>"2351240485"</f>
        <v>2351240485</v>
      </c>
      <c r="F5230" s="1">
        <v>44957</v>
      </c>
      <c r="G5230" t="str">
        <f>"94297"</f>
        <v>94297</v>
      </c>
      <c r="H5230">
        <v>1</v>
      </c>
      <c r="I5230">
        <v>304</v>
      </c>
      <c r="J5230">
        <v>0</v>
      </c>
      <c r="K5230" t="str">
        <f t="shared" si="971"/>
        <v>816</v>
      </c>
      <c r="L5230">
        <v>304</v>
      </c>
    </row>
    <row r="5231" spans="1:12" x14ac:dyDescent="0.25">
      <c r="A5231" t="str">
        <f t="shared" si="960"/>
        <v>89301000</v>
      </c>
      <c r="B5231" t="str">
        <f t="shared" si="969"/>
        <v>72100000</v>
      </c>
      <c r="C5231" t="str">
        <f t="shared" si="970"/>
        <v>72100632</v>
      </c>
      <c r="D5231">
        <v>89301091</v>
      </c>
      <c r="E5231" t="str">
        <f>"2301240645"</f>
        <v>2301240645</v>
      </c>
      <c r="F5231" s="1">
        <v>44957</v>
      </c>
      <c r="G5231" t="str">
        <f>"94297"</f>
        <v>94297</v>
      </c>
      <c r="H5231">
        <v>1</v>
      </c>
      <c r="I5231">
        <v>304</v>
      </c>
      <c r="J5231">
        <v>0</v>
      </c>
      <c r="K5231" t="str">
        <f t="shared" si="971"/>
        <v>816</v>
      </c>
      <c r="L5231">
        <v>304</v>
      </c>
    </row>
    <row r="5232" spans="1:12" x14ac:dyDescent="0.25">
      <c r="A5232" t="str">
        <f t="shared" si="960"/>
        <v>89301000</v>
      </c>
      <c r="B5232" t="str">
        <f t="shared" si="969"/>
        <v>72100000</v>
      </c>
      <c r="C5232" t="str">
        <f t="shared" si="970"/>
        <v>72100632</v>
      </c>
      <c r="D5232">
        <v>89301282</v>
      </c>
      <c r="E5232" t="str">
        <f>"0401217212"</f>
        <v>0401217212</v>
      </c>
      <c r="F5232" s="1">
        <v>45000</v>
      </c>
      <c r="G5232" t="str">
        <f>"94221"</f>
        <v>94221</v>
      </c>
      <c r="H5232">
        <v>2</v>
      </c>
      <c r="I5232">
        <v>4934</v>
      </c>
      <c r="J5232">
        <v>0</v>
      </c>
      <c r="K5232" t="str">
        <f t="shared" si="971"/>
        <v>816</v>
      </c>
      <c r="L5232">
        <v>4440.6000000000004</v>
      </c>
    </row>
    <row r="5233" spans="1:12" x14ac:dyDescent="0.25">
      <c r="A5233" t="str">
        <f t="shared" si="960"/>
        <v>89301000</v>
      </c>
      <c r="B5233" t="str">
        <f t="shared" si="969"/>
        <v>72100000</v>
      </c>
      <c r="C5233" t="str">
        <f t="shared" si="970"/>
        <v>72100632</v>
      </c>
      <c r="D5233">
        <v>89301282</v>
      </c>
      <c r="E5233" t="str">
        <f>"0401167712"</f>
        <v>0401167712</v>
      </c>
      <c r="F5233" s="1">
        <v>44991</v>
      </c>
      <c r="G5233" t="str">
        <f>"94983"</f>
        <v>94983</v>
      </c>
      <c r="H5233">
        <v>1</v>
      </c>
      <c r="I5233">
        <v>0</v>
      </c>
      <c r="J5233">
        <v>39600</v>
      </c>
      <c r="K5233" t="str">
        <f t="shared" si="971"/>
        <v>816</v>
      </c>
      <c r="L5233">
        <v>39600</v>
      </c>
    </row>
    <row r="5234" spans="1:12" x14ac:dyDescent="0.25">
      <c r="A5234" t="str">
        <f t="shared" si="960"/>
        <v>89301000</v>
      </c>
      <c r="B5234" t="str">
        <f t="shared" si="969"/>
        <v>72100000</v>
      </c>
      <c r="C5234" t="str">
        <f t="shared" si="970"/>
        <v>72100632</v>
      </c>
      <c r="D5234">
        <v>89301282</v>
      </c>
      <c r="E5234" t="str">
        <f>"0401167712"</f>
        <v>0401167712</v>
      </c>
      <c r="F5234" s="1">
        <v>44991</v>
      </c>
      <c r="G5234" t="str">
        <f>"94996"</f>
        <v>94996</v>
      </c>
      <c r="H5234">
        <v>1</v>
      </c>
      <c r="I5234">
        <v>0</v>
      </c>
      <c r="J5234">
        <v>0</v>
      </c>
      <c r="K5234" t="str">
        <f t="shared" si="971"/>
        <v>816</v>
      </c>
      <c r="L5234">
        <v>0</v>
      </c>
    </row>
    <row r="5235" spans="1:12" x14ac:dyDescent="0.25">
      <c r="A5235" t="str">
        <f t="shared" si="960"/>
        <v>89301000</v>
      </c>
      <c r="B5235" t="str">
        <f t="shared" si="969"/>
        <v>72100000</v>
      </c>
      <c r="C5235" t="str">
        <f t="shared" si="970"/>
        <v>72100632</v>
      </c>
      <c r="D5235">
        <v>89301091</v>
      </c>
      <c r="E5235" t="str">
        <f>"2351240518"</f>
        <v>2351240518</v>
      </c>
      <c r="F5235" s="1">
        <v>44958</v>
      </c>
      <c r="G5235" t="str">
        <f t="shared" ref="G5235:G5240" si="972">"94297"</f>
        <v>94297</v>
      </c>
      <c r="H5235">
        <v>1</v>
      </c>
      <c r="I5235">
        <v>304</v>
      </c>
      <c r="J5235">
        <v>0</v>
      </c>
      <c r="K5235" t="str">
        <f t="shared" si="971"/>
        <v>816</v>
      </c>
      <c r="L5235">
        <v>304</v>
      </c>
    </row>
    <row r="5236" spans="1:12" x14ac:dyDescent="0.25">
      <c r="A5236" t="str">
        <f t="shared" si="960"/>
        <v>89301000</v>
      </c>
      <c r="B5236" t="str">
        <f t="shared" si="969"/>
        <v>72100000</v>
      </c>
      <c r="C5236" t="str">
        <f t="shared" si="970"/>
        <v>72100632</v>
      </c>
      <c r="D5236">
        <v>89301091</v>
      </c>
      <c r="E5236" t="str">
        <f>"2301250050"</f>
        <v>2301250050</v>
      </c>
      <c r="F5236" s="1">
        <v>44958</v>
      </c>
      <c r="G5236" t="str">
        <f t="shared" si="972"/>
        <v>94297</v>
      </c>
      <c r="H5236">
        <v>1</v>
      </c>
      <c r="I5236">
        <v>304</v>
      </c>
      <c r="J5236">
        <v>0</v>
      </c>
      <c r="K5236" t="str">
        <f t="shared" si="971"/>
        <v>816</v>
      </c>
      <c r="L5236">
        <v>304</v>
      </c>
    </row>
    <row r="5237" spans="1:12" x14ac:dyDescent="0.25">
      <c r="A5237" t="str">
        <f t="shared" si="960"/>
        <v>89301000</v>
      </c>
      <c r="B5237" t="str">
        <f t="shared" si="969"/>
        <v>72100000</v>
      </c>
      <c r="C5237" t="str">
        <f t="shared" si="970"/>
        <v>72100632</v>
      </c>
      <c r="D5237">
        <v>89301091</v>
      </c>
      <c r="E5237" t="str">
        <f>"2351250715"</f>
        <v>2351250715</v>
      </c>
      <c r="F5237" s="1">
        <v>44958</v>
      </c>
      <c r="G5237" t="str">
        <f t="shared" si="972"/>
        <v>94297</v>
      </c>
      <c r="H5237">
        <v>1</v>
      </c>
      <c r="I5237">
        <v>304</v>
      </c>
      <c r="J5237">
        <v>0</v>
      </c>
      <c r="K5237" t="str">
        <f t="shared" si="971"/>
        <v>816</v>
      </c>
      <c r="L5237">
        <v>304</v>
      </c>
    </row>
    <row r="5238" spans="1:12" x14ac:dyDescent="0.25">
      <c r="A5238" t="str">
        <f t="shared" si="960"/>
        <v>89301000</v>
      </c>
      <c r="B5238" t="str">
        <f t="shared" si="969"/>
        <v>72100000</v>
      </c>
      <c r="C5238" t="str">
        <f t="shared" si="970"/>
        <v>72100632</v>
      </c>
      <c r="D5238">
        <v>89301091</v>
      </c>
      <c r="E5238" t="str">
        <f>"2301260082"</f>
        <v>2301260082</v>
      </c>
      <c r="F5238" s="1">
        <v>44958</v>
      </c>
      <c r="G5238" t="str">
        <f t="shared" si="972"/>
        <v>94297</v>
      </c>
      <c r="H5238">
        <v>1</v>
      </c>
      <c r="I5238">
        <v>304</v>
      </c>
      <c r="J5238">
        <v>0</v>
      </c>
      <c r="K5238" t="str">
        <f t="shared" si="971"/>
        <v>816</v>
      </c>
      <c r="L5238">
        <v>304</v>
      </c>
    </row>
    <row r="5239" spans="1:12" x14ac:dyDescent="0.25">
      <c r="A5239" t="str">
        <f t="shared" si="960"/>
        <v>89301000</v>
      </c>
      <c r="B5239" t="str">
        <f t="shared" si="969"/>
        <v>72100000</v>
      </c>
      <c r="C5239" t="str">
        <f t="shared" si="970"/>
        <v>72100632</v>
      </c>
      <c r="D5239">
        <v>89301091</v>
      </c>
      <c r="E5239" t="str">
        <f>"0351045717"</f>
        <v>0351045717</v>
      </c>
      <c r="F5239" s="1">
        <v>44958</v>
      </c>
      <c r="G5239" t="str">
        <f t="shared" si="972"/>
        <v>94297</v>
      </c>
      <c r="H5239">
        <v>1</v>
      </c>
      <c r="I5239">
        <v>304</v>
      </c>
      <c r="J5239">
        <v>0</v>
      </c>
      <c r="K5239" t="str">
        <f t="shared" si="971"/>
        <v>816</v>
      </c>
      <c r="L5239">
        <v>304</v>
      </c>
    </row>
    <row r="5240" spans="1:12" x14ac:dyDescent="0.25">
      <c r="A5240" t="str">
        <f t="shared" si="960"/>
        <v>89301000</v>
      </c>
      <c r="B5240" t="str">
        <f t="shared" si="969"/>
        <v>72100000</v>
      </c>
      <c r="C5240" t="str">
        <f t="shared" si="970"/>
        <v>72100632</v>
      </c>
      <c r="D5240">
        <v>89301091</v>
      </c>
      <c r="E5240" t="str">
        <f>"8254094464"</f>
        <v>8254094464</v>
      </c>
      <c r="F5240" s="1">
        <v>44958</v>
      </c>
      <c r="G5240" t="str">
        <f t="shared" si="972"/>
        <v>94297</v>
      </c>
      <c r="H5240">
        <v>1</v>
      </c>
      <c r="I5240">
        <v>304</v>
      </c>
      <c r="J5240">
        <v>0</v>
      </c>
      <c r="K5240" t="str">
        <f t="shared" si="971"/>
        <v>816</v>
      </c>
      <c r="L5240">
        <v>304</v>
      </c>
    </row>
    <row r="5241" spans="1:12" x14ac:dyDescent="0.25">
      <c r="A5241" t="str">
        <f t="shared" si="960"/>
        <v>89301000</v>
      </c>
      <c r="B5241" t="str">
        <f t="shared" si="969"/>
        <v>72100000</v>
      </c>
      <c r="C5241" t="str">
        <f t="shared" si="970"/>
        <v>72100632</v>
      </c>
      <c r="D5241">
        <v>89301282</v>
      </c>
      <c r="E5241" t="str">
        <f>"0401217212"</f>
        <v>0401217212</v>
      </c>
      <c r="F5241" s="1">
        <v>44979</v>
      </c>
      <c r="G5241" t="str">
        <f>"94221"</f>
        <v>94221</v>
      </c>
      <c r="H5241">
        <v>9</v>
      </c>
      <c r="I5241">
        <v>22203</v>
      </c>
      <c r="J5241">
        <v>0</v>
      </c>
      <c r="K5241" t="str">
        <f t="shared" si="971"/>
        <v>816</v>
      </c>
      <c r="L5241">
        <v>19982.7</v>
      </c>
    </row>
    <row r="5242" spans="1:12" x14ac:dyDescent="0.25">
      <c r="A5242" t="str">
        <f t="shared" si="960"/>
        <v>89301000</v>
      </c>
      <c r="B5242" t="str">
        <f t="shared" si="969"/>
        <v>72100000</v>
      </c>
      <c r="C5242" t="str">
        <f t="shared" si="970"/>
        <v>72100632</v>
      </c>
      <c r="D5242">
        <v>89301282</v>
      </c>
      <c r="E5242" t="str">
        <f>"0401217212"</f>
        <v>0401217212</v>
      </c>
      <c r="F5242" s="1">
        <v>44979</v>
      </c>
      <c r="G5242" t="str">
        <f>"94221"</f>
        <v>94221</v>
      </c>
      <c r="H5242">
        <v>3</v>
      </c>
      <c r="I5242">
        <v>7401</v>
      </c>
      <c r="J5242">
        <v>0</v>
      </c>
      <c r="K5242" t="str">
        <f t="shared" si="971"/>
        <v>816</v>
      </c>
      <c r="L5242">
        <v>6660.9</v>
      </c>
    </row>
    <row r="5243" spans="1:12" x14ac:dyDescent="0.25">
      <c r="A5243" t="str">
        <f t="shared" si="960"/>
        <v>89301000</v>
      </c>
      <c r="B5243" t="str">
        <f t="shared" si="969"/>
        <v>72100000</v>
      </c>
      <c r="C5243" t="str">
        <f t="shared" si="970"/>
        <v>72100632</v>
      </c>
      <c r="D5243">
        <v>89301282</v>
      </c>
      <c r="E5243" t="str">
        <f>"0401217212"</f>
        <v>0401217212</v>
      </c>
      <c r="F5243" s="1">
        <v>44979</v>
      </c>
      <c r="G5243" t="str">
        <f>"94331"</f>
        <v>94331</v>
      </c>
      <c r="H5243">
        <v>1</v>
      </c>
      <c r="I5243">
        <v>7866</v>
      </c>
      <c r="J5243">
        <v>0</v>
      </c>
      <c r="K5243" t="str">
        <f t="shared" si="971"/>
        <v>816</v>
      </c>
      <c r="L5243">
        <v>7079.4</v>
      </c>
    </row>
    <row r="5244" spans="1:12" x14ac:dyDescent="0.25">
      <c r="A5244" t="str">
        <f t="shared" si="960"/>
        <v>89301000</v>
      </c>
      <c r="B5244" t="str">
        <f t="shared" si="969"/>
        <v>72100000</v>
      </c>
      <c r="C5244" t="str">
        <f>"72100529"</f>
        <v>72100529</v>
      </c>
      <c r="D5244">
        <v>89301031</v>
      </c>
      <c r="E5244" t="str">
        <f>"7057295784"</f>
        <v>7057295784</v>
      </c>
      <c r="F5244" s="1">
        <v>45009</v>
      </c>
      <c r="G5244" t="str">
        <f>"97111"</f>
        <v>97111</v>
      </c>
      <c r="H5244">
        <v>1</v>
      </c>
      <c r="I5244">
        <v>19</v>
      </c>
      <c r="J5244">
        <v>0</v>
      </c>
      <c r="K5244" t="str">
        <f>"222"</f>
        <v>222</v>
      </c>
      <c r="L5244">
        <v>23.94</v>
      </c>
    </row>
    <row r="5245" spans="1:12" x14ac:dyDescent="0.25">
      <c r="A5245" t="str">
        <f t="shared" si="960"/>
        <v>89301000</v>
      </c>
      <c r="B5245" t="str">
        <f t="shared" si="969"/>
        <v>72100000</v>
      </c>
      <c r="C5245" t="str">
        <f>"72100529"</f>
        <v>72100529</v>
      </c>
      <c r="D5245">
        <v>89301031</v>
      </c>
      <c r="E5245" t="str">
        <f>"7057295784"</f>
        <v>7057295784</v>
      </c>
      <c r="F5245" s="1">
        <v>45019</v>
      </c>
      <c r="G5245" t="str">
        <f>"22122"</f>
        <v>22122</v>
      </c>
      <c r="H5245">
        <v>1</v>
      </c>
      <c r="I5245">
        <v>588</v>
      </c>
      <c r="J5245">
        <v>0</v>
      </c>
      <c r="K5245" t="str">
        <f>"222"</f>
        <v>222</v>
      </c>
      <c r="L5245">
        <v>493.92</v>
      </c>
    </row>
    <row r="5246" spans="1:12" x14ac:dyDescent="0.25">
      <c r="A5246" t="str">
        <f t="shared" si="960"/>
        <v>89301000</v>
      </c>
      <c r="B5246" t="str">
        <f t="shared" si="969"/>
        <v>72100000</v>
      </c>
      <c r="C5246" t="str">
        <f>"72100529"</f>
        <v>72100529</v>
      </c>
      <c r="D5246">
        <v>89301031</v>
      </c>
      <c r="E5246" t="str">
        <f>"7057295784"</f>
        <v>7057295784</v>
      </c>
      <c r="F5246" s="1">
        <v>45019</v>
      </c>
      <c r="G5246" t="str">
        <f>"22127"</f>
        <v>22127</v>
      </c>
      <c r="H5246">
        <v>1</v>
      </c>
      <c r="I5246">
        <v>340</v>
      </c>
      <c r="J5246">
        <v>0</v>
      </c>
      <c r="K5246" t="str">
        <f>"222"</f>
        <v>222</v>
      </c>
      <c r="L5246">
        <v>285.60000000000002</v>
      </c>
    </row>
    <row r="5247" spans="1:12" x14ac:dyDescent="0.25">
      <c r="A5247" t="str">
        <f t="shared" si="960"/>
        <v>89301000</v>
      </c>
      <c r="B5247" t="str">
        <f t="shared" si="969"/>
        <v>72100000</v>
      </c>
      <c r="C5247" t="str">
        <f>"72100529"</f>
        <v>72100529</v>
      </c>
      <c r="D5247">
        <v>89301031</v>
      </c>
      <c r="E5247" t="str">
        <f>"7057295784"</f>
        <v>7057295784</v>
      </c>
      <c r="F5247" s="1">
        <v>45019</v>
      </c>
      <c r="G5247" t="str">
        <f>"91431"</f>
        <v>91431</v>
      </c>
      <c r="H5247">
        <v>1</v>
      </c>
      <c r="I5247">
        <v>543</v>
      </c>
      <c r="J5247">
        <v>0</v>
      </c>
      <c r="K5247" t="str">
        <f>"222"</f>
        <v>222</v>
      </c>
      <c r="L5247">
        <v>456.12</v>
      </c>
    </row>
    <row r="5248" spans="1:12" x14ac:dyDescent="0.25">
      <c r="A5248" t="str">
        <f t="shared" si="960"/>
        <v>89301000</v>
      </c>
      <c r="B5248" t="str">
        <f t="shared" si="969"/>
        <v>72100000</v>
      </c>
      <c r="C5248" t="str">
        <f>"72100529"</f>
        <v>72100529</v>
      </c>
      <c r="D5248">
        <v>89301031</v>
      </c>
      <c r="E5248" t="str">
        <f>"7057295784"</f>
        <v>7057295784</v>
      </c>
      <c r="F5248" s="1">
        <v>45019</v>
      </c>
      <c r="G5248" t="str">
        <f>"91435"</f>
        <v>91435</v>
      </c>
      <c r="H5248">
        <v>1</v>
      </c>
      <c r="I5248">
        <v>312</v>
      </c>
      <c r="J5248">
        <v>0</v>
      </c>
      <c r="K5248" t="str">
        <f>"222"</f>
        <v>222</v>
      </c>
      <c r="L5248">
        <v>262.08</v>
      </c>
    </row>
    <row r="5249" spans="1:12" x14ac:dyDescent="0.25">
      <c r="A5249" t="str">
        <f t="shared" si="960"/>
        <v>89301000</v>
      </c>
      <c r="B5249" t="str">
        <f t="shared" si="969"/>
        <v>72100000</v>
      </c>
      <c r="C5249" t="str">
        <f>"72100659"</f>
        <v>72100659</v>
      </c>
      <c r="D5249">
        <v>89301109</v>
      </c>
      <c r="E5249" t="str">
        <f>"2109170943"</f>
        <v>2109170943</v>
      </c>
      <c r="F5249" s="1">
        <v>45021</v>
      </c>
      <c r="G5249" t="str">
        <f>"99141"</f>
        <v>99141</v>
      </c>
      <c r="H5249">
        <v>1</v>
      </c>
      <c r="I5249">
        <v>460</v>
      </c>
      <c r="J5249">
        <v>0</v>
      </c>
      <c r="K5249" t="str">
        <f>"801"</f>
        <v>801</v>
      </c>
      <c r="L5249">
        <v>386.4</v>
      </c>
    </row>
    <row r="5250" spans="1:12" x14ac:dyDescent="0.25">
      <c r="A5250" t="str">
        <f t="shared" ref="A5250:A5313" si="973">"89301000"</f>
        <v>89301000</v>
      </c>
      <c r="B5250" t="str">
        <f t="shared" si="969"/>
        <v>72100000</v>
      </c>
      <c r="C5250" t="str">
        <f>"72100632"</f>
        <v>72100632</v>
      </c>
      <c r="D5250">
        <v>89301282</v>
      </c>
      <c r="E5250" t="str">
        <f>"9058255723"</f>
        <v>9058255723</v>
      </c>
      <c r="F5250" s="1">
        <v>45027</v>
      </c>
      <c r="G5250" t="str">
        <f>"94983"</f>
        <v>94983</v>
      </c>
      <c r="H5250">
        <v>1</v>
      </c>
      <c r="I5250">
        <v>0</v>
      </c>
      <c r="J5250">
        <v>39600</v>
      </c>
      <c r="K5250" t="str">
        <f>"816"</f>
        <v>816</v>
      </c>
      <c r="L5250">
        <v>39600</v>
      </c>
    </row>
    <row r="5251" spans="1:12" x14ac:dyDescent="0.25">
      <c r="A5251" t="str">
        <f t="shared" si="973"/>
        <v>89301000</v>
      </c>
      <c r="B5251" t="str">
        <f t="shared" si="969"/>
        <v>72100000</v>
      </c>
      <c r="C5251" t="str">
        <f>"72100632"</f>
        <v>72100632</v>
      </c>
      <c r="D5251">
        <v>89301282</v>
      </c>
      <c r="E5251" t="str">
        <f>"9058255723"</f>
        <v>9058255723</v>
      </c>
      <c r="F5251" s="1">
        <v>45027</v>
      </c>
      <c r="G5251" t="str">
        <f>"94996"</f>
        <v>94996</v>
      </c>
      <c r="H5251">
        <v>1</v>
      </c>
      <c r="I5251">
        <v>0</v>
      </c>
      <c r="J5251">
        <v>0</v>
      </c>
      <c r="K5251" t="str">
        <f>"816"</f>
        <v>816</v>
      </c>
      <c r="L5251">
        <v>0</v>
      </c>
    </row>
    <row r="5252" spans="1:12" x14ac:dyDescent="0.25">
      <c r="A5252" t="str">
        <f t="shared" si="973"/>
        <v>89301000</v>
      </c>
      <c r="B5252" t="str">
        <f t="shared" si="969"/>
        <v>72100000</v>
      </c>
      <c r="C5252" t="str">
        <f>"72100529"</f>
        <v>72100529</v>
      </c>
      <c r="D5252">
        <v>89301031</v>
      </c>
      <c r="E5252" t="str">
        <f>"6151181091"</f>
        <v>6151181091</v>
      </c>
      <c r="F5252" s="1">
        <v>45033</v>
      </c>
      <c r="G5252" t="str">
        <f>"22122"</f>
        <v>22122</v>
      </c>
      <c r="H5252">
        <v>1</v>
      </c>
      <c r="I5252">
        <v>588</v>
      </c>
      <c r="J5252">
        <v>0</v>
      </c>
      <c r="K5252" t="str">
        <f>"222"</f>
        <v>222</v>
      </c>
      <c r="L5252">
        <v>493.92</v>
      </c>
    </row>
    <row r="5253" spans="1:12" x14ac:dyDescent="0.25">
      <c r="A5253" t="str">
        <f t="shared" si="973"/>
        <v>89301000</v>
      </c>
      <c r="B5253" t="str">
        <f t="shared" si="969"/>
        <v>72100000</v>
      </c>
      <c r="C5253" t="str">
        <f>"72100529"</f>
        <v>72100529</v>
      </c>
      <c r="D5253">
        <v>89301031</v>
      </c>
      <c r="E5253" t="str">
        <f>"6151181091"</f>
        <v>6151181091</v>
      </c>
      <c r="F5253" s="1">
        <v>45033</v>
      </c>
      <c r="G5253" t="str">
        <f>"22127"</f>
        <v>22127</v>
      </c>
      <c r="H5253">
        <v>1</v>
      </c>
      <c r="I5253">
        <v>340</v>
      </c>
      <c r="J5253">
        <v>0</v>
      </c>
      <c r="K5253" t="str">
        <f>"222"</f>
        <v>222</v>
      </c>
      <c r="L5253">
        <v>285.60000000000002</v>
      </c>
    </row>
    <row r="5254" spans="1:12" x14ac:dyDescent="0.25">
      <c r="A5254" t="str">
        <f t="shared" si="973"/>
        <v>89301000</v>
      </c>
      <c r="B5254" t="str">
        <f t="shared" si="969"/>
        <v>72100000</v>
      </c>
      <c r="C5254" t="str">
        <f>"72100529"</f>
        <v>72100529</v>
      </c>
      <c r="D5254">
        <v>89301031</v>
      </c>
      <c r="E5254" t="str">
        <f>"6151181091"</f>
        <v>6151181091</v>
      </c>
      <c r="F5254" s="1">
        <v>45033</v>
      </c>
      <c r="G5254" t="str">
        <f>"91431"</f>
        <v>91431</v>
      </c>
      <c r="H5254">
        <v>1</v>
      </c>
      <c r="I5254">
        <v>543</v>
      </c>
      <c r="J5254">
        <v>0</v>
      </c>
      <c r="K5254" t="str">
        <f>"222"</f>
        <v>222</v>
      </c>
      <c r="L5254">
        <v>456.12</v>
      </c>
    </row>
    <row r="5255" spans="1:12" x14ac:dyDescent="0.25">
      <c r="A5255" t="str">
        <f t="shared" si="973"/>
        <v>89301000</v>
      </c>
      <c r="B5255" t="str">
        <f t="shared" si="969"/>
        <v>72100000</v>
      </c>
      <c r="C5255" t="str">
        <f>"72100529"</f>
        <v>72100529</v>
      </c>
      <c r="D5255">
        <v>89301031</v>
      </c>
      <c r="E5255" t="str">
        <f>"6151181091"</f>
        <v>6151181091</v>
      </c>
      <c r="F5255" s="1">
        <v>45033</v>
      </c>
      <c r="G5255" t="str">
        <f>"91435"</f>
        <v>91435</v>
      </c>
      <c r="H5255">
        <v>1</v>
      </c>
      <c r="I5255">
        <v>312</v>
      </c>
      <c r="J5255">
        <v>0</v>
      </c>
      <c r="K5255" t="str">
        <f>"222"</f>
        <v>222</v>
      </c>
      <c r="L5255">
        <v>262.08</v>
      </c>
    </row>
    <row r="5256" spans="1:12" x14ac:dyDescent="0.25">
      <c r="A5256" t="str">
        <f t="shared" si="973"/>
        <v>89301000</v>
      </c>
      <c r="B5256" t="str">
        <f t="shared" ref="B5256:B5281" si="974">"91009000"</f>
        <v>91009000</v>
      </c>
      <c r="C5256" t="str">
        <f>"91009581"</f>
        <v>91009581</v>
      </c>
      <c r="D5256">
        <v>89301167</v>
      </c>
      <c r="E5256" t="str">
        <f>"530220073"</f>
        <v>530220073</v>
      </c>
      <c r="F5256" s="1">
        <v>45044</v>
      </c>
      <c r="G5256" t="str">
        <f>"81383"</f>
        <v>81383</v>
      </c>
      <c r="H5256">
        <v>1</v>
      </c>
      <c r="I5256">
        <v>24</v>
      </c>
      <c r="J5256">
        <v>0</v>
      </c>
      <c r="K5256" t="str">
        <f>"801"</f>
        <v>801</v>
      </c>
      <c r="L5256">
        <v>20.16</v>
      </c>
    </row>
    <row r="5257" spans="1:12" x14ac:dyDescent="0.25">
      <c r="A5257" t="str">
        <f t="shared" si="973"/>
        <v>89301000</v>
      </c>
      <c r="B5257" t="str">
        <f t="shared" si="974"/>
        <v>91009000</v>
      </c>
      <c r="C5257" t="str">
        <f>"91009581"</f>
        <v>91009581</v>
      </c>
      <c r="D5257">
        <v>89301167</v>
      </c>
      <c r="E5257" t="str">
        <f>"530220073"</f>
        <v>530220073</v>
      </c>
      <c r="F5257" s="1">
        <v>45044</v>
      </c>
      <c r="G5257" t="str">
        <f>"97111"</f>
        <v>97111</v>
      </c>
      <c r="H5257">
        <v>1</v>
      </c>
      <c r="I5257">
        <v>19</v>
      </c>
      <c r="J5257">
        <v>0</v>
      </c>
      <c r="K5257" t="str">
        <f>"801"</f>
        <v>801</v>
      </c>
      <c r="L5257">
        <v>23.94</v>
      </c>
    </row>
    <row r="5258" spans="1:12" x14ac:dyDescent="0.25">
      <c r="A5258" t="str">
        <f t="shared" si="973"/>
        <v>89301000</v>
      </c>
      <c r="B5258" t="str">
        <f t="shared" si="974"/>
        <v>91009000</v>
      </c>
      <c r="C5258" t="str">
        <f>"91009581"</f>
        <v>91009581</v>
      </c>
      <c r="D5258">
        <v>89301212</v>
      </c>
      <c r="E5258" t="str">
        <f>"8556125776"</f>
        <v>8556125776</v>
      </c>
      <c r="F5258" s="1">
        <v>45034</v>
      </c>
      <c r="G5258" t="str">
        <f>"97111"</f>
        <v>97111</v>
      </c>
      <c r="H5258">
        <v>1</v>
      </c>
      <c r="I5258">
        <v>19</v>
      </c>
      <c r="J5258">
        <v>0</v>
      </c>
      <c r="K5258" t="str">
        <f>"801"</f>
        <v>801</v>
      </c>
      <c r="L5258">
        <v>23.94</v>
      </c>
    </row>
    <row r="5259" spans="1:12" x14ac:dyDescent="0.25">
      <c r="A5259" t="str">
        <f t="shared" si="973"/>
        <v>89301000</v>
      </c>
      <c r="B5259" t="str">
        <f t="shared" si="974"/>
        <v>91009000</v>
      </c>
      <c r="C5259" t="str">
        <f>"91009132"</f>
        <v>91009132</v>
      </c>
      <c r="D5259">
        <v>89301162</v>
      </c>
      <c r="E5259" t="str">
        <f>"7506255636"</f>
        <v>7506255636</v>
      </c>
      <c r="F5259" s="1">
        <v>45021</v>
      </c>
      <c r="G5259" t="str">
        <f>"92157"</f>
        <v>92157</v>
      </c>
      <c r="H5259">
        <v>1</v>
      </c>
      <c r="I5259">
        <v>1778</v>
      </c>
      <c r="J5259">
        <v>0</v>
      </c>
      <c r="K5259" t="str">
        <f>"812"</f>
        <v>812</v>
      </c>
      <c r="L5259">
        <v>1493.52</v>
      </c>
    </row>
    <row r="5260" spans="1:12" x14ac:dyDescent="0.25">
      <c r="A5260" t="str">
        <f t="shared" si="973"/>
        <v>89301000</v>
      </c>
      <c r="B5260" t="str">
        <f t="shared" si="974"/>
        <v>91009000</v>
      </c>
      <c r="C5260" t="str">
        <f>"91009132"</f>
        <v>91009132</v>
      </c>
      <c r="D5260">
        <v>89301162</v>
      </c>
      <c r="E5260" t="str">
        <f>"7506255636"</f>
        <v>7506255636</v>
      </c>
      <c r="F5260" s="1">
        <v>45021</v>
      </c>
      <c r="G5260" t="str">
        <f>"99111"</f>
        <v>99111</v>
      </c>
      <c r="H5260">
        <v>1</v>
      </c>
      <c r="I5260">
        <v>213</v>
      </c>
      <c r="J5260">
        <v>0</v>
      </c>
      <c r="K5260" t="str">
        <f>"812"</f>
        <v>812</v>
      </c>
      <c r="L5260">
        <v>178.92</v>
      </c>
    </row>
    <row r="5261" spans="1:12" x14ac:dyDescent="0.25">
      <c r="A5261" t="str">
        <f t="shared" si="973"/>
        <v>89301000</v>
      </c>
      <c r="B5261" t="str">
        <f t="shared" si="974"/>
        <v>91009000</v>
      </c>
      <c r="C5261" t="str">
        <f>"91009132"</f>
        <v>91009132</v>
      </c>
      <c r="D5261">
        <v>89301212</v>
      </c>
      <c r="E5261" t="str">
        <f>"8556125776"</f>
        <v>8556125776</v>
      </c>
      <c r="F5261" s="1">
        <v>45027</v>
      </c>
      <c r="G5261" t="str">
        <f>"92157"</f>
        <v>92157</v>
      </c>
      <c r="H5261">
        <v>1</v>
      </c>
      <c r="I5261">
        <v>1778</v>
      </c>
      <c r="J5261">
        <v>0</v>
      </c>
      <c r="K5261" t="str">
        <f>"812"</f>
        <v>812</v>
      </c>
      <c r="L5261">
        <v>1493.52</v>
      </c>
    </row>
    <row r="5262" spans="1:12" x14ac:dyDescent="0.25">
      <c r="A5262" t="str">
        <f t="shared" si="973"/>
        <v>89301000</v>
      </c>
      <c r="B5262" t="str">
        <f t="shared" si="974"/>
        <v>91009000</v>
      </c>
      <c r="C5262" t="str">
        <f>"91009132"</f>
        <v>91009132</v>
      </c>
      <c r="D5262">
        <v>89301212</v>
      </c>
      <c r="E5262" t="str">
        <f>"8556125776"</f>
        <v>8556125776</v>
      </c>
      <c r="F5262" s="1">
        <v>45027</v>
      </c>
      <c r="G5262" t="str">
        <f>"99111"</f>
        <v>99111</v>
      </c>
      <c r="H5262">
        <v>1</v>
      </c>
      <c r="I5262">
        <v>213</v>
      </c>
      <c r="J5262">
        <v>0</v>
      </c>
      <c r="K5262" t="str">
        <f>"812"</f>
        <v>812</v>
      </c>
      <c r="L5262">
        <v>178.92</v>
      </c>
    </row>
    <row r="5263" spans="1:12" x14ac:dyDescent="0.25">
      <c r="A5263" t="str">
        <f t="shared" si="973"/>
        <v>89301000</v>
      </c>
      <c r="B5263" t="str">
        <f t="shared" si="974"/>
        <v>91009000</v>
      </c>
      <c r="C5263" t="str">
        <f>"91009552"</f>
        <v>91009552</v>
      </c>
      <c r="D5263">
        <v>89301167</v>
      </c>
      <c r="E5263" t="str">
        <f>"7506255636"</f>
        <v>7506255636</v>
      </c>
      <c r="F5263" s="1">
        <v>45021</v>
      </c>
      <c r="G5263" t="str">
        <f>"96167"</f>
        <v>96167</v>
      </c>
      <c r="H5263">
        <v>1</v>
      </c>
      <c r="I5263">
        <v>67</v>
      </c>
      <c r="J5263">
        <v>0</v>
      </c>
      <c r="K5263" t="str">
        <f>"818"</f>
        <v>818</v>
      </c>
      <c r="L5263">
        <v>64.989999999999995</v>
      </c>
    </row>
    <row r="5264" spans="1:12" x14ac:dyDescent="0.25">
      <c r="A5264" t="str">
        <f t="shared" si="973"/>
        <v>89301000</v>
      </c>
      <c r="B5264" t="str">
        <f t="shared" si="974"/>
        <v>91009000</v>
      </c>
      <c r="C5264" t="str">
        <f>"91009552"</f>
        <v>91009552</v>
      </c>
      <c r="D5264">
        <v>89301167</v>
      </c>
      <c r="E5264" t="str">
        <f>"7506255636"</f>
        <v>7506255636</v>
      </c>
      <c r="F5264" s="1">
        <v>45021</v>
      </c>
      <c r="G5264" t="str">
        <f>"96315"</f>
        <v>96315</v>
      </c>
      <c r="H5264">
        <v>1</v>
      </c>
      <c r="I5264">
        <v>30</v>
      </c>
      <c r="J5264">
        <v>0</v>
      </c>
      <c r="K5264" t="str">
        <f>"818"</f>
        <v>818</v>
      </c>
      <c r="L5264">
        <v>29.1</v>
      </c>
    </row>
    <row r="5265" spans="1:12" x14ac:dyDescent="0.25">
      <c r="A5265" t="str">
        <f t="shared" si="973"/>
        <v>89301000</v>
      </c>
      <c r="B5265" t="str">
        <f t="shared" si="974"/>
        <v>91009000</v>
      </c>
      <c r="C5265" t="str">
        <f>"91009552"</f>
        <v>91009552</v>
      </c>
      <c r="D5265">
        <v>89301167</v>
      </c>
      <c r="E5265" t="str">
        <f>"7506255636"</f>
        <v>7506255636</v>
      </c>
      <c r="F5265" s="1">
        <v>45021</v>
      </c>
      <c r="G5265" t="str">
        <f>"96711"</f>
        <v>96711</v>
      </c>
      <c r="H5265">
        <v>1</v>
      </c>
      <c r="I5265">
        <v>28</v>
      </c>
      <c r="J5265">
        <v>0</v>
      </c>
      <c r="K5265" t="str">
        <f>"818"</f>
        <v>818</v>
      </c>
      <c r="L5265">
        <v>27.16</v>
      </c>
    </row>
    <row r="5266" spans="1:12" x14ac:dyDescent="0.25">
      <c r="A5266" t="str">
        <f t="shared" si="973"/>
        <v>89301000</v>
      </c>
      <c r="B5266" t="str">
        <f t="shared" si="974"/>
        <v>91009000</v>
      </c>
      <c r="C5266" t="str">
        <f>"91009552"</f>
        <v>91009552</v>
      </c>
      <c r="D5266">
        <v>89301167</v>
      </c>
      <c r="E5266" t="str">
        <f>"7506255636"</f>
        <v>7506255636</v>
      </c>
      <c r="F5266" s="1">
        <v>45021</v>
      </c>
      <c r="G5266" t="str">
        <f>"96713"</f>
        <v>96713</v>
      </c>
      <c r="H5266">
        <v>1</v>
      </c>
      <c r="I5266">
        <v>14</v>
      </c>
      <c r="J5266">
        <v>0</v>
      </c>
      <c r="K5266" t="str">
        <f>"818"</f>
        <v>818</v>
      </c>
      <c r="L5266">
        <v>13.58</v>
      </c>
    </row>
    <row r="5267" spans="1:12" x14ac:dyDescent="0.25">
      <c r="A5267" t="str">
        <f t="shared" si="973"/>
        <v>89301000</v>
      </c>
      <c r="B5267" t="str">
        <f t="shared" si="974"/>
        <v>91009000</v>
      </c>
      <c r="C5267" t="str">
        <f>"91009575"</f>
        <v>91009575</v>
      </c>
      <c r="D5267">
        <v>89301122</v>
      </c>
      <c r="E5267" t="str">
        <f>"510106165"</f>
        <v>510106165</v>
      </c>
      <c r="F5267" s="1">
        <v>45023</v>
      </c>
      <c r="G5267" t="str">
        <f>"89715"</f>
        <v>89715</v>
      </c>
      <c r="H5267">
        <v>1</v>
      </c>
      <c r="I5267">
        <v>5523</v>
      </c>
      <c r="J5267">
        <v>0</v>
      </c>
      <c r="K5267" t="str">
        <f>"810"</f>
        <v>810</v>
      </c>
      <c r="L5267">
        <v>3589.95</v>
      </c>
    </row>
    <row r="5268" spans="1:12" x14ac:dyDescent="0.25">
      <c r="A5268" t="str">
        <f t="shared" si="973"/>
        <v>89301000</v>
      </c>
      <c r="B5268" t="str">
        <f t="shared" si="974"/>
        <v>91009000</v>
      </c>
      <c r="C5268" t="str">
        <f>"91009575"</f>
        <v>91009575</v>
      </c>
      <c r="D5268">
        <v>89301122</v>
      </c>
      <c r="E5268" t="str">
        <f>"510106165"</f>
        <v>510106165</v>
      </c>
      <c r="F5268" s="1">
        <v>45023</v>
      </c>
      <c r="G5268" t="str">
        <f>"89725"</f>
        <v>89725</v>
      </c>
      <c r="H5268">
        <v>1</v>
      </c>
      <c r="I5268">
        <v>2863</v>
      </c>
      <c r="J5268">
        <v>0</v>
      </c>
      <c r="K5268" t="str">
        <f>"810"</f>
        <v>810</v>
      </c>
      <c r="L5268">
        <v>1860.95</v>
      </c>
    </row>
    <row r="5269" spans="1:12" x14ac:dyDescent="0.25">
      <c r="A5269" t="str">
        <f t="shared" si="973"/>
        <v>89301000</v>
      </c>
      <c r="B5269" t="str">
        <f t="shared" si="974"/>
        <v>91009000</v>
      </c>
      <c r="C5269" t="str">
        <f t="shared" ref="C5269:C5275" si="975">"91009522"</f>
        <v>91009522</v>
      </c>
      <c r="D5269">
        <v>89301282</v>
      </c>
      <c r="E5269" t="str">
        <f>"0152125710"</f>
        <v>0152125710</v>
      </c>
      <c r="F5269" s="1">
        <v>45022</v>
      </c>
      <c r="G5269" t="str">
        <f>"94948"</f>
        <v>94948</v>
      </c>
      <c r="H5269">
        <v>2</v>
      </c>
      <c r="I5269">
        <v>0</v>
      </c>
      <c r="J5269">
        <v>0</v>
      </c>
      <c r="K5269" t="str">
        <f t="shared" ref="K5269:K5275" si="976">"816"</f>
        <v>816</v>
      </c>
      <c r="L5269">
        <v>0</v>
      </c>
    </row>
    <row r="5270" spans="1:12" x14ac:dyDescent="0.25">
      <c r="A5270" t="str">
        <f t="shared" si="973"/>
        <v>89301000</v>
      </c>
      <c r="B5270" t="str">
        <f t="shared" si="974"/>
        <v>91009000</v>
      </c>
      <c r="C5270" t="str">
        <f t="shared" si="975"/>
        <v>91009522</v>
      </c>
      <c r="D5270">
        <v>89301282</v>
      </c>
      <c r="E5270" t="str">
        <f>"0152125710"</f>
        <v>0152125710</v>
      </c>
      <c r="F5270" s="1">
        <v>45022</v>
      </c>
      <c r="G5270" t="str">
        <f>"94984"</f>
        <v>94984</v>
      </c>
      <c r="H5270">
        <v>1</v>
      </c>
      <c r="I5270">
        <v>0</v>
      </c>
      <c r="J5270">
        <v>57200</v>
      </c>
      <c r="K5270" t="str">
        <f t="shared" si="976"/>
        <v>816</v>
      </c>
      <c r="L5270">
        <v>57200</v>
      </c>
    </row>
    <row r="5271" spans="1:12" x14ac:dyDescent="0.25">
      <c r="A5271" t="str">
        <f t="shared" si="973"/>
        <v>89301000</v>
      </c>
      <c r="B5271" t="str">
        <f t="shared" si="974"/>
        <v>91009000</v>
      </c>
      <c r="C5271" t="str">
        <f t="shared" si="975"/>
        <v>91009522</v>
      </c>
      <c r="D5271">
        <v>89301282</v>
      </c>
      <c r="E5271" t="str">
        <f>"0152125710"</f>
        <v>0152125710</v>
      </c>
      <c r="F5271" s="1">
        <v>45022</v>
      </c>
      <c r="G5271" t="str">
        <f>"94996"</f>
        <v>94996</v>
      </c>
      <c r="H5271">
        <v>1</v>
      </c>
      <c r="I5271">
        <v>0</v>
      </c>
      <c r="J5271">
        <v>0</v>
      </c>
      <c r="K5271" t="str">
        <f t="shared" si="976"/>
        <v>816</v>
      </c>
      <c r="L5271">
        <v>0</v>
      </c>
    </row>
    <row r="5272" spans="1:12" x14ac:dyDescent="0.25">
      <c r="A5272" t="str">
        <f t="shared" si="973"/>
        <v>89301000</v>
      </c>
      <c r="B5272" t="str">
        <f t="shared" si="974"/>
        <v>91009000</v>
      </c>
      <c r="C5272" t="str">
        <f t="shared" si="975"/>
        <v>91009522</v>
      </c>
      <c r="D5272">
        <v>89301282</v>
      </c>
      <c r="E5272" t="str">
        <f>"1605080004"</f>
        <v>1605080004</v>
      </c>
      <c r="F5272" s="1">
        <v>45045</v>
      </c>
      <c r="G5272" t="str">
        <f>"94948"</f>
        <v>94948</v>
      </c>
      <c r="H5272">
        <v>2</v>
      </c>
      <c r="I5272">
        <v>0</v>
      </c>
      <c r="J5272">
        <v>0</v>
      </c>
      <c r="K5272" t="str">
        <f t="shared" si="976"/>
        <v>816</v>
      </c>
      <c r="L5272">
        <v>0</v>
      </c>
    </row>
    <row r="5273" spans="1:12" x14ac:dyDescent="0.25">
      <c r="A5273" t="str">
        <f t="shared" si="973"/>
        <v>89301000</v>
      </c>
      <c r="B5273" t="str">
        <f t="shared" si="974"/>
        <v>91009000</v>
      </c>
      <c r="C5273" t="str">
        <f t="shared" si="975"/>
        <v>91009522</v>
      </c>
      <c r="D5273">
        <v>89301282</v>
      </c>
      <c r="E5273" t="str">
        <f>"1605080004"</f>
        <v>1605080004</v>
      </c>
      <c r="F5273" s="1">
        <v>45045</v>
      </c>
      <c r="G5273" t="str">
        <f>"94982"</f>
        <v>94982</v>
      </c>
      <c r="H5273">
        <v>1</v>
      </c>
      <c r="I5273">
        <v>0</v>
      </c>
      <c r="J5273">
        <v>27500</v>
      </c>
      <c r="K5273" t="str">
        <f t="shared" si="976"/>
        <v>816</v>
      </c>
      <c r="L5273">
        <v>27500</v>
      </c>
    </row>
    <row r="5274" spans="1:12" x14ac:dyDescent="0.25">
      <c r="A5274" t="str">
        <f t="shared" si="973"/>
        <v>89301000</v>
      </c>
      <c r="B5274" t="str">
        <f t="shared" si="974"/>
        <v>91009000</v>
      </c>
      <c r="C5274" t="str">
        <f t="shared" si="975"/>
        <v>91009522</v>
      </c>
      <c r="D5274">
        <v>89301282</v>
      </c>
      <c r="E5274" t="str">
        <f>"1605080004"</f>
        <v>1605080004</v>
      </c>
      <c r="F5274" s="1">
        <v>45045</v>
      </c>
      <c r="G5274" t="str">
        <f>"94996"</f>
        <v>94996</v>
      </c>
      <c r="H5274">
        <v>1</v>
      </c>
      <c r="I5274">
        <v>0</v>
      </c>
      <c r="J5274">
        <v>0</v>
      </c>
      <c r="K5274" t="str">
        <f t="shared" si="976"/>
        <v>816</v>
      </c>
      <c r="L5274">
        <v>0</v>
      </c>
    </row>
    <row r="5275" spans="1:12" x14ac:dyDescent="0.25">
      <c r="A5275" t="str">
        <f t="shared" si="973"/>
        <v>89301000</v>
      </c>
      <c r="B5275" t="str">
        <f t="shared" si="974"/>
        <v>91009000</v>
      </c>
      <c r="C5275" t="str">
        <f t="shared" si="975"/>
        <v>91009522</v>
      </c>
      <c r="D5275">
        <v>89301282</v>
      </c>
      <c r="E5275" t="str">
        <f>"6512020922"</f>
        <v>6512020922</v>
      </c>
      <c r="F5275" s="1">
        <v>45031</v>
      </c>
      <c r="G5275" t="str">
        <f>"94955"</f>
        <v>94955</v>
      </c>
      <c r="H5275">
        <v>1</v>
      </c>
      <c r="I5275">
        <v>0</v>
      </c>
      <c r="J5275">
        <v>2929</v>
      </c>
      <c r="K5275" t="str">
        <f t="shared" si="976"/>
        <v>816</v>
      </c>
      <c r="L5275">
        <v>2929</v>
      </c>
    </row>
    <row r="5276" spans="1:12" x14ac:dyDescent="0.25">
      <c r="A5276" t="str">
        <f t="shared" si="973"/>
        <v>89301000</v>
      </c>
      <c r="B5276" t="str">
        <f t="shared" si="974"/>
        <v>91009000</v>
      </c>
      <c r="C5276" t="str">
        <f>"91009605"</f>
        <v>91009605</v>
      </c>
      <c r="D5276">
        <v>89301109</v>
      </c>
      <c r="E5276" t="str">
        <f>"0857315261"</f>
        <v>0857315261</v>
      </c>
      <c r="F5276" s="1">
        <v>45034</v>
      </c>
      <c r="G5276" t="str">
        <f>"91431"</f>
        <v>91431</v>
      </c>
      <c r="H5276">
        <v>1</v>
      </c>
      <c r="I5276">
        <v>543</v>
      </c>
      <c r="J5276">
        <v>0</v>
      </c>
      <c r="K5276" t="str">
        <f>"818"</f>
        <v>818</v>
      </c>
      <c r="L5276">
        <v>526.71</v>
      </c>
    </row>
    <row r="5277" spans="1:12" x14ac:dyDescent="0.25">
      <c r="A5277" t="str">
        <f t="shared" si="973"/>
        <v>89301000</v>
      </c>
      <c r="B5277" t="str">
        <f t="shared" si="974"/>
        <v>91009000</v>
      </c>
      <c r="C5277" t="str">
        <f>"91009605"</f>
        <v>91009605</v>
      </c>
      <c r="D5277">
        <v>89301109</v>
      </c>
      <c r="E5277" t="str">
        <f>"0857315261"</f>
        <v>0857315261</v>
      </c>
      <c r="F5277" s="1">
        <v>45036</v>
      </c>
      <c r="G5277" t="str">
        <f>"22122"</f>
        <v>22122</v>
      </c>
      <c r="H5277">
        <v>1</v>
      </c>
      <c r="I5277">
        <v>588</v>
      </c>
      <c r="J5277">
        <v>0</v>
      </c>
      <c r="K5277" t="str">
        <f>"818"</f>
        <v>818</v>
      </c>
      <c r="L5277">
        <v>570.36</v>
      </c>
    </row>
    <row r="5278" spans="1:12" x14ac:dyDescent="0.25">
      <c r="A5278" t="str">
        <f t="shared" si="973"/>
        <v>89301000</v>
      </c>
      <c r="B5278" t="str">
        <f t="shared" si="974"/>
        <v>91009000</v>
      </c>
      <c r="C5278" t="str">
        <f>"91009605"</f>
        <v>91009605</v>
      </c>
      <c r="D5278">
        <v>89301109</v>
      </c>
      <c r="E5278" t="str">
        <f>"0857315261"</f>
        <v>0857315261</v>
      </c>
      <c r="F5278" s="1">
        <v>45036</v>
      </c>
      <c r="G5278" t="str">
        <f>"22123"</f>
        <v>22123</v>
      </c>
      <c r="H5278">
        <v>1</v>
      </c>
      <c r="I5278">
        <v>334</v>
      </c>
      <c r="J5278">
        <v>0</v>
      </c>
      <c r="K5278" t="str">
        <f>"818"</f>
        <v>818</v>
      </c>
      <c r="L5278">
        <v>323.98</v>
      </c>
    </row>
    <row r="5279" spans="1:12" x14ac:dyDescent="0.25">
      <c r="A5279" t="str">
        <f t="shared" si="973"/>
        <v>89301000</v>
      </c>
      <c r="B5279" t="str">
        <f t="shared" si="974"/>
        <v>91009000</v>
      </c>
      <c r="C5279" t="str">
        <f>"91009132"</f>
        <v>91009132</v>
      </c>
      <c r="D5279">
        <v>89301167</v>
      </c>
      <c r="E5279" t="str">
        <f>"7506255636"</f>
        <v>7506255636</v>
      </c>
      <c r="F5279" s="1">
        <v>45014</v>
      </c>
      <c r="G5279" t="str">
        <f>"99111"</f>
        <v>99111</v>
      </c>
      <c r="H5279">
        <v>1</v>
      </c>
      <c r="I5279">
        <v>213</v>
      </c>
      <c r="J5279">
        <v>0</v>
      </c>
      <c r="K5279" t="str">
        <f>"812"</f>
        <v>812</v>
      </c>
      <c r="L5279">
        <v>178.92</v>
      </c>
    </row>
    <row r="5280" spans="1:12" x14ac:dyDescent="0.25">
      <c r="A5280" t="str">
        <f t="shared" si="973"/>
        <v>89301000</v>
      </c>
      <c r="B5280" t="str">
        <f t="shared" si="974"/>
        <v>91009000</v>
      </c>
      <c r="C5280" t="str">
        <f>"91009581"</f>
        <v>91009581</v>
      </c>
      <c r="D5280">
        <v>89301167</v>
      </c>
      <c r="E5280" t="str">
        <f>"530220073"</f>
        <v>530220073</v>
      </c>
      <c r="F5280" s="1">
        <v>45016</v>
      </c>
      <c r="G5280" t="str">
        <f>"81383"</f>
        <v>81383</v>
      </c>
      <c r="H5280">
        <v>1</v>
      </c>
      <c r="I5280">
        <v>24</v>
      </c>
      <c r="J5280">
        <v>0</v>
      </c>
      <c r="K5280" t="str">
        <f>"801"</f>
        <v>801</v>
      </c>
      <c r="L5280">
        <v>20.16</v>
      </c>
    </row>
    <row r="5281" spans="1:12" x14ac:dyDescent="0.25">
      <c r="A5281" t="str">
        <f t="shared" si="973"/>
        <v>89301000</v>
      </c>
      <c r="B5281" t="str">
        <f t="shared" si="974"/>
        <v>91009000</v>
      </c>
      <c r="C5281" t="str">
        <f>"91009581"</f>
        <v>91009581</v>
      </c>
      <c r="D5281">
        <v>89301167</v>
      </c>
      <c r="E5281" t="str">
        <f>"530220073"</f>
        <v>530220073</v>
      </c>
      <c r="F5281" s="1">
        <v>45016</v>
      </c>
      <c r="G5281" t="str">
        <f>"97111"</f>
        <v>97111</v>
      </c>
      <c r="H5281">
        <v>1</v>
      </c>
      <c r="I5281">
        <v>19</v>
      </c>
      <c r="J5281">
        <v>0</v>
      </c>
      <c r="K5281" t="str">
        <f>"801"</f>
        <v>801</v>
      </c>
      <c r="L5281">
        <v>23.94</v>
      </c>
    </row>
    <row r="5282" spans="1:12" x14ac:dyDescent="0.25">
      <c r="A5282" t="str">
        <f t="shared" si="973"/>
        <v>89301000</v>
      </c>
      <c r="B5282" t="str">
        <f t="shared" ref="B5282:B5317" si="977">"02004000"</f>
        <v>02004000</v>
      </c>
      <c r="C5282" t="str">
        <f>"02004155"</f>
        <v>02004155</v>
      </c>
      <c r="D5282">
        <v>89301521</v>
      </c>
      <c r="E5282" t="str">
        <f>"481225446"</f>
        <v>481225446</v>
      </c>
      <c r="F5282" s="1">
        <v>45016</v>
      </c>
      <c r="G5282" t="str">
        <f>"82053"</f>
        <v>82053</v>
      </c>
      <c r="H5282">
        <v>1</v>
      </c>
      <c r="I5282">
        <v>41</v>
      </c>
      <c r="J5282">
        <v>0</v>
      </c>
      <c r="K5282" t="str">
        <f>"802"</f>
        <v>802</v>
      </c>
      <c r="L5282">
        <v>39.770000000000003</v>
      </c>
    </row>
    <row r="5283" spans="1:12" x14ac:dyDescent="0.25">
      <c r="A5283" t="str">
        <f t="shared" si="973"/>
        <v>89301000</v>
      </c>
      <c r="B5283" t="str">
        <f t="shared" si="977"/>
        <v>02004000</v>
      </c>
      <c r="C5283" t="str">
        <f>"02004155"</f>
        <v>02004155</v>
      </c>
      <c r="D5283">
        <v>89301022</v>
      </c>
      <c r="E5283" t="str">
        <f>"8958225760"</f>
        <v>8958225760</v>
      </c>
      <c r="F5283" s="1">
        <v>45009</v>
      </c>
      <c r="G5283" t="str">
        <f>"82099"</f>
        <v>82099</v>
      </c>
      <c r="H5283">
        <v>3</v>
      </c>
      <c r="I5283">
        <v>1329</v>
      </c>
      <c r="J5283">
        <v>0</v>
      </c>
      <c r="K5283" t="str">
        <f>"802"</f>
        <v>802</v>
      </c>
      <c r="L5283">
        <v>1289.1300000000001</v>
      </c>
    </row>
    <row r="5284" spans="1:12" x14ac:dyDescent="0.25">
      <c r="A5284" t="str">
        <f t="shared" si="973"/>
        <v>89301000</v>
      </c>
      <c r="B5284" t="str">
        <f t="shared" si="977"/>
        <v>02004000</v>
      </c>
      <c r="C5284" t="str">
        <f t="shared" ref="C5284:C5315" si="978">"02004556"</f>
        <v>02004556</v>
      </c>
      <c r="D5284">
        <v>89301102</v>
      </c>
      <c r="E5284" t="str">
        <f>"0909103272"</f>
        <v>0909103272</v>
      </c>
      <c r="F5284" s="1">
        <v>44991</v>
      </c>
      <c r="G5284" t="str">
        <f>"91249"</f>
        <v>91249</v>
      </c>
      <c r="H5284">
        <v>1</v>
      </c>
      <c r="I5284">
        <v>1495</v>
      </c>
      <c r="J5284">
        <v>0</v>
      </c>
      <c r="K5284" t="str">
        <f t="shared" ref="K5284:K5315" si="979">"813"</f>
        <v>813</v>
      </c>
      <c r="L5284">
        <v>1255.8</v>
      </c>
    </row>
    <row r="5285" spans="1:12" x14ac:dyDescent="0.25">
      <c r="A5285" t="str">
        <f t="shared" si="973"/>
        <v>89301000</v>
      </c>
      <c r="B5285" t="str">
        <f t="shared" si="977"/>
        <v>02004000</v>
      </c>
      <c r="C5285" t="str">
        <f t="shared" si="978"/>
        <v>02004556</v>
      </c>
      <c r="D5285">
        <v>89301102</v>
      </c>
      <c r="E5285" t="str">
        <f>"0909103272"</f>
        <v>0909103272</v>
      </c>
      <c r="F5285" s="1">
        <v>44991</v>
      </c>
      <c r="G5285" t="str">
        <f>"91251"</f>
        <v>91251</v>
      </c>
      <c r="H5285">
        <v>1</v>
      </c>
      <c r="I5285">
        <v>1495</v>
      </c>
      <c r="J5285">
        <v>0</v>
      </c>
      <c r="K5285" t="str">
        <f t="shared" si="979"/>
        <v>813</v>
      </c>
      <c r="L5285">
        <v>1255.8</v>
      </c>
    </row>
    <row r="5286" spans="1:12" x14ac:dyDescent="0.25">
      <c r="A5286" t="str">
        <f t="shared" si="973"/>
        <v>89301000</v>
      </c>
      <c r="B5286" t="str">
        <f t="shared" si="977"/>
        <v>02004000</v>
      </c>
      <c r="C5286" t="str">
        <f t="shared" si="978"/>
        <v>02004556</v>
      </c>
      <c r="D5286">
        <v>89301028</v>
      </c>
      <c r="E5286" t="str">
        <f>"8951025094"</f>
        <v>8951025094</v>
      </c>
      <c r="F5286" s="1">
        <v>44998</v>
      </c>
      <c r="G5286" t="str">
        <f>"91249"</f>
        <v>91249</v>
      </c>
      <c r="H5286">
        <v>1</v>
      </c>
      <c r="I5286">
        <v>1495</v>
      </c>
      <c r="J5286">
        <v>0</v>
      </c>
      <c r="K5286" t="str">
        <f t="shared" si="979"/>
        <v>813</v>
      </c>
      <c r="L5286">
        <v>1255.8</v>
      </c>
    </row>
    <row r="5287" spans="1:12" x14ac:dyDescent="0.25">
      <c r="A5287" t="str">
        <f t="shared" si="973"/>
        <v>89301000</v>
      </c>
      <c r="B5287" t="str">
        <f t="shared" si="977"/>
        <v>02004000</v>
      </c>
      <c r="C5287" t="str">
        <f t="shared" si="978"/>
        <v>02004556</v>
      </c>
      <c r="D5287">
        <v>89301028</v>
      </c>
      <c r="E5287" t="str">
        <f>"8951025094"</f>
        <v>8951025094</v>
      </c>
      <c r="F5287" s="1">
        <v>44998</v>
      </c>
      <c r="G5287" t="str">
        <f>"91251"</f>
        <v>91251</v>
      </c>
      <c r="H5287">
        <v>1</v>
      </c>
      <c r="I5287">
        <v>1495</v>
      </c>
      <c r="J5287">
        <v>0</v>
      </c>
      <c r="K5287" t="str">
        <f t="shared" si="979"/>
        <v>813</v>
      </c>
      <c r="L5287">
        <v>1255.8</v>
      </c>
    </row>
    <row r="5288" spans="1:12" x14ac:dyDescent="0.25">
      <c r="A5288" t="str">
        <f t="shared" si="973"/>
        <v>89301000</v>
      </c>
      <c r="B5288" t="str">
        <f t="shared" si="977"/>
        <v>02004000</v>
      </c>
      <c r="C5288" t="str">
        <f t="shared" si="978"/>
        <v>02004556</v>
      </c>
      <c r="D5288">
        <v>89301102</v>
      </c>
      <c r="E5288" t="str">
        <f>"0554043248"</f>
        <v>0554043248</v>
      </c>
      <c r="F5288" s="1">
        <v>45005</v>
      </c>
      <c r="G5288" t="str">
        <f>"91249"</f>
        <v>91249</v>
      </c>
      <c r="H5288">
        <v>1</v>
      </c>
      <c r="I5288">
        <v>1495</v>
      </c>
      <c r="J5288">
        <v>0</v>
      </c>
      <c r="K5288" t="str">
        <f t="shared" si="979"/>
        <v>813</v>
      </c>
      <c r="L5288">
        <v>1255.8</v>
      </c>
    </row>
    <row r="5289" spans="1:12" x14ac:dyDescent="0.25">
      <c r="A5289" t="str">
        <f t="shared" si="973"/>
        <v>89301000</v>
      </c>
      <c r="B5289" t="str">
        <f t="shared" si="977"/>
        <v>02004000</v>
      </c>
      <c r="C5289" t="str">
        <f t="shared" si="978"/>
        <v>02004556</v>
      </c>
      <c r="D5289">
        <v>89301102</v>
      </c>
      <c r="E5289" t="str">
        <f>"0554043248"</f>
        <v>0554043248</v>
      </c>
      <c r="F5289" s="1">
        <v>45005</v>
      </c>
      <c r="G5289" t="str">
        <f>"91251"</f>
        <v>91251</v>
      </c>
      <c r="H5289">
        <v>1</v>
      </c>
      <c r="I5289">
        <v>1495</v>
      </c>
      <c r="J5289">
        <v>0</v>
      </c>
      <c r="K5289" t="str">
        <f t="shared" si="979"/>
        <v>813</v>
      </c>
      <c r="L5289">
        <v>1255.8</v>
      </c>
    </row>
    <row r="5290" spans="1:12" x14ac:dyDescent="0.25">
      <c r="A5290" t="str">
        <f t="shared" si="973"/>
        <v>89301000</v>
      </c>
      <c r="B5290" t="str">
        <f t="shared" si="977"/>
        <v>02004000</v>
      </c>
      <c r="C5290" t="str">
        <f t="shared" si="978"/>
        <v>02004556</v>
      </c>
      <c r="D5290">
        <v>89301102</v>
      </c>
      <c r="E5290" t="str">
        <f>"0410225343"</f>
        <v>0410225343</v>
      </c>
      <c r="F5290" s="1">
        <v>45008</v>
      </c>
      <c r="G5290" t="str">
        <f>"91249"</f>
        <v>91249</v>
      </c>
      <c r="H5290">
        <v>1</v>
      </c>
      <c r="I5290">
        <v>1495</v>
      </c>
      <c r="J5290">
        <v>0</v>
      </c>
      <c r="K5290" t="str">
        <f t="shared" si="979"/>
        <v>813</v>
      </c>
      <c r="L5290">
        <v>1255.8</v>
      </c>
    </row>
    <row r="5291" spans="1:12" x14ac:dyDescent="0.25">
      <c r="A5291" t="str">
        <f t="shared" si="973"/>
        <v>89301000</v>
      </c>
      <c r="B5291" t="str">
        <f t="shared" si="977"/>
        <v>02004000</v>
      </c>
      <c r="C5291" t="str">
        <f t="shared" si="978"/>
        <v>02004556</v>
      </c>
      <c r="D5291">
        <v>89301102</v>
      </c>
      <c r="E5291" t="str">
        <f>"0410225343"</f>
        <v>0410225343</v>
      </c>
      <c r="F5291" s="1">
        <v>45008</v>
      </c>
      <c r="G5291" t="str">
        <f>"91251"</f>
        <v>91251</v>
      </c>
      <c r="H5291">
        <v>1</v>
      </c>
      <c r="I5291">
        <v>1495</v>
      </c>
      <c r="J5291">
        <v>0</v>
      </c>
      <c r="K5291" t="str">
        <f t="shared" si="979"/>
        <v>813</v>
      </c>
      <c r="L5291">
        <v>1255.8</v>
      </c>
    </row>
    <row r="5292" spans="1:12" x14ac:dyDescent="0.25">
      <c r="A5292" t="str">
        <f t="shared" si="973"/>
        <v>89301000</v>
      </c>
      <c r="B5292" t="str">
        <f t="shared" si="977"/>
        <v>02004000</v>
      </c>
      <c r="C5292" t="str">
        <f t="shared" si="978"/>
        <v>02004556</v>
      </c>
      <c r="D5292">
        <v>89301028</v>
      </c>
      <c r="E5292" t="str">
        <f>"0207065914"</f>
        <v>0207065914</v>
      </c>
      <c r="F5292" s="1">
        <v>45001</v>
      </c>
      <c r="G5292" t="str">
        <f>"91249"</f>
        <v>91249</v>
      </c>
      <c r="H5292">
        <v>1</v>
      </c>
      <c r="I5292">
        <v>1495</v>
      </c>
      <c r="J5292">
        <v>0</v>
      </c>
      <c r="K5292" t="str">
        <f t="shared" si="979"/>
        <v>813</v>
      </c>
      <c r="L5292">
        <v>1255.8</v>
      </c>
    </row>
    <row r="5293" spans="1:12" x14ac:dyDescent="0.25">
      <c r="A5293" t="str">
        <f t="shared" si="973"/>
        <v>89301000</v>
      </c>
      <c r="B5293" t="str">
        <f t="shared" si="977"/>
        <v>02004000</v>
      </c>
      <c r="C5293" t="str">
        <f t="shared" si="978"/>
        <v>02004556</v>
      </c>
      <c r="D5293">
        <v>89301028</v>
      </c>
      <c r="E5293" t="str">
        <f>"0207065914"</f>
        <v>0207065914</v>
      </c>
      <c r="F5293" s="1">
        <v>45001</v>
      </c>
      <c r="G5293" t="str">
        <f>"91251"</f>
        <v>91251</v>
      </c>
      <c r="H5293">
        <v>1</v>
      </c>
      <c r="I5293">
        <v>1495</v>
      </c>
      <c r="J5293">
        <v>0</v>
      </c>
      <c r="K5293" t="str">
        <f t="shared" si="979"/>
        <v>813</v>
      </c>
      <c r="L5293">
        <v>1255.8</v>
      </c>
    </row>
    <row r="5294" spans="1:12" x14ac:dyDescent="0.25">
      <c r="A5294" t="str">
        <f t="shared" si="973"/>
        <v>89301000</v>
      </c>
      <c r="B5294" t="str">
        <f t="shared" si="977"/>
        <v>02004000</v>
      </c>
      <c r="C5294" t="str">
        <f t="shared" si="978"/>
        <v>02004556</v>
      </c>
      <c r="D5294">
        <v>89301702</v>
      </c>
      <c r="E5294" t="str">
        <f>"0959263250"</f>
        <v>0959263250</v>
      </c>
      <c r="F5294" s="1">
        <v>44999</v>
      </c>
      <c r="G5294" t="str">
        <f>"91249"</f>
        <v>91249</v>
      </c>
      <c r="H5294">
        <v>1</v>
      </c>
      <c r="I5294">
        <v>1495</v>
      </c>
      <c r="J5294">
        <v>0</v>
      </c>
      <c r="K5294" t="str">
        <f t="shared" si="979"/>
        <v>813</v>
      </c>
      <c r="L5294">
        <v>1255.8</v>
      </c>
    </row>
    <row r="5295" spans="1:12" x14ac:dyDescent="0.25">
      <c r="A5295" t="str">
        <f t="shared" si="973"/>
        <v>89301000</v>
      </c>
      <c r="B5295" t="str">
        <f t="shared" si="977"/>
        <v>02004000</v>
      </c>
      <c r="C5295" t="str">
        <f t="shared" si="978"/>
        <v>02004556</v>
      </c>
      <c r="D5295">
        <v>89301702</v>
      </c>
      <c r="E5295" t="str">
        <f>"0959263250"</f>
        <v>0959263250</v>
      </c>
      <c r="F5295" s="1">
        <v>44999</v>
      </c>
      <c r="G5295" t="str">
        <f>"91251"</f>
        <v>91251</v>
      </c>
      <c r="H5295">
        <v>2</v>
      </c>
      <c r="I5295">
        <v>2990</v>
      </c>
      <c r="J5295">
        <v>0</v>
      </c>
      <c r="K5295" t="str">
        <f t="shared" si="979"/>
        <v>813</v>
      </c>
      <c r="L5295">
        <v>2511.6</v>
      </c>
    </row>
    <row r="5296" spans="1:12" x14ac:dyDescent="0.25">
      <c r="A5296" t="str">
        <f t="shared" si="973"/>
        <v>89301000</v>
      </c>
      <c r="B5296" t="str">
        <f t="shared" si="977"/>
        <v>02004000</v>
      </c>
      <c r="C5296" t="str">
        <f t="shared" si="978"/>
        <v>02004556</v>
      </c>
      <c r="D5296">
        <v>89301702</v>
      </c>
      <c r="E5296" t="str">
        <f>"1405190622"</f>
        <v>1405190622</v>
      </c>
      <c r="F5296" s="1">
        <v>45005</v>
      </c>
      <c r="G5296" t="str">
        <f>"91249"</f>
        <v>91249</v>
      </c>
      <c r="H5296">
        <v>1</v>
      </c>
      <c r="I5296">
        <v>1495</v>
      </c>
      <c r="J5296">
        <v>0</v>
      </c>
      <c r="K5296" t="str">
        <f t="shared" si="979"/>
        <v>813</v>
      </c>
      <c r="L5296">
        <v>1255.8</v>
      </c>
    </row>
    <row r="5297" spans="1:12" x14ac:dyDescent="0.25">
      <c r="A5297" t="str">
        <f t="shared" si="973"/>
        <v>89301000</v>
      </c>
      <c r="B5297" t="str">
        <f t="shared" si="977"/>
        <v>02004000</v>
      </c>
      <c r="C5297" t="str">
        <f t="shared" si="978"/>
        <v>02004556</v>
      </c>
      <c r="D5297">
        <v>89301702</v>
      </c>
      <c r="E5297" t="str">
        <f>"1405190622"</f>
        <v>1405190622</v>
      </c>
      <c r="F5297" s="1">
        <v>45005</v>
      </c>
      <c r="G5297" t="str">
        <f>"91251"</f>
        <v>91251</v>
      </c>
      <c r="H5297">
        <v>1</v>
      </c>
      <c r="I5297">
        <v>1495</v>
      </c>
      <c r="J5297">
        <v>0</v>
      </c>
      <c r="K5297" t="str">
        <f t="shared" si="979"/>
        <v>813</v>
      </c>
      <c r="L5297">
        <v>1255.8</v>
      </c>
    </row>
    <row r="5298" spans="1:12" x14ac:dyDescent="0.25">
      <c r="A5298" t="str">
        <f t="shared" si="973"/>
        <v>89301000</v>
      </c>
      <c r="B5298" t="str">
        <f t="shared" si="977"/>
        <v>02004000</v>
      </c>
      <c r="C5298" t="str">
        <f t="shared" si="978"/>
        <v>02004556</v>
      </c>
      <c r="D5298">
        <v>89301102</v>
      </c>
      <c r="E5298" t="str">
        <f>"0859053261"</f>
        <v>0859053261</v>
      </c>
      <c r="F5298" s="1">
        <v>44999</v>
      </c>
      <c r="G5298" t="str">
        <f>"91249"</f>
        <v>91249</v>
      </c>
      <c r="H5298">
        <v>1</v>
      </c>
      <c r="I5298">
        <v>1495</v>
      </c>
      <c r="J5298">
        <v>0</v>
      </c>
      <c r="K5298" t="str">
        <f t="shared" si="979"/>
        <v>813</v>
      </c>
      <c r="L5298">
        <v>1255.8</v>
      </c>
    </row>
    <row r="5299" spans="1:12" x14ac:dyDescent="0.25">
      <c r="A5299" t="str">
        <f t="shared" si="973"/>
        <v>89301000</v>
      </c>
      <c r="B5299" t="str">
        <f t="shared" si="977"/>
        <v>02004000</v>
      </c>
      <c r="C5299" t="str">
        <f t="shared" si="978"/>
        <v>02004556</v>
      </c>
      <c r="D5299">
        <v>89301102</v>
      </c>
      <c r="E5299" t="str">
        <f>"0859053261"</f>
        <v>0859053261</v>
      </c>
      <c r="F5299" s="1">
        <v>44999</v>
      </c>
      <c r="G5299" t="str">
        <f>"91251"</f>
        <v>91251</v>
      </c>
      <c r="H5299">
        <v>1</v>
      </c>
      <c r="I5299">
        <v>1495</v>
      </c>
      <c r="J5299">
        <v>0</v>
      </c>
      <c r="K5299" t="str">
        <f t="shared" si="979"/>
        <v>813</v>
      </c>
      <c r="L5299">
        <v>1255.8</v>
      </c>
    </row>
    <row r="5300" spans="1:12" x14ac:dyDescent="0.25">
      <c r="A5300" t="str">
        <f t="shared" si="973"/>
        <v>89301000</v>
      </c>
      <c r="B5300" t="str">
        <f t="shared" si="977"/>
        <v>02004000</v>
      </c>
      <c r="C5300" t="str">
        <f t="shared" si="978"/>
        <v>02004556</v>
      </c>
      <c r="D5300">
        <v>89301102</v>
      </c>
      <c r="E5300" t="str">
        <f>"6306261478"</f>
        <v>6306261478</v>
      </c>
      <c r="F5300" s="1">
        <v>45009</v>
      </c>
      <c r="G5300" t="str">
        <f>"91249"</f>
        <v>91249</v>
      </c>
      <c r="H5300">
        <v>1</v>
      </c>
      <c r="I5300">
        <v>1495</v>
      </c>
      <c r="J5300">
        <v>0</v>
      </c>
      <c r="K5300" t="str">
        <f t="shared" si="979"/>
        <v>813</v>
      </c>
      <c r="L5300">
        <v>1255.8</v>
      </c>
    </row>
    <row r="5301" spans="1:12" x14ac:dyDescent="0.25">
      <c r="A5301" t="str">
        <f t="shared" si="973"/>
        <v>89301000</v>
      </c>
      <c r="B5301" t="str">
        <f t="shared" si="977"/>
        <v>02004000</v>
      </c>
      <c r="C5301" t="str">
        <f t="shared" si="978"/>
        <v>02004556</v>
      </c>
      <c r="D5301">
        <v>89301102</v>
      </c>
      <c r="E5301" t="str">
        <f>"6306261478"</f>
        <v>6306261478</v>
      </c>
      <c r="F5301" s="1">
        <v>45009</v>
      </c>
      <c r="G5301" t="str">
        <f>"91251"</f>
        <v>91251</v>
      </c>
      <c r="H5301">
        <v>1</v>
      </c>
      <c r="I5301">
        <v>1495</v>
      </c>
      <c r="J5301">
        <v>0</v>
      </c>
      <c r="K5301" t="str">
        <f t="shared" si="979"/>
        <v>813</v>
      </c>
      <c r="L5301">
        <v>1255.8</v>
      </c>
    </row>
    <row r="5302" spans="1:12" x14ac:dyDescent="0.25">
      <c r="A5302" t="str">
        <f t="shared" si="973"/>
        <v>89301000</v>
      </c>
      <c r="B5302" t="str">
        <f t="shared" si="977"/>
        <v>02004000</v>
      </c>
      <c r="C5302" t="str">
        <f t="shared" si="978"/>
        <v>02004556</v>
      </c>
      <c r="D5302">
        <v>89301028</v>
      </c>
      <c r="E5302" t="str">
        <f>"8954126203"</f>
        <v>8954126203</v>
      </c>
      <c r="F5302" s="1">
        <v>45007</v>
      </c>
      <c r="G5302" t="str">
        <f>"91249"</f>
        <v>91249</v>
      </c>
      <c r="H5302">
        <v>1</v>
      </c>
      <c r="I5302">
        <v>1495</v>
      </c>
      <c r="J5302">
        <v>0</v>
      </c>
      <c r="K5302" t="str">
        <f t="shared" si="979"/>
        <v>813</v>
      </c>
      <c r="L5302">
        <v>1255.8</v>
      </c>
    </row>
    <row r="5303" spans="1:12" x14ac:dyDescent="0.25">
      <c r="A5303" t="str">
        <f t="shared" si="973"/>
        <v>89301000</v>
      </c>
      <c r="B5303" t="str">
        <f t="shared" si="977"/>
        <v>02004000</v>
      </c>
      <c r="C5303" t="str">
        <f t="shared" si="978"/>
        <v>02004556</v>
      </c>
      <c r="D5303">
        <v>89301028</v>
      </c>
      <c r="E5303" t="str">
        <f>"8954126203"</f>
        <v>8954126203</v>
      </c>
      <c r="F5303" s="1">
        <v>45007</v>
      </c>
      <c r="G5303" t="str">
        <f>"91251"</f>
        <v>91251</v>
      </c>
      <c r="H5303">
        <v>1</v>
      </c>
      <c r="I5303">
        <v>1495</v>
      </c>
      <c r="J5303">
        <v>0</v>
      </c>
      <c r="K5303" t="str">
        <f t="shared" si="979"/>
        <v>813</v>
      </c>
      <c r="L5303">
        <v>1255.8</v>
      </c>
    </row>
    <row r="5304" spans="1:12" x14ac:dyDescent="0.25">
      <c r="A5304" t="str">
        <f t="shared" si="973"/>
        <v>89301000</v>
      </c>
      <c r="B5304" t="str">
        <f t="shared" si="977"/>
        <v>02004000</v>
      </c>
      <c r="C5304" t="str">
        <f t="shared" si="978"/>
        <v>02004556</v>
      </c>
      <c r="D5304">
        <v>89301102</v>
      </c>
      <c r="E5304" t="str">
        <f>"0658303239"</f>
        <v>0658303239</v>
      </c>
      <c r="F5304" s="1">
        <v>44991</v>
      </c>
      <c r="G5304" t="str">
        <f>"91249"</f>
        <v>91249</v>
      </c>
      <c r="H5304">
        <v>1</v>
      </c>
      <c r="I5304">
        <v>1495</v>
      </c>
      <c r="J5304">
        <v>0</v>
      </c>
      <c r="K5304" t="str">
        <f t="shared" si="979"/>
        <v>813</v>
      </c>
      <c r="L5304">
        <v>1255.8</v>
      </c>
    </row>
    <row r="5305" spans="1:12" x14ac:dyDescent="0.25">
      <c r="A5305" t="str">
        <f t="shared" si="973"/>
        <v>89301000</v>
      </c>
      <c r="B5305" t="str">
        <f t="shared" si="977"/>
        <v>02004000</v>
      </c>
      <c r="C5305" t="str">
        <f t="shared" si="978"/>
        <v>02004556</v>
      </c>
      <c r="D5305">
        <v>89301102</v>
      </c>
      <c r="E5305" t="str">
        <f>"0658303239"</f>
        <v>0658303239</v>
      </c>
      <c r="F5305" s="1">
        <v>44991</v>
      </c>
      <c r="G5305" t="str">
        <f>"91251"</f>
        <v>91251</v>
      </c>
      <c r="H5305">
        <v>1</v>
      </c>
      <c r="I5305">
        <v>1495</v>
      </c>
      <c r="J5305">
        <v>0</v>
      </c>
      <c r="K5305" t="str">
        <f t="shared" si="979"/>
        <v>813</v>
      </c>
      <c r="L5305">
        <v>1255.8</v>
      </c>
    </row>
    <row r="5306" spans="1:12" x14ac:dyDescent="0.25">
      <c r="A5306" t="str">
        <f t="shared" si="973"/>
        <v>89301000</v>
      </c>
      <c r="B5306" t="str">
        <f t="shared" si="977"/>
        <v>02004000</v>
      </c>
      <c r="C5306" t="str">
        <f t="shared" si="978"/>
        <v>02004556</v>
      </c>
      <c r="D5306">
        <v>89301102</v>
      </c>
      <c r="E5306" t="str">
        <f>"0658303239"</f>
        <v>0658303239</v>
      </c>
      <c r="F5306" s="1">
        <v>45019</v>
      </c>
      <c r="G5306" t="str">
        <f>"91249"</f>
        <v>91249</v>
      </c>
      <c r="H5306">
        <v>1</v>
      </c>
      <c r="I5306">
        <v>1495</v>
      </c>
      <c r="J5306">
        <v>0</v>
      </c>
      <c r="K5306" t="str">
        <f t="shared" si="979"/>
        <v>813</v>
      </c>
      <c r="L5306">
        <v>1255.8</v>
      </c>
    </row>
    <row r="5307" spans="1:12" x14ac:dyDescent="0.25">
      <c r="A5307" t="str">
        <f t="shared" si="973"/>
        <v>89301000</v>
      </c>
      <c r="B5307" t="str">
        <f t="shared" si="977"/>
        <v>02004000</v>
      </c>
      <c r="C5307" t="str">
        <f t="shared" si="978"/>
        <v>02004556</v>
      </c>
      <c r="D5307">
        <v>89301102</v>
      </c>
      <c r="E5307" t="str">
        <f>"0658303239"</f>
        <v>0658303239</v>
      </c>
      <c r="F5307" s="1">
        <v>45019</v>
      </c>
      <c r="G5307" t="str">
        <f>"91251"</f>
        <v>91251</v>
      </c>
      <c r="H5307">
        <v>1</v>
      </c>
      <c r="I5307">
        <v>1495</v>
      </c>
      <c r="J5307">
        <v>0</v>
      </c>
      <c r="K5307" t="str">
        <f t="shared" si="979"/>
        <v>813</v>
      </c>
      <c r="L5307">
        <v>1255.8</v>
      </c>
    </row>
    <row r="5308" spans="1:12" x14ac:dyDescent="0.25">
      <c r="A5308" t="str">
        <f t="shared" si="973"/>
        <v>89301000</v>
      </c>
      <c r="B5308" t="str">
        <f t="shared" si="977"/>
        <v>02004000</v>
      </c>
      <c r="C5308" t="str">
        <f t="shared" si="978"/>
        <v>02004556</v>
      </c>
      <c r="D5308">
        <v>89301102</v>
      </c>
      <c r="E5308" t="str">
        <f>"0606161380"</f>
        <v>0606161380</v>
      </c>
      <c r="F5308" s="1">
        <v>45020</v>
      </c>
      <c r="G5308" t="str">
        <f>"91249"</f>
        <v>91249</v>
      </c>
      <c r="H5308">
        <v>1</v>
      </c>
      <c r="I5308">
        <v>1495</v>
      </c>
      <c r="J5308">
        <v>0</v>
      </c>
      <c r="K5308" t="str">
        <f t="shared" si="979"/>
        <v>813</v>
      </c>
      <c r="L5308">
        <v>1255.8</v>
      </c>
    </row>
    <row r="5309" spans="1:12" x14ac:dyDescent="0.25">
      <c r="A5309" t="str">
        <f t="shared" si="973"/>
        <v>89301000</v>
      </c>
      <c r="B5309" t="str">
        <f t="shared" si="977"/>
        <v>02004000</v>
      </c>
      <c r="C5309" t="str">
        <f t="shared" si="978"/>
        <v>02004556</v>
      </c>
      <c r="D5309">
        <v>89301102</v>
      </c>
      <c r="E5309" t="str">
        <f>"0606161380"</f>
        <v>0606161380</v>
      </c>
      <c r="F5309" s="1">
        <v>45020</v>
      </c>
      <c r="G5309" t="str">
        <f>"91251"</f>
        <v>91251</v>
      </c>
      <c r="H5309">
        <v>1</v>
      </c>
      <c r="I5309">
        <v>1495</v>
      </c>
      <c r="J5309">
        <v>0</v>
      </c>
      <c r="K5309" t="str">
        <f t="shared" si="979"/>
        <v>813</v>
      </c>
      <c r="L5309">
        <v>1255.8</v>
      </c>
    </row>
    <row r="5310" spans="1:12" x14ac:dyDescent="0.25">
      <c r="A5310" t="str">
        <f t="shared" si="973"/>
        <v>89301000</v>
      </c>
      <c r="B5310" t="str">
        <f t="shared" si="977"/>
        <v>02004000</v>
      </c>
      <c r="C5310" t="str">
        <f t="shared" si="978"/>
        <v>02004556</v>
      </c>
      <c r="D5310">
        <v>89301102</v>
      </c>
      <c r="E5310" t="str">
        <f>"0706231383"</f>
        <v>0706231383</v>
      </c>
      <c r="F5310" s="1">
        <v>45022</v>
      </c>
      <c r="G5310" t="str">
        <f>"91249"</f>
        <v>91249</v>
      </c>
      <c r="H5310">
        <v>1</v>
      </c>
      <c r="I5310">
        <v>1495</v>
      </c>
      <c r="J5310">
        <v>0</v>
      </c>
      <c r="K5310" t="str">
        <f t="shared" si="979"/>
        <v>813</v>
      </c>
      <c r="L5310">
        <v>1255.8</v>
      </c>
    </row>
    <row r="5311" spans="1:12" x14ac:dyDescent="0.25">
      <c r="A5311" t="str">
        <f t="shared" si="973"/>
        <v>89301000</v>
      </c>
      <c r="B5311" t="str">
        <f t="shared" si="977"/>
        <v>02004000</v>
      </c>
      <c r="C5311" t="str">
        <f t="shared" si="978"/>
        <v>02004556</v>
      </c>
      <c r="D5311">
        <v>89301102</v>
      </c>
      <c r="E5311" t="str">
        <f>"0706231383"</f>
        <v>0706231383</v>
      </c>
      <c r="F5311" s="1">
        <v>45022</v>
      </c>
      <c r="G5311" t="str">
        <f>"91251"</f>
        <v>91251</v>
      </c>
      <c r="H5311">
        <v>1</v>
      </c>
      <c r="I5311">
        <v>1495</v>
      </c>
      <c r="J5311">
        <v>0</v>
      </c>
      <c r="K5311" t="str">
        <f t="shared" si="979"/>
        <v>813</v>
      </c>
      <c r="L5311">
        <v>1255.8</v>
      </c>
    </row>
    <row r="5312" spans="1:12" x14ac:dyDescent="0.25">
      <c r="A5312" t="str">
        <f t="shared" si="973"/>
        <v>89301000</v>
      </c>
      <c r="B5312" t="str">
        <f t="shared" si="977"/>
        <v>02004000</v>
      </c>
      <c r="C5312" t="str">
        <f t="shared" si="978"/>
        <v>02004556</v>
      </c>
      <c r="D5312">
        <v>89301028</v>
      </c>
      <c r="E5312" t="str">
        <f>"8512266213"</f>
        <v>8512266213</v>
      </c>
      <c r="F5312" s="1">
        <v>45022</v>
      </c>
      <c r="G5312" t="str">
        <f>"91249"</f>
        <v>91249</v>
      </c>
      <c r="H5312">
        <v>1</v>
      </c>
      <c r="I5312">
        <v>1495</v>
      </c>
      <c r="J5312">
        <v>0</v>
      </c>
      <c r="K5312" t="str">
        <f t="shared" si="979"/>
        <v>813</v>
      </c>
      <c r="L5312">
        <v>1255.8</v>
      </c>
    </row>
    <row r="5313" spans="1:12" x14ac:dyDescent="0.25">
      <c r="A5313" t="str">
        <f t="shared" si="973"/>
        <v>89301000</v>
      </c>
      <c r="B5313" t="str">
        <f t="shared" si="977"/>
        <v>02004000</v>
      </c>
      <c r="C5313" t="str">
        <f t="shared" si="978"/>
        <v>02004556</v>
      </c>
      <c r="D5313">
        <v>89301028</v>
      </c>
      <c r="E5313" t="str">
        <f>"8512266213"</f>
        <v>8512266213</v>
      </c>
      <c r="F5313" s="1">
        <v>45022</v>
      </c>
      <c r="G5313" t="str">
        <f>"91251"</f>
        <v>91251</v>
      </c>
      <c r="H5313">
        <v>1</v>
      </c>
      <c r="I5313">
        <v>1495</v>
      </c>
      <c r="J5313">
        <v>0</v>
      </c>
      <c r="K5313" t="str">
        <f t="shared" si="979"/>
        <v>813</v>
      </c>
      <c r="L5313">
        <v>1255.8</v>
      </c>
    </row>
    <row r="5314" spans="1:12" x14ac:dyDescent="0.25">
      <c r="A5314" t="str">
        <f t="shared" ref="A5314:A5377" si="980">"89301000"</f>
        <v>89301000</v>
      </c>
      <c r="B5314" t="str">
        <f t="shared" si="977"/>
        <v>02004000</v>
      </c>
      <c r="C5314" t="str">
        <f t="shared" si="978"/>
        <v>02004556</v>
      </c>
      <c r="D5314">
        <v>89301102</v>
      </c>
      <c r="E5314" t="str">
        <f>"1754070054"</f>
        <v>1754070054</v>
      </c>
      <c r="F5314" s="1">
        <v>45029</v>
      </c>
      <c r="G5314" t="str">
        <f>"91249"</f>
        <v>91249</v>
      </c>
      <c r="H5314">
        <v>1</v>
      </c>
      <c r="I5314">
        <v>1495</v>
      </c>
      <c r="J5314">
        <v>0</v>
      </c>
      <c r="K5314" t="str">
        <f t="shared" si="979"/>
        <v>813</v>
      </c>
      <c r="L5314">
        <v>1255.8</v>
      </c>
    </row>
    <row r="5315" spans="1:12" x14ac:dyDescent="0.25">
      <c r="A5315" t="str">
        <f t="shared" si="980"/>
        <v>89301000</v>
      </c>
      <c r="B5315" t="str">
        <f t="shared" si="977"/>
        <v>02004000</v>
      </c>
      <c r="C5315" t="str">
        <f t="shared" si="978"/>
        <v>02004556</v>
      </c>
      <c r="D5315">
        <v>89301102</v>
      </c>
      <c r="E5315" t="str">
        <f>"1754070054"</f>
        <v>1754070054</v>
      </c>
      <c r="F5315" s="1">
        <v>45029</v>
      </c>
      <c r="G5315" t="str">
        <f>"91251"</f>
        <v>91251</v>
      </c>
      <c r="H5315">
        <v>1</v>
      </c>
      <c r="I5315">
        <v>1495</v>
      </c>
      <c r="J5315">
        <v>0</v>
      </c>
      <c r="K5315" t="str">
        <f t="shared" si="979"/>
        <v>813</v>
      </c>
      <c r="L5315">
        <v>1255.8</v>
      </c>
    </row>
    <row r="5316" spans="1:12" x14ac:dyDescent="0.25">
      <c r="A5316" t="str">
        <f t="shared" si="980"/>
        <v>89301000</v>
      </c>
      <c r="B5316" t="str">
        <f t="shared" si="977"/>
        <v>02004000</v>
      </c>
      <c r="C5316" t="str">
        <f>"02004153"</f>
        <v>02004153</v>
      </c>
      <c r="D5316">
        <v>89301282</v>
      </c>
      <c r="E5316" t="str">
        <f>"1462091048"</f>
        <v>1462091048</v>
      </c>
      <c r="F5316" s="1">
        <v>45041</v>
      </c>
      <c r="G5316" t="str">
        <f>"94982"</f>
        <v>94982</v>
      </c>
      <c r="H5316">
        <v>1</v>
      </c>
      <c r="I5316">
        <v>0</v>
      </c>
      <c r="J5316">
        <v>27500</v>
      </c>
      <c r="K5316" t="str">
        <f>"816"</f>
        <v>816</v>
      </c>
      <c r="L5316">
        <v>27500</v>
      </c>
    </row>
    <row r="5317" spans="1:12" x14ac:dyDescent="0.25">
      <c r="A5317" t="str">
        <f t="shared" si="980"/>
        <v>89301000</v>
      </c>
      <c r="B5317" t="str">
        <f t="shared" si="977"/>
        <v>02004000</v>
      </c>
      <c r="C5317" t="str">
        <f>"02004153"</f>
        <v>02004153</v>
      </c>
      <c r="D5317">
        <v>89301282</v>
      </c>
      <c r="E5317" t="str">
        <f>"1462091048"</f>
        <v>1462091048</v>
      </c>
      <c r="F5317" s="1">
        <v>45041</v>
      </c>
      <c r="G5317" t="str">
        <f>"94996"</f>
        <v>94996</v>
      </c>
      <c r="H5317">
        <v>1</v>
      </c>
      <c r="I5317">
        <v>0</v>
      </c>
      <c r="J5317">
        <v>0</v>
      </c>
      <c r="K5317" t="str">
        <f>"816"</f>
        <v>816</v>
      </c>
      <c r="L5317">
        <v>0</v>
      </c>
    </row>
    <row r="5318" spans="1:12" x14ac:dyDescent="0.25">
      <c r="A5318" t="str">
        <f t="shared" si="980"/>
        <v>89301000</v>
      </c>
      <c r="B5318" t="str">
        <f>"06223000"</f>
        <v>06223000</v>
      </c>
      <c r="C5318" t="str">
        <f>"06223043"</f>
        <v>06223043</v>
      </c>
      <c r="D5318">
        <v>89301122</v>
      </c>
      <c r="E5318" t="str">
        <f>"9107045717"</f>
        <v>9107045717</v>
      </c>
      <c r="F5318" s="1">
        <v>45019</v>
      </c>
      <c r="G5318" t="str">
        <f>"92165"</f>
        <v>92165</v>
      </c>
      <c r="H5318">
        <v>1</v>
      </c>
      <c r="I5318">
        <v>2162</v>
      </c>
      <c r="J5318">
        <v>0</v>
      </c>
      <c r="K5318" t="str">
        <f>"801"</f>
        <v>801</v>
      </c>
      <c r="L5318">
        <v>1816.08</v>
      </c>
    </row>
    <row r="5319" spans="1:12" x14ac:dyDescent="0.25">
      <c r="A5319" t="str">
        <f t="shared" si="980"/>
        <v>89301000</v>
      </c>
      <c r="B5319" t="str">
        <f>"06223000"</f>
        <v>06223000</v>
      </c>
      <c r="C5319" t="str">
        <f>"06223043"</f>
        <v>06223043</v>
      </c>
      <c r="D5319">
        <v>89301122</v>
      </c>
      <c r="E5319" t="str">
        <f>"5901152356"</f>
        <v>5901152356</v>
      </c>
      <c r="F5319" s="1">
        <v>45030</v>
      </c>
      <c r="G5319" t="str">
        <f>"81485"</f>
        <v>81485</v>
      </c>
      <c r="H5319">
        <v>1</v>
      </c>
      <c r="I5319">
        <v>461</v>
      </c>
      <c r="J5319">
        <v>0</v>
      </c>
      <c r="K5319" t="str">
        <f>"801"</f>
        <v>801</v>
      </c>
      <c r="L5319">
        <v>387.24</v>
      </c>
    </row>
    <row r="5320" spans="1:12" x14ac:dyDescent="0.25">
      <c r="A5320" t="str">
        <f t="shared" si="980"/>
        <v>89301000</v>
      </c>
      <c r="B5320" t="str">
        <f>"06223000"</f>
        <v>06223000</v>
      </c>
      <c r="C5320" t="str">
        <f>"06223043"</f>
        <v>06223043</v>
      </c>
      <c r="D5320">
        <v>89301122</v>
      </c>
      <c r="E5320" t="str">
        <f>"6408171968"</f>
        <v>6408171968</v>
      </c>
      <c r="F5320" s="1">
        <v>45030</v>
      </c>
      <c r="G5320" t="str">
        <f>"81485"</f>
        <v>81485</v>
      </c>
      <c r="H5320">
        <v>1</v>
      </c>
      <c r="I5320">
        <v>461</v>
      </c>
      <c r="J5320">
        <v>0</v>
      </c>
      <c r="K5320" t="str">
        <f>"801"</f>
        <v>801</v>
      </c>
      <c r="L5320">
        <v>387.24</v>
      </c>
    </row>
    <row r="5321" spans="1:12" x14ac:dyDescent="0.25">
      <c r="A5321" t="str">
        <f t="shared" si="980"/>
        <v>89301000</v>
      </c>
      <c r="B5321" t="str">
        <f>"61004000"</f>
        <v>61004000</v>
      </c>
      <c r="C5321" t="str">
        <f>"61004776"</f>
        <v>61004776</v>
      </c>
      <c r="D5321">
        <v>89301212</v>
      </c>
      <c r="E5321" t="str">
        <f>"505130293"</f>
        <v>505130293</v>
      </c>
      <c r="F5321" s="1">
        <v>45014</v>
      </c>
      <c r="G5321" t="str">
        <f>"87223"</f>
        <v>87223</v>
      </c>
      <c r="H5321">
        <v>1</v>
      </c>
      <c r="I5321">
        <v>398</v>
      </c>
      <c r="J5321">
        <v>0</v>
      </c>
      <c r="K5321" t="str">
        <f>"807"</f>
        <v>807</v>
      </c>
      <c r="L5321">
        <v>334.32</v>
      </c>
    </row>
    <row r="5322" spans="1:12" x14ac:dyDescent="0.25">
      <c r="A5322" t="str">
        <f t="shared" si="980"/>
        <v>89301000</v>
      </c>
      <c r="B5322" t="str">
        <f>"61004000"</f>
        <v>61004000</v>
      </c>
      <c r="C5322" t="str">
        <f>"61004776"</f>
        <v>61004776</v>
      </c>
      <c r="D5322">
        <v>89301212</v>
      </c>
      <c r="E5322" t="str">
        <f>"505130293"</f>
        <v>505130293</v>
      </c>
      <c r="F5322" s="1">
        <v>45014</v>
      </c>
      <c r="G5322" t="str">
        <f>"87617"</f>
        <v>87617</v>
      </c>
      <c r="H5322">
        <v>1</v>
      </c>
      <c r="I5322">
        <v>3750</v>
      </c>
      <c r="J5322">
        <v>0</v>
      </c>
      <c r="K5322" t="str">
        <f>"807"</f>
        <v>807</v>
      </c>
      <c r="L5322">
        <v>3150</v>
      </c>
    </row>
    <row r="5323" spans="1:12" x14ac:dyDescent="0.25">
      <c r="A5323" t="str">
        <f t="shared" si="980"/>
        <v>89301000</v>
      </c>
      <c r="B5323" t="str">
        <f>"61004000"</f>
        <v>61004000</v>
      </c>
      <c r="C5323" t="str">
        <f>"61004776"</f>
        <v>61004776</v>
      </c>
      <c r="D5323">
        <v>89301212</v>
      </c>
      <c r="E5323" t="str">
        <f>"505130293"</f>
        <v>505130293</v>
      </c>
      <c r="F5323" s="1">
        <v>45014</v>
      </c>
      <c r="G5323" t="str">
        <f>"99798"</f>
        <v>99798</v>
      </c>
      <c r="H5323">
        <v>1</v>
      </c>
      <c r="I5323">
        <v>3199</v>
      </c>
      <c r="J5323">
        <v>0</v>
      </c>
      <c r="K5323" t="str">
        <f>"807"</f>
        <v>807</v>
      </c>
      <c r="L5323">
        <v>2687.16</v>
      </c>
    </row>
    <row r="5324" spans="1:12" x14ac:dyDescent="0.25">
      <c r="A5324" t="str">
        <f t="shared" si="980"/>
        <v>89301000</v>
      </c>
      <c r="B5324" t="str">
        <f>"02001000"</f>
        <v>02001000</v>
      </c>
      <c r="C5324" t="str">
        <f>"02001171"</f>
        <v>02001171</v>
      </c>
      <c r="D5324">
        <v>89301704</v>
      </c>
      <c r="E5324" t="str">
        <f>"1054145290"</f>
        <v>1054145290</v>
      </c>
      <c r="F5324" s="1">
        <v>45021</v>
      </c>
      <c r="G5324" t="str">
        <f>"91567"</f>
        <v>91567</v>
      </c>
      <c r="H5324">
        <v>1</v>
      </c>
      <c r="I5324">
        <v>317</v>
      </c>
      <c r="J5324">
        <v>0</v>
      </c>
      <c r="K5324" t="str">
        <f>"813"</f>
        <v>813</v>
      </c>
      <c r="L5324">
        <v>266.27999999999997</v>
      </c>
    </row>
    <row r="5325" spans="1:12" x14ac:dyDescent="0.25">
      <c r="A5325" t="str">
        <f t="shared" si="980"/>
        <v>89301000</v>
      </c>
      <c r="B5325" t="str">
        <f>"05002000"</f>
        <v>05002000</v>
      </c>
      <c r="C5325" t="str">
        <f>"05002397"</f>
        <v>05002397</v>
      </c>
      <c r="D5325">
        <v>89301109</v>
      </c>
      <c r="E5325" t="str">
        <f>"0653313265"</f>
        <v>0653313265</v>
      </c>
      <c r="F5325" s="1">
        <v>45036</v>
      </c>
      <c r="G5325" t="str">
        <f>"91439"</f>
        <v>91439</v>
      </c>
      <c r="H5325">
        <v>8</v>
      </c>
      <c r="I5325">
        <v>2864</v>
      </c>
      <c r="J5325">
        <v>0</v>
      </c>
      <c r="K5325" t="str">
        <f>"818"</f>
        <v>818</v>
      </c>
      <c r="L5325">
        <v>2778.08</v>
      </c>
    </row>
    <row r="5326" spans="1:12" x14ac:dyDescent="0.25">
      <c r="A5326" t="str">
        <f t="shared" si="980"/>
        <v>89301000</v>
      </c>
      <c r="B5326" t="str">
        <f>"05002000"</f>
        <v>05002000</v>
      </c>
      <c r="C5326" t="str">
        <f>"05002397"</f>
        <v>05002397</v>
      </c>
      <c r="D5326">
        <v>89301109</v>
      </c>
      <c r="E5326" t="str">
        <f>"0653313265"</f>
        <v>0653313265</v>
      </c>
      <c r="F5326" s="1">
        <v>45037</v>
      </c>
      <c r="G5326" t="str">
        <f>"94225"</f>
        <v>94225</v>
      </c>
      <c r="H5326">
        <v>2</v>
      </c>
      <c r="I5326">
        <v>2416</v>
      </c>
      <c r="J5326">
        <v>0</v>
      </c>
      <c r="K5326" t="str">
        <f>"818"</f>
        <v>818</v>
      </c>
      <c r="L5326">
        <v>2343.52</v>
      </c>
    </row>
    <row r="5327" spans="1:12" x14ac:dyDescent="0.25">
      <c r="A5327" t="str">
        <f t="shared" si="980"/>
        <v>89301000</v>
      </c>
      <c r="B5327" t="str">
        <f>"05002000"</f>
        <v>05002000</v>
      </c>
      <c r="C5327" t="str">
        <f>"05002397"</f>
        <v>05002397</v>
      </c>
      <c r="D5327">
        <v>89301109</v>
      </c>
      <c r="E5327" t="str">
        <f>"0653313265"</f>
        <v>0653313265</v>
      </c>
      <c r="F5327" s="1">
        <v>45037</v>
      </c>
      <c r="G5327" t="str">
        <f>"94195"</f>
        <v>94195</v>
      </c>
      <c r="H5327">
        <v>1</v>
      </c>
      <c r="I5327">
        <v>384</v>
      </c>
      <c r="J5327">
        <v>0</v>
      </c>
      <c r="K5327" t="str">
        <f>"818"</f>
        <v>818</v>
      </c>
      <c r="L5327">
        <v>372.48</v>
      </c>
    </row>
    <row r="5328" spans="1:12" x14ac:dyDescent="0.25">
      <c r="A5328" t="str">
        <f t="shared" si="980"/>
        <v>89301000</v>
      </c>
      <c r="B5328" t="str">
        <f>"05002000"</f>
        <v>05002000</v>
      </c>
      <c r="C5328" t="str">
        <f>"05002397"</f>
        <v>05002397</v>
      </c>
      <c r="D5328">
        <v>89301109</v>
      </c>
      <c r="E5328" t="str">
        <f>"0653313265"</f>
        <v>0653313265</v>
      </c>
      <c r="F5328" s="1">
        <v>45037</v>
      </c>
      <c r="G5328" t="str">
        <f>"94337"</f>
        <v>94337</v>
      </c>
      <c r="H5328">
        <v>3</v>
      </c>
      <c r="I5328">
        <v>26997</v>
      </c>
      <c r="J5328">
        <v>0</v>
      </c>
      <c r="K5328" t="str">
        <f>"818"</f>
        <v>818</v>
      </c>
      <c r="L5328">
        <v>26187.09</v>
      </c>
    </row>
    <row r="5329" spans="1:12" x14ac:dyDescent="0.25">
      <c r="A5329" t="str">
        <f t="shared" si="980"/>
        <v>89301000</v>
      </c>
      <c r="B5329" t="str">
        <f>"05002000"</f>
        <v>05002000</v>
      </c>
      <c r="C5329" t="str">
        <f>"05002141"</f>
        <v>05002141</v>
      </c>
      <c r="D5329">
        <v>89301282</v>
      </c>
      <c r="E5329" t="str">
        <f>"5905311192"</f>
        <v>5905311192</v>
      </c>
      <c r="F5329" s="1">
        <v>45027</v>
      </c>
      <c r="G5329" t="str">
        <f>"94331"</f>
        <v>94331</v>
      </c>
      <c r="H5329">
        <v>1</v>
      </c>
      <c r="I5329">
        <v>7866</v>
      </c>
      <c r="J5329">
        <v>0</v>
      </c>
      <c r="K5329" t="str">
        <f>"816"</f>
        <v>816</v>
      </c>
      <c r="L5329">
        <v>7079.4</v>
      </c>
    </row>
    <row r="5330" spans="1:12" x14ac:dyDescent="0.25">
      <c r="A5330" t="str">
        <f t="shared" si="980"/>
        <v>89301000</v>
      </c>
      <c r="B5330" t="str">
        <f t="shared" ref="B5330:B5335" si="981">"89670000"</f>
        <v>89670000</v>
      </c>
      <c r="C5330" t="str">
        <f t="shared" ref="C5330:C5335" si="982">"89670200"</f>
        <v>89670200</v>
      </c>
      <c r="D5330">
        <v>89301167</v>
      </c>
      <c r="E5330" t="str">
        <f t="shared" ref="E5330:E5335" si="983">"511221028"</f>
        <v>511221028</v>
      </c>
      <c r="F5330" s="1">
        <v>45020</v>
      </c>
      <c r="G5330" t="str">
        <f>"09119"</f>
        <v>09119</v>
      </c>
      <c r="H5330">
        <v>1</v>
      </c>
      <c r="I5330">
        <v>43</v>
      </c>
      <c r="J5330">
        <v>0</v>
      </c>
      <c r="K5330" t="str">
        <f t="shared" ref="K5330:K5335" si="984">"802"</f>
        <v>802</v>
      </c>
      <c r="L5330">
        <v>54.18</v>
      </c>
    </row>
    <row r="5331" spans="1:12" x14ac:dyDescent="0.25">
      <c r="A5331" t="str">
        <f t="shared" si="980"/>
        <v>89301000</v>
      </c>
      <c r="B5331" t="str">
        <f t="shared" si="981"/>
        <v>89670000</v>
      </c>
      <c r="C5331" t="str">
        <f t="shared" si="982"/>
        <v>89670200</v>
      </c>
      <c r="D5331">
        <v>89301167</v>
      </c>
      <c r="E5331" t="str">
        <f t="shared" si="983"/>
        <v>511221028</v>
      </c>
      <c r="F5331" s="1">
        <v>45020</v>
      </c>
      <c r="G5331" t="str">
        <f>"97111"</f>
        <v>97111</v>
      </c>
      <c r="H5331">
        <v>1</v>
      </c>
      <c r="I5331">
        <v>19</v>
      </c>
      <c r="J5331">
        <v>0</v>
      </c>
      <c r="K5331" t="str">
        <f t="shared" si="984"/>
        <v>802</v>
      </c>
      <c r="L5331">
        <v>23.94</v>
      </c>
    </row>
    <row r="5332" spans="1:12" x14ac:dyDescent="0.25">
      <c r="A5332" t="str">
        <f t="shared" si="980"/>
        <v>89301000</v>
      </c>
      <c r="B5332" t="str">
        <f t="shared" si="981"/>
        <v>89670000</v>
      </c>
      <c r="C5332" t="str">
        <f t="shared" si="982"/>
        <v>89670200</v>
      </c>
      <c r="D5332">
        <v>89301167</v>
      </c>
      <c r="E5332" t="str">
        <f t="shared" si="983"/>
        <v>511221028</v>
      </c>
      <c r="F5332" s="1">
        <v>45020</v>
      </c>
      <c r="G5332" t="str">
        <f>"91153"</f>
        <v>91153</v>
      </c>
      <c r="H5332">
        <v>1</v>
      </c>
      <c r="I5332">
        <v>153</v>
      </c>
      <c r="J5332">
        <v>0</v>
      </c>
      <c r="K5332" t="str">
        <f t="shared" si="984"/>
        <v>802</v>
      </c>
      <c r="L5332">
        <v>148.41</v>
      </c>
    </row>
    <row r="5333" spans="1:12" x14ac:dyDescent="0.25">
      <c r="A5333" t="str">
        <f t="shared" si="980"/>
        <v>89301000</v>
      </c>
      <c r="B5333" t="str">
        <f t="shared" si="981"/>
        <v>89670000</v>
      </c>
      <c r="C5333" t="str">
        <f t="shared" si="982"/>
        <v>89670200</v>
      </c>
      <c r="D5333">
        <v>89301167</v>
      </c>
      <c r="E5333" t="str">
        <f t="shared" si="983"/>
        <v>511221028</v>
      </c>
      <c r="F5333" s="1">
        <v>45041</v>
      </c>
      <c r="G5333" t="str">
        <f>"09119"</f>
        <v>09119</v>
      </c>
      <c r="H5333">
        <v>1</v>
      </c>
      <c r="I5333">
        <v>43</v>
      </c>
      <c r="J5333">
        <v>0</v>
      </c>
      <c r="K5333" t="str">
        <f t="shared" si="984"/>
        <v>802</v>
      </c>
      <c r="L5333">
        <v>54.18</v>
      </c>
    </row>
    <row r="5334" spans="1:12" x14ac:dyDescent="0.25">
      <c r="A5334" t="str">
        <f t="shared" si="980"/>
        <v>89301000</v>
      </c>
      <c r="B5334" t="str">
        <f t="shared" si="981"/>
        <v>89670000</v>
      </c>
      <c r="C5334" t="str">
        <f t="shared" si="982"/>
        <v>89670200</v>
      </c>
      <c r="D5334">
        <v>89301167</v>
      </c>
      <c r="E5334" t="str">
        <f t="shared" si="983"/>
        <v>511221028</v>
      </c>
      <c r="F5334" s="1">
        <v>45041</v>
      </c>
      <c r="G5334" t="str">
        <f>"97111"</f>
        <v>97111</v>
      </c>
      <c r="H5334">
        <v>1</v>
      </c>
      <c r="I5334">
        <v>19</v>
      </c>
      <c r="J5334">
        <v>0</v>
      </c>
      <c r="K5334" t="str">
        <f t="shared" si="984"/>
        <v>802</v>
      </c>
      <c r="L5334">
        <v>23.94</v>
      </c>
    </row>
    <row r="5335" spans="1:12" x14ac:dyDescent="0.25">
      <c r="A5335" t="str">
        <f t="shared" si="980"/>
        <v>89301000</v>
      </c>
      <c r="B5335" t="str">
        <f t="shared" si="981"/>
        <v>89670000</v>
      </c>
      <c r="C5335" t="str">
        <f t="shared" si="982"/>
        <v>89670200</v>
      </c>
      <c r="D5335">
        <v>89301167</v>
      </c>
      <c r="E5335" t="str">
        <f t="shared" si="983"/>
        <v>511221028</v>
      </c>
      <c r="F5335" s="1">
        <v>45041</v>
      </c>
      <c r="G5335" t="str">
        <f>"91153"</f>
        <v>91153</v>
      </c>
      <c r="H5335">
        <v>1</v>
      </c>
      <c r="I5335">
        <v>153</v>
      </c>
      <c r="J5335">
        <v>0</v>
      </c>
      <c r="K5335" t="str">
        <f t="shared" si="984"/>
        <v>802</v>
      </c>
      <c r="L5335">
        <v>148.41</v>
      </c>
    </row>
    <row r="5336" spans="1:12" x14ac:dyDescent="0.25">
      <c r="A5336" t="str">
        <f t="shared" si="980"/>
        <v>89301000</v>
      </c>
      <c r="B5336" t="str">
        <f>"75002000"</f>
        <v>75002000</v>
      </c>
      <c r="C5336" t="str">
        <f>"75002418"</f>
        <v>75002418</v>
      </c>
      <c r="D5336">
        <v>89301212</v>
      </c>
      <c r="E5336" t="str">
        <f>"8154164260"</f>
        <v>8154164260</v>
      </c>
      <c r="F5336" s="1">
        <v>45027</v>
      </c>
      <c r="G5336" t="str">
        <f>"89513"</f>
        <v>89513</v>
      </c>
      <c r="H5336">
        <v>1</v>
      </c>
      <c r="I5336">
        <v>378</v>
      </c>
      <c r="J5336">
        <v>0</v>
      </c>
      <c r="K5336" t="str">
        <f>"809"</f>
        <v>809</v>
      </c>
      <c r="L5336">
        <v>555.66</v>
      </c>
    </row>
    <row r="5337" spans="1:12" x14ac:dyDescent="0.25">
      <c r="A5337" t="str">
        <f t="shared" si="980"/>
        <v>89301000</v>
      </c>
      <c r="B5337" t="str">
        <f>"75002000"</f>
        <v>75002000</v>
      </c>
      <c r="C5337" t="str">
        <f>"75002418"</f>
        <v>75002418</v>
      </c>
      <c r="D5337">
        <v>89301212</v>
      </c>
      <c r="E5337" t="str">
        <f>"8154164260"</f>
        <v>8154164260</v>
      </c>
      <c r="F5337" s="1">
        <v>45027</v>
      </c>
      <c r="G5337" t="str">
        <f>"89514"</f>
        <v>89514</v>
      </c>
      <c r="H5337">
        <v>1</v>
      </c>
      <c r="I5337">
        <v>378</v>
      </c>
      <c r="J5337">
        <v>0</v>
      </c>
      <c r="K5337" t="str">
        <f>"809"</f>
        <v>809</v>
      </c>
      <c r="L5337">
        <v>555.66</v>
      </c>
    </row>
    <row r="5338" spans="1:12" x14ac:dyDescent="0.25">
      <c r="A5338" t="str">
        <f t="shared" si="980"/>
        <v>89301000</v>
      </c>
      <c r="B5338" t="str">
        <f t="shared" ref="B5338:B5346" si="985">"05002000"</f>
        <v>05002000</v>
      </c>
      <c r="C5338" t="str">
        <f>"05002174"</f>
        <v>05002174</v>
      </c>
      <c r="D5338">
        <v>89301172</v>
      </c>
      <c r="E5338" t="str">
        <f>"7152025771"</f>
        <v>7152025771</v>
      </c>
      <c r="F5338" s="1">
        <v>44985</v>
      </c>
      <c r="G5338" t="str">
        <f>"85115"</f>
        <v>85115</v>
      </c>
      <c r="H5338">
        <v>1</v>
      </c>
      <c r="I5338">
        <v>2450</v>
      </c>
      <c r="J5338">
        <v>0</v>
      </c>
      <c r="K5338" t="str">
        <f>"802"</f>
        <v>802</v>
      </c>
      <c r="L5338">
        <v>2376.5</v>
      </c>
    </row>
    <row r="5339" spans="1:12" x14ac:dyDescent="0.25">
      <c r="A5339" t="str">
        <f t="shared" si="980"/>
        <v>89301000</v>
      </c>
      <c r="B5339" t="str">
        <f t="shared" si="985"/>
        <v>05002000</v>
      </c>
      <c r="C5339" t="str">
        <f t="shared" ref="C5339:C5344" si="986">"05002397"</f>
        <v>05002397</v>
      </c>
      <c r="D5339">
        <v>89301109</v>
      </c>
      <c r="E5339" t="str">
        <f>"0905183224"</f>
        <v>0905183224</v>
      </c>
      <c r="F5339" s="1">
        <v>45005</v>
      </c>
      <c r="G5339" t="str">
        <f>"94225"</f>
        <v>94225</v>
      </c>
      <c r="H5339">
        <v>2</v>
      </c>
      <c r="I5339">
        <v>2416</v>
      </c>
      <c r="J5339">
        <v>0</v>
      </c>
      <c r="K5339" t="str">
        <f t="shared" ref="K5339:K5344" si="987">"818"</f>
        <v>818</v>
      </c>
      <c r="L5339">
        <v>2343.52</v>
      </c>
    </row>
    <row r="5340" spans="1:12" x14ac:dyDescent="0.25">
      <c r="A5340" t="str">
        <f t="shared" si="980"/>
        <v>89301000</v>
      </c>
      <c r="B5340" t="str">
        <f t="shared" si="985"/>
        <v>05002000</v>
      </c>
      <c r="C5340" t="str">
        <f t="shared" si="986"/>
        <v>05002397</v>
      </c>
      <c r="D5340">
        <v>89301109</v>
      </c>
      <c r="E5340" t="str">
        <f>"0905183224"</f>
        <v>0905183224</v>
      </c>
      <c r="F5340" s="1">
        <v>45005</v>
      </c>
      <c r="G5340" t="str">
        <f>"94195"</f>
        <v>94195</v>
      </c>
      <c r="H5340">
        <v>1</v>
      </c>
      <c r="I5340">
        <v>384</v>
      </c>
      <c r="J5340">
        <v>0</v>
      </c>
      <c r="K5340" t="str">
        <f t="shared" si="987"/>
        <v>818</v>
      </c>
      <c r="L5340">
        <v>372.48</v>
      </c>
    </row>
    <row r="5341" spans="1:12" x14ac:dyDescent="0.25">
      <c r="A5341" t="str">
        <f t="shared" si="980"/>
        <v>89301000</v>
      </c>
      <c r="B5341" t="str">
        <f t="shared" si="985"/>
        <v>05002000</v>
      </c>
      <c r="C5341" t="str">
        <f t="shared" si="986"/>
        <v>05002397</v>
      </c>
      <c r="D5341">
        <v>89301109</v>
      </c>
      <c r="E5341" t="str">
        <f>"0905183224"</f>
        <v>0905183224</v>
      </c>
      <c r="F5341" s="1">
        <v>45005</v>
      </c>
      <c r="G5341" t="str">
        <f>"94337"</f>
        <v>94337</v>
      </c>
      <c r="H5341">
        <v>3</v>
      </c>
      <c r="I5341">
        <v>26997</v>
      </c>
      <c r="J5341">
        <v>0</v>
      </c>
      <c r="K5341" t="str">
        <f t="shared" si="987"/>
        <v>818</v>
      </c>
      <c r="L5341">
        <v>26187.09</v>
      </c>
    </row>
    <row r="5342" spans="1:12" x14ac:dyDescent="0.25">
      <c r="A5342" t="str">
        <f t="shared" si="980"/>
        <v>89301000</v>
      </c>
      <c r="B5342" t="str">
        <f t="shared" si="985"/>
        <v>05002000</v>
      </c>
      <c r="C5342" t="str">
        <f t="shared" si="986"/>
        <v>05002397</v>
      </c>
      <c r="D5342">
        <v>89301109</v>
      </c>
      <c r="E5342" t="str">
        <f>"2109170943"</f>
        <v>2109170943</v>
      </c>
      <c r="F5342" s="1">
        <v>45014</v>
      </c>
      <c r="G5342" t="str">
        <f>"91439"</f>
        <v>91439</v>
      </c>
      <c r="H5342">
        <v>8</v>
      </c>
      <c r="I5342">
        <v>2864</v>
      </c>
      <c r="J5342">
        <v>0</v>
      </c>
      <c r="K5342" t="str">
        <f t="shared" si="987"/>
        <v>818</v>
      </c>
      <c r="L5342">
        <v>2778.08</v>
      </c>
    </row>
    <row r="5343" spans="1:12" x14ac:dyDescent="0.25">
      <c r="A5343" t="str">
        <f t="shared" si="980"/>
        <v>89301000</v>
      </c>
      <c r="B5343" t="str">
        <f t="shared" si="985"/>
        <v>05002000</v>
      </c>
      <c r="C5343" t="str">
        <f t="shared" si="986"/>
        <v>05002397</v>
      </c>
      <c r="D5343">
        <v>89301109</v>
      </c>
      <c r="E5343" t="str">
        <f>"2109170943"</f>
        <v>2109170943</v>
      </c>
      <c r="F5343" s="1">
        <v>45015</v>
      </c>
      <c r="G5343" t="str">
        <f>"94225"</f>
        <v>94225</v>
      </c>
      <c r="H5343">
        <v>1</v>
      </c>
      <c r="I5343">
        <v>1208</v>
      </c>
      <c r="J5343">
        <v>0</v>
      </c>
      <c r="K5343" t="str">
        <f t="shared" si="987"/>
        <v>818</v>
      </c>
      <c r="L5343">
        <v>1171.76</v>
      </c>
    </row>
    <row r="5344" spans="1:12" x14ac:dyDescent="0.25">
      <c r="A5344" t="str">
        <f t="shared" si="980"/>
        <v>89301000</v>
      </c>
      <c r="B5344" t="str">
        <f t="shared" si="985"/>
        <v>05002000</v>
      </c>
      <c r="C5344" t="str">
        <f t="shared" si="986"/>
        <v>05002397</v>
      </c>
      <c r="D5344">
        <v>89301109</v>
      </c>
      <c r="E5344" t="str">
        <f>"2109170943"</f>
        <v>2109170943</v>
      </c>
      <c r="F5344" s="1">
        <v>45015</v>
      </c>
      <c r="G5344" t="str">
        <f>"94337"</f>
        <v>94337</v>
      </c>
      <c r="H5344">
        <v>2</v>
      </c>
      <c r="I5344">
        <v>17998</v>
      </c>
      <c r="J5344">
        <v>0</v>
      </c>
      <c r="K5344" t="str">
        <f t="shared" si="987"/>
        <v>818</v>
      </c>
      <c r="L5344">
        <v>17458.060000000001</v>
      </c>
    </row>
    <row r="5345" spans="1:12" x14ac:dyDescent="0.25">
      <c r="A5345" t="str">
        <f t="shared" si="980"/>
        <v>89301000</v>
      </c>
      <c r="B5345" t="str">
        <f t="shared" si="985"/>
        <v>05002000</v>
      </c>
      <c r="C5345" t="str">
        <f>"05002174"</f>
        <v>05002174</v>
      </c>
      <c r="D5345">
        <v>89301172</v>
      </c>
      <c r="E5345" t="str">
        <f>"8702245068"</f>
        <v>8702245068</v>
      </c>
      <c r="F5345" s="1">
        <v>45009</v>
      </c>
      <c r="G5345" t="str">
        <f>"85115"</f>
        <v>85115</v>
      </c>
      <c r="H5345">
        <v>1</v>
      </c>
      <c r="I5345">
        <v>2450</v>
      </c>
      <c r="J5345">
        <v>0</v>
      </c>
      <c r="K5345" t="str">
        <f>"802"</f>
        <v>802</v>
      </c>
      <c r="L5345">
        <v>2376.5</v>
      </c>
    </row>
    <row r="5346" spans="1:12" x14ac:dyDescent="0.25">
      <c r="A5346" t="str">
        <f t="shared" si="980"/>
        <v>89301000</v>
      </c>
      <c r="B5346" t="str">
        <f t="shared" si="985"/>
        <v>05002000</v>
      </c>
      <c r="C5346" t="str">
        <f>"05002174"</f>
        <v>05002174</v>
      </c>
      <c r="D5346">
        <v>89301172</v>
      </c>
      <c r="E5346" t="str">
        <f>"8703266132"</f>
        <v>8703266132</v>
      </c>
      <c r="F5346" s="1">
        <v>45009</v>
      </c>
      <c r="G5346" t="str">
        <f>"85115"</f>
        <v>85115</v>
      </c>
      <c r="H5346">
        <v>1</v>
      </c>
      <c r="I5346">
        <v>2450</v>
      </c>
      <c r="J5346">
        <v>0</v>
      </c>
      <c r="K5346" t="str">
        <f>"802"</f>
        <v>802</v>
      </c>
      <c r="L5346">
        <v>2376.5</v>
      </c>
    </row>
    <row r="5347" spans="1:12" x14ac:dyDescent="0.25">
      <c r="A5347" t="str">
        <f t="shared" si="980"/>
        <v>89301000</v>
      </c>
      <c r="B5347" t="str">
        <f>"92503000"</f>
        <v>92503000</v>
      </c>
      <c r="C5347" t="str">
        <f>"92503000"</f>
        <v>92503000</v>
      </c>
      <c r="D5347">
        <v>89301082</v>
      </c>
      <c r="E5347" t="str">
        <f>"526226304"</f>
        <v>526226304</v>
      </c>
      <c r="F5347" s="1">
        <v>45055</v>
      </c>
      <c r="G5347" t="str">
        <f>"87433"</f>
        <v>87433</v>
      </c>
      <c r="H5347">
        <v>1</v>
      </c>
      <c r="I5347">
        <v>42</v>
      </c>
      <c r="J5347">
        <v>0</v>
      </c>
      <c r="K5347" t="str">
        <f>"807"</f>
        <v>807</v>
      </c>
      <c r="L5347">
        <v>35.28</v>
      </c>
    </row>
    <row r="5348" spans="1:12" x14ac:dyDescent="0.25">
      <c r="A5348" t="str">
        <f t="shared" si="980"/>
        <v>89301000</v>
      </c>
      <c r="B5348" t="str">
        <f>"92503000"</f>
        <v>92503000</v>
      </c>
      <c r="C5348" t="str">
        <f>"92503000"</f>
        <v>92503000</v>
      </c>
      <c r="D5348">
        <v>89301082</v>
      </c>
      <c r="E5348" t="str">
        <f>"526226304"</f>
        <v>526226304</v>
      </c>
      <c r="F5348" s="1">
        <v>45055</v>
      </c>
      <c r="G5348" t="str">
        <f>"87519"</f>
        <v>87519</v>
      </c>
      <c r="H5348">
        <v>1</v>
      </c>
      <c r="I5348">
        <v>322</v>
      </c>
      <c r="J5348">
        <v>0</v>
      </c>
      <c r="K5348" t="str">
        <f>"807"</f>
        <v>807</v>
      </c>
      <c r="L5348">
        <v>270.48</v>
      </c>
    </row>
    <row r="5349" spans="1:12" x14ac:dyDescent="0.25">
      <c r="A5349" t="str">
        <f t="shared" si="980"/>
        <v>89301000</v>
      </c>
      <c r="B5349" t="str">
        <f>"86106000"</f>
        <v>86106000</v>
      </c>
      <c r="C5349" t="str">
        <f>"86106064"</f>
        <v>86106064</v>
      </c>
      <c r="D5349">
        <v>89301042</v>
      </c>
      <c r="E5349" t="str">
        <f>"8657035442"</f>
        <v>8657035442</v>
      </c>
      <c r="F5349" s="1">
        <v>45057</v>
      </c>
      <c r="G5349" t="str">
        <f>"89513"</f>
        <v>89513</v>
      </c>
      <c r="H5349">
        <v>1</v>
      </c>
      <c r="I5349">
        <v>378</v>
      </c>
      <c r="J5349">
        <v>0</v>
      </c>
      <c r="K5349" t="str">
        <f t="shared" ref="K5349:K5380" si="988">"809"</f>
        <v>809</v>
      </c>
      <c r="L5349">
        <v>555.66</v>
      </c>
    </row>
    <row r="5350" spans="1:12" x14ac:dyDescent="0.25">
      <c r="A5350" t="str">
        <f t="shared" si="980"/>
        <v>89301000</v>
      </c>
      <c r="B5350" t="str">
        <f>"86106000"</f>
        <v>86106000</v>
      </c>
      <c r="C5350" t="str">
        <f>"86106064"</f>
        <v>86106064</v>
      </c>
      <c r="D5350">
        <v>89301042</v>
      </c>
      <c r="E5350" t="str">
        <f>"8657035442"</f>
        <v>8657035442</v>
      </c>
      <c r="F5350" s="1">
        <v>45057</v>
      </c>
      <c r="G5350" t="str">
        <f>"89514"</f>
        <v>89514</v>
      </c>
      <c r="H5350">
        <v>1</v>
      </c>
      <c r="I5350">
        <v>378</v>
      </c>
      <c r="J5350">
        <v>0</v>
      </c>
      <c r="K5350" t="str">
        <f t="shared" si="988"/>
        <v>809</v>
      </c>
      <c r="L5350">
        <v>555.66</v>
      </c>
    </row>
    <row r="5351" spans="1:12" x14ac:dyDescent="0.25">
      <c r="A5351" t="str">
        <f t="shared" si="980"/>
        <v>89301000</v>
      </c>
      <c r="B5351" t="str">
        <f t="shared" ref="B5351:B5382" si="989">"78915000"</f>
        <v>78915000</v>
      </c>
      <c r="C5351" t="str">
        <f t="shared" ref="C5351:C5382" si="990">"78915001"</f>
        <v>78915001</v>
      </c>
      <c r="D5351">
        <v>89301292</v>
      </c>
      <c r="E5351" t="str">
        <f>"525502120"</f>
        <v>525502120</v>
      </c>
      <c r="F5351" s="1">
        <v>45049</v>
      </c>
      <c r="G5351" t="str">
        <f>"89715"</f>
        <v>89715</v>
      </c>
      <c r="H5351">
        <v>1</v>
      </c>
      <c r="I5351">
        <v>5523</v>
      </c>
      <c r="J5351">
        <v>0</v>
      </c>
      <c r="K5351" t="str">
        <f t="shared" si="988"/>
        <v>809</v>
      </c>
      <c r="L5351">
        <v>3589.95</v>
      </c>
    </row>
    <row r="5352" spans="1:12" x14ac:dyDescent="0.25">
      <c r="A5352" t="str">
        <f t="shared" si="980"/>
        <v>89301000</v>
      </c>
      <c r="B5352" t="str">
        <f t="shared" si="989"/>
        <v>78915000</v>
      </c>
      <c r="C5352" t="str">
        <f t="shared" si="990"/>
        <v>78915001</v>
      </c>
      <c r="D5352">
        <v>89301292</v>
      </c>
      <c r="E5352" t="str">
        <f>"525502120"</f>
        <v>525502120</v>
      </c>
      <c r="F5352" s="1">
        <v>45049</v>
      </c>
      <c r="G5352" t="str">
        <f>"89725"</f>
        <v>89725</v>
      </c>
      <c r="H5352">
        <v>1</v>
      </c>
      <c r="I5352">
        <v>2863</v>
      </c>
      <c r="J5352">
        <v>0</v>
      </c>
      <c r="K5352" t="str">
        <f t="shared" si="988"/>
        <v>809</v>
      </c>
      <c r="L5352">
        <v>1860.95</v>
      </c>
    </row>
    <row r="5353" spans="1:12" x14ac:dyDescent="0.25">
      <c r="A5353" t="str">
        <f t="shared" si="980"/>
        <v>89301000</v>
      </c>
      <c r="B5353" t="str">
        <f t="shared" si="989"/>
        <v>78915000</v>
      </c>
      <c r="C5353" t="str">
        <f t="shared" si="990"/>
        <v>78915001</v>
      </c>
      <c r="D5353">
        <v>89301292</v>
      </c>
      <c r="E5353" t="str">
        <f>"525502120"</f>
        <v>525502120</v>
      </c>
      <c r="F5353" s="1">
        <v>45049</v>
      </c>
      <c r="G5353" t="str">
        <f>"0207733"</f>
        <v>0207733</v>
      </c>
      <c r="H5353">
        <v>1</v>
      </c>
      <c r="J5353">
        <v>2590.5300000000002</v>
      </c>
      <c r="K5353" t="str">
        <f t="shared" si="988"/>
        <v>809</v>
      </c>
      <c r="L5353">
        <v>2590.5300000000002</v>
      </c>
    </row>
    <row r="5354" spans="1:12" x14ac:dyDescent="0.25">
      <c r="A5354" t="str">
        <f t="shared" si="980"/>
        <v>89301000</v>
      </c>
      <c r="B5354" t="str">
        <f t="shared" si="989"/>
        <v>78915000</v>
      </c>
      <c r="C5354" t="str">
        <f t="shared" si="990"/>
        <v>78915001</v>
      </c>
      <c r="D5354">
        <v>89301062</v>
      </c>
      <c r="E5354" t="str">
        <f>"530730066"</f>
        <v>530730066</v>
      </c>
      <c r="F5354" s="1">
        <v>45048</v>
      </c>
      <c r="G5354" t="str">
        <f>"89713"</f>
        <v>89713</v>
      </c>
      <c r="H5354">
        <v>1</v>
      </c>
      <c r="I5354">
        <v>5411</v>
      </c>
      <c r="J5354">
        <v>0</v>
      </c>
      <c r="K5354" t="str">
        <f t="shared" si="988"/>
        <v>809</v>
      </c>
      <c r="L5354">
        <v>3517.15</v>
      </c>
    </row>
    <row r="5355" spans="1:12" x14ac:dyDescent="0.25">
      <c r="A5355" t="str">
        <f t="shared" si="980"/>
        <v>89301000</v>
      </c>
      <c r="B5355" t="str">
        <f t="shared" si="989"/>
        <v>78915000</v>
      </c>
      <c r="C5355" t="str">
        <f t="shared" si="990"/>
        <v>78915001</v>
      </c>
      <c r="D5355">
        <v>89301062</v>
      </c>
      <c r="E5355" t="str">
        <f>"530730066"</f>
        <v>530730066</v>
      </c>
      <c r="F5355" s="1">
        <v>45048</v>
      </c>
      <c r="G5355" t="str">
        <f>"89725"</f>
        <v>89725</v>
      </c>
      <c r="H5355">
        <v>1</v>
      </c>
      <c r="I5355">
        <v>2863</v>
      </c>
      <c r="J5355">
        <v>0</v>
      </c>
      <c r="K5355" t="str">
        <f t="shared" si="988"/>
        <v>809</v>
      </c>
      <c r="L5355">
        <v>1860.95</v>
      </c>
    </row>
    <row r="5356" spans="1:12" x14ac:dyDescent="0.25">
      <c r="A5356" t="str">
        <f t="shared" si="980"/>
        <v>89301000</v>
      </c>
      <c r="B5356" t="str">
        <f t="shared" si="989"/>
        <v>78915000</v>
      </c>
      <c r="C5356" t="str">
        <f t="shared" si="990"/>
        <v>78915001</v>
      </c>
      <c r="D5356">
        <v>89301215</v>
      </c>
      <c r="E5356" t="str">
        <f>"5462163025"</f>
        <v>5462163025</v>
      </c>
      <c r="F5356" s="1">
        <v>45049</v>
      </c>
      <c r="G5356" t="str">
        <f>"89715"</f>
        <v>89715</v>
      </c>
      <c r="H5356">
        <v>1</v>
      </c>
      <c r="I5356">
        <v>5523</v>
      </c>
      <c r="J5356">
        <v>0</v>
      </c>
      <c r="K5356" t="str">
        <f t="shared" si="988"/>
        <v>809</v>
      </c>
      <c r="L5356">
        <v>3589.95</v>
      </c>
    </row>
    <row r="5357" spans="1:12" x14ac:dyDescent="0.25">
      <c r="A5357" t="str">
        <f t="shared" si="980"/>
        <v>89301000</v>
      </c>
      <c r="B5357" t="str">
        <f t="shared" si="989"/>
        <v>78915000</v>
      </c>
      <c r="C5357" t="str">
        <f t="shared" si="990"/>
        <v>78915001</v>
      </c>
      <c r="D5357">
        <v>89301215</v>
      </c>
      <c r="E5357" t="str">
        <f>"5462163025"</f>
        <v>5462163025</v>
      </c>
      <c r="F5357" s="1">
        <v>45049</v>
      </c>
      <c r="G5357" t="str">
        <f>"89725"</f>
        <v>89725</v>
      </c>
      <c r="H5357">
        <v>1</v>
      </c>
      <c r="I5357">
        <v>2863</v>
      </c>
      <c r="J5357">
        <v>0</v>
      </c>
      <c r="K5357" t="str">
        <f t="shared" si="988"/>
        <v>809</v>
      </c>
      <c r="L5357">
        <v>1860.95</v>
      </c>
    </row>
    <row r="5358" spans="1:12" x14ac:dyDescent="0.25">
      <c r="A5358" t="str">
        <f t="shared" si="980"/>
        <v>89301000</v>
      </c>
      <c r="B5358" t="str">
        <f t="shared" si="989"/>
        <v>78915000</v>
      </c>
      <c r="C5358" t="str">
        <f t="shared" si="990"/>
        <v>78915001</v>
      </c>
      <c r="D5358">
        <v>89301215</v>
      </c>
      <c r="E5358" t="str">
        <f>"5462163025"</f>
        <v>5462163025</v>
      </c>
      <c r="F5358" s="1">
        <v>45049</v>
      </c>
      <c r="G5358" t="str">
        <f>"0207733"</f>
        <v>0207733</v>
      </c>
      <c r="H5358">
        <v>1</v>
      </c>
      <c r="J5358">
        <v>2590.5300000000002</v>
      </c>
      <c r="K5358" t="str">
        <f t="shared" si="988"/>
        <v>809</v>
      </c>
      <c r="L5358">
        <v>2590.5300000000002</v>
      </c>
    </row>
    <row r="5359" spans="1:12" x14ac:dyDescent="0.25">
      <c r="A5359" t="str">
        <f t="shared" si="980"/>
        <v>89301000</v>
      </c>
      <c r="B5359" t="str">
        <f t="shared" si="989"/>
        <v>78915000</v>
      </c>
      <c r="C5359" t="str">
        <f t="shared" si="990"/>
        <v>78915001</v>
      </c>
      <c r="D5359">
        <v>89301062</v>
      </c>
      <c r="E5359" t="str">
        <f>"5555051601"</f>
        <v>5555051601</v>
      </c>
      <c r="F5359" s="1">
        <v>45076</v>
      </c>
      <c r="G5359" t="str">
        <f>"89713"</f>
        <v>89713</v>
      </c>
      <c r="H5359">
        <v>1</v>
      </c>
      <c r="I5359">
        <v>5411</v>
      </c>
      <c r="J5359">
        <v>0</v>
      </c>
      <c r="K5359" t="str">
        <f t="shared" si="988"/>
        <v>809</v>
      </c>
      <c r="L5359">
        <v>3517.15</v>
      </c>
    </row>
    <row r="5360" spans="1:12" x14ac:dyDescent="0.25">
      <c r="A5360" t="str">
        <f t="shared" si="980"/>
        <v>89301000</v>
      </c>
      <c r="B5360" t="str">
        <f t="shared" si="989"/>
        <v>78915000</v>
      </c>
      <c r="C5360" t="str">
        <f t="shared" si="990"/>
        <v>78915001</v>
      </c>
      <c r="D5360">
        <v>89301062</v>
      </c>
      <c r="E5360" t="str">
        <f>"5555051601"</f>
        <v>5555051601</v>
      </c>
      <c r="F5360" s="1">
        <v>45076</v>
      </c>
      <c r="G5360" t="str">
        <f>"89725"</f>
        <v>89725</v>
      </c>
      <c r="H5360">
        <v>1</v>
      </c>
      <c r="I5360">
        <v>2863</v>
      </c>
      <c r="J5360">
        <v>0</v>
      </c>
      <c r="K5360" t="str">
        <f t="shared" si="988"/>
        <v>809</v>
      </c>
      <c r="L5360">
        <v>1860.95</v>
      </c>
    </row>
    <row r="5361" spans="1:12" x14ac:dyDescent="0.25">
      <c r="A5361" t="str">
        <f t="shared" si="980"/>
        <v>89301000</v>
      </c>
      <c r="B5361" t="str">
        <f t="shared" si="989"/>
        <v>78915000</v>
      </c>
      <c r="C5361" t="str">
        <f t="shared" si="990"/>
        <v>78915001</v>
      </c>
      <c r="D5361">
        <v>89301172</v>
      </c>
      <c r="E5361" t="str">
        <f>"6054232162"</f>
        <v>6054232162</v>
      </c>
      <c r="F5361" s="1">
        <v>45070</v>
      </c>
      <c r="G5361" t="str">
        <f>"89713"</f>
        <v>89713</v>
      </c>
      <c r="H5361">
        <v>2</v>
      </c>
      <c r="I5361">
        <v>10822</v>
      </c>
      <c r="J5361">
        <v>0</v>
      </c>
      <c r="K5361" t="str">
        <f t="shared" si="988"/>
        <v>809</v>
      </c>
      <c r="L5361">
        <v>7034.3</v>
      </c>
    </row>
    <row r="5362" spans="1:12" x14ac:dyDescent="0.25">
      <c r="A5362" t="str">
        <f t="shared" si="980"/>
        <v>89301000</v>
      </c>
      <c r="B5362" t="str">
        <f t="shared" si="989"/>
        <v>78915000</v>
      </c>
      <c r="C5362" t="str">
        <f t="shared" si="990"/>
        <v>78915001</v>
      </c>
      <c r="D5362">
        <v>89301172</v>
      </c>
      <c r="E5362" t="str">
        <f>"6054232162"</f>
        <v>6054232162</v>
      </c>
      <c r="F5362" s="1">
        <v>45070</v>
      </c>
      <c r="G5362" t="str">
        <f>"89725"</f>
        <v>89725</v>
      </c>
      <c r="H5362">
        <v>1</v>
      </c>
      <c r="I5362">
        <v>2863</v>
      </c>
      <c r="J5362">
        <v>0</v>
      </c>
      <c r="K5362" t="str">
        <f t="shared" si="988"/>
        <v>809</v>
      </c>
      <c r="L5362">
        <v>1860.95</v>
      </c>
    </row>
    <row r="5363" spans="1:12" x14ac:dyDescent="0.25">
      <c r="A5363" t="str">
        <f t="shared" si="980"/>
        <v>89301000</v>
      </c>
      <c r="B5363" t="str">
        <f t="shared" si="989"/>
        <v>78915000</v>
      </c>
      <c r="C5363" t="str">
        <f t="shared" si="990"/>
        <v>78915001</v>
      </c>
      <c r="D5363">
        <v>89301606</v>
      </c>
      <c r="E5363" t="str">
        <f>"6405170068"</f>
        <v>6405170068</v>
      </c>
      <c r="F5363" s="1">
        <v>45064</v>
      </c>
      <c r="G5363" t="str">
        <f>"89713"</f>
        <v>89713</v>
      </c>
      <c r="H5363">
        <v>1</v>
      </c>
      <c r="I5363">
        <v>5411</v>
      </c>
      <c r="J5363">
        <v>0</v>
      </c>
      <c r="K5363" t="str">
        <f t="shared" si="988"/>
        <v>809</v>
      </c>
      <c r="L5363">
        <v>3517.15</v>
      </c>
    </row>
    <row r="5364" spans="1:12" x14ac:dyDescent="0.25">
      <c r="A5364" t="str">
        <f t="shared" si="980"/>
        <v>89301000</v>
      </c>
      <c r="B5364" t="str">
        <f t="shared" si="989"/>
        <v>78915000</v>
      </c>
      <c r="C5364" t="str">
        <f t="shared" si="990"/>
        <v>78915001</v>
      </c>
      <c r="D5364">
        <v>89301606</v>
      </c>
      <c r="E5364" t="str">
        <f>"6405170068"</f>
        <v>6405170068</v>
      </c>
      <c r="F5364" s="1">
        <v>45064</v>
      </c>
      <c r="G5364" t="str">
        <f>"89723"</f>
        <v>89723</v>
      </c>
      <c r="H5364">
        <v>1</v>
      </c>
      <c r="I5364">
        <v>5940</v>
      </c>
      <c r="J5364">
        <v>0</v>
      </c>
      <c r="K5364" t="str">
        <f t="shared" si="988"/>
        <v>809</v>
      </c>
      <c r="L5364">
        <v>3861</v>
      </c>
    </row>
    <row r="5365" spans="1:12" x14ac:dyDescent="0.25">
      <c r="A5365" t="str">
        <f t="shared" si="980"/>
        <v>89301000</v>
      </c>
      <c r="B5365" t="str">
        <f t="shared" si="989"/>
        <v>78915000</v>
      </c>
      <c r="C5365" t="str">
        <f t="shared" si="990"/>
        <v>78915001</v>
      </c>
      <c r="D5365">
        <v>89301606</v>
      </c>
      <c r="E5365" t="str">
        <f>"6405170068"</f>
        <v>6405170068</v>
      </c>
      <c r="F5365" s="1">
        <v>45064</v>
      </c>
      <c r="G5365" t="str">
        <f>"89725"</f>
        <v>89725</v>
      </c>
      <c r="H5365">
        <v>1</v>
      </c>
      <c r="I5365">
        <v>2863</v>
      </c>
      <c r="J5365">
        <v>0</v>
      </c>
      <c r="K5365" t="str">
        <f t="shared" si="988"/>
        <v>809</v>
      </c>
      <c r="L5365">
        <v>1860.95</v>
      </c>
    </row>
    <row r="5366" spans="1:12" x14ac:dyDescent="0.25">
      <c r="A5366" t="str">
        <f t="shared" si="980"/>
        <v>89301000</v>
      </c>
      <c r="B5366" t="str">
        <f t="shared" si="989"/>
        <v>78915000</v>
      </c>
      <c r="C5366" t="str">
        <f t="shared" si="990"/>
        <v>78915001</v>
      </c>
      <c r="D5366">
        <v>89301606</v>
      </c>
      <c r="E5366" t="str">
        <f>"6508171417"</f>
        <v>6508171417</v>
      </c>
      <c r="F5366" s="1">
        <v>45052</v>
      </c>
      <c r="G5366" t="str">
        <f>"89713"</f>
        <v>89713</v>
      </c>
      <c r="H5366">
        <v>1</v>
      </c>
      <c r="I5366">
        <v>5411</v>
      </c>
      <c r="J5366">
        <v>0</v>
      </c>
      <c r="K5366" t="str">
        <f t="shared" si="988"/>
        <v>809</v>
      </c>
      <c r="L5366">
        <v>3517.15</v>
      </c>
    </row>
    <row r="5367" spans="1:12" x14ac:dyDescent="0.25">
      <c r="A5367" t="str">
        <f t="shared" si="980"/>
        <v>89301000</v>
      </c>
      <c r="B5367" t="str">
        <f t="shared" si="989"/>
        <v>78915000</v>
      </c>
      <c r="C5367" t="str">
        <f t="shared" si="990"/>
        <v>78915001</v>
      </c>
      <c r="D5367">
        <v>89301606</v>
      </c>
      <c r="E5367" t="str">
        <f>"6508171417"</f>
        <v>6508171417</v>
      </c>
      <c r="F5367" s="1">
        <v>45052</v>
      </c>
      <c r="G5367" t="str">
        <f>"89725"</f>
        <v>89725</v>
      </c>
      <c r="H5367">
        <v>1</v>
      </c>
      <c r="I5367">
        <v>2863</v>
      </c>
      <c r="J5367">
        <v>0</v>
      </c>
      <c r="K5367" t="str">
        <f t="shared" si="988"/>
        <v>809</v>
      </c>
      <c r="L5367">
        <v>1860.95</v>
      </c>
    </row>
    <row r="5368" spans="1:12" x14ac:dyDescent="0.25">
      <c r="A5368" t="str">
        <f t="shared" si="980"/>
        <v>89301000</v>
      </c>
      <c r="B5368" t="str">
        <f t="shared" si="989"/>
        <v>78915000</v>
      </c>
      <c r="C5368" t="str">
        <f t="shared" si="990"/>
        <v>78915001</v>
      </c>
      <c r="D5368">
        <v>89301212</v>
      </c>
      <c r="E5368" t="str">
        <f>"6759230071"</f>
        <v>6759230071</v>
      </c>
      <c r="F5368" s="1">
        <v>45056</v>
      </c>
      <c r="G5368" t="str">
        <f>"89715"</f>
        <v>89715</v>
      </c>
      <c r="H5368">
        <v>1</v>
      </c>
      <c r="I5368">
        <v>5523</v>
      </c>
      <c r="J5368">
        <v>0</v>
      </c>
      <c r="K5368" t="str">
        <f t="shared" si="988"/>
        <v>809</v>
      </c>
      <c r="L5368">
        <v>3589.95</v>
      </c>
    </row>
    <row r="5369" spans="1:12" x14ac:dyDescent="0.25">
      <c r="A5369" t="str">
        <f t="shared" si="980"/>
        <v>89301000</v>
      </c>
      <c r="B5369" t="str">
        <f t="shared" si="989"/>
        <v>78915000</v>
      </c>
      <c r="C5369" t="str">
        <f t="shared" si="990"/>
        <v>78915001</v>
      </c>
      <c r="D5369">
        <v>89301212</v>
      </c>
      <c r="E5369" t="str">
        <f>"6759230071"</f>
        <v>6759230071</v>
      </c>
      <c r="F5369" s="1">
        <v>45056</v>
      </c>
      <c r="G5369" t="str">
        <f>"89725"</f>
        <v>89725</v>
      </c>
      <c r="H5369">
        <v>1</v>
      </c>
      <c r="I5369">
        <v>2863</v>
      </c>
      <c r="J5369">
        <v>0</v>
      </c>
      <c r="K5369" t="str">
        <f t="shared" si="988"/>
        <v>809</v>
      </c>
      <c r="L5369">
        <v>1860.95</v>
      </c>
    </row>
    <row r="5370" spans="1:12" x14ac:dyDescent="0.25">
      <c r="A5370" t="str">
        <f t="shared" si="980"/>
        <v>89301000</v>
      </c>
      <c r="B5370" t="str">
        <f t="shared" si="989"/>
        <v>78915000</v>
      </c>
      <c r="C5370" t="str">
        <f t="shared" si="990"/>
        <v>78915001</v>
      </c>
      <c r="D5370">
        <v>89301212</v>
      </c>
      <c r="E5370" t="str">
        <f>"6759230071"</f>
        <v>6759230071</v>
      </c>
      <c r="F5370" s="1">
        <v>45056</v>
      </c>
      <c r="G5370" t="str">
        <f>"0207733"</f>
        <v>0207733</v>
      </c>
      <c r="H5370">
        <v>1</v>
      </c>
      <c r="J5370">
        <v>2590.5300000000002</v>
      </c>
      <c r="K5370" t="str">
        <f t="shared" si="988"/>
        <v>809</v>
      </c>
      <c r="L5370">
        <v>2590.5300000000002</v>
      </c>
    </row>
    <row r="5371" spans="1:12" x14ac:dyDescent="0.25">
      <c r="A5371" t="str">
        <f t="shared" si="980"/>
        <v>89301000</v>
      </c>
      <c r="B5371" t="str">
        <f t="shared" si="989"/>
        <v>78915000</v>
      </c>
      <c r="C5371" t="str">
        <f t="shared" si="990"/>
        <v>78915001</v>
      </c>
      <c r="D5371">
        <v>89301062</v>
      </c>
      <c r="E5371" t="str">
        <f>"6954085336"</f>
        <v>6954085336</v>
      </c>
      <c r="F5371" s="1">
        <v>45073</v>
      </c>
      <c r="G5371" t="str">
        <f>"89713"</f>
        <v>89713</v>
      </c>
      <c r="H5371">
        <v>1</v>
      </c>
      <c r="I5371">
        <v>5411</v>
      </c>
      <c r="J5371">
        <v>0</v>
      </c>
      <c r="K5371" t="str">
        <f t="shared" si="988"/>
        <v>809</v>
      </c>
      <c r="L5371">
        <v>3517.15</v>
      </c>
    </row>
    <row r="5372" spans="1:12" x14ac:dyDescent="0.25">
      <c r="A5372" t="str">
        <f t="shared" si="980"/>
        <v>89301000</v>
      </c>
      <c r="B5372" t="str">
        <f t="shared" si="989"/>
        <v>78915000</v>
      </c>
      <c r="C5372" t="str">
        <f t="shared" si="990"/>
        <v>78915001</v>
      </c>
      <c r="D5372">
        <v>89301062</v>
      </c>
      <c r="E5372" t="str">
        <f>"6954085336"</f>
        <v>6954085336</v>
      </c>
      <c r="F5372" s="1">
        <v>45073</v>
      </c>
      <c r="G5372" t="str">
        <f>"89725"</f>
        <v>89725</v>
      </c>
      <c r="H5372">
        <v>1</v>
      </c>
      <c r="I5372">
        <v>2863</v>
      </c>
      <c r="J5372">
        <v>0</v>
      </c>
      <c r="K5372" t="str">
        <f t="shared" si="988"/>
        <v>809</v>
      </c>
      <c r="L5372">
        <v>1860.95</v>
      </c>
    </row>
    <row r="5373" spans="1:12" x14ac:dyDescent="0.25">
      <c r="A5373" t="str">
        <f t="shared" si="980"/>
        <v>89301000</v>
      </c>
      <c r="B5373" t="str">
        <f t="shared" si="989"/>
        <v>78915000</v>
      </c>
      <c r="C5373" t="str">
        <f t="shared" si="990"/>
        <v>78915001</v>
      </c>
      <c r="D5373">
        <v>89301172</v>
      </c>
      <c r="E5373" t="str">
        <f>"7053305094"</f>
        <v>7053305094</v>
      </c>
      <c r="F5373" s="1">
        <v>45072</v>
      </c>
      <c r="G5373" t="str">
        <f>"89713"</f>
        <v>89713</v>
      </c>
      <c r="H5373">
        <v>1</v>
      </c>
      <c r="I5373">
        <v>5411</v>
      </c>
      <c r="J5373">
        <v>0</v>
      </c>
      <c r="K5373" t="str">
        <f t="shared" si="988"/>
        <v>809</v>
      </c>
      <c r="L5373">
        <v>3517.15</v>
      </c>
    </row>
    <row r="5374" spans="1:12" x14ac:dyDescent="0.25">
      <c r="A5374" t="str">
        <f t="shared" si="980"/>
        <v>89301000</v>
      </c>
      <c r="B5374" t="str">
        <f t="shared" si="989"/>
        <v>78915000</v>
      </c>
      <c r="C5374" t="str">
        <f t="shared" si="990"/>
        <v>78915001</v>
      </c>
      <c r="D5374">
        <v>89301172</v>
      </c>
      <c r="E5374" t="str">
        <f>"7053305094"</f>
        <v>7053305094</v>
      </c>
      <c r="F5374" s="1">
        <v>45072</v>
      </c>
      <c r="G5374" t="str">
        <f>"89725"</f>
        <v>89725</v>
      </c>
      <c r="H5374">
        <v>1</v>
      </c>
      <c r="I5374">
        <v>2863</v>
      </c>
      <c r="J5374">
        <v>0</v>
      </c>
      <c r="K5374" t="str">
        <f t="shared" si="988"/>
        <v>809</v>
      </c>
      <c r="L5374">
        <v>1860.95</v>
      </c>
    </row>
    <row r="5375" spans="1:12" x14ac:dyDescent="0.25">
      <c r="A5375" t="str">
        <f t="shared" si="980"/>
        <v>89301000</v>
      </c>
      <c r="B5375" t="str">
        <f t="shared" si="989"/>
        <v>78915000</v>
      </c>
      <c r="C5375" t="str">
        <f t="shared" si="990"/>
        <v>78915001</v>
      </c>
      <c r="D5375">
        <v>89301039</v>
      </c>
      <c r="E5375" t="str">
        <f>"7351305302"</f>
        <v>7351305302</v>
      </c>
      <c r="F5375" s="1">
        <v>45064</v>
      </c>
      <c r="G5375" t="str">
        <f>"89713"</f>
        <v>89713</v>
      </c>
      <c r="H5375">
        <v>1</v>
      </c>
      <c r="I5375">
        <v>5411</v>
      </c>
      <c r="J5375">
        <v>0</v>
      </c>
      <c r="K5375" t="str">
        <f t="shared" si="988"/>
        <v>809</v>
      </c>
      <c r="L5375">
        <v>3517.15</v>
      </c>
    </row>
    <row r="5376" spans="1:12" x14ac:dyDescent="0.25">
      <c r="A5376" t="str">
        <f t="shared" si="980"/>
        <v>89301000</v>
      </c>
      <c r="B5376" t="str">
        <f t="shared" si="989"/>
        <v>78915000</v>
      </c>
      <c r="C5376" t="str">
        <f t="shared" si="990"/>
        <v>78915001</v>
      </c>
      <c r="D5376">
        <v>89301039</v>
      </c>
      <c r="E5376" t="str">
        <f>"7351305302"</f>
        <v>7351305302</v>
      </c>
      <c r="F5376" s="1">
        <v>45064</v>
      </c>
      <c r="G5376" t="str">
        <f>"89725"</f>
        <v>89725</v>
      </c>
      <c r="H5376">
        <v>1</v>
      </c>
      <c r="I5376">
        <v>2863</v>
      </c>
      <c r="J5376">
        <v>0</v>
      </c>
      <c r="K5376" t="str">
        <f t="shared" si="988"/>
        <v>809</v>
      </c>
      <c r="L5376">
        <v>1860.95</v>
      </c>
    </row>
    <row r="5377" spans="1:12" x14ac:dyDescent="0.25">
      <c r="A5377" t="str">
        <f t="shared" si="980"/>
        <v>89301000</v>
      </c>
      <c r="B5377" t="str">
        <f t="shared" si="989"/>
        <v>78915000</v>
      </c>
      <c r="C5377" t="str">
        <f t="shared" si="990"/>
        <v>78915001</v>
      </c>
      <c r="D5377">
        <v>89301039</v>
      </c>
      <c r="E5377" t="str">
        <f>"7351305302"</f>
        <v>7351305302</v>
      </c>
      <c r="F5377" s="1">
        <v>45064</v>
      </c>
      <c r="G5377" t="str">
        <f>"0207733"</f>
        <v>0207733</v>
      </c>
      <c r="H5377">
        <v>1</v>
      </c>
      <c r="J5377">
        <v>2590.5300000000002</v>
      </c>
      <c r="K5377" t="str">
        <f t="shared" si="988"/>
        <v>809</v>
      </c>
      <c r="L5377">
        <v>2590.5300000000002</v>
      </c>
    </row>
    <row r="5378" spans="1:12" x14ac:dyDescent="0.25">
      <c r="A5378" t="str">
        <f t="shared" ref="A5378:A5441" si="991">"89301000"</f>
        <v>89301000</v>
      </c>
      <c r="B5378" t="str">
        <f t="shared" si="989"/>
        <v>78915000</v>
      </c>
      <c r="C5378" t="str">
        <f t="shared" si="990"/>
        <v>78915001</v>
      </c>
      <c r="D5378">
        <v>89301112</v>
      </c>
      <c r="E5378" t="str">
        <f>"7758224463"</f>
        <v>7758224463</v>
      </c>
      <c r="F5378" s="1">
        <v>45057</v>
      </c>
      <c r="G5378" t="str">
        <f>"09569"</f>
        <v>09569</v>
      </c>
      <c r="H5378">
        <v>1</v>
      </c>
      <c r="I5378">
        <v>0</v>
      </c>
      <c r="J5378">
        <v>0</v>
      </c>
      <c r="K5378" t="str">
        <f t="shared" si="988"/>
        <v>809</v>
      </c>
      <c r="L5378">
        <v>0</v>
      </c>
    </row>
    <row r="5379" spans="1:12" x14ac:dyDescent="0.25">
      <c r="A5379" t="str">
        <f t="shared" si="991"/>
        <v>89301000</v>
      </c>
      <c r="B5379" t="str">
        <f t="shared" si="989"/>
        <v>78915000</v>
      </c>
      <c r="C5379" t="str">
        <f t="shared" si="990"/>
        <v>78915001</v>
      </c>
      <c r="D5379">
        <v>89301112</v>
      </c>
      <c r="E5379" t="str">
        <f>"7758224463"</f>
        <v>7758224463</v>
      </c>
      <c r="F5379" s="1">
        <v>45057</v>
      </c>
      <c r="G5379" t="str">
        <f>"89713"</f>
        <v>89713</v>
      </c>
      <c r="H5379">
        <v>1</v>
      </c>
      <c r="I5379">
        <v>5411</v>
      </c>
      <c r="J5379">
        <v>0</v>
      </c>
      <c r="K5379" t="str">
        <f t="shared" si="988"/>
        <v>809</v>
      </c>
      <c r="L5379">
        <v>3517.15</v>
      </c>
    </row>
    <row r="5380" spans="1:12" x14ac:dyDescent="0.25">
      <c r="A5380" t="str">
        <f t="shared" si="991"/>
        <v>89301000</v>
      </c>
      <c r="B5380" t="str">
        <f t="shared" si="989"/>
        <v>78915000</v>
      </c>
      <c r="C5380" t="str">
        <f t="shared" si="990"/>
        <v>78915001</v>
      </c>
      <c r="D5380">
        <v>89301172</v>
      </c>
      <c r="E5380" t="str">
        <f>"7760055325"</f>
        <v>7760055325</v>
      </c>
      <c r="F5380" s="1">
        <v>45061</v>
      </c>
      <c r="G5380" t="str">
        <f>"89713"</f>
        <v>89713</v>
      </c>
      <c r="H5380">
        <v>1</v>
      </c>
      <c r="I5380">
        <v>5411</v>
      </c>
      <c r="J5380">
        <v>0</v>
      </c>
      <c r="K5380" t="str">
        <f t="shared" si="988"/>
        <v>809</v>
      </c>
      <c r="L5380">
        <v>3517.15</v>
      </c>
    </row>
    <row r="5381" spans="1:12" x14ac:dyDescent="0.25">
      <c r="A5381" t="str">
        <f t="shared" si="991"/>
        <v>89301000</v>
      </c>
      <c r="B5381" t="str">
        <f t="shared" si="989"/>
        <v>78915000</v>
      </c>
      <c r="C5381" t="str">
        <f t="shared" si="990"/>
        <v>78915001</v>
      </c>
      <c r="D5381">
        <v>89301172</v>
      </c>
      <c r="E5381" t="str">
        <f>"7760055325"</f>
        <v>7760055325</v>
      </c>
      <c r="F5381" s="1">
        <v>45061</v>
      </c>
      <c r="G5381" t="str">
        <f>"89725"</f>
        <v>89725</v>
      </c>
      <c r="H5381">
        <v>1</v>
      </c>
      <c r="I5381">
        <v>2863</v>
      </c>
      <c r="J5381">
        <v>0</v>
      </c>
      <c r="K5381" t="str">
        <f t="shared" ref="K5381:K5412" si="992">"809"</f>
        <v>809</v>
      </c>
      <c r="L5381">
        <v>1860.95</v>
      </c>
    </row>
    <row r="5382" spans="1:12" x14ac:dyDescent="0.25">
      <c r="A5382" t="str">
        <f t="shared" si="991"/>
        <v>89301000</v>
      </c>
      <c r="B5382" t="str">
        <f t="shared" si="989"/>
        <v>78915000</v>
      </c>
      <c r="C5382" t="str">
        <f t="shared" si="990"/>
        <v>78915001</v>
      </c>
      <c r="D5382">
        <v>89301215</v>
      </c>
      <c r="E5382" t="str">
        <f>"7856075381"</f>
        <v>7856075381</v>
      </c>
      <c r="F5382" s="1">
        <v>45056</v>
      </c>
      <c r="G5382" t="str">
        <f>"89715"</f>
        <v>89715</v>
      </c>
      <c r="H5382">
        <v>1</v>
      </c>
      <c r="I5382">
        <v>5523</v>
      </c>
      <c r="J5382">
        <v>0</v>
      </c>
      <c r="K5382" t="str">
        <f t="shared" si="992"/>
        <v>809</v>
      </c>
      <c r="L5382">
        <v>3589.95</v>
      </c>
    </row>
    <row r="5383" spans="1:12" x14ac:dyDescent="0.25">
      <c r="A5383" t="str">
        <f t="shared" si="991"/>
        <v>89301000</v>
      </c>
      <c r="B5383" t="str">
        <f t="shared" ref="B5383:B5409" si="993">"78915000"</f>
        <v>78915000</v>
      </c>
      <c r="C5383" t="str">
        <f t="shared" ref="C5383:C5409" si="994">"78915001"</f>
        <v>78915001</v>
      </c>
      <c r="D5383">
        <v>89301215</v>
      </c>
      <c r="E5383" t="str">
        <f>"7856075381"</f>
        <v>7856075381</v>
      </c>
      <c r="F5383" s="1">
        <v>45056</v>
      </c>
      <c r="G5383" t="str">
        <f>"89725"</f>
        <v>89725</v>
      </c>
      <c r="H5383">
        <v>1</v>
      </c>
      <c r="I5383">
        <v>2863</v>
      </c>
      <c r="J5383">
        <v>0</v>
      </c>
      <c r="K5383" t="str">
        <f t="shared" si="992"/>
        <v>809</v>
      </c>
      <c r="L5383">
        <v>1860.95</v>
      </c>
    </row>
    <row r="5384" spans="1:12" x14ac:dyDescent="0.25">
      <c r="A5384" t="str">
        <f t="shared" si="991"/>
        <v>89301000</v>
      </c>
      <c r="B5384" t="str">
        <f t="shared" si="993"/>
        <v>78915000</v>
      </c>
      <c r="C5384" t="str">
        <f t="shared" si="994"/>
        <v>78915001</v>
      </c>
      <c r="D5384">
        <v>89301215</v>
      </c>
      <c r="E5384" t="str">
        <f>"7856075381"</f>
        <v>7856075381</v>
      </c>
      <c r="F5384" s="1">
        <v>45056</v>
      </c>
      <c r="G5384" t="str">
        <f>"0207733"</f>
        <v>0207733</v>
      </c>
      <c r="H5384">
        <v>1</v>
      </c>
      <c r="J5384">
        <v>2590.5300000000002</v>
      </c>
      <c r="K5384" t="str">
        <f t="shared" si="992"/>
        <v>809</v>
      </c>
      <c r="L5384">
        <v>2590.5300000000002</v>
      </c>
    </row>
    <row r="5385" spans="1:12" x14ac:dyDescent="0.25">
      <c r="A5385" t="str">
        <f t="shared" si="991"/>
        <v>89301000</v>
      </c>
      <c r="B5385" t="str">
        <f t="shared" si="993"/>
        <v>78915000</v>
      </c>
      <c r="C5385" t="str">
        <f t="shared" si="994"/>
        <v>78915001</v>
      </c>
      <c r="D5385">
        <v>89301062</v>
      </c>
      <c r="E5385" t="str">
        <f>"7862234864"</f>
        <v>7862234864</v>
      </c>
      <c r="F5385" s="1">
        <v>45076</v>
      </c>
      <c r="G5385" t="str">
        <f>"89713"</f>
        <v>89713</v>
      </c>
      <c r="H5385">
        <v>1</v>
      </c>
      <c r="I5385">
        <v>5411</v>
      </c>
      <c r="J5385">
        <v>0</v>
      </c>
      <c r="K5385" t="str">
        <f t="shared" si="992"/>
        <v>809</v>
      </c>
      <c r="L5385">
        <v>3517.15</v>
      </c>
    </row>
    <row r="5386" spans="1:12" x14ac:dyDescent="0.25">
      <c r="A5386" t="str">
        <f t="shared" si="991"/>
        <v>89301000</v>
      </c>
      <c r="B5386" t="str">
        <f t="shared" si="993"/>
        <v>78915000</v>
      </c>
      <c r="C5386" t="str">
        <f t="shared" si="994"/>
        <v>78915001</v>
      </c>
      <c r="D5386">
        <v>89301062</v>
      </c>
      <c r="E5386" t="str">
        <f>"7862234864"</f>
        <v>7862234864</v>
      </c>
      <c r="F5386" s="1">
        <v>45076</v>
      </c>
      <c r="G5386" t="str">
        <f>"89725"</f>
        <v>89725</v>
      </c>
      <c r="H5386">
        <v>1</v>
      </c>
      <c r="I5386">
        <v>2863</v>
      </c>
      <c r="J5386">
        <v>0</v>
      </c>
      <c r="K5386" t="str">
        <f t="shared" si="992"/>
        <v>809</v>
      </c>
      <c r="L5386">
        <v>1860.95</v>
      </c>
    </row>
    <row r="5387" spans="1:12" x14ac:dyDescent="0.25">
      <c r="A5387" t="str">
        <f t="shared" si="991"/>
        <v>89301000</v>
      </c>
      <c r="B5387" t="str">
        <f t="shared" si="993"/>
        <v>78915000</v>
      </c>
      <c r="C5387" t="str">
        <f t="shared" si="994"/>
        <v>78915001</v>
      </c>
      <c r="D5387">
        <v>89301112</v>
      </c>
      <c r="E5387" t="str">
        <f>"8156105331"</f>
        <v>8156105331</v>
      </c>
      <c r="F5387" s="1">
        <v>45050</v>
      </c>
      <c r="G5387" t="str">
        <f>"09567"</f>
        <v>09567</v>
      </c>
      <c r="H5387">
        <v>1</v>
      </c>
      <c r="I5387">
        <v>0</v>
      </c>
      <c r="J5387">
        <v>0</v>
      </c>
      <c r="K5387" t="str">
        <f t="shared" si="992"/>
        <v>809</v>
      </c>
      <c r="L5387">
        <v>0</v>
      </c>
    </row>
    <row r="5388" spans="1:12" x14ac:dyDescent="0.25">
      <c r="A5388" t="str">
        <f t="shared" si="991"/>
        <v>89301000</v>
      </c>
      <c r="B5388" t="str">
        <f t="shared" si="993"/>
        <v>78915000</v>
      </c>
      <c r="C5388" t="str">
        <f t="shared" si="994"/>
        <v>78915001</v>
      </c>
      <c r="D5388">
        <v>89301112</v>
      </c>
      <c r="E5388" t="str">
        <f>"8156105331"</f>
        <v>8156105331</v>
      </c>
      <c r="F5388" s="1">
        <v>45050</v>
      </c>
      <c r="G5388" t="str">
        <f>"89713"</f>
        <v>89713</v>
      </c>
      <c r="H5388">
        <v>1</v>
      </c>
      <c r="I5388">
        <v>5411</v>
      </c>
      <c r="J5388">
        <v>0</v>
      </c>
      <c r="K5388" t="str">
        <f t="shared" si="992"/>
        <v>809</v>
      </c>
      <c r="L5388">
        <v>3517.15</v>
      </c>
    </row>
    <row r="5389" spans="1:12" x14ac:dyDescent="0.25">
      <c r="A5389" t="str">
        <f t="shared" si="991"/>
        <v>89301000</v>
      </c>
      <c r="B5389" t="str">
        <f t="shared" si="993"/>
        <v>78915000</v>
      </c>
      <c r="C5389" t="str">
        <f t="shared" si="994"/>
        <v>78915001</v>
      </c>
      <c r="D5389">
        <v>89301062</v>
      </c>
      <c r="E5389" t="str">
        <f>"8361084468"</f>
        <v>8361084468</v>
      </c>
      <c r="F5389" s="1">
        <v>45053</v>
      </c>
      <c r="G5389" t="str">
        <f>"89713"</f>
        <v>89713</v>
      </c>
      <c r="H5389">
        <v>1</v>
      </c>
      <c r="I5389">
        <v>5411</v>
      </c>
      <c r="J5389">
        <v>0</v>
      </c>
      <c r="K5389" t="str">
        <f t="shared" si="992"/>
        <v>809</v>
      </c>
      <c r="L5389">
        <v>3517.15</v>
      </c>
    </row>
    <row r="5390" spans="1:12" x14ac:dyDescent="0.25">
      <c r="A5390" t="str">
        <f t="shared" si="991"/>
        <v>89301000</v>
      </c>
      <c r="B5390" t="str">
        <f t="shared" si="993"/>
        <v>78915000</v>
      </c>
      <c r="C5390" t="str">
        <f t="shared" si="994"/>
        <v>78915001</v>
      </c>
      <c r="D5390">
        <v>89301062</v>
      </c>
      <c r="E5390" t="str">
        <f>"8361084468"</f>
        <v>8361084468</v>
      </c>
      <c r="F5390" s="1">
        <v>45053</v>
      </c>
      <c r="G5390" t="str">
        <f>"89725"</f>
        <v>89725</v>
      </c>
      <c r="H5390">
        <v>1</v>
      </c>
      <c r="I5390">
        <v>2863</v>
      </c>
      <c r="J5390">
        <v>0</v>
      </c>
      <c r="K5390" t="str">
        <f t="shared" si="992"/>
        <v>809</v>
      </c>
      <c r="L5390">
        <v>1860.95</v>
      </c>
    </row>
    <row r="5391" spans="1:12" x14ac:dyDescent="0.25">
      <c r="A5391" t="str">
        <f t="shared" si="991"/>
        <v>89301000</v>
      </c>
      <c r="B5391" t="str">
        <f t="shared" si="993"/>
        <v>78915000</v>
      </c>
      <c r="C5391" t="str">
        <f t="shared" si="994"/>
        <v>78915001</v>
      </c>
      <c r="D5391">
        <v>89301212</v>
      </c>
      <c r="E5391" t="str">
        <f>"8560095819"</f>
        <v>8560095819</v>
      </c>
      <c r="F5391" s="1">
        <v>45077</v>
      </c>
      <c r="G5391" t="str">
        <f>"89715"</f>
        <v>89715</v>
      </c>
      <c r="H5391">
        <v>1</v>
      </c>
      <c r="I5391">
        <v>5523</v>
      </c>
      <c r="J5391">
        <v>0</v>
      </c>
      <c r="K5391" t="str">
        <f t="shared" si="992"/>
        <v>809</v>
      </c>
      <c r="L5391">
        <v>3589.95</v>
      </c>
    </row>
    <row r="5392" spans="1:12" x14ac:dyDescent="0.25">
      <c r="A5392" t="str">
        <f t="shared" si="991"/>
        <v>89301000</v>
      </c>
      <c r="B5392" t="str">
        <f t="shared" si="993"/>
        <v>78915000</v>
      </c>
      <c r="C5392" t="str">
        <f t="shared" si="994"/>
        <v>78915001</v>
      </c>
      <c r="D5392">
        <v>89301212</v>
      </c>
      <c r="E5392" t="str">
        <f>"8560095819"</f>
        <v>8560095819</v>
      </c>
      <c r="F5392" s="1">
        <v>45077</v>
      </c>
      <c r="G5392" t="str">
        <f>"89725"</f>
        <v>89725</v>
      </c>
      <c r="H5392">
        <v>1</v>
      </c>
      <c r="I5392">
        <v>2863</v>
      </c>
      <c r="J5392">
        <v>0</v>
      </c>
      <c r="K5392" t="str">
        <f t="shared" si="992"/>
        <v>809</v>
      </c>
      <c r="L5392">
        <v>1860.95</v>
      </c>
    </row>
    <row r="5393" spans="1:12" x14ac:dyDescent="0.25">
      <c r="A5393" t="str">
        <f t="shared" si="991"/>
        <v>89301000</v>
      </c>
      <c r="B5393" t="str">
        <f t="shared" si="993"/>
        <v>78915000</v>
      </c>
      <c r="C5393" t="str">
        <f t="shared" si="994"/>
        <v>78915001</v>
      </c>
      <c r="D5393">
        <v>89301212</v>
      </c>
      <c r="E5393" t="str">
        <f>"8560095819"</f>
        <v>8560095819</v>
      </c>
      <c r="F5393" s="1">
        <v>45077</v>
      </c>
      <c r="G5393" t="str">
        <f>"0207733"</f>
        <v>0207733</v>
      </c>
      <c r="H5393">
        <v>1</v>
      </c>
      <c r="J5393">
        <v>2590.5300000000002</v>
      </c>
      <c r="K5393" t="str">
        <f t="shared" si="992"/>
        <v>809</v>
      </c>
      <c r="L5393">
        <v>2590.5300000000002</v>
      </c>
    </row>
    <row r="5394" spans="1:12" x14ac:dyDescent="0.25">
      <c r="A5394" t="str">
        <f t="shared" si="991"/>
        <v>89301000</v>
      </c>
      <c r="B5394" t="str">
        <f t="shared" si="993"/>
        <v>78915000</v>
      </c>
      <c r="C5394" t="str">
        <f t="shared" si="994"/>
        <v>78915001</v>
      </c>
      <c r="D5394">
        <v>89301062</v>
      </c>
      <c r="E5394" t="str">
        <f>"8651244910"</f>
        <v>8651244910</v>
      </c>
      <c r="F5394" s="1">
        <v>45054</v>
      </c>
      <c r="G5394" t="str">
        <f>"89713"</f>
        <v>89713</v>
      </c>
      <c r="H5394">
        <v>1</v>
      </c>
      <c r="I5394">
        <v>5411</v>
      </c>
      <c r="J5394">
        <v>0</v>
      </c>
      <c r="K5394" t="str">
        <f t="shared" si="992"/>
        <v>809</v>
      </c>
      <c r="L5394">
        <v>3517.15</v>
      </c>
    </row>
    <row r="5395" spans="1:12" x14ac:dyDescent="0.25">
      <c r="A5395" t="str">
        <f t="shared" si="991"/>
        <v>89301000</v>
      </c>
      <c r="B5395" t="str">
        <f t="shared" si="993"/>
        <v>78915000</v>
      </c>
      <c r="C5395" t="str">
        <f t="shared" si="994"/>
        <v>78915001</v>
      </c>
      <c r="D5395">
        <v>89301062</v>
      </c>
      <c r="E5395" t="str">
        <f>"8651244910"</f>
        <v>8651244910</v>
      </c>
      <c r="F5395" s="1">
        <v>45054</v>
      </c>
      <c r="G5395" t="str">
        <f>"89723"</f>
        <v>89723</v>
      </c>
      <c r="H5395">
        <v>1</v>
      </c>
      <c r="I5395">
        <v>5940</v>
      </c>
      <c r="J5395">
        <v>0</v>
      </c>
      <c r="K5395" t="str">
        <f t="shared" si="992"/>
        <v>809</v>
      </c>
      <c r="L5395">
        <v>3861</v>
      </c>
    </row>
    <row r="5396" spans="1:12" x14ac:dyDescent="0.25">
      <c r="A5396" t="str">
        <f t="shared" si="991"/>
        <v>89301000</v>
      </c>
      <c r="B5396" t="str">
        <f t="shared" si="993"/>
        <v>78915000</v>
      </c>
      <c r="C5396" t="str">
        <f t="shared" si="994"/>
        <v>78915001</v>
      </c>
      <c r="D5396">
        <v>89301062</v>
      </c>
      <c r="E5396" t="str">
        <f>"8651244910"</f>
        <v>8651244910</v>
      </c>
      <c r="F5396" s="1">
        <v>45054</v>
      </c>
      <c r="G5396" t="str">
        <f>"89725"</f>
        <v>89725</v>
      </c>
      <c r="H5396">
        <v>1</v>
      </c>
      <c r="I5396">
        <v>2863</v>
      </c>
      <c r="J5396">
        <v>0</v>
      </c>
      <c r="K5396" t="str">
        <f t="shared" si="992"/>
        <v>809</v>
      </c>
      <c r="L5396">
        <v>1860.95</v>
      </c>
    </row>
    <row r="5397" spans="1:12" x14ac:dyDescent="0.25">
      <c r="A5397" t="str">
        <f t="shared" si="991"/>
        <v>89301000</v>
      </c>
      <c r="B5397" t="str">
        <f t="shared" si="993"/>
        <v>78915000</v>
      </c>
      <c r="C5397" t="str">
        <f t="shared" si="994"/>
        <v>78915001</v>
      </c>
      <c r="D5397">
        <v>89301112</v>
      </c>
      <c r="E5397" t="str">
        <f>"9003055787"</f>
        <v>9003055787</v>
      </c>
      <c r="F5397" s="1">
        <v>45050</v>
      </c>
      <c r="G5397" t="str">
        <f>"09567"</f>
        <v>09567</v>
      </c>
      <c r="H5397">
        <v>1</v>
      </c>
      <c r="I5397">
        <v>0</v>
      </c>
      <c r="J5397">
        <v>0</v>
      </c>
      <c r="K5397" t="str">
        <f t="shared" si="992"/>
        <v>809</v>
      </c>
      <c r="L5397">
        <v>0</v>
      </c>
    </row>
    <row r="5398" spans="1:12" x14ac:dyDescent="0.25">
      <c r="A5398" t="str">
        <f t="shared" si="991"/>
        <v>89301000</v>
      </c>
      <c r="B5398" t="str">
        <f t="shared" si="993"/>
        <v>78915000</v>
      </c>
      <c r="C5398" t="str">
        <f t="shared" si="994"/>
        <v>78915001</v>
      </c>
      <c r="D5398">
        <v>89301112</v>
      </c>
      <c r="E5398" t="str">
        <f>"9003055787"</f>
        <v>9003055787</v>
      </c>
      <c r="F5398" s="1">
        <v>45050</v>
      </c>
      <c r="G5398" t="str">
        <f>"89713"</f>
        <v>89713</v>
      </c>
      <c r="H5398">
        <v>1</v>
      </c>
      <c r="I5398">
        <v>5411</v>
      </c>
      <c r="J5398">
        <v>0</v>
      </c>
      <c r="K5398" t="str">
        <f t="shared" si="992"/>
        <v>809</v>
      </c>
      <c r="L5398">
        <v>3517.15</v>
      </c>
    </row>
    <row r="5399" spans="1:12" x14ac:dyDescent="0.25">
      <c r="A5399" t="str">
        <f t="shared" si="991"/>
        <v>89301000</v>
      </c>
      <c r="B5399" t="str">
        <f t="shared" si="993"/>
        <v>78915000</v>
      </c>
      <c r="C5399" t="str">
        <f t="shared" si="994"/>
        <v>78915001</v>
      </c>
      <c r="D5399">
        <v>89301212</v>
      </c>
      <c r="E5399" t="str">
        <f>"9057246088"</f>
        <v>9057246088</v>
      </c>
      <c r="F5399" s="1">
        <v>45070</v>
      </c>
      <c r="G5399" t="str">
        <f>"89715"</f>
        <v>89715</v>
      </c>
      <c r="H5399">
        <v>1</v>
      </c>
      <c r="I5399">
        <v>5523</v>
      </c>
      <c r="J5399">
        <v>0</v>
      </c>
      <c r="K5399" t="str">
        <f t="shared" si="992"/>
        <v>809</v>
      </c>
      <c r="L5399">
        <v>3589.95</v>
      </c>
    </row>
    <row r="5400" spans="1:12" x14ac:dyDescent="0.25">
      <c r="A5400" t="str">
        <f t="shared" si="991"/>
        <v>89301000</v>
      </c>
      <c r="B5400" t="str">
        <f t="shared" si="993"/>
        <v>78915000</v>
      </c>
      <c r="C5400" t="str">
        <f t="shared" si="994"/>
        <v>78915001</v>
      </c>
      <c r="D5400">
        <v>89301212</v>
      </c>
      <c r="E5400" t="str">
        <f>"9057246088"</f>
        <v>9057246088</v>
      </c>
      <c r="F5400" s="1">
        <v>45070</v>
      </c>
      <c r="G5400" t="str">
        <f>"89725"</f>
        <v>89725</v>
      </c>
      <c r="H5400">
        <v>1</v>
      </c>
      <c r="I5400">
        <v>2863</v>
      </c>
      <c r="J5400">
        <v>0</v>
      </c>
      <c r="K5400" t="str">
        <f t="shared" si="992"/>
        <v>809</v>
      </c>
      <c r="L5400">
        <v>1860.95</v>
      </c>
    </row>
    <row r="5401" spans="1:12" x14ac:dyDescent="0.25">
      <c r="A5401" t="str">
        <f t="shared" si="991"/>
        <v>89301000</v>
      </c>
      <c r="B5401" t="str">
        <f t="shared" si="993"/>
        <v>78915000</v>
      </c>
      <c r="C5401" t="str">
        <f t="shared" si="994"/>
        <v>78915001</v>
      </c>
      <c r="D5401">
        <v>89301212</v>
      </c>
      <c r="E5401" t="str">
        <f>"9057246088"</f>
        <v>9057246088</v>
      </c>
      <c r="F5401" s="1">
        <v>45070</v>
      </c>
      <c r="G5401" t="str">
        <f>"0207733"</f>
        <v>0207733</v>
      </c>
      <c r="H5401">
        <v>1</v>
      </c>
      <c r="J5401">
        <v>2590.5300000000002</v>
      </c>
      <c r="K5401" t="str">
        <f t="shared" si="992"/>
        <v>809</v>
      </c>
      <c r="L5401">
        <v>2590.5300000000002</v>
      </c>
    </row>
    <row r="5402" spans="1:12" x14ac:dyDescent="0.25">
      <c r="A5402" t="str">
        <f t="shared" si="991"/>
        <v>89301000</v>
      </c>
      <c r="B5402" t="str">
        <f t="shared" si="993"/>
        <v>78915000</v>
      </c>
      <c r="C5402" t="str">
        <f t="shared" si="994"/>
        <v>78915001</v>
      </c>
      <c r="D5402">
        <v>89301082</v>
      </c>
      <c r="E5402" t="str">
        <f>"9657145718"</f>
        <v>9657145718</v>
      </c>
      <c r="F5402" s="1">
        <v>45076</v>
      </c>
      <c r="G5402" t="str">
        <f>"89713"</f>
        <v>89713</v>
      </c>
      <c r="H5402">
        <v>2</v>
      </c>
      <c r="I5402">
        <v>10822</v>
      </c>
      <c r="J5402">
        <v>0</v>
      </c>
      <c r="K5402" t="str">
        <f t="shared" si="992"/>
        <v>809</v>
      </c>
      <c r="L5402">
        <v>7034.3</v>
      </c>
    </row>
    <row r="5403" spans="1:12" x14ac:dyDescent="0.25">
      <c r="A5403" t="str">
        <f t="shared" si="991"/>
        <v>89301000</v>
      </c>
      <c r="B5403" t="str">
        <f t="shared" si="993"/>
        <v>78915000</v>
      </c>
      <c r="C5403" t="str">
        <f t="shared" si="994"/>
        <v>78915001</v>
      </c>
      <c r="D5403">
        <v>89301082</v>
      </c>
      <c r="E5403" t="str">
        <f>"9657145718"</f>
        <v>9657145718</v>
      </c>
      <c r="F5403" s="1">
        <v>45076</v>
      </c>
      <c r="G5403" t="str">
        <f>"89725"</f>
        <v>89725</v>
      </c>
      <c r="H5403">
        <v>1</v>
      </c>
      <c r="I5403">
        <v>2863</v>
      </c>
      <c r="J5403">
        <v>0</v>
      </c>
      <c r="K5403" t="str">
        <f t="shared" si="992"/>
        <v>809</v>
      </c>
      <c r="L5403">
        <v>1860.95</v>
      </c>
    </row>
    <row r="5404" spans="1:12" x14ac:dyDescent="0.25">
      <c r="A5404" t="str">
        <f t="shared" si="991"/>
        <v>89301000</v>
      </c>
      <c r="B5404" t="str">
        <f t="shared" si="993"/>
        <v>78915000</v>
      </c>
      <c r="C5404" t="str">
        <f t="shared" si="994"/>
        <v>78915001</v>
      </c>
      <c r="D5404">
        <v>89301062</v>
      </c>
      <c r="E5404" t="str">
        <f>"9659025717"</f>
        <v>9659025717</v>
      </c>
      <c r="F5404" s="1">
        <v>45077</v>
      </c>
      <c r="G5404" t="str">
        <f>"89713"</f>
        <v>89713</v>
      </c>
      <c r="H5404">
        <v>1</v>
      </c>
      <c r="I5404">
        <v>5411</v>
      </c>
      <c r="J5404">
        <v>0</v>
      </c>
      <c r="K5404" t="str">
        <f t="shared" si="992"/>
        <v>809</v>
      </c>
      <c r="L5404">
        <v>3517.15</v>
      </c>
    </row>
    <row r="5405" spans="1:12" x14ac:dyDescent="0.25">
      <c r="A5405" t="str">
        <f t="shared" si="991"/>
        <v>89301000</v>
      </c>
      <c r="B5405" t="str">
        <f t="shared" si="993"/>
        <v>78915000</v>
      </c>
      <c r="C5405" t="str">
        <f t="shared" si="994"/>
        <v>78915001</v>
      </c>
      <c r="D5405">
        <v>89301062</v>
      </c>
      <c r="E5405" t="str">
        <f>"9659025717"</f>
        <v>9659025717</v>
      </c>
      <c r="F5405" s="1">
        <v>45077</v>
      </c>
      <c r="G5405" t="str">
        <f>"89725"</f>
        <v>89725</v>
      </c>
      <c r="H5405">
        <v>1</v>
      </c>
      <c r="I5405">
        <v>2863</v>
      </c>
      <c r="J5405">
        <v>0</v>
      </c>
      <c r="K5405" t="str">
        <f t="shared" si="992"/>
        <v>809</v>
      </c>
      <c r="L5405">
        <v>1860.95</v>
      </c>
    </row>
    <row r="5406" spans="1:12" x14ac:dyDescent="0.25">
      <c r="A5406" t="str">
        <f t="shared" si="991"/>
        <v>89301000</v>
      </c>
      <c r="B5406" t="str">
        <f t="shared" si="993"/>
        <v>78915000</v>
      </c>
      <c r="C5406" t="str">
        <f t="shared" si="994"/>
        <v>78915001</v>
      </c>
      <c r="D5406">
        <v>89301112</v>
      </c>
      <c r="E5406" t="str">
        <f>"9855181479"</f>
        <v>9855181479</v>
      </c>
      <c r="F5406" s="1">
        <v>45016</v>
      </c>
      <c r="G5406" t="str">
        <f>"09567"</f>
        <v>09567</v>
      </c>
      <c r="H5406">
        <v>1</v>
      </c>
      <c r="I5406">
        <v>0</v>
      </c>
      <c r="J5406">
        <v>0</v>
      </c>
      <c r="K5406" t="str">
        <f t="shared" si="992"/>
        <v>809</v>
      </c>
      <c r="L5406">
        <v>0</v>
      </c>
    </row>
    <row r="5407" spans="1:12" x14ac:dyDescent="0.25">
      <c r="A5407" t="str">
        <f t="shared" si="991"/>
        <v>89301000</v>
      </c>
      <c r="B5407" t="str">
        <f t="shared" si="993"/>
        <v>78915000</v>
      </c>
      <c r="C5407" t="str">
        <f t="shared" si="994"/>
        <v>78915001</v>
      </c>
      <c r="D5407">
        <v>89301112</v>
      </c>
      <c r="E5407" t="str">
        <f>"9855181479"</f>
        <v>9855181479</v>
      </c>
      <c r="F5407" s="1">
        <v>45016</v>
      </c>
      <c r="G5407" t="str">
        <f>"89713"</f>
        <v>89713</v>
      </c>
      <c r="H5407">
        <v>1</v>
      </c>
      <c r="I5407">
        <v>5411</v>
      </c>
      <c r="J5407">
        <v>0</v>
      </c>
      <c r="K5407" t="str">
        <f t="shared" si="992"/>
        <v>809</v>
      </c>
      <c r="L5407">
        <v>3517.15</v>
      </c>
    </row>
    <row r="5408" spans="1:12" x14ac:dyDescent="0.25">
      <c r="A5408" t="str">
        <f t="shared" si="991"/>
        <v>89301000</v>
      </c>
      <c r="B5408" t="str">
        <f t="shared" si="993"/>
        <v>78915000</v>
      </c>
      <c r="C5408" t="str">
        <f t="shared" si="994"/>
        <v>78915001</v>
      </c>
      <c r="D5408">
        <v>89301112</v>
      </c>
      <c r="E5408" t="str">
        <f>"7555125776"</f>
        <v>7555125776</v>
      </c>
      <c r="F5408" s="1">
        <v>45043</v>
      </c>
      <c r="G5408" t="str">
        <f>"09569"</f>
        <v>09569</v>
      </c>
      <c r="H5408">
        <v>1</v>
      </c>
      <c r="I5408">
        <v>0</v>
      </c>
      <c r="J5408">
        <v>0</v>
      </c>
      <c r="K5408" t="str">
        <f t="shared" si="992"/>
        <v>809</v>
      </c>
      <c r="L5408">
        <v>0</v>
      </c>
    </row>
    <row r="5409" spans="1:12" x14ac:dyDescent="0.25">
      <c r="A5409" t="str">
        <f t="shared" si="991"/>
        <v>89301000</v>
      </c>
      <c r="B5409" t="str">
        <f t="shared" si="993"/>
        <v>78915000</v>
      </c>
      <c r="C5409" t="str">
        <f t="shared" si="994"/>
        <v>78915001</v>
      </c>
      <c r="D5409">
        <v>89301112</v>
      </c>
      <c r="E5409" t="str">
        <f>"7555125776"</f>
        <v>7555125776</v>
      </c>
      <c r="F5409" s="1">
        <v>45043</v>
      </c>
      <c r="G5409" t="str">
        <f>"89713"</f>
        <v>89713</v>
      </c>
      <c r="H5409">
        <v>1</v>
      </c>
      <c r="I5409">
        <v>5411</v>
      </c>
      <c r="J5409">
        <v>0</v>
      </c>
      <c r="K5409" t="str">
        <f t="shared" si="992"/>
        <v>809</v>
      </c>
      <c r="L5409">
        <v>3517.15</v>
      </c>
    </row>
    <row r="5410" spans="1:12" x14ac:dyDescent="0.25">
      <c r="A5410" t="str">
        <f t="shared" si="991"/>
        <v>89301000</v>
      </c>
      <c r="B5410" t="str">
        <f>"48224000"</f>
        <v>48224000</v>
      </c>
      <c r="C5410" t="str">
        <f>"48224726"</f>
        <v>48224726</v>
      </c>
      <c r="D5410">
        <v>89301112</v>
      </c>
      <c r="E5410" t="str">
        <f>"6905266093"</f>
        <v>6905266093</v>
      </c>
      <c r="F5410" s="1">
        <v>45064</v>
      </c>
      <c r="G5410" t="str">
        <f>"89615"</f>
        <v>89615</v>
      </c>
      <c r="H5410">
        <v>1</v>
      </c>
      <c r="I5410">
        <v>2199</v>
      </c>
      <c r="J5410">
        <v>0</v>
      </c>
      <c r="K5410" t="str">
        <f t="shared" si="992"/>
        <v>809</v>
      </c>
      <c r="L5410">
        <v>1429.35</v>
      </c>
    </row>
    <row r="5411" spans="1:12" x14ac:dyDescent="0.25">
      <c r="A5411" t="str">
        <f t="shared" si="991"/>
        <v>89301000</v>
      </c>
      <c r="B5411" t="str">
        <f t="shared" ref="B5411:B5442" si="995">"78051000"</f>
        <v>78051000</v>
      </c>
      <c r="C5411" t="str">
        <f t="shared" ref="C5411:C5442" si="996">"78051004"</f>
        <v>78051004</v>
      </c>
      <c r="D5411">
        <v>89301062</v>
      </c>
      <c r="E5411" t="str">
        <f>"470816100"</f>
        <v>470816100</v>
      </c>
      <c r="F5411" s="1">
        <v>45048</v>
      </c>
      <c r="G5411" t="str">
        <f>"89311"</f>
        <v>89311</v>
      </c>
      <c r="H5411">
        <v>1</v>
      </c>
      <c r="I5411">
        <v>970</v>
      </c>
      <c r="J5411">
        <v>0</v>
      </c>
      <c r="K5411" t="str">
        <f t="shared" si="992"/>
        <v>809</v>
      </c>
      <c r="L5411">
        <v>1425.9</v>
      </c>
    </row>
    <row r="5412" spans="1:12" x14ac:dyDescent="0.25">
      <c r="A5412" t="str">
        <f t="shared" si="991"/>
        <v>89301000</v>
      </c>
      <c r="B5412" t="str">
        <f t="shared" si="995"/>
        <v>78051000</v>
      </c>
      <c r="C5412" t="str">
        <f t="shared" si="996"/>
        <v>78051004</v>
      </c>
      <c r="D5412">
        <v>89301062</v>
      </c>
      <c r="E5412" t="str">
        <f>"470816100"</f>
        <v>470816100</v>
      </c>
      <c r="F5412" s="1">
        <v>45048</v>
      </c>
      <c r="G5412" t="str">
        <f>"0090044"</f>
        <v>0090044</v>
      </c>
      <c r="H5412">
        <v>1</v>
      </c>
      <c r="J5412">
        <v>16.8</v>
      </c>
      <c r="K5412" t="str">
        <f t="shared" si="992"/>
        <v>809</v>
      </c>
      <c r="L5412">
        <v>16.8</v>
      </c>
    </row>
    <row r="5413" spans="1:12" x14ac:dyDescent="0.25">
      <c r="A5413" t="str">
        <f t="shared" si="991"/>
        <v>89301000</v>
      </c>
      <c r="B5413" t="str">
        <f t="shared" si="995"/>
        <v>78051000</v>
      </c>
      <c r="C5413" t="str">
        <f t="shared" si="996"/>
        <v>78051004</v>
      </c>
      <c r="D5413">
        <v>89301062</v>
      </c>
      <c r="E5413" t="str">
        <f>"470816100"</f>
        <v>470816100</v>
      </c>
      <c r="F5413" s="1">
        <v>45048</v>
      </c>
      <c r="G5413" t="str">
        <f>"0225891"</f>
        <v>0225891</v>
      </c>
      <c r="H5413">
        <v>0.2</v>
      </c>
      <c r="J5413">
        <v>73.540000000000006</v>
      </c>
      <c r="K5413" t="str">
        <f t="shared" ref="K5413:K5444" si="997">"809"</f>
        <v>809</v>
      </c>
      <c r="L5413">
        <v>73.540000000000006</v>
      </c>
    </row>
    <row r="5414" spans="1:12" x14ac:dyDescent="0.25">
      <c r="A5414" t="str">
        <f t="shared" si="991"/>
        <v>89301000</v>
      </c>
      <c r="B5414" t="str">
        <f t="shared" si="995"/>
        <v>78051000</v>
      </c>
      <c r="C5414" t="str">
        <f t="shared" si="996"/>
        <v>78051004</v>
      </c>
      <c r="D5414">
        <v>89301062</v>
      </c>
      <c r="E5414" t="str">
        <f>"470816100"</f>
        <v>470816100</v>
      </c>
      <c r="F5414" s="1">
        <v>45048</v>
      </c>
      <c r="G5414" t="str">
        <f>"0096251"</f>
        <v>0096251</v>
      </c>
      <c r="H5414">
        <v>0.17</v>
      </c>
      <c r="J5414">
        <v>198.83</v>
      </c>
      <c r="K5414" t="str">
        <f t="shared" si="997"/>
        <v>809</v>
      </c>
      <c r="L5414">
        <v>198.83</v>
      </c>
    </row>
    <row r="5415" spans="1:12" x14ac:dyDescent="0.25">
      <c r="A5415" t="str">
        <f t="shared" si="991"/>
        <v>89301000</v>
      </c>
      <c r="B5415" t="str">
        <f t="shared" si="995"/>
        <v>78051000</v>
      </c>
      <c r="C5415" t="str">
        <f t="shared" si="996"/>
        <v>78051004</v>
      </c>
      <c r="D5415">
        <v>89301062</v>
      </c>
      <c r="E5415" t="str">
        <f>"470816100"</f>
        <v>470816100</v>
      </c>
      <c r="F5415" s="1">
        <v>45048</v>
      </c>
      <c r="G5415" t="str">
        <f>"0098943"</f>
        <v>0098943</v>
      </c>
      <c r="H5415">
        <v>1</v>
      </c>
      <c r="J5415">
        <v>293.81</v>
      </c>
      <c r="K5415" t="str">
        <f t="shared" si="997"/>
        <v>809</v>
      </c>
      <c r="L5415">
        <v>293.81</v>
      </c>
    </row>
    <row r="5416" spans="1:12" x14ac:dyDescent="0.25">
      <c r="A5416" t="str">
        <f t="shared" si="991"/>
        <v>89301000</v>
      </c>
      <c r="B5416" t="str">
        <f t="shared" si="995"/>
        <v>78051000</v>
      </c>
      <c r="C5416" t="str">
        <f t="shared" si="996"/>
        <v>78051004</v>
      </c>
      <c r="D5416">
        <v>89301062</v>
      </c>
      <c r="E5416" t="str">
        <f>"8801274944"</f>
        <v>8801274944</v>
      </c>
      <c r="F5416" s="1">
        <v>45048</v>
      </c>
      <c r="G5416" t="str">
        <f>"89311"</f>
        <v>89311</v>
      </c>
      <c r="H5416">
        <v>1</v>
      </c>
      <c r="I5416">
        <v>970</v>
      </c>
      <c r="J5416">
        <v>0</v>
      </c>
      <c r="K5416" t="str">
        <f t="shared" si="997"/>
        <v>809</v>
      </c>
      <c r="L5416">
        <v>1425.9</v>
      </c>
    </row>
    <row r="5417" spans="1:12" x14ac:dyDescent="0.25">
      <c r="A5417" t="str">
        <f t="shared" si="991"/>
        <v>89301000</v>
      </c>
      <c r="B5417" t="str">
        <f t="shared" si="995"/>
        <v>78051000</v>
      </c>
      <c r="C5417" t="str">
        <f t="shared" si="996"/>
        <v>78051004</v>
      </c>
      <c r="D5417">
        <v>89301062</v>
      </c>
      <c r="E5417" t="str">
        <f>"8801274944"</f>
        <v>8801274944</v>
      </c>
      <c r="F5417" s="1">
        <v>45048</v>
      </c>
      <c r="G5417" t="str">
        <f>"0090044"</f>
        <v>0090044</v>
      </c>
      <c r="H5417">
        <v>1</v>
      </c>
      <c r="J5417">
        <v>16.8</v>
      </c>
      <c r="K5417" t="str">
        <f t="shared" si="997"/>
        <v>809</v>
      </c>
      <c r="L5417">
        <v>16.8</v>
      </c>
    </row>
    <row r="5418" spans="1:12" x14ac:dyDescent="0.25">
      <c r="A5418" t="str">
        <f t="shared" si="991"/>
        <v>89301000</v>
      </c>
      <c r="B5418" t="str">
        <f t="shared" si="995"/>
        <v>78051000</v>
      </c>
      <c r="C5418" t="str">
        <f t="shared" si="996"/>
        <v>78051004</v>
      </c>
      <c r="D5418">
        <v>89301062</v>
      </c>
      <c r="E5418" t="str">
        <f>"8801274944"</f>
        <v>8801274944</v>
      </c>
      <c r="F5418" s="1">
        <v>45048</v>
      </c>
      <c r="G5418" t="str">
        <f>"0225891"</f>
        <v>0225891</v>
      </c>
      <c r="H5418">
        <v>0.2</v>
      </c>
      <c r="J5418">
        <v>73.540000000000006</v>
      </c>
      <c r="K5418" t="str">
        <f t="shared" si="997"/>
        <v>809</v>
      </c>
      <c r="L5418">
        <v>73.540000000000006</v>
      </c>
    </row>
    <row r="5419" spans="1:12" x14ac:dyDescent="0.25">
      <c r="A5419" t="str">
        <f t="shared" si="991"/>
        <v>89301000</v>
      </c>
      <c r="B5419" t="str">
        <f t="shared" si="995"/>
        <v>78051000</v>
      </c>
      <c r="C5419" t="str">
        <f t="shared" si="996"/>
        <v>78051004</v>
      </c>
      <c r="D5419">
        <v>89301062</v>
      </c>
      <c r="E5419" t="str">
        <f>"8801274944"</f>
        <v>8801274944</v>
      </c>
      <c r="F5419" s="1">
        <v>45048</v>
      </c>
      <c r="G5419" t="str">
        <f>"0096251"</f>
        <v>0096251</v>
      </c>
      <c r="H5419">
        <v>0.17</v>
      </c>
      <c r="J5419">
        <v>198.83</v>
      </c>
      <c r="K5419" t="str">
        <f t="shared" si="997"/>
        <v>809</v>
      </c>
      <c r="L5419">
        <v>198.83</v>
      </c>
    </row>
    <row r="5420" spans="1:12" x14ac:dyDescent="0.25">
      <c r="A5420" t="str">
        <f t="shared" si="991"/>
        <v>89301000</v>
      </c>
      <c r="B5420" t="str">
        <f t="shared" si="995"/>
        <v>78051000</v>
      </c>
      <c r="C5420" t="str">
        <f t="shared" si="996"/>
        <v>78051004</v>
      </c>
      <c r="D5420">
        <v>89301062</v>
      </c>
      <c r="E5420" t="str">
        <f>"8801274944"</f>
        <v>8801274944</v>
      </c>
      <c r="F5420" s="1">
        <v>45048</v>
      </c>
      <c r="G5420" t="str">
        <f>"0098943"</f>
        <v>0098943</v>
      </c>
      <c r="H5420">
        <v>1</v>
      </c>
      <c r="J5420">
        <v>293.81</v>
      </c>
      <c r="K5420" t="str">
        <f t="shared" si="997"/>
        <v>809</v>
      </c>
      <c r="L5420">
        <v>293.81</v>
      </c>
    </row>
    <row r="5421" spans="1:12" x14ac:dyDescent="0.25">
      <c r="A5421" t="str">
        <f t="shared" si="991"/>
        <v>89301000</v>
      </c>
      <c r="B5421" t="str">
        <f t="shared" si="995"/>
        <v>78051000</v>
      </c>
      <c r="C5421" t="str">
        <f t="shared" si="996"/>
        <v>78051004</v>
      </c>
      <c r="D5421">
        <v>89301062</v>
      </c>
      <c r="E5421" t="str">
        <f>"491114111"</f>
        <v>491114111</v>
      </c>
      <c r="F5421" s="1">
        <v>45048</v>
      </c>
      <c r="G5421" t="str">
        <f>"89311"</f>
        <v>89311</v>
      </c>
      <c r="H5421">
        <v>1</v>
      </c>
      <c r="I5421">
        <v>970</v>
      </c>
      <c r="J5421">
        <v>0</v>
      </c>
      <c r="K5421" t="str">
        <f t="shared" si="997"/>
        <v>809</v>
      </c>
      <c r="L5421">
        <v>1425.9</v>
      </c>
    </row>
    <row r="5422" spans="1:12" x14ac:dyDescent="0.25">
      <c r="A5422" t="str">
        <f t="shared" si="991"/>
        <v>89301000</v>
      </c>
      <c r="B5422" t="str">
        <f t="shared" si="995"/>
        <v>78051000</v>
      </c>
      <c r="C5422" t="str">
        <f t="shared" si="996"/>
        <v>78051004</v>
      </c>
      <c r="D5422">
        <v>89301062</v>
      </c>
      <c r="E5422" t="str">
        <f>"491114111"</f>
        <v>491114111</v>
      </c>
      <c r="F5422" s="1">
        <v>45048</v>
      </c>
      <c r="G5422" t="str">
        <f>"0090044"</f>
        <v>0090044</v>
      </c>
      <c r="H5422">
        <v>1</v>
      </c>
      <c r="J5422">
        <v>16.8</v>
      </c>
      <c r="K5422" t="str">
        <f t="shared" si="997"/>
        <v>809</v>
      </c>
      <c r="L5422">
        <v>16.8</v>
      </c>
    </row>
    <row r="5423" spans="1:12" x14ac:dyDescent="0.25">
      <c r="A5423" t="str">
        <f t="shared" si="991"/>
        <v>89301000</v>
      </c>
      <c r="B5423" t="str">
        <f t="shared" si="995"/>
        <v>78051000</v>
      </c>
      <c r="C5423" t="str">
        <f t="shared" si="996"/>
        <v>78051004</v>
      </c>
      <c r="D5423">
        <v>89301062</v>
      </c>
      <c r="E5423" t="str">
        <f>"491114111"</f>
        <v>491114111</v>
      </c>
      <c r="F5423" s="1">
        <v>45048</v>
      </c>
      <c r="G5423" t="str">
        <f>"0225891"</f>
        <v>0225891</v>
      </c>
      <c r="H5423">
        <v>0.2</v>
      </c>
      <c r="J5423">
        <v>73.540000000000006</v>
      </c>
      <c r="K5423" t="str">
        <f t="shared" si="997"/>
        <v>809</v>
      </c>
      <c r="L5423">
        <v>73.540000000000006</v>
      </c>
    </row>
    <row r="5424" spans="1:12" x14ac:dyDescent="0.25">
      <c r="A5424" t="str">
        <f t="shared" si="991"/>
        <v>89301000</v>
      </c>
      <c r="B5424" t="str">
        <f t="shared" si="995"/>
        <v>78051000</v>
      </c>
      <c r="C5424" t="str">
        <f t="shared" si="996"/>
        <v>78051004</v>
      </c>
      <c r="D5424">
        <v>89301062</v>
      </c>
      <c r="E5424" t="str">
        <f>"491114111"</f>
        <v>491114111</v>
      </c>
      <c r="F5424" s="1">
        <v>45048</v>
      </c>
      <c r="G5424" t="str">
        <f>"0096251"</f>
        <v>0096251</v>
      </c>
      <c r="H5424">
        <v>0.17</v>
      </c>
      <c r="J5424">
        <v>198.83</v>
      </c>
      <c r="K5424" t="str">
        <f t="shared" si="997"/>
        <v>809</v>
      </c>
      <c r="L5424">
        <v>198.83</v>
      </c>
    </row>
    <row r="5425" spans="1:12" x14ac:dyDescent="0.25">
      <c r="A5425" t="str">
        <f t="shared" si="991"/>
        <v>89301000</v>
      </c>
      <c r="B5425" t="str">
        <f t="shared" si="995"/>
        <v>78051000</v>
      </c>
      <c r="C5425" t="str">
        <f t="shared" si="996"/>
        <v>78051004</v>
      </c>
      <c r="D5425">
        <v>89301062</v>
      </c>
      <c r="E5425" t="str">
        <f>"491114111"</f>
        <v>491114111</v>
      </c>
      <c r="F5425" s="1">
        <v>45048</v>
      </c>
      <c r="G5425" t="str">
        <f>"0098943"</f>
        <v>0098943</v>
      </c>
      <c r="H5425">
        <v>1</v>
      </c>
      <c r="J5425">
        <v>293.81</v>
      </c>
      <c r="K5425" t="str">
        <f t="shared" si="997"/>
        <v>809</v>
      </c>
      <c r="L5425">
        <v>293.81</v>
      </c>
    </row>
    <row r="5426" spans="1:12" x14ac:dyDescent="0.25">
      <c r="A5426" t="str">
        <f t="shared" si="991"/>
        <v>89301000</v>
      </c>
      <c r="B5426" t="str">
        <f t="shared" si="995"/>
        <v>78051000</v>
      </c>
      <c r="C5426" t="str">
        <f t="shared" si="996"/>
        <v>78051004</v>
      </c>
      <c r="D5426">
        <v>89301062</v>
      </c>
      <c r="E5426" t="str">
        <f>"6061051139"</f>
        <v>6061051139</v>
      </c>
      <c r="F5426" s="1">
        <v>45055</v>
      </c>
      <c r="G5426" t="str">
        <f>"89311"</f>
        <v>89311</v>
      </c>
      <c r="H5426">
        <v>1</v>
      </c>
      <c r="I5426">
        <v>970</v>
      </c>
      <c r="J5426">
        <v>0</v>
      </c>
      <c r="K5426" t="str">
        <f t="shared" si="997"/>
        <v>809</v>
      </c>
      <c r="L5426">
        <v>1425.9</v>
      </c>
    </row>
    <row r="5427" spans="1:12" x14ac:dyDescent="0.25">
      <c r="A5427" t="str">
        <f t="shared" si="991"/>
        <v>89301000</v>
      </c>
      <c r="B5427" t="str">
        <f t="shared" si="995"/>
        <v>78051000</v>
      </c>
      <c r="C5427" t="str">
        <f t="shared" si="996"/>
        <v>78051004</v>
      </c>
      <c r="D5427">
        <v>89301062</v>
      </c>
      <c r="E5427" t="str">
        <f>"6061051139"</f>
        <v>6061051139</v>
      </c>
      <c r="F5427" s="1">
        <v>45055</v>
      </c>
      <c r="G5427" t="str">
        <f>"0090044"</f>
        <v>0090044</v>
      </c>
      <c r="H5427">
        <v>1</v>
      </c>
      <c r="J5427">
        <v>16.8</v>
      </c>
      <c r="K5427" t="str">
        <f t="shared" si="997"/>
        <v>809</v>
      </c>
      <c r="L5427">
        <v>16.8</v>
      </c>
    </row>
    <row r="5428" spans="1:12" x14ac:dyDescent="0.25">
      <c r="A5428" t="str">
        <f t="shared" si="991"/>
        <v>89301000</v>
      </c>
      <c r="B5428" t="str">
        <f t="shared" si="995"/>
        <v>78051000</v>
      </c>
      <c r="C5428" t="str">
        <f t="shared" si="996"/>
        <v>78051004</v>
      </c>
      <c r="D5428">
        <v>89301062</v>
      </c>
      <c r="E5428" t="str">
        <f>"6061051139"</f>
        <v>6061051139</v>
      </c>
      <c r="F5428" s="1">
        <v>45055</v>
      </c>
      <c r="G5428" t="str">
        <f>"0225891"</f>
        <v>0225891</v>
      </c>
      <c r="H5428">
        <v>0.2</v>
      </c>
      <c r="J5428">
        <v>73.540000000000006</v>
      </c>
      <c r="K5428" t="str">
        <f t="shared" si="997"/>
        <v>809</v>
      </c>
      <c r="L5428">
        <v>73.540000000000006</v>
      </c>
    </row>
    <row r="5429" spans="1:12" x14ac:dyDescent="0.25">
      <c r="A5429" t="str">
        <f t="shared" si="991"/>
        <v>89301000</v>
      </c>
      <c r="B5429" t="str">
        <f t="shared" si="995"/>
        <v>78051000</v>
      </c>
      <c r="C5429" t="str">
        <f t="shared" si="996"/>
        <v>78051004</v>
      </c>
      <c r="D5429">
        <v>89301062</v>
      </c>
      <c r="E5429" t="str">
        <f>"6061051139"</f>
        <v>6061051139</v>
      </c>
      <c r="F5429" s="1">
        <v>45055</v>
      </c>
      <c r="G5429" t="str">
        <f>"0096251"</f>
        <v>0096251</v>
      </c>
      <c r="H5429">
        <v>0.17</v>
      </c>
      <c r="J5429">
        <v>198.83</v>
      </c>
      <c r="K5429" t="str">
        <f t="shared" si="997"/>
        <v>809</v>
      </c>
      <c r="L5429">
        <v>198.83</v>
      </c>
    </row>
    <row r="5430" spans="1:12" x14ac:dyDescent="0.25">
      <c r="A5430" t="str">
        <f t="shared" si="991"/>
        <v>89301000</v>
      </c>
      <c r="B5430" t="str">
        <f t="shared" si="995"/>
        <v>78051000</v>
      </c>
      <c r="C5430" t="str">
        <f t="shared" si="996"/>
        <v>78051004</v>
      </c>
      <c r="D5430">
        <v>89301062</v>
      </c>
      <c r="E5430" t="str">
        <f>"6061051139"</f>
        <v>6061051139</v>
      </c>
      <c r="F5430" s="1">
        <v>45055</v>
      </c>
      <c r="G5430" t="str">
        <f>"0098943"</f>
        <v>0098943</v>
      </c>
      <c r="H5430">
        <v>1</v>
      </c>
      <c r="J5430">
        <v>293.81</v>
      </c>
      <c r="K5430" t="str">
        <f t="shared" si="997"/>
        <v>809</v>
      </c>
      <c r="L5430">
        <v>293.81</v>
      </c>
    </row>
    <row r="5431" spans="1:12" x14ac:dyDescent="0.25">
      <c r="A5431" t="str">
        <f t="shared" si="991"/>
        <v>89301000</v>
      </c>
      <c r="B5431" t="str">
        <f t="shared" si="995"/>
        <v>78051000</v>
      </c>
      <c r="C5431" t="str">
        <f t="shared" si="996"/>
        <v>78051004</v>
      </c>
      <c r="D5431">
        <v>89301062</v>
      </c>
      <c r="E5431" t="str">
        <f>"535516160"</f>
        <v>535516160</v>
      </c>
      <c r="F5431" s="1">
        <v>45055</v>
      </c>
      <c r="G5431" t="str">
        <f>"89311"</f>
        <v>89311</v>
      </c>
      <c r="H5431">
        <v>1</v>
      </c>
      <c r="I5431">
        <v>970</v>
      </c>
      <c r="J5431">
        <v>0</v>
      </c>
      <c r="K5431" t="str">
        <f t="shared" si="997"/>
        <v>809</v>
      </c>
      <c r="L5431">
        <v>1425.9</v>
      </c>
    </row>
    <row r="5432" spans="1:12" x14ac:dyDescent="0.25">
      <c r="A5432" t="str">
        <f t="shared" si="991"/>
        <v>89301000</v>
      </c>
      <c r="B5432" t="str">
        <f t="shared" si="995"/>
        <v>78051000</v>
      </c>
      <c r="C5432" t="str">
        <f t="shared" si="996"/>
        <v>78051004</v>
      </c>
      <c r="D5432">
        <v>89301062</v>
      </c>
      <c r="E5432" t="str">
        <f>"535516160"</f>
        <v>535516160</v>
      </c>
      <c r="F5432" s="1">
        <v>45055</v>
      </c>
      <c r="G5432" t="str">
        <f>"0090044"</f>
        <v>0090044</v>
      </c>
      <c r="H5432">
        <v>1</v>
      </c>
      <c r="J5432">
        <v>16.8</v>
      </c>
      <c r="K5432" t="str">
        <f t="shared" si="997"/>
        <v>809</v>
      </c>
      <c r="L5432">
        <v>16.8</v>
      </c>
    </row>
    <row r="5433" spans="1:12" x14ac:dyDescent="0.25">
      <c r="A5433" t="str">
        <f t="shared" si="991"/>
        <v>89301000</v>
      </c>
      <c r="B5433" t="str">
        <f t="shared" si="995"/>
        <v>78051000</v>
      </c>
      <c r="C5433" t="str">
        <f t="shared" si="996"/>
        <v>78051004</v>
      </c>
      <c r="D5433">
        <v>89301062</v>
      </c>
      <c r="E5433" t="str">
        <f>"535516160"</f>
        <v>535516160</v>
      </c>
      <c r="F5433" s="1">
        <v>45055</v>
      </c>
      <c r="G5433" t="str">
        <f>"0225891"</f>
        <v>0225891</v>
      </c>
      <c r="H5433">
        <v>0.2</v>
      </c>
      <c r="J5433">
        <v>73.540000000000006</v>
      </c>
      <c r="K5433" t="str">
        <f t="shared" si="997"/>
        <v>809</v>
      </c>
      <c r="L5433">
        <v>73.540000000000006</v>
      </c>
    </row>
    <row r="5434" spans="1:12" x14ac:dyDescent="0.25">
      <c r="A5434" t="str">
        <f t="shared" si="991"/>
        <v>89301000</v>
      </c>
      <c r="B5434" t="str">
        <f t="shared" si="995"/>
        <v>78051000</v>
      </c>
      <c r="C5434" t="str">
        <f t="shared" si="996"/>
        <v>78051004</v>
      </c>
      <c r="D5434">
        <v>89301062</v>
      </c>
      <c r="E5434" t="str">
        <f>"535516160"</f>
        <v>535516160</v>
      </c>
      <c r="F5434" s="1">
        <v>45055</v>
      </c>
      <c r="G5434" t="str">
        <f>"0096251"</f>
        <v>0096251</v>
      </c>
      <c r="H5434">
        <v>0.17</v>
      </c>
      <c r="J5434">
        <v>198.83</v>
      </c>
      <c r="K5434" t="str">
        <f t="shared" si="997"/>
        <v>809</v>
      </c>
      <c r="L5434">
        <v>198.83</v>
      </c>
    </row>
    <row r="5435" spans="1:12" x14ac:dyDescent="0.25">
      <c r="A5435" t="str">
        <f t="shared" si="991"/>
        <v>89301000</v>
      </c>
      <c r="B5435" t="str">
        <f t="shared" si="995"/>
        <v>78051000</v>
      </c>
      <c r="C5435" t="str">
        <f t="shared" si="996"/>
        <v>78051004</v>
      </c>
      <c r="D5435">
        <v>89301062</v>
      </c>
      <c r="E5435" t="str">
        <f>"535516160"</f>
        <v>535516160</v>
      </c>
      <c r="F5435" s="1">
        <v>45055</v>
      </c>
      <c r="G5435" t="str">
        <f>"0098943"</f>
        <v>0098943</v>
      </c>
      <c r="H5435">
        <v>1</v>
      </c>
      <c r="J5435">
        <v>293.81</v>
      </c>
      <c r="K5435" t="str">
        <f t="shared" si="997"/>
        <v>809</v>
      </c>
      <c r="L5435">
        <v>293.81</v>
      </c>
    </row>
    <row r="5436" spans="1:12" x14ac:dyDescent="0.25">
      <c r="A5436" t="str">
        <f t="shared" si="991"/>
        <v>89301000</v>
      </c>
      <c r="B5436" t="str">
        <f t="shared" si="995"/>
        <v>78051000</v>
      </c>
      <c r="C5436" t="str">
        <f t="shared" si="996"/>
        <v>78051004</v>
      </c>
      <c r="D5436">
        <v>89301062</v>
      </c>
      <c r="E5436" t="str">
        <f>"7557165770"</f>
        <v>7557165770</v>
      </c>
      <c r="F5436" s="1">
        <v>45063</v>
      </c>
      <c r="G5436" t="str">
        <f>"89311"</f>
        <v>89311</v>
      </c>
      <c r="H5436">
        <v>1</v>
      </c>
      <c r="I5436">
        <v>970</v>
      </c>
      <c r="J5436">
        <v>0</v>
      </c>
      <c r="K5436" t="str">
        <f t="shared" si="997"/>
        <v>809</v>
      </c>
      <c r="L5436">
        <v>1425.9</v>
      </c>
    </row>
    <row r="5437" spans="1:12" x14ac:dyDescent="0.25">
      <c r="A5437" t="str">
        <f t="shared" si="991"/>
        <v>89301000</v>
      </c>
      <c r="B5437" t="str">
        <f t="shared" si="995"/>
        <v>78051000</v>
      </c>
      <c r="C5437" t="str">
        <f t="shared" si="996"/>
        <v>78051004</v>
      </c>
      <c r="D5437">
        <v>89301062</v>
      </c>
      <c r="E5437" t="str">
        <f>"7557165770"</f>
        <v>7557165770</v>
      </c>
      <c r="F5437" s="1">
        <v>45063</v>
      </c>
      <c r="G5437" t="str">
        <f>"0090044"</f>
        <v>0090044</v>
      </c>
      <c r="H5437">
        <v>1</v>
      </c>
      <c r="J5437">
        <v>16.8</v>
      </c>
      <c r="K5437" t="str">
        <f t="shared" si="997"/>
        <v>809</v>
      </c>
      <c r="L5437">
        <v>16.8</v>
      </c>
    </row>
    <row r="5438" spans="1:12" x14ac:dyDescent="0.25">
      <c r="A5438" t="str">
        <f t="shared" si="991"/>
        <v>89301000</v>
      </c>
      <c r="B5438" t="str">
        <f t="shared" si="995"/>
        <v>78051000</v>
      </c>
      <c r="C5438" t="str">
        <f t="shared" si="996"/>
        <v>78051004</v>
      </c>
      <c r="D5438">
        <v>89301062</v>
      </c>
      <c r="E5438" t="str">
        <f>"7557165770"</f>
        <v>7557165770</v>
      </c>
      <c r="F5438" s="1">
        <v>45063</v>
      </c>
      <c r="G5438" t="str">
        <f>"0225891"</f>
        <v>0225891</v>
      </c>
      <c r="H5438">
        <v>0.2</v>
      </c>
      <c r="J5438">
        <v>73.540000000000006</v>
      </c>
      <c r="K5438" t="str">
        <f t="shared" si="997"/>
        <v>809</v>
      </c>
      <c r="L5438">
        <v>73.540000000000006</v>
      </c>
    </row>
    <row r="5439" spans="1:12" x14ac:dyDescent="0.25">
      <c r="A5439" t="str">
        <f t="shared" si="991"/>
        <v>89301000</v>
      </c>
      <c r="B5439" t="str">
        <f t="shared" si="995"/>
        <v>78051000</v>
      </c>
      <c r="C5439" t="str">
        <f t="shared" si="996"/>
        <v>78051004</v>
      </c>
      <c r="D5439">
        <v>89301062</v>
      </c>
      <c r="E5439" t="str">
        <f>"7557165770"</f>
        <v>7557165770</v>
      </c>
      <c r="F5439" s="1">
        <v>45063</v>
      </c>
      <c r="G5439" t="str">
        <f>"0096251"</f>
        <v>0096251</v>
      </c>
      <c r="H5439">
        <v>0.17</v>
      </c>
      <c r="J5439">
        <v>198.83</v>
      </c>
      <c r="K5439" t="str">
        <f t="shared" si="997"/>
        <v>809</v>
      </c>
      <c r="L5439">
        <v>198.83</v>
      </c>
    </row>
    <row r="5440" spans="1:12" x14ac:dyDescent="0.25">
      <c r="A5440" t="str">
        <f t="shared" si="991"/>
        <v>89301000</v>
      </c>
      <c r="B5440" t="str">
        <f t="shared" si="995"/>
        <v>78051000</v>
      </c>
      <c r="C5440" t="str">
        <f t="shared" si="996"/>
        <v>78051004</v>
      </c>
      <c r="D5440">
        <v>89301062</v>
      </c>
      <c r="E5440" t="str">
        <f>"7557165770"</f>
        <v>7557165770</v>
      </c>
      <c r="F5440" s="1">
        <v>45063</v>
      </c>
      <c r="G5440" t="str">
        <f>"0098943"</f>
        <v>0098943</v>
      </c>
      <c r="H5440">
        <v>1</v>
      </c>
      <c r="J5440">
        <v>293.81</v>
      </c>
      <c r="K5440" t="str">
        <f t="shared" si="997"/>
        <v>809</v>
      </c>
      <c r="L5440">
        <v>293.81</v>
      </c>
    </row>
    <row r="5441" spans="1:12" x14ac:dyDescent="0.25">
      <c r="A5441" t="str">
        <f t="shared" si="991"/>
        <v>89301000</v>
      </c>
      <c r="B5441" t="str">
        <f t="shared" si="995"/>
        <v>78051000</v>
      </c>
      <c r="C5441" t="str">
        <f t="shared" si="996"/>
        <v>78051004</v>
      </c>
      <c r="D5441">
        <v>89301062</v>
      </c>
      <c r="E5441" t="str">
        <f>"6456080543"</f>
        <v>6456080543</v>
      </c>
      <c r="F5441" s="1">
        <v>45063</v>
      </c>
      <c r="G5441" t="str">
        <f>"89311"</f>
        <v>89311</v>
      </c>
      <c r="H5441">
        <v>1</v>
      </c>
      <c r="I5441">
        <v>970</v>
      </c>
      <c r="J5441">
        <v>0</v>
      </c>
      <c r="K5441" t="str">
        <f t="shared" si="997"/>
        <v>809</v>
      </c>
      <c r="L5441">
        <v>1425.9</v>
      </c>
    </row>
    <row r="5442" spans="1:12" x14ac:dyDescent="0.25">
      <c r="A5442" t="str">
        <f t="shared" ref="A5442:A5505" si="998">"89301000"</f>
        <v>89301000</v>
      </c>
      <c r="B5442" t="str">
        <f t="shared" si="995"/>
        <v>78051000</v>
      </c>
      <c r="C5442" t="str">
        <f t="shared" si="996"/>
        <v>78051004</v>
      </c>
      <c r="D5442">
        <v>89301062</v>
      </c>
      <c r="E5442" t="str">
        <f>"6456080543"</f>
        <v>6456080543</v>
      </c>
      <c r="F5442" s="1">
        <v>45063</v>
      </c>
      <c r="G5442" t="str">
        <f>"0090044"</f>
        <v>0090044</v>
      </c>
      <c r="H5442">
        <v>1</v>
      </c>
      <c r="J5442">
        <v>16.8</v>
      </c>
      <c r="K5442" t="str">
        <f t="shared" si="997"/>
        <v>809</v>
      </c>
      <c r="L5442">
        <v>16.8</v>
      </c>
    </row>
    <row r="5443" spans="1:12" x14ac:dyDescent="0.25">
      <c r="A5443" t="str">
        <f t="shared" si="998"/>
        <v>89301000</v>
      </c>
      <c r="B5443" t="str">
        <f t="shared" ref="B5443:B5474" si="999">"78051000"</f>
        <v>78051000</v>
      </c>
      <c r="C5443" t="str">
        <f t="shared" ref="C5443:C5474" si="1000">"78051004"</f>
        <v>78051004</v>
      </c>
      <c r="D5443">
        <v>89301062</v>
      </c>
      <c r="E5443" t="str">
        <f>"6456080543"</f>
        <v>6456080543</v>
      </c>
      <c r="F5443" s="1">
        <v>45063</v>
      </c>
      <c r="G5443" t="str">
        <f>"0225891"</f>
        <v>0225891</v>
      </c>
      <c r="H5443">
        <v>0.2</v>
      </c>
      <c r="J5443">
        <v>73.540000000000006</v>
      </c>
      <c r="K5443" t="str">
        <f t="shared" si="997"/>
        <v>809</v>
      </c>
      <c r="L5443">
        <v>73.540000000000006</v>
      </c>
    </row>
    <row r="5444" spans="1:12" x14ac:dyDescent="0.25">
      <c r="A5444" t="str">
        <f t="shared" si="998"/>
        <v>89301000</v>
      </c>
      <c r="B5444" t="str">
        <f t="shared" si="999"/>
        <v>78051000</v>
      </c>
      <c r="C5444" t="str">
        <f t="shared" si="1000"/>
        <v>78051004</v>
      </c>
      <c r="D5444">
        <v>89301062</v>
      </c>
      <c r="E5444" t="str">
        <f>"6456080543"</f>
        <v>6456080543</v>
      </c>
      <c r="F5444" s="1">
        <v>45063</v>
      </c>
      <c r="G5444" t="str">
        <f>"0096251"</f>
        <v>0096251</v>
      </c>
      <c r="H5444">
        <v>0.17</v>
      </c>
      <c r="J5444">
        <v>198.83</v>
      </c>
      <c r="K5444" t="str">
        <f t="shared" si="997"/>
        <v>809</v>
      </c>
      <c r="L5444">
        <v>198.83</v>
      </c>
    </row>
    <row r="5445" spans="1:12" x14ac:dyDescent="0.25">
      <c r="A5445" t="str">
        <f t="shared" si="998"/>
        <v>89301000</v>
      </c>
      <c r="B5445" t="str">
        <f t="shared" si="999"/>
        <v>78051000</v>
      </c>
      <c r="C5445" t="str">
        <f t="shared" si="1000"/>
        <v>78051004</v>
      </c>
      <c r="D5445">
        <v>89301062</v>
      </c>
      <c r="E5445" t="str">
        <f>"6456080543"</f>
        <v>6456080543</v>
      </c>
      <c r="F5445" s="1">
        <v>45063</v>
      </c>
      <c r="G5445" t="str">
        <f>"0098943"</f>
        <v>0098943</v>
      </c>
      <c r="H5445">
        <v>1</v>
      </c>
      <c r="J5445">
        <v>293.81</v>
      </c>
      <c r="K5445" t="str">
        <f t="shared" ref="K5445:K5476" si="1001">"809"</f>
        <v>809</v>
      </c>
      <c r="L5445">
        <v>293.81</v>
      </c>
    </row>
    <row r="5446" spans="1:12" x14ac:dyDescent="0.25">
      <c r="A5446" t="str">
        <f t="shared" si="998"/>
        <v>89301000</v>
      </c>
      <c r="B5446" t="str">
        <f t="shared" si="999"/>
        <v>78051000</v>
      </c>
      <c r="C5446" t="str">
        <f t="shared" si="1000"/>
        <v>78051004</v>
      </c>
      <c r="D5446">
        <v>89301062</v>
      </c>
      <c r="E5446" t="str">
        <f>"6254211634"</f>
        <v>6254211634</v>
      </c>
      <c r="F5446" s="1">
        <v>45063</v>
      </c>
      <c r="G5446" t="str">
        <f>"89311"</f>
        <v>89311</v>
      </c>
      <c r="H5446">
        <v>1</v>
      </c>
      <c r="I5446">
        <v>970</v>
      </c>
      <c r="J5446">
        <v>0</v>
      </c>
      <c r="K5446" t="str">
        <f t="shared" si="1001"/>
        <v>809</v>
      </c>
      <c r="L5446">
        <v>1425.9</v>
      </c>
    </row>
    <row r="5447" spans="1:12" x14ac:dyDescent="0.25">
      <c r="A5447" t="str">
        <f t="shared" si="998"/>
        <v>89301000</v>
      </c>
      <c r="B5447" t="str">
        <f t="shared" si="999"/>
        <v>78051000</v>
      </c>
      <c r="C5447" t="str">
        <f t="shared" si="1000"/>
        <v>78051004</v>
      </c>
      <c r="D5447">
        <v>89301062</v>
      </c>
      <c r="E5447" t="str">
        <f>"6254211634"</f>
        <v>6254211634</v>
      </c>
      <c r="F5447" s="1">
        <v>45063</v>
      </c>
      <c r="G5447" t="str">
        <f>"0090044"</f>
        <v>0090044</v>
      </c>
      <c r="H5447">
        <v>1</v>
      </c>
      <c r="J5447">
        <v>16.8</v>
      </c>
      <c r="K5447" t="str">
        <f t="shared" si="1001"/>
        <v>809</v>
      </c>
      <c r="L5447">
        <v>16.8</v>
      </c>
    </row>
    <row r="5448" spans="1:12" x14ac:dyDescent="0.25">
      <c r="A5448" t="str">
        <f t="shared" si="998"/>
        <v>89301000</v>
      </c>
      <c r="B5448" t="str">
        <f t="shared" si="999"/>
        <v>78051000</v>
      </c>
      <c r="C5448" t="str">
        <f t="shared" si="1000"/>
        <v>78051004</v>
      </c>
      <c r="D5448">
        <v>89301062</v>
      </c>
      <c r="E5448" t="str">
        <f>"6254211634"</f>
        <v>6254211634</v>
      </c>
      <c r="F5448" s="1">
        <v>45063</v>
      </c>
      <c r="G5448" t="str">
        <f>"0225891"</f>
        <v>0225891</v>
      </c>
      <c r="H5448">
        <v>0.2</v>
      </c>
      <c r="J5448">
        <v>73.540000000000006</v>
      </c>
      <c r="K5448" t="str">
        <f t="shared" si="1001"/>
        <v>809</v>
      </c>
      <c r="L5448">
        <v>73.540000000000006</v>
      </c>
    </row>
    <row r="5449" spans="1:12" x14ac:dyDescent="0.25">
      <c r="A5449" t="str">
        <f t="shared" si="998"/>
        <v>89301000</v>
      </c>
      <c r="B5449" t="str">
        <f t="shared" si="999"/>
        <v>78051000</v>
      </c>
      <c r="C5449" t="str">
        <f t="shared" si="1000"/>
        <v>78051004</v>
      </c>
      <c r="D5449">
        <v>89301062</v>
      </c>
      <c r="E5449" t="str">
        <f>"6254211634"</f>
        <v>6254211634</v>
      </c>
      <c r="F5449" s="1">
        <v>45063</v>
      </c>
      <c r="G5449" t="str">
        <f>"0096251"</f>
        <v>0096251</v>
      </c>
      <c r="H5449">
        <v>0.17</v>
      </c>
      <c r="J5449">
        <v>198.83</v>
      </c>
      <c r="K5449" t="str">
        <f t="shared" si="1001"/>
        <v>809</v>
      </c>
      <c r="L5449">
        <v>198.83</v>
      </c>
    </row>
    <row r="5450" spans="1:12" x14ac:dyDescent="0.25">
      <c r="A5450" t="str">
        <f t="shared" si="998"/>
        <v>89301000</v>
      </c>
      <c r="B5450" t="str">
        <f t="shared" si="999"/>
        <v>78051000</v>
      </c>
      <c r="C5450" t="str">
        <f t="shared" si="1000"/>
        <v>78051004</v>
      </c>
      <c r="D5450">
        <v>89301062</v>
      </c>
      <c r="E5450" t="str">
        <f>"6254211634"</f>
        <v>6254211634</v>
      </c>
      <c r="F5450" s="1">
        <v>45063</v>
      </c>
      <c r="G5450" t="str">
        <f>"0098943"</f>
        <v>0098943</v>
      </c>
      <c r="H5450">
        <v>1</v>
      </c>
      <c r="J5450">
        <v>293.81</v>
      </c>
      <c r="K5450" t="str">
        <f t="shared" si="1001"/>
        <v>809</v>
      </c>
      <c r="L5450">
        <v>293.81</v>
      </c>
    </row>
    <row r="5451" spans="1:12" x14ac:dyDescent="0.25">
      <c r="A5451" t="str">
        <f t="shared" si="998"/>
        <v>89301000</v>
      </c>
      <c r="B5451" t="str">
        <f t="shared" si="999"/>
        <v>78051000</v>
      </c>
      <c r="C5451" t="str">
        <f t="shared" si="1000"/>
        <v>78051004</v>
      </c>
      <c r="D5451">
        <v>89301062</v>
      </c>
      <c r="E5451" t="str">
        <f>"536006240"</f>
        <v>536006240</v>
      </c>
      <c r="F5451" s="1">
        <v>45063</v>
      </c>
      <c r="G5451" t="str">
        <f>"89311"</f>
        <v>89311</v>
      </c>
      <c r="H5451">
        <v>1</v>
      </c>
      <c r="I5451">
        <v>970</v>
      </c>
      <c r="J5451">
        <v>0</v>
      </c>
      <c r="K5451" t="str">
        <f t="shared" si="1001"/>
        <v>809</v>
      </c>
      <c r="L5451">
        <v>1425.9</v>
      </c>
    </row>
    <row r="5452" spans="1:12" x14ac:dyDescent="0.25">
      <c r="A5452" t="str">
        <f t="shared" si="998"/>
        <v>89301000</v>
      </c>
      <c r="B5452" t="str">
        <f t="shared" si="999"/>
        <v>78051000</v>
      </c>
      <c r="C5452" t="str">
        <f t="shared" si="1000"/>
        <v>78051004</v>
      </c>
      <c r="D5452">
        <v>89301062</v>
      </c>
      <c r="E5452" t="str">
        <f>"536006240"</f>
        <v>536006240</v>
      </c>
      <c r="F5452" s="1">
        <v>45063</v>
      </c>
      <c r="G5452" t="str">
        <f>"0090044"</f>
        <v>0090044</v>
      </c>
      <c r="H5452">
        <v>1</v>
      </c>
      <c r="J5452">
        <v>16.8</v>
      </c>
      <c r="K5452" t="str">
        <f t="shared" si="1001"/>
        <v>809</v>
      </c>
      <c r="L5452">
        <v>16.8</v>
      </c>
    </row>
    <row r="5453" spans="1:12" x14ac:dyDescent="0.25">
      <c r="A5453" t="str">
        <f t="shared" si="998"/>
        <v>89301000</v>
      </c>
      <c r="B5453" t="str">
        <f t="shared" si="999"/>
        <v>78051000</v>
      </c>
      <c r="C5453" t="str">
        <f t="shared" si="1000"/>
        <v>78051004</v>
      </c>
      <c r="D5453">
        <v>89301062</v>
      </c>
      <c r="E5453" t="str">
        <f>"536006240"</f>
        <v>536006240</v>
      </c>
      <c r="F5453" s="1">
        <v>45063</v>
      </c>
      <c r="G5453" t="str">
        <f>"0225891"</f>
        <v>0225891</v>
      </c>
      <c r="H5453">
        <v>0.2</v>
      </c>
      <c r="J5453">
        <v>73.540000000000006</v>
      </c>
      <c r="K5453" t="str">
        <f t="shared" si="1001"/>
        <v>809</v>
      </c>
      <c r="L5453">
        <v>73.540000000000006</v>
      </c>
    </row>
    <row r="5454" spans="1:12" x14ac:dyDescent="0.25">
      <c r="A5454" t="str">
        <f t="shared" si="998"/>
        <v>89301000</v>
      </c>
      <c r="B5454" t="str">
        <f t="shared" si="999"/>
        <v>78051000</v>
      </c>
      <c r="C5454" t="str">
        <f t="shared" si="1000"/>
        <v>78051004</v>
      </c>
      <c r="D5454">
        <v>89301062</v>
      </c>
      <c r="E5454" t="str">
        <f>"536006240"</f>
        <v>536006240</v>
      </c>
      <c r="F5454" s="1">
        <v>45063</v>
      </c>
      <c r="G5454" t="str">
        <f>"0096251"</f>
        <v>0096251</v>
      </c>
      <c r="H5454">
        <v>0.17</v>
      </c>
      <c r="J5454">
        <v>198.83</v>
      </c>
      <c r="K5454" t="str">
        <f t="shared" si="1001"/>
        <v>809</v>
      </c>
      <c r="L5454">
        <v>198.83</v>
      </c>
    </row>
    <row r="5455" spans="1:12" x14ac:dyDescent="0.25">
      <c r="A5455" t="str">
        <f t="shared" si="998"/>
        <v>89301000</v>
      </c>
      <c r="B5455" t="str">
        <f t="shared" si="999"/>
        <v>78051000</v>
      </c>
      <c r="C5455" t="str">
        <f t="shared" si="1000"/>
        <v>78051004</v>
      </c>
      <c r="D5455">
        <v>89301062</v>
      </c>
      <c r="E5455" t="str">
        <f>"536006240"</f>
        <v>536006240</v>
      </c>
      <c r="F5455" s="1">
        <v>45063</v>
      </c>
      <c r="G5455" t="str">
        <f>"0098943"</f>
        <v>0098943</v>
      </c>
      <c r="H5455">
        <v>1</v>
      </c>
      <c r="J5455">
        <v>293.81</v>
      </c>
      <c r="K5455" t="str">
        <f t="shared" si="1001"/>
        <v>809</v>
      </c>
      <c r="L5455">
        <v>293.81</v>
      </c>
    </row>
    <row r="5456" spans="1:12" x14ac:dyDescent="0.25">
      <c r="A5456" t="str">
        <f t="shared" si="998"/>
        <v>89301000</v>
      </c>
      <c r="B5456" t="str">
        <f t="shared" si="999"/>
        <v>78051000</v>
      </c>
      <c r="C5456" t="str">
        <f t="shared" si="1000"/>
        <v>78051004</v>
      </c>
      <c r="D5456">
        <v>89301062</v>
      </c>
      <c r="E5456" t="str">
        <f>"6352171474"</f>
        <v>6352171474</v>
      </c>
      <c r="F5456" s="1">
        <v>45070</v>
      </c>
      <c r="G5456" t="str">
        <f>"89311"</f>
        <v>89311</v>
      </c>
      <c r="H5456">
        <v>1</v>
      </c>
      <c r="I5456">
        <v>970</v>
      </c>
      <c r="J5456">
        <v>0</v>
      </c>
      <c r="K5456" t="str">
        <f t="shared" si="1001"/>
        <v>809</v>
      </c>
      <c r="L5456">
        <v>1425.9</v>
      </c>
    </row>
    <row r="5457" spans="1:12" x14ac:dyDescent="0.25">
      <c r="A5457" t="str">
        <f t="shared" si="998"/>
        <v>89301000</v>
      </c>
      <c r="B5457" t="str">
        <f t="shared" si="999"/>
        <v>78051000</v>
      </c>
      <c r="C5457" t="str">
        <f t="shared" si="1000"/>
        <v>78051004</v>
      </c>
      <c r="D5457">
        <v>89301062</v>
      </c>
      <c r="E5457" t="str">
        <f>"6352171474"</f>
        <v>6352171474</v>
      </c>
      <c r="F5457" s="1">
        <v>45070</v>
      </c>
      <c r="G5457" t="str">
        <f>"0090044"</f>
        <v>0090044</v>
      </c>
      <c r="H5457">
        <v>1</v>
      </c>
      <c r="J5457">
        <v>16.8</v>
      </c>
      <c r="K5457" t="str">
        <f t="shared" si="1001"/>
        <v>809</v>
      </c>
      <c r="L5457">
        <v>16.8</v>
      </c>
    </row>
    <row r="5458" spans="1:12" x14ac:dyDescent="0.25">
      <c r="A5458" t="str">
        <f t="shared" si="998"/>
        <v>89301000</v>
      </c>
      <c r="B5458" t="str">
        <f t="shared" si="999"/>
        <v>78051000</v>
      </c>
      <c r="C5458" t="str">
        <f t="shared" si="1000"/>
        <v>78051004</v>
      </c>
      <c r="D5458">
        <v>89301062</v>
      </c>
      <c r="E5458" t="str">
        <f>"6352171474"</f>
        <v>6352171474</v>
      </c>
      <c r="F5458" s="1">
        <v>45070</v>
      </c>
      <c r="G5458" t="str">
        <f>"0225891"</f>
        <v>0225891</v>
      </c>
      <c r="H5458">
        <v>0.2</v>
      </c>
      <c r="J5458">
        <v>73.540000000000006</v>
      </c>
      <c r="K5458" t="str">
        <f t="shared" si="1001"/>
        <v>809</v>
      </c>
      <c r="L5458">
        <v>73.540000000000006</v>
      </c>
    </row>
    <row r="5459" spans="1:12" x14ac:dyDescent="0.25">
      <c r="A5459" t="str">
        <f t="shared" si="998"/>
        <v>89301000</v>
      </c>
      <c r="B5459" t="str">
        <f t="shared" si="999"/>
        <v>78051000</v>
      </c>
      <c r="C5459" t="str">
        <f t="shared" si="1000"/>
        <v>78051004</v>
      </c>
      <c r="D5459">
        <v>89301062</v>
      </c>
      <c r="E5459" t="str">
        <f>"6352171474"</f>
        <v>6352171474</v>
      </c>
      <c r="F5459" s="1">
        <v>45070</v>
      </c>
      <c r="G5459" t="str">
        <f>"0096251"</f>
        <v>0096251</v>
      </c>
      <c r="H5459">
        <v>0.17</v>
      </c>
      <c r="J5459">
        <v>198.83</v>
      </c>
      <c r="K5459" t="str">
        <f t="shared" si="1001"/>
        <v>809</v>
      </c>
      <c r="L5459">
        <v>198.83</v>
      </c>
    </row>
    <row r="5460" spans="1:12" x14ac:dyDescent="0.25">
      <c r="A5460" t="str">
        <f t="shared" si="998"/>
        <v>89301000</v>
      </c>
      <c r="B5460" t="str">
        <f t="shared" si="999"/>
        <v>78051000</v>
      </c>
      <c r="C5460" t="str">
        <f t="shared" si="1000"/>
        <v>78051004</v>
      </c>
      <c r="D5460">
        <v>89301062</v>
      </c>
      <c r="E5460" t="str">
        <f>"6352171474"</f>
        <v>6352171474</v>
      </c>
      <c r="F5460" s="1">
        <v>45070</v>
      </c>
      <c r="G5460" t="str">
        <f>"0098943"</f>
        <v>0098943</v>
      </c>
      <c r="H5460">
        <v>1</v>
      </c>
      <c r="J5460">
        <v>293.81</v>
      </c>
      <c r="K5460" t="str">
        <f t="shared" si="1001"/>
        <v>809</v>
      </c>
      <c r="L5460">
        <v>293.81</v>
      </c>
    </row>
    <row r="5461" spans="1:12" x14ac:dyDescent="0.25">
      <c r="A5461" t="str">
        <f t="shared" si="998"/>
        <v>89301000</v>
      </c>
      <c r="B5461" t="str">
        <f t="shared" si="999"/>
        <v>78051000</v>
      </c>
      <c r="C5461" t="str">
        <f t="shared" si="1000"/>
        <v>78051004</v>
      </c>
      <c r="D5461">
        <v>89301062</v>
      </c>
      <c r="E5461" t="str">
        <f>"7601295350"</f>
        <v>7601295350</v>
      </c>
      <c r="F5461" s="1">
        <v>45070</v>
      </c>
      <c r="G5461" t="str">
        <f>"89311"</f>
        <v>89311</v>
      </c>
      <c r="H5461">
        <v>1</v>
      </c>
      <c r="I5461">
        <v>970</v>
      </c>
      <c r="J5461">
        <v>0</v>
      </c>
      <c r="K5461" t="str">
        <f t="shared" si="1001"/>
        <v>809</v>
      </c>
      <c r="L5461">
        <v>1425.9</v>
      </c>
    </row>
    <row r="5462" spans="1:12" x14ac:dyDescent="0.25">
      <c r="A5462" t="str">
        <f t="shared" si="998"/>
        <v>89301000</v>
      </c>
      <c r="B5462" t="str">
        <f t="shared" si="999"/>
        <v>78051000</v>
      </c>
      <c r="C5462" t="str">
        <f t="shared" si="1000"/>
        <v>78051004</v>
      </c>
      <c r="D5462">
        <v>89301062</v>
      </c>
      <c r="E5462" t="str">
        <f>"7601295350"</f>
        <v>7601295350</v>
      </c>
      <c r="F5462" s="1">
        <v>45070</v>
      </c>
      <c r="G5462" t="str">
        <f>"0090044"</f>
        <v>0090044</v>
      </c>
      <c r="H5462">
        <v>1</v>
      </c>
      <c r="J5462">
        <v>16.8</v>
      </c>
      <c r="K5462" t="str">
        <f t="shared" si="1001"/>
        <v>809</v>
      </c>
      <c r="L5462">
        <v>16.8</v>
      </c>
    </row>
    <row r="5463" spans="1:12" x14ac:dyDescent="0.25">
      <c r="A5463" t="str">
        <f t="shared" si="998"/>
        <v>89301000</v>
      </c>
      <c r="B5463" t="str">
        <f t="shared" si="999"/>
        <v>78051000</v>
      </c>
      <c r="C5463" t="str">
        <f t="shared" si="1000"/>
        <v>78051004</v>
      </c>
      <c r="D5463">
        <v>89301062</v>
      </c>
      <c r="E5463" t="str">
        <f>"7601295350"</f>
        <v>7601295350</v>
      </c>
      <c r="F5463" s="1">
        <v>45070</v>
      </c>
      <c r="G5463" t="str">
        <f>"0225891"</f>
        <v>0225891</v>
      </c>
      <c r="H5463">
        <v>0.2</v>
      </c>
      <c r="J5463">
        <v>73.540000000000006</v>
      </c>
      <c r="K5463" t="str">
        <f t="shared" si="1001"/>
        <v>809</v>
      </c>
      <c r="L5463">
        <v>73.540000000000006</v>
      </c>
    </row>
    <row r="5464" spans="1:12" x14ac:dyDescent="0.25">
      <c r="A5464" t="str">
        <f t="shared" si="998"/>
        <v>89301000</v>
      </c>
      <c r="B5464" t="str">
        <f t="shared" si="999"/>
        <v>78051000</v>
      </c>
      <c r="C5464" t="str">
        <f t="shared" si="1000"/>
        <v>78051004</v>
      </c>
      <c r="D5464">
        <v>89301062</v>
      </c>
      <c r="E5464" t="str">
        <f>"7601295350"</f>
        <v>7601295350</v>
      </c>
      <c r="F5464" s="1">
        <v>45070</v>
      </c>
      <c r="G5464" t="str">
        <f>"0096251"</f>
        <v>0096251</v>
      </c>
      <c r="H5464">
        <v>0.17</v>
      </c>
      <c r="J5464">
        <v>198.83</v>
      </c>
      <c r="K5464" t="str">
        <f t="shared" si="1001"/>
        <v>809</v>
      </c>
      <c r="L5464">
        <v>198.83</v>
      </c>
    </row>
    <row r="5465" spans="1:12" x14ac:dyDescent="0.25">
      <c r="A5465" t="str">
        <f t="shared" si="998"/>
        <v>89301000</v>
      </c>
      <c r="B5465" t="str">
        <f t="shared" si="999"/>
        <v>78051000</v>
      </c>
      <c r="C5465" t="str">
        <f t="shared" si="1000"/>
        <v>78051004</v>
      </c>
      <c r="D5465">
        <v>89301062</v>
      </c>
      <c r="E5465" t="str">
        <f>"7601295350"</f>
        <v>7601295350</v>
      </c>
      <c r="F5465" s="1">
        <v>45070</v>
      </c>
      <c r="G5465" t="str">
        <f>"0098943"</f>
        <v>0098943</v>
      </c>
      <c r="H5465">
        <v>1</v>
      </c>
      <c r="J5465">
        <v>293.81</v>
      </c>
      <c r="K5465" t="str">
        <f t="shared" si="1001"/>
        <v>809</v>
      </c>
      <c r="L5465">
        <v>293.81</v>
      </c>
    </row>
    <row r="5466" spans="1:12" x14ac:dyDescent="0.25">
      <c r="A5466" t="str">
        <f t="shared" si="998"/>
        <v>89301000</v>
      </c>
      <c r="B5466" t="str">
        <f t="shared" si="999"/>
        <v>78051000</v>
      </c>
      <c r="C5466" t="str">
        <f t="shared" si="1000"/>
        <v>78051004</v>
      </c>
      <c r="D5466">
        <v>89301062</v>
      </c>
      <c r="E5466" t="str">
        <f>"521127211"</f>
        <v>521127211</v>
      </c>
      <c r="F5466" s="1">
        <v>45070</v>
      </c>
      <c r="G5466" t="str">
        <f>"89311"</f>
        <v>89311</v>
      </c>
      <c r="H5466">
        <v>1</v>
      </c>
      <c r="I5466">
        <v>970</v>
      </c>
      <c r="J5466">
        <v>0</v>
      </c>
      <c r="K5466" t="str">
        <f t="shared" si="1001"/>
        <v>809</v>
      </c>
      <c r="L5466">
        <v>1425.9</v>
      </c>
    </row>
    <row r="5467" spans="1:12" x14ac:dyDescent="0.25">
      <c r="A5467" t="str">
        <f t="shared" si="998"/>
        <v>89301000</v>
      </c>
      <c r="B5467" t="str">
        <f t="shared" si="999"/>
        <v>78051000</v>
      </c>
      <c r="C5467" t="str">
        <f t="shared" si="1000"/>
        <v>78051004</v>
      </c>
      <c r="D5467">
        <v>89301062</v>
      </c>
      <c r="E5467" t="str">
        <f>"521127211"</f>
        <v>521127211</v>
      </c>
      <c r="F5467" s="1">
        <v>45070</v>
      </c>
      <c r="G5467" t="str">
        <f>"0090044"</f>
        <v>0090044</v>
      </c>
      <c r="H5467">
        <v>1</v>
      </c>
      <c r="J5467">
        <v>16.8</v>
      </c>
      <c r="K5467" t="str">
        <f t="shared" si="1001"/>
        <v>809</v>
      </c>
      <c r="L5467">
        <v>16.8</v>
      </c>
    </row>
    <row r="5468" spans="1:12" x14ac:dyDescent="0.25">
      <c r="A5468" t="str">
        <f t="shared" si="998"/>
        <v>89301000</v>
      </c>
      <c r="B5468" t="str">
        <f t="shared" si="999"/>
        <v>78051000</v>
      </c>
      <c r="C5468" t="str">
        <f t="shared" si="1000"/>
        <v>78051004</v>
      </c>
      <c r="D5468">
        <v>89301062</v>
      </c>
      <c r="E5468" t="str">
        <f>"521127211"</f>
        <v>521127211</v>
      </c>
      <c r="F5468" s="1">
        <v>45070</v>
      </c>
      <c r="G5468" t="str">
        <f>"0225891"</f>
        <v>0225891</v>
      </c>
      <c r="H5468">
        <v>0.2</v>
      </c>
      <c r="J5468">
        <v>73.540000000000006</v>
      </c>
      <c r="K5468" t="str">
        <f t="shared" si="1001"/>
        <v>809</v>
      </c>
      <c r="L5468">
        <v>73.540000000000006</v>
      </c>
    </row>
    <row r="5469" spans="1:12" x14ac:dyDescent="0.25">
      <c r="A5469" t="str">
        <f t="shared" si="998"/>
        <v>89301000</v>
      </c>
      <c r="B5469" t="str">
        <f t="shared" si="999"/>
        <v>78051000</v>
      </c>
      <c r="C5469" t="str">
        <f t="shared" si="1000"/>
        <v>78051004</v>
      </c>
      <c r="D5469">
        <v>89301062</v>
      </c>
      <c r="E5469" t="str">
        <f>"521127211"</f>
        <v>521127211</v>
      </c>
      <c r="F5469" s="1">
        <v>45070</v>
      </c>
      <c r="G5469" t="str">
        <f>"0096251"</f>
        <v>0096251</v>
      </c>
      <c r="H5469">
        <v>0.17</v>
      </c>
      <c r="J5469">
        <v>198.83</v>
      </c>
      <c r="K5469" t="str">
        <f t="shared" si="1001"/>
        <v>809</v>
      </c>
      <c r="L5469">
        <v>198.83</v>
      </c>
    </row>
    <row r="5470" spans="1:12" x14ac:dyDescent="0.25">
      <c r="A5470" t="str">
        <f t="shared" si="998"/>
        <v>89301000</v>
      </c>
      <c r="B5470" t="str">
        <f t="shared" si="999"/>
        <v>78051000</v>
      </c>
      <c r="C5470" t="str">
        <f t="shared" si="1000"/>
        <v>78051004</v>
      </c>
      <c r="D5470">
        <v>89301062</v>
      </c>
      <c r="E5470" t="str">
        <f>"521127211"</f>
        <v>521127211</v>
      </c>
      <c r="F5470" s="1">
        <v>45070</v>
      </c>
      <c r="G5470" t="str">
        <f>"0098943"</f>
        <v>0098943</v>
      </c>
      <c r="H5470">
        <v>1</v>
      </c>
      <c r="J5470">
        <v>293.81</v>
      </c>
      <c r="K5470" t="str">
        <f t="shared" si="1001"/>
        <v>809</v>
      </c>
      <c r="L5470">
        <v>293.81</v>
      </c>
    </row>
    <row r="5471" spans="1:12" x14ac:dyDescent="0.25">
      <c r="A5471" t="str">
        <f t="shared" si="998"/>
        <v>89301000</v>
      </c>
      <c r="B5471" t="str">
        <f t="shared" si="999"/>
        <v>78051000</v>
      </c>
      <c r="C5471" t="str">
        <f t="shared" si="1000"/>
        <v>78051004</v>
      </c>
      <c r="D5471">
        <v>89301062</v>
      </c>
      <c r="E5471" t="str">
        <f>"7105014455"</f>
        <v>7105014455</v>
      </c>
      <c r="F5471" s="1">
        <v>45070</v>
      </c>
      <c r="G5471" t="str">
        <f>"89311"</f>
        <v>89311</v>
      </c>
      <c r="H5471">
        <v>1</v>
      </c>
      <c r="I5471">
        <v>970</v>
      </c>
      <c r="J5471">
        <v>0</v>
      </c>
      <c r="K5471" t="str">
        <f t="shared" si="1001"/>
        <v>809</v>
      </c>
      <c r="L5471">
        <v>1425.9</v>
      </c>
    </row>
    <row r="5472" spans="1:12" x14ac:dyDescent="0.25">
      <c r="A5472" t="str">
        <f t="shared" si="998"/>
        <v>89301000</v>
      </c>
      <c r="B5472" t="str">
        <f t="shared" si="999"/>
        <v>78051000</v>
      </c>
      <c r="C5472" t="str">
        <f t="shared" si="1000"/>
        <v>78051004</v>
      </c>
      <c r="D5472">
        <v>89301062</v>
      </c>
      <c r="E5472" t="str">
        <f>"7105014455"</f>
        <v>7105014455</v>
      </c>
      <c r="F5472" s="1">
        <v>45070</v>
      </c>
      <c r="G5472" t="str">
        <f>"0090044"</f>
        <v>0090044</v>
      </c>
      <c r="H5472">
        <v>1</v>
      </c>
      <c r="J5472">
        <v>16.8</v>
      </c>
      <c r="K5472" t="str">
        <f t="shared" si="1001"/>
        <v>809</v>
      </c>
      <c r="L5472">
        <v>16.8</v>
      </c>
    </row>
    <row r="5473" spans="1:12" x14ac:dyDescent="0.25">
      <c r="A5473" t="str">
        <f t="shared" si="998"/>
        <v>89301000</v>
      </c>
      <c r="B5473" t="str">
        <f t="shared" si="999"/>
        <v>78051000</v>
      </c>
      <c r="C5473" t="str">
        <f t="shared" si="1000"/>
        <v>78051004</v>
      </c>
      <c r="D5473">
        <v>89301062</v>
      </c>
      <c r="E5473" t="str">
        <f>"7105014455"</f>
        <v>7105014455</v>
      </c>
      <c r="F5473" s="1">
        <v>45070</v>
      </c>
      <c r="G5473" t="str">
        <f>"0225891"</f>
        <v>0225891</v>
      </c>
      <c r="H5473">
        <v>0.2</v>
      </c>
      <c r="J5473">
        <v>73.540000000000006</v>
      </c>
      <c r="K5473" t="str">
        <f t="shared" si="1001"/>
        <v>809</v>
      </c>
      <c r="L5473">
        <v>73.540000000000006</v>
      </c>
    </row>
    <row r="5474" spans="1:12" x14ac:dyDescent="0.25">
      <c r="A5474" t="str">
        <f t="shared" si="998"/>
        <v>89301000</v>
      </c>
      <c r="B5474" t="str">
        <f t="shared" si="999"/>
        <v>78051000</v>
      </c>
      <c r="C5474" t="str">
        <f t="shared" si="1000"/>
        <v>78051004</v>
      </c>
      <c r="D5474">
        <v>89301062</v>
      </c>
      <c r="E5474" t="str">
        <f>"7105014455"</f>
        <v>7105014455</v>
      </c>
      <c r="F5474" s="1">
        <v>45070</v>
      </c>
      <c r="G5474" t="str">
        <f>"0096251"</f>
        <v>0096251</v>
      </c>
      <c r="H5474">
        <v>0.17</v>
      </c>
      <c r="J5474">
        <v>198.83</v>
      </c>
      <c r="K5474" t="str">
        <f t="shared" si="1001"/>
        <v>809</v>
      </c>
      <c r="L5474">
        <v>198.83</v>
      </c>
    </row>
    <row r="5475" spans="1:12" x14ac:dyDescent="0.25">
      <c r="A5475" t="str">
        <f t="shared" si="998"/>
        <v>89301000</v>
      </c>
      <c r="B5475" t="str">
        <f t="shared" ref="B5475:B5506" si="1002">"78051000"</f>
        <v>78051000</v>
      </c>
      <c r="C5475" t="str">
        <f t="shared" ref="C5475:C5510" si="1003">"78051004"</f>
        <v>78051004</v>
      </c>
      <c r="D5475">
        <v>89301062</v>
      </c>
      <c r="E5475" t="str">
        <f>"7105014455"</f>
        <v>7105014455</v>
      </c>
      <c r="F5475" s="1">
        <v>45070</v>
      </c>
      <c r="G5475" t="str">
        <f>"0098943"</f>
        <v>0098943</v>
      </c>
      <c r="H5475">
        <v>1</v>
      </c>
      <c r="J5475">
        <v>293.81</v>
      </c>
      <c r="K5475" t="str">
        <f t="shared" si="1001"/>
        <v>809</v>
      </c>
      <c r="L5475">
        <v>293.81</v>
      </c>
    </row>
    <row r="5476" spans="1:12" x14ac:dyDescent="0.25">
      <c r="A5476" t="str">
        <f t="shared" si="998"/>
        <v>89301000</v>
      </c>
      <c r="B5476" t="str">
        <f t="shared" si="1002"/>
        <v>78051000</v>
      </c>
      <c r="C5476" t="str">
        <f t="shared" si="1003"/>
        <v>78051004</v>
      </c>
      <c r="D5476">
        <v>89301062</v>
      </c>
      <c r="E5476" t="str">
        <f>"5604241577"</f>
        <v>5604241577</v>
      </c>
      <c r="F5476" s="1">
        <v>45070</v>
      </c>
      <c r="G5476" t="str">
        <f>"89311"</f>
        <v>89311</v>
      </c>
      <c r="H5476">
        <v>1</v>
      </c>
      <c r="I5476">
        <v>970</v>
      </c>
      <c r="J5476">
        <v>0</v>
      </c>
      <c r="K5476" t="str">
        <f t="shared" si="1001"/>
        <v>809</v>
      </c>
      <c r="L5476">
        <v>1425.9</v>
      </c>
    </row>
    <row r="5477" spans="1:12" x14ac:dyDescent="0.25">
      <c r="A5477" t="str">
        <f t="shared" si="998"/>
        <v>89301000</v>
      </c>
      <c r="B5477" t="str">
        <f t="shared" si="1002"/>
        <v>78051000</v>
      </c>
      <c r="C5477" t="str">
        <f t="shared" si="1003"/>
        <v>78051004</v>
      </c>
      <c r="D5477">
        <v>89301062</v>
      </c>
      <c r="E5477" t="str">
        <f>"5604241577"</f>
        <v>5604241577</v>
      </c>
      <c r="F5477" s="1">
        <v>45070</v>
      </c>
      <c r="G5477" t="str">
        <f>"0090044"</f>
        <v>0090044</v>
      </c>
      <c r="H5477">
        <v>1</v>
      </c>
      <c r="J5477">
        <v>16.8</v>
      </c>
      <c r="K5477" t="str">
        <f t="shared" ref="K5477:K5510" si="1004">"809"</f>
        <v>809</v>
      </c>
      <c r="L5477">
        <v>16.8</v>
      </c>
    </row>
    <row r="5478" spans="1:12" x14ac:dyDescent="0.25">
      <c r="A5478" t="str">
        <f t="shared" si="998"/>
        <v>89301000</v>
      </c>
      <c r="B5478" t="str">
        <f t="shared" si="1002"/>
        <v>78051000</v>
      </c>
      <c r="C5478" t="str">
        <f t="shared" si="1003"/>
        <v>78051004</v>
      </c>
      <c r="D5478">
        <v>89301062</v>
      </c>
      <c r="E5478" t="str">
        <f>"5604241577"</f>
        <v>5604241577</v>
      </c>
      <c r="F5478" s="1">
        <v>45070</v>
      </c>
      <c r="G5478" t="str">
        <f>"0225891"</f>
        <v>0225891</v>
      </c>
      <c r="H5478">
        <v>0.2</v>
      </c>
      <c r="J5478">
        <v>73.540000000000006</v>
      </c>
      <c r="K5478" t="str">
        <f t="shared" si="1004"/>
        <v>809</v>
      </c>
      <c r="L5478">
        <v>73.540000000000006</v>
      </c>
    </row>
    <row r="5479" spans="1:12" x14ac:dyDescent="0.25">
      <c r="A5479" t="str">
        <f t="shared" si="998"/>
        <v>89301000</v>
      </c>
      <c r="B5479" t="str">
        <f t="shared" si="1002"/>
        <v>78051000</v>
      </c>
      <c r="C5479" t="str">
        <f t="shared" si="1003"/>
        <v>78051004</v>
      </c>
      <c r="D5479">
        <v>89301062</v>
      </c>
      <c r="E5479" t="str">
        <f>"5604241577"</f>
        <v>5604241577</v>
      </c>
      <c r="F5479" s="1">
        <v>45070</v>
      </c>
      <c r="G5479" t="str">
        <f>"0096251"</f>
        <v>0096251</v>
      </c>
      <c r="H5479">
        <v>0.17</v>
      </c>
      <c r="J5479">
        <v>198.83</v>
      </c>
      <c r="K5479" t="str">
        <f t="shared" si="1004"/>
        <v>809</v>
      </c>
      <c r="L5479">
        <v>198.83</v>
      </c>
    </row>
    <row r="5480" spans="1:12" x14ac:dyDescent="0.25">
      <c r="A5480" t="str">
        <f t="shared" si="998"/>
        <v>89301000</v>
      </c>
      <c r="B5480" t="str">
        <f t="shared" si="1002"/>
        <v>78051000</v>
      </c>
      <c r="C5480" t="str">
        <f t="shared" si="1003"/>
        <v>78051004</v>
      </c>
      <c r="D5480">
        <v>89301062</v>
      </c>
      <c r="E5480" t="str">
        <f>"5604241577"</f>
        <v>5604241577</v>
      </c>
      <c r="F5480" s="1">
        <v>45070</v>
      </c>
      <c r="G5480" t="str">
        <f>"0098943"</f>
        <v>0098943</v>
      </c>
      <c r="H5480">
        <v>1</v>
      </c>
      <c r="J5480">
        <v>293.81</v>
      </c>
      <c r="K5480" t="str">
        <f t="shared" si="1004"/>
        <v>809</v>
      </c>
      <c r="L5480">
        <v>293.81</v>
      </c>
    </row>
    <row r="5481" spans="1:12" x14ac:dyDescent="0.25">
      <c r="A5481" t="str">
        <f t="shared" si="998"/>
        <v>89301000</v>
      </c>
      <c r="B5481" t="str">
        <f t="shared" si="1002"/>
        <v>78051000</v>
      </c>
      <c r="C5481" t="str">
        <f t="shared" si="1003"/>
        <v>78051004</v>
      </c>
      <c r="D5481">
        <v>89301062</v>
      </c>
      <c r="E5481" t="str">
        <f>"8957116157"</f>
        <v>8957116157</v>
      </c>
      <c r="F5481" s="1">
        <v>45076</v>
      </c>
      <c r="G5481" t="str">
        <f>"89311"</f>
        <v>89311</v>
      </c>
      <c r="H5481">
        <v>1</v>
      </c>
      <c r="I5481">
        <v>970</v>
      </c>
      <c r="J5481">
        <v>0</v>
      </c>
      <c r="K5481" t="str">
        <f t="shared" si="1004"/>
        <v>809</v>
      </c>
      <c r="L5481">
        <v>1425.9</v>
      </c>
    </row>
    <row r="5482" spans="1:12" x14ac:dyDescent="0.25">
      <c r="A5482" t="str">
        <f t="shared" si="998"/>
        <v>89301000</v>
      </c>
      <c r="B5482" t="str">
        <f t="shared" si="1002"/>
        <v>78051000</v>
      </c>
      <c r="C5482" t="str">
        <f t="shared" si="1003"/>
        <v>78051004</v>
      </c>
      <c r="D5482">
        <v>89301062</v>
      </c>
      <c r="E5482" t="str">
        <f>"8957116157"</f>
        <v>8957116157</v>
      </c>
      <c r="F5482" s="1">
        <v>45076</v>
      </c>
      <c r="G5482" t="str">
        <f>"0090044"</f>
        <v>0090044</v>
      </c>
      <c r="H5482">
        <v>1</v>
      </c>
      <c r="J5482">
        <v>16.8</v>
      </c>
      <c r="K5482" t="str">
        <f t="shared" si="1004"/>
        <v>809</v>
      </c>
      <c r="L5482">
        <v>16.8</v>
      </c>
    </row>
    <row r="5483" spans="1:12" x14ac:dyDescent="0.25">
      <c r="A5483" t="str">
        <f t="shared" si="998"/>
        <v>89301000</v>
      </c>
      <c r="B5483" t="str">
        <f t="shared" si="1002"/>
        <v>78051000</v>
      </c>
      <c r="C5483" t="str">
        <f t="shared" si="1003"/>
        <v>78051004</v>
      </c>
      <c r="D5483">
        <v>89301062</v>
      </c>
      <c r="E5483" t="str">
        <f>"8957116157"</f>
        <v>8957116157</v>
      </c>
      <c r="F5483" s="1">
        <v>45076</v>
      </c>
      <c r="G5483" t="str">
        <f>"0225891"</f>
        <v>0225891</v>
      </c>
      <c r="H5483">
        <v>0.2</v>
      </c>
      <c r="J5483">
        <v>73.540000000000006</v>
      </c>
      <c r="K5483" t="str">
        <f t="shared" si="1004"/>
        <v>809</v>
      </c>
      <c r="L5483">
        <v>73.540000000000006</v>
      </c>
    </row>
    <row r="5484" spans="1:12" x14ac:dyDescent="0.25">
      <c r="A5484" t="str">
        <f t="shared" si="998"/>
        <v>89301000</v>
      </c>
      <c r="B5484" t="str">
        <f t="shared" si="1002"/>
        <v>78051000</v>
      </c>
      <c r="C5484" t="str">
        <f t="shared" si="1003"/>
        <v>78051004</v>
      </c>
      <c r="D5484">
        <v>89301062</v>
      </c>
      <c r="E5484" t="str">
        <f>"8957116157"</f>
        <v>8957116157</v>
      </c>
      <c r="F5484" s="1">
        <v>45076</v>
      </c>
      <c r="G5484" t="str">
        <f>"0096251"</f>
        <v>0096251</v>
      </c>
      <c r="H5484">
        <v>0.17</v>
      </c>
      <c r="J5484">
        <v>198.83</v>
      </c>
      <c r="K5484" t="str">
        <f t="shared" si="1004"/>
        <v>809</v>
      </c>
      <c r="L5484">
        <v>198.83</v>
      </c>
    </row>
    <row r="5485" spans="1:12" x14ac:dyDescent="0.25">
      <c r="A5485" t="str">
        <f t="shared" si="998"/>
        <v>89301000</v>
      </c>
      <c r="B5485" t="str">
        <f t="shared" si="1002"/>
        <v>78051000</v>
      </c>
      <c r="C5485" t="str">
        <f t="shared" si="1003"/>
        <v>78051004</v>
      </c>
      <c r="D5485">
        <v>89301062</v>
      </c>
      <c r="E5485" t="str">
        <f>"8957116157"</f>
        <v>8957116157</v>
      </c>
      <c r="F5485" s="1">
        <v>45076</v>
      </c>
      <c r="G5485" t="str">
        <f>"0098943"</f>
        <v>0098943</v>
      </c>
      <c r="H5485">
        <v>1</v>
      </c>
      <c r="J5485">
        <v>293.81</v>
      </c>
      <c r="K5485" t="str">
        <f t="shared" si="1004"/>
        <v>809</v>
      </c>
      <c r="L5485">
        <v>293.81</v>
      </c>
    </row>
    <row r="5486" spans="1:12" x14ac:dyDescent="0.25">
      <c r="A5486" t="str">
        <f t="shared" si="998"/>
        <v>89301000</v>
      </c>
      <c r="B5486" t="str">
        <f t="shared" si="1002"/>
        <v>78051000</v>
      </c>
      <c r="C5486" t="str">
        <f t="shared" si="1003"/>
        <v>78051004</v>
      </c>
      <c r="D5486">
        <v>89301062</v>
      </c>
      <c r="E5486" t="str">
        <f>"536110198"</f>
        <v>536110198</v>
      </c>
      <c r="F5486" s="1">
        <v>45076</v>
      </c>
      <c r="G5486" t="str">
        <f>"89311"</f>
        <v>89311</v>
      </c>
      <c r="H5486">
        <v>1</v>
      </c>
      <c r="I5486">
        <v>970</v>
      </c>
      <c r="J5486">
        <v>0</v>
      </c>
      <c r="K5486" t="str">
        <f t="shared" si="1004"/>
        <v>809</v>
      </c>
      <c r="L5486">
        <v>1425.9</v>
      </c>
    </row>
    <row r="5487" spans="1:12" x14ac:dyDescent="0.25">
      <c r="A5487" t="str">
        <f t="shared" si="998"/>
        <v>89301000</v>
      </c>
      <c r="B5487" t="str">
        <f t="shared" si="1002"/>
        <v>78051000</v>
      </c>
      <c r="C5487" t="str">
        <f t="shared" si="1003"/>
        <v>78051004</v>
      </c>
      <c r="D5487">
        <v>89301062</v>
      </c>
      <c r="E5487" t="str">
        <f>"536110198"</f>
        <v>536110198</v>
      </c>
      <c r="F5487" s="1">
        <v>45076</v>
      </c>
      <c r="G5487" t="str">
        <f>"0090044"</f>
        <v>0090044</v>
      </c>
      <c r="H5487">
        <v>1</v>
      </c>
      <c r="J5487">
        <v>16.8</v>
      </c>
      <c r="K5487" t="str">
        <f t="shared" si="1004"/>
        <v>809</v>
      </c>
      <c r="L5487">
        <v>16.8</v>
      </c>
    </row>
    <row r="5488" spans="1:12" x14ac:dyDescent="0.25">
      <c r="A5488" t="str">
        <f t="shared" si="998"/>
        <v>89301000</v>
      </c>
      <c r="B5488" t="str">
        <f t="shared" si="1002"/>
        <v>78051000</v>
      </c>
      <c r="C5488" t="str">
        <f t="shared" si="1003"/>
        <v>78051004</v>
      </c>
      <c r="D5488">
        <v>89301062</v>
      </c>
      <c r="E5488" t="str">
        <f>"536110198"</f>
        <v>536110198</v>
      </c>
      <c r="F5488" s="1">
        <v>45076</v>
      </c>
      <c r="G5488" t="str">
        <f>"0225891"</f>
        <v>0225891</v>
      </c>
      <c r="H5488">
        <v>0.2</v>
      </c>
      <c r="J5488">
        <v>73.540000000000006</v>
      </c>
      <c r="K5488" t="str">
        <f t="shared" si="1004"/>
        <v>809</v>
      </c>
      <c r="L5488">
        <v>73.540000000000006</v>
      </c>
    </row>
    <row r="5489" spans="1:12" x14ac:dyDescent="0.25">
      <c r="A5489" t="str">
        <f t="shared" si="998"/>
        <v>89301000</v>
      </c>
      <c r="B5489" t="str">
        <f t="shared" si="1002"/>
        <v>78051000</v>
      </c>
      <c r="C5489" t="str">
        <f t="shared" si="1003"/>
        <v>78051004</v>
      </c>
      <c r="D5489">
        <v>89301062</v>
      </c>
      <c r="E5489" t="str">
        <f>"536110198"</f>
        <v>536110198</v>
      </c>
      <c r="F5489" s="1">
        <v>45076</v>
      </c>
      <c r="G5489" t="str">
        <f>"0096251"</f>
        <v>0096251</v>
      </c>
      <c r="H5489">
        <v>0.17</v>
      </c>
      <c r="J5489">
        <v>198.83</v>
      </c>
      <c r="K5489" t="str">
        <f t="shared" si="1004"/>
        <v>809</v>
      </c>
      <c r="L5489">
        <v>198.83</v>
      </c>
    </row>
    <row r="5490" spans="1:12" x14ac:dyDescent="0.25">
      <c r="A5490" t="str">
        <f t="shared" si="998"/>
        <v>89301000</v>
      </c>
      <c r="B5490" t="str">
        <f t="shared" si="1002"/>
        <v>78051000</v>
      </c>
      <c r="C5490" t="str">
        <f t="shared" si="1003"/>
        <v>78051004</v>
      </c>
      <c r="D5490">
        <v>89301062</v>
      </c>
      <c r="E5490" t="str">
        <f>"536110198"</f>
        <v>536110198</v>
      </c>
      <c r="F5490" s="1">
        <v>45076</v>
      </c>
      <c r="G5490" t="str">
        <f>"0098943"</f>
        <v>0098943</v>
      </c>
      <c r="H5490">
        <v>1</v>
      </c>
      <c r="J5490">
        <v>293.81</v>
      </c>
      <c r="K5490" t="str">
        <f t="shared" si="1004"/>
        <v>809</v>
      </c>
      <c r="L5490">
        <v>293.81</v>
      </c>
    </row>
    <row r="5491" spans="1:12" x14ac:dyDescent="0.25">
      <c r="A5491" t="str">
        <f t="shared" si="998"/>
        <v>89301000</v>
      </c>
      <c r="B5491" t="str">
        <f t="shared" si="1002"/>
        <v>78051000</v>
      </c>
      <c r="C5491" t="str">
        <f t="shared" si="1003"/>
        <v>78051004</v>
      </c>
      <c r="D5491">
        <v>89301062</v>
      </c>
      <c r="E5491" t="str">
        <f>"6552111984"</f>
        <v>6552111984</v>
      </c>
      <c r="F5491" s="1">
        <v>45076</v>
      </c>
      <c r="G5491" t="str">
        <f>"89311"</f>
        <v>89311</v>
      </c>
      <c r="H5491">
        <v>1</v>
      </c>
      <c r="I5491">
        <v>970</v>
      </c>
      <c r="J5491">
        <v>0</v>
      </c>
      <c r="K5491" t="str">
        <f t="shared" si="1004"/>
        <v>809</v>
      </c>
      <c r="L5491">
        <v>1425.9</v>
      </c>
    </row>
    <row r="5492" spans="1:12" x14ac:dyDescent="0.25">
      <c r="A5492" t="str">
        <f t="shared" si="998"/>
        <v>89301000</v>
      </c>
      <c r="B5492" t="str">
        <f t="shared" si="1002"/>
        <v>78051000</v>
      </c>
      <c r="C5492" t="str">
        <f t="shared" si="1003"/>
        <v>78051004</v>
      </c>
      <c r="D5492">
        <v>89301062</v>
      </c>
      <c r="E5492" t="str">
        <f>"6552111984"</f>
        <v>6552111984</v>
      </c>
      <c r="F5492" s="1">
        <v>45076</v>
      </c>
      <c r="G5492" t="str">
        <f>"0090044"</f>
        <v>0090044</v>
      </c>
      <c r="H5492">
        <v>1</v>
      </c>
      <c r="J5492">
        <v>16.8</v>
      </c>
      <c r="K5492" t="str">
        <f t="shared" si="1004"/>
        <v>809</v>
      </c>
      <c r="L5492">
        <v>16.8</v>
      </c>
    </row>
    <row r="5493" spans="1:12" x14ac:dyDescent="0.25">
      <c r="A5493" t="str">
        <f t="shared" si="998"/>
        <v>89301000</v>
      </c>
      <c r="B5493" t="str">
        <f t="shared" si="1002"/>
        <v>78051000</v>
      </c>
      <c r="C5493" t="str">
        <f t="shared" si="1003"/>
        <v>78051004</v>
      </c>
      <c r="D5493">
        <v>89301062</v>
      </c>
      <c r="E5493" t="str">
        <f>"6552111984"</f>
        <v>6552111984</v>
      </c>
      <c r="F5493" s="1">
        <v>45076</v>
      </c>
      <c r="G5493" t="str">
        <f>"0225891"</f>
        <v>0225891</v>
      </c>
      <c r="H5493">
        <v>0.2</v>
      </c>
      <c r="J5493">
        <v>73.540000000000006</v>
      </c>
      <c r="K5493" t="str">
        <f t="shared" si="1004"/>
        <v>809</v>
      </c>
      <c r="L5493">
        <v>73.540000000000006</v>
      </c>
    </row>
    <row r="5494" spans="1:12" x14ac:dyDescent="0.25">
      <c r="A5494" t="str">
        <f t="shared" si="998"/>
        <v>89301000</v>
      </c>
      <c r="B5494" t="str">
        <f t="shared" si="1002"/>
        <v>78051000</v>
      </c>
      <c r="C5494" t="str">
        <f t="shared" si="1003"/>
        <v>78051004</v>
      </c>
      <c r="D5494">
        <v>89301062</v>
      </c>
      <c r="E5494" t="str">
        <f>"6552111984"</f>
        <v>6552111984</v>
      </c>
      <c r="F5494" s="1">
        <v>45076</v>
      </c>
      <c r="G5494" t="str">
        <f>"0096251"</f>
        <v>0096251</v>
      </c>
      <c r="H5494">
        <v>0.17</v>
      </c>
      <c r="J5494">
        <v>198.83</v>
      </c>
      <c r="K5494" t="str">
        <f t="shared" si="1004"/>
        <v>809</v>
      </c>
      <c r="L5494">
        <v>198.83</v>
      </c>
    </row>
    <row r="5495" spans="1:12" x14ac:dyDescent="0.25">
      <c r="A5495" t="str">
        <f t="shared" si="998"/>
        <v>89301000</v>
      </c>
      <c r="B5495" t="str">
        <f t="shared" si="1002"/>
        <v>78051000</v>
      </c>
      <c r="C5495" t="str">
        <f t="shared" si="1003"/>
        <v>78051004</v>
      </c>
      <c r="D5495">
        <v>89301062</v>
      </c>
      <c r="E5495" t="str">
        <f>"6552111984"</f>
        <v>6552111984</v>
      </c>
      <c r="F5495" s="1">
        <v>45076</v>
      </c>
      <c r="G5495" t="str">
        <f>"0098943"</f>
        <v>0098943</v>
      </c>
      <c r="H5495">
        <v>1</v>
      </c>
      <c r="J5495">
        <v>293.81</v>
      </c>
      <c r="K5495" t="str">
        <f t="shared" si="1004"/>
        <v>809</v>
      </c>
      <c r="L5495">
        <v>293.81</v>
      </c>
    </row>
    <row r="5496" spans="1:12" x14ac:dyDescent="0.25">
      <c r="A5496" t="str">
        <f t="shared" si="998"/>
        <v>89301000</v>
      </c>
      <c r="B5496" t="str">
        <f t="shared" si="1002"/>
        <v>78051000</v>
      </c>
      <c r="C5496" t="str">
        <f t="shared" si="1003"/>
        <v>78051004</v>
      </c>
      <c r="D5496">
        <v>89301062</v>
      </c>
      <c r="E5496" t="str">
        <f>"5852201399"</f>
        <v>5852201399</v>
      </c>
      <c r="F5496" s="1">
        <v>45076</v>
      </c>
      <c r="G5496" t="str">
        <f>"89311"</f>
        <v>89311</v>
      </c>
      <c r="H5496">
        <v>1</v>
      </c>
      <c r="I5496">
        <v>970</v>
      </c>
      <c r="J5496">
        <v>0</v>
      </c>
      <c r="K5496" t="str">
        <f t="shared" si="1004"/>
        <v>809</v>
      </c>
      <c r="L5496">
        <v>1425.9</v>
      </c>
    </row>
    <row r="5497" spans="1:12" x14ac:dyDescent="0.25">
      <c r="A5497" t="str">
        <f t="shared" si="998"/>
        <v>89301000</v>
      </c>
      <c r="B5497" t="str">
        <f t="shared" si="1002"/>
        <v>78051000</v>
      </c>
      <c r="C5497" t="str">
        <f t="shared" si="1003"/>
        <v>78051004</v>
      </c>
      <c r="D5497">
        <v>89301062</v>
      </c>
      <c r="E5497" t="str">
        <f>"5852201399"</f>
        <v>5852201399</v>
      </c>
      <c r="F5497" s="1">
        <v>45076</v>
      </c>
      <c r="G5497" t="str">
        <f>"0090044"</f>
        <v>0090044</v>
      </c>
      <c r="H5497">
        <v>1</v>
      </c>
      <c r="J5497">
        <v>16.8</v>
      </c>
      <c r="K5497" t="str">
        <f t="shared" si="1004"/>
        <v>809</v>
      </c>
      <c r="L5497">
        <v>16.8</v>
      </c>
    </row>
    <row r="5498" spans="1:12" x14ac:dyDescent="0.25">
      <c r="A5498" t="str">
        <f t="shared" si="998"/>
        <v>89301000</v>
      </c>
      <c r="B5498" t="str">
        <f t="shared" si="1002"/>
        <v>78051000</v>
      </c>
      <c r="C5498" t="str">
        <f t="shared" si="1003"/>
        <v>78051004</v>
      </c>
      <c r="D5498">
        <v>89301062</v>
      </c>
      <c r="E5498" t="str">
        <f>"5852201399"</f>
        <v>5852201399</v>
      </c>
      <c r="F5498" s="1">
        <v>45076</v>
      </c>
      <c r="G5498" t="str">
        <f>"0225891"</f>
        <v>0225891</v>
      </c>
      <c r="H5498">
        <v>0.2</v>
      </c>
      <c r="J5498">
        <v>73.540000000000006</v>
      </c>
      <c r="K5498" t="str">
        <f t="shared" si="1004"/>
        <v>809</v>
      </c>
      <c r="L5498">
        <v>73.540000000000006</v>
      </c>
    </row>
    <row r="5499" spans="1:12" x14ac:dyDescent="0.25">
      <c r="A5499" t="str">
        <f t="shared" si="998"/>
        <v>89301000</v>
      </c>
      <c r="B5499" t="str">
        <f t="shared" si="1002"/>
        <v>78051000</v>
      </c>
      <c r="C5499" t="str">
        <f t="shared" si="1003"/>
        <v>78051004</v>
      </c>
      <c r="D5499">
        <v>89301062</v>
      </c>
      <c r="E5499" t="str">
        <f>"5852201399"</f>
        <v>5852201399</v>
      </c>
      <c r="F5499" s="1">
        <v>45076</v>
      </c>
      <c r="G5499" t="str">
        <f>"0096251"</f>
        <v>0096251</v>
      </c>
      <c r="H5499">
        <v>0.17</v>
      </c>
      <c r="J5499">
        <v>198.83</v>
      </c>
      <c r="K5499" t="str">
        <f t="shared" si="1004"/>
        <v>809</v>
      </c>
      <c r="L5499">
        <v>198.83</v>
      </c>
    </row>
    <row r="5500" spans="1:12" x14ac:dyDescent="0.25">
      <c r="A5500" t="str">
        <f t="shared" si="998"/>
        <v>89301000</v>
      </c>
      <c r="B5500" t="str">
        <f t="shared" si="1002"/>
        <v>78051000</v>
      </c>
      <c r="C5500" t="str">
        <f t="shared" si="1003"/>
        <v>78051004</v>
      </c>
      <c r="D5500">
        <v>89301062</v>
      </c>
      <c r="E5500" t="str">
        <f>"5852201399"</f>
        <v>5852201399</v>
      </c>
      <c r="F5500" s="1">
        <v>45076</v>
      </c>
      <c r="G5500" t="str">
        <f>"0098943"</f>
        <v>0098943</v>
      </c>
      <c r="H5500">
        <v>1</v>
      </c>
      <c r="J5500">
        <v>293.81</v>
      </c>
      <c r="K5500" t="str">
        <f t="shared" si="1004"/>
        <v>809</v>
      </c>
      <c r="L5500">
        <v>293.81</v>
      </c>
    </row>
    <row r="5501" spans="1:12" x14ac:dyDescent="0.25">
      <c r="A5501" t="str">
        <f t="shared" si="998"/>
        <v>89301000</v>
      </c>
      <c r="B5501" t="str">
        <f t="shared" si="1002"/>
        <v>78051000</v>
      </c>
      <c r="C5501" t="str">
        <f t="shared" si="1003"/>
        <v>78051004</v>
      </c>
      <c r="D5501">
        <v>89301062</v>
      </c>
      <c r="E5501" t="str">
        <f>"5454291073"</f>
        <v>5454291073</v>
      </c>
      <c r="F5501" s="1">
        <v>45076</v>
      </c>
      <c r="G5501" t="str">
        <f>"89311"</f>
        <v>89311</v>
      </c>
      <c r="H5501">
        <v>1</v>
      </c>
      <c r="I5501">
        <v>970</v>
      </c>
      <c r="J5501">
        <v>0</v>
      </c>
      <c r="K5501" t="str">
        <f t="shared" si="1004"/>
        <v>809</v>
      </c>
      <c r="L5501">
        <v>1425.9</v>
      </c>
    </row>
    <row r="5502" spans="1:12" x14ac:dyDescent="0.25">
      <c r="A5502" t="str">
        <f t="shared" si="998"/>
        <v>89301000</v>
      </c>
      <c r="B5502" t="str">
        <f t="shared" si="1002"/>
        <v>78051000</v>
      </c>
      <c r="C5502" t="str">
        <f t="shared" si="1003"/>
        <v>78051004</v>
      </c>
      <c r="D5502">
        <v>89301062</v>
      </c>
      <c r="E5502" t="str">
        <f>"5454291073"</f>
        <v>5454291073</v>
      </c>
      <c r="F5502" s="1">
        <v>45076</v>
      </c>
      <c r="G5502" t="str">
        <f>"0090044"</f>
        <v>0090044</v>
      </c>
      <c r="H5502">
        <v>1</v>
      </c>
      <c r="J5502">
        <v>16.8</v>
      </c>
      <c r="K5502" t="str">
        <f t="shared" si="1004"/>
        <v>809</v>
      </c>
      <c r="L5502">
        <v>16.8</v>
      </c>
    </row>
    <row r="5503" spans="1:12" x14ac:dyDescent="0.25">
      <c r="A5503" t="str">
        <f t="shared" si="998"/>
        <v>89301000</v>
      </c>
      <c r="B5503" t="str">
        <f t="shared" si="1002"/>
        <v>78051000</v>
      </c>
      <c r="C5503" t="str">
        <f t="shared" si="1003"/>
        <v>78051004</v>
      </c>
      <c r="D5503">
        <v>89301062</v>
      </c>
      <c r="E5503" t="str">
        <f>"5454291073"</f>
        <v>5454291073</v>
      </c>
      <c r="F5503" s="1">
        <v>45076</v>
      </c>
      <c r="G5503" t="str">
        <f>"0225891"</f>
        <v>0225891</v>
      </c>
      <c r="H5503">
        <v>0.2</v>
      </c>
      <c r="J5503">
        <v>73.540000000000006</v>
      </c>
      <c r="K5503" t="str">
        <f t="shared" si="1004"/>
        <v>809</v>
      </c>
      <c r="L5503">
        <v>73.540000000000006</v>
      </c>
    </row>
    <row r="5504" spans="1:12" x14ac:dyDescent="0.25">
      <c r="A5504" t="str">
        <f t="shared" si="998"/>
        <v>89301000</v>
      </c>
      <c r="B5504" t="str">
        <f t="shared" si="1002"/>
        <v>78051000</v>
      </c>
      <c r="C5504" t="str">
        <f t="shared" si="1003"/>
        <v>78051004</v>
      </c>
      <c r="D5504">
        <v>89301062</v>
      </c>
      <c r="E5504" t="str">
        <f>"5454291073"</f>
        <v>5454291073</v>
      </c>
      <c r="F5504" s="1">
        <v>45076</v>
      </c>
      <c r="G5504" t="str">
        <f>"0096251"</f>
        <v>0096251</v>
      </c>
      <c r="H5504">
        <v>0.17</v>
      </c>
      <c r="J5504">
        <v>198.83</v>
      </c>
      <c r="K5504" t="str">
        <f t="shared" si="1004"/>
        <v>809</v>
      </c>
      <c r="L5504">
        <v>198.83</v>
      </c>
    </row>
    <row r="5505" spans="1:12" x14ac:dyDescent="0.25">
      <c r="A5505" t="str">
        <f t="shared" si="998"/>
        <v>89301000</v>
      </c>
      <c r="B5505" t="str">
        <f t="shared" si="1002"/>
        <v>78051000</v>
      </c>
      <c r="C5505" t="str">
        <f t="shared" si="1003"/>
        <v>78051004</v>
      </c>
      <c r="D5505">
        <v>89301062</v>
      </c>
      <c r="E5505" t="str">
        <f>"5454291073"</f>
        <v>5454291073</v>
      </c>
      <c r="F5505" s="1">
        <v>45076</v>
      </c>
      <c r="G5505" t="str">
        <f>"0098943"</f>
        <v>0098943</v>
      </c>
      <c r="H5505">
        <v>1</v>
      </c>
      <c r="J5505">
        <v>293.81</v>
      </c>
      <c r="K5505" t="str">
        <f t="shared" si="1004"/>
        <v>809</v>
      </c>
      <c r="L5505">
        <v>293.81</v>
      </c>
    </row>
    <row r="5506" spans="1:12" x14ac:dyDescent="0.25">
      <c r="A5506" t="str">
        <f t="shared" ref="A5506:A5569" si="1005">"89301000"</f>
        <v>89301000</v>
      </c>
      <c r="B5506" t="str">
        <f t="shared" si="1002"/>
        <v>78051000</v>
      </c>
      <c r="C5506" t="str">
        <f t="shared" si="1003"/>
        <v>78051004</v>
      </c>
      <c r="D5506">
        <v>89301062</v>
      </c>
      <c r="E5506" t="str">
        <f>"7357025753"</f>
        <v>7357025753</v>
      </c>
      <c r="F5506" s="1">
        <v>45076</v>
      </c>
      <c r="G5506" t="str">
        <f>"89311"</f>
        <v>89311</v>
      </c>
      <c r="H5506">
        <v>1</v>
      </c>
      <c r="I5506">
        <v>970</v>
      </c>
      <c r="J5506">
        <v>0</v>
      </c>
      <c r="K5506" t="str">
        <f t="shared" si="1004"/>
        <v>809</v>
      </c>
      <c r="L5506">
        <v>1425.9</v>
      </c>
    </row>
    <row r="5507" spans="1:12" x14ac:dyDescent="0.25">
      <c r="A5507" t="str">
        <f t="shared" si="1005"/>
        <v>89301000</v>
      </c>
      <c r="B5507" t="str">
        <f t="shared" ref="B5507:B5530" si="1006">"78051000"</f>
        <v>78051000</v>
      </c>
      <c r="C5507" t="str">
        <f t="shared" si="1003"/>
        <v>78051004</v>
      </c>
      <c r="D5507">
        <v>89301062</v>
      </c>
      <c r="E5507" t="str">
        <f>"7357025753"</f>
        <v>7357025753</v>
      </c>
      <c r="F5507" s="1">
        <v>45076</v>
      </c>
      <c r="G5507" t="str">
        <f>"0090044"</f>
        <v>0090044</v>
      </c>
      <c r="H5507">
        <v>1</v>
      </c>
      <c r="J5507">
        <v>16.8</v>
      </c>
      <c r="K5507" t="str">
        <f t="shared" si="1004"/>
        <v>809</v>
      </c>
      <c r="L5507">
        <v>16.8</v>
      </c>
    </row>
    <row r="5508" spans="1:12" x14ac:dyDescent="0.25">
      <c r="A5508" t="str">
        <f t="shared" si="1005"/>
        <v>89301000</v>
      </c>
      <c r="B5508" t="str">
        <f t="shared" si="1006"/>
        <v>78051000</v>
      </c>
      <c r="C5508" t="str">
        <f t="shared" si="1003"/>
        <v>78051004</v>
      </c>
      <c r="D5508">
        <v>89301062</v>
      </c>
      <c r="E5508" t="str">
        <f>"7357025753"</f>
        <v>7357025753</v>
      </c>
      <c r="F5508" s="1">
        <v>45076</v>
      </c>
      <c r="G5508" t="str">
        <f>"0225891"</f>
        <v>0225891</v>
      </c>
      <c r="H5508">
        <v>0.2</v>
      </c>
      <c r="J5508">
        <v>73.540000000000006</v>
      </c>
      <c r="K5508" t="str">
        <f t="shared" si="1004"/>
        <v>809</v>
      </c>
      <c r="L5508">
        <v>73.540000000000006</v>
      </c>
    </row>
    <row r="5509" spans="1:12" x14ac:dyDescent="0.25">
      <c r="A5509" t="str">
        <f t="shared" si="1005"/>
        <v>89301000</v>
      </c>
      <c r="B5509" t="str">
        <f t="shared" si="1006"/>
        <v>78051000</v>
      </c>
      <c r="C5509" t="str">
        <f t="shared" si="1003"/>
        <v>78051004</v>
      </c>
      <c r="D5509">
        <v>89301062</v>
      </c>
      <c r="E5509" t="str">
        <f>"7357025753"</f>
        <v>7357025753</v>
      </c>
      <c r="F5509" s="1">
        <v>45076</v>
      </c>
      <c r="G5509" t="str">
        <f>"0096251"</f>
        <v>0096251</v>
      </c>
      <c r="H5509">
        <v>0.17</v>
      </c>
      <c r="J5509">
        <v>198.83</v>
      </c>
      <c r="K5509" t="str">
        <f t="shared" si="1004"/>
        <v>809</v>
      </c>
      <c r="L5509">
        <v>198.83</v>
      </c>
    </row>
    <row r="5510" spans="1:12" x14ac:dyDescent="0.25">
      <c r="A5510" t="str">
        <f t="shared" si="1005"/>
        <v>89301000</v>
      </c>
      <c r="B5510" t="str">
        <f t="shared" si="1006"/>
        <v>78051000</v>
      </c>
      <c r="C5510" t="str">
        <f t="shared" si="1003"/>
        <v>78051004</v>
      </c>
      <c r="D5510">
        <v>89301062</v>
      </c>
      <c r="E5510" t="str">
        <f>"7357025753"</f>
        <v>7357025753</v>
      </c>
      <c r="F5510" s="1">
        <v>45076</v>
      </c>
      <c r="G5510" t="str">
        <f>"0098943"</f>
        <v>0098943</v>
      </c>
      <c r="H5510">
        <v>1</v>
      </c>
      <c r="J5510">
        <v>293.81</v>
      </c>
      <c r="K5510" t="str">
        <f t="shared" si="1004"/>
        <v>809</v>
      </c>
      <c r="L5510">
        <v>293.81</v>
      </c>
    </row>
    <row r="5511" spans="1:12" x14ac:dyDescent="0.25">
      <c r="A5511" t="str">
        <f t="shared" si="1005"/>
        <v>89301000</v>
      </c>
      <c r="B5511" t="str">
        <f t="shared" si="1006"/>
        <v>78051000</v>
      </c>
      <c r="C5511" t="str">
        <f t="shared" ref="C5511:C5530" si="1007">"78051017"</f>
        <v>78051017</v>
      </c>
      <c r="D5511">
        <v>89301062</v>
      </c>
      <c r="E5511" t="str">
        <f>"470816100"</f>
        <v>470816100</v>
      </c>
      <c r="F5511" s="1">
        <v>45048</v>
      </c>
      <c r="G5511" t="str">
        <f t="shared" ref="G5511:G5530" si="1008">"89615"</f>
        <v>89615</v>
      </c>
      <c r="H5511">
        <v>1</v>
      </c>
      <c r="I5511">
        <v>2199</v>
      </c>
      <c r="J5511">
        <v>0</v>
      </c>
      <c r="K5511" t="str">
        <f t="shared" ref="K5511:K5530" si="1009">"810"</f>
        <v>810</v>
      </c>
      <c r="L5511">
        <v>1429.35</v>
      </c>
    </row>
    <row r="5512" spans="1:12" x14ac:dyDescent="0.25">
      <c r="A5512" t="str">
        <f t="shared" si="1005"/>
        <v>89301000</v>
      </c>
      <c r="B5512" t="str">
        <f t="shared" si="1006"/>
        <v>78051000</v>
      </c>
      <c r="C5512" t="str">
        <f t="shared" si="1007"/>
        <v>78051017</v>
      </c>
      <c r="D5512">
        <v>89301062</v>
      </c>
      <c r="E5512" t="str">
        <f>"8801274944"</f>
        <v>8801274944</v>
      </c>
      <c r="F5512" s="1">
        <v>45048</v>
      </c>
      <c r="G5512" t="str">
        <f t="shared" si="1008"/>
        <v>89615</v>
      </c>
      <c r="H5512">
        <v>1</v>
      </c>
      <c r="I5512">
        <v>2199</v>
      </c>
      <c r="J5512">
        <v>0</v>
      </c>
      <c r="K5512" t="str">
        <f t="shared" si="1009"/>
        <v>810</v>
      </c>
      <c r="L5512">
        <v>1429.35</v>
      </c>
    </row>
    <row r="5513" spans="1:12" x14ac:dyDescent="0.25">
      <c r="A5513" t="str">
        <f t="shared" si="1005"/>
        <v>89301000</v>
      </c>
      <c r="B5513" t="str">
        <f t="shared" si="1006"/>
        <v>78051000</v>
      </c>
      <c r="C5513" t="str">
        <f t="shared" si="1007"/>
        <v>78051017</v>
      </c>
      <c r="D5513">
        <v>89301062</v>
      </c>
      <c r="E5513" t="str">
        <f>"491114111"</f>
        <v>491114111</v>
      </c>
      <c r="F5513" s="1">
        <v>45048</v>
      </c>
      <c r="G5513" t="str">
        <f t="shared" si="1008"/>
        <v>89615</v>
      </c>
      <c r="H5513">
        <v>1</v>
      </c>
      <c r="I5513">
        <v>2199</v>
      </c>
      <c r="J5513">
        <v>0</v>
      </c>
      <c r="K5513" t="str">
        <f t="shared" si="1009"/>
        <v>810</v>
      </c>
      <c r="L5513">
        <v>1429.35</v>
      </c>
    </row>
    <row r="5514" spans="1:12" x14ac:dyDescent="0.25">
      <c r="A5514" t="str">
        <f t="shared" si="1005"/>
        <v>89301000</v>
      </c>
      <c r="B5514" t="str">
        <f t="shared" si="1006"/>
        <v>78051000</v>
      </c>
      <c r="C5514" t="str">
        <f t="shared" si="1007"/>
        <v>78051017</v>
      </c>
      <c r="D5514">
        <v>89301062</v>
      </c>
      <c r="E5514" t="str">
        <f>"6061051139"</f>
        <v>6061051139</v>
      </c>
      <c r="F5514" s="1">
        <v>45055</v>
      </c>
      <c r="G5514" t="str">
        <f t="shared" si="1008"/>
        <v>89615</v>
      </c>
      <c r="H5514">
        <v>1</v>
      </c>
      <c r="I5514">
        <v>2199</v>
      </c>
      <c r="J5514">
        <v>0</v>
      </c>
      <c r="K5514" t="str">
        <f t="shared" si="1009"/>
        <v>810</v>
      </c>
      <c r="L5514">
        <v>1429.35</v>
      </c>
    </row>
    <row r="5515" spans="1:12" x14ac:dyDescent="0.25">
      <c r="A5515" t="str">
        <f t="shared" si="1005"/>
        <v>89301000</v>
      </c>
      <c r="B5515" t="str">
        <f t="shared" si="1006"/>
        <v>78051000</v>
      </c>
      <c r="C5515" t="str">
        <f t="shared" si="1007"/>
        <v>78051017</v>
      </c>
      <c r="D5515">
        <v>89301062</v>
      </c>
      <c r="E5515" t="str">
        <f>"535516160"</f>
        <v>535516160</v>
      </c>
      <c r="F5515" s="1">
        <v>45055</v>
      </c>
      <c r="G5515" t="str">
        <f t="shared" si="1008"/>
        <v>89615</v>
      </c>
      <c r="H5515">
        <v>1</v>
      </c>
      <c r="I5515">
        <v>2199</v>
      </c>
      <c r="J5515">
        <v>0</v>
      </c>
      <c r="K5515" t="str">
        <f t="shared" si="1009"/>
        <v>810</v>
      </c>
      <c r="L5515">
        <v>1429.35</v>
      </c>
    </row>
    <row r="5516" spans="1:12" x14ac:dyDescent="0.25">
      <c r="A5516" t="str">
        <f t="shared" si="1005"/>
        <v>89301000</v>
      </c>
      <c r="B5516" t="str">
        <f t="shared" si="1006"/>
        <v>78051000</v>
      </c>
      <c r="C5516" t="str">
        <f t="shared" si="1007"/>
        <v>78051017</v>
      </c>
      <c r="D5516">
        <v>89301062</v>
      </c>
      <c r="E5516" t="str">
        <f>"7557165770"</f>
        <v>7557165770</v>
      </c>
      <c r="F5516" s="1">
        <v>45063</v>
      </c>
      <c r="G5516" t="str">
        <f t="shared" si="1008"/>
        <v>89615</v>
      </c>
      <c r="H5516">
        <v>1</v>
      </c>
      <c r="I5516">
        <v>2199</v>
      </c>
      <c r="J5516">
        <v>0</v>
      </c>
      <c r="K5516" t="str">
        <f t="shared" si="1009"/>
        <v>810</v>
      </c>
      <c r="L5516">
        <v>1429.35</v>
      </c>
    </row>
    <row r="5517" spans="1:12" x14ac:dyDescent="0.25">
      <c r="A5517" t="str">
        <f t="shared" si="1005"/>
        <v>89301000</v>
      </c>
      <c r="B5517" t="str">
        <f t="shared" si="1006"/>
        <v>78051000</v>
      </c>
      <c r="C5517" t="str">
        <f t="shared" si="1007"/>
        <v>78051017</v>
      </c>
      <c r="D5517">
        <v>89301062</v>
      </c>
      <c r="E5517" t="str">
        <f>"6456080543"</f>
        <v>6456080543</v>
      </c>
      <c r="F5517" s="1">
        <v>45063</v>
      </c>
      <c r="G5517" t="str">
        <f t="shared" si="1008"/>
        <v>89615</v>
      </c>
      <c r="H5517">
        <v>1</v>
      </c>
      <c r="I5517">
        <v>2199</v>
      </c>
      <c r="J5517">
        <v>0</v>
      </c>
      <c r="K5517" t="str">
        <f t="shared" si="1009"/>
        <v>810</v>
      </c>
      <c r="L5517">
        <v>1429.35</v>
      </c>
    </row>
    <row r="5518" spans="1:12" x14ac:dyDescent="0.25">
      <c r="A5518" t="str">
        <f t="shared" si="1005"/>
        <v>89301000</v>
      </c>
      <c r="B5518" t="str">
        <f t="shared" si="1006"/>
        <v>78051000</v>
      </c>
      <c r="C5518" t="str">
        <f t="shared" si="1007"/>
        <v>78051017</v>
      </c>
      <c r="D5518">
        <v>89301062</v>
      </c>
      <c r="E5518" t="str">
        <f>"6254211634"</f>
        <v>6254211634</v>
      </c>
      <c r="F5518" s="1">
        <v>45063</v>
      </c>
      <c r="G5518" t="str">
        <f t="shared" si="1008"/>
        <v>89615</v>
      </c>
      <c r="H5518">
        <v>1</v>
      </c>
      <c r="I5518">
        <v>2199</v>
      </c>
      <c r="J5518">
        <v>0</v>
      </c>
      <c r="K5518" t="str">
        <f t="shared" si="1009"/>
        <v>810</v>
      </c>
      <c r="L5518">
        <v>1429.35</v>
      </c>
    </row>
    <row r="5519" spans="1:12" x14ac:dyDescent="0.25">
      <c r="A5519" t="str">
        <f t="shared" si="1005"/>
        <v>89301000</v>
      </c>
      <c r="B5519" t="str">
        <f t="shared" si="1006"/>
        <v>78051000</v>
      </c>
      <c r="C5519" t="str">
        <f t="shared" si="1007"/>
        <v>78051017</v>
      </c>
      <c r="D5519">
        <v>89301062</v>
      </c>
      <c r="E5519" t="str">
        <f>"536006240"</f>
        <v>536006240</v>
      </c>
      <c r="F5519" s="1">
        <v>45063</v>
      </c>
      <c r="G5519" t="str">
        <f t="shared" si="1008"/>
        <v>89615</v>
      </c>
      <c r="H5519">
        <v>1</v>
      </c>
      <c r="I5519">
        <v>2199</v>
      </c>
      <c r="J5519">
        <v>0</v>
      </c>
      <c r="K5519" t="str">
        <f t="shared" si="1009"/>
        <v>810</v>
      </c>
      <c r="L5519">
        <v>1429.35</v>
      </c>
    </row>
    <row r="5520" spans="1:12" x14ac:dyDescent="0.25">
      <c r="A5520" t="str">
        <f t="shared" si="1005"/>
        <v>89301000</v>
      </c>
      <c r="B5520" t="str">
        <f t="shared" si="1006"/>
        <v>78051000</v>
      </c>
      <c r="C5520" t="str">
        <f t="shared" si="1007"/>
        <v>78051017</v>
      </c>
      <c r="D5520">
        <v>89301062</v>
      </c>
      <c r="E5520" t="str">
        <f>"6352171474"</f>
        <v>6352171474</v>
      </c>
      <c r="F5520" s="1">
        <v>45070</v>
      </c>
      <c r="G5520" t="str">
        <f t="shared" si="1008"/>
        <v>89615</v>
      </c>
      <c r="H5520">
        <v>1</v>
      </c>
      <c r="I5520">
        <v>2199</v>
      </c>
      <c r="J5520">
        <v>0</v>
      </c>
      <c r="K5520" t="str">
        <f t="shared" si="1009"/>
        <v>810</v>
      </c>
      <c r="L5520">
        <v>1429.35</v>
      </c>
    </row>
    <row r="5521" spans="1:12" x14ac:dyDescent="0.25">
      <c r="A5521" t="str">
        <f t="shared" si="1005"/>
        <v>89301000</v>
      </c>
      <c r="B5521" t="str">
        <f t="shared" si="1006"/>
        <v>78051000</v>
      </c>
      <c r="C5521" t="str">
        <f t="shared" si="1007"/>
        <v>78051017</v>
      </c>
      <c r="D5521">
        <v>89301062</v>
      </c>
      <c r="E5521" t="str">
        <f>"7601295350"</f>
        <v>7601295350</v>
      </c>
      <c r="F5521" s="1">
        <v>45070</v>
      </c>
      <c r="G5521" t="str">
        <f t="shared" si="1008"/>
        <v>89615</v>
      </c>
      <c r="H5521">
        <v>1</v>
      </c>
      <c r="I5521">
        <v>2199</v>
      </c>
      <c r="J5521">
        <v>0</v>
      </c>
      <c r="K5521" t="str">
        <f t="shared" si="1009"/>
        <v>810</v>
      </c>
      <c r="L5521">
        <v>1429.35</v>
      </c>
    </row>
    <row r="5522" spans="1:12" x14ac:dyDescent="0.25">
      <c r="A5522" t="str">
        <f t="shared" si="1005"/>
        <v>89301000</v>
      </c>
      <c r="B5522" t="str">
        <f t="shared" si="1006"/>
        <v>78051000</v>
      </c>
      <c r="C5522" t="str">
        <f t="shared" si="1007"/>
        <v>78051017</v>
      </c>
      <c r="D5522">
        <v>89301062</v>
      </c>
      <c r="E5522" t="str">
        <f>"521127211"</f>
        <v>521127211</v>
      </c>
      <c r="F5522" s="1">
        <v>45070</v>
      </c>
      <c r="G5522" t="str">
        <f t="shared" si="1008"/>
        <v>89615</v>
      </c>
      <c r="H5522">
        <v>1</v>
      </c>
      <c r="I5522">
        <v>2199</v>
      </c>
      <c r="J5522">
        <v>0</v>
      </c>
      <c r="K5522" t="str">
        <f t="shared" si="1009"/>
        <v>810</v>
      </c>
      <c r="L5522">
        <v>1429.35</v>
      </c>
    </row>
    <row r="5523" spans="1:12" x14ac:dyDescent="0.25">
      <c r="A5523" t="str">
        <f t="shared" si="1005"/>
        <v>89301000</v>
      </c>
      <c r="B5523" t="str">
        <f t="shared" si="1006"/>
        <v>78051000</v>
      </c>
      <c r="C5523" t="str">
        <f t="shared" si="1007"/>
        <v>78051017</v>
      </c>
      <c r="D5523">
        <v>89301062</v>
      </c>
      <c r="E5523" t="str">
        <f>"7105014455"</f>
        <v>7105014455</v>
      </c>
      <c r="F5523" s="1">
        <v>45070</v>
      </c>
      <c r="G5523" t="str">
        <f t="shared" si="1008"/>
        <v>89615</v>
      </c>
      <c r="H5523">
        <v>1</v>
      </c>
      <c r="I5523">
        <v>2199</v>
      </c>
      <c r="J5523">
        <v>0</v>
      </c>
      <c r="K5523" t="str">
        <f t="shared" si="1009"/>
        <v>810</v>
      </c>
      <c r="L5523">
        <v>1429.35</v>
      </c>
    </row>
    <row r="5524" spans="1:12" x14ac:dyDescent="0.25">
      <c r="A5524" t="str">
        <f t="shared" si="1005"/>
        <v>89301000</v>
      </c>
      <c r="B5524" t="str">
        <f t="shared" si="1006"/>
        <v>78051000</v>
      </c>
      <c r="C5524" t="str">
        <f t="shared" si="1007"/>
        <v>78051017</v>
      </c>
      <c r="D5524">
        <v>89301062</v>
      </c>
      <c r="E5524" t="str">
        <f>"5604241577"</f>
        <v>5604241577</v>
      </c>
      <c r="F5524" s="1">
        <v>45070</v>
      </c>
      <c r="G5524" t="str">
        <f t="shared" si="1008"/>
        <v>89615</v>
      </c>
      <c r="H5524">
        <v>1</v>
      </c>
      <c r="I5524">
        <v>2199</v>
      </c>
      <c r="J5524">
        <v>0</v>
      </c>
      <c r="K5524" t="str">
        <f t="shared" si="1009"/>
        <v>810</v>
      </c>
      <c r="L5524">
        <v>1429.35</v>
      </c>
    </row>
    <row r="5525" spans="1:12" x14ac:dyDescent="0.25">
      <c r="A5525" t="str">
        <f t="shared" si="1005"/>
        <v>89301000</v>
      </c>
      <c r="B5525" t="str">
        <f t="shared" si="1006"/>
        <v>78051000</v>
      </c>
      <c r="C5525" t="str">
        <f t="shared" si="1007"/>
        <v>78051017</v>
      </c>
      <c r="D5525">
        <v>89301062</v>
      </c>
      <c r="E5525" t="str">
        <f>"8957116157"</f>
        <v>8957116157</v>
      </c>
      <c r="F5525" s="1">
        <v>45076</v>
      </c>
      <c r="G5525" t="str">
        <f t="shared" si="1008"/>
        <v>89615</v>
      </c>
      <c r="H5525">
        <v>1</v>
      </c>
      <c r="I5525">
        <v>2199</v>
      </c>
      <c r="J5525">
        <v>0</v>
      </c>
      <c r="K5525" t="str">
        <f t="shared" si="1009"/>
        <v>810</v>
      </c>
      <c r="L5525">
        <v>1429.35</v>
      </c>
    </row>
    <row r="5526" spans="1:12" x14ac:dyDescent="0.25">
      <c r="A5526" t="str">
        <f t="shared" si="1005"/>
        <v>89301000</v>
      </c>
      <c r="B5526" t="str">
        <f t="shared" si="1006"/>
        <v>78051000</v>
      </c>
      <c r="C5526" t="str">
        <f t="shared" si="1007"/>
        <v>78051017</v>
      </c>
      <c r="D5526">
        <v>89301062</v>
      </c>
      <c r="E5526" t="str">
        <f>"536110198"</f>
        <v>536110198</v>
      </c>
      <c r="F5526" s="1">
        <v>45076</v>
      </c>
      <c r="G5526" t="str">
        <f t="shared" si="1008"/>
        <v>89615</v>
      </c>
      <c r="H5526">
        <v>1</v>
      </c>
      <c r="I5526">
        <v>2199</v>
      </c>
      <c r="J5526">
        <v>0</v>
      </c>
      <c r="K5526" t="str">
        <f t="shared" si="1009"/>
        <v>810</v>
      </c>
      <c r="L5526">
        <v>1429.35</v>
      </c>
    </row>
    <row r="5527" spans="1:12" x14ac:dyDescent="0.25">
      <c r="A5527" t="str">
        <f t="shared" si="1005"/>
        <v>89301000</v>
      </c>
      <c r="B5527" t="str">
        <f t="shared" si="1006"/>
        <v>78051000</v>
      </c>
      <c r="C5527" t="str">
        <f t="shared" si="1007"/>
        <v>78051017</v>
      </c>
      <c r="D5527">
        <v>89301062</v>
      </c>
      <c r="E5527" t="str">
        <f>"6552111984"</f>
        <v>6552111984</v>
      </c>
      <c r="F5527" s="1">
        <v>45076</v>
      </c>
      <c r="G5527" t="str">
        <f t="shared" si="1008"/>
        <v>89615</v>
      </c>
      <c r="H5527">
        <v>1</v>
      </c>
      <c r="I5527">
        <v>2199</v>
      </c>
      <c r="J5527">
        <v>0</v>
      </c>
      <c r="K5527" t="str">
        <f t="shared" si="1009"/>
        <v>810</v>
      </c>
      <c r="L5527">
        <v>1429.35</v>
      </c>
    </row>
    <row r="5528" spans="1:12" x14ac:dyDescent="0.25">
      <c r="A5528" t="str">
        <f t="shared" si="1005"/>
        <v>89301000</v>
      </c>
      <c r="B5528" t="str">
        <f t="shared" si="1006"/>
        <v>78051000</v>
      </c>
      <c r="C5528" t="str">
        <f t="shared" si="1007"/>
        <v>78051017</v>
      </c>
      <c r="D5528">
        <v>89301062</v>
      </c>
      <c r="E5528" t="str">
        <f>"5852201399"</f>
        <v>5852201399</v>
      </c>
      <c r="F5528" s="1">
        <v>45076</v>
      </c>
      <c r="G5528" t="str">
        <f t="shared" si="1008"/>
        <v>89615</v>
      </c>
      <c r="H5528">
        <v>1</v>
      </c>
      <c r="I5528">
        <v>2199</v>
      </c>
      <c r="J5528">
        <v>0</v>
      </c>
      <c r="K5528" t="str">
        <f t="shared" si="1009"/>
        <v>810</v>
      </c>
      <c r="L5528">
        <v>1429.35</v>
      </c>
    </row>
    <row r="5529" spans="1:12" x14ac:dyDescent="0.25">
      <c r="A5529" t="str">
        <f t="shared" si="1005"/>
        <v>89301000</v>
      </c>
      <c r="B5529" t="str">
        <f t="shared" si="1006"/>
        <v>78051000</v>
      </c>
      <c r="C5529" t="str">
        <f t="shared" si="1007"/>
        <v>78051017</v>
      </c>
      <c r="D5529">
        <v>89301062</v>
      </c>
      <c r="E5529" t="str">
        <f>"5454291073"</f>
        <v>5454291073</v>
      </c>
      <c r="F5529" s="1">
        <v>45076</v>
      </c>
      <c r="G5529" t="str">
        <f t="shared" si="1008"/>
        <v>89615</v>
      </c>
      <c r="H5529">
        <v>1</v>
      </c>
      <c r="I5529">
        <v>2199</v>
      </c>
      <c r="J5529">
        <v>0</v>
      </c>
      <c r="K5529" t="str">
        <f t="shared" si="1009"/>
        <v>810</v>
      </c>
      <c r="L5529">
        <v>1429.35</v>
      </c>
    </row>
    <row r="5530" spans="1:12" x14ac:dyDescent="0.25">
      <c r="A5530" t="str">
        <f t="shared" si="1005"/>
        <v>89301000</v>
      </c>
      <c r="B5530" t="str">
        <f t="shared" si="1006"/>
        <v>78051000</v>
      </c>
      <c r="C5530" t="str">
        <f t="shared" si="1007"/>
        <v>78051017</v>
      </c>
      <c r="D5530">
        <v>89301062</v>
      </c>
      <c r="E5530" t="str">
        <f>"7357025753"</f>
        <v>7357025753</v>
      </c>
      <c r="F5530" s="1">
        <v>45076</v>
      </c>
      <c r="G5530" t="str">
        <f t="shared" si="1008"/>
        <v>89615</v>
      </c>
      <c r="H5530">
        <v>1</v>
      </c>
      <c r="I5530">
        <v>2199</v>
      </c>
      <c r="J5530">
        <v>0</v>
      </c>
      <c r="K5530" t="str">
        <f t="shared" si="1009"/>
        <v>810</v>
      </c>
      <c r="L5530">
        <v>1429.35</v>
      </c>
    </row>
    <row r="5531" spans="1:12" x14ac:dyDescent="0.25">
      <c r="A5531" t="str">
        <f t="shared" si="1005"/>
        <v>89301000</v>
      </c>
      <c r="B5531" t="str">
        <f>"89345401"</f>
        <v>89345401</v>
      </c>
      <c r="C5531" t="str">
        <f>"89345401"</f>
        <v>89345401</v>
      </c>
      <c r="D5531">
        <v>89301212</v>
      </c>
      <c r="E5531" t="str">
        <f>"7462024339"</f>
        <v>7462024339</v>
      </c>
      <c r="F5531" s="1">
        <v>45064</v>
      </c>
      <c r="G5531" t="str">
        <f>"89131"</f>
        <v>89131</v>
      </c>
      <c r="H5531">
        <v>1</v>
      </c>
      <c r="I5531">
        <v>190</v>
      </c>
      <c r="J5531">
        <v>0</v>
      </c>
      <c r="K5531" t="str">
        <f>"809"</f>
        <v>809</v>
      </c>
      <c r="L5531">
        <v>279.3</v>
      </c>
    </row>
    <row r="5532" spans="1:12" x14ac:dyDescent="0.25">
      <c r="A5532" t="str">
        <f t="shared" si="1005"/>
        <v>89301000</v>
      </c>
      <c r="B5532" t="str">
        <f t="shared" ref="B5532:B5569" si="1010">"91866000"</f>
        <v>91866000</v>
      </c>
      <c r="C5532" t="str">
        <f t="shared" ref="C5532:C5569" si="1011">"91866313"</f>
        <v>91866313</v>
      </c>
      <c r="D5532">
        <v>89301101</v>
      </c>
      <c r="E5532" t="str">
        <f>"1901211983"</f>
        <v>1901211983</v>
      </c>
      <c r="F5532" s="1">
        <v>45051</v>
      </c>
      <c r="G5532" t="str">
        <f t="shared" ref="G5532:G5559" si="1012">"82087"</f>
        <v>82087</v>
      </c>
      <c r="H5532">
        <v>1</v>
      </c>
      <c r="I5532">
        <v>53</v>
      </c>
      <c r="J5532">
        <v>0</v>
      </c>
      <c r="K5532" t="str">
        <f t="shared" ref="K5532:K5569" si="1013">"802"</f>
        <v>802</v>
      </c>
      <c r="L5532">
        <v>51.41</v>
      </c>
    </row>
    <row r="5533" spans="1:12" x14ac:dyDescent="0.25">
      <c r="A5533" t="str">
        <f t="shared" si="1005"/>
        <v>89301000</v>
      </c>
      <c r="B5533" t="str">
        <f t="shared" si="1010"/>
        <v>91866000</v>
      </c>
      <c r="C5533" t="str">
        <f t="shared" si="1011"/>
        <v>91866313</v>
      </c>
      <c r="D5533">
        <v>89301101</v>
      </c>
      <c r="E5533" t="str">
        <f>"1901211983"</f>
        <v>1901211983</v>
      </c>
      <c r="F5533" s="1">
        <v>45051</v>
      </c>
      <c r="G5533" t="str">
        <f t="shared" si="1012"/>
        <v>82087</v>
      </c>
      <c r="H5533">
        <v>1</v>
      </c>
      <c r="I5533">
        <v>53</v>
      </c>
      <c r="J5533">
        <v>0</v>
      </c>
      <c r="K5533" t="str">
        <f t="shared" si="1013"/>
        <v>802</v>
      </c>
      <c r="L5533">
        <v>51.41</v>
      </c>
    </row>
    <row r="5534" spans="1:12" x14ac:dyDescent="0.25">
      <c r="A5534" t="str">
        <f t="shared" si="1005"/>
        <v>89301000</v>
      </c>
      <c r="B5534" t="str">
        <f t="shared" si="1010"/>
        <v>91866000</v>
      </c>
      <c r="C5534" t="str">
        <f t="shared" si="1011"/>
        <v>91866313</v>
      </c>
      <c r="D5534">
        <v>89301101</v>
      </c>
      <c r="E5534" t="str">
        <f>"1901211983"</f>
        <v>1901211983</v>
      </c>
      <c r="F5534" s="1">
        <v>45052</v>
      </c>
      <c r="G5534" t="str">
        <f t="shared" si="1012"/>
        <v>82087</v>
      </c>
      <c r="H5534">
        <v>1</v>
      </c>
      <c r="I5534">
        <v>53</v>
      </c>
      <c r="J5534">
        <v>0</v>
      </c>
      <c r="K5534" t="str">
        <f t="shared" si="1013"/>
        <v>802</v>
      </c>
      <c r="L5534">
        <v>51.41</v>
      </c>
    </row>
    <row r="5535" spans="1:12" x14ac:dyDescent="0.25">
      <c r="A5535" t="str">
        <f t="shared" si="1005"/>
        <v>89301000</v>
      </c>
      <c r="B5535" t="str">
        <f t="shared" si="1010"/>
        <v>91866000</v>
      </c>
      <c r="C5535" t="str">
        <f t="shared" si="1011"/>
        <v>91866313</v>
      </c>
      <c r="D5535">
        <v>89301101</v>
      </c>
      <c r="E5535" t="str">
        <f>"1901211983"</f>
        <v>1901211983</v>
      </c>
      <c r="F5535" s="1">
        <v>45052</v>
      </c>
      <c r="G5535" t="str">
        <f t="shared" si="1012"/>
        <v>82087</v>
      </c>
      <c r="H5535">
        <v>1</v>
      </c>
      <c r="I5535">
        <v>53</v>
      </c>
      <c r="J5535">
        <v>0</v>
      </c>
      <c r="K5535" t="str">
        <f t="shared" si="1013"/>
        <v>802</v>
      </c>
      <c r="L5535">
        <v>51.41</v>
      </c>
    </row>
    <row r="5536" spans="1:12" x14ac:dyDescent="0.25">
      <c r="A5536" t="str">
        <f t="shared" si="1005"/>
        <v>89301000</v>
      </c>
      <c r="B5536" t="str">
        <f t="shared" si="1010"/>
        <v>91866000</v>
      </c>
      <c r="C5536" t="str">
        <f t="shared" si="1011"/>
        <v>91866313</v>
      </c>
      <c r="D5536">
        <v>89301704</v>
      </c>
      <c r="E5536" t="str">
        <f t="shared" ref="E5536:E5541" si="1014">"0509086182"</f>
        <v>0509086182</v>
      </c>
      <c r="F5536" s="1">
        <v>45051</v>
      </c>
      <c r="G5536" t="str">
        <f t="shared" si="1012"/>
        <v>82087</v>
      </c>
      <c r="H5536">
        <v>1</v>
      </c>
      <c r="I5536">
        <v>53</v>
      </c>
      <c r="J5536">
        <v>0</v>
      </c>
      <c r="K5536" t="str">
        <f t="shared" si="1013"/>
        <v>802</v>
      </c>
      <c r="L5536">
        <v>51.41</v>
      </c>
    </row>
    <row r="5537" spans="1:12" x14ac:dyDescent="0.25">
      <c r="A5537" t="str">
        <f t="shared" si="1005"/>
        <v>89301000</v>
      </c>
      <c r="B5537" t="str">
        <f t="shared" si="1010"/>
        <v>91866000</v>
      </c>
      <c r="C5537" t="str">
        <f t="shared" si="1011"/>
        <v>91866313</v>
      </c>
      <c r="D5537">
        <v>89301704</v>
      </c>
      <c r="E5537" t="str">
        <f t="shared" si="1014"/>
        <v>0509086182</v>
      </c>
      <c r="F5537" s="1">
        <v>45052</v>
      </c>
      <c r="G5537" t="str">
        <f t="shared" si="1012"/>
        <v>82087</v>
      </c>
      <c r="H5537">
        <v>1</v>
      </c>
      <c r="I5537">
        <v>53</v>
      </c>
      <c r="J5537">
        <v>0</v>
      </c>
      <c r="K5537" t="str">
        <f t="shared" si="1013"/>
        <v>802</v>
      </c>
      <c r="L5537">
        <v>51.41</v>
      </c>
    </row>
    <row r="5538" spans="1:12" x14ac:dyDescent="0.25">
      <c r="A5538" t="str">
        <f t="shared" si="1005"/>
        <v>89301000</v>
      </c>
      <c r="B5538" t="str">
        <f t="shared" si="1010"/>
        <v>91866000</v>
      </c>
      <c r="C5538" t="str">
        <f t="shared" si="1011"/>
        <v>91866313</v>
      </c>
      <c r="D5538">
        <v>89301704</v>
      </c>
      <c r="E5538" t="str">
        <f t="shared" si="1014"/>
        <v>0509086182</v>
      </c>
      <c r="F5538" s="1">
        <v>45050</v>
      </c>
      <c r="G5538" t="str">
        <f t="shared" si="1012"/>
        <v>82087</v>
      </c>
      <c r="H5538">
        <v>1</v>
      </c>
      <c r="I5538">
        <v>53</v>
      </c>
      <c r="J5538">
        <v>0</v>
      </c>
      <c r="K5538" t="str">
        <f t="shared" si="1013"/>
        <v>802</v>
      </c>
      <c r="L5538">
        <v>51.41</v>
      </c>
    </row>
    <row r="5539" spans="1:12" x14ac:dyDescent="0.25">
      <c r="A5539" t="str">
        <f t="shared" si="1005"/>
        <v>89301000</v>
      </c>
      <c r="B5539" t="str">
        <f t="shared" si="1010"/>
        <v>91866000</v>
      </c>
      <c r="C5539" t="str">
        <f t="shared" si="1011"/>
        <v>91866313</v>
      </c>
      <c r="D5539">
        <v>89301704</v>
      </c>
      <c r="E5539" t="str">
        <f t="shared" si="1014"/>
        <v>0509086182</v>
      </c>
      <c r="F5539" s="1">
        <v>45051</v>
      </c>
      <c r="G5539" t="str">
        <f t="shared" si="1012"/>
        <v>82087</v>
      </c>
      <c r="H5539">
        <v>1</v>
      </c>
      <c r="I5539">
        <v>53</v>
      </c>
      <c r="J5539">
        <v>0</v>
      </c>
      <c r="K5539" t="str">
        <f t="shared" si="1013"/>
        <v>802</v>
      </c>
      <c r="L5539">
        <v>51.41</v>
      </c>
    </row>
    <row r="5540" spans="1:12" x14ac:dyDescent="0.25">
      <c r="A5540" t="str">
        <f t="shared" si="1005"/>
        <v>89301000</v>
      </c>
      <c r="B5540" t="str">
        <f t="shared" si="1010"/>
        <v>91866000</v>
      </c>
      <c r="C5540" t="str">
        <f t="shared" si="1011"/>
        <v>91866313</v>
      </c>
      <c r="D5540">
        <v>89301704</v>
      </c>
      <c r="E5540" t="str">
        <f t="shared" si="1014"/>
        <v>0509086182</v>
      </c>
      <c r="F5540" s="1">
        <v>45050</v>
      </c>
      <c r="G5540" t="str">
        <f t="shared" si="1012"/>
        <v>82087</v>
      </c>
      <c r="H5540">
        <v>1</v>
      </c>
      <c r="I5540">
        <v>53</v>
      </c>
      <c r="J5540">
        <v>0</v>
      </c>
      <c r="K5540" t="str">
        <f t="shared" si="1013"/>
        <v>802</v>
      </c>
      <c r="L5540">
        <v>51.41</v>
      </c>
    </row>
    <row r="5541" spans="1:12" x14ac:dyDescent="0.25">
      <c r="A5541" t="str">
        <f t="shared" si="1005"/>
        <v>89301000</v>
      </c>
      <c r="B5541" t="str">
        <f t="shared" si="1010"/>
        <v>91866000</v>
      </c>
      <c r="C5541" t="str">
        <f t="shared" si="1011"/>
        <v>91866313</v>
      </c>
      <c r="D5541">
        <v>89301704</v>
      </c>
      <c r="E5541" t="str">
        <f t="shared" si="1014"/>
        <v>0509086182</v>
      </c>
      <c r="F5541" s="1">
        <v>45052</v>
      </c>
      <c r="G5541" t="str">
        <f t="shared" si="1012"/>
        <v>82087</v>
      </c>
      <c r="H5541">
        <v>1</v>
      </c>
      <c r="I5541">
        <v>53</v>
      </c>
      <c r="J5541">
        <v>0</v>
      </c>
      <c r="K5541" t="str">
        <f t="shared" si="1013"/>
        <v>802</v>
      </c>
      <c r="L5541">
        <v>51.41</v>
      </c>
    </row>
    <row r="5542" spans="1:12" x14ac:dyDescent="0.25">
      <c r="A5542" t="str">
        <f t="shared" si="1005"/>
        <v>89301000</v>
      </c>
      <c r="B5542" t="str">
        <f t="shared" si="1010"/>
        <v>91866000</v>
      </c>
      <c r="C5542" t="str">
        <f t="shared" si="1011"/>
        <v>91866313</v>
      </c>
      <c r="D5542">
        <v>89301704</v>
      </c>
      <c r="E5542" t="str">
        <f t="shared" ref="E5542:E5547" si="1015">"0755106143"</f>
        <v>0755106143</v>
      </c>
      <c r="F5542" s="1">
        <v>45058</v>
      </c>
      <c r="G5542" t="str">
        <f t="shared" si="1012"/>
        <v>82087</v>
      </c>
      <c r="H5542">
        <v>1</v>
      </c>
      <c r="I5542">
        <v>53</v>
      </c>
      <c r="J5542">
        <v>0</v>
      </c>
      <c r="K5542" t="str">
        <f t="shared" si="1013"/>
        <v>802</v>
      </c>
      <c r="L5542">
        <v>51.41</v>
      </c>
    </row>
    <row r="5543" spans="1:12" x14ac:dyDescent="0.25">
      <c r="A5543" t="str">
        <f t="shared" si="1005"/>
        <v>89301000</v>
      </c>
      <c r="B5543" t="str">
        <f t="shared" si="1010"/>
        <v>91866000</v>
      </c>
      <c r="C5543" t="str">
        <f t="shared" si="1011"/>
        <v>91866313</v>
      </c>
      <c r="D5543">
        <v>89301704</v>
      </c>
      <c r="E5543" t="str">
        <f t="shared" si="1015"/>
        <v>0755106143</v>
      </c>
      <c r="F5543" s="1">
        <v>45058</v>
      </c>
      <c r="G5543" t="str">
        <f t="shared" si="1012"/>
        <v>82087</v>
      </c>
      <c r="H5543">
        <v>1</v>
      </c>
      <c r="I5543">
        <v>53</v>
      </c>
      <c r="J5543">
        <v>0</v>
      </c>
      <c r="K5543" t="str">
        <f t="shared" si="1013"/>
        <v>802</v>
      </c>
      <c r="L5543">
        <v>51.41</v>
      </c>
    </row>
    <row r="5544" spans="1:12" x14ac:dyDescent="0.25">
      <c r="A5544" t="str">
        <f t="shared" si="1005"/>
        <v>89301000</v>
      </c>
      <c r="B5544" t="str">
        <f t="shared" si="1010"/>
        <v>91866000</v>
      </c>
      <c r="C5544" t="str">
        <f t="shared" si="1011"/>
        <v>91866313</v>
      </c>
      <c r="D5544">
        <v>89301704</v>
      </c>
      <c r="E5544" t="str">
        <f t="shared" si="1015"/>
        <v>0755106143</v>
      </c>
      <c r="F5544" s="1">
        <v>45059</v>
      </c>
      <c r="G5544" t="str">
        <f t="shared" si="1012"/>
        <v>82087</v>
      </c>
      <c r="H5544">
        <v>1</v>
      </c>
      <c r="I5544">
        <v>53</v>
      </c>
      <c r="J5544">
        <v>0</v>
      </c>
      <c r="K5544" t="str">
        <f t="shared" si="1013"/>
        <v>802</v>
      </c>
      <c r="L5544">
        <v>51.41</v>
      </c>
    </row>
    <row r="5545" spans="1:12" x14ac:dyDescent="0.25">
      <c r="A5545" t="str">
        <f t="shared" si="1005"/>
        <v>89301000</v>
      </c>
      <c r="B5545" t="str">
        <f t="shared" si="1010"/>
        <v>91866000</v>
      </c>
      <c r="C5545" t="str">
        <f t="shared" si="1011"/>
        <v>91866313</v>
      </c>
      <c r="D5545">
        <v>89301704</v>
      </c>
      <c r="E5545" t="str">
        <f t="shared" si="1015"/>
        <v>0755106143</v>
      </c>
      <c r="F5545" s="1">
        <v>45057</v>
      </c>
      <c r="G5545" t="str">
        <f t="shared" si="1012"/>
        <v>82087</v>
      </c>
      <c r="H5545">
        <v>1</v>
      </c>
      <c r="I5545">
        <v>53</v>
      </c>
      <c r="J5545">
        <v>0</v>
      </c>
      <c r="K5545" t="str">
        <f t="shared" si="1013"/>
        <v>802</v>
      </c>
      <c r="L5545">
        <v>51.41</v>
      </c>
    </row>
    <row r="5546" spans="1:12" x14ac:dyDescent="0.25">
      <c r="A5546" t="str">
        <f t="shared" si="1005"/>
        <v>89301000</v>
      </c>
      <c r="B5546" t="str">
        <f t="shared" si="1010"/>
        <v>91866000</v>
      </c>
      <c r="C5546" t="str">
        <f t="shared" si="1011"/>
        <v>91866313</v>
      </c>
      <c r="D5546">
        <v>89301704</v>
      </c>
      <c r="E5546" t="str">
        <f t="shared" si="1015"/>
        <v>0755106143</v>
      </c>
      <c r="F5546" s="1">
        <v>45057</v>
      </c>
      <c r="G5546" t="str">
        <f t="shared" si="1012"/>
        <v>82087</v>
      </c>
      <c r="H5546">
        <v>1</v>
      </c>
      <c r="I5546">
        <v>53</v>
      </c>
      <c r="J5546">
        <v>0</v>
      </c>
      <c r="K5546" t="str">
        <f t="shared" si="1013"/>
        <v>802</v>
      </c>
      <c r="L5546">
        <v>51.41</v>
      </c>
    </row>
    <row r="5547" spans="1:12" x14ac:dyDescent="0.25">
      <c r="A5547" t="str">
        <f t="shared" si="1005"/>
        <v>89301000</v>
      </c>
      <c r="B5547" t="str">
        <f t="shared" si="1010"/>
        <v>91866000</v>
      </c>
      <c r="C5547" t="str">
        <f t="shared" si="1011"/>
        <v>91866313</v>
      </c>
      <c r="D5547">
        <v>89301704</v>
      </c>
      <c r="E5547" t="str">
        <f t="shared" si="1015"/>
        <v>0755106143</v>
      </c>
      <c r="F5547" s="1">
        <v>45059</v>
      </c>
      <c r="G5547" t="str">
        <f t="shared" si="1012"/>
        <v>82087</v>
      </c>
      <c r="H5547">
        <v>1</v>
      </c>
      <c r="I5547">
        <v>53</v>
      </c>
      <c r="J5547">
        <v>0</v>
      </c>
      <c r="K5547" t="str">
        <f t="shared" si="1013"/>
        <v>802</v>
      </c>
      <c r="L5547">
        <v>51.41</v>
      </c>
    </row>
    <row r="5548" spans="1:12" x14ac:dyDescent="0.25">
      <c r="A5548" t="str">
        <f t="shared" si="1005"/>
        <v>89301000</v>
      </c>
      <c r="B5548" t="str">
        <f t="shared" si="1010"/>
        <v>91866000</v>
      </c>
      <c r="C5548" t="str">
        <f t="shared" si="1011"/>
        <v>91866313</v>
      </c>
      <c r="D5548">
        <v>89301704</v>
      </c>
      <c r="E5548" t="str">
        <f t="shared" ref="E5548:E5553" si="1016">"0761213244"</f>
        <v>0761213244</v>
      </c>
      <c r="F5548" s="1">
        <v>45058</v>
      </c>
      <c r="G5548" t="str">
        <f t="shared" si="1012"/>
        <v>82087</v>
      </c>
      <c r="H5548">
        <v>1</v>
      </c>
      <c r="I5548">
        <v>53</v>
      </c>
      <c r="J5548">
        <v>0</v>
      </c>
      <c r="K5548" t="str">
        <f t="shared" si="1013"/>
        <v>802</v>
      </c>
      <c r="L5548">
        <v>51.41</v>
      </c>
    </row>
    <row r="5549" spans="1:12" x14ac:dyDescent="0.25">
      <c r="A5549" t="str">
        <f t="shared" si="1005"/>
        <v>89301000</v>
      </c>
      <c r="B5549" t="str">
        <f t="shared" si="1010"/>
        <v>91866000</v>
      </c>
      <c r="C5549" t="str">
        <f t="shared" si="1011"/>
        <v>91866313</v>
      </c>
      <c r="D5549">
        <v>89301704</v>
      </c>
      <c r="E5549" t="str">
        <f t="shared" si="1016"/>
        <v>0761213244</v>
      </c>
      <c r="F5549" s="1">
        <v>45057</v>
      </c>
      <c r="G5549" t="str">
        <f t="shared" si="1012"/>
        <v>82087</v>
      </c>
      <c r="H5549">
        <v>1</v>
      </c>
      <c r="I5549">
        <v>53</v>
      </c>
      <c r="J5549">
        <v>0</v>
      </c>
      <c r="K5549" t="str">
        <f t="shared" si="1013"/>
        <v>802</v>
      </c>
      <c r="L5549">
        <v>51.41</v>
      </c>
    </row>
    <row r="5550" spans="1:12" x14ac:dyDescent="0.25">
      <c r="A5550" t="str">
        <f t="shared" si="1005"/>
        <v>89301000</v>
      </c>
      <c r="B5550" t="str">
        <f t="shared" si="1010"/>
        <v>91866000</v>
      </c>
      <c r="C5550" t="str">
        <f t="shared" si="1011"/>
        <v>91866313</v>
      </c>
      <c r="D5550">
        <v>89301704</v>
      </c>
      <c r="E5550" t="str">
        <f t="shared" si="1016"/>
        <v>0761213244</v>
      </c>
      <c r="F5550" s="1">
        <v>45059</v>
      </c>
      <c r="G5550" t="str">
        <f t="shared" si="1012"/>
        <v>82087</v>
      </c>
      <c r="H5550">
        <v>1</v>
      </c>
      <c r="I5550">
        <v>53</v>
      </c>
      <c r="J5550">
        <v>0</v>
      </c>
      <c r="K5550" t="str">
        <f t="shared" si="1013"/>
        <v>802</v>
      </c>
      <c r="L5550">
        <v>51.41</v>
      </c>
    </row>
    <row r="5551" spans="1:12" x14ac:dyDescent="0.25">
      <c r="A5551" t="str">
        <f t="shared" si="1005"/>
        <v>89301000</v>
      </c>
      <c r="B5551" t="str">
        <f t="shared" si="1010"/>
        <v>91866000</v>
      </c>
      <c r="C5551" t="str">
        <f t="shared" si="1011"/>
        <v>91866313</v>
      </c>
      <c r="D5551">
        <v>89301704</v>
      </c>
      <c r="E5551" t="str">
        <f t="shared" si="1016"/>
        <v>0761213244</v>
      </c>
      <c r="F5551" s="1">
        <v>45059</v>
      </c>
      <c r="G5551" t="str">
        <f t="shared" si="1012"/>
        <v>82087</v>
      </c>
      <c r="H5551">
        <v>1</v>
      </c>
      <c r="I5551">
        <v>53</v>
      </c>
      <c r="J5551">
        <v>0</v>
      </c>
      <c r="K5551" t="str">
        <f t="shared" si="1013"/>
        <v>802</v>
      </c>
      <c r="L5551">
        <v>51.41</v>
      </c>
    </row>
    <row r="5552" spans="1:12" x14ac:dyDescent="0.25">
      <c r="A5552" t="str">
        <f t="shared" si="1005"/>
        <v>89301000</v>
      </c>
      <c r="B5552" t="str">
        <f t="shared" si="1010"/>
        <v>91866000</v>
      </c>
      <c r="C5552" t="str">
        <f t="shared" si="1011"/>
        <v>91866313</v>
      </c>
      <c r="D5552">
        <v>89301704</v>
      </c>
      <c r="E5552" t="str">
        <f t="shared" si="1016"/>
        <v>0761213244</v>
      </c>
      <c r="F5552" s="1">
        <v>45057</v>
      </c>
      <c r="G5552" t="str">
        <f t="shared" si="1012"/>
        <v>82087</v>
      </c>
      <c r="H5552">
        <v>1</v>
      </c>
      <c r="I5552">
        <v>53</v>
      </c>
      <c r="J5552">
        <v>0</v>
      </c>
      <c r="K5552" t="str">
        <f t="shared" si="1013"/>
        <v>802</v>
      </c>
      <c r="L5552">
        <v>51.41</v>
      </c>
    </row>
    <row r="5553" spans="1:12" x14ac:dyDescent="0.25">
      <c r="A5553" t="str">
        <f t="shared" si="1005"/>
        <v>89301000</v>
      </c>
      <c r="B5553" t="str">
        <f t="shared" si="1010"/>
        <v>91866000</v>
      </c>
      <c r="C5553" t="str">
        <f t="shared" si="1011"/>
        <v>91866313</v>
      </c>
      <c r="D5553">
        <v>89301704</v>
      </c>
      <c r="E5553" t="str">
        <f t="shared" si="1016"/>
        <v>0761213244</v>
      </c>
      <c r="F5553" s="1">
        <v>45058</v>
      </c>
      <c r="G5553" t="str">
        <f t="shared" si="1012"/>
        <v>82087</v>
      </c>
      <c r="H5553">
        <v>1</v>
      </c>
      <c r="I5553">
        <v>53</v>
      </c>
      <c r="J5553">
        <v>0</v>
      </c>
      <c r="K5553" t="str">
        <f t="shared" si="1013"/>
        <v>802</v>
      </c>
      <c r="L5553">
        <v>51.41</v>
      </c>
    </row>
    <row r="5554" spans="1:12" x14ac:dyDescent="0.25">
      <c r="A5554" t="str">
        <f t="shared" si="1005"/>
        <v>89301000</v>
      </c>
      <c r="B5554" t="str">
        <f t="shared" si="1010"/>
        <v>91866000</v>
      </c>
      <c r="C5554" t="str">
        <f t="shared" si="1011"/>
        <v>91866313</v>
      </c>
      <c r="D5554">
        <v>89301102</v>
      </c>
      <c r="E5554" t="str">
        <f t="shared" ref="E5554:E5559" si="1017">"0406117569"</f>
        <v>0406117569</v>
      </c>
      <c r="F5554" s="1">
        <v>45066</v>
      </c>
      <c r="G5554" t="str">
        <f t="shared" si="1012"/>
        <v>82087</v>
      </c>
      <c r="H5554">
        <v>1</v>
      </c>
      <c r="I5554">
        <v>53</v>
      </c>
      <c r="J5554">
        <v>0</v>
      </c>
      <c r="K5554" t="str">
        <f t="shared" si="1013"/>
        <v>802</v>
      </c>
      <c r="L5554">
        <v>51.41</v>
      </c>
    </row>
    <row r="5555" spans="1:12" x14ac:dyDescent="0.25">
      <c r="A5555" t="str">
        <f t="shared" si="1005"/>
        <v>89301000</v>
      </c>
      <c r="B5555" t="str">
        <f t="shared" si="1010"/>
        <v>91866000</v>
      </c>
      <c r="C5555" t="str">
        <f t="shared" si="1011"/>
        <v>91866313</v>
      </c>
      <c r="D5555">
        <v>89301102</v>
      </c>
      <c r="E5555" t="str">
        <f t="shared" si="1017"/>
        <v>0406117569</v>
      </c>
      <c r="F5555" s="1">
        <v>45065</v>
      </c>
      <c r="G5555" t="str">
        <f t="shared" si="1012"/>
        <v>82087</v>
      </c>
      <c r="H5555">
        <v>1</v>
      </c>
      <c r="I5555">
        <v>53</v>
      </c>
      <c r="J5555">
        <v>0</v>
      </c>
      <c r="K5555" t="str">
        <f t="shared" si="1013"/>
        <v>802</v>
      </c>
      <c r="L5555">
        <v>51.41</v>
      </c>
    </row>
    <row r="5556" spans="1:12" x14ac:dyDescent="0.25">
      <c r="A5556" t="str">
        <f t="shared" si="1005"/>
        <v>89301000</v>
      </c>
      <c r="B5556" t="str">
        <f t="shared" si="1010"/>
        <v>91866000</v>
      </c>
      <c r="C5556" t="str">
        <f t="shared" si="1011"/>
        <v>91866313</v>
      </c>
      <c r="D5556">
        <v>89301102</v>
      </c>
      <c r="E5556" t="str">
        <f t="shared" si="1017"/>
        <v>0406117569</v>
      </c>
      <c r="F5556" s="1">
        <v>45066</v>
      </c>
      <c r="G5556" t="str">
        <f t="shared" si="1012"/>
        <v>82087</v>
      </c>
      <c r="H5556">
        <v>1</v>
      </c>
      <c r="I5556">
        <v>53</v>
      </c>
      <c r="J5556">
        <v>0</v>
      </c>
      <c r="K5556" t="str">
        <f t="shared" si="1013"/>
        <v>802</v>
      </c>
      <c r="L5556">
        <v>51.41</v>
      </c>
    </row>
    <row r="5557" spans="1:12" x14ac:dyDescent="0.25">
      <c r="A5557" t="str">
        <f t="shared" si="1005"/>
        <v>89301000</v>
      </c>
      <c r="B5557" t="str">
        <f t="shared" si="1010"/>
        <v>91866000</v>
      </c>
      <c r="C5557" t="str">
        <f t="shared" si="1011"/>
        <v>91866313</v>
      </c>
      <c r="D5557">
        <v>89301102</v>
      </c>
      <c r="E5557" t="str">
        <f t="shared" si="1017"/>
        <v>0406117569</v>
      </c>
      <c r="F5557" s="1">
        <v>45065</v>
      </c>
      <c r="G5557" t="str">
        <f t="shared" si="1012"/>
        <v>82087</v>
      </c>
      <c r="H5557">
        <v>1</v>
      </c>
      <c r="I5557">
        <v>53</v>
      </c>
      <c r="J5557">
        <v>0</v>
      </c>
      <c r="K5557" t="str">
        <f t="shared" si="1013"/>
        <v>802</v>
      </c>
      <c r="L5557">
        <v>51.41</v>
      </c>
    </row>
    <row r="5558" spans="1:12" x14ac:dyDescent="0.25">
      <c r="A5558" t="str">
        <f t="shared" si="1005"/>
        <v>89301000</v>
      </c>
      <c r="B5558" t="str">
        <f t="shared" si="1010"/>
        <v>91866000</v>
      </c>
      <c r="C5558" t="str">
        <f t="shared" si="1011"/>
        <v>91866313</v>
      </c>
      <c r="D5558">
        <v>89301102</v>
      </c>
      <c r="E5558" t="str">
        <f t="shared" si="1017"/>
        <v>0406117569</v>
      </c>
      <c r="F5558" s="1">
        <v>45067</v>
      </c>
      <c r="G5558" t="str">
        <f t="shared" si="1012"/>
        <v>82087</v>
      </c>
      <c r="H5558">
        <v>1</v>
      </c>
      <c r="I5558">
        <v>53</v>
      </c>
      <c r="J5558">
        <v>0</v>
      </c>
      <c r="K5558" t="str">
        <f t="shared" si="1013"/>
        <v>802</v>
      </c>
      <c r="L5558">
        <v>51.41</v>
      </c>
    </row>
    <row r="5559" spans="1:12" x14ac:dyDescent="0.25">
      <c r="A5559" t="str">
        <f t="shared" si="1005"/>
        <v>89301000</v>
      </c>
      <c r="B5559" t="str">
        <f t="shared" si="1010"/>
        <v>91866000</v>
      </c>
      <c r="C5559" t="str">
        <f t="shared" si="1011"/>
        <v>91866313</v>
      </c>
      <c r="D5559">
        <v>89301102</v>
      </c>
      <c r="E5559" t="str">
        <f t="shared" si="1017"/>
        <v>0406117569</v>
      </c>
      <c r="F5559" s="1">
        <v>45067</v>
      </c>
      <c r="G5559" t="str">
        <f t="shared" si="1012"/>
        <v>82087</v>
      </c>
      <c r="H5559">
        <v>1</v>
      </c>
      <c r="I5559">
        <v>53</v>
      </c>
      <c r="J5559">
        <v>0</v>
      </c>
      <c r="K5559" t="str">
        <f t="shared" si="1013"/>
        <v>802</v>
      </c>
      <c r="L5559">
        <v>51.41</v>
      </c>
    </row>
    <row r="5560" spans="1:12" x14ac:dyDescent="0.25">
      <c r="A5560" t="str">
        <f t="shared" si="1005"/>
        <v>89301000</v>
      </c>
      <c r="B5560" t="str">
        <f t="shared" si="1010"/>
        <v>91866000</v>
      </c>
      <c r="C5560" t="str">
        <f t="shared" si="1011"/>
        <v>91866313</v>
      </c>
      <c r="D5560">
        <v>89301101</v>
      </c>
      <c r="E5560" t="str">
        <f>"0508076151"</f>
        <v>0508076151</v>
      </c>
      <c r="F5560" s="1">
        <v>45077</v>
      </c>
      <c r="G5560" t="str">
        <f>"82117"</f>
        <v>82117</v>
      </c>
      <c r="H5560">
        <v>1</v>
      </c>
      <c r="I5560">
        <v>529</v>
      </c>
      <c r="J5560">
        <v>0</v>
      </c>
      <c r="K5560" t="str">
        <f t="shared" si="1013"/>
        <v>802</v>
      </c>
      <c r="L5560">
        <v>513.13</v>
      </c>
    </row>
    <row r="5561" spans="1:12" x14ac:dyDescent="0.25">
      <c r="A5561" t="str">
        <f t="shared" si="1005"/>
        <v>89301000</v>
      </c>
      <c r="B5561" t="str">
        <f t="shared" si="1010"/>
        <v>91866000</v>
      </c>
      <c r="C5561" t="str">
        <f t="shared" si="1011"/>
        <v>91866313</v>
      </c>
      <c r="D5561">
        <v>89301101</v>
      </c>
      <c r="E5561" t="str">
        <f>"0508076151"</f>
        <v>0508076151</v>
      </c>
      <c r="F5561" s="1">
        <v>45077</v>
      </c>
      <c r="G5561" t="str">
        <f>"82117"</f>
        <v>82117</v>
      </c>
      <c r="H5561">
        <v>2</v>
      </c>
      <c r="I5561">
        <v>1058</v>
      </c>
      <c r="J5561">
        <v>0</v>
      </c>
      <c r="K5561" t="str">
        <f t="shared" si="1013"/>
        <v>802</v>
      </c>
      <c r="L5561">
        <v>1026.26</v>
      </c>
    </row>
    <row r="5562" spans="1:12" x14ac:dyDescent="0.25">
      <c r="A5562" t="str">
        <f t="shared" si="1005"/>
        <v>89301000</v>
      </c>
      <c r="B5562" t="str">
        <f t="shared" si="1010"/>
        <v>91866000</v>
      </c>
      <c r="C5562" t="str">
        <f t="shared" si="1011"/>
        <v>91866313</v>
      </c>
      <c r="D5562">
        <v>89301704</v>
      </c>
      <c r="E5562" t="str">
        <f>"0951155260"</f>
        <v>0951155260</v>
      </c>
      <c r="F5562" s="1">
        <v>45076</v>
      </c>
      <c r="G5562" t="str">
        <f>"82087"</f>
        <v>82087</v>
      </c>
      <c r="H5562">
        <v>1</v>
      </c>
      <c r="I5562">
        <v>53</v>
      </c>
      <c r="J5562">
        <v>0</v>
      </c>
      <c r="K5562" t="str">
        <f t="shared" si="1013"/>
        <v>802</v>
      </c>
      <c r="L5562">
        <v>51.41</v>
      </c>
    </row>
    <row r="5563" spans="1:12" x14ac:dyDescent="0.25">
      <c r="A5563" t="str">
        <f t="shared" si="1005"/>
        <v>89301000</v>
      </c>
      <c r="B5563" t="str">
        <f t="shared" si="1010"/>
        <v>91866000</v>
      </c>
      <c r="C5563" t="str">
        <f t="shared" si="1011"/>
        <v>91866313</v>
      </c>
      <c r="D5563">
        <v>89301704</v>
      </c>
      <c r="E5563" t="str">
        <f>"0951155260"</f>
        <v>0951155260</v>
      </c>
      <c r="F5563" s="1">
        <v>45076</v>
      </c>
      <c r="G5563" t="str">
        <f>"82087"</f>
        <v>82087</v>
      </c>
      <c r="H5563">
        <v>1</v>
      </c>
      <c r="I5563">
        <v>53</v>
      </c>
      <c r="J5563">
        <v>0</v>
      </c>
      <c r="K5563" t="str">
        <f t="shared" si="1013"/>
        <v>802</v>
      </c>
      <c r="L5563">
        <v>51.41</v>
      </c>
    </row>
    <row r="5564" spans="1:12" x14ac:dyDescent="0.25">
      <c r="A5564" t="str">
        <f t="shared" si="1005"/>
        <v>89301000</v>
      </c>
      <c r="B5564" t="str">
        <f t="shared" si="1010"/>
        <v>91866000</v>
      </c>
      <c r="C5564" t="str">
        <f t="shared" si="1011"/>
        <v>91866313</v>
      </c>
      <c r="D5564">
        <v>89301704</v>
      </c>
      <c r="E5564" t="str">
        <f>"0951155260"</f>
        <v>0951155260</v>
      </c>
      <c r="F5564" s="1">
        <v>45077</v>
      </c>
      <c r="G5564" t="str">
        <f>"82087"</f>
        <v>82087</v>
      </c>
      <c r="H5564">
        <v>1</v>
      </c>
      <c r="I5564">
        <v>53</v>
      </c>
      <c r="J5564">
        <v>0</v>
      </c>
      <c r="K5564" t="str">
        <f t="shared" si="1013"/>
        <v>802</v>
      </c>
      <c r="L5564">
        <v>51.41</v>
      </c>
    </row>
    <row r="5565" spans="1:12" x14ac:dyDescent="0.25">
      <c r="A5565" t="str">
        <f t="shared" si="1005"/>
        <v>89301000</v>
      </c>
      <c r="B5565" t="str">
        <f t="shared" si="1010"/>
        <v>91866000</v>
      </c>
      <c r="C5565" t="str">
        <f t="shared" si="1011"/>
        <v>91866313</v>
      </c>
      <c r="D5565">
        <v>89301704</v>
      </c>
      <c r="E5565" t="str">
        <f>"0951155260"</f>
        <v>0951155260</v>
      </c>
      <c r="F5565" s="1">
        <v>45077</v>
      </c>
      <c r="G5565" t="str">
        <f>"82087"</f>
        <v>82087</v>
      </c>
      <c r="H5565">
        <v>1</v>
      </c>
      <c r="I5565">
        <v>53</v>
      </c>
      <c r="J5565">
        <v>0</v>
      </c>
      <c r="K5565" t="str">
        <f t="shared" si="1013"/>
        <v>802</v>
      </c>
      <c r="L5565">
        <v>51.41</v>
      </c>
    </row>
    <row r="5566" spans="1:12" x14ac:dyDescent="0.25">
      <c r="A5566" t="str">
        <f t="shared" si="1005"/>
        <v>89301000</v>
      </c>
      <c r="B5566" t="str">
        <f t="shared" si="1010"/>
        <v>91866000</v>
      </c>
      <c r="C5566" t="str">
        <f t="shared" si="1011"/>
        <v>91866313</v>
      </c>
      <c r="D5566">
        <v>89301101</v>
      </c>
      <c r="E5566" t="str">
        <f>"2260130675"</f>
        <v>2260130675</v>
      </c>
      <c r="F5566" s="1">
        <v>45069</v>
      </c>
      <c r="G5566" t="str">
        <f>"82040"</f>
        <v>82040</v>
      </c>
      <c r="H5566">
        <v>1</v>
      </c>
      <c r="I5566">
        <v>938</v>
      </c>
      <c r="J5566">
        <v>0</v>
      </c>
      <c r="K5566" t="str">
        <f t="shared" si="1013"/>
        <v>802</v>
      </c>
      <c r="L5566">
        <v>909.86</v>
      </c>
    </row>
    <row r="5567" spans="1:12" x14ac:dyDescent="0.25">
      <c r="A5567" t="str">
        <f t="shared" si="1005"/>
        <v>89301000</v>
      </c>
      <c r="B5567" t="str">
        <f t="shared" si="1010"/>
        <v>91866000</v>
      </c>
      <c r="C5567" t="str">
        <f t="shared" si="1011"/>
        <v>91866313</v>
      </c>
      <c r="D5567">
        <v>89301101</v>
      </c>
      <c r="E5567" t="str">
        <f>"2260130675"</f>
        <v>2260130675</v>
      </c>
      <c r="F5567" s="1">
        <v>45069</v>
      </c>
      <c r="G5567" t="str">
        <f>"82041"</f>
        <v>82041</v>
      </c>
      <c r="H5567">
        <v>1</v>
      </c>
      <c r="I5567">
        <v>1096</v>
      </c>
      <c r="J5567">
        <v>0</v>
      </c>
      <c r="K5567" t="str">
        <f t="shared" si="1013"/>
        <v>802</v>
      </c>
      <c r="L5567">
        <v>1063.1199999999999</v>
      </c>
    </row>
    <row r="5568" spans="1:12" x14ac:dyDescent="0.25">
      <c r="A5568" t="str">
        <f t="shared" si="1005"/>
        <v>89301000</v>
      </c>
      <c r="B5568" t="str">
        <f t="shared" si="1010"/>
        <v>91866000</v>
      </c>
      <c r="C5568" t="str">
        <f t="shared" si="1011"/>
        <v>91866313</v>
      </c>
      <c r="D5568">
        <v>89301101</v>
      </c>
      <c r="E5568" t="str">
        <f>"1860241581"</f>
        <v>1860241581</v>
      </c>
      <c r="F5568" s="1">
        <v>45070</v>
      </c>
      <c r="G5568" t="str">
        <f>"82041"</f>
        <v>82041</v>
      </c>
      <c r="H5568">
        <v>1</v>
      </c>
      <c r="I5568">
        <v>1096</v>
      </c>
      <c r="J5568">
        <v>0</v>
      </c>
      <c r="K5568" t="str">
        <f t="shared" si="1013"/>
        <v>802</v>
      </c>
      <c r="L5568">
        <v>1063.1199999999999</v>
      </c>
    </row>
    <row r="5569" spans="1:12" x14ac:dyDescent="0.25">
      <c r="A5569" t="str">
        <f t="shared" si="1005"/>
        <v>89301000</v>
      </c>
      <c r="B5569" t="str">
        <f t="shared" si="1010"/>
        <v>91866000</v>
      </c>
      <c r="C5569" t="str">
        <f t="shared" si="1011"/>
        <v>91866313</v>
      </c>
      <c r="D5569">
        <v>89301101</v>
      </c>
      <c r="E5569" t="str">
        <f>"1860241581"</f>
        <v>1860241581</v>
      </c>
      <c r="F5569" s="1">
        <v>45070</v>
      </c>
      <c r="G5569" t="str">
        <f>"82034"</f>
        <v>82034</v>
      </c>
      <c r="H5569">
        <v>1</v>
      </c>
      <c r="I5569">
        <v>354</v>
      </c>
      <c r="J5569">
        <v>0</v>
      </c>
      <c r="K5569" t="str">
        <f t="shared" si="1013"/>
        <v>802</v>
      </c>
      <c r="L5569">
        <v>343.38</v>
      </c>
    </row>
    <row r="5570" spans="1:12" x14ac:dyDescent="0.25">
      <c r="A5570" t="str">
        <f t="shared" ref="A5570:A5633" si="1018">"89301000"</f>
        <v>89301000</v>
      </c>
      <c r="B5570" t="str">
        <f t="shared" ref="B5570:C5587" si="1019">"87669000"</f>
        <v>87669000</v>
      </c>
      <c r="C5570" t="str">
        <f t="shared" si="1019"/>
        <v>87669000</v>
      </c>
      <c r="D5570">
        <v>89301162</v>
      </c>
      <c r="E5570" t="str">
        <f t="shared" ref="E5570:E5587" si="1020">"480710460"</f>
        <v>480710460</v>
      </c>
      <c r="F5570" s="1">
        <v>45061</v>
      </c>
      <c r="G5570" t="str">
        <f>"81329"</f>
        <v>81329</v>
      </c>
      <c r="H5570">
        <v>1</v>
      </c>
      <c r="I5570">
        <v>17</v>
      </c>
      <c r="J5570">
        <v>0</v>
      </c>
      <c r="K5570" t="str">
        <f t="shared" ref="K5570:K5587" si="1021">"801"</f>
        <v>801</v>
      </c>
      <c r="L5570">
        <v>14.28</v>
      </c>
    </row>
    <row r="5571" spans="1:12" x14ac:dyDescent="0.25">
      <c r="A5571" t="str">
        <f t="shared" si="1018"/>
        <v>89301000</v>
      </c>
      <c r="B5571" t="str">
        <f t="shared" si="1019"/>
        <v>87669000</v>
      </c>
      <c r="C5571" t="str">
        <f t="shared" si="1019"/>
        <v>87669000</v>
      </c>
      <c r="D5571">
        <v>89301162</v>
      </c>
      <c r="E5571" t="str">
        <f t="shared" si="1020"/>
        <v>480710460</v>
      </c>
      <c r="F5571" s="1">
        <v>45061</v>
      </c>
      <c r="G5571" t="str">
        <f>"81337"</f>
        <v>81337</v>
      </c>
      <c r="H5571">
        <v>1</v>
      </c>
      <c r="I5571">
        <v>20</v>
      </c>
      <c r="J5571">
        <v>0</v>
      </c>
      <c r="K5571" t="str">
        <f t="shared" si="1021"/>
        <v>801</v>
      </c>
      <c r="L5571">
        <v>16.8</v>
      </c>
    </row>
    <row r="5572" spans="1:12" x14ac:dyDescent="0.25">
      <c r="A5572" t="str">
        <f t="shared" si="1018"/>
        <v>89301000</v>
      </c>
      <c r="B5572" t="str">
        <f t="shared" si="1019"/>
        <v>87669000</v>
      </c>
      <c r="C5572" t="str">
        <f t="shared" si="1019"/>
        <v>87669000</v>
      </c>
      <c r="D5572">
        <v>89301162</v>
      </c>
      <c r="E5572" t="str">
        <f t="shared" si="1020"/>
        <v>480710460</v>
      </c>
      <c r="F5572" s="1">
        <v>45061</v>
      </c>
      <c r="G5572" t="str">
        <f>"81357"</f>
        <v>81357</v>
      </c>
      <c r="H5572">
        <v>1</v>
      </c>
      <c r="I5572">
        <v>20</v>
      </c>
      <c r="J5572">
        <v>0</v>
      </c>
      <c r="K5572" t="str">
        <f t="shared" si="1021"/>
        <v>801</v>
      </c>
      <c r="L5572">
        <v>16.8</v>
      </c>
    </row>
    <row r="5573" spans="1:12" x14ac:dyDescent="0.25">
      <c r="A5573" t="str">
        <f t="shared" si="1018"/>
        <v>89301000</v>
      </c>
      <c r="B5573" t="str">
        <f t="shared" si="1019"/>
        <v>87669000</v>
      </c>
      <c r="C5573" t="str">
        <f t="shared" si="1019"/>
        <v>87669000</v>
      </c>
      <c r="D5573">
        <v>89301162</v>
      </c>
      <c r="E5573" t="str">
        <f t="shared" si="1020"/>
        <v>480710460</v>
      </c>
      <c r="F5573" s="1">
        <v>45061</v>
      </c>
      <c r="G5573" t="str">
        <f>"81365"</f>
        <v>81365</v>
      </c>
      <c r="H5573">
        <v>1</v>
      </c>
      <c r="I5573">
        <v>16</v>
      </c>
      <c r="J5573">
        <v>0</v>
      </c>
      <c r="K5573" t="str">
        <f t="shared" si="1021"/>
        <v>801</v>
      </c>
      <c r="L5573">
        <v>13.44</v>
      </c>
    </row>
    <row r="5574" spans="1:12" x14ac:dyDescent="0.25">
      <c r="A5574" t="str">
        <f t="shared" si="1018"/>
        <v>89301000</v>
      </c>
      <c r="B5574" t="str">
        <f t="shared" si="1019"/>
        <v>87669000</v>
      </c>
      <c r="C5574" t="str">
        <f t="shared" si="1019"/>
        <v>87669000</v>
      </c>
      <c r="D5574">
        <v>89301162</v>
      </c>
      <c r="E5574" t="str">
        <f t="shared" si="1020"/>
        <v>480710460</v>
      </c>
      <c r="F5574" s="1">
        <v>45061</v>
      </c>
      <c r="G5574" t="str">
        <f>"81393"</f>
        <v>81393</v>
      </c>
      <c r="H5574">
        <v>1</v>
      </c>
      <c r="I5574">
        <v>24</v>
      </c>
      <c r="J5574">
        <v>0</v>
      </c>
      <c r="K5574" t="str">
        <f t="shared" si="1021"/>
        <v>801</v>
      </c>
      <c r="L5574">
        <v>20.16</v>
      </c>
    </row>
    <row r="5575" spans="1:12" x14ac:dyDescent="0.25">
      <c r="A5575" t="str">
        <f t="shared" si="1018"/>
        <v>89301000</v>
      </c>
      <c r="B5575" t="str">
        <f t="shared" si="1019"/>
        <v>87669000</v>
      </c>
      <c r="C5575" t="str">
        <f t="shared" si="1019"/>
        <v>87669000</v>
      </c>
      <c r="D5575">
        <v>89301162</v>
      </c>
      <c r="E5575" t="str">
        <f t="shared" si="1020"/>
        <v>480710460</v>
      </c>
      <c r="F5575" s="1">
        <v>45061</v>
      </c>
      <c r="G5575" t="str">
        <f>"81421"</f>
        <v>81421</v>
      </c>
      <c r="H5575">
        <v>1</v>
      </c>
      <c r="I5575">
        <v>19</v>
      </c>
      <c r="J5575">
        <v>0</v>
      </c>
      <c r="K5575" t="str">
        <f t="shared" si="1021"/>
        <v>801</v>
      </c>
      <c r="L5575">
        <v>15.96</v>
      </c>
    </row>
    <row r="5576" spans="1:12" x14ac:dyDescent="0.25">
      <c r="A5576" t="str">
        <f t="shared" si="1018"/>
        <v>89301000</v>
      </c>
      <c r="B5576" t="str">
        <f t="shared" si="1019"/>
        <v>87669000</v>
      </c>
      <c r="C5576" t="str">
        <f t="shared" si="1019"/>
        <v>87669000</v>
      </c>
      <c r="D5576">
        <v>89301162</v>
      </c>
      <c r="E5576" t="str">
        <f t="shared" si="1020"/>
        <v>480710460</v>
      </c>
      <c r="F5576" s="1">
        <v>45061</v>
      </c>
      <c r="G5576" t="str">
        <f>"81435"</f>
        <v>81435</v>
      </c>
      <c r="H5576">
        <v>1</v>
      </c>
      <c r="I5576">
        <v>22</v>
      </c>
      <c r="J5576">
        <v>0</v>
      </c>
      <c r="K5576" t="str">
        <f t="shared" si="1021"/>
        <v>801</v>
      </c>
      <c r="L5576">
        <v>18.48</v>
      </c>
    </row>
    <row r="5577" spans="1:12" x14ac:dyDescent="0.25">
      <c r="A5577" t="str">
        <f t="shared" si="1018"/>
        <v>89301000</v>
      </c>
      <c r="B5577" t="str">
        <f t="shared" si="1019"/>
        <v>87669000</v>
      </c>
      <c r="C5577" t="str">
        <f t="shared" si="1019"/>
        <v>87669000</v>
      </c>
      <c r="D5577">
        <v>89301162</v>
      </c>
      <c r="E5577" t="str">
        <f t="shared" si="1020"/>
        <v>480710460</v>
      </c>
      <c r="F5577" s="1">
        <v>45061</v>
      </c>
      <c r="G5577" t="str">
        <f>"81439"</f>
        <v>81439</v>
      </c>
      <c r="H5577">
        <v>1</v>
      </c>
      <c r="I5577">
        <v>16</v>
      </c>
      <c r="J5577">
        <v>0</v>
      </c>
      <c r="K5577" t="str">
        <f t="shared" si="1021"/>
        <v>801</v>
      </c>
      <c r="L5577">
        <v>13.44</v>
      </c>
    </row>
    <row r="5578" spans="1:12" x14ac:dyDescent="0.25">
      <c r="A5578" t="str">
        <f t="shared" si="1018"/>
        <v>89301000</v>
      </c>
      <c r="B5578" t="str">
        <f t="shared" si="1019"/>
        <v>87669000</v>
      </c>
      <c r="C5578" t="str">
        <f t="shared" si="1019"/>
        <v>87669000</v>
      </c>
      <c r="D5578">
        <v>89301162</v>
      </c>
      <c r="E5578" t="str">
        <f t="shared" si="1020"/>
        <v>480710460</v>
      </c>
      <c r="F5578" s="1">
        <v>45061</v>
      </c>
      <c r="G5578" t="str">
        <f>"81469"</f>
        <v>81469</v>
      </c>
      <c r="H5578">
        <v>1</v>
      </c>
      <c r="I5578">
        <v>16</v>
      </c>
      <c r="J5578">
        <v>0</v>
      </c>
      <c r="K5578" t="str">
        <f t="shared" si="1021"/>
        <v>801</v>
      </c>
      <c r="L5578">
        <v>13.44</v>
      </c>
    </row>
    <row r="5579" spans="1:12" x14ac:dyDescent="0.25">
      <c r="A5579" t="str">
        <f t="shared" si="1018"/>
        <v>89301000</v>
      </c>
      <c r="B5579" t="str">
        <f t="shared" si="1019"/>
        <v>87669000</v>
      </c>
      <c r="C5579" t="str">
        <f t="shared" si="1019"/>
        <v>87669000</v>
      </c>
      <c r="D5579">
        <v>89301162</v>
      </c>
      <c r="E5579" t="str">
        <f t="shared" si="1020"/>
        <v>480710460</v>
      </c>
      <c r="F5579" s="1">
        <v>45061</v>
      </c>
      <c r="G5579" t="str">
        <f>"81499"</f>
        <v>81499</v>
      </c>
      <c r="H5579">
        <v>1</v>
      </c>
      <c r="I5579">
        <v>18</v>
      </c>
      <c r="J5579">
        <v>0</v>
      </c>
      <c r="K5579" t="str">
        <f t="shared" si="1021"/>
        <v>801</v>
      </c>
      <c r="L5579">
        <v>15.12</v>
      </c>
    </row>
    <row r="5580" spans="1:12" x14ac:dyDescent="0.25">
      <c r="A5580" t="str">
        <f t="shared" si="1018"/>
        <v>89301000</v>
      </c>
      <c r="B5580" t="str">
        <f t="shared" si="1019"/>
        <v>87669000</v>
      </c>
      <c r="C5580" t="str">
        <f t="shared" si="1019"/>
        <v>87669000</v>
      </c>
      <c r="D5580">
        <v>89301162</v>
      </c>
      <c r="E5580" t="str">
        <f t="shared" si="1020"/>
        <v>480710460</v>
      </c>
      <c r="F5580" s="1">
        <v>45061</v>
      </c>
      <c r="G5580" t="str">
        <f>"81593"</f>
        <v>81593</v>
      </c>
      <c r="H5580">
        <v>1</v>
      </c>
      <c r="I5580">
        <v>22</v>
      </c>
      <c r="J5580">
        <v>0</v>
      </c>
      <c r="K5580" t="str">
        <f t="shared" si="1021"/>
        <v>801</v>
      </c>
      <c r="L5580">
        <v>18.48</v>
      </c>
    </row>
    <row r="5581" spans="1:12" x14ac:dyDescent="0.25">
      <c r="A5581" t="str">
        <f t="shared" si="1018"/>
        <v>89301000</v>
      </c>
      <c r="B5581" t="str">
        <f t="shared" si="1019"/>
        <v>87669000</v>
      </c>
      <c r="C5581" t="str">
        <f t="shared" si="1019"/>
        <v>87669000</v>
      </c>
      <c r="D5581">
        <v>89301162</v>
      </c>
      <c r="E5581" t="str">
        <f t="shared" si="1020"/>
        <v>480710460</v>
      </c>
      <c r="F5581" s="1">
        <v>45061</v>
      </c>
      <c r="G5581" t="str">
        <f>"81621"</f>
        <v>81621</v>
      </c>
      <c r="H5581">
        <v>1</v>
      </c>
      <c r="I5581">
        <v>19</v>
      </c>
      <c r="J5581">
        <v>0</v>
      </c>
      <c r="K5581" t="str">
        <f t="shared" si="1021"/>
        <v>801</v>
      </c>
      <c r="L5581">
        <v>15.96</v>
      </c>
    </row>
    <row r="5582" spans="1:12" x14ac:dyDescent="0.25">
      <c r="A5582" t="str">
        <f t="shared" si="1018"/>
        <v>89301000</v>
      </c>
      <c r="B5582" t="str">
        <f t="shared" si="1019"/>
        <v>87669000</v>
      </c>
      <c r="C5582" t="str">
        <f t="shared" si="1019"/>
        <v>87669000</v>
      </c>
      <c r="D5582">
        <v>89301162</v>
      </c>
      <c r="E5582" t="str">
        <f t="shared" si="1020"/>
        <v>480710460</v>
      </c>
      <c r="F5582" s="1">
        <v>45061</v>
      </c>
      <c r="G5582" t="str">
        <f>"81625"</f>
        <v>81625</v>
      </c>
      <c r="H5582">
        <v>1</v>
      </c>
      <c r="I5582">
        <v>21</v>
      </c>
      <c r="J5582">
        <v>0</v>
      </c>
      <c r="K5582" t="str">
        <f t="shared" si="1021"/>
        <v>801</v>
      </c>
      <c r="L5582">
        <v>17.64</v>
      </c>
    </row>
    <row r="5583" spans="1:12" x14ac:dyDescent="0.25">
      <c r="A5583" t="str">
        <f t="shared" si="1018"/>
        <v>89301000</v>
      </c>
      <c r="B5583" t="str">
        <f t="shared" si="1019"/>
        <v>87669000</v>
      </c>
      <c r="C5583" t="str">
        <f t="shared" si="1019"/>
        <v>87669000</v>
      </c>
      <c r="D5583">
        <v>89301162</v>
      </c>
      <c r="E5583" t="str">
        <f t="shared" si="1020"/>
        <v>480710460</v>
      </c>
      <c r="F5583" s="1">
        <v>45061</v>
      </c>
      <c r="G5583" t="str">
        <f>"91153"</f>
        <v>91153</v>
      </c>
      <c r="H5583">
        <v>1</v>
      </c>
      <c r="I5583">
        <v>153</v>
      </c>
      <c r="J5583">
        <v>0</v>
      </c>
      <c r="K5583" t="str">
        <f t="shared" si="1021"/>
        <v>801</v>
      </c>
      <c r="L5583">
        <v>128.52000000000001</v>
      </c>
    </row>
    <row r="5584" spans="1:12" x14ac:dyDescent="0.25">
      <c r="A5584" t="str">
        <f t="shared" si="1018"/>
        <v>89301000</v>
      </c>
      <c r="B5584" t="str">
        <f t="shared" si="1019"/>
        <v>87669000</v>
      </c>
      <c r="C5584" t="str">
        <f t="shared" si="1019"/>
        <v>87669000</v>
      </c>
      <c r="D5584">
        <v>89301162</v>
      </c>
      <c r="E5584" t="str">
        <f t="shared" si="1020"/>
        <v>480710460</v>
      </c>
      <c r="F5584" s="1">
        <v>45061</v>
      </c>
      <c r="G5584" t="str">
        <f>"93189"</f>
        <v>93189</v>
      </c>
      <c r="H5584">
        <v>1</v>
      </c>
      <c r="I5584">
        <v>191</v>
      </c>
      <c r="J5584">
        <v>0</v>
      </c>
      <c r="K5584" t="str">
        <f t="shared" si="1021"/>
        <v>801</v>
      </c>
      <c r="L5584">
        <v>160.44</v>
      </c>
    </row>
    <row r="5585" spans="1:12" x14ac:dyDescent="0.25">
      <c r="A5585" t="str">
        <f t="shared" si="1018"/>
        <v>89301000</v>
      </c>
      <c r="B5585" t="str">
        <f t="shared" si="1019"/>
        <v>87669000</v>
      </c>
      <c r="C5585" t="str">
        <f t="shared" si="1019"/>
        <v>87669000</v>
      </c>
      <c r="D5585">
        <v>89301162</v>
      </c>
      <c r="E5585" t="str">
        <f t="shared" si="1020"/>
        <v>480710460</v>
      </c>
      <c r="F5585" s="1">
        <v>45061</v>
      </c>
      <c r="G5585" t="str">
        <f>"93195"</f>
        <v>93195</v>
      </c>
      <c r="H5585">
        <v>1</v>
      </c>
      <c r="I5585">
        <v>183</v>
      </c>
      <c r="J5585">
        <v>0</v>
      </c>
      <c r="K5585" t="str">
        <f t="shared" si="1021"/>
        <v>801</v>
      </c>
      <c r="L5585">
        <v>153.72</v>
      </c>
    </row>
    <row r="5586" spans="1:12" x14ac:dyDescent="0.25">
      <c r="A5586" t="str">
        <f t="shared" si="1018"/>
        <v>89301000</v>
      </c>
      <c r="B5586" t="str">
        <f t="shared" si="1019"/>
        <v>87669000</v>
      </c>
      <c r="C5586" t="str">
        <f t="shared" si="1019"/>
        <v>87669000</v>
      </c>
      <c r="D5586">
        <v>89301162</v>
      </c>
      <c r="E5586" t="str">
        <f t="shared" si="1020"/>
        <v>480710460</v>
      </c>
      <c r="F5586" s="1">
        <v>45061</v>
      </c>
      <c r="G5586" t="str">
        <f>"96167"</f>
        <v>96167</v>
      </c>
      <c r="H5586">
        <v>1</v>
      </c>
      <c r="I5586">
        <v>67</v>
      </c>
      <c r="J5586">
        <v>0</v>
      </c>
      <c r="K5586" t="str">
        <f t="shared" si="1021"/>
        <v>801</v>
      </c>
      <c r="L5586">
        <v>56.28</v>
      </c>
    </row>
    <row r="5587" spans="1:12" x14ac:dyDescent="0.25">
      <c r="A5587" t="str">
        <f t="shared" si="1018"/>
        <v>89301000</v>
      </c>
      <c r="B5587" t="str">
        <f t="shared" si="1019"/>
        <v>87669000</v>
      </c>
      <c r="C5587" t="str">
        <f t="shared" si="1019"/>
        <v>87669000</v>
      </c>
      <c r="D5587">
        <v>89301162</v>
      </c>
      <c r="E5587" t="str">
        <f t="shared" si="1020"/>
        <v>480710460</v>
      </c>
      <c r="F5587" s="1">
        <v>45061</v>
      </c>
      <c r="G5587" t="str">
        <f>"97111"</f>
        <v>97111</v>
      </c>
      <c r="H5587">
        <v>1</v>
      </c>
      <c r="I5587">
        <v>19</v>
      </c>
      <c r="J5587">
        <v>0</v>
      </c>
      <c r="K5587" t="str">
        <f t="shared" si="1021"/>
        <v>801</v>
      </c>
      <c r="L5587">
        <v>23.94</v>
      </c>
    </row>
    <row r="5588" spans="1:12" x14ac:dyDescent="0.25">
      <c r="A5588" t="str">
        <f t="shared" si="1018"/>
        <v>89301000</v>
      </c>
      <c r="B5588" t="str">
        <f t="shared" ref="B5588:B5612" si="1022">"91997900"</f>
        <v>91997900</v>
      </c>
      <c r="C5588" t="str">
        <f>"91997902"</f>
        <v>91997902</v>
      </c>
      <c r="D5588">
        <v>89301167</v>
      </c>
      <c r="E5588" t="str">
        <f>"5753036355"</f>
        <v>5753036355</v>
      </c>
      <c r="F5588" s="1">
        <v>45069</v>
      </c>
      <c r="G5588" t="str">
        <f>"91153"</f>
        <v>91153</v>
      </c>
      <c r="H5588">
        <v>1</v>
      </c>
      <c r="I5588">
        <v>153</v>
      </c>
      <c r="J5588">
        <v>0</v>
      </c>
      <c r="K5588" t="str">
        <f>"813"</f>
        <v>813</v>
      </c>
      <c r="L5588">
        <v>128.52000000000001</v>
      </c>
    </row>
    <row r="5589" spans="1:12" x14ac:dyDescent="0.25">
      <c r="A5589" t="str">
        <f t="shared" si="1018"/>
        <v>89301000</v>
      </c>
      <c r="B5589" t="str">
        <f t="shared" si="1022"/>
        <v>91997900</v>
      </c>
      <c r="C5589" t="str">
        <f t="shared" ref="C5589:C5612" si="1023">"91997901"</f>
        <v>91997901</v>
      </c>
      <c r="D5589">
        <v>89301162</v>
      </c>
      <c r="E5589" t="str">
        <f>"480710460"</f>
        <v>480710460</v>
      </c>
      <c r="F5589" s="1">
        <v>45061</v>
      </c>
      <c r="G5589" t="str">
        <f>"81249"</f>
        <v>81249</v>
      </c>
      <c r="H5589">
        <v>1</v>
      </c>
      <c r="I5589">
        <v>334</v>
      </c>
      <c r="J5589">
        <v>0</v>
      </c>
      <c r="K5589" t="str">
        <f t="shared" ref="K5589:K5615" si="1024">"801"</f>
        <v>801</v>
      </c>
      <c r="L5589">
        <v>280.56</v>
      </c>
    </row>
    <row r="5590" spans="1:12" x14ac:dyDescent="0.25">
      <c r="A5590" t="str">
        <f t="shared" si="1018"/>
        <v>89301000</v>
      </c>
      <c r="B5590" t="str">
        <f t="shared" si="1022"/>
        <v>91997900</v>
      </c>
      <c r="C5590" t="str">
        <f t="shared" si="1023"/>
        <v>91997901</v>
      </c>
      <c r="D5590">
        <v>89301162</v>
      </c>
      <c r="E5590" t="str">
        <f>"480710460"</f>
        <v>480710460</v>
      </c>
      <c r="F5590" s="1">
        <v>45061</v>
      </c>
      <c r="G5590" t="str">
        <f>"93135"</f>
        <v>93135</v>
      </c>
      <c r="H5590">
        <v>1</v>
      </c>
      <c r="I5590">
        <v>303</v>
      </c>
      <c r="J5590">
        <v>0</v>
      </c>
      <c r="K5590" t="str">
        <f t="shared" si="1024"/>
        <v>801</v>
      </c>
      <c r="L5590">
        <v>254.52</v>
      </c>
    </row>
    <row r="5591" spans="1:12" x14ac:dyDescent="0.25">
      <c r="A5591" t="str">
        <f t="shared" si="1018"/>
        <v>89301000</v>
      </c>
      <c r="B5591" t="str">
        <f t="shared" si="1022"/>
        <v>91997900</v>
      </c>
      <c r="C5591" t="str">
        <f t="shared" si="1023"/>
        <v>91997901</v>
      </c>
      <c r="D5591">
        <v>89301162</v>
      </c>
      <c r="E5591" t="str">
        <f>"480710460"</f>
        <v>480710460</v>
      </c>
      <c r="F5591" s="1">
        <v>45061</v>
      </c>
      <c r="G5591" t="str">
        <f>"93245"</f>
        <v>93245</v>
      </c>
      <c r="H5591">
        <v>1</v>
      </c>
      <c r="I5591">
        <v>191</v>
      </c>
      <c r="J5591">
        <v>0</v>
      </c>
      <c r="K5591" t="str">
        <f t="shared" si="1024"/>
        <v>801</v>
      </c>
      <c r="L5591">
        <v>160.44</v>
      </c>
    </row>
    <row r="5592" spans="1:12" x14ac:dyDescent="0.25">
      <c r="A5592" t="str">
        <f t="shared" si="1018"/>
        <v>89301000</v>
      </c>
      <c r="B5592" t="str">
        <f t="shared" si="1022"/>
        <v>91997900</v>
      </c>
      <c r="C5592" t="str">
        <f t="shared" si="1023"/>
        <v>91997901</v>
      </c>
      <c r="D5592">
        <v>89301167</v>
      </c>
      <c r="E5592" t="str">
        <f t="shared" ref="E5592:E5612" si="1025">"5753036355"</f>
        <v>5753036355</v>
      </c>
      <c r="F5592" s="1">
        <v>45069</v>
      </c>
      <c r="G5592" t="str">
        <f>"81329"</f>
        <v>81329</v>
      </c>
      <c r="H5592">
        <v>1</v>
      </c>
      <c r="I5592">
        <v>17</v>
      </c>
      <c r="J5592">
        <v>0</v>
      </c>
      <c r="K5592" t="str">
        <f t="shared" si="1024"/>
        <v>801</v>
      </c>
      <c r="L5592">
        <v>14.28</v>
      </c>
    </row>
    <row r="5593" spans="1:12" x14ac:dyDescent="0.25">
      <c r="A5593" t="str">
        <f t="shared" si="1018"/>
        <v>89301000</v>
      </c>
      <c r="B5593" t="str">
        <f t="shared" si="1022"/>
        <v>91997900</v>
      </c>
      <c r="C5593" t="str">
        <f t="shared" si="1023"/>
        <v>91997901</v>
      </c>
      <c r="D5593">
        <v>89301167</v>
      </c>
      <c r="E5593" t="str">
        <f t="shared" si="1025"/>
        <v>5753036355</v>
      </c>
      <c r="F5593" s="1">
        <v>45069</v>
      </c>
      <c r="G5593" t="str">
        <f>"81337"</f>
        <v>81337</v>
      </c>
      <c r="H5593">
        <v>1</v>
      </c>
      <c r="I5593">
        <v>20</v>
      </c>
      <c r="J5593">
        <v>0</v>
      </c>
      <c r="K5593" t="str">
        <f t="shared" si="1024"/>
        <v>801</v>
      </c>
      <c r="L5593">
        <v>16.8</v>
      </c>
    </row>
    <row r="5594" spans="1:12" x14ac:dyDescent="0.25">
      <c r="A5594" t="str">
        <f t="shared" si="1018"/>
        <v>89301000</v>
      </c>
      <c r="B5594" t="str">
        <f t="shared" si="1022"/>
        <v>91997900</v>
      </c>
      <c r="C5594" t="str">
        <f t="shared" si="1023"/>
        <v>91997901</v>
      </c>
      <c r="D5594">
        <v>89301167</v>
      </c>
      <c r="E5594" t="str">
        <f t="shared" si="1025"/>
        <v>5753036355</v>
      </c>
      <c r="F5594" s="1">
        <v>45069</v>
      </c>
      <c r="G5594" t="str">
        <f>"81357"</f>
        <v>81357</v>
      </c>
      <c r="H5594">
        <v>1</v>
      </c>
      <c r="I5594">
        <v>20</v>
      </c>
      <c r="J5594">
        <v>0</v>
      </c>
      <c r="K5594" t="str">
        <f t="shared" si="1024"/>
        <v>801</v>
      </c>
      <c r="L5594">
        <v>16.8</v>
      </c>
    </row>
    <row r="5595" spans="1:12" x14ac:dyDescent="0.25">
      <c r="A5595" t="str">
        <f t="shared" si="1018"/>
        <v>89301000</v>
      </c>
      <c r="B5595" t="str">
        <f t="shared" si="1022"/>
        <v>91997900</v>
      </c>
      <c r="C5595" t="str">
        <f t="shared" si="1023"/>
        <v>91997901</v>
      </c>
      <c r="D5595">
        <v>89301167</v>
      </c>
      <c r="E5595" t="str">
        <f t="shared" si="1025"/>
        <v>5753036355</v>
      </c>
      <c r="F5595" s="1">
        <v>45069</v>
      </c>
      <c r="G5595" t="str">
        <f>"81361"</f>
        <v>81361</v>
      </c>
      <c r="H5595">
        <v>1</v>
      </c>
      <c r="I5595">
        <v>17</v>
      </c>
      <c r="J5595">
        <v>0</v>
      </c>
      <c r="K5595" t="str">
        <f t="shared" si="1024"/>
        <v>801</v>
      </c>
      <c r="L5595">
        <v>14.28</v>
      </c>
    </row>
    <row r="5596" spans="1:12" x14ac:dyDescent="0.25">
      <c r="A5596" t="str">
        <f t="shared" si="1018"/>
        <v>89301000</v>
      </c>
      <c r="B5596" t="str">
        <f t="shared" si="1022"/>
        <v>91997900</v>
      </c>
      <c r="C5596" t="str">
        <f t="shared" si="1023"/>
        <v>91997901</v>
      </c>
      <c r="D5596">
        <v>89301167</v>
      </c>
      <c r="E5596" t="str">
        <f t="shared" si="1025"/>
        <v>5753036355</v>
      </c>
      <c r="F5596" s="1">
        <v>45069</v>
      </c>
      <c r="G5596" t="str">
        <f>"81365"</f>
        <v>81365</v>
      </c>
      <c r="H5596">
        <v>1</v>
      </c>
      <c r="I5596">
        <v>16</v>
      </c>
      <c r="J5596">
        <v>0</v>
      </c>
      <c r="K5596" t="str">
        <f t="shared" si="1024"/>
        <v>801</v>
      </c>
      <c r="L5596">
        <v>13.44</v>
      </c>
    </row>
    <row r="5597" spans="1:12" x14ac:dyDescent="0.25">
      <c r="A5597" t="str">
        <f t="shared" si="1018"/>
        <v>89301000</v>
      </c>
      <c r="B5597" t="str">
        <f t="shared" si="1022"/>
        <v>91997900</v>
      </c>
      <c r="C5597" t="str">
        <f t="shared" si="1023"/>
        <v>91997901</v>
      </c>
      <c r="D5597">
        <v>89301167</v>
      </c>
      <c r="E5597" t="str">
        <f t="shared" si="1025"/>
        <v>5753036355</v>
      </c>
      <c r="F5597" s="1">
        <v>45069</v>
      </c>
      <c r="G5597" t="str">
        <f>"81383"</f>
        <v>81383</v>
      </c>
      <c r="H5597">
        <v>1</v>
      </c>
      <c r="I5597">
        <v>24</v>
      </c>
      <c r="J5597">
        <v>0</v>
      </c>
      <c r="K5597" t="str">
        <f t="shared" si="1024"/>
        <v>801</v>
      </c>
      <c r="L5597">
        <v>20.16</v>
      </c>
    </row>
    <row r="5598" spans="1:12" x14ac:dyDescent="0.25">
      <c r="A5598" t="str">
        <f t="shared" si="1018"/>
        <v>89301000</v>
      </c>
      <c r="B5598" t="str">
        <f t="shared" si="1022"/>
        <v>91997900</v>
      </c>
      <c r="C5598" t="str">
        <f t="shared" si="1023"/>
        <v>91997901</v>
      </c>
      <c r="D5598">
        <v>89301167</v>
      </c>
      <c r="E5598" t="str">
        <f t="shared" si="1025"/>
        <v>5753036355</v>
      </c>
      <c r="F5598" s="1">
        <v>45069</v>
      </c>
      <c r="G5598" t="str">
        <f>"81393"</f>
        <v>81393</v>
      </c>
      <c r="H5598">
        <v>1</v>
      </c>
      <c r="I5598">
        <v>24</v>
      </c>
      <c r="J5598">
        <v>0</v>
      </c>
      <c r="K5598" t="str">
        <f t="shared" si="1024"/>
        <v>801</v>
      </c>
      <c r="L5598">
        <v>20.16</v>
      </c>
    </row>
    <row r="5599" spans="1:12" x14ac:dyDescent="0.25">
      <c r="A5599" t="str">
        <f t="shared" si="1018"/>
        <v>89301000</v>
      </c>
      <c r="B5599" t="str">
        <f t="shared" si="1022"/>
        <v>91997900</v>
      </c>
      <c r="C5599" t="str">
        <f t="shared" si="1023"/>
        <v>91997901</v>
      </c>
      <c r="D5599">
        <v>89301167</v>
      </c>
      <c r="E5599" t="str">
        <f t="shared" si="1025"/>
        <v>5753036355</v>
      </c>
      <c r="F5599" s="1">
        <v>45069</v>
      </c>
      <c r="G5599" t="str">
        <f>"81421"</f>
        <v>81421</v>
      </c>
      <c r="H5599">
        <v>1</v>
      </c>
      <c r="I5599">
        <v>19</v>
      </c>
      <c r="J5599">
        <v>0</v>
      </c>
      <c r="K5599" t="str">
        <f t="shared" si="1024"/>
        <v>801</v>
      </c>
      <c r="L5599">
        <v>15.96</v>
      </c>
    </row>
    <row r="5600" spans="1:12" x14ac:dyDescent="0.25">
      <c r="A5600" t="str">
        <f t="shared" si="1018"/>
        <v>89301000</v>
      </c>
      <c r="B5600" t="str">
        <f t="shared" si="1022"/>
        <v>91997900</v>
      </c>
      <c r="C5600" t="str">
        <f t="shared" si="1023"/>
        <v>91997901</v>
      </c>
      <c r="D5600">
        <v>89301167</v>
      </c>
      <c r="E5600" t="str">
        <f t="shared" si="1025"/>
        <v>5753036355</v>
      </c>
      <c r="F5600" s="1">
        <v>45069</v>
      </c>
      <c r="G5600" t="str">
        <f>"81435"</f>
        <v>81435</v>
      </c>
      <c r="H5600">
        <v>1</v>
      </c>
      <c r="I5600">
        <v>22</v>
      </c>
      <c r="J5600">
        <v>0</v>
      </c>
      <c r="K5600" t="str">
        <f t="shared" si="1024"/>
        <v>801</v>
      </c>
      <c r="L5600">
        <v>18.48</v>
      </c>
    </row>
    <row r="5601" spans="1:12" x14ac:dyDescent="0.25">
      <c r="A5601" t="str">
        <f t="shared" si="1018"/>
        <v>89301000</v>
      </c>
      <c r="B5601" t="str">
        <f t="shared" si="1022"/>
        <v>91997900</v>
      </c>
      <c r="C5601" t="str">
        <f t="shared" si="1023"/>
        <v>91997901</v>
      </c>
      <c r="D5601">
        <v>89301167</v>
      </c>
      <c r="E5601" t="str">
        <f t="shared" si="1025"/>
        <v>5753036355</v>
      </c>
      <c r="F5601" s="1">
        <v>45069</v>
      </c>
      <c r="G5601" t="str">
        <f>"81439"</f>
        <v>81439</v>
      </c>
      <c r="H5601">
        <v>1</v>
      </c>
      <c r="I5601">
        <v>16</v>
      </c>
      <c r="J5601">
        <v>0</v>
      </c>
      <c r="K5601" t="str">
        <f t="shared" si="1024"/>
        <v>801</v>
      </c>
      <c r="L5601">
        <v>13.44</v>
      </c>
    </row>
    <row r="5602" spans="1:12" x14ac:dyDescent="0.25">
      <c r="A5602" t="str">
        <f t="shared" si="1018"/>
        <v>89301000</v>
      </c>
      <c r="B5602" t="str">
        <f t="shared" si="1022"/>
        <v>91997900</v>
      </c>
      <c r="C5602" t="str">
        <f t="shared" si="1023"/>
        <v>91997901</v>
      </c>
      <c r="D5602">
        <v>89301167</v>
      </c>
      <c r="E5602" t="str">
        <f t="shared" si="1025"/>
        <v>5753036355</v>
      </c>
      <c r="F5602" s="1">
        <v>45069</v>
      </c>
      <c r="G5602" t="str">
        <f>"81469"</f>
        <v>81469</v>
      </c>
      <c r="H5602">
        <v>1</v>
      </c>
      <c r="I5602">
        <v>16</v>
      </c>
      <c r="J5602">
        <v>0</v>
      </c>
      <c r="K5602" t="str">
        <f t="shared" si="1024"/>
        <v>801</v>
      </c>
      <c r="L5602">
        <v>13.44</v>
      </c>
    </row>
    <row r="5603" spans="1:12" x14ac:dyDescent="0.25">
      <c r="A5603" t="str">
        <f t="shared" si="1018"/>
        <v>89301000</v>
      </c>
      <c r="B5603" t="str">
        <f t="shared" si="1022"/>
        <v>91997900</v>
      </c>
      <c r="C5603" t="str">
        <f t="shared" si="1023"/>
        <v>91997901</v>
      </c>
      <c r="D5603">
        <v>89301167</v>
      </c>
      <c r="E5603" t="str">
        <f t="shared" si="1025"/>
        <v>5753036355</v>
      </c>
      <c r="F5603" s="1">
        <v>45069</v>
      </c>
      <c r="G5603" t="str">
        <f>"81499"</f>
        <v>81499</v>
      </c>
      <c r="H5603">
        <v>1</v>
      </c>
      <c r="I5603">
        <v>18</v>
      </c>
      <c r="J5603">
        <v>0</v>
      </c>
      <c r="K5603" t="str">
        <f t="shared" si="1024"/>
        <v>801</v>
      </c>
      <c r="L5603">
        <v>15.12</v>
      </c>
    </row>
    <row r="5604" spans="1:12" x14ac:dyDescent="0.25">
      <c r="A5604" t="str">
        <f t="shared" si="1018"/>
        <v>89301000</v>
      </c>
      <c r="B5604" t="str">
        <f t="shared" si="1022"/>
        <v>91997900</v>
      </c>
      <c r="C5604" t="str">
        <f t="shared" si="1023"/>
        <v>91997901</v>
      </c>
      <c r="D5604">
        <v>89301167</v>
      </c>
      <c r="E5604" t="str">
        <f t="shared" si="1025"/>
        <v>5753036355</v>
      </c>
      <c r="F5604" s="1">
        <v>45069</v>
      </c>
      <c r="G5604" t="str">
        <f>"81523"</f>
        <v>81523</v>
      </c>
      <c r="H5604">
        <v>1</v>
      </c>
      <c r="I5604">
        <v>23</v>
      </c>
      <c r="J5604">
        <v>0</v>
      </c>
      <c r="K5604" t="str">
        <f t="shared" si="1024"/>
        <v>801</v>
      </c>
      <c r="L5604">
        <v>19.32</v>
      </c>
    </row>
    <row r="5605" spans="1:12" x14ac:dyDescent="0.25">
      <c r="A5605" t="str">
        <f t="shared" si="1018"/>
        <v>89301000</v>
      </c>
      <c r="B5605" t="str">
        <f t="shared" si="1022"/>
        <v>91997900</v>
      </c>
      <c r="C5605" t="str">
        <f t="shared" si="1023"/>
        <v>91997901</v>
      </c>
      <c r="D5605">
        <v>89301167</v>
      </c>
      <c r="E5605" t="str">
        <f t="shared" si="1025"/>
        <v>5753036355</v>
      </c>
      <c r="F5605" s="1">
        <v>45069</v>
      </c>
      <c r="G5605" t="str">
        <f>"81593"</f>
        <v>81593</v>
      </c>
      <c r="H5605">
        <v>1</v>
      </c>
      <c r="I5605">
        <v>22</v>
      </c>
      <c r="J5605">
        <v>0</v>
      </c>
      <c r="K5605" t="str">
        <f t="shared" si="1024"/>
        <v>801</v>
      </c>
      <c r="L5605">
        <v>18.48</v>
      </c>
    </row>
    <row r="5606" spans="1:12" x14ac:dyDescent="0.25">
      <c r="A5606" t="str">
        <f t="shared" si="1018"/>
        <v>89301000</v>
      </c>
      <c r="B5606" t="str">
        <f t="shared" si="1022"/>
        <v>91997900</v>
      </c>
      <c r="C5606" t="str">
        <f t="shared" si="1023"/>
        <v>91997901</v>
      </c>
      <c r="D5606">
        <v>89301167</v>
      </c>
      <c r="E5606" t="str">
        <f t="shared" si="1025"/>
        <v>5753036355</v>
      </c>
      <c r="F5606" s="1">
        <v>45069</v>
      </c>
      <c r="G5606" t="str">
        <f>"81621"</f>
        <v>81621</v>
      </c>
      <c r="H5606">
        <v>1</v>
      </c>
      <c r="I5606">
        <v>19</v>
      </c>
      <c r="J5606">
        <v>0</v>
      </c>
      <c r="K5606" t="str">
        <f t="shared" si="1024"/>
        <v>801</v>
      </c>
      <c r="L5606">
        <v>15.96</v>
      </c>
    </row>
    <row r="5607" spans="1:12" x14ac:dyDescent="0.25">
      <c r="A5607" t="str">
        <f t="shared" si="1018"/>
        <v>89301000</v>
      </c>
      <c r="B5607" t="str">
        <f t="shared" si="1022"/>
        <v>91997900</v>
      </c>
      <c r="C5607" t="str">
        <f t="shared" si="1023"/>
        <v>91997901</v>
      </c>
      <c r="D5607">
        <v>89301167</v>
      </c>
      <c r="E5607" t="str">
        <f t="shared" si="1025"/>
        <v>5753036355</v>
      </c>
      <c r="F5607" s="1">
        <v>45069</v>
      </c>
      <c r="G5607" t="str">
        <f>"81625"</f>
        <v>81625</v>
      </c>
      <c r="H5607">
        <v>1</v>
      </c>
      <c r="I5607">
        <v>21</v>
      </c>
      <c r="J5607">
        <v>0</v>
      </c>
      <c r="K5607" t="str">
        <f t="shared" si="1024"/>
        <v>801</v>
      </c>
      <c r="L5607">
        <v>17.64</v>
      </c>
    </row>
    <row r="5608" spans="1:12" x14ac:dyDescent="0.25">
      <c r="A5608" t="str">
        <f t="shared" si="1018"/>
        <v>89301000</v>
      </c>
      <c r="B5608" t="str">
        <f t="shared" si="1022"/>
        <v>91997900</v>
      </c>
      <c r="C5608" t="str">
        <f t="shared" si="1023"/>
        <v>91997901</v>
      </c>
      <c r="D5608">
        <v>89301167</v>
      </c>
      <c r="E5608" t="str">
        <f t="shared" si="1025"/>
        <v>5753036355</v>
      </c>
      <c r="F5608" s="1">
        <v>45069</v>
      </c>
      <c r="G5608" t="str">
        <f>"93131"</f>
        <v>93131</v>
      </c>
      <c r="H5608">
        <v>1</v>
      </c>
      <c r="I5608">
        <v>197</v>
      </c>
      <c r="J5608">
        <v>0</v>
      </c>
      <c r="K5608" t="str">
        <f t="shared" si="1024"/>
        <v>801</v>
      </c>
      <c r="L5608">
        <v>165.48</v>
      </c>
    </row>
    <row r="5609" spans="1:12" x14ac:dyDescent="0.25">
      <c r="A5609" t="str">
        <f t="shared" si="1018"/>
        <v>89301000</v>
      </c>
      <c r="B5609" t="str">
        <f t="shared" si="1022"/>
        <v>91997900</v>
      </c>
      <c r="C5609" t="str">
        <f t="shared" si="1023"/>
        <v>91997901</v>
      </c>
      <c r="D5609">
        <v>89301167</v>
      </c>
      <c r="E5609" t="str">
        <f t="shared" si="1025"/>
        <v>5753036355</v>
      </c>
      <c r="F5609" s="1">
        <v>45069</v>
      </c>
      <c r="G5609" t="str">
        <f>"93185"</f>
        <v>93185</v>
      </c>
      <c r="H5609">
        <v>1</v>
      </c>
      <c r="I5609">
        <v>140</v>
      </c>
      <c r="J5609">
        <v>0</v>
      </c>
      <c r="K5609" t="str">
        <f t="shared" si="1024"/>
        <v>801</v>
      </c>
      <c r="L5609">
        <v>117.6</v>
      </c>
    </row>
    <row r="5610" spans="1:12" x14ac:dyDescent="0.25">
      <c r="A5610" t="str">
        <f t="shared" si="1018"/>
        <v>89301000</v>
      </c>
      <c r="B5610" t="str">
        <f t="shared" si="1022"/>
        <v>91997900</v>
      </c>
      <c r="C5610" t="str">
        <f t="shared" si="1023"/>
        <v>91997901</v>
      </c>
      <c r="D5610">
        <v>89301167</v>
      </c>
      <c r="E5610" t="str">
        <f t="shared" si="1025"/>
        <v>5753036355</v>
      </c>
      <c r="F5610" s="1">
        <v>45069</v>
      </c>
      <c r="G5610" t="str">
        <f>"93187"</f>
        <v>93187</v>
      </c>
      <c r="H5610">
        <v>1</v>
      </c>
      <c r="I5610">
        <v>140</v>
      </c>
      <c r="J5610">
        <v>0</v>
      </c>
      <c r="K5610" t="str">
        <f t="shared" si="1024"/>
        <v>801</v>
      </c>
      <c r="L5610">
        <v>117.6</v>
      </c>
    </row>
    <row r="5611" spans="1:12" x14ac:dyDescent="0.25">
      <c r="A5611" t="str">
        <f t="shared" si="1018"/>
        <v>89301000</v>
      </c>
      <c r="B5611" t="str">
        <f t="shared" si="1022"/>
        <v>91997900</v>
      </c>
      <c r="C5611" t="str">
        <f t="shared" si="1023"/>
        <v>91997901</v>
      </c>
      <c r="D5611">
        <v>89301167</v>
      </c>
      <c r="E5611" t="str">
        <f t="shared" si="1025"/>
        <v>5753036355</v>
      </c>
      <c r="F5611" s="1">
        <v>45069</v>
      </c>
      <c r="G5611" t="str">
        <f>"93195"</f>
        <v>93195</v>
      </c>
      <c r="H5611">
        <v>1</v>
      </c>
      <c r="I5611">
        <v>183</v>
      </c>
      <c r="J5611">
        <v>0</v>
      </c>
      <c r="K5611" t="str">
        <f t="shared" si="1024"/>
        <v>801</v>
      </c>
      <c r="L5611">
        <v>153.72</v>
      </c>
    </row>
    <row r="5612" spans="1:12" x14ac:dyDescent="0.25">
      <c r="A5612" t="str">
        <f t="shared" si="1018"/>
        <v>89301000</v>
      </c>
      <c r="B5612" t="str">
        <f t="shared" si="1022"/>
        <v>91997900</v>
      </c>
      <c r="C5612" t="str">
        <f t="shared" si="1023"/>
        <v>91997901</v>
      </c>
      <c r="D5612">
        <v>89301167</v>
      </c>
      <c r="E5612" t="str">
        <f t="shared" si="1025"/>
        <v>5753036355</v>
      </c>
      <c r="F5612" s="1">
        <v>45069</v>
      </c>
      <c r="G5612" t="str">
        <f>"97111"</f>
        <v>97111</v>
      </c>
      <c r="H5612">
        <v>1</v>
      </c>
      <c r="I5612">
        <v>19</v>
      </c>
      <c r="J5612">
        <v>0</v>
      </c>
      <c r="K5612" t="str">
        <f t="shared" si="1024"/>
        <v>801</v>
      </c>
      <c r="L5612">
        <v>23.94</v>
      </c>
    </row>
    <row r="5613" spans="1:12" x14ac:dyDescent="0.25">
      <c r="A5613" t="str">
        <f t="shared" si="1018"/>
        <v>89301000</v>
      </c>
      <c r="B5613" t="str">
        <f>"72875000"</f>
        <v>72875000</v>
      </c>
      <c r="C5613" t="str">
        <f>"72875010"</f>
        <v>72875010</v>
      </c>
      <c r="D5613">
        <v>89301167</v>
      </c>
      <c r="E5613" t="str">
        <f>"5957040397"</f>
        <v>5957040397</v>
      </c>
      <c r="F5613" s="1">
        <v>45072</v>
      </c>
      <c r="G5613" t="str">
        <f>"93221"</f>
        <v>93221</v>
      </c>
      <c r="H5613">
        <v>1</v>
      </c>
      <c r="I5613">
        <v>190</v>
      </c>
      <c r="J5613">
        <v>0</v>
      </c>
      <c r="K5613" t="str">
        <f t="shared" si="1024"/>
        <v>801</v>
      </c>
      <c r="L5613">
        <v>159.6</v>
      </c>
    </row>
    <row r="5614" spans="1:12" x14ac:dyDescent="0.25">
      <c r="A5614" t="str">
        <f t="shared" si="1018"/>
        <v>89301000</v>
      </c>
      <c r="B5614" t="str">
        <f>"72875000"</f>
        <v>72875000</v>
      </c>
      <c r="C5614" t="str">
        <f>"72875010"</f>
        <v>72875010</v>
      </c>
      <c r="D5614">
        <v>89301167</v>
      </c>
      <c r="E5614" t="str">
        <f>"5957040397"</f>
        <v>5957040397</v>
      </c>
      <c r="F5614" s="1">
        <v>45061</v>
      </c>
      <c r="G5614" t="str">
        <f>"93221"</f>
        <v>93221</v>
      </c>
      <c r="H5614">
        <v>1</v>
      </c>
      <c r="I5614">
        <v>190</v>
      </c>
      <c r="J5614">
        <v>0</v>
      </c>
      <c r="K5614" t="str">
        <f t="shared" si="1024"/>
        <v>801</v>
      </c>
      <c r="L5614">
        <v>159.6</v>
      </c>
    </row>
    <row r="5615" spans="1:12" x14ac:dyDescent="0.25">
      <c r="A5615" t="str">
        <f t="shared" si="1018"/>
        <v>89301000</v>
      </c>
      <c r="B5615" t="str">
        <f>"72875000"</f>
        <v>72875000</v>
      </c>
      <c r="C5615" t="str">
        <f>"72875010"</f>
        <v>72875010</v>
      </c>
      <c r="D5615">
        <v>89301167</v>
      </c>
      <c r="E5615" t="str">
        <f>"5957040397"</f>
        <v>5957040397</v>
      </c>
      <c r="F5615" s="1">
        <v>45061</v>
      </c>
      <c r="G5615" t="str">
        <f>"93131"</f>
        <v>93131</v>
      </c>
      <c r="H5615">
        <v>1</v>
      </c>
      <c r="I5615">
        <v>197</v>
      </c>
      <c r="J5615">
        <v>0</v>
      </c>
      <c r="K5615" t="str">
        <f t="shared" si="1024"/>
        <v>801</v>
      </c>
      <c r="L5615">
        <v>165.48</v>
      </c>
    </row>
    <row r="5616" spans="1:12" x14ac:dyDescent="0.25">
      <c r="A5616" t="str">
        <f t="shared" si="1018"/>
        <v>89301000</v>
      </c>
      <c r="B5616" t="str">
        <f t="shared" ref="B5616:C5635" si="1026">"89063000"</f>
        <v>89063000</v>
      </c>
      <c r="C5616" t="str">
        <f t="shared" si="1026"/>
        <v>89063000</v>
      </c>
      <c r="D5616">
        <v>89301162</v>
      </c>
      <c r="E5616" t="str">
        <f>"8502129944"</f>
        <v>8502129944</v>
      </c>
      <c r="F5616" s="1">
        <v>45048</v>
      </c>
      <c r="G5616" t="str">
        <f t="shared" ref="G5616:G5647" si="1027">"89312"</f>
        <v>89312</v>
      </c>
      <c r="H5616">
        <v>3</v>
      </c>
      <c r="I5616">
        <v>936</v>
      </c>
      <c r="J5616">
        <v>0</v>
      </c>
      <c r="K5616" t="str">
        <f t="shared" ref="K5616:K5647" si="1028">"809"</f>
        <v>809</v>
      </c>
      <c r="L5616">
        <v>1020.24</v>
      </c>
    </row>
    <row r="5617" spans="1:12" x14ac:dyDescent="0.25">
      <c r="A5617" t="str">
        <f t="shared" si="1018"/>
        <v>89301000</v>
      </c>
      <c r="B5617" t="str">
        <f t="shared" si="1026"/>
        <v>89063000</v>
      </c>
      <c r="C5617" t="str">
        <f t="shared" si="1026"/>
        <v>89063000</v>
      </c>
      <c r="D5617">
        <v>89301034</v>
      </c>
      <c r="E5617" t="str">
        <f>"7962075682"</f>
        <v>7962075682</v>
      </c>
      <c r="F5617" s="1">
        <v>45048</v>
      </c>
      <c r="G5617" t="str">
        <f t="shared" si="1027"/>
        <v>89312</v>
      </c>
      <c r="H5617">
        <v>3</v>
      </c>
      <c r="I5617">
        <v>936</v>
      </c>
      <c r="J5617">
        <v>0</v>
      </c>
      <c r="K5617" t="str">
        <f t="shared" si="1028"/>
        <v>809</v>
      </c>
      <c r="L5617">
        <v>1020.24</v>
      </c>
    </row>
    <row r="5618" spans="1:12" x14ac:dyDescent="0.25">
      <c r="A5618" t="str">
        <f t="shared" si="1018"/>
        <v>89301000</v>
      </c>
      <c r="B5618" t="str">
        <f t="shared" si="1026"/>
        <v>89063000</v>
      </c>
      <c r="C5618" t="str">
        <f t="shared" si="1026"/>
        <v>89063000</v>
      </c>
      <c r="D5618">
        <v>89301034</v>
      </c>
      <c r="E5618" t="str">
        <f>"8958165095"</f>
        <v>8958165095</v>
      </c>
      <c r="F5618" s="1">
        <v>45048</v>
      </c>
      <c r="G5618" t="str">
        <f t="shared" si="1027"/>
        <v>89312</v>
      </c>
      <c r="H5618">
        <v>3</v>
      </c>
      <c r="I5618">
        <v>936</v>
      </c>
      <c r="J5618">
        <v>0</v>
      </c>
      <c r="K5618" t="str">
        <f t="shared" si="1028"/>
        <v>809</v>
      </c>
      <c r="L5618">
        <v>1020.24</v>
      </c>
    </row>
    <row r="5619" spans="1:12" x14ac:dyDescent="0.25">
      <c r="A5619" t="str">
        <f t="shared" si="1018"/>
        <v>89301000</v>
      </c>
      <c r="B5619" t="str">
        <f t="shared" si="1026"/>
        <v>89063000</v>
      </c>
      <c r="C5619" t="str">
        <f t="shared" si="1026"/>
        <v>89063000</v>
      </c>
      <c r="D5619">
        <v>89301037</v>
      </c>
      <c r="E5619" t="str">
        <f>"5556161644"</f>
        <v>5556161644</v>
      </c>
      <c r="F5619" s="1">
        <v>45048</v>
      </c>
      <c r="G5619" t="str">
        <f t="shared" si="1027"/>
        <v>89312</v>
      </c>
      <c r="H5619">
        <v>3</v>
      </c>
      <c r="I5619">
        <v>936</v>
      </c>
      <c r="J5619">
        <v>0</v>
      </c>
      <c r="K5619" t="str">
        <f t="shared" si="1028"/>
        <v>809</v>
      </c>
      <c r="L5619">
        <v>1020.24</v>
      </c>
    </row>
    <row r="5620" spans="1:12" x14ac:dyDescent="0.25">
      <c r="A5620" t="str">
        <f t="shared" si="1018"/>
        <v>89301000</v>
      </c>
      <c r="B5620" t="str">
        <f t="shared" si="1026"/>
        <v>89063000</v>
      </c>
      <c r="C5620" t="str">
        <f t="shared" si="1026"/>
        <v>89063000</v>
      </c>
      <c r="D5620">
        <v>89301037</v>
      </c>
      <c r="E5620" t="str">
        <f>"345503420"</f>
        <v>345503420</v>
      </c>
      <c r="F5620" s="1">
        <v>45048</v>
      </c>
      <c r="G5620" t="str">
        <f t="shared" si="1027"/>
        <v>89312</v>
      </c>
      <c r="H5620">
        <v>3</v>
      </c>
      <c r="I5620">
        <v>936</v>
      </c>
      <c r="J5620">
        <v>0</v>
      </c>
      <c r="K5620" t="str">
        <f t="shared" si="1028"/>
        <v>809</v>
      </c>
      <c r="L5620">
        <v>1020.24</v>
      </c>
    </row>
    <row r="5621" spans="1:12" x14ac:dyDescent="0.25">
      <c r="A5621" t="str">
        <f t="shared" si="1018"/>
        <v>89301000</v>
      </c>
      <c r="B5621" t="str">
        <f t="shared" si="1026"/>
        <v>89063000</v>
      </c>
      <c r="C5621" t="str">
        <f t="shared" si="1026"/>
        <v>89063000</v>
      </c>
      <c r="D5621">
        <v>89301037</v>
      </c>
      <c r="E5621" t="str">
        <f>"385920007"</f>
        <v>385920007</v>
      </c>
      <c r="F5621" s="1">
        <v>45048</v>
      </c>
      <c r="G5621" t="str">
        <f t="shared" si="1027"/>
        <v>89312</v>
      </c>
      <c r="H5621">
        <v>3</v>
      </c>
      <c r="I5621">
        <v>936</v>
      </c>
      <c r="J5621">
        <v>0</v>
      </c>
      <c r="K5621" t="str">
        <f t="shared" si="1028"/>
        <v>809</v>
      </c>
      <c r="L5621">
        <v>1020.24</v>
      </c>
    </row>
    <row r="5622" spans="1:12" x14ac:dyDescent="0.25">
      <c r="A5622" t="str">
        <f t="shared" si="1018"/>
        <v>89301000</v>
      </c>
      <c r="B5622" t="str">
        <f t="shared" si="1026"/>
        <v>89063000</v>
      </c>
      <c r="C5622" t="str">
        <f t="shared" si="1026"/>
        <v>89063000</v>
      </c>
      <c r="D5622">
        <v>89301037</v>
      </c>
      <c r="E5622" t="str">
        <f>"7062254474"</f>
        <v>7062254474</v>
      </c>
      <c r="F5622" s="1">
        <v>45048</v>
      </c>
      <c r="G5622" t="str">
        <f t="shared" si="1027"/>
        <v>89312</v>
      </c>
      <c r="H5622">
        <v>3</v>
      </c>
      <c r="I5622">
        <v>936</v>
      </c>
      <c r="J5622">
        <v>0</v>
      </c>
      <c r="K5622" t="str">
        <f t="shared" si="1028"/>
        <v>809</v>
      </c>
      <c r="L5622">
        <v>1020.24</v>
      </c>
    </row>
    <row r="5623" spans="1:12" x14ac:dyDescent="0.25">
      <c r="A5623" t="str">
        <f t="shared" si="1018"/>
        <v>89301000</v>
      </c>
      <c r="B5623" t="str">
        <f t="shared" si="1026"/>
        <v>89063000</v>
      </c>
      <c r="C5623" t="str">
        <f t="shared" si="1026"/>
        <v>89063000</v>
      </c>
      <c r="D5623">
        <v>89301037</v>
      </c>
      <c r="E5623" t="str">
        <f>"7060275684"</f>
        <v>7060275684</v>
      </c>
      <c r="F5623" s="1">
        <v>45049</v>
      </c>
      <c r="G5623" t="str">
        <f t="shared" si="1027"/>
        <v>89312</v>
      </c>
      <c r="H5623">
        <v>3</v>
      </c>
      <c r="I5623">
        <v>936</v>
      </c>
      <c r="J5623">
        <v>0</v>
      </c>
      <c r="K5623" t="str">
        <f t="shared" si="1028"/>
        <v>809</v>
      </c>
      <c r="L5623">
        <v>1020.24</v>
      </c>
    </row>
    <row r="5624" spans="1:12" x14ac:dyDescent="0.25">
      <c r="A5624" t="str">
        <f t="shared" si="1018"/>
        <v>89301000</v>
      </c>
      <c r="B5624" t="str">
        <f t="shared" si="1026"/>
        <v>89063000</v>
      </c>
      <c r="C5624" t="str">
        <f t="shared" si="1026"/>
        <v>89063000</v>
      </c>
      <c r="D5624">
        <v>89301037</v>
      </c>
      <c r="E5624" t="str">
        <f>"426020458"</f>
        <v>426020458</v>
      </c>
      <c r="F5624" s="1">
        <v>45049</v>
      </c>
      <c r="G5624" t="str">
        <f t="shared" si="1027"/>
        <v>89312</v>
      </c>
      <c r="H5624">
        <v>3</v>
      </c>
      <c r="I5624">
        <v>936</v>
      </c>
      <c r="J5624">
        <v>0</v>
      </c>
      <c r="K5624" t="str">
        <f t="shared" si="1028"/>
        <v>809</v>
      </c>
      <c r="L5624">
        <v>1020.24</v>
      </c>
    </row>
    <row r="5625" spans="1:12" x14ac:dyDescent="0.25">
      <c r="A5625" t="str">
        <f t="shared" si="1018"/>
        <v>89301000</v>
      </c>
      <c r="B5625" t="str">
        <f t="shared" si="1026"/>
        <v>89063000</v>
      </c>
      <c r="C5625" t="str">
        <f t="shared" si="1026"/>
        <v>89063000</v>
      </c>
      <c r="D5625">
        <v>89301037</v>
      </c>
      <c r="E5625" t="str">
        <f>"505409365"</f>
        <v>505409365</v>
      </c>
      <c r="F5625" s="1">
        <v>45049</v>
      </c>
      <c r="G5625" t="str">
        <f t="shared" si="1027"/>
        <v>89312</v>
      </c>
      <c r="H5625">
        <v>3</v>
      </c>
      <c r="I5625">
        <v>936</v>
      </c>
      <c r="J5625">
        <v>0</v>
      </c>
      <c r="K5625" t="str">
        <f t="shared" si="1028"/>
        <v>809</v>
      </c>
      <c r="L5625">
        <v>1020.24</v>
      </c>
    </row>
    <row r="5626" spans="1:12" x14ac:dyDescent="0.25">
      <c r="A5626" t="str">
        <f t="shared" si="1018"/>
        <v>89301000</v>
      </c>
      <c r="B5626" t="str">
        <f t="shared" si="1026"/>
        <v>89063000</v>
      </c>
      <c r="C5626" t="str">
        <f t="shared" si="1026"/>
        <v>89063000</v>
      </c>
      <c r="D5626">
        <v>89301037</v>
      </c>
      <c r="E5626" t="str">
        <f>"5955122239"</f>
        <v>5955122239</v>
      </c>
      <c r="F5626" s="1">
        <v>45049</v>
      </c>
      <c r="G5626" t="str">
        <f t="shared" si="1027"/>
        <v>89312</v>
      </c>
      <c r="H5626">
        <v>3</v>
      </c>
      <c r="I5626">
        <v>936</v>
      </c>
      <c r="J5626">
        <v>0</v>
      </c>
      <c r="K5626" t="str">
        <f t="shared" si="1028"/>
        <v>809</v>
      </c>
      <c r="L5626">
        <v>1020.24</v>
      </c>
    </row>
    <row r="5627" spans="1:12" x14ac:dyDescent="0.25">
      <c r="A5627" t="str">
        <f t="shared" si="1018"/>
        <v>89301000</v>
      </c>
      <c r="B5627" t="str">
        <f t="shared" si="1026"/>
        <v>89063000</v>
      </c>
      <c r="C5627" t="str">
        <f t="shared" si="1026"/>
        <v>89063000</v>
      </c>
      <c r="D5627">
        <v>89301037</v>
      </c>
      <c r="E5627" t="str">
        <f>"405620014"</f>
        <v>405620014</v>
      </c>
      <c r="F5627" s="1">
        <v>45050</v>
      </c>
      <c r="G5627" t="str">
        <f t="shared" si="1027"/>
        <v>89312</v>
      </c>
      <c r="H5627">
        <v>3</v>
      </c>
      <c r="I5627">
        <v>936</v>
      </c>
      <c r="J5627">
        <v>0</v>
      </c>
      <c r="K5627" t="str">
        <f t="shared" si="1028"/>
        <v>809</v>
      </c>
      <c r="L5627">
        <v>1020.24</v>
      </c>
    </row>
    <row r="5628" spans="1:12" x14ac:dyDescent="0.25">
      <c r="A5628" t="str">
        <f t="shared" si="1018"/>
        <v>89301000</v>
      </c>
      <c r="B5628" t="str">
        <f t="shared" si="1026"/>
        <v>89063000</v>
      </c>
      <c r="C5628" t="str">
        <f t="shared" si="1026"/>
        <v>89063000</v>
      </c>
      <c r="D5628">
        <v>89301037</v>
      </c>
      <c r="E5628" t="str">
        <f>"6261250765"</f>
        <v>6261250765</v>
      </c>
      <c r="F5628" s="1">
        <v>45050</v>
      </c>
      <c r="G5628" t="str">
        <f t="shared" si="1027"/>
        <v>89312</v>
      </c>
      <c r="H5628">
        <v>3</v>
      </c>
      <c r="I5628">
        <v>936</v>
      </c>
      <c r="J5628">
        <v>0</v>
      </c>
      <c r="K5628" t="str">
        <f t="shared" si="1028"/>
        <v>809</v>
      </c>
      <c r="L5628">
        <v>1020.24</v>
      </c>
    </row>
    <row r="5629" spans="1:12" x14ac:dyDescent="0.25">
      <c r="A5629" t="str">
        <f t="shared" si="1018"/>
        <v>89301000</v>
      </c>
      <c r="B5629" t="str">
        <f t="shared" si="1026"/>
        <v>89063000</v>
      </c>
      <c r="C5629" t="str">
        <f t="shared" si="1026"/>
        <v>89063000</v>
      </c>
      <c r="D5629">
        <v>89301037</v>
      </c>
      <c r="E5629" t="str">
        <f>"485324429"</f>
        <v>485324429</v>
      </c>
      <c r="F5629" s="1">
        <v>45051</v>
      </c>
      <c r="G5629" t="str">
        <f t="shared" si="1027"/>
        <v>89312</v>
      </c>
      <c r="H5629">
        <v>3</v>
      </c>
      <c r="I5629">
        <v>936</v>
      </c>
      <c r="J5629">
        <v>0</v>
      </c>
      <c r="K5629" t="str">
        <f t="shared" si="1028"/>
        <v>809</v>
      </c>
      <c r="L5629">
        <v>1020.24</v>
      </c>
    </row>
    <row r="5630" spans="1:12" x14ac:dyDescent="0.25">
      <c r="A5630" t="str">
        <f t="shared" si="1018"/>
        <v>89301000</v>
      </c>
      <c r="B5630" t="str">
        <f t="shared" si="1026"/>
        <v>89063000</v>
      </c>
      <c r="C5630" t="str">
        <f t="shared" si="1026"/>
        <v>89063000</v>
      </c>
      <c r="D5630">
        <v>89301036</v>
      </c>
      <c r="E5630" t="str">
        <f>"6758250235"</f>
        <v>6758250235</v>
      </c>
      <c r="F5630" s="1">
        <v>45055</v>
      </c>
      <c r="G5630" t="str">
        <f t="shared" si="1027"/>
        <v>89312</v>
      </c>
      <c r="H5630">
        <v>3</v>
      </c>
      <c r="I5630">
        <v>936</v>
      </c>
      <c r="J5630">
        <v>0</v>
      </c>
      <c r="K5630" t="str">
        <f t="shared" si="1028"/>
        <v>809</v>
      </c>
      <c r="L5630">
        <v>1020.24</v>
      </c>
    </row>
    <row r="5631" spans="1:12" x14ac:dyDescent="0.25">
      <c r="A5631" t="str">
        <f t="shared" si="1018"/>
        <v>89301000</v>
      </c>
      <c r="B5631" t="str">
        <f t="shared" si="1026"/>
        <v>89063000</v>
      </c>
      <c r="C5631" t="str">
        <f t="shared" si="1026"/>
        <v>89063000</v>
      </c>
      <c r="D5631">
        <v>89301312</v>
      </c>
      <c r="E5631" t="str">
        <f>"7754205767"</f>
        <v>7754205767</v>
      </c>
      <c r="F5631" s="1">
        <v>45055</v>
      </c>
      <c r="G5631" t="str">
        <f t="shared" si="1027"/>
        <v>89312</v>
      </c>
      <c r="H5631">
        <v>3</v>
      </c>
      <c r="I5631">
        <v>936</v>
      </c>
      <c r="J5631">
        <v>0</v>
      </c>
      <c r="K5631" t="str">
        <f t="shared" si="1028"/>
        <v>809</v>
      </c>
      <c r="L5631">
        <v>1020.24</v>
      </c>
    </row>
    <row r="5632" spans="1:12" x14ac:dyDescent="0.25">
      <c r="A5632" t="str">
        <f t="shared" si="1018"/>
        <v>89301000</v>
      </c>
      <c r="B5632" t="str">
        <f t="shared" si="1026"/>
        <v>89063000</v>
      </c>
      <c r="C5632" t="str">
        <f t="shared" si="1026"/>
        <v>89063000</v>
      </c>
      <c r="D5632">
        <v>89301037</v>
      </c>
      <c r="E5632" t="str">
        <f>"0309264857"</f>
        <v>0309264857</v>
      </c>
      <c r="F5632" s="1">
        <v>45055</v>
      </c>
      <c r="G5632" t="str">
        <f t="shared" si="1027"/>
        <v>89312</v>
      </c>
      <c r="H5632">
        <v>3</v>
      </c>
      <c r="I5632">
        <v>936</v>
      </c>
      <c r="J5632">
        <v>0</v>
      </c>
      <c r="K5632" t="str">
        <f t="shared" si="1028"/>
        <v>809</v>
      </c>
      <c r="L5632">
        <v>1020.24</v>
      </c>
    </row>
    <row r="5633" spans="1:12" x14ac:dyDescent="0.25">
      <c r="A5633" t="str">
        <f t="shared" si="1018"/>
        <v>89301000</v>
      </c>
      <c r="B5633" t="str">
        <f t="shared" si="1026"/>
        <v>89063000</v>
      </c>
      <c r="C5633" t="str">
        <f t="shared" si="1026"/>
        <v>89063000</v>
      </c>
      <c r="D5633">
        <v>89301162</v>
      </c>
      <c r="E5633" t="str">
        <f>"5512081267"</f>
        <v>5512081267</v>
      </c>
      <c r="F5633" s="1">
        <v>45055</v>
      </c>
      <c r="G5633" t="str">
        <f t="shared" si="1027"/>
        <v>89312</v>
      </c>
      <c r="H5633">
        <v>3</v>
      </c>
      <c r="I5633">
        <v>936</v>
      </c>
      <c r="J5633">
        <v>0</v>
      </c>
      <c r="K5633" t="str">
        <f t="shared" si="1028"/>
        <v>809</v>
      </c>
      <c r="L5633">
        <v>1020.24</v>
      </c>
    </row>
    <row r="5634" spans="1:12" x14ac:dyDescent="0.25">
      <c r="A5634" t="str">
        <f t="shared" ref="A5634:A5697" si="1029">"89301000"</f>
        <v>89301000</v>
      </c>
      <c r="B5634" t="str">
        <f t="shared" si="1026"/>
        <v>89063000</v>
      </c>
      <c r="C5634" t="str">
        <f t="shared" si="1026"/>
        <v>89063000</v>
      </c>
      <c r="D5634">
        <v>89301037</v>
      </c>
      <c r="E5634" t="str">
        <f>"7352255306"</f>
        <v>7352255306</v>
      </c>
      <c r="F5634" s="1">
        <v>45056</v>
      </c>
      <c r="G5634" t="str">
        <f t="shared" si="1027"/>
        <v>89312</v>
      </c>
      <c r="H5634">
        <v>3</v>
      </c>
      <c r="I5634">
        <v>936</v>
      </c>
      <c r="J5634">
        <v>0</v>
      </c>
      <c r="K5634" t="str">
        <f t="shared" si="1028"/>
        <v>809</v>
      </c>
      <c r="L5634">
        <v>1020.24</v>
      </c>
    </row>
    <row r="5635" spans="1:12" x14ac:dyDescent="0.25">
      <c r="A5635" t="str">
        <f t="shared" si="1029"/>
        <v>89301000</v>
      </c>
      <c r="B5635" t="str">
        <f t="shared" si="1026"/>
        <v>89063000</v>
      </c>
      <c r="C5635" t="str">
        <f t="shared" si="1026"/>
        <v>89063000</v>
      </c>
      <c r="D5635">
        <v>89301037</v>
      </c>
      <c r="E5635" t="str">
        <f>"6855110977"</f>
        <v>6855110977</v>
      </c>
      <c r="F5635" s="1">
        <v>45056</v>
      </c>
      <c r="G5635" t="str">
        <f t="shared" si="1027"/>
        <v>89312</v>
      </c>
      <c r="H5635">
        <v>3</v>
      </c>
      <c r="I5635">
        <v>936</v>
      </c>
      <c r="J5635">
        <v>0</v>
      </c>
      <c r="K5635" t="str">
        <f t="shared" si="1028"/>
        <v>809</v>
      </c>
      <c r="L5635">
        <v>1020.24</v>
      </c>
    </row>
    <row r="5636" spans="1:12" x14ac:dyDescent="0.25">
      <c r="A5636" t="str">
        <f t="shared" si="1029"/>
        <v>89301000</v>
      </c>
      <c r="B5636" t="str">
        <f t="shared" ref="B5636:C5655" si="1030">"89063000"</f>
        <v>89063000</v>
      </c>
      <c r="C5636" t="str">
        <f t="shared" si="1030"/>
        <v>89063000</v>
      </c>
      <c r="D5636">
        <v>89301037</v>
      </c>
      <c r="E5636" t="str">
        <f>"406010462"</f>
        <v>406010462</v>
      </c>
      <c r="F5636" s="1">
        <v>45056</v>
      </c>
      <c r="G5636" t="str">
        <f t="shared" si="1027"/>
        <v>89312</v>
      </c>
      <c r="H5636">
        <v>3</v>
      </c>
      <c r="I5636">
        <v>936</v>
      </c>
      <c r="J5636">
        <v>0</v>
      </c>
      <c r="K5636" t="str">
        <f t="shared" si="1028"/>
        <v>809</v>
      </c>
      <c r="L5636">
        <v>1020.24</v>
      </c>
    </row>
    <row r="5637" spans="1:12" x14ac:dyDescent="0.25">
      <c r="A5637" t="str">
        <f t="shared" si="1029"/>
        <v>89301000</v>
      </c>
      <c r="B5637" t="str">
        <f t="shared" si="1030"/>
        <v>89063000</v>
      </c>
      <c r="C5637" t="str">
        <f t="shared" si="1030"/>
        <v>89063000</v>
      </c>
      <c r="D5637">
        <v>89301037</v>
      </c>
      <c r="E5637" t="str">
        <f>"7151035320"</f>
        <v>7151035320</v>
      </c>
      <c r="F5637" s="1">
        <v>45056</v>
      </c>
      <c r="G5637" t="str">
        <f t="shared" si="1027"/>
        <v>89312</v>
      </c>
      <c r="H5637">
        <v>3</v>
      </c>
      <c r="I5637">
        <v>936</v>
      </c>
      <c r="J5637">
        <v>0</v>
      </c>
      <c r="K5637" t="str">
        <f t="shared" si="1028"/>
        <v>809</v>
      </c>
      <c r="L5637">
        <v>1020.24</v>
      </c>
    </row>
    <row r="5638" spans="1:12" x14ac:dyDescent="0.25">
      <c r="A5638" t="str">
        <f t="shared" si="1029"/>
        <v>89301000</v>
      </c>
      <c r="B5638" t="str">
        <f t="shared" si="1030"/>
        <v>89063000</v>
      </c>
      <c r="C5638" t="str">
        <f t="shared" si="1030"/>
        <v>89063000</v>
      </c>
      <c r="D5638">
        <v>89301037</v>
      </c>
      <c r="E5638" t="str">
        <f>"8109305303"</f>
        <v>8109305303</v>
      </c>
      <c r="F5638" s="1">
        <v>45057</v>
      </c>
      <c r="G5638" t="str">
        <f t="shared" si="1027"/>
        <v>89312</v>
      </c>
      <c r="H5638">
        <v>3</v>
      </c>
      <c r="I5638">
        <v>936</v>
      </c>
      <c r="J5638">
        <v>0</v>
      </c>
      <c r="K5638" t="str">
        <f t="shared" si="1028"/>
        <v>809</v>
      </c>
      <c r="L5638">
        <v>1020.24</v>
      </c>
    </row>
    <row r="5639" spans="1:12" x14ac:dyDescent="0.25">
      <c r="A5639" t="str">
        <f t="shared" si="1029"/>
        <v>89301000</v>
      </c>
      <c r="B5639" t="str">
        <f t="shared" si="1030"/>
        <v>89063000</v>
      </c>
      <c r="C5639" t="str">
        <f t="shared" si="1030"/>
        <v>89063000</v>
      </c>
      <c r="D5639">
        <v>89301037</v>
      </c>
      <c r="E5639" t="str">
        <f>"425623420"</f>
        <v>425623420</v>
      </c>
      <c r="F5639" s="1">
        <v>45057</v>
      </c>
      <c r="G5639" t="str">
        <f t="shared" si="1027"/>
        <v>89312</v>
      </c>
      <c r="H5639">
        <v>3</v>
      </c>
      <c r="I5639">
        <v>936</v>
      </c>
      <c r="J5639">
        <v>0</v>
      </c>
      <c r="K5639" t="str">
        <f t="shared" si="1028"/>
        <v>809</v>
      </c>
      <c r="L5639">
        <v>1020.24</v>
      </c>
    </row>
    <row r="5640" spans="1:12" x14ac:dyDescent="0.25">
      <c r="A5640" t="str">
        <f t="shared" si="1029"/>
        <v>89301000</v>
      </c>
      <c r="B5640" t="str">
        <f t="shared" si="1030"/>
        <v>89063000</v>
      </c>
      <c r="C5640" t="str">
        <f t="shared" si="1030"/>
        <v>89063000</v>
      </c>
      <c r="D5640">
        <v>89301037</v>
      </c>
      <c r="E5640" t="str">
        <f>"5558271158"</f>
        <v>5558271158</v>
      </c>
      <c r="F5640" s="1">
        <v>45057</v>
      </c>
      <c r="G5640" t="str">
        <f t="shared" si="1027"/>
        <v>89312</v>
      </c>
      <c r="H5640">
        <v>3</v>
      </c>
      <c r="I5640">
        <v>936</v>
      </c>
      <c r="J5640">
        <v>0</v>
      </c>
      <c r="K5640" t="str">
        <f t="shared" si="1028"/>
        <v>809</v>
      </c>
      <c r="L5640">
        <v>1020.24</v>
      </c>
    </row>
    <row r="5641" spans="1:12" x14ac:dyDescent="0.25">
      <c r="A5641" t="str">
        <f t="shared" si="1029"/>
        <v>89301000</v>
      </c>
      <c r="B5641" t="str">
        <f t="shared" si="1030"/>
        <v>89063000</v>
      </c>
      <c r="C5641" t="str">
        <f t="shared" si="1030"/>
        <v>89063000</v>
      </c>
      <c r="D5641">
        <v>89301037</v>
      </c>
      <c r="E5641" t="str">
        <f>"7604154250"</f>
        <v>7604154250</v>
      </c>
      <c r="F5641" s="1">
        <v>45057</v>
      </c>
      <c r="G5641" t="str">
        <f t="shared" si="1027"/>
        <v>89312</v>
      </c>
      <c r="H5641">
        <v>3</v>
      </c>
      <c r="I5641">
        <v>936</v>
      </c>
      <c r="J5641">
        <v>0</v>
      </c>
      <c r="K5641" t="str">
        <f t="shared" si="1028"/>
        <v>809</v>
      </c>
      <c r="L5641">
        <v>1020.24</v>
      </c>
    </row>
    <row r="5642" spans="1:12" x14ac:dyDescent="0.25">
      <c r="A5642" t="str">
        <f t="shared" si="1029"/>
        <v>89301000</v>
      </c>
      <c r="B5642" t="str">
        <f t="shared" si="1030"/>
        <v>89063000</v>
      </c>
      <c r="C5642" t="str">
        <f t="shared" si="1030"/>
        <v>89063000</v>
      </c>
      <c r="D5642">
        <v>89301037</v>
      </c>
      <c r="E5642" t="str">
        <f>"6208210195"</f>
        <v>6208210195</v>
      </c>
      <c r="F5642" s="1">
        <v>45057</v>
      </c>
      <c r="G5642" t="str">
        <f t="shared" si="1027"/>
        <v>89312</v>
      </c>
      <c r="H5642">
        <v>3</v>
      </c>
      <c r="I5642">
        <v>936</v>
      </c>
      <c r="J5642">
        <v>0</v>
      </c>
      <c r="K5642" t="str">
        <f t="shared" si="1028"/>
        <v>809</v>
      </c>
      <c r="L5642">
        <v>1020.24</v>
      </c>
    </row>
    <row r="5643" spans="1:12" x14ac:dyDescent="0.25">
      <c r="A5643" t="str">
        <f t="shared" si="1029"/>
        <v>89301000</v>
      </c>
      <c r="B5643" t="str">
        <f t="shared" si="1030"/>
        <v>89063000</v>
      </c>
      <c r="C5643" t="str">
        <f t="shared" si="1030"/>
        <v>89063000</v>
      </c>
      <c r="D5643">
        <v>89301212</v>
      </c>
      <c r="E5643" t="str">
        <f>"8061225755"</f>
        <v>8061225755</v>
      </c>
      <c r="F5643" s="1">
        <v>45057</v>
      </c>
      <c r="G5643" t="str">
        <f t="shared" si="1027"/>
        <v>89312</v>
      </c>
      <c r="H5643">
        <v>3</v>
      </c>
      <c r="I5643">
        <v>936</v>
      </c>
      <c r="J5643">
        <v>0</v>
      </c>
      <c r="K5643" t="str">
        <f t="shared" si="1028"/>
        <v>809</v>
      </c>
      <c r="L5643">
        <v>1020.24</v>
      </c>
    </row>
    <row r="5644" spans="1:12" x14ac:dyDescent="0.25">
      <c r="A5644" t="str">
        <f t="shared" si="1029"/>
        <v>89301000</v>
      </c>
      <c r="B5644" t="str">
        <f t="shared" si="1030"/>
        <v>89063000</v>
      </c>
      <c r="C5644" t="str">
        <f t="shared" si="1030"/>
        <v>89063000</v>
      </c>
      <c r="D5644">
        <v>89301037</v>
      </c>
      <c r="E5644" t="str">
        <f>"455905440"</f>
        <v>455905440</v>
      </c>
      <c r="F5644" s="1">
        <v>45058</v>
      </c>
      <c r="G5644" t="str">
        <f t="shared" si="1027"/>
        <v>89312</v>
      </c>
      <c r="H5644">
        <v>3</v>
      </c>
      <c r="I5644">
        <v>936</v>
      </c>
      <c r="J5644">
        <v>0</v>
      </c>
      <c r="K5644" t="str">
        <f t="shared" si="1028"/>
        <v>809</v>
      </c>
      <c r="L5644">
        <v>1020.24</v>
      </c>
    </row>
    <row r="5645" spans="1:12" x14ac:dyDescent="0.25">
      <c r="A5645" t="str">
        <f t="shared" si="1029"/>
        <v>89301000</v>
      </c>
      <c r="B5645" t="str">
        <f t="shared" si="1030"/>
        <v>89063000</v>
      </c>
      <c r="C5645" t="str">
        <f t="shared" si="1030"/>
        <v>89063000</v>
      </c>
      <c r="D5645">
        <v>89301037</v>
      </c>
      <c r="E5645" t="str">
        <f>"6953243627"</f>
        <v>6953243627</v>
      </c>
      <c r="F5645" s="1">
        <v>45058</v>
      </c>
      <c r="G5645" t="str">
        <f t="shared" si="1027"/>
        <v>89312</v>
      </c>
      <c r="H5645">
        <v>3</v>
      </c>
      <c r="I5645">
        <v>936</v>
      </c>
      <c r="J5645">
        <v>0</v>
      </c>
      <c r="K5645" t="str">
        <f t="shared" si="1028"/>
        <v>809</v>
      </c>
      <c r="L5645">
        <v>1020.24</v>
      </c>
    </row>
    <row r="5646" spans="1:12" x14ac:dyDescent="0.25">
      <c r="A5646" t="str">
        <f t="shared" si="1029"/>
        <v>89301000</v>
      </c>
      <c r="B5646" t="str">
        <f t="shared" si="1030"/>
        <v>89063000</v>
      </c>
      <c r="C5646" t="str">
        <f t="shared" si="1030"/>
        <v>89063000</v>
      </c>
      <c r="D5646">
        <v>89301037</v>
      </c>
      <c r="E5646" t="str">
        <f>"6258131473"</f>
        <v>6258131473</v>
      </c>
      <c r="F5646" s="1">
        <v>45058</v>
      </c>
      <c r="G5646" t="str">
        <f t="shared" si="1027"/>
        <v>89312</v>
      </c>
      <c r="H5646">
        <v>3</v>
      </c>
      <c r="I5646">
        <v>936</v>
      </c>
      <c r="J5646">
        <v>0</v>
      </c>
      <c r="K5646" t="str">
        <f t="shared" si="1028"/>
        <v>809</v>
      </c>
      <c r="L5646">
        <v>1020.24</v>
      </c>
    </row>
    <row r="5647" spans="1:12" x14ac:dyDescent="0.25">
      <c r="A5647" t="str">
        <f t="shared" si="1029"/>
        <v>89301000</v>
      </c>
      <c r="B5647" t="str">
        <f t="shared" si="1030"/>
        <v>89063000</v>
      </c>
      <c r="C5647" t="str">
        <f t="shared" si="1030"/>
        <v>89063000</v>
      </c>
      <c r="D5647">
        <v>89301037</v>
      </c>
      <c r="E5647" t="str">
        <f>"6355100070"</f>
        <v>6355100070</v>
      </c>
      <c r="F5647" s="1">
        <v>45061</v>
      </c>
      <c r="G5647" t="str">
        <f t="shared" si="1027"/>
        <v>89312</v>
      </c>
      <c r="H5647">
        <v>3</v>
      </c>
      <c r="I5647">
        <v>936</v>
      </c>
      <c r="J5647">
        <v>0</v>
      </c>
      <c r="K5647" t="str">
        <f t="shared" si="1028"/>
        <v>809</v>
      </c>
      <c r="L5647">
        <v>1020.24</v>
      </c>
    </row>
    <row r="5648" spans="1:12" x14ac:dyDescent="0.25">
      <c r="A5648" t="str">
        <f t="shared" si="1029"/>
        <v>89301000</v>
      </c>
      <c r="B5648" t="str">
        <f t="shared" si="1030"/>
        <v>89063000</v>
      </c>
      <c r="C5648" t="str">
        <f t="shared" si="1030"/>
        <v>89063000</v>
      </c>
      <c r="D5648">
        <v>89301037</v>
      </c>
      <c r="E5648" t="str">
        <f>"530120021"</f>
        <v>530120021</v>
      </c>
      <c r="F5648" s="1">
        <v>45061</v>
      </c>
      <c r="G5648" t="str">
        <f t="shared" ref="G5648:G5679" si="1031">"89312"</f>
        <v>89312</v>
      </c>
      <c r="H5648">
        <v>3</v>
      </c>
      <c r="I5648">
        <v>936</v>
      </c>
      <c r="J5648">
        <v>0</v>
      </c>
      <c r="K5648" t="str">
        <f t="shared" ref="K5648:K5679" si="1032">"809"</f>
        <v>809</v>
      </c>
      <c r="L5648">
        <v>1020.24</v>
      </c>
    </row>
    <row r="5649" spans="1:12" x14ac:dyDescent="0.25">
      <c r="A5649" t="str">
        <f t="shared" si="1029"/>
        <v>89301000</v>
      </c>
      <c r="B5649" t="str">
        <f t="shared" si="1030"/>
        <v>89063000</v>
      </c>
      <c r="C5649" t="str">
        <f t="shared" si="1030"/>
        <v>89063000</v>
      </c>
      <c r="D5649">
        <v>89301037</v>
      </c>
      <c r="E5649" t="str">
        <f>"5456073689"</f>
        <v>5456073689</v>
      </c>
      <c r="F5649" s="1">
        <v>45061</v>
      </c>
      <c r="G5649" t="str">
        <f t="shared" si="1031"/>
        <v>89312</v>
      </c>
      <c r="H5649">
        <v>3</v>
      </c>
      <c r="I5649">
        <v>936</v>
      </c>
      <c r="J5649">
        <v>0</v>
      </c>
      <c r="K5649" t="str">
        <f t="shared" si="1032"/>
        <v>809</v>
      </c>
      <c r="L5649">
        <v>1020.24</v>
      </c>
    </row>
    <row r="5650" spans="1:12" x14ac:dyDescent="0.25">
      <c r="A5650" t="str">
        <f t="shared" si="1029"/>
        <v>89301000</v>
      </c>
      <c r="B5650" t="str">
        <f t="shared" si="1030"/>
        <v>89063000</v>
      </c>
      <c r="C5650" t="str">
        <f t="shared" si="1030"/>
        <v>89063000</v>
      </c>
      <c r="D5650">
        <v>89301037</v>
      </c>
      <c r="E5650" t="str">
        <f>"435301427"</f>
        <v>435301427</v>
      </c>
      <c r="F5650" s="1">
        <v>45062</v>
      </c>
      <c r="G5650" t="str">
        <f t="shared" si="1031"/>
        <v>89312</v>
      </c>
      <c r="H5650">
        <v>3</v>
      </c>
      <c r="I5650">
        <v>936</v>
      </c>
      <c r="J5650">
        <v>0</v>
      </c>
      <c r="K5650" t="str">
        <f t="shared" si="1032"/>
        <v>809</v>
      </c>
      <c r="L5650">
        <v>1020.24</v>
      </c>
    </row>
    <row r="5651" spans="1:12" x14ac:dyDescent="0.25">
      <c r="A5651" t="str">
        <f t="shared" si="1029"/>
        <v>89301000</v>
      </c>
      <c r="B5651" t="str">
        <f t="shared" si="1030"/>
        <v>89063000</v>
      </c>
      <c r="C5651" t="str">
        <f t="shared" si="1030"/>
        <v>89063000</v>
      </c>
      <c r="D5651">
        <v>89301037</v>
      </c>
      <c r="E5651" t="str">
        <f>"525310199"</f>
        <v>525310199</v>
      </c>
      <c r="F5651" s="1">
        <v>45062</v>
      </c>
      <c r="G5651" t="str">
        <f t="shared" si="1031"/>
        <v>89312</v>
      </c>
      <c r="H5651">
        <v>3</v>
      </c>
      <c r="I5651">
        <v>936</v>
      </c>
      <c r="J5651">
        <v>0</v>
      </c>
      <c r="K5651" t="str">
        <f t="shared" si="1032"/>
        <v>809</v>
      </c>
      <c r="L5651">
        <v>1020.24</v>
      </c>
    </row>
    <row r="5652" spans="1:12" x14ac:dyDescent="0.25">
      <c r="A5652" t="str">
        <f t="shared" si="1029"/>
        <v>89301000</v>
      </c>
      <c r="B5652" t="str">
        <f t="shared" si="1030"/>
        <v>89063000</v>
      </c>
      <c r="C5652" t="str">
        <f t="shared" si="1030"/>
        <v>89063000</v>
      </c>
      <c r="D5652">
        <v>89301037</v>
      </c>
      <c r="E5652" t="str">
        <f>"536226250"</f>
        <v>536226250</v>
      </c>
      <c r="F5652" s="1">
        <v>45062</v>
      </c>
      <c r="G5652" t="str">
        <f t="shared" si="1031"/>
        <v>89312</v>
      </c>
      <c r="H5652">
        <v>3</v>
      </c>
      <c r="I5652">
        <v>936</v>
      </c>
      <c r="J5652">
        <v>0</v>
      </c>
      <c r="K5652" t="str">
        <f t="shared" si="1032"/>
        <v>809</v>
      </c>
      <c r="L5652">
        <v>1020.24</v>
      </c>
    </row>
    <row r="5653" spans="1:12" x14ac:dyDescent="0.25">
      <c r="A5653" t="str">
        <f t="shared" si="1029"/>
        <v>89301000</v>
      </c>
      <c r="B5653" t="str">
        <f t="shared" si="1030"/>
        <v>89063000</v>
      </c>
      <c r="C5653" t="str">
        <f t="shared" si="1030"/>
        <v>89063000</v>
      </c>
      <c r="D5653">
        <v>89301036</v>
      </c>
      <c r="E5653" t="str">
        <f>"6753040404"</f>
        <v>6753040404</v>
      </c>
      <c r="F5653" s="1">
        <v>45062</v>
      </c>
      <c r="G5653" t="str">
        <f t="shared" si="1031"/>
        <v>89312</v>
      </c>
      <c r="H5653">
        <v>3</v>
      </c>
      <c r="I5653">
        <v>936</v>
      </c>
      <c r="J5653">
        <v>0</v>
      </c>
      <c r="K5653" t="str">
        <f t="shared" si="1032"/>
        <v>809</v>
      </c>
      <c r="L5653">
        <v>1020.24</v>
      </c>
    </row>
    <row r="5654" spans="1:12" x14ac:dyDescent="0.25">
      <c r="A5654" t="str">
        <f t="shared" si="1029"/>
        <v>89301000</v>
      </c>
      <c r="B5654" t="str">
        <f t="shared" si="1030"/>
        <v>89063000</v>
      </c>
      <c r="C5654" t="str">
        <f t="shared" si="1030"/>
        <v>89063000</v>
      </c>
      <c r="D5654">
        <v>89301032</v>
      </c>
      <c r="E5654" t="str">
        <f>"7156255337"</f>
        <v>7156255337</v>
      </c>
      <c r="F5654" s="1">
        <v>45062</v>
      </c>
      <c r="G5654" t="str">
        <f t="shared" si="1031"/>
        <v>89312</v>
      </c>
      <c r="H5654">
        <v>3</v>
      </c>
      <c r="I5654">
        <v>936</v>
      </c>
      <c r="J5654">
        <v>0</v>
      </c>
      <c r="K5654" t="str">
        <f t="shared" si="1032"/>
        <v>809</v>
      </c>
      <c r="L5654">
        <v>1020.24</v>
      </c>
    </row>
    <row r="5655" spans="1:12" x14ac:dyDescent="0.25">
      <c r="A5655" t="str">
        <f t="shared" si="1029"/>
        <v>89301000</v>
      </c>
      <c r="B5655" t="str">
        <f t="shared" si="1030"/>
        <v>89063000</v>
      </c>
      <c r="C5655" t="str">
        <f t="shared" si="1030"/>
        <v>89063000</v>
      </c>
      <c r="D5655">
        <v>89301212</v>
      </c>
      <c r="E5655" t="str">
        <f>"465424489"</f>
        <v>465424489</v>
      </c>
      <c r="F5655" s="1">
        <v>45062</v>
      </c>
      <c r="G5655" t="str">
        <f t="shared" si="1031"/>
        <v>89312</v>
      </c>
      <c r="H5655">
        <v>3</v>
      </c>
      <c r="I5655">
        <v>936</v>
      </c>
      <c r="J5655">
        <v>0</v>
      </c>
      <c r="K5655" t="str">
        <f t="shared" si="1032"/>
        <v>809</v>
      </c>
      <c r="L5655">
        <v>1020.24</v>
      </c>
    </row>
    <row r="5656" spans="1:12" x14ac:dyDescent="0.25">
      <c r="A5656" t="str">
        <f t="shared" si="1029"/>
        <v>89301000</v>
      </c>
      <c r="B5656" t="str">
        <f t="shared" ref="B5656:C5675" si="1033">"89063000"</f>
        <v>89063000</v>
      </c>
      <c r="C5656" t="str">
        <f t="shared" si="1033"/>
        <v>89063000</v>
      </c>
      <c r="D5656">
        <v>89301037</v>
      </c>
      <c r="E5656" t="str">
        <f>"525402154"</f>
        <v>525402154</v>
      </c>
      <c r="F5656" s="1">
        <v>45062</v>
      </c>
      <c r="G5656" t="str">
        <f t="shared" si="1031"/>
        <v>89312</v>
      </c>
      <c r="H5656">
        <v>3</v>
      </c>
      <c r="I5656">
        <v>936</v>
      </c>
      <c r="J5656">
        <v>0</v>
      </c>
      <c r="K5656" t="str">
        <f t="shared" si="1032"/>
        <v>809</v>
      </c>
      <c r="L5656">
        <v>1020.24</v>
      </c>
    </row>
    <row r="5657" spans="1:12" x14ac:dyDescent="0.25">
      <c r="A5657" t="str">
        <f t="shared" si="1029"/>
        <v>89301000</v>
      </c>
      <c r="B5657" t="str">
        <f t="shared" si="1033"/>
        <v>89063000</v>
      </c>
      <c r="C5657" t="str">
        <f t="shared" si="1033"/>
        <v>89063000</v>
      </c>
      <c r="D5657">
        <v>89301037</v>
      </c>
      <c r="E5657" t="str">
        <f>"6456201224"</f>
        <v>6456201224</v>
      </c>
      <c r="F5657" s="1">
        <v>45063</v>
      </c>
      <c r="G5657" t="str">
        <f t="shared" si="1031"/>
        <v>89312</v>
      </c>
      <c r="H5657">
        <v>3</v>
      </c>
      <c r="I5657">
        <v>936</v>
      </c>
      <c r="J5657">
        <v>0</v>
      </c>
      <c r="K5657" t="str">
        <f t="shared" si="1032"/>
        <v>809</v>
      </c>
      <c r="L5657">
        <v>1020.24</v>
      </c>
    </row>
    <row r="5658" spans="1:12" x14ac:dyDescent="0.25">
      <c r="A5658" t="str">
        <f t="shared" si="1029"/>
        <v>89301000</v>
      </c>
      <c r="B5658" t="str">
        <f t="shared" si="1033"/>
        <v>89063000</v>
      </c>
      <c r="C5658" t="str">
        <f t="shared" si="1033"/>
        <v>89063000</v>
      </c>
      <c r="D5658">
        <v>89301037</v>
      </c>
      <c r="E5658" t="str">
        <f>"9752105924"</f>
        <v>9752105924</v>
      </c>
      <c r="F5658" s="1">
        <v>45063</v>
      </c>
      <c r="G5658" t="str">
        <f t="shared" si="1031"/>
        <v>89312</v>
      </c>
      <c r="H5658">
        <v>3</v>
      </c>
      <c r="I5658">
        <v>936</v>
      </c>
      <c r="J5658">
        <v>0</v>
      </c>
      <c r="K5658" t="str">
        <f t="shared" si="1032"/>
        <v>809</v>
      </c>
      <c r="L5658">
        <v>1020.24</v>
      </c>
    </row>
    <row r="5659" spans="1:12" x14ac:dyDescent="0.25">
      <c r="A5659" t="str">
        <f t="shared" si="1029"/>
        <v>89301000</v>
      </c>
      <c r="B5659" t="str">
        <f t="shared" si="1033"/>
        <v>89063000</v>
      </c>
      <c r="C5659" t="str">
        <f t="shared" si="1033"/>
        <v>89063000</v>
      </c>
      <c r="D5659">
        <v>89301167</v>
      </c>
      <c r="E5659" t="str">
        <f>"500212079"</f>
        <v>500212079</v>
      </c>
      <c r="F5659" s="1">
        <v>45063</v>
      </c>
      <c r="G5659" t="str">
        <f t="shared" si="1031"/>
        <v>89312</v>
      </c>
      <c r="H5659">
        <v>3</v>
      </c>
      <c r="I5659">
        <v>936</v>
      </c>
      <c r="J5659">
        <v>0</v>
      </c>
      <c r="K5659" t="str">
        <f t="shared" si="1032"/>
        <v>809</v>
      </c>
      <c r="L5659">
        <v>1020.24</v>
      </c>
    </row>
    <row r="5660" spans="1:12" x14ac:dyDescent="0.25">
      <c r="A5660" t="str">
        <f t="shared" si="1029"/>
        <v>89301000</v>
      </c>
      <c r="B5660" t="str">
        <f t="shared" si="1033"/>
        <v>89063000</v>
      </c>
      <c r="C5660" t="str">
        <f t="shared" si="1033"/>
        <v>89063000</v>
      </c>
      <c r="D5660">
        <v>89301037</v>
      </c>
      <c r="E5660" t="str">
        <f>"535101186"</f>
        <v>535101186</v>
      </c>
      <c r="F5660" s="1">
        <v>45064</v>
      </c>
      <c r="G5660" t="str">
        <f t="shared" si="1031"/>
        <v>89312</v>
      </c>
      <c r="H5660">
        <v>3</v>
      </c>
      <c r="I5660">
        <v>936</v>
      </c>
      <c r="J5660">
        <v>0</v>
      </c>
      <c r="K5660" t="str">
        <f t="shared" si="1032"/>
        <v>809</v>
      </c>
      <c r="L5660">
        <v>1020.24</v>
      </c>
    </row>
    <row r="5661" spans="1:12" x14ac:dyDescent="0.25">
      <c r="A5661" t="str">
        <f t="shared" si="1029"/>
        <v>89301000</v>
      </c>
      <c r="B5661" t="str">
        <f t="shared" si="1033"/>
        <v>89063000</v>
      </c>
      <c r="C5661" t="str">
        <f t="shared" si="1033"/>
        <v>89063000</v>
      </c>
      <c r="D5661">
        <v>89301037</v>
      </c>
      <c r="E5661" t="str">
        <f>"445915771"</f>
        <v>445915771</v>
      </c>
      <c r="F5661" s="1">
        <v>45064</v>
      </c>
      <c r="G5661" t="str">
        <f t="shared" si="1031"/>
        <v>89312</v>
      </c>
      <c r="H5661">
        <v>3</v>
      </c>
      <c r="I5661">
        <v>936</v>
      </c>
      <c r="J5661">
        <v>0</v>
      </c>
      <c r="K5661" t="str">
        <f t="shared" si="1032"/>
        <v>809</v>
      </c>
      <c r="L5661">
        <v>1020.24</v>
      </c>
    </row>
    <row r="5662" spans="1:12" x14ac:dyDescent="0.25">
      <c r="A5662" t="str">
        <f t="shared" si="1029"/>
        <v>89301000</v>
      </c>
      <c r="B5662" t="str">
        <f t="shared" si="1033"/>
        <v>89063000</v>
      </c>
      <c r="C5662" t="str">
        <f t="shared" si="1033"/>
        <v>89063000</v>
      </c>
      <c r="D5662">
        <v>89301032</v>
      </c>
      <c r="E5662" t="str">
        <f>"7752263475"</f>
        <v>7752263475</v>
      </c>
      <c r="F5662" s="1">
        <v>45064</v>
      </c>
      <c r="G5662" t="str">
        <f t="shared" si="1031"/>
        <v>89312</v>
      </c>
      <c r="H5662">
        <v>3</v>
      </c>
      <c r="I5662">
        <v>936</v>
      </c>
      <c r="J5662">
        <v>0</v>
      </c>
      <c r="K5662" t="str">
        <f t="shared" si="1032"/>
        <v>809</v>
      </c>
      <c r="L5662">
        <v>1020.24</v>
      </c>
    </row>
    <row r="5663" spans="1:12" x14ac:dyDescent="0.25">
      <c r="A5663" t="str">
        <f t="shared" si="1029"/>
        <v>89301000</v>
      </c>
      <c r="B5663" t="str">
        <f t="shared" si="1033"/>
        <v>89063000</v>
      </c>
      <c r="C5663" t="str">
        <f t="shared" si="1033"/>
        <v>89063000</v>
      </c>
      <c r="D5663">
        <v>89301036</v>
      </c>
      <c r="E5663" t="str">
        <f>"6062020668"</f>
        <v>6062020668</v>
      </c>
      <c r="F5663" s="1">
        <v>45064</v>
      </c>
      <c r="G5663" t="str">
        <f t="shared" si="1031"/>
        <v>89312</v>
      </c>
      <c r="H5663">
        <v>3</v>
      </c>
      <c r="I5663">
        <v>936</v>
      </c>
      <c r="J5663">
        <v>0</v>
      </c>
      <c r="K5663" t="str">
        <f t="shared" si="1032"/>
        <v>809</v>
      </c>
      <c r="L5663">
        <v>1020.24</v>
      </c>
    </row>
    <row r="5664" spans="1:12" x14ac:dyDescent="0.25">
      <c r="A5664" t="str">
        <f t="shared" si="1029"/>
        <v>89301000</v>
      </c>
      <c r="B5664" t="str">
        <f t="shared" si="1033"/>
        <v>89063000</v>
      </c>
      <c r="C5664" t="str">
        <f t="shared" si="1033"/>
        <v>89063000</v>
      </c>
      <c r="D5664">
        <v>89301039</v>
      </c>
      <c r="E5664" t="str">
        <f>"7851084670"</f>
        <v>7851084670</v>
      </c>
      <c r="F5664" s="1">
        <v>45065</v>
      </c>
      <c r="G5664" t="str">
        <f t="shared" si="1031"/>
        <v>89312</v>
      </c>
      <c r="H5664">
        <v>3</v>
      </c>
      <c r="I5664">
        <v>936</v>
      </c>
      <c r="J5664">
        <v>0</v>
      </c>
      <c r="K5664" t="str">
        <f t="shared" si="1032"/>
        <v>809</v>
      </c>
      <c r="L5664">
        <v>1020.24</v>
      </c>
    </row>
    <row r="5665" spans="1:12" x14ac:dyDescent="0.25">
      <c r="A5665" t="str">
        <f t="shared" si="1029"/>
        <v>89301000</v>
      </c>
      <c r="B5665" t="str">
        <f t="shared" si="1033"/>
        <v>89063000</v>
      </c>
      <c r="C5665" t="str">
        <f t="shared" si="1033"/>
        <v>89063000</v>
      </c>
      <c r="D5665">
        <v>89301212</v>
      </c>
      <c r="E5665" t="str">
        <f>"5951290719"</f>
        <v>5951290719</v>
      </c>
      <c r="F5665" s="1">
        <v>45065</v>
      </c>
      <c r="G5665" t="str">
        <f t="shared" si="1031"/>
        <v>89312</v>
      </c>
      <c r="H5665">
        <v>3</v>
      </c>
      <c r="I5665">
        <v>936</v>
      </c>
      <c r="J5665">
        <v>0</v>
      </c>
      <c r="K5665" t="str">
        <f t="shared" si="1032"/>
        <v>809</v>
      </c>
      <c r="L5665">
        <v>1020.24</v>
      </c>
    </row>
    <row r="5666" spans="1:12" x14ac:dyDescent="0.25">
      <c r="A5666" t="str">
        <f t="shared" si="1029"/>
        <v>89301000</v>
      </c>
      <c r="B5666" t="str">
        <f t="shared" si="1033"/>
        <v>89063000</v>
      </c>
      <c r="C5666" t="str">
        <f t="shared" si="1033"/>
        <v>89063000</v>
      </c>
      <c r="D5666">
        <v>89301037</v>
      </c>
      <c r="E5666" t="str">
        <f>"425607438"</f>
        <v>425607438</v>
      </c>
      <c r="F5666" s="1">
        <v>45068</v>
      </c>
      <c r="G5666" t="str">
        <f t="shared" si="1031"/>
        <v>89312</v>
      </c>
      <c r="H5666">
        <v>3</v>
      </c>
      <c r="I5666">
        <v>936</v>
      </c>
      <c r="J5666">
        <v>0</v>
      </c>
      <c r="K5666" t="str">
        <f t="shared" si="1032"/>
        <v>809</v>
      </c>
      <c r="L5666">
        <v>1020.24</v>
      </c>
    </row>
    <row r="5667" spans="1:12" x14ac:dyDescent="0.25">
      <c r="A5667" t="str">
        <f t="shared" si="1029"/>
        <v>89301000</v>
      </c>
      <c r="B5667" t="str">
        <f t="shared" si="1033"/>
        <v>89063000</v>
      </c>
      <c r="C5667" t="str">
        <f t="shared" si="1033"/>
        <v>89063000</v>
      </c>
      <c r="D5667">
        <v>89301162</v>
      </c>
      <c r="E5667" t="str">
        <f>"406024047"</f>
        <v>406024047</v>
      </c>
      <c r="F5667" s="1">
        <v>45068</v>
      </c>
      <c r="G5667" t="str">
        <f t="shared" si="1031"/>
        <v>89312</v>
      </c>
      <c r="H5667">
        <v>3</v>
      </c>
      <c r="I5667">
        <v>936</v>
      </c>
      <c r="J5667">
        <v>0</v>
      </c>
      <c r="K5667" t="str">
        <f t="shared" si="1032"/>
        <v>809</v>
      </c>
      <c r="L5667">
        <v>1020.24</v>
      </c>
    </row>
    <row r="5668" spans="1:12" x14ac:dyDescent="0.25">
      <c r="A5668" t="str">
        <f t="shared" si="1029"/>
        <v>89301000</v>
      </c>
      <c r="B5668" t="str">
        <f t="shared" si="1033"/>
        <v>89063000</v>
      </c>
      <c r="C5668" t="str">
        <f t="shared" si="1033"/>
        <v>89063000</v>
      </c>
      <c r="D5668">
        <v>89301037</v>
      </c>
      <c r="E5668" t="str">
        <f>"6352050870"</f>
        <v>6352050870</v>
      </c>
      <c r="F5668" s="1">
        <v>45068</v>
      </c>
      <c r="G5668" t="str">
        <f t="shared" si="1031"/>
        <v>89312</v>
      </c>
      <c r="H5668">
        <v>3</v>
      </c>
      <c r="I5668">
        <v>936</v>
      </c>
      <c r="J5668">
        <v>0</v>
      </c>
      <c r="K5668" t="str">
        <f t="shared" si="1032"/>
        <v>809</v>
      </c>
      <c r="L5668">
        <v>1020.24</v>
      </c>
    </row>
    <row r="5669" spans="1:12" x14ac:dyDescent="0.25">
      <c r="A5669" t="str">
        <f t="shared" si="1029"/>
        <v>89301000</v>
      </c>
      <c r="B5669" t="str">
        <f t="shared" si="1033"/>
        <v>89063000</v>
      </c>
      <c r="C5669" t="str">
        <f t="shared" si="1033"/>
        <v>89063000</v>
      </c>
      <c r="D5669">
        <v>89301702</v>
      </c>
      <c r="E5669" t="str">
        <f>"0853036063"</f>
        <v>0853036063</v>
      </c>
      <c r="F5669" s="1">
        <v>45068</v>
      </c>
      <c r="G5669" t="str">
        <f t="shared" si="1031"/>
        <v>89312</v>
      </c>
      <c r="H5669">
        <v>1</v>
      </c>
      <c r="I5669">
        <v>312</v>
      </c>
      <c r="J5669">
        <v>0</v>
      </c>
      <c r="K5669" t="str">
        <f t="shared" si="1032"/>
        <v>809</v>
      </c>
      <c r="L5669">
        <v>340.08</v>
      </c>
    </row>
    <row r="5670" spans="1:12" x14ac:dyDescent="0.25">
      <c r="A5670" t="str">
        <f t="shared" si="1029"/>
        <v>89301000</v>
      </c>
      <c r="B5670" t="str">
        <f t="shared" si="1033"/>
        <v>89063000</v>
      </c>
      <c r="C5670" t="str">
        <f t="shared" si="1033"/>
        <v>89063000</v>
      </c>
      <c r="D5670">
        <v>89301037</v>
      </c>
      <c r="E5670" t="str">
        <f>"435101104"</f>
        <v>435101104</v>
      </c>
      <c r="F5670" s="1">
        <v>45068</v>
      </c>
      <c r="G5670" t="str">
        <f t="shared" si="1031"/>
        <v>89312</v>
      </c>
      <c r="H5670">
        <v>3</v>
      </c>
      <c r="I5670">
        <v>936</v>
      </c>
      <c r="J5670">
        <v>0</v>
      </c>
      <c r="K5670" t="str">
        <f t="shared" si="1032"/>
        <v>809</v>
      </c>
      <c r="L5670">
        <v>1020.24</v>
      </c>
    </row>
    <row r="5671" spans="1:12" x14ac:dyDescent="0.25">
      <c r="A5671" t="str">
        <f t="shared" si="1029"/>
        <v>89301000</v>
      </c>
      <c r="B5671" t="str">
        <f t="shared" si="1033"/>
        <v>89063000</v>
      </c>
      <c r="C5671" t="str">
        <f t="shared" si="1033"/>
        <v>89063000</v>
      </c>
      <c r="D5671">
        <v>89301037</v>
      </c>
      <c r="E5671" t="str">
        <f>"7562065313"</f>
        <v>7562065313</v>
      </c>
      <c r="F5671" s="1">
        <v>45068</v>
      </c>
      <c r="G5671" t="str">
        <f t="shared" si="1031"/>
        <v>89312</v>
      </c>
      <c r="H5671">
        <v>3</v>
      </c>
      <c r="I5671">
        <v>936</v>
      </c>
      <c r="J5671">
        <v>0</v>
      </c>
      <c r="K5671" t="str">
        <f t="shared" si="1032"/>
        <v>809</v>
      </c>
      <c r="L5671">
        <v>1020.24</v>
      </c>
    </row>
    <row r="5672" spans="1:12" x14ac:dyDescent="0.25">
      <c r="A5672" t="str">
        <f t="shared" si="1029"/>
        <v>89301000</v>
      </c>
      <c r="B5672" t="str">
        <f t="shared" si="1033"/>
        <v>89063000</v>
      </c>
      <c r="C5672" t="str">
        <f t="shared" si="1033"/>
        <v>89063000</v>
      </c>
      <c r="D5672">
        <v>89301037</v>
      </c>
      <c r="E5672" t="str">
        <f>"470514464"</f>
        <v>470514464</v>
      </c>
      <c r="F5672" s="1">
        <v>45068</v>
      </c>
      <c r="G5672" t="str">
        <f t="shared" si="1031"/>
        <v>89312</v>
      </c>
      <c r="H5672">
        <v>3</v>
      </c>
      <c r="I5672">
        <v>936</v>
      </c>
      <c r="J5672">
        <v>0</v>
      </c>
      <c r="K5672" t="str">
        <f t="shared" si="1032"/>
        <v>809</v>
      </c>
      <c r="L5672">
        <v>1020.24</v>
      </c>
    </row>
    <row r="5673" spans="1:12" x14ac:dyDescent="0.25">
      <c r="A5673" t="str">
        <f t="shared" si="1029"/>
        <v>89301000</v>
      </c>
      <c r="B5673" t="str">
        <f t="shared" si="1033"/>
        <v>89063000</v>
      </c>
      <c r="C5673" t="str">
        <f t="shared" si="1033"/>
        <v>89063000</v>
      </c>
      <c r="D5673">
        <v>89301037</v>
      </c>
      <c r="E5673" t="str">
        <f>"6353040254"</f>
        <v>6353040254</v>
      </c>
      <c r="F5673" s="1">
        <v>45069</v>
      </c>
      <c r="G5673" t="str">
        <f t="shared" si="1031"/>
        <v>89312</v>
      </c>
      <c r="H5673">
        <v>3</v>
      </c>
      <c r="I5673">
        <v>936</v>
      </c>
      <c r="J5673">
        <v>0</v>
      </c>
      <c r="K5673" t="str">
        <f t="shared" si="1032"/>
        <v>809</v>
      </c>
      <c r="L5673">
        <v>1020.24</v>
      </c>
    </row>
    <row r="5674" spans="1:12" x14ac:dyDescent="0.25">
      <c r="A5674" t="str">
        <f t="shared" si="1029"/>
        <v>89301000</v>
      </c>
      <c r="B5674" t="str">
        <f t="shared" si="1033"/>
        <v>89063000</v>
      </c>
      <c r="C5674" t="str">
        <f t="shared" si="1033"/>
        <v>89063000</v>
      </c>
      <c r="D5674">
        <v>89301212</v>
      </c>
      <c r="E5674" t="str">
        <f>"445830441"</f>
        <v>445830441</v>
      </c>
      <c r="F5674" s="1">
        <v>45069</v>
      </c>
      <c r="G5674" t="str">
        <f t="shared" si="1031"/>
        <v>89312</v>
      </c>
      <c r="H5674">
        <v>3</v>
      </c>
      <c r="I5674">
        <v>936</v>
      </c>
      <c r="J5674">
        <v>0</v>
      </c>
      <c r="K5674" t="str">
        <f t="shared" si="1032"/>
        <v>809</v>
      </c>
      <c r="L5674">
        <v>1020.24</v>
      </c>
    </row>
    <row r="5675" spans="1:12" x14ac:dyDescent="0.25">
      <c r="A5675" t="str">
        <f t="shared" si="1029"/>
        <v>89301000</v>
      </c>
      <c r="B5675" t="str">
        <f t="shared" si="1033"/>
        <v>89063000</v>
      </c>
      <c r="C5675" t="str">
        <f t="shared" si="1033"/>
        <v>89063000</v>
      </c>
      <c r="D5675">
        <v>89301037</v>
      </c>
      <c r="E5675" t="str">
        <f>"9853085660"</f>
        <v>9853085660</v>
      </c>
      <c r="F5675" s="1">
        <v>45069</v>
      </c>
      <c r="G5675" t="str">
        <f t="shared" si="1031"/>
        <v>89312</v>
      </c>
      <c r="H5675">
        <v>3</v>
      </c>
      <c r="I5675">
        <v>936</v>
      </c>
      <c r="J5675">
        <v>0</v>
      </c>
      <c r="K5675" t="str">
        <f t="shared" si="1032"/>
        <v>809</v>
      </c>
      <c r="L5675">
        <v>1020.24</v>
      </c>
    </row>
    <row r="5676" spans="1:12" x14ac:dyDescent="0.25">
      <c r="A5676" t="str">
        <f t="shared" si="1029"/>
        <v>89301000</v>
      </c>
      <c r="B5676" t="str">
        <f t="shared" ref="B5676:C5696" si="1034">"89063000"</f>
        <v>89063000</v>
      </c>
      <c r="C5676" t="str">
        <f t="shared" si="1034"/>
        <v>89063000</v>
      </c>
      <c r="D5676">
        <v>89301037</v>
      </c>
      <c r="E5676" t="str">
        <f>"525119078"</f>
        <v>525119078</v>
      </c>
      <c r="F5676" s="1">
        <v>45070</v>
      </c>
      <c r="G5676" t="str">
        <f t="shared" si="1031"/>
        <v>89312</v>
      </c>
      <c r="H5676">
        <v>3</v>
      </c>
      <c r="I5676">
        <v>936</v>
      </c>
      <c r="J5676">
        <v>0</v>
      </c>
      <c r="K5676" t="str">
        <f t="shared" si="1032"/>
        <v>809</v>
      </c>
      <c r="L5676">
        <v>1020.24</v>
      </c>
    </row>
    <row r="5677" spans="1:12" x14ac:dyDescent="0.25">
      <c r="A5677" t="str">
        <f t="shared" si="1029"/>
        <v>89301000</v>
      </c>
      <c r="B5677" t="str">
        <f t="shared" si="1034"/>
        <v>89063000</v>
      </c>
      <c r="C5677" t="str">
        <f t="shared" si="1034"/>
        <v>89063000</v>
      </c>
      <c r="D5677">
        <v>89301162</v>
      </c>
      <c r="E5677" t="str">
        <f>"9253215103"</f>
        <v>9253215103</v>
      </c>
      <c r="F5677" s="1">
        <v>45070</v>
      </c>
      <c r="G5677" t="str">
        <f t="shared" si="1031"/>
        <v>89312</v>
      </c>
      <c r="H5677">
        <v>3</v>
      </c>
      <c r="I5677">
        <v>936</v>
      </c>
      <c r="J5677">
        <v>0</v>
      </c>
      <c r="K5677" t="str">
        <f t="shared" si="1032"/>
        <v>809</v>
      </c>
      <c r="L5677">
        <v>1020.24</v>
      </c>
    </row>
    <row r="5678" spans="1:12" x14ac:dyDescent="0.25">
      <c r="A5678" t="str">
        <f t="shared" si="1029"/>
        <v>89301000</v>
      </c>
      <c r="B5678" t="str">
        <f t="shared" si="1034"/>
        <v>89063000</v>
      </c>
      <c r="C5678" t="str">
        <f t="shared" si="1034"/>
        <v>89063000</v>
      </c>
      <c r="D5678">
        <v>89301037</v>
      </c>
      <c r="E5678" t="str">
        <f>"6261070123"</f>
        <v>6261070123</v>
      </c>
      <c r="F5678" s="1">
        <v>45070</v>
      </c>
      <c r="G5678" t="str">
        <f t="shared" si="1031"/>
        <v>89312</v>
      </c>
      <c r="H5678">
        <v>3</v>
      </c>
      <c r="I5678">
        <v>936</v>
      </c>
      <c r="J5678">
        <v>0</v>
      </c>
      <c r="K5678" t="str">
        <f t="shared" si="1032"/>
        <v>809</v>
      </c>
      <c r="L5678">
        <v>1020.24</v>
      </c>
    </row>
    <row r="5679" spans="1:12" x14ac:dyDescent="0.25">
      <c r="A5679" t="str">
        <f t="shared" si="1029"/>
        <v>89301000</v>
      </c>
      <c r="B5679" t="str">
        <f t="shared" si="1034"/>
        <v>89063000</v>
      </c>
      <c r="C5679" t="str">
        <f t="shared" si="1034"/>
        <v>89063000</v>
      </c>
      <c r="D5679">
        <v>89301037</v>
      </c>
      <c r="E5679" t="str">
        <f>"5756071387"</f>
        <v>5756071387</v>
      </c>
      <c r="F5679" s="1">
        <v>45070</v>
      </c>
      <c r="G5679" t="str">
        <f t="shared" si="1031"/>
        <v>89312</v>
      </c>
      <c r="H5679">
        <v>3</v>
      </c>
      <c r="I5679">
        <v>936</v>
      </c>
      <c r="J5679">
        <v>0</v>
      </c>
      <c r="K5679" t="str">
        <f t="shared" si="1032"/>
        <v>809</v>
      </c>
      <c r="L5679">
        <v>1020.24</v>
      </c>
    </row>
    <row r="5680" spans="1:12" x14ac:dyDescent="0.25">
      <c r="A5680" t="str">
        <f t="shared" si="1029"/>
        <v>89301000</v>
      </c>
      <c r="B5680" t="str">
        <f t="shared" si="1034"/>
        <v>89063000</v>
      </c>
      <c r="C5680" t="str">
        <f t="shared" si="1034"/>
        <v>89063000</v>
      </c>
      <c r="D5680">
        <v>89301022</v>
      </c>
      <c r="E5680" t="str">
        <f>"9951035732"</f>
        <v>9951035732</v>
      </c>
      <c r="F5680" s="1">
        <v>45070</v>
      </c>
      <c r="G5680" t="str">
        <f t="shared" ref="G5680:G5696" si="1035">"89312"</f>
        <v>89312</v>
      </c>
      <c r="H5680">
        <v>3</v>
      </c>
      <c r="I5680">
        <v>936</v>
      </c>
      <c r="J5680">
        <v>0</v>
      </c>
      <c r="K5680" t="str">
        <f t="shared" ref="K5680:K5696" si="1036">"809"</f>
        <v>809</v>
      </c>
      <c r="L5680">
        <v>1020.24</v>
      </c>
    </row>
    <row r="5681" spans="1:12" x14ac:dyDescent="0.25">
      <c r="A5681" t="str">
        <f t="shared" si="1029"/>
        <v>89301000</v>
      </c>
      <c r="B5681" t="str">
        <f t="shared" si="1034"/>
        <v>89063000</v>
      </c>
      <c r="C5681" t="str">
        <f t="shared" si="1034"/>
        <v>89063000</v>
      </c>
      <c r="D5681">
        <v>89301212</v>
      </c>
      <c r="E5681" t="str">
        <f>"465905411"</f>
        <v>465905411</v>
      </c>
      <c r="F5681" s="1">
        <v>45071</v>
      </c>
      <c r="G5681" t="str">
        <f t="shared" si="1035"/>
        <v>89312</v>
      </c>
      <c r="H5681">
        <v>3</v>
      </c>
      <c r="I5681">
        <v>936</v>
      </c>
      <c r="J5681">
        <v>0</v>
      </c>
      <c r="K5681" t="str">
        <f t="shared" si="1036"/>
        <v>809</v>
      </c>
      <c r="L5681">
        <v>1020.24</v>
      </c>
    </row>
    <row r="5682" spans="1:12" x14ac:dyDescent="0.25">
      <c r="A5682" t="str">
        <f t="shared" si="1029"/>
        <v>89301000</v>
      </c>
      <c r="B5682" t="str">
        <f t="shared" si="1034"/>
        <v>89063000</v>
      </c>
      <c r="C5682" t="str">
        <f t="shared" si="1034"/>
        <v>89063000</v>
      </c>
      <c r="D5682">
        <v>89301731</v>
      </c>
      <c r="E5682" t="str">
        <f>"8252245177"</f>
        <v>8252245177</v>
      </c>
      <c r="F5682" s="1">
        <v>45071</v>
      </c>
      <c r="G5682" t="str">
        <f t="shared" si="1035"/>
        <v>89312</v>
      </c>
      <c r="H5682">
        <v>3</v>
      </c>
      <c r="I5682">
        <v>936</v>
      </c>
      <c r="J5682">
        <v>0</v>
      </c>
      <c r="K5682" t="str">
        <f t="shared" si="1036"/>
        <v>809</v>
      </c>
      <c r="L5682">
        <v>1020.24</v>
      </c>
    </row>
    <row r="5683" spans="1:12" x14ac:dyDescent="0.25">
      <c r="A5683" t="str">
        <f t="shared" si="1029"/>
        <v>89301000</v>
      </c>
      <c r="B5683" t="str">
        <f t="shared" si="1034"/>
        <v>89063000</v>
      </c>
      <c r="C5683" t="str">
        <f t="shared" si="1034"/>
        <v>89063000</v>
      </c>
      <c r="D5683">
        <v>89301037</v>
      </c>
      <c r="E5683" t="str">
        <f>"7655215689"</f>
        <v>7655215689</v>
      </c>
      <c r="F5683" s="1">
        <v>45071</v>
      </c>
      <c r="G5683" t="str">
        <f t="shared" si="1035"/>
        <v>89312</v>
      </c>
      <c r="H5683">
        <v>3</v>
      </c>
      <c r="I5683">
        <v>936</v>
      </c>
      <c r="J5683">
        <v>0</v>
      </c>
      <c r="K5683" t="str">
        <f t="shared" si="1036"/>
        <v>809</v>
      </c>
      <c r="L5683">
        <v>1020.24</v>
      </c>
    </row>
    <row r="5684" spans="1:12" x14ac:dyDescent="0.25">
      <c r="A5684" t="str">
        <f t="shared" si="1029"/>
        <v>89301000</v>
      </c>
      <c r="B5684" t="str">
        <f t="shared" si="1034"/>
        <v>89063000</v>
      </c>
      <c r="C5684" t="str">
        <f t="shared" si="1034"/>
        <v>89063000</v>
      </c>
      <c r="D5684">
        <v>89301037</v>
      </c>
      <c r="E5684" t="str">
        <f>"5457011021"</f>
        <v>5457011021</v>
      </c>
      <c r="F5684" s="1">
        <v>45071</v>
      </c>
      <c r="G5684" t="str">
        <f t="shared" si="1035"/>
        <v>89312</v>
      </c>
      <c r="H5684">
        <v>3</v>
      </c>
      <c r="I5684">
        <v>936</v>
      </c>
      <c r="J5684">
        <v>0</v>
      </c>
      <c r="K5684" t="str">
        <f t="shared" si="1036"/>
        <v>809</v>
      </c>
      <c r="L5684">
        <v>1020.24</v>
      </c>
    </row>
    <row r="5685" spans="1:12" x14ac:dyDescent="0.25">
      <c r="A5685" t="str">
        <f t="shared" si="1029"/>
        <v>89301000</v>
      </c>
      <c r="B5685" t="str">
        <f t="shared" si="1034"/>
        <v>89063000</v>
      </c>
      <c r="C5685" t="str">
        <f t="shared" si="1034"/>
        <v>89063000</v>
      </c>
      <c r="D5685">
        <v>89301109</v>
      </c>
      <c r="E5685" t="str">
        <f>"1560012212"</f>
        <v>1560012212</v>
      </c>
      <c r="F5685" s="1">
        <v>45072</v>
      </c>
      <c r="G5685" t="str">
        <f t="shared" si="1035"/>
        <v>89312</v>
      </c>
      <c r="H5685">
        <v>1</v>
      </c>
      <c r="I5685">
        <v>312</v>
      </c>
      <c r="J5685">
        <v>0</v>
      </c>
      <c r="K5685" t="str">
        <f t="shared" si="1036"/>
        <v>809</v>
      </c>
      <c r="L5685">
        <v>340.08</v>
      </c>
    </row>
    <row r="5686" spans="1:12" x14ac:dyDescent="0.25">
      <c r="A5686" t="str">
        <f t="shared" si="1029"/>
        <v>89301000</v>
      </c>
      <c r="B5686" t="str">
        <f t="shared" si="1034"/>
        <v>89063000</v>
      </c>
      <c r="C5686" t="str">
        <f t="shared" si="1034"/>
        <v>89063000</v>
      </c>
      <c r="D5686">
        <v>89301037</v>
      </c>
      <c r="E5686" t="str">
        <f>"7551224395"</f>
        <v>7551224395</v>
      </c>
      <c r="F5686" s="1">
        <v>45072</v>
      </c>
      <c r="G5686" t="str">
        <f t="shared" si="1035"/>
        <v>89312</v>
      </c>
      <c r="H5686">
        <v>3</v>
      </c>
      <c r="I5686">
        <v>936</v>
      </c>
      <c r="J5686">
        <v>0</v>
      </c>
      <c r="K5686" t="str">
        <f t="shared" si="1036"/>
        <v>809</v>
      </c>
      <c r="L5686">
        <v>1020.24</v>
      </c>
    </row>
    <row r="5687" spans="1:12" x14ac:dyDescent="0.25">
      <c r="A5687" t="str">
        <f t="shared" si="1029"/>
        <v>89301000</v>
      </c>
      <c r="B5687" t="str">
        <f t="shared" si="1034"/>
        <v>89063000</v>
      </c>
      <c r="C5687" t="str">
        <f t="shared" si="1034"/>
        <v>89063000</v>
      </c>
      <c r="D5687">
        <v>89301702</v>
      </c>
      <c r="E5687" t="str">
        <f>"1809180296"</f>
        <v>1809180296</v>
      </c>
      <c r="F5687" s="1">
        <v>45072</v>
      </c>
      <c r="G5687" t="str">
        <f t="shared" si="1035"/>
        <v>89312</v>
      </c>
      <c r="H5687">
        <v>1</v>
      </c>
      <c r="I5687">
        <v>312</v>
      </c>
      <c r="J5687">
        <v>0</v>
      </c>
      <c r="K5687" t="str">
        <f t="shared" si="1036"/>
        <v>809</v>
      </c>
      <c r="L5687">
        <v>340.08</v>
      </c>
    </row>
    <row r="5688" spans="1:12" x14ac:dyDescent="0.25">
      <c r="A5688" t="str">
        <f t="shared" si="1029"/>
        <v>89301000</v>
      </c>
      <c r="B5688" t="str">
        <f t="shared" si="1034"/>
        <v>89063000</v>
      </c>
      <c r="C5688" t="str">
        <f t="shared" si="1034"/>
        <v>89063000</v>
      </c>
      <c r="D5688">
        <v>89301162</v>
      </c>
      <c r="E5688" t="str">
        <f>"7211174487"</f>
        <v>7211174487</v>
      </c>
      <c r="F5688" s="1">
        <v>45072</v>
      </c>
      <c r="G5688" t="str">
        <f t="shared" si="1035"/>
        <v>89312</v>
      </c>
      <c r="H5688">
        <v>3</v>
      </c>
      <c r="I5688">
        <v>936</v>
      </c>
      <c r="J5688">
        <v>0</v>
      </c>
      <c r="K5688" t="str">
        <f t="shared" si="1036"/>
        <v>809</v>
      </c>
      <c r="L5688">
        <v>1020.24</v>
      </c>
    </row>
    <row r="5689" spans="1:12" x14ac:dyDescent="0.25">
      <c r="A5689" t="str">
        <f t="shared" si="1029"/>
        <v>89301000</v>
      </c>
      <c r="B5689" t="str">
        <f t="shared" si="1034"/>
        <v>89063000</v>
      </c>
      <c r="C5689" t="str">
        <f t="shared" si="1034"/>
        <v>89063000</v>
      </c>
      <c r="D5689">
        <v>89301037</v>
      </c>
      <c r="E5689" t="str">
        <f>"5451302252"</f>
        <v>5451302252</v>
      </c>
      <c r="F5689" s="1">
        <v>45072</v>
      </c>
      <c r="G5689" t="str">
        <f t="shared" si="1035"/>
        <v>89312</v>
      </c>
      <c r="H5689">
        <v>3</v>
      </c>
      <c r="I5689">
        <v>936</v>
      </c>
      <c r="J5689">
        <v>0</v>
      </c>
      <c r="K5689" t="str">
        <f t="shared" si="1036"/>
        <v>809</v>
      </c>
      <c r="L5689">
        <v>1020.24</v>
      </c>
    </row>
    <row r="5690" spans="1:12" x14ac:dyDescent="0.25">
      <c r="A5690" t="str">
        <f t="shared" si="1029"/>
        <v>89301000</v>
      </c>
      <c r="B5690" t="str">
        <f t="shared" si="1034"/>
        <v>89063000</v>
      </c>
      <c r="C5690" t="str">
        <f t="shared" si="1034"/>
        <v>89063000</v>
      </c>
      <c r="D5690">
        <v>89301167</v>
      </c>
      <c r="E5690" t="str">
        <f>"515125238"</f>
        <v>515125238</v>
      </c>
      <c r="F5690" s="1">
        <v>45075</v>
      </c>
      <c r="G5690" t="str">
        <f t="shared" si="1035"/>
        <v>89312</v>
      </c>
      <c r="H5690">
        <v>3</v>
      </c>
      <c r="I5690">
        <v>936</v>
      </c>
      <c r="J5690">
        <v>0</v>
      </c>
      <c r="K5690" t="str">
        <f t="shared" si="1036"/>
        <v>809</v>
      </c>
      <c r="L5690">
        <v>1020.24</v>
      </c>
    </row>
    <row r="5691" spans="1:12" x14ac:dyDescent="0.25">
      <c r="A5691" t="str">
        <f t="shared" si="1029"/>
        <v>89301000</v>
      </c>
      <c r="B5691" t="str">
        <f t="shared" si="1034"/>
        <v>89063000</v>
      </c>
      <c r="C5691" t="str">
        <f t="shared" si="1034"/>
        <v>89063000</v>
      </c>
      <c r="D5691">
        <v>89301112</v>
      </c>
      <c r="E5691" t="str">
        <f>"7256167413"</f>
        <v>7256167413</v>
      </c>
      <c r="F5691" s="1">
        <v>45075</v>
      </c>
      <c r="G5691" t="str">
        <f t="shared" si="1035"/>
        <v>89312</v>
      </c>
      <c r="H5691">
        <v>3</v>
      </c>
      <c r="I5691">
        <v>936</v>
      </c>
      <c r="J5691">
        <v>0</v>
      </c>
      <c r="K5691" t="str">
        <f t="shared" si="1036"/>
        <v>809</v>
      </c>
      <c r="L5691">
        <v>1020.24</v>
      </c>
    </row>
    <row r="5692" spans="1:12" x14ac:dyDescent="0.25">
      <c r="A5692" t="str">
        <f t="shared" si="1029"/>
        <v>89301000</v>
      </c>
      <c r="B5692" t="str">
        <f t="shared" si="1034"/>
        <v>89063000</v>
      </c>
      <c r="C5692" t="str">
        <f t="shared" si="1034"/>
        <v>89063000</v>
      </c>
      <c r="D5692">
        <v>89301037</v>
      </c>
      <c r="E5692" t="str">
        <f>"8351165317"</f>
        <v>8351165317</v>
      </c>
      <c r="F5692" s="1">
        <v>45076</v>
      </c>
      <c r="G5692" t="str">
        <f t="shared" si="1035"/>
        <v>89312</v>
      </c>
      <c r="H5692">
        <v>3</v>
      </c>
      <c r="I5692">
        <v>936</v>
      </c>
      <c r="J5692">
        <v>0</v>
      </c>
      <c r="K5692" t="str">
        <f t="shared" si="1036"/>
        <v>809</v>
      </c>
      <c r="L5692">
        <v>1020.24</v>
      </c>
    </row>
    <row r="5693" spans="1:12" x14ac:dyDescent="0.25">
      <c r="A5693" t="str">
        <f t="shared" si="1029"/>
        <v>89301000</v>
      </c>
      <c r="B5693" t="str">
        <f t="shared" si="1034"/>
        <v>89063000</v>
      </c>
      <c r="C5693" t="str">
        <f t="shared" si="1034"/>
        <v>89063000</v>
      </c>
      <c r="D5693">
        <v>89301162</v>
      </c>
      <c r="E5693" t="str">
        <f>"7809245378"</f>
        <v>7809245378</v>
      </c>
      <c r="F5693" s="1">
        <v>45076</v>
      </c>
      <c r="G5693" t="str">
        <f t="shared" si="1035"/>
        <v>89312</v>
      </c>
      <c r="H5693">
        <v>3</v>
      </c>
      <c r="I5693">
        <v>936</v>
      </c>
      <c r="J5693">
        <v>0</v>
      </c>
      <c r="K5693" t="str">
        <f t="shared" si="1036"/>
        <v>809</v>
      </c>
      <c r="L5693">
        <v>1020.24</v>
      </c>
    </row>
    <row r="5694" spans="1:12" x14ac:dyDescent="0.25">
      <c r="A5694" t="str">
        <f t="shared" si="1029"/>
        <v>89301000</v>
      </c>
      <c r="B5694" t="str">
        <f t="shared" si="1034"/>
        <v>89063000</v>
      </c>
      <c r="C5694" t="str">
        <f t="shared" si="1034"/>
        <v>89063000</v>
      </c>
      <c r="D5694">
        <v>89301702</v>
      </c>
      <c r="E5694" t="str">
        <f>"1055216074"</f>
        <v>1055216074</v>
      </c>
      <c r="F5694" s="1">
        <v>45076</v>
      </c>
      <c r="G5694" t="str">
        <f t="shared" si="1035"/>
        <v>89312</v>
      </c>
      <c r="H5694">
        <v>1</v>
      </c>
      <c r="I5694">
        <v>312</v>
      </c>
      <c r="J5694">
        <v>0</v>
      </c>
      <c r="K5694" t="str">
        <f t="shared" si="1036"/>
        <v>809</v>
      </c>
      <c r="L5694">
        <v>340.08</v>
      </c>
    </row>
    <row r="5695" spans="1:12" x14ac:dyDescent="0.25">
      <c r="A5695" t="str">
        <f t="shared" si="1029"/>
        <v>89301000</v>
      </c>
      <c r="B5695" t="str">
        <f t="shared" si="1034"/>
        <v>89063000</v>
      </c>
      <c r="C5695" t="str">
        <f t="shared" si="1034"/>
        <v>89063000</v>
      </c>
      <c r="D5695">
        <v>89301037</v>
      </c>
      <c r="E5695" t="str">
        <f>"490311231"</f>
        <v>490311231</v>
      </c>
      <c r="F5695" s="1">
        <v>45077</v>
      </c>
      <c r="G5695" t="str">
        <f t="shared" si="1035"/>
        <v>89312</v>
      </c>
      <c r="H5695">
        <v>3</v>
      </c>
      <c r="I5695">
        <v>936</v>
      </c>
      <c r="J5695">
        <v>0</v>
      </c>
      <c r="K5695" t="str">
        <f t="shared" si="1036"/>
        <v>809</v>
      </c>
      <c r="L5695">
        <v>1020.24</v>
      </c>
    </row>
    <row r="5696" spans="1:12" x14ac:dyDescent="0.25">
      <c r="A5696" t="str">
        <f t="shared" si="1029"/>
        <v>89301000</v>
      </c>
      <c r="B5696" t="str">
        <f t="shared" si="1034"/>
        <v>89063000</v>
      </c>
      <c r="C5696" t="str">
        <f t="shared" si="1034"/>
        <v>89063000</v>
      </c>
      <c r="D5696">
        <v>89301037</v>
      </c>
      <c r="E5696" t="str">
        <f>"9905265711"</f>
        <v>9905265711</v>
      </c>
      <c r="F5696" s="1">
        <v>45077</v>
      </c>
      <c r="G5696" t="str">
        <f t="shared" si="1035"/>
        <v>89312</v>
      </c>
      <c r="H5696">
        <v>3</v>
      </c>
      <c r="I5696">
        <v>936</v>
      </c>
      <c r="J5696">
        <v>0</v>
      </c>
      <c r="K5696" t="str">
        <f t="shared" si="1036"/>
        <v>809</v>
      </c>
      <c r="L5696">
        <v>1020.24</v>
      </c>
    </row>
    <row r="5697" spans="1:12" x14ac:dyDescent="0.25">
      <c r="A5697" t="str">
        <f t="shared" si="1029"/>
        <v>89301000</v>
      </c>
      <c r="B5697" t="str">
        <f>"72186000"</f>
        <v>72186000</v>
      </c>
      <c r="C5697" t="str">
        <f>"72186015"</f>
        <v>72186015</v>
      </c>
      <c r="D5697">
        <v>89301062</v>
      </c>
      <c r="E5697" t="str">
        <f>"7303097384"</f>
        <v>7303097384</v>
      </c>
      <c r="F5697" s="1">
        <v>45050</v>
      </c>
      <c r="G5697" t="str">
        <f>"89713"</f>
        <v>89713</v>
      </c>
      <c r="H5697">
        <v>2</v>
      </c>
      <c r="I5697">
        <v>10822</v>
      </c>
      <c r="J5697">
        <v>0</v>
      </c>
      <c r="K5697" t="str">
        <f>"810"</f>
        <v>810</v>
      </c>
      <c r="L5697">
        <v>7034.3</v>
      </c>
    </row>
    <row r="5698" spans="1:12" x14ac:dyDescent="0.25">
      <c r="A5698" t="str">
        <f t="shared" ref="A5698:A5761" si="1037">"89301000"</f>
        <v>89301000</v>
      </c>
      <c r="B5698" t="str">
        <f t="shared" ref="B5698:B5745" si="1038">"93501000"</f>
        <v>93501000</v>
      </c>
      <c r="C5698" t="str">
        <f t="shared" ref="C5698:C5742" si="1039">"93501001"</f>
        <v>93501001</v>
      </c>
      <c r="D5698">
        <v>89301167</v>
      </c>
      <c r="E5698" t="str">
        <f t="shared" ref="E5698:E5738" si="1040">"470127462"</f>
        <v>470127462</v>
      </c>
      <c r="F5698" s="1">
        <v>45077</v>
      </c>
      <c r="G5698" t="str">
        <f>"09119"</f>
        <v>09119</v>
      </c>
      <c r="H5698">
        <v>1</v>
      </c>
      <c r="I5698">
        <v>43</v>
      </c>
      <c r="J5698">
        <v>0</v>
      </c>
      <c r="K5698" t="str">
        <f t="shared" ref="K5698:K5742" si="1041">"801"</f>
        <v>801</v>
      </c>
      <c r="L5698">
        <v>54.18</v>
      </c>
    </row>
    <row r="5699" spans="1:12" x14ac:dyDescent="0.25">
      <c r="A5699" t="str">
        <f t="shared" si="1037"/>
        <v>89301000</v>
      </c>
      <c r="B5699" t="str">
        <f t="shared" si="1038"/>
        <v>93501000</v>
      </c>
      <c r="C5699" t="str">
        <f t="shared" si="1039"/>
        <v>93501001</v>
      </c>
      <c r="D5699">
        <v>89301167</v>
      </c>
      <c r="E5699" t="str">
        <f t="shared" si="1040"/>
        <v>470127462</v>
      </c>
      <c r="F5699" s="1">
        <v>45077</v>
      </c>
      <c r="G5699" t="str">
        <f>"81329"</f>
        <v>81329</v>
      </c>
      <c r="H5699">
        <v>1</v>
      </c>
      <c r="I5699">
        <v>17</v>
      </c>
      <c r="J5699">
        <v>0</v>
      </c>
      <c r="K5699" t="str">
        <f t="shared" si="1041"/>
        <v>801</v>
      </c>
      <c r="L5699">
        <v>14.28</v>
      </c>
    </row>
    <row r="5700" spans="1:12" x14ac:dyDescent="0.25">
      <c r="A5700" t="str">
        <f t="shared" si="1037"/>
        <v>89301000</v>
      </c>
      <c r="B5700" t="str">
        <f t="shared" si="1038"/>
        <v>93501000</v>
      </c>
      <c r="C5700" t="str">
        <f t="shared" si="1039"/>
        <v>93501001</v>
      </c>
      <c r="D5700">
        <v>89301167</v>
      </c>
      <c r="E5700" t="str">
        <f t="shared" si="1040"/>
        <v>470127462</v>
      </c>
      <c r="F5700" s="1">
        <v>45077</v>
      </c>
      <c r="G5700" t="str">
        <f>"81337"</f>
        <v>81337</v>
      </c>
      <c r="H5700">
        <v>1</v>
      </c>
      <c r="I5700">
        <v>20</v>
      </c>
      <c r="J5700">
        <v>0</v>
      </c>
      <c r="K5700" t="str">
        <f t="shared" si="1041"/>
        <v>801</v>
      </c>
      <c r="L5700">
        <v>16.8</v>
      </c>
    </row>
    <row r="5701" spans="1:12" x14ac:dyDescent="0.25">
      <c r="A5701" t="str">
        <f t="shared" si="1037"/>
        <v>89301000</v>
      </c>
      <c r="B5701" t="str">
        <f t="shared" si="1038"/>
        <v>93501000</v>
      </c>
      <c r="C5701" t="str">
        <f t="shared" si="1039"/>
        <v>93501001</v>
      </c>
      <c r="D5701">
        <v>89301167</v>
      </c>
      <c r="E5701" t="str">
        <f t="shared" si="1040"/>
        <v>470127462</v>
      </c>
      <c r="F5701" s="1">
        <v>45077</v>
      </c>
      <c r="G5701" t="str">
        <f>"81357"</f>
        <v>81357</v>
      </c>
      <c r="H5701">
        <v>1</v>
      </c>
      <c r="I5701">
        <v>20</v>
      </c>
      <c r="J5701">
        <v>0</v>
      </c>
      <c r="K5701" t="str">
        <f t="shared" si="1041"/>
        <v>801</v>
      </c>
      <c r="L5701">
        <v>16.8</v>
      </c>
    </row>
    <row r="5702" spans="1:12" x14ac:dyDescent="0.25">
      <c r="A5702" t="str">
        <f t="shared" si="1037"/>
        <v>89301000</v>
      </c>
      <c r="B5702" t="str">
        <f t="shared" si="1038"/>
        <v>93501000</v>
      </c>
      <c r="C5702" t="str">
        <f t="shared" si="1039"/>
        <v>93501001</v>
      </c>
      <c r="D5702">
        <v>89301167</v>
      </c>
      <c r="E5702" t="str">
        <f t="shared" si="1040"/>
        <v>470127462</v>
      </c>
      <c r="F5702" s="1">
        <v>45077</v>
      </c>
      <c r="G5702" t="str">
        <f>"81361"</f>
        <v>81361</v>
      </c>
      <c r="H5702">
        <v>1</v>
      </c>
      <c r="I5702">
        <v>17</v>
      </c>
      <c r="J5702">
        <v>0</v>
      </c>
      <c r="K5702" t="str">
        <f t="shared" si="1041"/>
        <v>801</v>
      </c>
      <c r="L5702">
        <v>14.28</v>
      </c>
    </row>
    <row r="5703" spans="1:12" x14ac:dyDescent="0.25">
      <c r="A5703" t="str">
        <f t="shared" si="1037"/>
        <v>89301000</v>
      </c>
      <c r="B5703" t="str">
        <f t="shared" si="1038"/>
        <v>93501000</v>
      </c>
      <c r="C5703" t="str">
        <f t="shared" si="1039"/>
        <v>93501001</v>
      </c>
      <c r="D5703">
        <v>89301167</v>
      </c>
      <c r="E5703" t="str">
        <f t="shared" si="1040"/>
        <v>470127462</v>
      </c>
      <c r="F5703" s="1">
        <v>45077</v>
      </c>
      <c r="G5703" t="str">
        <f>"81365"</f>
        <v>81365</v>
      </c>
      <c r="H5703">
        <v>1</v>
      </c>
      <c r="I5703">
        <v>16</v>
      </c>
      <c r="J5703">
        <v>0</v>
      </c>
      <c r="K5703" t="str">
        <f t="shared" si="1041"/>
        <v>801</v>
      </c>
      <c r="L5703">
        <v>13.44</v>
      </c>
    </row>
    <row r="5704" spans="1:12" x14ac:dyDescent="0.25">
      <c r="A5704" t="str">
        <f t="shared" si="1037"/>
        <v>89301000</v>
      </c>
      <c r="B5704" t="str">
        <f t="shared" si="1038"/>
        <v>93501000</v>
      </c>
      <c r="C5704" t="str">
        <f t="shared" si="1039"/>
        <v>93501001</v>
      </c>
      <c r="D5704">
        <v>89301167</v>
      </c>
      <c r="E5704" t="str">
        <f t="shared" si="1040"/>
        <v>470127462</v>
      </c>
      <c r="F5704" s="1">
        <v>45077</v>
      </c>
      <c r="G5704" t="str">
        <f>"81383"</f>
        <v>81383</v>
      </c>
      <c r="H5704">
        <v>1</v>
      </c>
      <c r="I5704">
        <v>24</v>
      </c>
      <c r="J5704">
        <v>0</v>
      </c>
      <c r="K5704" t="str">
        <f t="shared" si="1041"/>
        <v>801</v>
      </c>
      <c r="L5704">
        <v>20.16</v>
      </c>
    </row>
    <row r="5705" spans="1:12" x14ac:dyDescent="0.25">
      <c r="A5705" t="str">
        <f t="shared" si="1037"/>
        <v>89301000</v>
      </c>
      <c r="B5705" t="str">
        <f t="shared" si="1038"/>
        <v>93501000</v>
      </c>
      <c r="C5705" t="str">
        <f t="shared" si="1039"/>
        <v>93501001</v>
      </c>
      <c r="D5705">
        <v>89301167</v>
      </c>
      <c r="E5705" t="str">
        <f t="shared" si="1040"/>
        <v>470127462</v>
      </c>
      <c r="F5705" s="1">
        <v>45077</v>
      </c>
      <c r="G5705" t="str">
        <f>"81393"</f>
        <v>81393</v>
      </c>
      <c r="H5705">
        <v>1</v>
      </c>
      <c r="I5705">
        <v>24</v>
      </c>
      <c r="J5705">
        <v>0</v>
      </c>
      <c r="K5705" t="str">
        <f t="shared" si="1041"/>
        <v>801</v>
      </c>
      <c r="L5705">
        <v>20.16</v>
      </c>
    </row>
    <row r="5706" spans="1:12" x14ac:dyDescent="0.25">
      <c r="A5706" t="str">
        <f t="shared" si="1037"/>
        <v>89301000</v>
      </c>
      <c r="B5706" t="str">
        <f t="shared" si="1038"/>
        <v>93501000</v>
      </c>
      <c r="C5706" t="str">
        <f t="shared" si="1039"/>
        <v>93501001</v>
      </c>
      <c r="D5706">
        <v>89301167</v>
      </c>
      <c r="E5706" t="str">
        <f t="shared" si="1040"/>
        <v>470127462</v>
      </c>
      <c r="F5706" s="1">
        <v>45077</v>
      </c>
      <c r="G5706" t="str">
        <f>"81421"</f>
        <v>81421</v>
      </c>
      <c r="H5706">
        <v>1</v>
      </c>
      <c r="I5706">
        <v>19</v>
      </c>
      <c r="J5706">
        <v>0</v>
      </c>
      <c r="K5706" t="str">
        <f t="shared" si="1041"/>
        <v>801</v>
      </c>
      <c r="L5706">
        <v>15.96</v>
      </c>
    </row>
    <row r="5707" spans="1:12" x14ac:dyDescent="0.25">
      <c r="A5707" t="str">
        <f t="shared" si="1037"/>
        <v>89301000</v>
      </c>
      <c r="B5707" t="str">
        <f t="shared" si="1038"/>
        <v>93501000</v>
      </c>
      <c r="C5707" t="str">
        <f t="shared" si="1039"/>
        <v>93501001</v>
      </c>
      <c r="D5707">
        <v>89301167</v>
      </c>
      <c r="E5707" t="str">
        <f t="shared" si="1040"/>
        <v>470127462</v>
      </c>
      <c r="F5707" s="1">
        <v>45077</v>
      </c>
      <c r="G5707" t="str">
        <f>"81435"</f>
        <v>81435</v>
      </c>
      <c r="H5707">
        <v>1</v>
      </c>
      <c r="I5707">
        <v>22</v>
      </c>
      <c r="J5707">
        <v>0</v>
      </c>
      <c r="K5707" t="str">
        <f t="shared" si="1041"/>
        <v>801</v>
      </c>
      <c r="L5707">
        <v>18.48</v>
      </c>
    </row>
    <row r="5708" spans="1:12" x14ac:dyDescent="0.25">
      <c r="A5708" t="str">
        <f t="shared" si="1037"/>
        <v>89301000</v>
      </c>
      <c r="B5708" t="str">
        <f t="shared" si="1038"/>
        <v>93501000</v>
      </c>
      <c r="C5708" t="str">
        <f t="shared" si="1039"/>
        <v>93501001</v>
      </c>
      <c r="D5708">
        <v>89301167</v>
      </c>
      <c r="E5708" t="str">
        <f t="shared" si="1040"/>
        <v>470127462</v>
      </c>
      <c r="F5708" s="1">
        <v>45077</v>
      </c>
      <c r="G5708" t="str">
        <f>"81439"</f>
        <v>81439</v>
      </c>
      <c r="H5708">
        <v>1</v>
      </c>
      <c r="I5708">
        <v>16</v>
      </c>
      <c r="J5708">
        <v>0</v>
      </c>
      <c r="K5708" t="str">
        <f t="shared" si="1041"/>
        <v>801</v>
      </c>
      <c r="L5708">
        <v>13.44</v>
      </c>
    </row>
    <row r="5709" spans="1:12" x14ac:dyDescent="0.25">
      <c r="A5709" t="str">
        <f t="shared" si="1037"/>
        <v>89301000</v>
      </c>
      <c r="B5709" t="str">
        <f t="shared" si="1038"/>
        <v>93501000</v>
      </c>
      <c r="C5709" t="str">
        <f t="shared" si="1039"/>
        <v>93501001</v>
      </c>
      <c r="D5709">
        <v>89301167</v>
      </c>
      <c r="E5709" t="str">
        <f t="shared" si="1040"/>
        <v>470127462</v>
      </c>
      <c r="F5709" s="1">
        <v>45077</v>
      </c>
      <c r="G5709" t="str">
        <f>"81469"</f>
        <v>81469</v>
      </c>
      <c r="H5709">
        <v>1</v>
      </c>
      <c r="I5709">
        <v>16</v>
      </c>
      <c r="J5709">
        <v>0</v>
      </c>
      <c r="K5709" t="str">
        <f t="shared" si="1041"/>
        <v>801</v>
      </c>
      <c r="L5709">
        <v>13.44</v>
      </c>
    </row>
    <row r="5710" spans="1:12" x14ac:dyDescent="0.25">
      <c r="A5710" t="str">
        <f t="shared" si="1037"/>
        <v>89301000</v>
      </c>
      <c r="B5710" t="str">
        <f t="shared" si="1038"/>
        <v>93501000</v>
      </c>
      <c r="C5710" t="str">
        <f t="shared" si="1039"/>
        <v>93501001</v>
      </c>
      <c r="D5710">
        <v>89301167</v>
      </c>
      <c r="E5710" t="str">
        <f t="shared" si="1040"/>
        <v>470127462</v>
      </c>
      <c r="F5710" s="1">
        <v>45077</v>
      </c>
      <c r="G5710" t="str">
        <f>"81499"</f>
        <v>81499</v>
      </c>
      <c r="H5710">
        <v>1</v>
      </c>
      <c r="I5710">
        <v>18</v>
      </c>
      <c r="J5710">
        <v>0</v>
      </c>
      <c r="K5710" t="str">
        <f t="shared" si="1041"/>
        <v>801</v>
      </c>
      <c r="L5710">
        <v>15.12</v>
      </c>
    </row>
    <row r="5711" spans="1:12" x14ac:dyDescent="0.25">
      <c r="A5711" t="str">
        <f t="shared" si="1037"/>
        <v>89301000</v>
      </c>
      <c r="B5711" t="str">
        <f t="shared" si="1038"/>
        <v>93501000</v>
      </c>
      <c r="C5711" t="str">
        <f t="shared" si="1039"/>
        <v>93501001</v>
      </c>
      <c r="D5711">
        <v>89301167</v>
      </c>
      <c r="E5711" t="str">
        <f t="shared" si="1040"/>
        <v>470127462</v>
      </c>
      <c r="F5711" s="1">
        <v>45077</v>
      </c>
      <c r="G5711" t="str">
        <f>"81523"</f>
        <v>81523</v>
      </c>
      <c r="H5711">
        <v>1</v>
      </c>
      <c r="I5711">
        <v>23</v>
      </c>
      <c r="J5711">
        <v>0</v>
      </c>
      <c r="K5711" t="str">
        <f t="shared" si="1041"/>
        <v>801</v>
      </c>
      <c r="L5711">
        <v>19.32</v>
      </c>
    </row>
    <row r="5712" spans="1:12" x14ac:dyDescent="0.25">
      <c r="A5712" t="str">
        <f t="shared" si="1037"/>
        <v>89301000</v>
      </c>
      <c r="B5712" t="str">
        <f t="shared" si="1038"/>
        <v>93501000</v>
      </c>
      <c r="C5712" t="str">
        <f t="shared" si="1039"/>
        <v>93501001</v>
      </c>
      <c r="D5712">
        <v>89301167</v>
      </c>
      <c r="E5712" t="str">
        <f t="shared" si="1040"/>
        <v>470127462</v>
      </c>
      <c r="F5712" s="1">
        <v>45077</v>
      </c>
      <c r="G5712" t="str">
        <f>"81593"</f>
        <v>81593</v>
      </c>
      <c r="H5712">
        <v>1</v>
      </c>
      <c r="I5712">
        <v>22</v>
      </c>
      <c r="J5712">
        <v>0</v>
      </c>
      <c r="K5712" t="str">
        <f t="shared" si="1041"/>
        <v>801</v>
      </c>
      <c r="L5712">
        <v>18.48</v>
      </c>
    </row>
    <row r="5713" spans="1:12" x14ac:dyDescent="0.25">
      <c r="A5713" t="str">
        <f t="shared" si="1037"/>
        <v>89301000</v>
      </c>
      <c r="B5713" t="str">
        <f t="shared" si="1038"/>
        <v>93501000</v>
      </c>
      <c r="C5713" t="str">
        <f t="shared" si="1039"/>
        <v>93501001</v>
      </c>
      <c r="D5713">
        <v>89301167</v>
      </c>
      <c r="E5713" t="str">
        <f t="shared" si="1040"/>
        <v>470127462</v>
      </c>
      <c r="F5713" s="1">
        <v>45077</v>
      </c>
      <c r="G5713" t="str">
        <f>"81621"</f>
        <v>81621</v>
      </c>
      <c r="H5713">
        <v>1</v>
      </c>
      <c r="I5713">
        <v>19</v>
      </c>
      <c r="J5713">
        <v>0</v>
      </c>
      <c r="K5713" t="str">
        <f t="shared" si="1041"/>
        <v>801</v>
      </c>
      <c r="L5713">
        <v>15.96</v>
      </c>
    </row>
    <row r="5714" spans="1:12" x14ac:dyDescent="0.25">
      <c r="A5714" t="str">
        <f t="shared" si="1037"/>
        <v>89301000</v>
      </c>
      <c r="B5714" t="str">
        <f t="shared" si="1038"/>
        <v>93501000</v>
      </c>
      <c r="C5714" t="str">
        <f t="shared" si="1039"/>
        <v>93501001</v>
      </c>
      <c r="D5714">
        <v>89301167</v>
      </c>
      <c r="E5714" t="str">
        <f t="shared" si="1040"/>
        <v>470127462</v>
      </c>
      <c r="F5714" s="1">
        <v>45077</v>
      </c>
      <c r="G5714" t="str">
        <f>"81625"</f>
        <v>81625</v>
      </c>
      <c r="H5714">
        <v>1</v>
      </c>
      <c r="I5714">
        <v>21</v>
      </c>
      <c r="J5714">
        <v>0</v>
      </c>
      <c r="K5714" t="str">
        <f t="shared" si="1041"/>
        <v>801</v>
      </c>
      <c r="L5714">
        <v>17.64</v>
      </c>
    </row>
    <row r="5715" spans="1:12" x14ac:dyDescent="0.25">
      <c r="A5715" t="str">
        <f t="shared" si="1037"/>
        <v>89301000</v>
      </c>
      <c r="B5715" t="str">
        <f t="shared" si="1038"/>
        <v>93501000</v>
      </c>
      <c r="C5715" t="str">
        <f t="shared" si="1039"/>
        <v>93501001</v>
      </c>
      <c r="D5715">
        <v>89301167</v>
      </c>
      <c r="E5715" t="str">
        <f t="shared" si="1040"/>
        <v>470127462</v>
      </c>
      <c r="F5715" s="1">
        <v>45077</v>
      </c>
      <c r="G5715" t="str">
        <f>"91153"</f>
        <v>91153</v>
      </c>
      <c r="H5715">
        <v>1</v>
      </c>
      <c r="I5715">
        <v>153</v>
      </c>
      <c r="J5715">
        <v>0</v>
      </c>
      <c r="K5715" t="str">
        <f t="shared" si="1041"/>
        <v>801</v>
      </c>
      <c r="L5715">
        <v>128.52000000000001</v>
      </c>
    </row>
    <row r="5716" spans="1:12" x14ac:dyDescent="0.25">
      <c r="A5716" t="str">
        <f t="shared" si="1037"/>
        <v>89301000</v>
      </c>
      <c r="B5716" t="str">
        <f t="shared" si="1038"/>
        <v>93501000</v>
      </c>
      <c r="C5716" t="str">
        <f t="shared" si="1039"/>
        <v>93501001</v>
      </c>
      <c r="D5716">
        <v>89301167</v>
      </c>
      <c r="E5716" t="str">
        <f t="shared" si="1040"/>
        <v>470127462</v>
      </c>
      <c r="F5716" s="1">
        <v>45077</v>
      </c>
      <c r="G5716" t="str">
        <f>"97111"</f>
        <v>97111</v>
      </c>
      <c r="H5716">
        <v>1</v>
      </c>
      <c r="I5716">
        <v>19</v>
      </c>
      <c r="J5716">
        <v>0</v>
      </c>
      <c r="K5716" t="str">
        <f t="shared" si="1041"/>
        <v>801</v>
      </c>
      <c r="L5716">
        <v>23.94</v>
      </c>
    </row>
    <row r="5717" spans="1:12" x14ac:dyDescent="0.25">
      <c r="A5717" t="str">
        <f t="shared" si="1037"/>
        <v>89301000</v>
      </c>
      <c r="B5717" t="str">
        <f t="shared" si="1038"/>
        <v>93501000</v>
      </c>
      <c r="C5717" t="str">
        <f t="shared" si="1039"/>
        <v>93501001</v>
      </c>
      <c r="D5717">
        <v>89301167</v>
      </c>
      <c r="E5717" t="str">
        <f t="shared" si="1040"/>
        <v>470127462</v>
      </c>
      <c r="F5717" s="1">
        <v>45056</v>
      </c>
      <c r="G5717" t="str">
        <f>"09119"</f>
        <v>09119</v>
      </c>
      <c r="H5717">
        <v>1</v>
      </c>
      <c r="I5717">
        <v>43</v>
      </c>
      <c r="J5717">
        <v>0</v>
      </c>
      <c r="K5717" t="str">
        <f t="shared" si="1041"/>
        <v>801</v>
      </c>
      <c r="L5717">
        <v>54.18</v>
      </c>
    </row>
    <row r="5718" spans="1:12" x14ac:dyDescent="0.25">
      <c r="A5718" t="str">
        <f t="shared" si="1037"/>
        <v>89301000</v>
      </c>
      <c r="B5718" t="str">
        <f t="shared" si="1038"/>
        <v>93501000</v>
      </c>
      <c r="C5718" t="str">
        <f t="shared" si="1039"/>
        <v>93501001</v>
      </c>
      <c r="D5718">
        <v>89301167</v>
      </c>
      <c r="E5718" t="str">
        <f t="shared" si="1040"/>
        <v>470127462</v>
      </c>
      <c r="F5718" s="1">
        <v>45056</v>
      </c>
      <c r="G5718" t="str">
        <f>"91153"</f>
        <v>91153</v>
      </c>
      <c r="H5718">
        <v>1</v>
      </c>
      <c r="I5718">
        <v>153</v>
      </c>
      <c r="J5718">
        <v>0</v>
      </c>
      <c r="K5718" t="str">
        <f t="shared" si="1041"/>
        <v>801</v>
      </c>
      <c r="L5718">
        <v>128.52000000000001</v>
      </c>
    </row>
    <row r="5719" spans="1:12" x14ac:dyDescent="0.25">
      <c r="A5719" t="str">
        <f t="shared" si="1037"/>
        <v>89301000</v>
      </c>
      <c r="B5719" t="str">
        <f t="shared" si="1038"/>
        <v>93501000</v>
      </c>
      <c r="C5719" t="str">
        <f t="shared" si="1039"/>
        <v>93501001</v>
      </c>
      <c r="D5719">
        <v>89301167</v>
      </c>
      <c r="E5719" t="str">
        <f t="shared" si="1040"/>
        <v>470127462</v>
      </c>
      <c r="F5719" s="1">
        <v>45056</v>
      </c>
      <c r="G5719" t="str">
        <f>"97111"</f>
        <v>97111</v>
      </c>
      <c r="H5719">
        <v>1</v>
      </c>
      <c r="I5719">
        <v>19</v>
      </c>
      <c r="J5719">
        <v>0</v>
      </c>
      <c r="K5719" t="str">
        <f t="shared" si="1041"/>
        <v>801</v>
      </c>
      <c r="L5719">
        <v>23.94</v>
      </c>
    </row>
    <row r="5720" spans="1:12" x14ac:dyDescent="0.25">
      <c r="A5720" t="str">
        <f t="shared" si="1037"/>
        <v>89301000</v>
      </c>
      <c r="B5720" t="str">
        <f t="shared" si="1038"/>
        <v>93501000</v>
      </c>
      <c r="C5720" t="str">
        <f t="shared" si="1039"/>
        <v>93501001</v>
      </c>
      <c r="D5720">
        <v>89301167</v>
      </c>
      <c r="E5720" t="str">
        <f t="shared" si="1040"/>
        <v>470127462</v>
      </c>
      <c r="F5720" s="1">
        <v>45048</v>
      </c>
      <c r="G5720" t="str">
        <f>"09119"</f>
        <v>09119</v>
      </c>
      <c r="H5720">
        <v>1</v>
      </c>
      <c r="I5720">
        <v>43</v>
      </c>
      <c r="J5720">
        <v>0</v>
      </c>
      <c r="K5720" t="str">
        <f t="shared" si="1041"/>
        <v>801</v>
      </c>
      <c r="L5720">
        <v>54.18</v>
      </c>
    </row>
    <row r="5721" spans="1:12" x14ac:dyDescent="0.25">
      <c r="A5721" t="str">
        <f t="shared" si="1037"/>
        <v>89301000</v>
      </c>
      <c r="B5721" t="str">
        <f t="shared" si="1038"/>
        <v>93501000</v>
      </c>
      <c r="C5721" t="str">
        <f t="shared" si="1039"/>
        <v>93501001</v>
      </c>
      <c r="D5721">
        <v>89301167</v>
      </c>
      <c r="E5721" t="str">
        <f t="shared" si="1040"/>
        <v>470127462</v>
      </c>
      <c r="F5721" s="1">
        <v>45048</v>
      </c>
      <c r="G5721" t="str">
        <f>"81329"</f>
        <v>81329</v>
      </c>
      <c r="H5721">
        <v>1</v>
      </c>
      <c r="I5721">
        <v>17</v>
      </c>
      <c r="J5721">
        <v>0</v>
      </c>
      <c r="K5721" t="str">
        <f t="shared" si="1041"/>
        <v>801</v>
      </c>
      <c r="L5721">
        <v>14.28</v>
      </c>
    </row>
    <row r="5722" spans="1:12" x14ac:dyDescent="0.25">
      <c r="A5722" t="str">
        <f t="shared" si="1037"/>
        <v>89301000</v>
      </c>
      <c r="B5722" t="str">
        <f t="shared" si="1038"/>
        <v>93501000</v>
      </c>
      <c r="C5722" t="str">
        <f t="shared" si="1039"/>
        <v>93501001</v>
      </c>
      <c r="D5722">
        <v>89301167</v>
      </c>
      <c r="E5722" t="str">
        <f t="shared" si="1040"/>
        <v>470127462</v>
      </c>
      <c r="F5722" s="1">
        <v>45048</v>
      </c>
      <c r="G5722" t="str">
        <f>"81337"</f>
        <v>81337</v>
      </c>
      <c r="H5722">
        <v>1</v>
      </c>
      <c r="I5722">
        <v>20</v>
      </c>
      <c r="J5722">
        <v>0</v>
      </c>
      <c r="K5722" t="str">
        <f t="shared" si="1041"/>
        <v>801</v>
      </c>
      <c r="L5722">
        <v>16.8</v>
      </c>
    </row>
    <row r="5723" spans="1:12" x14ac:dyDescent="0.25">
      <c r="A5723" t="str">
        <f t="shared" si="1037"/>
        <v>89301000</v>
      </c>
      <c r="B5723" t="str">
        <f t="shared" si="1038"/>
        <v>93501000</v>
      </c>
      <c r="C5723" t="str">
        <f t="shared" si="1039"/>
        <v>93501001</v>
      </c>
      <c r="D5723">
        <v>89301167</v>
      </c>
      <c r="E5723" t="str">
        <f t="shared" si="1040"/>
        <v>470127462</v>
      </c>
      <c r="F5723" s="1">
        <v>45048</v>
      </c>
      <c r="G5723" t="str">
        <f>"81357"</f>
        <v>81357</v>
      </c>
      <c r="H5723">
        <v>1</v>
      </c>
      <c r="I5723">
        <v>20</v>
      </c>
      <c r="J5723">
        <v>0</v>
      </c>
      <c r="K5723" t="str">
        <f t="shared" si="1041"/>
        <v>801</v>
      </c>
      <c r="L5723">
        <v>16.8</v>
      </c>
    </row>
    <row r="5724" spans="1:12" x14ac:dyDescent="0.25">
      <c r="A5724" t="str">
        <f t="shared" si="1037"/>
        <v>89301000</v>
      </c>
      <c r="B5724" t="str">
        <f t="shared" si="1038"/>
        <v>93501000</v>
      </c>
      <c r="C5724" t="str">
        <f t="shared" si="1039"/>
        <v>93501001</v>
      </c>
      <c r="D5724">
        <v>89301167</v>
      </c>
      <c r="E5724" t="str">
        <f t="shared" si="1040"/>
        <v>470127462</v>
      </c>
      <c r="F5724" s="1">
        <v>45048</v>
      </c>
      <c r="G5724" t="str">
        <f>"81361"</f>
        <v>81361</v>
      </c>
      <c r="H5724">
        <v>1</v>
      </c>
      <c r="I5724">
        <v>17</v>
      </c>
      <c r="J5724">
        <v>0</v>
      </c>
      <c r="K5724" t="str">
        <f t="shared" si="1041"/>
        <v>801</v>
      </c>
      <c r="L5724">
        <v>14.28</v>
      </c>
    </row>
    <row r="5725" spans="1:12" x14ac:dyDescent="0.25">
      <c r="A5725" t="str">
        <f t="shared" si="1037"/>
        <v>89301000</v>
      </c>
      <c r="B5725" t="str">
        <f t="shared" si="1038"/>
        <v>93501000</v>
      </c>
      <c r="C5725" t="str">
        <f t="shared" si="1039"/>
        <v>93501001</v>
      </c>
      <c r="D5725">
        <v>89301167</v>
      </c>
      <c r="E5725" t="str">
        <f t="shared" si="1040"/>
        <v>470127462</v>
      </c>
      <c r="F5725" s="1">
        <v>45048</v>
      </c>
      <c r="G5725" t="str">
        <f>"81365"</f>
        <v>81365</v>
      </c>
      <c r="H5725">
        <v>1</v>
      </c>
      <c r="I5725">
        <v>16</v>
      </c>
      <c r="J5725">
        <v>0</v>
      </c>
      <c r="K5725" t="str">
        <f t="shared" si="1041"/>
        <v>801</v>
      </c>
      <c r="L5725">
        <v>13.44</v>
      </c>
    </row>
    <row r="5726" spans="1:12" x14ac:dyDescent="0.25">
      <c r="A5726" t="str">
        <f t="shared" si="1037"/>
        <v>89301000</v>
      </c>
      <c r="B5726" t="str">
        <f t="shared" si="1038"/>
        <v>93501000</v>
      </c>
      <c r="C5726" t="str">
        <f t="shared" si="1039"/>
        <v>93501001</v>
      </c>
      <c r="D5726">
        <v>89301167</v>
      </c>
      <c r="E5726" t="str">
        <f t="shared" si="1040"/>
        <v>470127462</v>
      </c>
      <c r="F5726" s="1">
        <v>45048</v>
      </c>
      <c r="G5726" t="str">
        <f>"81383"</f>
        <v>81383</v>
      </c>
      <c r="H5726">
        <v>1</v>
      </c>
      <c r="I5726">
        <v>24</v>
      </c>
      <c r="J5726">
        <v>0</v>
      </c>
      <c r="K5726" t="str">
        <f t="shared" si="1041"/>
        <v>801</v>
      </c>
      <c r="L5726">
        <v>20.16</v>
      </c>
    </row>
    <row r="5727" spans="1:12" x14ac:dyDescent="0.25">
      <c r="A5727" t="str">
        <f t="shared" si="1037"/>
        <v>89301000</v>
      </c>
      <c r="B5727" t="str">
        <f t="shared" si="1038"/>
        <v>93501000</v>
      </c>
      <c r="C5727" t="str">
        <f t="shared" si="1039"/>
        <v>93501001</v>
      </c>
      <c r="D5727">
        <v>89301167</v>
      </c>
      <c r="E5727" t="str">
        <f t="shared" si="1040"/>
        <v>470127462</v>
      </c>
      <c r="F5727" s="1">
        <v>45048</v>
      </c>
      <c r="G5727" t="str">
        <f>"81393"</f>
        <v>81393</v>
      </c>
      <c r="H5727">
        <v>1</v>
      </c>
      <c r="I5727">
        <v>24</v>
      </c>
      <c r="J5727">
        <v>0</v>
      </c>
      <c r="K5727" t="str">
        <f t="shared" si="1041"/>
        <v>801</v>
      </c>
      <c r="L5727">
        <v>20.16</v>
      </c>
    </row>
    <row r="5728" spans="1:12" x14ac:dyDescent="0.25">
      <c r="A5728" t="str">
        <f t="shared" si="1037"/>
        <v>89301000</v>
      </c>
      <c r="B5728" t="str">
        <f t="shared" si="1038"/>
        <v>93501000</v>
      </c>
      <c r="C5728" t="str">
        <f t="shared" si="1039"/>
        <v>93501001</v>
      </c>
      <c r="D5728">
        <v>89301167</v>
      </c>
      <c r="E5728" t="str">
        <f t="shared" si="1040"/>
        <v>470127462</v>
      </c>
      <c r="F5728" s="1">
        <v>45048</v>
      </c>
      <c r="G5728" t="str">
        <f>"81421"</f>
        <v>81421</v>
      </c>
      <c r="H5728">
        <v>1</v>
      </c>
      <c r="I5728">
        <v>19</v>
      </c>
      <c r="J5728">
        <v>0</v>
      </c>
      <c r="K5728" t="str">
        <f t="shared" si="1041"/>
        <v>801</v>
      </c>
      <c r="L5728">
        <v>15.96</v>
      </c>
    </row>
    <row r="5729" spans="1:12" x14ac:dyDescent="0.25">
      <c r="A5729" t="str">
        <f t="shared" si="1037"/>
        <v>89301000</v>
      </c>
      <c r="B5729" t="str">
        <f t="shared" si="1038"/>
        <v>93501000</v>
      </c>
      <c r="C5729" t="str">
        <f t="shared" si="1039"/>
        <v>93501001</v>
      </c>
      <c r="D5729">
        <v>89301167</v>
      </c>
      <c r="E5729" t="str">
        <f t="shared" si="1040"/>
        <v>470127462</v>
      </c>
      <c r="F5729" s="1">
        <v>45048</v>
      </c>
      <c r="G5729" t="str">
        <f>"81435"</f>
        <v>81435</v>
      </c>
      <c r="H5729">
        <v>1</v>
      </c>
      <c r="I5729">
        <v>22</v>
      </c>
      <c r="J5729">
        <v>0</v>
      </c>
      <c r="K5729" t="str">
        <f t="shared" si="1041"/>
        <v>801</v>
      </c>
      <c r="L5729">
        <v>18.48</v>
      </c>
    </row>
    <row r="5730" spans="1:12" x14ac:dyDescent="0.25">
      <c r="A5730" t="str">
        <f t="shared" si="1037"/>
        <v>89301000</v>
      </c>
      <c r="B5730" t="str">
        <f t="shared" si="1038"/>
        <v>93501000</v>
      </c>
      <c r="C5730" t="str">
        <f t="shared" si="1039"/>
        <v>93501001</v>
      </c>
      <c r="D5730">
        <v>89301167</v>
      </c>
      <c r="E5730" t="str">
        <f t="shared" si="1040"/>
        <v>470127462</v>
      </c>
      <c r="F5730" s="1">
        <v>45048</v>
      </c>
      <c r="G5730" t="str">
        <f>"81439"</f>
        <v>81439</v>
      </c>
      <c r="H5730">
        <v>1</v>
      </c>
      <c r="I5730">
        <v>16</v>
      </c>
      <c r="J5730">
        <v>0</v>
      </c>
      <c r="K5730" t="str">
        <f t="shared" si="1041"/>
        <v>801</v>
      </c>
      <c r="L5730">
        <v>13.44</v>
      </c>
    </row>
    <row r="5731" spans="1:12" x14ac:dyDescent="0.25">
      <c r="A5731" t="str">
        <f t="shared" si="1037"/>
        <v>89301000</v>
      </c>
      <c r="B5731" t="str">
        <f t="shared" si="1038"/>
        <v>93501000</v>
      </c>
      <c r="C5731" t="str">
        <f t="shared" si="1039"/>
        <v>93501001</v>
      </c>
      <c r="D5731">
        <v>89301167</v>
      </c>
      <c r="E5731" t="str">
        <f t="shared" si="1040"/>
        <v>470127462</v>
      </c>
      <c r="F5731" s="1">
        <v>45048</v>
      </c>
      <c r="G5731" t="str">
        <f>"81469"</f>
        <v>81469</v>
      </c>
      <c r="H5731">
        <v>1</v>
      </c>
      <c r="I5731">
        <v>16</v>
      </c>
      <c r="J5731">
        <v>0</v>
      </c>
      <c r="K5731" t="str">
        <f t="shared" si="1041"/>
        <v>801</v>
      </c>
      <c r="L5731">
        <v>13.44</v>
      </c>
    </row>
    <row r="5732" spans="1:12" x14ac:dyDescent="0.25">
      <c r="A5732" t="str">
        <f t="shared" si="1037"/>
        <v>89301000</v>
      </c>
      <c r="B5732" t="str">
        <f t="shared" si="1038"/>
        <v>93501000</v>
      </c>
      <c r="C5732" t="str">
        <f t="shared" si="1039"/>
        <v>93501001</v>
      </c>
      <c r="D5732">
        <v>89301167</v>
      </c>
      <c r="E5732" t="str">
        <f t="shared" si="1040"/>
        <v>470127462</v>
      </c>
      <c r="F5732" s="1">
        <v>45048</v>
      </c>
      <c r="G5732" t="str">
        <f>"81499"</f>
        <v>81499</v>
      </c>
      <c r="H5732">
        <v>1</v>
      </c>
      <c r="I5732">
        <v>18</v>
      </c>
      <c r="J5732">
        <v>0</v>
      </c>
      <c r="K5732" t="str">
        <f t="shared" si="1041"/>
        <v>801</v>
      </c>
      <c r="L5732">
        <v>15.12</v>
      </c>
    </row>
    <row r="5733" spans="1:12" x14ac:dyDescent="0.25">
      <c r="A5733" t="str">
        <f t="shared" si="1037"/>
        <v>89301000</v>
      </c>
      <c r="B5733" t="str">
        <f t="shared" si="1038"/>
        <v>93501000</v>
      </c>
      <c r="C5733" t="str">
        <f t="shared" si="1039"/>
        <v>93501001</v>
      </c>
      <c r="D5733">
        <v>89301167</v>
      </c>
      <c r="E5733" t="str">
        <f t="shared" si="1040"/>
        <v>470127462</v>
      </c>
      <c r="F5733" s="1">
        <v>45048</v>
      </c>
      <c r="G5733" t="str">
        <f>"81523"</f>
        <v>81523</v>
      </c>
      <c r="H5733">
        <v>1</v>
      </c>
      <c r="I5733">
        <v>23</v>
      </c>
      <c r="J5733">
        <v>0</v>
      </c>
      <c r="K5733" t="str">
        <f t="shared" si="1041"/>
        <v>801</v>
      </c>
      <c r="L5733">
        <v>19.32</v>
      </c>
    </row>
    <row r="5734" spans="1:12" x14ac:dyDescent="0.25">
      <c r="A5734" t="str">
        <f t="shared" si="1037"/>
        <v>89301000</v>
      </c>
      <c r="B5734" t="str">
        <f t="shared" si="1038"/>
        <v>93501000</v>
      </c>
      <c r="C5734" t="str">
        <f t="shared" si="1039"/>
        <v>93501001</v>
      </c>
      <c r="D5734">
        <v>89301167</v>
      </c>
      <c r="E5734" t="str">
        <f t="shared" si="1040"/>
        <v>470127462</v>
      </c>
      <c r="F5734" s="1">
        <v>45048</v>
      </c>
      <c r="G5734" t="str">
        <f>"81593"</f>
        <v>81593</v>
      </c>
      <c r="H5734">
        <v>1</v>
      </c>
      <c r="I5734">
        <v>22</v>
      </c>
      <c r="J5734">
        <v>0</v>
      </c>
      <c r="K5734" t="str">
        <f t="shared" si="1041"/>
        <v>801</v>
      </c>
      <c r="L5734">
        <v>18.48</v>
      </c>
    </row>
    <row r="5735" spans="1:12" x14ac:dyDescent="0.25">
      <c r="A5735" t="str">
        <f t="shared" si="1037"/>
        <v>89301000</v>
      </c>
      <c r="B5735" t="str">
        <f t="shared" si="1038"/>
        <v>93501000</v>
      </c>
      <c r="C5735" t="str">
        <f t="shared" si="1039"/>
        <v>93501001</v>
      </c>
      <c r="D5735">
        <v>89301167</v>
      </c>
      <c r="E5735" t="str">
        <f t="shared" si="1040"/>
        <v>470127462</v>
      </c>
      <c r="F5735" s="1">
        <v>45048</v>
      </c>
      <c r="G5735" t="str">
        <f>"81621"</f>
        <v>81621</v>
      </c>
      <c r="H5735">
        <v>1</v>
      </c>
      <c r="I5735">
        <v>19</v>
      </c>
      <c r="J5735">
        <v>0</v>
      </c>
      <c r="K5735" t="str">
        <f t="shared" si="1041"/>
        <v>801</v>
      </c>
      <c r="L5735">
        <v>15.96</v>
      </c>
    </row>
    <row r="5736" spans="1:12" x14ac:dyDescent="0.25">
      <c r="A5736" t="str">
        <f t="shared" si="1037"/>
        <v>89301000</v>
      </c>
      <c r="B5736" t="str">
        <f t="shared" si="1038"/>
        <v>93501000</v>
      </c>
      <c r="C5736" t="str">
        <f t="shared" si="1039"/>
        <v>93501001</v>
      </c>
      <c r="D5736">
        <v>89301167</v>
      </c>
      <c r="E5736" t="str">
        <f t="shared" si="1040"/>
        <v>470127462</v>
      </c>
      <c r="F5736" s="1">
        <v>45048</v>
      </c>
      <c r="G5736" t="str">
        <f>"81625"</f>
        <v>81625</v>
      </c>
      <c r="H5736">
        <v>1</v>
      </c>
      <c r="I5736">
        <v>21</v>
      </c>
      <c r="J5736">
        <v>0</v>
      </c>
      <c r="K5736" t="str">
        <f t="shared" si="1041"/>
        <v>801</v>
      </c>
      <c r="L5736">
        <v>17.64</v>
      </c>
    </row>
    <row r="5737" spans="1:12" x14ac:dyDescent="0.25">
      <c r="A5737" t="str">
        <f t="shared" si="1037"/>
        <v>89301000</v>
      </c>
      <c r="B5737" t="str">
        <f t="shared" si="1038"/>
        <v>93501000</v>
      </c>
      <c r="C5737" t="str">
        <f t="shared" si="1039"/>
        <v>93501001</v>
      </c>
      <c r="D5737">
        <v>89301167</v>
      </c>
      <c r="E5737" t="str">
        <f t="shared" si="1040"/>
        <v>470127462</v>
      </c>
      <c r="F5737" s="1">
        <v>45048</v>
      </c>
      <c r="G5737" t="str">
        <f>"91153"</f>
        <v>91153</v>
      </c>
      <c r="H5737">
        <v>1</v>
      </c>
      <c r="I5737">
        <v>153</v>
      </c>
      <c r="J5737">
        <v>0</v>
      </c>
      <c r="K5737" t="str">
        <f t="shared" si="1041"/>
        <v>801</v>
      </c>
      <c r="L5737">
        <v>128.52000000000001</v>
      </c>
    </row>
    <row r="5738" spans="1:12" x14ac:dyDescent="0.25">
      <c r="A5738" t="str">
        <f t="shared" si="1037"/>
        <v>89301000</v>
      </c>
      <c r="B5738" t="str">
        <f t="shared" si="1038"/>
        <v>93501000</v>
      </c>
      <c r="C5738" t="str">
        <f t="shared" si="1039"/>
        <v>93501001</v>
      </c>
      <c r="D5738">
        <v>89301167</v>
      </c>
      <c r="E5738" t="str">
        <f t="shared" si="1040"/>
        <v>470127462</v>
      </c>
      <c r="F5738" s="1">
        <v>45048</v>
      </c>
      <c r="G5738" t="str">
        <f>"97111"</f>
        <v>97111</v>
      </c>
      <c r="H5738">
        <v>1</v>
      </c>
      <c r="I5738">
        <v>19</v>
      </c>
      <c r="J5738">
        <v>0</v>
      </c>
      <c r="K5738" t="str">
        <f t="shared" si="1041"/>
        <v>801</v>
      </c>
      <c r="L5738">
        <v>23.94</v>
      </c>
    </row>
    <row r="5739" spans="1:12" x14ac:dyDescent="0.25">
      <c r="A5739" t="str">
        <f t="shared" si="1037"/>
        <v>89301000</v>
      </c>
      <c r="B5739" t="str">
        <f t="shared" si="1038"/>
        <v>93501000</v>
      </c>
      <c r="C5739" t="str">
        <f t="shared" si="1039"/>
        <v>93501001</v>
      </c>
      <c r="D5739">
        <v>89301082</v>
      </c>
      <c r="E5739" t="str">
        <f>"8855176209"</f>
        <v>8855176209</v>
      </c>
      <c r="F5739" s="1">
        <v>45050</v>
      </c>
      <c r="G5739" t="str">
        <f>"81393"</f>
        <v>81393</v>
      </c>
      <c r="H5739">
        <v>1</v>
      </c>
      <c r="I5739">
        <v>24</v>
      </c>
      <c r="J5739">
        <v>0</v>
      </c>
      <c r="K5739" t="str">
        <f t="shared" si="1041"/>
        <v>801</v>
      </c>
      <c r="L5739">
        <v>20.16</v>
      </c>
    </row>
    <row r="5740" spans="1:12" x14ac:dyDescent="0.25">
      <c r="A5740" t="str">
        <f t="shared" si="1037"/>
        <v>89301000</v>
      </c>
      <c r="B5740" t="str">
        <f t="shared" si="1038"/>
        <v>93501000</v>
      </c>
      <c r="C5740" t="str">
        <f t="shared" si="1039"/>
        <v>93501001</v>
      </c>
      <c r="D5740">
        <v>89301082</v>
      </c>
      <c r="E5740" t="str">
        <f>"8855176209"</f>
        <v>8855176209</v>
      </c>
      <c r="F5740" s="1">
        <v>45050</v>
      </c>
      <c r="G5740" t="str">
        <f>"81469"</f>
        <v>81469</v>
      </c>
      <c r="H5740">
        <v>1</v>
      </c>
      <c r="I5740">
        <v>16</v>
      </c>
      <c r="J5740">
        <v>0</v>
      </c>
      <c r="K5740" t="str">
        <f t="shared" si="1041"/>
        <v>801</v>
      </c>
      <c r="L5740">
        <v>13.44</v>
      </c>
    </row>
    <row r="5741" spans="1:12" x14ac:dyDescent="0.25">
      <c r="A5741" t="str">
        <f t="shared" si="1037"/>
        <v>89301000</v>
      </c>
      <c r="B5741" t="str">
        <f t="shared" si="1038"/>
        <v>93501000</v>
      </c>
      <c r="C5741" t="str">
        <f t="shared" si="1039"/>
        <v>93501001</v>
      </c>
      <c r="D5741">
        <v>89301082</v>
      </c>
      <c r="E5741" t="str">
        <f>"8855176209"</f>
        <v>8855176209</v>
      </c>
      <c r="F5741" s="1">
        <v>45050</v>
      </c>
      <c r="G5741" t="str">
        <f>"81593"</f>
        <v>81593</v>
      </c>
      <c r="H5741">
        <v>1</v>
      </c>
      <c r="I5741">
        <v>22</v>
      </c>
      <c r="J5741">
        <v>0</v>
      </c>
      <c r="K5741" t="str">
        <f t="shared" si="1041"/>
        <v>801</v>
      </c>
      <c r="L5741">
        <v>18.48</v>
      </c>
    </row>
    <row r="5742" spans="1:12" x14ac:dyDescent="0.25">
      <c r="A5742" t="str">
        <f t="shared" si="1037"/>
        <v>89301000</v>
      </c>
      <c r="B5742" t="str">
        <f t="shared" si="1038"/>
        <v>93501000</v>
      </c>
      <c r="C5742" t="str">
        <f t="shared" si="1039"/>
        <v>93501001</v>
      </c>
      <c r="D5742">
        <v>89301082</v>
      </c>
      <c r="E5742" t="str">
        <f>"8855176209"</f>
        <v>8855176209</v>
      </c>
      <c r="F5742" s="1">
        <v>45050</v>
      </c>
      <c r="G5742" t="str">
        <f>"97111"</f>
        <v>97111</v>
      </c>
      <c r="H5742">
        <v>1</v>
      </c>
      <c r="I5742">
        <v>19</v>
      </c>
      <c r="J5742">
        <v>0</v>
      </c>
      <c r="K5742" t="str">
        <f t="shared" si="1041"/>
        <v>801</v>
      </c>
      <c r="L5742">
        <v>23.94</v>
      </c>
    </row>
    <row r="5743" spans="1:12" x14ac:dyDescent="0.25">
      <c r="A5743" t="str">
        <f t="shared" si="1037"/>
        <v>89301000</v>
      </c>
      <c r="B5743" t="str">
        <f t="shared" si="1038"/>
        <v>93501000</v>
      </c>
      <c r="C5743" t="str">
        <f>"93501005"</f>
        <v>93501005</v>
      </c>
      <c r="D5743">
        <v>89301167</v>
      </c>
      <c r="E5743" t="str">
        <f>"470127462"</f>
        <v>470127462</v>
      </c>
      <c r="F5743" s="1">
        <v>45077</v>
      </c>
      <c r="G5743" t="str">
        <f>"96167"</f>
        <v>96167</v>
      </c>
      <c r="H5743">
        <v>1</v>
      </c>
      <c r="I5743">
        <v>67</v>
      </c>
      <c r="J5743">
        <v>0</v>
      </c>
      <c r="K5743" t="str">
        <f>"818"</f>
        <v>818</v>
      </c>
      <c r="L5743">
        <v>64.989999999999995</v>
      </c>
    </row>
    <row r="5744" spans="1:12" x14ac:dyDescent="0.25">
      <c r="A5744" t="str">
        <f t="shared" si="1037"/>
        <v>89301000</v>
      </c>
      <c r="B5744" t="str">
        <f t="shared" si="1038"/>
        <v>93501000</v>
      </c>
      <c r="C5744" t="str">
        <f>"93501005"</f>
        <v>93501005</v>
      </c>
      <c r="D5744">
        <v>89301167</v>
      </c>
      <c r="E5744" t="str">
        <f>"470127462"</f>
        <v>470127462</v>
      </c>
      <c r="F5744" s="1">
        <v>45056</v>
      </c>
      <c r="G5744" t="str">
        <f>"96167"</f>
        <v>96167</v>
      </c>
      <c r="H5744">
        <v>1</v>
      </c>
      <c r="I5744">
        <v>67</v>
      </c>
      <c r="J5744">
        <v>0</v>
      </c>
      <c r="K5744" t="str">
        <f>"818"</f>
        <v>818</v>
      </c>
      <c r="L5744">
        <v>64.989999999999995</v>
      </c>
    </row>
    <row r="5745" spans="1:12" x14ac:dyDescent="0.25">
      <c r="A5745" t="str">
        <f t="shared" si="1037"/>
        <v>89301000</v>
      </c>
      <c r="B5745" t="str">
        <f t="shared" si="1038"/>
        <v>93501000</v>
      </c>
      <c r="C5745" t="str">
        <f>"93501005"</f>
        <v>93501005</v>
      </c>
      <c r="D5745">
        <v>89301167</v>
      </c>
      <c r="E5745" t="str">
        <f>"470127462"</f>
        <v>470127462</v>
      </c>
      <c r="F5745" s="1">
        <v>45048</v>
      </c>
      <c r="G5745" t="str">
        <f>"96167"</f>
        <v>96167</v>
      </c>
      <c r="H5745">
        <v>1</v>
      </c>
      <c r="I5745">
        <v>67</v>
      </c>
      <c r="J5745">
        <v>0</v>
      </c>
      <c r="K5745" t="str">
        <f>"818"</f>
        <v>818</v>
      </c>
      <c r="L5745">
        <v>64.989999999999995</v>
      </c>
    </row>
    <row r="5746" spans="1:12" x14ac:dyDescent="0.25">
      <c r="A5746" t="str">
        <f t="shared" si="1037"/>
        <v>89301000</v>
      </c>
      <c r="B5746" t="str">
        <f t="shared" ref="B5746:B5777" si="1042">"72077000"</f>
        <v>72077000</v>
      </c>
      <c r="C5746" t="str">
        <f t="shared" ref="C5746:C5777" si="1043">"72077001"</f>
        <v>72077001</v>
      </c>
      <c r="D5746">
        <v>89301152</v>
      </c>
      <c r="E5746" t="str">
        <f>"9252266067"</f>
        <v>9252266067</v>
      </c>
      <c r="F5746" s="1">
        <v>45056</v>
      </c>
      <c r="G5746" t="str">
        <f>"91197"</f>
        <v>91197</v>
      </c>
      <c r="H5746">
        <v>1</v>
      </c>
      <c r="I5746">
        <v>1048</v>
      </c>
      <c r="J5746">
        <v>0</v>
      </c>
      <c r="K5746" t="str">
        <f t="shared" ref="K5746:K5777" si="1044">"813"</f>
        <v>813</v>
      </c>
      <c r="L5746">
        <v>880.32</v>
      </c>
    </row>
    <row r="5747" spans="1:12" x14ac:dyDescent="0.25">
      <c r="A5747" t="str">
        <f t="shared" si="1037"/>
        <v>89301000</v>
      </c>
      <c r="B5747" t="str">
        <f t="shared" si="1042"/>
        <v>72077000</v>
      </c>
      <c r="C5747" t="str">
        <f t="shared" si="1043"/>
        <v>72077001</v>
      </c>
      <c r="D5747">
        <v>89301152</v>
      </c>
      <c r="E5747" t="str">
        <f>"9252266067"</f>
        <v>9252266067</v>
      </c>
      <c r="F5747" s="1">
        <v>45057</v>
      </c>
      <c r="G5747" t="str">
        <f>"91465"</f>
        <v>91465</v>
      </c>
      <c r="H5747">
        <v>1</v>
      </c>
      <c r="I5747">
        <v>1412</v>
      </c>
      <c r="J5747">
        <v>0</v>
      </c>
      <c r="K5747" t="str">
        <f t="shared" si="1044"/>
        <v>813</v>
      </c>
      <c r="L5747">
        <v>1186.08</v>
      </c>
    </row>
    <row r="5748" spans="1:12" x14ac:dyDescent="0.25">
      <c r="A5748" t="str">
        <f t="shared" si="1037"/>
        <v>89301000</v>
      </c>
      <c r="B5748" t="str">
        <f t="shared" si="1042"/>
        <v>72077000</v>
      </c>
      <c r="C5748" t="str">
        <f t="shared" si="1043"/>
        <v>72077001</v>
      </c>
      <c r="D5748">
        <v>89301152</v>
      </c>
      <c r="E5748" t="str">
        <f>"7403073040"</f>
        <v>7403073040</v>
      </c>
      <c r="F5748" s="1">
        <v>45050</v>
      </c>
      <c r="G5748" t="str">
        <f>"91465"</f>
        <v>91465</v>
      </c>
      <c r="H5748">
        <v>1</v>
      </c>
      <c r="I5748">
        <v>1412</v>
      </c>
      <c r="J5748">
        <v>0</v>
      </c>
      <c r="K5748" t="str">
        <f t="shared" si="1044"/>
        <v>813</v>
      </c>
      <c r="L5748">
        <v>1186.08</v>
      </c>
    </row>
    <row r="5749" spans="1:12" x14ac:dyDescent="0.25">
      <c r="A5749" t="str">
        <f t="shared" si="1037"/>
        <v>89301000</v>
      </c>
      <c r="B5749" t="str">
        <f t="shared" si="1042"/>
        <v>72077000</v>
      </c>
      <c r="C5749" t="str">
        <f t="shared" si="1043"/>
        <v>72077001</v>
      </c>
      <c r="D5749">
        <v>89301152</v>
      </c>
      <c r="E5749" t="str">
        <f>"5861060557"</f>
        <v>5861060557</v>
      </c>
      <c r="F5749" s="1">
        <v>45049</v>
      </c>
      <c r="G5749" t="str">
        <f>"91465"</f>
        <v>91465</v>
      </c>
      <c r="H5749">
        <v>1</v>
      </c>
      <c r="I5749">
        <v>1412</v>
      </c>
      <c r="J5749">
        <v>0</v>
      </c>
      <c r="K5749" t="str">
        <f t="shared" si="1044"/>
        <v>813</v>
      </c>
      <c r="L5749">
        <v>1186.08</v>
      </c>
    </row>
    <row r="5750" spans="1:12" x14ac:dyDescent="0.25">
      <c r="A5750" t="str">
        <f t="shared" si="1037"/>
        <v>89301000</v>
      </c>
      <c r="B5750" t="str">
        <f t="shared" si="1042"/>
        <v>72077000</v>
      </c>
      <c r="C5750" t="str">
        <f t="shared" si="1043"/>
        <v>72077001</v>
      </c>
      <c r="D5750">
        <v>89301152</v>
      </c>
      <c r="E5750" t="str">
        <f>"455627179"</f>
        <v>455627179</v>
      </c>
      <c r="F5750" s="1">
        <v>45051</v>
      </c>
      <c r="G5750" t="str">
        <f>"91465"</f>
        <v>91465</v>
      </c>
      <c r="H5750">
        <v>1</v>
      </c>
      <c r="I5750">
        <v>1412</v>
      </c>
      <c r="J5750">
        <v>0</v>
      </c>
      <c r="K5750" t="str">
        <f t="shared" si="1044"/>
        <v>813</v>
      </c>
      <c r="L5750">
        <v>1186.08</v>
      </c>
    </row>
    <row r="5751" spans="1:12" x14ac:dyDescent="0.25">
      <c r="A5751" t="str">
        <f t="shared" si="1037"/>
        <v>89301000</v>
      </c>
      <c r="B5751" t="str">
        <f t="shared" si="1042"/>
        <v>72077000</v>
      </c>
      <c r="C5751" t="str">
        <f t="shared" si="1043"/>
        <v>72077001</v>
      </c>
      <c r="D5751">
        <v>89301152</v>
      </c>
      <c r="E5751" t="str">
        <f>"9203055994"</f>
        <v>9203055994</v>
      </c>
      <c r="F5751" s="1">
        <v>45050</v>
      </c>
      <c r="G5751" t="str">
        <f>"91465"</f>
        <v>91465</v>
      </c>
      <c r="H5751">
        <v>1</v>
      </c>
      <c r="I5751">
        <v>1412</v>
      </c>
      <c r="J5751">
        <v>0</v>
      </c>
      <c r="K5751" t="str">
        <f t="shared" si="1044"/>
        <v>813</v>
      </c>
      <c r="L5751">
        <v>1186.08</v>
      </c>
    </row>
    <row r="5752" spans="1:12" x14ac:dyDescent="0.25">
      <c r="A5752" t="str">
        <f t="shared" si="1037"/>
        <v>89301000</v>
      </c>
      <c r="B5752" t="str">
        <f t="shared" si="1042"/>
        <v>72077000</v>
      </c>
      <c r="C5752" t="str">
        <f t="shared" si="1043"/>
        <v>72077001</v>
      </c>
      <c r="D5752">
        <v>89301152</v>
      </c>
      <c r="E5752" t="str">
        <f t="shared" ref="E5752:E5757" si="1045">"6253136109"</f>
        <v>6253136109</v>
      </c>
      <c r="F5752" s="1">
        <v>45049</v>
      </c>
      <c r="G5752" t="str">
        <f>"91485"</f>
        <v>91485</v>
      </c>
      <c r="H5752">
        <v>1</v>
      </c>
      <c r="I5752">
        <v>268</v>
      </c>
      <c r="J5752">
        <v>0</v>
      </c>
      <c r="K5752" t="str">
        <f t="shared" si="1044"/>
        <v>813</v>
      </c>
      <c r="L5752">
        <v>225.12</v>
      </c>
    </row>
    <row r="5753" spans="1:12" x14ac:dyDescent="0.25">
      <c r="A5753" t="str">
        <f t="shared" si="1037"/>
        <v>89301000</v>
      </c>
      <c r="B5753" t="str">
        <f t="shared" si="1042"/>
        <v>72077000</v>
      </c>
      <c r="C5753" t="str">
        <f t="shared" si="1043"/>
        <v>72077001</v>
      </c>
      <c r="D5753">
        <v>89301152</v>
      </c>
      <c r="E5753" t="str">
        <f t="shared" si="1045"/>
        <v>6253136109</v>
      </c>
      <c r="F5753" s="1">
        <v>45049</v>
      </c>
      <c r="G5753" t="str">
        <f>"91359"</f>
        <v>91359</v>
      </c>
      <c r="H5753">
        <v>1</v>
      </c>
      <c r="I5753">
        <v>205</v>
      </c>
      <c r="J5753">
        <v>0</v>
      </c>
      <c r="K5753" t="str">
        <f t="shared" si="1044"/>
        <v>813</v>
      </c>
      <c r="L5753">
        <v>172.2</v>
      </c>
    </row>
    <row r="5754" spans="1:12" x14ac:dyDescent="0.25">
      <c r="A5754" t="str">
        <f t="shared" si="1037"/>
        <v>89301000</v>
      </c>
      <c r="B5754" t="str">
        <f t="shared" si="1042"/>
        <v>72077000</v>
      </c>
      <c r="C5754" t="str">
        <f t="shared" si="1043"/>
        <v>72077001</v>
      </c>
      <c r="D5754">
        <v>89301152</v>
      </c>
      <c r="E5754" t="str">
        <f t="shared" si="1045"/>
        <v>6253136109</v>
      </c>
      <c r="F5754" s="1">
        <v>45049</v>
      </c>
      <c r="G5754" t="str">
        <f>"91361"</f>
        <v>91361</v>
      </c>
      <c r="H5754">
        <v>1</v>
      </c>
      <c r="I5754">
        <v>444</v>
      </c>
      <c r="J5754">
        <v>0</v>
      </c>
      <c r="K5754" t="str">
        <f t="shared" si="1044"/>
        <v>813</v>
      </c>
      <c r="L5754">
        <v>372.96</v>
      </c>
    </row>
    <row r="5755" spans="1:12" x14ac:dyDescent="0.25">
      <c r="A5755" t="str">
        <f t="shared" si="1037"/>
        <v>89301000</v>
      </c>
      <c r="B5755" t="str">
        <f t="shared" si="1042"/>
        <v>72077000</v>
      </c>
      <c r="C5755" t="str">
        <f t="shared" si="1043"/>
        <v>72077001</v>
      </c>
      <c r="D5755">
        <v>89301152</v>
      </c>
      <c r="E5755" t="str">
        <f t="shared" si="1045"/>
        <v>6253136109</v>
      </c>
      <c r="F5755" s="1">
        <v>45049</v>
      </c>
      <c r="G5755" t="str">
        <f>"91577"</f>
        <v>91577</v>
      </c>
      <c r="H5755">
        <v>1</v>
      </c>
      <c r="I5755">
        <v>398</v>
      </c>
      <c r="J5755">
        <v>0</v>
      </c>
      <c r="K5755" t="str">
        <f t="shared" si="1044"/>
        <v>813</v>
      </c>
      <c r="L5755">
        <v>334.32</v>
      </c>
    </row>
    <row r="5756" spans="1:12" x14ac:dyDescent="0.25">
      <c r="A5756" t="str">
        <f t="shared" si="1037"/>
        <v>89301000</v>
      </c>
      <c r="B5756" t="str">
        <f t="shared" si="1042"/>
        <v>72077000</v>
      </c>
      <c r="C5756" t="str">
        <f t="shared" si="1043"/>
        <v>72077001</v>
      </c>
      <c r="D5756">
        <v>89301152</v>
      </c>
      <c r="E5756" t="str">
        <f t="shared" si="1045"/>
        <v>6253136109</v>
      </c>
      <c r="F5756" s="1">
        <v>45050</v>
      </c>
      <c r="G5756" t="str">
        <f>"91465"</f>
        <v>91465</v>
      </c>
      <c r="H5756">
        <v>1</v>
      </c>
      <c r="I5756">
        <v>1412</v>
      </c>
      <c r="J5756">
        <v>0</v>
      </c>
      <c r="K5756" t="str">
        <f t="shared" si="1044"/>
        <v>813</v>
      </c>
      <c r="L5756">
        <v>1186.08</v>
      </c>
    </row>
    <row r="5757" spans="1:12" x14ac:dyDescent="0.25">
      <c r="A5757" t="str">
        <f t="shared" si="1037"/>
        <v>89301000</v>
      </c>
      <c r="B5757" t="str">
        <f t="shared" si="1042"/>
        <v>72077000</v>
      </c>
      <c r="C5757" t="str">
        <f t="shared" si="1043"/>
        <v>72077001</v>
      </c>
      <c r="D5757">
        <v>89301152</v>
      </c>
      <c r="E5757" t="str">
        <f t="shared" si="1045"/>
        <v>6253136109</v>
      </c>
      <c r="F5757" s="1">
        <v>45050</v>
      </c>
      <c r="G5757" t="str">
        <f>"91197"</f>
        <v>91197</v>
      </c>
      <c r="H5757">
        <v>1</v>
      </c>
      <c r="I5757">
        <v>1048</v>
      </c>
      <c r="J5757">
        <v>0</v>
      </c>
      <c r="K5757" t="str">
        <f t="shared" si="1044"/>
        <v>813</v>
      </c>
      <c r="L5757">
        <v>880.32</v>
      </c>
    </row>
    <row r="5758" spans="1:12" x14ac:dyDescent="0.25">
      <c r="A5758" t="str">
        <f t="shared" si="1037"/>
        <v>89301000</v>
      </c>
      <c r="B5758" t="str">
        <f t="shared" si="1042"/>
        <v>72077000</v>
      </c>
      <c r="C5758" t="str">
        <f t="shared" si="1043"/>
        <v>72077001</v>
      </c>
      <c r="D5758">
        <v>89301152</v>
      </c>
      <c r="E5758" t="str">
        <f>"7161205326"</f>
        <v>7161205326</v>
      </c>
      <c r="F5758" s="1">
        <v>45049</v>
      </c>
      <c r="G5758" t="str">
        <f>"91485"</f>
        <v>91485</v>
      </c>
      <c r="H5758">
        <v>1</v>
      </c>
      <c r="I5758">
        <v>268</v>
      </c>
      <c r="J5758">
        <v>0</v>
      </c>
      <c r="K5758" t="str">
        <f t="shared" si="1044"/>
        <v>813</v>
      </c>
      <c r="L5758">
        <v>225.12</v>
      </c>
    </row>
    <row r="5759" spans="1:12" x14ac:dyDescent="0.25">
      <c r="A5759" t="str">
        <f t="shared" si="1037"/>
        <v>89301000</v>
      </c>
      <c r="B5759" t="str">
        <f t="shared" si="1042"/>
        <v>72077000</v>
      </c>
      <c r="C5759" t="str">
        <f t="shared" si="1043"/>
        <v>72077001</v>
      </c>
      <c r="D5759">
        <v>89301152</v>
      </c>
      <c r="E5759" t="str">
        <f>"7161205326"</f>
        <v>7161205326</v>
      </c>
      <c r="F5759" s="1">
        <v>45049</v>
      </c>
      <c r="G5759" t="str">
        <f>"91359"</f>
        <v>91359</v>
      </c>
      <c r="H5759">
        <v>1</v>
      </c>
      <c r="I5759">
        <v>205</v>
      </c>
      <c r="J5759">
        <v>0</v>
      </c>
      <c r="K5759" t="str">
        <f t="shared" si="1044"/>
        <v>813</v>
      </c>
      <c r="L5759">
        <v>172.2</v>
      </c>
    </row>
    <row r="5760" spans="1:12" x14ac:dyDescent="0.25">
      <c r="A5760" t="str">
        <f t="shared" si="1037"/>
        <v>89301000</v>
      </c>
      <c r="B5760" t="str">
        <f t="shared" si="1042"/>
        <v>72077000</v>
      </c>
      <c r="C5760" t="str">
        <f t="shared" si="1043"/>
        <v>72077001</v>
      </c>
      <c r="D5760">
        <v>89301152</v>
      </c>
      <c r="E5760" t="str">
        <f>"7161205326"</f>
        <v>7161205326</v>
      </c>
      <c r="F5760" s="1">
        <v>45049</v>
      </c>
      <c r="G5760" t="str">
        <f>"91361"</f>
        <v>91361</v>
      </c>
      <c r="H5760">
        <v>1</v>
      </c>
      <c r="I5760">
        <v>444</v>
      </c>
      <c r="J5760">
        <v>0</v>
      </c>
      <c r="K5760" t="str">
        <f t="shared" si="1044"/>
        <v>813</v>
      </c>
      <c r="L5760">
        <v>372.96</v>
      </c>
    </row>
    <row r="5761" spans="1:12" x14ac:dyDescent="0.25">
      <c r="A5761" t="str">
        <f t="shared" si="1037"/>
        <v>89301000</v>
      </c>
      <c r="B5761" t="str">
        <f t="shared" si="1042"/>
        <v>72077000</v>
      </c>
      <c r="C5761" t="str">
        <f t="shared" si="1043"/>
        <v>72077001</v>
      </c>
      <c r="D5761">
        <v>89301152</v>
      </c>
      <c r="E5761" t="str">
        <f>"7161205326"</f>
        <v>7161205326</v>
      </c>
      <c r="F5761" s="1">
        <v>45049</v>
      </c>
      <c r="G5761" t="str">
        <f>"91577"</f>
        <v>91577</v>
      </c>
      <c r="H5761">
        <v>1</v>
      </c>
      <c r="I5761">
        <v>398</v>
      </c>
      <c r="J5761">
        <v>0</v>
      </c>
      <c r="K5761" t="str">
        <f t="shared" si="1044"/>
        <v>813</v>
      </c>
      <c r="L5761">
        <v>334.32</v>
      </c>
    </row>
    <row r="5762" spans="1:12" x14ac:dyDescent="0.25">
      <c r="A5762" t="str">
        <f t="shared" ref="A5762:A5825" si="1046">"89301000"</f>
        <v>89301000</v>
      </c>
      <c r="B5762" t="str">
        <f t="shared" si="1042"/>
        <v>72077000</v>
      </c>
      <c r="C5762" t="str">
        <f t="shared" si="1043"/>
        <v>72077001</v>
      </c>
      <c r="D5762">
        <v>89301152</v>
      </c>
      <c r="E5762" t="str">
        <f t="shared" ref="E5762:E5767" si="1047">"5754221605"</f>
        <v>5754221605</v>
      </c>
      <c r="F5762" s="1">
        <v>45056</v>
      </c>
      <c r="G5762" t="str">
        <f>"91465"</f>
        <v>91465</v>
      </c>
      <c r="H5762">
        <v>1</v>
      </c>
      <c r="I5762">
        <v>1412</v>
      </c>
      <c r="J5762">
        <v>0</v>
      </c>
      <c r="K5762" t="str">
        <f t="shared" si="1044"/>
        <v>813</v>
      </c>
      <c r="L5762">
        <v>1186.08</v>
      </c>
    </row>
    <row r="5763" spans="1:12" x14ac:dyDescent="0.25">
      <c r="A5763" t="str">
        <f t="shared" si="1046"/>
        <v>89301000</v>
      </c>
      <c r="B5763" t="str">
        <f t="shared" si="1042"/>
        <v>72077000</v>
      </c>
      <c r="C5763" t="str">
        <f t="shared" si="1043"/>
        <v>72077001</v>
      </c>
      <c r="D5763">
        <v>89301152</v>
      </c>
      <c r="E5763" t="str">
        <f t="shared" si="1047"/>
        <v>5754221605</v>
      </c>
      <c r="F5763" s="1">
        <v>45056</v>
      </c>
      <c r="G5763" t="str">
        <f>"91219"</f>
        <v>91219</v>
      </c>
      <c r="H5763">
        <v>1</v>
      </c>
      <c r="I5763">
        <v>343</v>
      </c>
      <c r="J5763">
        <v>0</v>
      </c>
      <c r="K5763" t="str">
        <f t="shared" si="1044"/>
        <v>813</v>
      </c>
      <c r="L5763">
        <v>288.12</v>
      </c>
    </row>
    <row r="5764" spans="1:12" x14ac:dyDescent="0.25">
      <c r="A5764" t="str">
        <f t="shared" si="1046"/>
        <v>89301000</v>
      </c>
      <c r="B5764" t="str">
        <f t="shared" si="1042"/>
        <v>72077000</v>
      </c>
      <c r="C5764" t="str">
        <f t="shared" si="1043"/>
        <v>72077001</v>
      </c>
      <c r="D5764">
        <v>89301152</v>
      </c>
      <c r="E5764" t="str">
        <f t="shared" si="1047"/>
        <v>5754221605</v>
      </c>
      <c r="F5764" s="1">
        <v>45056</v>
      </c>
      <c r="G5764" t="str">
        <f>"91219"</f>
        <v>91219</v>
      </c>
      <c r="H5764">
        <v>1</v>
      </c>
      <c r="I5764">
        <v>343</v>
      </c>
      <c r="J5764">
        <v>0</v>
      </c>
      <c r="K5764" t="str">
        <f t="shared" si="1044"/>
        <v>813</v>
      </c>
      <c r="L5764">
        <v>288.12</v>
      </c>
    </row>
    <row r="5765" spans="1:12" x14ac:dyDescent="0.25">
      <c r="A5765" t="str">
        <f t="shared" si="1046"/>
        <v>89301000</v>
      </c>
      <c r="B5765" t="str">
        <f t="shared" si="1042"/>
        <v>72077000</v>
      </c>
      <c r="C5765" t="str">
        <f t="shared" si="1043"/>
        <v>72077001</v>
      </c>
      <c r="D5765">
        <v>89301152</v>
      </c>
      <c r="E5765" t="str">
        <f t="shared" si="1047"/>
        <v>5754221605</v>
      </c>
      <c r="F5765" s="1">
        <v>45056</v>
      </c>
      <c r="G5765" t="str">
        <f>"91219"</f>
        <v>91219</v>
      </c>
      <c r="H5765">
        <v>1</v>
      </c>
      <c r="I5765">
        <v>343</v>
      </c>
      <c r="J5765">
        <v>0</v>
      </c>
      <c r="K5765" t="str">
        <f t="shared" si="1044"/>
        <v>813</v>
      </c>
      <c r="L5765">
        <v>288.12</v>
      </c>
    </row>
    <row r="5766" spans="1:12" x14ac:dyDescent="0.25">
      <c r="A5766" t="str">
        <f t="shared" si="1046"/>
        <v>89301000</v>
      </c>
      <c r="B5766" t="str">
        <f t="shared" si="1042"/>
        <v>72077000</v>
      </c>
      <c r="C5766" t="str">
        <f t="shared" si="1043"/>
        <v>72077001</v>
      </c>
      <c r="D5766">
        <v>89301152</v>
      </c>
      <c r="E5766" t="str">
        <f t="shared" si="1047"/>
        <v>5754221605</v>
      </c>
      <c r="F5766" s="1">
        <v>45056</v>
      </c>
      <c r="G5766" t="str">
        <f>"91219"</f>
        <v>91219</v>
      </c>
      <c r="H5766">
        <v>1</v>
      </c>
      <c r="I5766">
        <v>343</v>
      </c>
      <c r="J5766">
        <v>0</v>
      </c>
      <c r="K5766" t="str">
        <f t="shared" si="1044"/>
        <v>813</v>
      </c>
      <c r="L5766">
        <v>288.12</v>
      </c>
    </row>
    <row r="5767" spans="1:12" x14ac:dyDescent="0.25">
      <c r="A5767" t="str">
        <f t="shared" si="1046"/>
        <v>89301000</v>
      </c>
      <c r="B5767" t="str">
        <f t="shared" si="1042"/>
        <v>72077000</v>
      </c>
      <c r="C5767" t="str">
        <f t="shared" si="1043"/>
        <v>72077001</v>
      </c>
      <c r="D5767">
        <v>89301152</v>
      </c>
      <c r="E5767" t="str">
        <f t="shared" si="1047"/>
        <v>5754221605</v>
      </c>
      <c r="F5767" s="1">
        <v>45056</v>
      </c>
      <c r="G5767" t="str">
        <f>"91197"</f>
        <v>91197</v>
      </c>
      <c r="H5767">
        <v>1</v>
      </c>
      <c r="I5767">
        <v>1048</v>
      </c>
      <c r="J5767">
        <v>0</v>
      </c>
      <c r="K5767" t="str">
        <f t="shared" si="1044"/>
        <v>813</v>
      </c>
      <c r="L5767">
        <v>880.32</v>
      </c>
    </row>
    <row r="5768" spans="1:12" x14ac:dyDescent="0.25">
      <c r="A5768" t="str">
        <f t="shared" si="1046"/>
        <v>89301000</v>
      </c>
      <c r="B5768" t="str">
        <f t="shared" si="1042"/>
        <v>72077000</v>
      </c>
      <c r="C5768" t="str">
        <f t="shared" si="1043"/>
        <v>72077001</v>
      </c>
      <c r="D5768">
        <v>89301152</v>
      </c>
      <c r="E5768" t="str">
        <f>"9461175713"</f>
        <v>9461175713</v>
      </c>
      <c r="F5768" s="1">
        <v>45051</v>
      </c>
      <c r="G5768" t="str">
        <f>"91171"</f>
        <v>91171</v>
      </c>
      <c r="H5768">
        <v>1</v>
      </c>
      <c r="I5768">
        <v>362</v>
      </c>
      <c r="J5768">
        <v>0</v>
      </c>
      <c r="K5768" t="str">
        <f t="shared" si="1044"/>
        <v>813</v>
      </c>
      <c r="L5768">
        <v>304.08</v>
      </c>
    </row>
    <row r="5769" spans="1:12" x14ac:dyDescent="0.25">
      <c r="A5769" t="str">
        <f t="shared" si="1046"/>
        <v>89301000</v>
      </c>
      <c r="B5769" t="str">
        <f t="shared" si="1042"/>
        <v>72077000</v>
      </c>
      <c r="C5769" t="str">
        <f t="shared" si="1043"/>
        <v>72077001</v>
      </c>
      <c r="D5769">
        <v>89301152</v>
      </c>
      <c r="E5769" t="str">
        <f>"9461175713"</f>
        <v>9461175713</v>
      </c>
      <c r="F5769" s="1">
        <v>45051</v>
      </c>
      <c r="G5769" t="str">
        <f>"91175"</f>
        <v>91175</v>
      </c>
      <c r="H5769">
        <v>1</v>
      </c>
      <c r="I5769">
        <v>362</v>
      </c>
      <c r="J5769">
        <v>0</v>
      </c>
      <c r="K5769" t="str">
        <f t="shared" si="1044"/>
        <v>813</v>
      </c>
      <c r="L5769">
        <v>304.08</v>
      </c>
    </row>
    <row r="5770" spans="1:12" x14ac:dyDescent="0.25">
      <c r="A5770" t="str">
        <f t="shared" si="1046"/>
        <v>89301000</v>
      </c>
      <c r="B5770" t="str">
        <f t="shared" si="1042"/>
        <v>72077000</v>
      </c>
      <c r="C5770" t="str">
        <f t="shared" si="1043"/>
        <v>72077001</v>
      </c>
      <c r="D5770">
        <v>89301152</v>
      </c>
      <c r="E5770" t="str">
        <f>"8155095311"</f>
        <v>8155095311</v>
      </c>
      <c r="F5770" s="1">
        <v>45056</v>
      </c>
      <c r="G5770" t="str">
        <f>"91465"</f>
        <v>91465</v>
      </c>
      <c r="H5770">
        <v>1</v>
      </c>
      <c r="I5770">
        <v>1412</v>
      </c>
      <c r="J5770">
        <v>0</v>
      </c>
      <c r="K5770" t="str">
        <f t="shared" si="1044"/>
        <v>813</v>
      </c>
      <c r="L5770">
        <v>1186.08</v>
      </c>
    </row>
    <row r="5771" spans="1:12" x14ac:dyDescent="0.25">
      <c r="A5771" t="str">
        <f t="shared" si="1046"/>
        <v>89301000</v>
      </c>
      <c r="B5771" t="str">
        <f t="shared" si="1042"/>
        <v>72077000</v>
      </c>
      <c r="C5771" t="str">
        <f t="shared" si="1043"/>
        <v>72077001</v>
      </c>
      <c r="D5771">
        <v>89301152</v>
      </c>
      <c r="E5771" t="str">
        <f>"8155095311"</f>
        <v>8155095311</v>
      </c>
      <c r="F5771" s="1">
        <v>45056</v>
      </c>
      <c r="G5771" t="str">
        <f>"91197"</f>
        <v>91197</v>
      </c>
      <c r="H5771">
        <v>1</v>
      </c>
      <c r="I5771">
        <v>1048</v>
      </c>
      <c r="J5771">
        <v>0</v>
      </c>
      <c r="K5771" t="str">
        <f t="shared" si="1044"/>
        <v>813</v>
      </c>
      <c r="L5771">
        <v>880.32</v>
      </c>
    </row>
    <row r="5772" spans="1:12" x14ac:dyDescent="0.25">
      <c r="A5772" t="str">
        <f t="shared" si="1046"/>
        <v>89301000</v>
      </c>
      <c r="B5772" t="str">
        <f t="shared" si="1042"/>
        <v>72077000</v>
      </c>
      <c r="C5772" t="str">
        <f t="shared" si="1043"/>
        <v>72077001</v>
      </c>
      <c r="D5772">
        <v>89301152</v>
      </c>
      <c r="E5772" t="str">
        <f>"6462121919"</f>
        <v>6462121919</v>
      </c>
      <c r="F5772" s="1">
        <v>45056</v>
      </c>
      <c r="G5772" t="str">
        <f>"91197"</f>
        <v>91197</v>
      </c>
      <c r="H5772">
        <v>1</v>
      </c>
      <c r="I5772">
        <v>1048</v>
      </c>
      <c r="J5772">
        <v>0</v>
      </c>
      <c r="K5772" t="str">
        <f t="shared" si="1044"/>
        <v>813</v>
      </c>
      <c r="L5772">
        <v>880.32</v>
      </c>
    </row>
    <row r="5773" spans="1:12" x14ac:dyDescent="0.25">
      <c r="A5773" t="str">
        <f t="shared" si="1046"/>
        <v>89301000</v>
      </c>
      <c r="B5773" t="str">
        <f t="shared" si="1042"/>
        <v>72077000</v>
      </c>
      <c r="C5773" t="str">
        <f t="shared" si="1043"/>
        <v>72077001</v>
      </c>
      <c r="D5773">
        <v>89301152</v>
      </c>
      <c r="E5773" t="str">
        <f>"6462121919"</f>
        <v>6462121919</v>
      </c>
      <c r="F5773" s="1">
        <v>45057</v>
      </c>
      <c r="G5773" t="str">
        <f>"91465"</f>
        <v>91465</v>
      </c>
      <c r="H5773">
        <v>1</v>
      </c>
      <c r="I5773">
        <v>1412</v>
      </c>
      <c r="J5773">
        <v>0</v>
      </c>
      <c r="K5773" t="str">
        <f t="shared" si="1044"/>
        <v>813</v>
      </c>
      <c r="L5773">
        <v>1186.08</v>
      </c>
    </row>
    <row r="5774" spans="1:12" x14ac:dyDescent="0.25">
      <c r="A5774" t="str">
        <f t="shared" si="1046"/>
        <v>89301000</v>
      </c>
      <c r="B5774" t="str">
        <f t="shared" si="1042"/>
        <v>72077000</v>
      </c>
      <c r="C5774" t="str">
        <f t="shared" si="1043"/>
        <v>72077001</v>
      </c>
      <c r="D5774">
        <v>89301152</v>
      </c>
      <c r="E5774" t="str">
        <f>"7652024479"</f>
        <v>7652024479</v>
      </c>
      <c r="F5774" s="1">
        <v>45062</v>
      </c>
      <c r="G5774" t="str">
        <f>"91465"</f>
        <v>91465</v>
      </c>
      <c r="H5774">
        <v>1</v>
      </c>
      <c r="I5774">
        <v>1412</v>
      </c>
      <c r="J5774">
        <v>0</v>
      </c>
      <c r="K5774" t="str">
        <f t="shared" si="1044"/>
        <v>813</v>
      </c>
      <c r="L5774">
        <v>1186.08</v>
      </c>
    </row>
    <row r="5775" spans="1:12" x14ac:dyDescent="0.25">
      <c r="A5775" t="str">
        <f t="shared" si="1046"/>
        <v>89301000</v>
      </c>
      <c r="B5775" t="str">
        <f t="shared" si="1042"/>
        <v>72077000</v>
      </c>
      <c r="C5775" t="str">
        <f t="shared" si="1043"/>
        <v>72077001</v>
      </c>
      <c r="D5775">
        <v>89301152</v>
      </c>
      <c r="E5775" t="str">
        <f>"7652024479"</f>
        <v>7652024479</v>
      </c>
      <c r="F5775" s="1">
        <v>45062</v>
      </c>
      <c r="G5775" t="str">
        <f>"91197"</f>
        <v>91197</v>
      </c>
      <c r="H5775">
        <v>1</v>
      </c>
      <c r="I5775">
        <v>1048</v>
      </c>
      <c r="J5775">
        <v>0</v>
      </c>
      <c r="K5775" t="str">
        <f t="shared" si="1044"/>
        <v>813</v>
      </c>
      <c r="L5775">
        <v>880.32</v>
      </c>
    </row>
    <row r="5776" spans="1:12" x14ac:dyDescent="0.25">
      <c r="A5776" t="str">
        <f t="shared" si="1046"/>
        <v>89301000</v>
      </c>
      <c r="B5776" t="str">
        <f t="shared" si="1042"/>
        <v>72077000</v>
      </c>
      <c r="C5776" t="str">
        <f t="shared" si="1043"/>
        <v>72077001</v>
      </c>
      <c r="D5776">
        <v>89301152</v>
      </c>
      <c r="E5776" t="str">
        <f>"5552172637"</f>
        <v>5552172637</v>
      </c>
      <c r="F5776" s="1">
        <v>45063</v>
      </c>
      <c r="G5776" t="str">
        <f>"91359"</f>
        <v>91359</v>
      </c>
      <c r="H5776">
        <v>1</v>
      </c>
      <c r="I5776">
        <v>205</v>
      </c>
      <c r="J5776">
        <v>0</v>
      </c>
      <c r="K5776" t="str">
        <f t="shared" si="1044"/>
        <v>813</v>
      </c>
      <c r="L5776">
        <v>172.2</v>
      </c>
    </row>
    <row r="5777" spans="1:12" x14ac:dyDescent="0.25">
      <c r="A5777" t="str">
        <f t="shared" si="1046"/>
        <v>89301000</v>
      </c>
      <c r="B5777" t="str">
        <f t="shared" si="1042"/>
        <v>72077000</v>
      </c>
      <c r="C5777" t="str">
        <f t="shared" si="1043"/>
        <v>72077001</v>
      </c>
      <c r="D5777">
        <v>89301152</v>
      </c>
      <c r="E5777" t="str">
        <f>"5552172637"</f>
        <v>5552172637</v>
      </c>
      <c r="F5777" s="1">
        <v>45063</v>
      </c>
      <c r="G5777" t="str">
        <f>"91361"</f>
        <v>91361</v>
      </c>
      <c r="H5777">
        <v>1</v>
      </c>
      <c r="I5777">
        <v>444</v>
      </c>
      <c r="J5777">
        <v>0</v>
      </c>
      <c r="K5777" t="str">
        <f t="shared" si="1044"/>
        <v>813</v>
      </c>
      <c r="L5777">
        <v>372.96</v>
      </c>
    </row>
    <row r="5778" spans="1:12" x14ac:dyDescent="0.25">
      <c r="A5778" t="str">
        <f t="shared" si="1046"/>
        <v>89301000</v>
      </c>
      <c r="B5778" t="str">
        <f t="shared" ref="B5778:B5802" si="1048">"72077000"</f>
        <v>72077000</v>
      </c>
      <c r="C5778" t="str">
        <f t="shared" ref="C5778:C5802" si="1049">"72077001"</f>
        <v>72077001</v>
      </c>
      <c r="D5778">
        <v>89301152</v>
      </c>
      <c r="E5778" t="str">
        <f>"5552172637"</f>
        <v>5552172637</v>
      </c>
      <c r="F5778" s="1">
        <v>45063</v>
      </c>
      <c r="G5778" t="str">
        <f>"91577"</f>
        <v>91577</v>
      </c>
      <c r="H5778">
        <v>1</v>
      </c>
      <c r="I5778">
        <v>398</v>
      </c>
      <c r="J5778">
        <v>0</v>
      </c>
      <c r="K5778" t="str">
        <f t="shared" ref="K5778:K5802" si="1050">"813"</f>
        <v>813</v>
      </c>
      <c r="L5778">
        <v>334.32</v>
      </c>
    </row>
    <row r="5779" spans="1:12" x14ac:dyDescent="0.25">
      <c r="A5779" t="str">
        <f t="shared" si="1046"/>
        <v>89301000</v>
      </c>
      <c r="B5779" t="str">
        <f t="shared" si="1048"/>
        <v>72077000</v>
      </c>
      <c r="C5779" t="str">
        <f t="shared" si="1049"/>
        <v>72077001</v>
      </c>
      <c r="D5779">
        <v>89301152</v>
      </c>
      <c r="E5779" t="str">
        <f>"5552172637"</f>
        <v>5552172637</v>
      </c>
      <c r="F5779" s="1">
        <v>45070</v>
      </c>
      <c r="G5779" t="str">
        <f>"91485"</f>
        <v>91485</v>
      </c>
      <c r="H5779">
        <v>1</v>
      </c>
      <c r="I5779">
        <v>268</v>
      </c>
      <c r="J5779">
        <v>0</v>
      </c>
      <c r="K5779" t="str">
        <f t="shared" si="1050"/>
        <v>813</v>
      </c>
      <c r="L5779">
        <v>225.12</v>
      </c>
    </row>
    <row r="5780" spans="1:12" x14ac:dyDescent="0.25">
      <c r="A5780" t="str">
        <f t="shared" si="1046"/>
        <v>89301000</v>
      </c>
      <c r="B5780" t="str">
        <f t="shared" si="1048"/>
        <v>72077000</v>
      </c>
      <c r="C5780" t="str">
        <f t="shared" si="1049"/>
        <v>72077001</v>
      </c>
      <c r="D5780">
        <v>89301152</v>
      </c>
      <c r="E5780" t="str">
        <f>"8407305687"</f>
        <v>8407305687</v>
      </c>
      <c r="F5780" s="1">
        <v>45064</v>
      </c>
      <c r="G5780" t="str">
        <f>"91465"</f>
        <v>91465</v>
      </c>
      <c r="H5780">
        <v>1</v>
      </c>
      <c r="I5780">
        <v>1412</v>
      </c>
      <c r="J5780">
        <v>0</v>
      </c>
      <c r="K5780" t="str">
        <f t="shared" si="1050"/>
        <v>813</v>
      </c>
      <c r="L5780">
        <v>1186.08</v>
      </c>
    </row>
    <row r="5781" spans="1:12" x14ac:dyDescent="0.25">
      <c r="A5781" t="str">
        <f t="shared" si="1046"/>
        <v>89301000</v>
      </c>
      <c r="B5781" t="str">
        <f t="shared" si="1048"/>
        <v>72077000</v>
      </c>
      <c r="C5781" t="str">
        <f t="shared" si="1049"/>
        <v>72077001</v>
      </c>
      <c r="D5781">
        <v>89301152</v>
      </c>
      <c r="E5781" t="str">
        <f>"8407305687"</f>
        <v>8407305687</v>
      </c>
      <c r="F5781" s="1">
        <v>45065</v>
      </c>
      <c r="G5781" t="str">
        <f>"91197"</f>
        <v>91197</v>
      </c>
      <c r="H5781">
        <v>1</v>
      </c>
      <c r="I5781">
        <v>1048</v>
      </c>
      <c r="J5781">
        <v>0</v>
      </c>
      <c r="K5781" t="str">
        <f t="shared" si="1050"/>
        <v>813</v>
      </c>
      <c r="L5781">
        <v>880.32</v>
      </c>
    </row>
    <row r="5782" spans="1:12" x14ac:dyDescent="0.25">
      <c r="A5782" t="str">
        <f t="shared" si="1046"/>
        <v>89301000</v>
      </c>
      <c r="B5782" t="str">
        <f t="shared" si="1048"/>
        <v>72077000</v>
      </c>
      <c r="C5782" t="str">
        <f t="shared" si="1049"/>
        <v>72077001</v>
      </c>
      <c r="D5782">
        <v>89301152</v>
      </c>
      <c r="E5782" t="str">
        <f>"9655175827"</f>
        <v>9655175827</v>
      </c>
      <c r="F5782" s="1">
        <v>45064</v>
      </c>
      <c r="G5782" t="str">
        <f>"91465"</f>
        <v>91465</v>
      </c>
      <c r="H5782">
        <v>1</v>
      </c>
      <c r="I5782">
        <v>1412</v>
      </c>
      <c r="J5782">
        <v>0</v>
      </c>
      <c r="K5782" t="str">
        <f t="shared" si="1050"/>
        <v>813</v>
      </c>
      <c r="L5782">
        <v>1186.08</v>
      </c>
    </row>
    <row r="5783" spans="1:12" x14ac:dyDescent="0.25">
      <c r="A5783" t="str">
        <f t="shared" si="1046"/>
        <v>89301000</v>
      </c>
      <c r="B5783" t="str">
        <f t="shared" si="1048"/>
        <v>72077000</v>
      </c>
      <c r="C5783" t="str">
        <f t="shared" si="1049"/>
        <v>72077001</v>
      </c>
      <c r="D5783">
        <v>89301152</v>
      </c>
      <c r="E5783" t="str">
        <f>"9655175827"</f>
        <v>9655175827</v>
      </c>
      <c r="F5783" s="1">
        <v>45065</v>
      </c>
      <c r="G5783" t="str">
        <f>"91197"</f>
        <v>91197</v>
      </c>
      <c r="H5783">
        <v>1</v>
      </c>
      <c r="I5783">
        <v>1048</v>
      </c>
      <c r="J5783">
        <v>0</v>
      </c>
      <c r="K5783" t="str">
        <f t="shared" si="1050"/>
        <v>813</v>
      </c>
      <c r="L5783">
        <v>880.32</v>
      </c>
    </row>
    <row r="5784" spans="1:12" x14ac:dyDescent="0.25">
      <c r="A5784" t="str">
        <f t="shared" si="1046"/>
        <v>89301000</v>
      </c>
      <c r="B5784" t="str">
        <f t="shared" si="1048"/>
        <v>72077000</v>
      </c>
      <c r="C5784" t="str">
        <f t="shared" si="1049"/>
        <v>72077001</v>
      </c>
      <c r="D5784">
        <v>89301152</v>
      </c>
      <c r="E5784" t="str">
        <f>"5656150797"</f>
        <v>5656150797</v>
      </c>
      <c r="F5784" s="1">
        <v>45069</v>
      </c>
      <c r="G5784" t="str">
        <f>"91219"</f>
        <v>91219</v>
      </c>
      <c r="H5784">
        <v>2</v>
      </c>
      <c r="I5784">
        <v>686</v>
      </c>
      <c r="J5784">
        <v>0</v>
      </c>
      <c r="K5784" t="str">
        <f t="shared" si="1050"/>
        <v>813</v>
      </c>
      <c r="L5784">
        <v>576.24</v>
      </c>
    </row>
    <row r="5785" spans="1:12" x14ac:dyDescent="0.25">
      <c r="A5785" t="str">
        <f t="shared" si="1046"/>
        <v>89301000</v>
      </c>
      <c r="B5785" t="str">
        <f t="shared" si="1048"/>
        <v>72077000</v>
      </c>
      <c r="C5785" t="str">
        <f t="shared" si="1049"/>
        <v>72077001</v>
      </c>
      <c r="D5785">
        <v>89301152</v>
      </c>
      <c r="E5785" t="str">
        <f t="shared" ref="E5785:E5790" si="1051">"8560085765"</f>
        <v>8560085765</v>
      </c>
      <c r="F5785" s="1">
        <v>45070</v>
      </c>
      <c r="G5785" t="str">
        <f>"91485"</f>
        <v>91485</v>
      </c>
      <c r="H5785">
        <v>1</v>
      </c>
      <c r="I5785">
        <v>268</v>
      </c>
      <c r="J5785">
        <v>0</v>
      </c>
      <c r="K5785" t="str">
        <f t="shared" si="1050"/>
        <v>813</v>
      </c>
      <c r="L5785">
        <v>225.12</v>
      </c>
    </row>
    <row r="5786" spans="1:12" x14ac:dyDescent="0.25">
      <c r="A5786" t="str">
        <f t="shared" si="1046"/>
        <v>89301000</v>
      </c>
      <c r="B5786" t="str">
        <f t="shared" si="1048"/>
        <v>72077000</v>
      </c>
      <c r="C5786" t="str">
        <f t="shared" si="1049"/>
        <v>72077001</v>
      </c>
      <c r="D5786">
        <v>89301152</v>
      </c>
      <c r="E5786" t="str">
        <f t="shared" si="1051"/>
        <v>8560085765</v>
      </c>
      <c r="F5786" s="1">
        <v>45070</v>
      </c>
      <c r="G5786" t="str">
        <f>"91359"</f>
        <v>91359</v>
      </c>
      <c r="H5786">
        <v>1</v>
      </c>
      <c r="I5786">
        <v>205</v>
      </c>
      <c r="J5786">
        <v>0</v>
      </c>
      <c r="K5786" t="str">
        <f t="shared" si="1050"/>
        <v>813</v>
      </c>
      <c r="L5786">
        <v>172.2</v>
      </c>
    </row>
    <row r="5787" spans="1:12" x14ac:dyDescent="0.25">
      <c r="A5787" t="str">
        <f t="shared" si="1046"/>
        <v>89301000</v>
      </c>
      <c r="B5787" t="str">
        <f t="shared" si="1048"/>
        <v>72077000</v>
      </c>
      <c r="C5787" t="str">
        <f t="shared" si="1049"/>
        <v>72077001</v>
      </c>
      <c r="D5787">
        <v>89301152</v>
      </c>
      <c r="E5787" t="str">
        <f t="shared" si="1051"/>
        <v>8560085765</v>
      </c>
      <c r="F5787" s="1">
        <v>45070</v>
      </c>
      <c r="G5787" t="str">
        <f>"91361"</f>
        <v>91361</v>
      </c>
      <c r="H5787">
        <v>1</v>
      </c>
      <c r="I5787">
        <v>444</v>
      </c>
      <c r="J5787">
        <v>0</v>
      </c>
      <c r="K5787" t="str">
        <f t="shared" si="1050"/>
        <v>813</v>
      </c>
      <c r="L5787">
        <v>372.96</v>
      </c>
    </row>
    <row r="5788" spans="1:12" x14ac:dyDescent="0.25">
      <c r="A5788" t="str">
        <f t="shared" si="1046"/>
        <v>89301000</v>
      </c>
      <c r="B5788" t="str">
        <f t="shared" si="1048"/>
        <v>72077000</v>
      </c>
      <c r="C5788" t="str">
        <f t="shared" si="1049"/>
        <v>72077001</v>
      </c>
      <c r="D5788">
        <v>89301152</v>
      </c>
      <c r="E5788" t="str">
        <f t="shared" si="1051"/>
        <v>8560085765</v>
      </c>
      <c r="F5788" s="1">
        <v>45070</v>
      </c>
      <c r="G5788" t="str">
        <f>"91577"</f>
        <v>91577</v>
      </c>
      <c r="H5788">
        <v>1</v>
      </c>
      <c r="I5788">
        <v>398</v>
      </c>
      <c r="J5788">
        <v>0</v>
      </c>
      <c r="K5788" t="str">
        <f t="shared" si="1050"/>
        <v>813</v>
      </c>
      <c r="L5788">
        <v>334.32</v>
      </c>
    </row>
    <row r="5789" spans="1:12" x14ac:dyDescent="0.25">
      <c r="A5789" t="str">
        <f t="shared" si="1046"/>
        <v>89301000</v>
      </c>
      <c r="B5789" t="str">
        <f t="shared" si="1048"/>
        <v>72077000</v>
      </c>
      <c r="C5789" t="str">
        <f t="shared" si="1049"/>
        <v>72077001</v>
      </c>
      <c r="D5789">
        <v>89301152</v>
      </c>
      <c r="E5789" t="str">
        <f t="shared" si="1051"/>
        <v>8560085765</v>
      </c>
      <c r="F5789" s="1">
        <v>45071</v>
      </c>
      <c r="G5789" t="str">
        <f>"91197"</f>
        <v>91197</v>
      </c>
      <c r="H5789">
        <v>1</v>
      </c>
      <c r="I5789">
        <v>1048</v>
      </c>
      <c r="J5789">
        <v>0</v>
      </c>
      <c r="K5789" t="str">
        <f t="shared" si="1050"/>
        <v>813</v>
      </c>
      <c r="L5789">
        <v>880.32</v>
      </c>
    </row>
    <row r="5790" spans="1:12" x14ac:dyDescent="0.25">
      <c r="A5790" t="str">
        <f t="shared" si="1046"/>
        <v>89301000</v>
      </c>
      <c r="B5790" t="str">
        <f t="shared" si="1048"/>
        <v>72077000</v>
      </c>
      <c r="C5790" t="str">
        <f t="shared" si="1049"/>
        <v>72077001</v>
      </c>
      <c r="D5790">
        <v>89301152</v>
      </c>
      <c r="E5790" t="str">
        <f t="shared" si="1051"/>
        <v>8560085765</v>
      </c>
      <c r="F5790" s="1">
        <v>45071</v>
      </c>
      <c r="G5790" t="str">
        <f>"91465"</f>
        <v>91465</v>
      </c>
      <c r="H5790">
        <v>1</v>
      </c>
      <c r="I5790">
        <v>1412</v>
      </c>
      <c r="J5790">
        <v>0</v>
      </c>
      <c r="K5790" t="str">
        <f t="shared" si="1050"/>
        <v>813</v>
      </c>
      <c r="L5790">
        <v>1186.08</v>
      </c>
    </row>
    <row r="5791" spans="1:12" x14ac:dyDescent="0.25">
      <c r="A5791" t="str">
        <f t="shared" si="1046"/>
        <v>89301000</v>
      </c>
      <c r="B5791" t="str">
        <f t="shared" si="1048"/>
        <v>72077000</v>
      </c>
      <c r="C5791" t="str">
        <f t="shared" si="1049"/>
        <v>72077001</v>
      </c>
      <c r="D5791">
        <v>89301152</v>
      </c>
      <c r="E5791" t="str">
        <f t="shared" ref="E5791:E5796" si="1052">"6655270303"</f>
        <v>6655270303</v>
      </c>
      <c r="F5791" s="1">
        <v>45070</v>
      </c>
      <c r="G5791" t="str">
        <f>"91485"</f>
        <v>91485</v>
      </c>
      <c r="H5791">
        <v>1</v>
      </c>
      <c r="I5791">
        <v>268</v>
      </c>
      <c r="J5791">
        <v>0</v>
      </c>
      <c r="K5791" t="str">
        <f t="shared" si="1050"/>
        <v>813</v>
      </c>
      <c r="L5791">
        <v>225.12</v>
      </c>
    </row>
    <row r="5792" spans="1:12" x14ac:dyDescent="0.25">
      <c r="A5792" t="str">
        <f t="shared" si="1046"/>
        <v>89301000</v>
      </c>
      <c r="B5792" t="str">
        <f t="shared" si="1048"/>
        <v>72077000</v>
      </c>
      <c r="C5792" t="str">
        <f t="shared" si="1049"/>
        <v>72077001</v>
      </c>
      <c r="D5792">
        <v>89301152</v>
      </c>
      <c r="E5792" t="str">
        <f t="shared" si="1052"/>
        <v>6655270303</v>
      </c>
      <c r="F5792" s="1">
        <v>45070</v>
      </c>
      <c r="G5792" t="str">
        <f>"91359"</f>
        <v>91359</v>
      </c>
      <c r="H5792">
        <v>1</v>
      </c>
      <c r="I5792">
        <v>205</v>
      </c>
      <c r="J5792">
        <v>0</v>
      </c>
      <c r="K5792" t="str">
        <f t="shared" si="1050"/>
        <v>813</v>
      </c>
      <c r="L5792">
        <v>172.2</v>
      </c>
    </row>
    <row r="5793" spans="1:12" x14ac:dyDescent="0.25">
      <c r="A5793" t="str">
        <f t="shared" si="1046"/>
        <v>89301000</v>
      </c>
      <c r="B5793" t="str">
        <f t="shared" si="1048"/>
        <v>72077000</v>
      </c>
      <c r="C5793" t="str">
        <f t="shared" si="1049"/>
        <v>72077001</v>
      </c>
      <c r="D5793">
        <v>89301152</v>
      </c>
      <c r="E5793" t="str">
        <f t="shared" si="1052"/>
        <v>6655270303</v>
      </c>
      <c r="F5793" s="1">
        <v>45070</v>
      </c>
      <c r="G5793" t="str">
        <f>"91361"</f>
        <v>91361</v>
      </c>
      <c r="H5793">
        <v>1</v>
      </c>
      <c r="I5793">
        <v>444</v>
      </c>
      <c r="J5793">
        <v>0</v>
      </c>
      <c r="K5793" t="str">
        <f t="shared" si="1050"/>
        <v>813</v>
      </c>
      <c r="L5793">
        <v>372.96</v>
      </c>
    </row>
    <row r="5794" spans="1:12" x14ac:dyDescent="0.25">
      <c r="A5794" t="str">
        <f t="shared" si="1046"/>
        <v>89301000</v>
      </c>
      <c r="B5794" t="str">
        <f t="shared" si="1048"/>
        <v>72077000</v>
      </c>
      <c r="C5794" t="str">
        <f t="shared" si="1049"/>
        <v>72077001</v>
      </c>
      <c r="D5794">
        <v>89301152</v>
      </c>
      <c r="E5794" t="str">
        <f t="shared" si="1052"/>
        <v>6655270303</v>
      </c>
      <c r="F5794" s="1">
        <v>45070</v>
      </c>
      <c r="G5794" t="str">
        <f>"91577"</f>
        <v>91577</v>
      </c>
      <c r="H5794">
        <v>1</v>
      </c>
      <c r="I5794">
        <v>398</v>
      </c>
      <c r="J5794">
        <v>0</v>
      </c>
      <c r="K5794" t="str">
        <f t="shared" si="1050"/>
        <v>813</v>
      </c>
      <c r="L5794">
        <v>334.32</v>
      </c>
    </row>
    <row r="5795" spans="1:12" x14ac:dyDescent="0.25">
      <c r="A5795" t="str">
        <f t="shared" si="1046"/>
        <v>89301000</v>
      </c>
      <c r="B5795" t="str">
        <f t="shared" si="1048"/>
        <v>72077000</v>
      </c>
      <c r="C5795" t="str">
        <f t="shared" si="1049"/>
        <v>72077001</v>
      </c>
      <c r="D5795">
        <v>89301152</v>
      </c>
      <c r="E5795" t="str">
        <f t="shared" si="1052"/>
        <v>6655270303</v>
      </c>
      <c r="F5795" s="1">
        <v>45071</v>
      </c>
      <c r="G5795" t="str">
        <f>"91197"</f>
        <v>91197</v>
      </c>
      <c r="H5795">
        <v>1</v>
      </c>
      <c r="I5795">
        <v>1048</v>
      </c>
      <c r="J5795">
        <v>0</v>
      </c>
      <c r="K5795" t="str">
        <f t="shared" si="1050"/>
        <v>813</v>
      </c>
      <c r="L5795">
        <v>880.32</v>
      </c>
    </row>
    <row r="5796" spans="1:12" x14ac:dyDescent="0.25">
      <c r="A5796" t="str">
        <f t="shared" si="1046"/>
        <v>89301000</v>
      </c>
      <c r="B5796" t="str">
        <f t="shared" si="1048"/>
        <v>72077000</v>
      </c>
      <c r="C5796" t="str">
        <f t="shared" si="1049"/>
        <v>72077001</v>
      </c>
      <c r="D5796">
        <v>89301152</v>
      </c>
      <c r="E5796" t="str">
        <f t="shared" si="1052"/>
        <v>6655270303</v>
      </c>
      <c r="F5796" s="1">
        <v>45076</v>
      </c>
      <c r="G5796" t="str">
        <f>"91465"</f>
        <v>91465</v>
      </c>
      <c r="H5796">
        <v>1</v>
      </c>
      <c r="I5796">
        <v>1412</v>
      </c>
      <c r="J5796">
        <v>0</v>
      </c>
      <c r="K5796" t="str">
        <f t="shared" si="1050"/>
        <v>813</v>
      </c>
      <c r="L5796">
        <v>1186.08</v>
      </c>
    </row>
    <row r="5797" spans="1:12" x14ac:dyDescent="0.25">
      <c r="A5797" t="str">
        <f t="shared" si="1046"/>
        <v>89301000</v>
      </c>
      <c r="B5797" t="str">
        <f t="shared" si="1048"/>
        <v>72077000</v>
      </c>
      <c r="C5797" t="str">
        <f t="shared" si="1049"/>
        <v>72077001</v>
      </c>
      <c r="D5797">
        <v>89301152</v>
      </c>
      <c r="E5797" t="str">
        <f>"9660136156"</f>
        <v>9660136156</v>
      </c>
      <c r="F5797" s="1">
        <v>45071</v>
      </c>
      <c r="G5797" t="str">
        <f>"91197"</f>
        <v>91197</v>
      </c>
      <c r="H5797">
        <v>1</v>
      </c>
      <c r="I5797">
        <v>1048</v>
      </c>
      <c r="J5797">
        <v>0</v>
      </c>
      <c r="K5797" t="str">
        <f t="shared" si="1050"/>
        <v>813</v>
      </c>
      <c r="L5797">
        <v>880.32</v>
      </c>
    </row>
    <row r="5798" spans="1:12" x14ac:dyDescent="0.25">
      <c r="A5798" t="str">
        <f t="shared" si="1046"/>
        <v>89301000</v>
      </c>
      <c r="B5798" t="str">
        <f t="shared" si="1048"/>
        <v>72077000</v>
      </c>
      <c r="C5798" t="str">
        <f t="shared" si="1049"/>
        <v>72077001</v>
      </c>
      <c r="D5798">
        <v>89301152</v>
      </c>
      <c r="E5798" t="str">
        <f>"9660136156"</f>
        <v>9660136156</v>
      </c>
      <c r="F5798" s="1">
        <v>45071</v>
      </c>
      <c r="G5798" t="str">
        <f>"91465"</f>
        <v>91465</v>
      </c>
      <c r="H5798">
        <v>1</v>
      </c>
      <c r="I5798">
        <v>1412</v>
      </c>
      <c r="J5798">
        <v>0</v>
      </c>
      <c r="K5798" t="str">
        <f t="shared" si="1050"/>
        <v>813</v>
      </c>
      <c r="L5798">
        <v>1186.08</v>
      </c>
    </row>
    <row r="5799" spans="1:12" x14ac:dyDescent="0.25">
      <c r="A5799" t="str">
        <f t="shared" si="1046"/>
        <v>89301000</v>
      </c>
      <c r="B5799" t="str">
        <f t="shared" si="1048"/>
        <v>72077000</v>
      </c>
      <c r="C5799" t="str">
        <f t="shared" si="1049"/>
        <v>72077001</v>
      </c>
      <c r="D5799">
        <v>89301152</v>
      </c>
      <c r="E5799" t="str">
        <f>"7403073040"</f>
        <v>7403073040</v>
      </c>
      <c r="F5799" s="1">
        <v>45044</v>
      </c>
      <c r="G5799" t="str">
        <f>"91197"</f>
        <v>91197</v>
      </c>
      <c r="H5799">
        <v>1</v>
      </c>
      <c r="I5799">
        <v>1048</v>
      </c>
      <c r="J5799">
        <v>0</v>
      </c>
      <c r="K5799" t="str">
        <f t="shared" si="1050"/>
        <v>813</v>
      </c>
      <c r="L5799">
        <v>880.32</v>
      </c>
    </row>
    <row r="5800" spans="1:12" x14ac:dyDescent="0.25">
      <c r="A5800" t="str">
        <f t="shared" si="1046"/>
        <v>89301000</v>
      </c>
      <c r="B5800" t="str">
        <f t="shared" si="1048"/>
        <v>72077000</v>
      </c>
      <c r="C5800" t="str">
        <f t="shared" si="1049"/>
        <v>72077001</v>
      </c>
      <c r="D5800">
        <v>89301152</v>
      </c>
      <c r="E5800" t="str">
        <f>"5861060557"</f>
        <v>5861060557</v>
      </c>
      <c r="F5800" s="1">
        <v>45042</v>
      </c>
      <c r="G5800" t="str">
        <f>"91197"</f>
        <v>91197</v>
      </c>
      <c r="H5800">
        <v>1</v>
      </c>
      <c r="I5800">
        <v>1048</v>
      </c>
      <c r="J5800">
        <v>0</v>
      </c>
      <c r="K5800" t="str">
        <f t="shared" si="1050"/>
        <v>813</v>
      </c>
      <c r="L5800">
        <v>880.32</v>
      </c>
    </row>
    <row r="5801" spans="1:12" x14ac:dyDescent="0.25">
      <c r="A5801" t="str">
        <f t="shared" si="1046"/>
        <v>89301000</v>
      </c>
      <c r="B5801" t="str">
        <f t="shared" si="1048"/>
        <v>72077000</v>
      </c>
      <c r="C5801" t="str">
        <f t="shared" si="1049"/>
        <v>72077001</v>
      </c>
      <c r="D5801">
        <v>89301152</v>
      </c>
      <c r="E5801" t="str">
        <f>"455627179"</f>
        <v>455627179</v>
      </c>
      <c r="F5801" s="1">
        <v>45042</v>
      </c>
      <c r="G5801" t="str">
        <f>"91197"</f>
        <v>91197</v>
      </c>
      <c r="H5801">
        <v>1</v>
      </c>
      <c r="I5801">
        <v>1048</v>
      </c>
      <c r="J5801">
        <v>0</v>
      </c>
      <c r="K5801" t="str">
        <f t="shared" si="1050"/>
        <v>813</v>
      </c>
      <c r="L5801">
        <v>880.32</v>
      </c>
    </row>
    <row r="5802" spans="1:12" x14ac:dyDescent="0.25">
      <c r="A5802" t="str">
        <f t="shared" si="1046"/>
        <v>89301000</v>
      </c>
      <c r="B5802" t="str">
        <f t="shared" si="1048"/>
        <v>72077000</v>
      </c>
      <c r="C5802" t="str">
        <f t="shared" si="1049"/>
        <v>72077001</v>
      </c>
      <c r="D5802">
        <v>89301152</v>
      </c>
      <c r="E5802" t="str">
        <f>"9203055994"</f>
        <v>9203055994</v>
      </c>
      <c r="F5802" s="1">
        <v>45044</v>
      </c>
      <c r="G5802" t="str">
        <f>"91197"</f>
        <v>91197</v>
      </c>
      <c r="H5802">
        <v>1</v>
      </c>
      <c r="I5802">
        <v>1048</v>
      </c>
      <c r="J5802">
        <v>0</v>
      </c>
      <c r="K5802" t="str">
        <f t="shared" si="1050"/>
        <v>813</v>
      </c>
      <c r="L5802">
        <v>880.32</v>
      </c>
    </row>
    <row r="5803" spans="1:12" x14ac:dyDescent="0.25">
      <c r="A5803" t="str">
        <f t="shared" si="1046"/>
        <v>89301000</v>
      </c>
      <c r="B5803" t="str">
        <f t="shared" ref="B5803:B5832" si="1053">"89895000"</f>
        <v>89895000</v>
      </c>
      <c r="C5803" t="str">
        <f t="shared" ref="C5803:C5832" si="1054">"89895002"</f>
        <v>89895002</v>
      </c>
      <c r="D5803">
        <v>89301212</v>
      </c>
      <c r="E5803" t="str">
        <f>"406221434"</f>
        <v>406221434</v>
      </c>
      <c r="F5803" s="1">
        <v>45049</v>
      </c>
      <c r="G5803" t="str">
        <f>"89513"</f>
        <v>89513</v>
      </c>
      <c r="H5803">
        <v>1</v>
      </c>
      <c r="I5803">
        <v>378</v>
      </c>
      <c r="J5803">
        <v>0</v>
      </c>
      <c r="K5803" t="str">
        <f t="shared" ref="K5803:K5832" si="1055">"809"</f>
        <v>809</v>
      </c>
      <c r="L5803">
        <v>555.66</v>
      </c>
    </row>
    <row r="5804" spans="1:12" x14ac:dyDescent="0.25">
      <c r="A5804" t="str">
        <f t="shared" si="1046"/>
        <v>89301000</v>
      </c>
      <c r="B5804" t="str">
        <f t="shared" si="1053"/>
        <v>89895000</v>
      </c>
      <c r="C5804" t="str">
        <f t="shared" si="1054"/>
        <v>89895002</v>
      </c>
      <c r="D5804">
        <v>89301212</v>
      </c>
      <c r="E5804" t="str">
        <f>"406221434"</f>
        <v>406221434</v>
      </c>
      <c r="F5804" s="1">
        <v>45049</v>
      </c>
      <c r="G5804" t="str">
        <f>"89512"</f>
        <v>89512</v>
      </c>
      <c r="H5804">
        <v>1</v>
      </c>
      <c r="I5804">
        <v>283</v>
      </c>
      <c r="J5804">
        <v>0</v>
      </c>
      <c r="K5804" t="str">
        <f t="shared" si="1055"/>
        <v>809</v>
      </c>
      <c r="L5804">
        <v>416.01</v>
      </c>
    </row>
    <row r="5805" spans="1:12" x14ac:dyDescent="0.25">
      <c r="A5805" t="str">
        <f t="shared" si="1046"/>
        <v>89301000</v>
      </c>
      <c r="B5805" t="str">
        <f t="shared" si="1053"/>
        <v>89895000</v>
      </c>
      <c r="C5805" t="str">
        <f t="shared" si="1054"/>
        <v>89895002</v>
      </c>
      <c r="D5805">
        <v>89301212</v>
      </c>
      <c r="E5805" t="str">
        <f>"406221434"</f>
        <v>406221434</v>
      </c>
      <c r="F5805" s="1">
        <v>45049</v>
      </c>
      <c r="G5805" t="str">
        <f>"89514"</f>
        <v>89514</v>
      </c>
      <c r="H5805">
        <v>1</v>
      </c>
      <c r="I5805">
        <v>378</v>
      </c>
      <c r="J5805">
        <v>0</v>
      </c>
      <c r="K5805" t="str">
        <f t="shared" si="1055"/>
        <v>809</v>
      </c>
      <c r="L5805">
        <v>555.66</v>
      </c>
    </row>
    <row r="5806" spans="1:12" x14ac:dyDescent="0.25">
      <c r="A5806" t="str">
        <f t="shared" si="1046"/>
        <v>89301000</v>
      </c>
      <c r="B5806" t="str">
        <f t="shared" si="1053"/>
        <v>89895000</v>
      </c>
      <c r="C5806" t="str">
        <f t="shared" si="1054"/>
        <v>89895002</v>
      </c>
      <c r="D5806">
        <v>89301212</v>
      </c>
      <c r="E5806" t="str">
        <f>"406221434"</f>
        <v>406221434</v>
      </c>
      <c r="F5806" s="1">
        <v>45049</v>
      </c>
      <c r="G5806" t="str">
        <f>"09511"</f>
        <v>09511</v>
      </c>
      <c r="H5806">
        <v>1</v>
      </c>
      <c r="I5806">
        <v>45</v>
      </c>
      <c r="J5806">
        <v>0</v>
      </c>
      <c r="K5806" t="str">
        <f t="shared" si="1055"/>
        <v>809</v>
      </c>
      <c r="L5806">
        <v>66.150000000000006</v>
      </c>
    </row>
    <row r="5807" spans="1:12" x14ac:dyDescent="0.25">
      <c r="A5807" t="str">
        <f t="shared" si="1046"/>
        <v>89301000</v>
      </c>
      <c r="B5807" t="str">
        <f t="shared" si="1053"/>
        <v>89895000</v>
      </c>
      <c r="C5807" t="str">
        <f t="shared" si="1054"/>
        <v>89895002</v>
      </c>
      <c r="D5807">
        <v>89301212</v>
      </c>
      <c r="E5807" t="str">
        <f>"406221434"</f>
        <v>406221434</v>
      </c>
      <c r="F5807" s="1">
        <v>45049</v>
      </c>
      <c r="G5807" t="str">
        <f>"89180"</f>
        <v>89180</v>
      </c>
      <c r="H5807">
        <v>2</v>
      </c>
      <c r="I5807">
        <v>762</v>
      </c>
      <c r="J5807">
        <v>0</v>
      </c>
      <c r="K5807" t="str">
        <f t="shared" si="1055"/>
        <v>809</v>
      </c>
      <c r="L5807">
        <v>1120.1400000000001</v>
      </c>
    </row>
    <row r="5808" spans="1:12" x14ac:dyDescent="0.25">
      <c r="A5808" t="str">
        <f t="shared" si="1046"/>
        <v>89301000</v>
      </c>
      <c r="B5808" t="str">
        <f t="shared" si="1053"/>
        <v>89895000</v>
      </c>
      <c r="C5808" t="str">
        <f t="shared" si="1054"/>
        <v>89895002</v>
      </c>
      <c r="D5808">
        <v>89301212</v>
      </c>
      <c r="E5808" t="str">
        <f>"435208418"</f>
        <v>435208418</v>
      </c>
      <c r="F5808" s="1">
        <v>45072</v>
      </c>
      <c r="G5808" t="str">
        <f>"89180"</f>
        <v>89180</v>
      </c>
      <c r="H5808">
        <v>2</v>
      </c>
      <c r="I5808">
        <v>762</v>
      </c>
      <c r="J5808">
        <v>0</v>
      </c>
      <c r="K5808" t="str">
        <f t="shared" si="1055"/>
        <v>809</v>
      </c>
      <c r="L5808">
        <v>1120.1400000000001</v>
      </c>
    </row>
    <row r="5809" spans="1:12" x14ac:dyDescent="0.25">
      <c r="A5809" t="str">
        <f t="shared" si="1046"/>
        <v>89301000</v>
      </c>
      <c r="B5809" t="str">
        <f t="shared" si="1053"/>
        <v>89895000</v>
      </c>
      <c r="C5809" t="str">
        <f t="shared" si="1054"/>
        <v>89895002</v>
      </c>
      <c r="D5809">
        <v>89301212</v>
      </c>
      <c r="E5809" t="str">
        <f>"435208418"</f>
        <v>435208418</v>
      </c>
      <c r="F5809" s="1">
        <v>45072</v>
      </c>
      <c r="G5809" t="str">
        <f>"89512"</f>
        <v>89512</v>
      </c>
      <c r="H5809">
        <v>1</v>
      </c>
      <c r="I5809">
        <v>283</v>
      </c>
      <c r="J5809">
        <v>0</v>
      </c>
      <c r="K5809" t="str">
        <f t="shared" si="1055"/>
        <v>809</v>
      </c>
      <c r="L5809">
        <v>416.01</v>
      </c>
    </row>
    <row r="5810" spans="1:12" x14ac:dyDescent="0.25">
      <c r="A5810" t="str">
        <f t="shared" si="1046"/>
        <v>89301000</v>
      </c>
      <c r="B5810" t="str">
        <f t="shared" si="1053"/>
        <v>89895000</v>
      </c>
      <c r="C5810" t="str">
        <f t="shared" si="1054"/>
        <v>89895002</v>
      </c>
      <c r="D5810">
        <v>89301212</v>
      </c>
      <c r="E5810" t="str">
        <f>"495620001"</f>
        <v>495620001</v>
      </c>
      <c r="F5810" s="1">
        <v>45061</v>
      </c>
      <c r="G5810" t="str">
        <f>"89512"</f>
        <v>89512</v>
      </c>
      <c r="H5810">
        <v>1</v>
      </c>
      <c r="I5810">
        <v>283</v>
      </c>
      <c r="J5810">
        <v>0</v>
      </c>
      <c r="K5810" t="str">
        <f t="shared" si="1055"/>
        <v>809</v>
      </c>
      <c r="L5810">
        <v>416.01</v>
      </c>
    </row>
    <row r="5811" spans="1:12" x14ac:dyDescent="0.25">
      <c r="A5811" t="str">
        <f t="shared" si="1046"/>
        <v>89301000</v>
      </c>
      <c r="B5811" t="str">
        <f t="shared" si="1053"/>
        <v>89895000</v>
      </c>
      <c r="C5811" t="str">
        <f t="shared" si="1054"/>
        <v>89895002</v>
      </c>
      <c r="D5811">
        <v>89301212</v>
      </c>
      <c r="E5811" t="str">
        <f>"5559221910"</f>
        <v>5559221910</v>
      </c>
      <c r="F5811" s="1">
        <v>45061</v>
      </c>
      <c r="G5811" t="str">
        <f>"89513"</f>
        <v>89513</v>
      </c>
      <c r="H5811">
        <v>1</v>
      </c>
      <c r="I5811">
        <v>378</v>
      </c>
      <c r="J5811">
        <v>0</v>
      </c>
      <c r="K5811" t="str">
        <f t="shared" si="1055"/>
        <v>809</v>
      </c>
      <c r="L5811">
        <v>555.66</v>
      </c>
    </row>
    <row r="5812" spans="1:12" x14ac:dyDescent="0.25">
      <c r="A5812" t="str">
        <f t="shared" si="1046"/>
        <v>89301000</v>
      </c>
      <c r="B5812" t="str">
        <f t="shared" si="1053"/>
        <v>89895000</v>
      </c>
      <c r="C5812" t="str">
        <f t="shared" si="1054"/>
        <v>89895002</v>
      </c>
      <c r="D5812">
        <v>89301212</v>
      </c>
      <c r="E5812" t="str">
        <f>"5559221910"</f>
        <v>5559221910</v>
      </c>
      <c r="F5812" s="1">
        <v>45061</v>
      </c>
      <c r="G5812" t="str">
        <f>"89514"</f>
        <v>89514</v>
      </c>
      <c r="H5812">
        <v>1</v>
      </c>
      <c r="I5812">
        <v>378</v>
      </c>
      <c r="J5812">
        <v>0</v>
      </c>
      <c r="K5812" t="str">
        <f t="shared" si="1055"/>
        <v>809</v>
      </c>
      <c r="L5812">
        <v>555.66</v>
      </c>
    </row>
    <row r="5813" spans="1:12" x14ac:dyDescent="0.25">
      <c r="A5813" t="str">
        <f t="shared" si="1046"/>
        <v>89301000</v>
      </c>
      <c r="B5813" t="str">
        <f t="shared" si="1053"/>
        <v>89895000</v>
      </c>
      <c r="C5813" t="str">
        <f t="shared" si="1054"/>
        <v>89895002</v>
      </c>
      <c r="D5813">
        <v>89301212</v>
      </c>
      <c r="E5813" t="str">
        <f>"5753151415"</f>
        <v>5753151415</v>
      </c>
      <c r="F5813" s="1">
        <v>45051</v>
      </c>
      <c r="G5813" t="str">
        <f>"89512"</f>
        <v>89512</v>
      </c>
      <c r="H5813">
        <v>1</v>
      </c>
      <c r="I5813">
        <v>283</v>
      </c>
      <c r="J5813">
        <v>0</v>
      </c>
      <c r="K5813" t="str">
        <f t="shared" si="1055"/>
        <v>809</v>
      </c>
      <c r="L5813">
        <v>416.01</v>
      </c>
    </row>
    <row r="5814" spans="1:12" x14ac:dyDescent="0.25">
      <c r="A5814" t="str">
        <f t="shared" si="1046"/>
        <v>89301000</v>
      </c>
      <c r="B5814" t="str">
        <f t="shared" si="1053"/>
        <v>89895000</v>
      </c>
      <c r="C5814" t="str">
        <f t="shared" si="1054"/>
        <v>89895002</v>
      </c>
      <c r="D5814">
        <v>89301212</v>
      </c>
      <c r="E5814" t="str">
        <f>"5955071430"</f>
        <v>5955071430</v>
      </c>
      <c r="F5814" s="1">
        <v>45061</v>
      </c>
      <c r="G5814" t="str">
        <f>"89512"</f>
        <v>89512</v>
      </c>
      <c r="H5814">
        <v>1</v>
      </c>
      <c r="I5814">
        <v>283</v>
      </c>
      <c r="J5814">
        <v>0</v>
      </c>
      <c r="K5814" t="str">
        <f t="shared" si="1055"/>
        <v>809</v>
      </c>
      <c r="L5814">
        <v>416.01</v>
      </c>
    </row>
    <row r="5815" spans="1:12" x14ac:dyDescent="0.25">
      <c r="A5815" t="str">
        <f t="shared" si="1046"/>
        <v>89301000</v>
      </c>
      <c r="B5815" t="str">
        <f t="shared" si="1053"/>
        <v>89895000</v>
      </c>
      <c r="C5815" t="str">
        <f t="shared" si="1054"/>
        <v>89895002</v>
      </c>
      <c r="D5815">
        <v>89301212</v>
      </c>
      <c r="E5815" t="str">
        <f>"5955071430"</f>
        <v>5955071430</v>
      </c>
      <c r="F5815" s="1">
        <v>45068</v>
      </c>
      <c r="G5815" t="str">
        <f>"89513"</f>
        <v>89513</v>
      </c>
      <c r="H5815">
        <v>1</v>
      </c>
      <c r="I5815">
        <v>378</v>
      </c>
      <c r="J5815">
        <v>0</v>
      </c>
      <c r="K5815" t="str">
        <f t="shared" si="1055"/>
        <v>809</v>
      </c>
      <c r="L5815">
        <v>555.66</v>
      </c>
    </row>
    <row r="5816" spans="1:12" x14ac:dyDescent="0.25">
      <c r="A5816" t="str">
        <f t="shared" si="1046"/>
        <v>89301000</v>
      </c>
      <c r="B5816" t="str">
        <f t="shared" si="1053"/>
        <v>89895000</v>
      </c>
      <c r="C5816" t="str">
        <f t="shared" si="1054"/>
        <v>89895002</v>
      </c>
      <c r="D5816">
        <v>89301212</v>
      </c>
      <c r="E5816" t="str">
        <f>"5955071430"</f>
        <v>5955071430</v>
      </c>
      <c r="F5816" s="1">
        <v>45068</v>
      </c>
      <c r="G5816" t="str">
        <f>"89514"</f>
        <v>89514</v>
      </c>
      <c r="H5816">
        <v>1</v>
      </c>
      <c r="I5816">
        <v>378</v>
      </c>
      <c r="J5816">
        <v>0</v>
      </c>
      <c r="K5816" t="str">
        <f t="shared" si="1055"/>
        <v>809</v>
      </c>
      <c r="L5816">
        <v>555.66</v>
      </c>
    </row>
    <row r="5817" spans="1:12" x14ac:dyDescent="0.25">
      <c r="A5817" t="str">
        <f t="shared" si="1046"/>
        <v>89301000</v>
      </c>
      <c r="B5817" t="str">
        <f t="shared" si="1053"/>
        <v>89895000</v>
      </c>
      <c r="C5817" t="str">
        <f t="shared" si="1054"/>
        <v>89895002</v>
      </c>
      <c r="D5817">
        <v>89301212</v>
      </c>
      <c r="E5817" t="str">
        <f>"6153182266"</f>
        <v>6153182266</v>
      </c>
      <c r="F5817" s="1">
        <v>45056</v>
      </c>
      <c r="G5817" t="str">
        <f>"89180"</f>
        <v>89180</v>
      </c>
      <c r="H5817">
        <v>2</v>
      </c>
      <c r="I5817">
        <v>762</v>
      </c>
      <c r="J5817">
        <v>0</v>
      </c>
      <c r="K5817" t="str">
        <f t="shared" si="1055"/>
        <v>809</v>
      </c>
      <c r="L5817">
        <v>1120.1400000000001</v>
      </c>
    </row>
    <row r="5818" spans="1:12" x14ac:dyDescent="0.25">
      <c r="A5818" t="str">
        <f t="shared" si="1046"/>
        <v>89301000</v>
      </c>
      <c r="B5818" t="str">
        <f t="shared" si="1053"/>
        <v>89895000</v>
      </c>
      <c r="C5818" t="str">
        <f t="shared" si="1054"/>
        <v>89895002</v>
      </c>
      <c r="D5818">
        <v>89301212</v>
      </c>
      <c r="E5818" t="str">
        <f>"6253100040"</f>
        <v>6253100040</v>
      </c>
      <c r="F5818" s="1">
        <v>45063</v>
      </c>
      <c r="G5818" t="str">
        <f>"89180"</f>
        <v>89180</v>
      </c>
      <c r="H5818">
        <v>2</v>
      </c>
      <c r="I5818">
        <v>762</v>
      </c>
      <c r="J5818">
        <v>0</v>
      </c>
      <c r="K5818" t="str">
        <f t="shared" si="1055"/>
        <v>809</v>
      </c>
      <c r="L5818">
        <v>1120.1400000000001</v>
      </c>
    </row>
    <row r="5819" spans="1:12" x14ac:dyDescent="0.25">
      <c r="A5819" t="str">
        <f t="shared" si="1046"/>
        <v>89301000</v>
      </c>
      <c r="B5819" t="str">
        <f t="shared" si="1053"/>
        <v>89895000</v>
      </c>
      <c r="C5819" t="str">
        <f t="shared" si="1054"/>
        <v>89895002</v>
      </c>
      <c r="D5819">
        <v>89301212</v>
      </c>
      <c r="E5819" t="str">
        <f>"6253100040"</f>
        <v>6253100040</v>
      </c>
      <c r="F5819" s="1">
        <v>45063</v>
      </c>
      <c r="G5819" t="str">
        <f>"89512"</f>
        <v>89512</v>
      </c>
      <c r="H5819">
        <v>1</v>
      </c>
      <c r="I5819">
        <v>283</v>
      </c>
      <c r="J5819">
        <v>0</v>
      </c>
      <c r="K5819" t="str">
        <f t="shared" si="1055"/>
        <v>809</v>
      </c>
      <c r="L5819">
        <v>416.01</v>
      </c>
    </row>
    <row r="5820" spans="1:12" x14ac:dyDescent="0.25">
      <c r="A5820" t="str">
        <f t="shared" si="1046"/>
        <v>89301000</v>
      </c>
      <c r="B5820" t="str">
        <f t="shared" si="1053"/>
        <v>89895000</v>
      </c>
      <c r="C5820" t="str">
        <f t="shared" si="1054"/>
        <v>89895002</v>
      </c>
      <c r="D5820">
        <v>89301212</v>
      </c>
      <c r="E5820" t="str">
        <f>"6554141825"</f>
        <v>6554141825</v>
      </c>
      <c r="F5820" s="1">
        <v>45072</v>
      </c>
      <c r="G5820" t="str">
        <f>"89180"</f>
        <v>89180</v>
      </c>
      <c r="H5820">
        <v>2</v>
      </c>
      <c r="I5820">
        <v>762</v>
      </c>
      <c r="J5820">
        <v>0</v>
      </c>
      <c r="K5820" t="str">
        <f t="shared" si="1055"/>
        <v>809</v>
      </c>
      <c r="L5820">
        <v>1120.1400000000001</v>
      </c>
    </row>
    <row r="5821" spans="1:12" x14ac:dyDescent="0.25">
      <c r="A5821" t="str">
        <f t="shared" si="1046"/>
        <v>89301000</v>
      </c>
      <c r="B5821" t="str">
        <f t="shared" si="1053"/>
        <v>89895000</v>
      </c>
      <c r="C5821" t="str">
        <f t="shared" si="1054"/>
        <v>89895002</v>
      </c>
      <c r="D5821">
        <v>89301292</v>
      </c>
      <c r="E5821" t="str">
        <f>"7353104484"</f>
        <v>7353104484</v>
      </c>
      <c r="F5821" s="1">
        <v>45048</v>
      </c>
      <c r="G5821" t="str">
        <f>"89512"</f>
        <v>89512</v>
      </c>
      <c r="H5821">
        <v>1</v>
      </c>
      <c r="I5821">
        <v>283</v>
      </c>
      <c r="J5821">
        <v>0</v>
      </c>
      <c r="K5821" t="str">
        <f t="shared" si="1055"/>
        <v>809</v>
      </c>
      <c r="L5821">
        <v>416.01</v>
      </c>
    </row>
    <row r="5822" spans="1:12" x14ac:dyDescent="0.25">
      <c r="A5822" t="str">
        <f t="shared" si="1046"/>
        <v>89301000</v>
      </c>
      <c r="B5822" t="str">
        <f t="shared" si="1053"/>
        <v>89895000</v>
      </c>
      <c r="C5822" t="str">
        <f t="shared" si="1054"/>
        <v>89895002</v>
      </c>
      <c r="D5822">
        <v>89301292</v>
      </c>
      <c r="E5822" t="str">
        <f>"7353104484"</f>
        <v>7353104484</v>
      </c>
      <c r="F5822" s="1">
        <v>45048</v>
      </c>
      <c r="G5822" t="str">
        <f>"09511"</f>
        <v>09511</v>
      </c>
      <c r="H5822">
        <v>1</v>
      </c>
      <c r="I5822">
        <v>45</v>
      </c>
      <c r="J5822">
        <v>0</v>
      </c>
      <c r="K5822" t="str">
        <f t="shared" si="1055"/>
        <v>809</v>
      </c>
      <c r="L5822">
        <v>66.150000000000006</v>
      </c>
    </row>
    <row r="5823" spans="1:12" x14ac:dyDescent="0.25">
      <c r="A5823" t="str">
        <f t="shared" si="1046"/>
        <v>89301000</v>
      </c>
      <c r="B5823" t="str">
        <f t="shared" si="1053"/>
        <v>89895000</v>
      </c>
      <c r="C5823" t="str">
        <f t="shared" si="1054"/>
        <v>89895002</v>
      </c>
      <c r="D5823">
        <v>89301212</v>
      </c>
      <c r="E5823" t="str">
        <f>"8153065338"</f>
        <v>8153065338</v>
      </c>
      <c r="F5823" s="1">
        <v>45072</v>
      </c>
      <c r="G5823" t="str">
        <f>"89180"</f>
        <v>89180</v>
      </c>
      <c r="H5823">
        <v>2</v>
      </c>
      <c r="I5823">
        <v>762</v>
      </c>
      <c r="J5823">
        <v>0</v>
      </c>
      <c r="K5823" t="str">
        <f t="shared" si="1055"/>
        <v>809</v>
      </c>
      <c r="L5823">
        <v>1120.1400000000001</v>
      </c>
    </row>
    <row r="5824" spans="1:12" x14ac:dyDescent="0.25">
      <c r="A5824" t="str">
        <f t="shared" si="1046"/>
        <v>89301000</v>
      </c>
      <c r="B5824" t="str">
        <f t="shared" si="1053"/>
        <v>89895000</v>
      </c>
      <c r="C5824" t="str">
        <f t="shared" si="1054"/>
        <v>89895002</v>
      </c>
      <c r="D5824">
        <v>89301212</v>
      </c>
      <c r="E5824" t="str">
        <f>"8252125310"</f>
        <v>8252125310</v>
      </c>
      <c r="F5824" s="1">
        <v>45049</v>
      </c>
      <c r="G5824" t="str">
        <f>"89512"</f>
        <v>89512</v>
      </c>
      <c r="H5824">
        <v>1</v>
      </c>
      <c r="I5824">
        <v>283</v>
      </c>
      <c r="J5824">
        <v>0</v>
      </c>
      <c r="K5824" t="str">
        <f t="shared" si="1055"/>
        <v>809</v>
      </c>
      <c r="L5824">
        <v>416.01</v>
      </c>
    </row>
    <row r="5825" spans="1:12" x14ac:dyDescent="0.25">
      <c r="A5825" t="str">
        <f t="shared" si="1046"/>
        <v>89301000</v>
      </c>
      <c r="B5825" t="str">
        <f t="shared" si="1053"/>
        <v>89895000</v>
      </c>
      <c r="C5825" t="str">
        <f t="shared" si="1054"/>
        <v>89895002</v>
      </c>
      <c r="D5825">
        <v>89301212</v>
      </c>
      <c r="E5825" t="str">
        <f>"8252125310"</f>
        <v>8252125310</v>
      </c>
      <c r="F5825" s="1">
        <v>45049</v>
      </c>
      <c r="G5825" t="str">
        <f>"89513"</f>
        <v>89513</v>
      </c>
      <c r="H5825">
        <v>1</v>
      </c>
      <c r="I5825">
        <v>378</v>
      </c>
      <c r="J5825">
        <v>0</v>
      </c>
      <c r="K5825" t="str">
        <f t="shared" si="1055"/>
        <v>809</v>
      </c>
      <c r="L5825">
        <v>555.66</v>
      </c>
    </row>
    <row r="5826" spans="1:12" x14ac:dyDescent="0.25">
      <c r="A5826" t="str">
        <f t="shared" ref="A5826:A5889" si="1056">"89301000"</f>
        <v>89301000</v>
      </c>
      <c r="B5826" t="str">
        <f t="shared" si="1053"/>
        <v>89895000</v>
      </c>
      <c r="C5826" t="str">
        <f t="shared" si="1054"/>
        <v>89895002</v>
      </c>
      <c r="D5826">
        <v>89301212</v>
      </c>
      <c r="E5826" t="str">
        <f>"8252125310"</f>
        <v>8252125310</v>
      </c>
      <c r="F5826" s="1">
        <v>45049</v>
      </c>
      <c r="G5826" t="str">
        <f>"89514"</f>
        <v>89514</v>
      </c>
      <c r="H5826">
        <v>1</v>
      </c>
      <c r="I5826">
        <v>378</v>
      </c>
      <c r="J5826">
        <v>0</v>
      </c>
      <c r="K5826" t="str">
        <f t="shared" si="1055"/>
        <v>809</v>
      </c>
      <c r="L5826">
        <v>555.66</v>
      </c>
    </row>
    <row r="5827" spans="1:12" x14ac:dyDescent="0.25">
      <c r="A5827" t="str">
        <f t="shared" si="1056"/>
        <v>89301000</v>
      </c>
      <c r="B5827" t="str">
        <f t="shared" si="1053"/>
        <v>89895000</v>
      </c>
      <c r="C5827" t="str">
        <f t="shared" si="1054"/>
        <v>89895002</v>
      </c>
      <c r="D5827">
        <v>89301212</v>
      </c>
      <c r="E5827" t="str">
        <f t="shared" ref="E5827:E5832" si="1057">"9061155730"</f>
        <v>9061155730</v>
      </c>
      <c r="F5827" s="1">
        <v>45055</v>
      </c>
      <c r="G5827" t="str">
        <f>"89512"</f>
        <v>89512</v>
      </c>
      <c r="H5827">
        <v>1</v>
      </c>
      <c r="I5827">
        <v>283</v>
      </c>
      <c r="J5827">
        <v>0</v>
      </c>
      <c r="K5827" t="str">
        <f t="shared" si="1055"/>
        <v>809</v>
      </c>
      <c r="L5827">
        <v>416.01</v>
      </c>
    </row>
    <row r="5828" spans="1:12" x14ac:dyDescent="0.25">
      <c r="A5828" t="str">
        <f t="shared" si="1056"/>
        <v>89301000</v>
      </c>
      <c r="B5828" t="str">
        <f t="shared" si="1053"/>
        <v>89895000</v>
      </c>
      <c r="C5828" t="str">
        <f t="shared" si="1054"/>
        <v>89895002</v>
      </c>
      <c r="D5828">
        <v>89301212</v>
      </c>
      <c r="E5828" t="str">
        <f t="shared" si="1057"/>
        <v>9061155730</v>
      </c>
      <c r="F5828" s="1">
        <v>45055</v>
      </c>
      <c r="G5828" t="str">
        <f>"09511"</f>
        <v>09511</v>
      </c>
      <c r="H5828">
        <v>1</v>
      </c>
      <c r="I5828">
        <v>45</v>
      </c>
      <c r="J5828">
        <v>0</v>
      </c>
      <c r="K5828" t="str">
        <f t="shared" si="1055"/>
        <v>809</v>
      </c>
      <c r="L5828">
        <v>66.150000000000006</v>
      </c>
    </row>
    <row r="5829" spans="1:12" x14ac:dyDescent="0.25">
      <c r="A5829" t="str">
        <f t="shared" si="1056"/>
        <v>89301000</v>
      </c>
      <c r="B5829" t="str">
        <f t="shared" si="1053"/>
        <v>89895000</v>
      </c>
      <c r="C5829" t="str">
        <f t="shared" si="1054"/>
        <v>89895002</v>
      </c>
      <c r="D5829">
        <v>89301212</v>
      </c>
      <c r="E5829" t="str">
        <f t="shared" si="1057"/>
        <v>9061155730</v>
      </c>
      <c r="F5829" s="1">
        <v>45057</v>
      </c>
      <c r="G5829" t="str">
        <f>"89313"</f>
        <v>89313</v>
      </c>
      <c r="H5829">
        <v>1</v>
      </c>
      <c r="I5829">
        <v>420</v>
      </c>
      <c r="J5829">
        <v>0</v>
      </c>
      <c r="K5829" t="str">
        <f t="shared" si="1055"/>
        <v>809</v>
      </c>
      <c r="L5829">
        <v>617.4</v>
      </c>
    </row>
    <row r="5830" spans="1:12" x14ac:dyDescent="0.25">
      <c r="A5830" t="str">
        <f t="shared" si="1056"/>
        <v>89301000</v>
      </c>
      <c r="B5830" t="str">
        <f t="shared" si="1053"/>
        <v>89895000</v>
      </c>
      <c r="C5830" t="str">
        <f t="shared" si="1054"/>
        <v>89895002</v>
      </c>
      <c r="D5830">
        <v>89301212</v>
      </c>
      <c r="E5830" t="str">
        <f t="shared" si="1057"/>
        <v>9061155730</v>
      </c>
      <c r="F5830" s="1">
        <v>45057</v>
      </c>
      <c r="G5830" t="str">
        <f>"89512"</f>
        <v>89512</v>
      </c>
      <c r="H5830">
        <v>1</v>
      </c>
      <c r="I5830">
        <v>283</v>
      </c>
      <c r="J5830">
        <v>0</v>
      </c>
      <c r="K5830" t="str">
        <f t="shared" si="1055"/>
        <v>809</v>
      </c>
      <c r="L5830">
        <v>416.01</v>
      </c>
    </row>
    <row r="5831" spans="1:12" x14ac:dyDescent="0.25">
      <c r="A5831" t="str">
        <f t="shared" si="1056"/>
        <v>89301000</v>
      </c>
      <c r="B5831" t="str">
        <f t="shared" si="1053"/>
        <v>89895000</v>
      </c>
      <c r="C5831" t="str">
        <f t="shared" si="1054"/>
        <v>89895002</v>
      </c>
      <c r="D5831">
        <v>89301212</v>
      </c>
      <c r="E5831" t="str">
        <f t="shared" si="1057"/>
        <v>9061155730</v>
      </c>
      <c r="F5831" s="1">
        <v>45057</v>
      </c>
      <c r="G5831" t="str">
        <f>"0000502"</f>
        <v>0000502</v>
      </c>
      <c r="H5831">
        <v>0.1</v>
      </c>
      <c r="J5831">
        <v>6.97</v>
      </c>
      <c r="K5831" t="str">
        <f t="shared" si="1055"/>
        <v>809</v>
      </c>
      <c r="L5831">
        <v>6.97</v>
      </c>
    </row>
    <row r="5832" spans="1:12" x14ac:dyDescent="0.25">
      <c r="A5832" t="str">
        <f t="shared" si="1056"/>
        <v>89301000</v>
      </c>
      <c r="B5832" t="str">
        <f t="shared" si="1053"/>
        <v>89895000</v>
      </c>
      <c r="C5832" t="str">
        <f t="shared" si="1054"/>
        <v>89895002</v>
      </c>
      <c r="D5832">
        <v>89301212</v>
      </c>
      <c r="E5832" t="str">
        <f t="shared" si="1057"/>
        <v>9061155730</v>
      </c>
      <c r="F5832" s="1">
        <v>45057</v>
      </c>
      <c r="G5832" t="str">
        <f>"0082409"</f>
        <v>0082409</v>
      </c>
      <c r="H5832">
        <v>1</v>
      </c>
      <c r="J5832">
        <v>702</v>
      </c>
      <c r="K5832" t="str">
        <f t="shared" si="1055"/>
        <v>809</v>
      </c>
      <c r="L5832">
        <v>702</v>
      </c>
    </row>
    <row r="5833" spans="1:12" x14ac:dyDescent="0.25">
      <c r="A5833" t="str">
        <f t="shared" si="1056"/>
        <v>89301000</v>
      </c>
      <c r="B5833" t="str">
        <f>"72996675"</f>
        <v>72996675</v>
      </c>
      <c r="C5833" t="str">
        <f>"72996675"</f>
        <v>72996675</v>
      </c>
      <c r="D5833">
        <v>89301282</v>
      </c>
      <c r="E5833" t="str">
        <f>"9358316242"</f>
        <v>9358316242</v>
      </c>
      <c r="F5833" s="1">
        <v>45051</v>
      </c>
      <c r="G5833" t="str">
        <f>"94331"</f>
        <v>94331</v>
      </c>
      <c r="H5833">
        <v>3</v>
      </c>
      <c r="I5833">
        <v>23598</v>
      </c>
      <c r="J5833">
        <v>0</v>
      </c>
      <c r="K5833" t="str">
        <f>"816"</f>
        <v>816</v>
      </c>
      <c r="L5833">
        <v>21238.2</v>
      </c>
    </row>
    <row r="5834" spans="1:12" x14ac:dyDescent="0.25">
      <c r="A5834" t="str">
        <f t="shared" si="1056"/>
        <v>89301000</v>
      </c>
      <c r="B5834" t="str">
        <f>"72996675"</f>
        <v>72996675</v>
      </c>
      <c r="C5834" t="str">
        <f>"72996675"</f>
        <v>72996675</v>
      </c>
      <c r="D5834">
        <v>89301282</v>
      </c>
      <c r="E5834" t="str">
        <f>"9661296161"</f>
        <v>9661296161</v>
      </c>
      <c r="F5834" s="1">
        <v>45068</v>
      </c>
      <c r="G5834" t="str">
        <f>"94331"</f>
        <v>94331</v>
      </c>
      <c r="H5834">
        <v>3</v>
      </c>
      <c r="I5834">
        <v>23598</v>
      </c>
      <c r="J5834">
        <v>0</v>
      </c>
      <c r="K5834" t="str">
        <f>"816"</f>
        <v>816</v>
      </c>
      <c r="L5834">
        <v>21238.2</v>
      </c>
    </row>
    <row r="5835" spans="1:12" x14ac:dyDescent="0.25">
      <c r="A5835" t="str">
        <f t="shared" si="1056"/>
        <v>89301000</v>
      </c>
      <c r="B5835" t="str">
        <f>"89445000"</f>
        <v>89445000</v>
      </c>
      <c r="C5835" t="str">
        <f>"89445001"</f>
        <v>89445001</v>
      </c>
      <c r="D5835">
        <v>89301082</v>
      </c>
      <c r="E5835" t="str">
        <f>"8661194916"</f>
        <v>8661194916</v>
      </c>
      <c r="F5835" s="1">
        <v>45077</v>
      </c>
      <c r="G5835" t="str">
        <f>"09119"</f>
        <v>09119</v>
      </c>
      <c r="H5835">
        <v>1</v>
      </c>
      <c r="I5835">
        <v>43</v>
      </c>
      <c r="J5835">
        <v>0</v>
      </c>
      <c r="K5835" t="str">
        <f>"801"</f>
        <v>801</v>
      </c>
      <c r="L5835">
        <v>54.18</v>
      </c>
    </row>
    <row r="5836" spans="1:12" x14ac:dyDescent="0.25">
      <c r="A5836" t="str">
        <f t="shared" si="1056"/>
        <v>89301000</v>
      </c>
      <c r="B5836" t="str">
        <f>"89445000"</f>
        <v>89445000</v>
      </c>
      <c r="C5836" t="str">
        <f>"89445001"</f>
        <v>89445001</v>
      </c>
      <c r="D5836">
        <v>89301082</v>
      </c>
      <c r="E5836" t="str">
        <f>"8661194916"</f>
        <v>8661194916</v>
      </c>
      <c r="F5836" s="1">
        <v>45077</v>
      </c>
      <c r="G5836" t="str">
        <f>"93159"</f>
        <v>93159</v>
      </c>
      <c r="H5836">
        <v>1</v>
      </c>
      <c r="I5836">
        <v>197</v>
      </c>
      <c r="J5836">
        <v>0</v>
      </c>
      <c r="K5836" t="str">
        <f>"801"</f>
        <v>801</v>
      </c>
      <c r="L5836">
        <v>165.48</v>
      </c>
    </row>
    <row r="5837" spans="1:12" x14ac:dyDescent="0.25">
      <c r="A5837" t="str">
        <f t="shared" si="1056"/>
        <v>89301000</v>
      </c>
      <c r="B5837" t="str">
        <f>"89445000"</f>
        <v>89445000</v>
      </c>
      <c r="C5837" t="str">
        <f>"89445001"</f>
        <v>89445001</v>
      </c>
      <c r="D5837">
        <v>89301082</v>
      </c>
      <c r="E5837" t="str">
        <f>"8661194916"</f>
        <v>8661194916</v>
      </c>
      <c r="F5837" s="1">
        <v>45077</v>
      </c>
      <c r="G5837" t="str">
        <f>"97111"</f>
        <v>97111</v>
      </c>
      <c r="H5837">
        <v>1</v>
      </c>
      <c r="I5837">
        <v>19</v>
      </c>
      <c r="J5837">
        <v>0</v>
      </c>
      <c r="K5837" t="str">
        <f>"801"</f>
        <v>801</v>
      </c>
      <c r="L5837">
        <v>23.94</v>
      </c>
    </row>
    <row r="5838" spans="1:12" x14ac:dyDescent="0.25">
      <c r="A5838" t="str">
        <f t="shared" si="1056"/>
        <v>89301000</v>
      </c>
      <c r="B5838" t="str">
        <f>"42428000"</f>
        <v>42428000</v>
      </c>
      <c r="C5838" t="str">
        <f>"42428000"</f>
        <v>42428000</v>
      </c>
      <c r="D5838">
        <v>89301167</v>
      </c>
      <c r="E5838" t="str">
        <f>"511221028"</f>
        <v>511221028</v>
      </c>
      <c r="F5838" s="1">
        <v>45062</v>
      </c>
      <c r="G5838" t="str">
        <f>"93131"</f>
        <v>93131</v>
      </c>
      <c r="H5838">
        <v>1</v>
      </c>
      <c r="I5838">
        <v>197</v>
      </c>
      <c r="J5838">
        <v>0</v>
      </c>
      <c r="K5838" t="str">
        <f>"801"</f>
        <v>801</v>
      </c>
      <c r="L5838">
        <v>165.48</v>
      </c>
    </row>
    <row r="5839" spans="1:12" x14ac:dyDescent="0.25">
      <c r="A5839" t="str">
        <f t="shared" si="1056"/>
        <v>89301000</v>
      </c>
      <c r="B5839" t="str">
        <f>"42428000"</f>
        <v>42428000</v>
      </c>
      <c r="C5839" t="str">
        <f>"42428000"</f>
        <v>42428000</v>
      </c>
      <c r="D5839">
        <v>89301167</v>
      </c>
      <c r="E5839" t="str">
        <f>"511221028"</f>
        <v>511221028</v>
      </c>
      <c r="F5839" s="1">
        <v>45062</v>
      </c>
      <c r="G5839" t="str">
        <f>"97111"</f>
        <v>97111</v>
      </c>
      <c r="H5839">
        <v>1</v>
      </c>
      <c r="I5839">
        <v>19</v>
      </c>
      <c r="J5839">
        <v>0</v>
      </c>
      <c r="K5839" t="str">
        <f>"801"</f>
        <v>801</v>
      </c>
      <c r="L5839">
        <v>23.94</v>
      </c>
    </row>
    <row r="5840" spans="1:12" x14ac:dyDescent="0.25">
      <c r="A5840" t="str">
        <f t="shared" si="1056"/>
        <v>89301000</v>
      </c>
      <c r="B5840" t="str">
        <f>"86131000"</f>
        <v>86131000</v>
      </c>
      <c r="C5840" t="str">
        <f>"86131000"</f>
        <v>86131000</v>
      </c>
      <c r="D5840">
        <v>89301212</v>
      </c>
      <c r="E5840" t="str">
        <f>"526212175"</f>
        <v>526212175</v>
      </c>
      <c r="F5840" s="1">
        <v>45071</v>
      </c>
      <c r="G5840" t="str">
        <f>"89513"</f>
        <v>89513</v>
      </c>
      <c r="H5840">
        <v>1</v>
      </c>
      <c r="I5840">
        <v>378</v>
      </c>
      <c r="J5840">
        <v>0</v>
      </c>
      <c r="K5840" t="str">
        <f>"809"</f>
        <v>809</v>
      </c>
      <c r="L5840">
        <v>555.66</v>
      </c>
    </row>
    <row r="5841" spans="1:12" x14ac:dyDescent="0.25">
      <c r="A5841" t="str">
        <f t="shared" si="1056"/>
        <v>89301000</v>
      </c>
      <c r="B5841" t="str">
        <f>"86131000"</f>
        <v>86131000</v>
      </c>
      <c r="C5841" t="str">
        <f>"86131000"</f>
        <v>86131000</v>
      </c>
      <c r="D5841">
        <v>89301212</v>
      </c>
      <c r="E5841" t="str">
        <f>"526212175"</f>
        <v>526212175</v>
      </c>
      <c r="F5841" s="1">
        <v>45071</v>
      </c>
      <c r="G5841" t="str">
        <f>"89514"</f>
        <v>89514</v>
      </c>
      <c r="H5841">
        <v>1</v>
      </c>
      <c r="I5841">
        <v>378</v>
      </c>
      <c r="J5841">
        <v>0</v>
      </c>
      <c r="K5841" t="str">
        <f>"809"</f>
        <v>809</v>
      </c>
      <c r="L5841">
        <v>555.66</v>
      </c>
    </row>
    <row r="5842" spans="1:12" x14ac:dyDescent="0.25">
      <c r="A5842" t="str">
        <f t="shared" si="1056"/>
        <v>89301000</v>
      </c>
      <c r="B5842" t="str">
        <f>"06515000"</f>
        <v>06515000</v>
      </c>
      <c r="C5842" t="str">
        <f>"06515024"</f>
        <v>06515024</v>
      </c>
      <c r="D5842">
        <v>89301082</v>
      </c>
      <c r="E5842" t="str">
        <f>"8458064472"</f>
        <v>8458064472</v>
      </c>
      <c r="F5842" s="1">
        <v>45048</v>
      </c>
      <c r="G5842" t="str">
        <f>"93155"</f>
        <v>93155</v>
      </c>
      <c r="H5842">
        <v>1</v>
      </c>
      <c r="I5842">
        <v>204</v>
      </c>
      <c r="J5842">
        <v>0</v>
      </c>
      <c r="K5842" t="str">
        <f>"801"</f>
        <v>801</v>
      </c>
      <c r="L5842">
        <v>171.36</v>
      </c>
    </row>
    <row r="5843" spans="1:12" x14ac:dyDescent="0.25">
      <c r="A5843" t="str">
        <f t="shared" si="1056"/>
        <v>89301000</v>
      </c>
      <c r="B5843" t="str">
        <f>"06515000"</f>
        <v>06515000</v>
      </c>
      <c r="C5843" t="str">
        <f>"06515024"</f>
        <v>06515024</v>
      </c>
      <c r="D5843">
        <v>89301082</v>
      </c>
      <c r="E5843" t="str">
        <f>"8458064472"</f>
        <v>8458064472</v>
      </c>
      <c r="F5843" s="1">
        <v>45048</v>
      </c>
      <c r="G5843" t="str">
        <f>"97111"</f>
        <v>97111</v>
      </c>
      <c r="H5843">
        <v>1</v>
      </c>
      <c r="I5843">
        <v>19</v>
      </c>
      <c r="J5843">
        <v>0</v>
      </c>
      <c r="K5843" t="str">
        <f>"801"</f>
        <v>801</v>
      </c>
      <c r="L5843">
        <v>23.94</v>
      </c>
    </row>
    <row r="5844" spans="1:12" x14ac:dyDescent="0.25">
      <c r="A5844" t="str">
        <f t="shared" si="1056"/>
        <v>89301000</v>
      </c>
      <c r="B5844" t="str">
        <f>"06515000"</f>
        <v>06515000</v>
      </c>
      <c r="C5844" t="str">
        <f>"06515024"</f>
        <v>06515024</v>
      </c>
      <c r="D5844">
        <v>89301082</v>
      </c>
      <c r="E5844" t="str">
        <f>"8755135576"</f>
        <v>8755135576</v>
      </c>
      <c r="F5844" s="1">
        <v>45049</v>
      </c>
      <c r="G5844" t="str">
        <f>"93155"</f>
        <v>93155</v>
      </c>
      <c r="H5844">
        <v>1</v>
      </c>
      <c r="I5844">
        <v>204</v>
      </c>
      <c r="J5844">
        <v>0</v>
      </c>
      <c r="K5844" t="str">
        <f>"801"</f>
        <v>801</v>
      </c>
      <c r="L5844">
        <v>171.36</v>
      </c>
    </row>
    <row r="5845" spans="1:12" x14ac:dyDescent="0.25">
      <c r="A5845" t="str">
        <f t="shared" si="1056"/>
        <v>89301000</v>
      </c>
      <c r="B5845" t="str">
        <f>"06515000"</f>
        <v>06515000</v>
      </c>
      <c r="C5845" t="str">
        <f>"06515024"</f>
        <v>06515024</v>
      </c>
      <c r="D5845">
        <v>89301082</v>
      </c>
      <c r="E5845" t="str">
        <f>"8755135576"</f>
        <v>8755135576</v>
      </c>
      <c r="F5845" s="1">
        <v>45049</v>
      </c>
      <c r="G5845" t="str">
        <f>"97111"</f>
        <v>97111</v>
      </c>
      <c r="H5845">
        <v>1</v>
      </c>
      <c r="I5845">
        <v>19</v>
      </c>
      <c r="J5845">
        <v>0</v>
      </c>
      <c r="K5845" t="str">
        <f>"801"</f>
        <v>801</v>
      </c>
      <c r="L5845">
        <v>23.94</v>
      </c>
    </row>
    <row r="5846" spans="1:12" x14ac:dyDescent="0.25">
      <c r="A5846" t="str">
        <f t="shared" si="1056"/>
        <v>89301000</v>
      </c>
      <c r="B5846" t="str">
        <f t="shared" ref="B5846:B5855" si="1058">"95202000"</f>
        <v>95202000</v>
      </c>
      <c r="C5846" t="str">
        <f t="shared" ref="C5846:C5854" si="1059">"95202511"</f>
        <v>95202511</v>
      </c>
      <c r="D5846">
        <v>89301215</v>
      </c>
      <c r="E5846" t="str">
        <f>"6956275106"</f>
        <v>6956275106</v>
      </c>
      <c r="F5846" s="1">
        <v>45048</v>
      </c>
      <c r="G5846" t="str">
        <f>"89513"</f>
        <v>89513</v>
      </c>
      <c r="H5846">
        <v>1</v>
      </c>
      <c r="I5846">
        <v>378</v>
      </c>
      <c r="J5846">
        <v>0</v>
      </c>
      <c r="K5846" t="str">
        <f t="shared" ref="K5846:K5854" si="1060">"809"</f>
        <v>809</v>
      </c>
      <c r="L5846">
        <v>555.66</v>
      </c>
    </row>
    <row r="5847" spans="1:12" x14ac:dyDescent="0.25">
      <c r="A5847" t="str">
        <f t="shared" si="1056"/>
        <v>89301000</v>
      </c>
      <c r="B5847" t="str">
        <f t="shared" si="1058"/>
        <v>95202000</v>
      </c>
      <c r="C5847" t="str">
        <f t="shared" si="1059"/>
        <v>95202511</v>
      </c>
      <c r="D5847">
        <v>89301215</v>
      </c>
      <c r="E5847" t="str">
        <f>"6956275106"</f>
        <v>6956275106</v>
      </c>
      <c r="F5847" s="1">
        <v>45048</v>
      </c>
      <c r="G5847" t="str">
        <f>"89514"</f>
        <v>89514</v>
      </c>
      <c r="H5847">
        <v>1</v>
      </c>
      <c r="I5847">
        <v>378</v>
      </c>
      <c r="J5847">
        <v>0</v>
      </c>
      <c r="K5847" t="str">
        <f t="shared" si="1060"/>
        <v>809</v>
      </c>
      <c r="L5847">
        <v>555.66</v>
      </c>
    </row>
    <row r="5848" spans="1:12" x14ac:dyDescent="0.25">
      <c r="A5848" t="str">
        <f t="shared" si="1056"/>
        <v>89301000</v>
      </c>
      <c r="B5848" t="str">
        <f t="shared" si="1058"/>
        <v>95202000</v>
      </c>
      <c r="C5848" t="str">
        <f t="shared" si="1059"/>
        <v>95202511</v>
      </c>
      <c r="D5848">
        <v>89301212</v>
      </c>
      <c r="E5848" t="str">
        <f>"8354235780"</f>
        <v>8354235780</v>
      </c>
      <c r="F5848" s="1">
        <v>45058</v>
      </c>
      <c r="G5848" t="str">
        <f>"89513"</f>
        <v>89513</v>
      </c>
      <c r="H5848">
        <v>1</v>
      </c>
      <c r="I5848">
        <v>378</v>
      </c>
      <c r="J5848">
        <v>0</v>
      </c>
      <c r="K5848" t="str">
        <f t="shared" si="1060"/>
        <v>809</v>
      </c>
      <c r="L5848">
        <v>555.66</v>
      </c>
    </row>
    <row r="5849" spans="1:12" x14ac:dyDescent="0.25">
      <c r="A5849" t="str">
        <f t="shared" si="1056"/>
        <v>89301000</v>
      </c>
      <c r="B5849" t="str">
        <f t="shared" si="1058"/>
        <v>95202000</v>
      </c>
      <c r="C5849" t="str">
        <f t="shared" si="1059"/>
        <v>95202511</v>
      </c>
      <c r="D5849">
        <v>89301212</v>
      </c>
      <c r="E5849" t="str">
        <f>"8354235780"</f>
        <v>8354235780</v>
      </c>
      <c r="F5849" s="1">
        <v>45058</v>
      </c>
      <c r="G5849" t="str">
        <f>"89514"</f>
        <v>89514</v>
      </c>
      <c r="H5849">
        <v>1</v>
      </c>
      <c r="I5849">
        <v>378</v>
      </c>
      <c r="J5849">
        <v>0</v>
      </c>
      <c r="K5849" t="str">
        <f t="shared" si="1060"/>
        <v>809</v>
      </c>
      <c r="L5849">
        <v>555.66</v>
      </c>
    </row>
    <row r="5850" spans="1:12" x14ac:dyDescent="0.25">
      <c r="A5850" t="str">
        <f t="shared" si="1056"/>
        <v>89301000</v>
      </c>
      <c r="B5850" t="str">
        <f t="shared" si="1058"/>
        <v>95202000</v>
      </c>
      <c r="C5850" t="str">
        <f t="shared" si="1059"/>
        <v>95202511</v>
      </c>
      <c r="D5850">
        <v>89301212</v>
      </c>
      <c r="E5850" t="str">
        <f>"6460020930"</f>
        <v>6460020930</v>
      </c>
      <c r="F5850" s="1">
        <v>45064</v>
      </c>
      <c r="G5850" t="str">
        <f>"89513"</f>
        <v>89513</v>
      </c>
      <c r="H5850">
        <v>1</v>
      </c>
      <c r="I5850">
        <v>378</v>
      </c>
      <c r="J5850">
        <v>0</v>
      </c>
      <c r="K5850" t="str">
        <f t="shared" si="1060"/>
        <v>809</v>
      </c>
      <c r="L5850">
        <v>555.66</v>
      </c>
    </row>
    <row r="5851" spans="1:12" x14ac:dyDescent="0.25">
      <c r="A5851" t="str">
        <f t="shared" si="1056"/>
        <v>89301000</v>
      </c>
      <c r="B5851" t="str">
        <f t="shared" si="1058"/>
        <v>95202000</v>
      </c>
      <c r="C5851" t="str">
        <f t="shared" si="1059"/>
        <v>95202511</v>
      </c>
      <c r="D5851">
        <v>89301212</v>
      </c>
      <c r="E5851" t="str">
        <f>"6460020930"</f>
        <v>6460020930</v>
      </c>
      <c r="F5851" s="1">
        <v>45064</v>
      </c>
      <c r="G5851" t="str">
        <f>"89514"</f>
        <v>89514</v>
      </c>
      <c r="H5851">
        <v>1</v>
      </c>
      <c r="I5851">
        <v>378</v>
      </c>
      <c r="J5851">
        <v>0</v>
      </c>
      <c r="K5851" t="str">
        <f t="shared" si="1060"/>
        <v>809</v>
      </c>
      <c r="L5851">
        <v>555.66</v>
      </c>
    </row>
    <row r="5852" spans="1:12" x14ac:dyDescent="0.25">
      <c r="A5852" t="str">
        <f t="shared" si="1056"/>
        <v>89301000</v>
      </c>
      <c r="B5852" t="str">
        <f t="shared" si="1058"/>
        <v>95202000</v>
      </c>
      <c r="C5852" t="str">
        <f t="shared" si="1059"/>
        <v>95202511</v>
      </c>
      <c r="D5852">
        <v>89301212</v>
      </c>
      <c r="E5852" t="str">
        <f>"5552081040"</f>
        <v>5552081040</v>
      </c>
      <c r="F5852" s="1">
        <v>45063</v>
      </c>
      <c r="G5852" t="str">
        <f>"89611"</f>
        <v>89611</v>
      </c>
      <c r="H5852">
        <v>2</v>
      </c>
      <c r="I5852">
        <v>4524</v>
      </c>
      <c r="J5852">
        <v>0</v>
      </c>
      <c r="K5852" t="str">
        <f t="shared" si="1060"/>
        <v>809</v>
      </c>
      <c r="L5852">
        <v>2940.6</v>
      </c>
    </row>
    <row r="5853" spans="1:12" x14ac:dyDescent="0.25">
      <c r="A5853" t="str">
        <f t="shared" si="1056"/>
        <v>89301000</v>
      </c>
      <c r="B5853" t="str">
        <f t="shared" si="1058"/>
        <v>95202000</v>
      </c>
      <c r="C5853" t="str">
        <f t="shared" si="1059"/>
        <v>95202511</v>
      </c>
      <c r="D5853">
        <v>89301212</v>
      </c>
      <c r="E5853" t="str">
        <f>"5552081040"</f>
        <v>5552081040</v>
      </c>
      <c r="F5853" s="1">
        <v>45063</v>
      </c>
      <c r="G5853" t="str">
        <f>"0022077"</f>
        <v>0022077</v>
      </c>
      <c r="H5853">
        <v>0.5</v>
      </c>
      <c r="J5853">
        <v>1004.83</v>
      </c>
      <c r="K5853" t="str">
        <f t="shared" si="1060"/>
        <v>809</v>
      </c>
      <c r="L5853">
        <v>1004.83</v>
      </c>
    </row>
    <row r="5854" spans="1:12" x14ac:dyDescent="0.25">
      <c r="A5854" t="str">
        <f t="shared" si="1056"/>
        <v>89301000</v>
      </c>
      <c r="B5854" t="str">
        <f t="shared" si="1058"/>
        <v>95202000</v>
      </c>
      <c r="C5854" t="str">
        <f t="shared" si="1059"/>
        <v>95202511</v>
      </c>
      <c r="D5854">
        <v>89301212</v>
      </c>
      <c r="E5854" t="str">
        <f>"5552081040"</f>
        <v>5552081040</v>
      </c>
      <c r="F5854" s="1">
        <v>45063</v>
      </c>
      <c r="G5854" t="str">
        <f>"0234018"</f>
        <v>0234018</v>
      </c>
      <c r="H5854">
        <v>0.01</v>
      </c>
      <c r="J5854">
        <v>2.44</v>
      </c>
      <c r="K5854" t="str">
        <f t="shared" si="1060"/>
        <v>809</v>
      </c>
      <c r="L5854">
        <v>2.44</v>
      </c>
    </row>
    <row r="5855" spans="1:12" x14ac:dyDescent="0.25">
      <c r="A5855" t="str">
        <f t="shared" si="1056"/>
        <v>89301000</v>
      </c>
      <c r="B5855" t="str">
        <f t="shared" si="1058"/>
        <v>95202000</v>
      </c>
      <c r="C5855" t="str">
        <f>"95202818"</f>
        <v>95202818</v>
      </c>
      <c r="D5855">
        <v>89301162</v>
      </c>
      <c r="E5855" t="str">
        <f>"521204004"</f>
        <v>521204004</v>
      </c>
      <c r="F5855" s="1">
        <v>45076</v>
      </c>
      <c r="G5855" t="str">
        <f>"96167"</f>
        <v>96167</v>
      </c>
      <c r="H5855">
        <v>1</v>
      </c>
      <c r="I5855">
        <v>67</v>
      </c>
      <c r="J5855">
        <v>0</v>
      </c>
      <c r="K5855" t="str">
        <f>"818"</f>
        <v>818</v>
      </c>
      <c r="L5855">
        <v>64.989999999999995</v>
      </c>
    </row>
    <row r="5856" spans="1:12" x14ac:dyDescent="0.25">
      <c r="A5856" t="str">
        <f t="shared" si="1056"/>
        <v>89301000</v>
      </c>
      <c r="B5856" t="str">
        <f t="shared" ref="B5856:B5877" si="1061">"93201000"</f>
        <v>93201000</v>
      </c>
      <c r="C5856" t="str">
        <f t="shared" ref="C5856:C5876" si="1062">"93201250"</f>
        <v>93201250</v>
      </c>
      <c r="D5856">
        <v>89301167</v>
      </c>
      <c r="E5856" t="str">
        <f t="shared" ref="E5856:E5877" si="1063">"511221028"</f>
        <v>511221028</v>
      </c>
      <c r="F5856" s="1">
        <v>45062</v>
      </c>
      <c r="G5856" t="str">
        <f>"97111"</f>
        <v>97111</v>
      </c>
      <c r="H5856">
        <v>1</v>
      </c>
      <c r="I5856">
        <v>19</v>
      </c>
      <c r="J5856">
        <v>0</v>
      </c>
      <c r="K5856" t="str">
        <f t="shared" ref="K5856:K5876" si="1064">"801"</f>
        <v>801</v>
      </c>
      <c r="L5856">
        <v>23.94</v>
      </c>
    </row>
    <row r="5857" spans="1:12" x14ac:dyDescent="0.25">
      <c r="A5857" t="str">
        <f t="shared" si="1056"/>
        <v>89301000</v>
      </c>
      <c r="B5857" t="str">
        <f t="shared" si="1061"/>
        <v>93201000</v>
      </c>
      <c r="C5857" t="str">
        <f t="shared" si="1062"/>
        <v>93201250</v>
      </c>
      <c r="D5857">
        <v>89301167</v>
      </c>
      <c r="E5857" t="str">
        <f t="shared" si="1063"/>
        <v>511221028</v>
      </c>
      <c r="F5857" s="1">
        <v>45062</v>
      </c>
      <c r="G5857" t="str">
        <f>"97111"</f>
        <v>97111</v>
      </c>
      <c r="H5857">
        <v>1</v>
      </c>
      <c r="I5857">
        <v>19</v>
      </c>
      <c r="J5857">
        <v>0</v>
      </c>
      <c r="K5857" t="str">
        <f t="shared" si="1064"/>
        <v>801</v>
      </c>
      <c r="L5857">
        <v>23.94</v>
      </c>
    </row>
    <row r="5858" spans="1:12" x14ac:dyDescent="0.25">
      <c r="A5858" t="str">
        <f t="shared" si="1056"/>
        <v>89301000</v>
      </c>
      <c r="B5858" t="str">
        <f t="shared" si="1061"/>
        <v>93201000</v>
      </c>
      <c r="C5858" t="str">
        <f t="shared" si="1062"/>
        <v>93201250</v>
      </c>
      <c r="D5858">
        <v>89301167</v>
      </c>
      <c r="E5858" t="str">
        <f t="shared" si="1063"/>
        <v>511221028</v>
      </c>
      <c r="F5858" s="1">
        <v>45062</v>
      </c>
      <c r="G5858" t="str">
        <f>"81329"</f>
        <v>81329</v>
      </c>
      <c r="H5858">
        <v>1</v>
      </c>
      <c r="I5858">
        <v>17</v>
      </c>
      <c r="J5858">
        <v>0</v>
      </c>
      <c r="K5858" t="str">
        <f t="shared" si="1064"/>
        <v>801</v>
      </c>
      <c r="L5858">
        <v>14.28</v>
      </c>
    </row>
    <row r="5859" spans="1:12" x14ac:dyDescent="0.25">
      <c r="A5859" t="str">
        <f t="shared" si="1056"/>
        <v>89301000</v>
      </c>
      <c r="B5859" t="str">
        <f t="shared" si="1061"/>
        <v>93201000</v>
      </c>
      <c r="C5859" t="str">
        <f t="shared" si="1062"/>
        <v>93201250</v>
      </c>
      <c r="D5859">
        <v>89301167</v>
      </c>
      <c r="E5859" t="str">
        <f t="shared" si="1063"/>
        <v>511221028</v>
      </c>
      <c r="F5859" s="1">
        <v>45062</v>
      </c>
      <c r="G5859" t="str">
        <f>"81337"</f>
        <v>81337</v>
      </c>
      <c r="H5859">
        <v>1</v>
      </c>
      <c r="I5859">
        <v>20</v>
      </c>
      <c r="J5859">
        <v>0</v>
      </c>
      <c r="K5859" t="str">
        <f t="shared" si="1064"/>
        <v>801</v>
      </c>
      <c r="L5859">
        <v>16.8</v>
      </c>
    </row>
    <row r="5860" spans="1:12" x14ac:dyDescent="0.25">
      <c r="A5860" t="str">
        <f t="shared" si="1056"/>
        <v>89301000</v>
      </c>
      <c r="B5860" t="str">
        <f t="shared" si="1061"/>
        <v>93201000</v>
      </c>
      <c r="C5860" t="str">
        <f t="shared" si="1062"/>
        <v>93201250</v>
      </c>
      <c r="D5860">
        <v>89301167</v>
      </c>
      <c r="E5860" t="str">
        <f t="shared" si="1063"/>
        <v>511221028</v>
      </c>
      <c r="F5860" s="1">
        <v>45062</v>
      </c>
      <c r="G5860" t="str">
        <f>"81421"</f>
        <v>81421</v>
      </c>
      <c r="H5860">
        <v>1</v>
      </c>
      <c r="I5860">
        <v>19</v>
      </c>
      <c r="J5860">
        <v>0</v>
      </c>
      <c r="K5860" t="str">
        <f t="shared" si="1064"/>
        <v>801</v>
      </c>
      <c r="L5860">
        <v>15.96</v>
      </c>
    </row>
    <row r="5861" spans="1:12" x14ac:dyDescent="0.25">
      <c r="A5861" t="str">
        <f t="shared" si="1056"/>
        <v>89301000</v>
      </c>
      <c r="B5861" t="str">
        <f t="shared" si="1061"/>
        <v>93201000</v>
      </c>
      <c r="C5861" t="str">
        <f t="shared" si="1062"/>
        <v>93201250</v>
      </c>
      <c r="D5861">
        <v>89301167</v>
      </c>
      <c r="E5861" t="str">
        <f t="shared" si="1063"/>
        <v>511221028</v>
      </c>
      <c r="F5861" s="1">
        <v>45062</v>
      </c>
      <c r="G5861" t="str">
        <f>"81625"</f>
        <v>81625</v>
      </c>
      <c r="H5861">
        <v>1</v>
      </c>
      <c r="I5861">
        <v>21</v>
      </c>
      <c r="J5861">
        <v>0</v>
      </c>
      <c r="K5861" t="str">
        <f t="shared" si="1064"/>
        <v>801</v>
      </c>
      <c r="L5861">
        <v>17.64</v>
      </c>
    </row>
    <row r="5862" spans="1:12" x14ac:dyDescent="0.25">
      <c r="A5862" t="str">
        <f t="shared" si="1056"/>
        <v>89301000</v>
      </c>
      <c r="B5862" t="str">
        <f t="shared" si="1061"/>
        <v>93201000</v>
      </c>
      <c r="C5862" t="str">
        <f t="shared" si="1062"/>
        <v>93201250</v>
      </c>
      <c r="D5862">
        <v>89301167</v>
      </c>
      <c r="E5862" t="str">
        <f t="shared" si="1063"/>
        <v>511221028</v>
      </c>
      <c r="F5862" s="1">
        <v>45062</v>
      </c>
      <c r="G5862" t="str">
        <f>"81361"</f>
        <v>81361</v>
      </c>
      <c r="H5862">
        <v>1</v>
      </c>
      <c r="I5862">
        <v>17</v>
      </c>
      <c r="J5862">
        <v>0</v>
      </c>
      <c r="K5862" t="str">
        <f t="shared" si="1064"/>
        <v>801</v>
      </c>
      <c r="L5862">
        <v>14.28</v>
      </c>
    </row>
    <row r="5863" spans="1:12" x14ac:dyDescent="0.25">
      <c r="A5863" t="str">
        <f t="shared" si="1056"/>
        <v>89301000</v>
      </c>
      <c r="B5863" t="str">
        <f t="shared" si="1061"/>
        <v>93201000</v>
      </c>
      <c r="C5863" t="str">
        <f t="shared" si="1062"/>
        <v>93201250</v>
      </c>
      <c r="D5863">
        <v>89301167</v>
      </c>
      <c r="E5863" t="str">
        <f t="shared" si="1063"/>
        <v>511221028</v>
      </c>
      <c r="F5863" s="1">
        <v>45062</v>
      </c>
      <c r="G5863" t="str">
        <f>"81357"</f>
        <v>81357</v>
      </c>
      <c r="H5863">
        <v>1</v>
      </c>
      <c r="I5863">
        <v>20</v>
      </c>
      <c r="J5863">
        <v>0</v>
      </c>
      <c r="K5863" t="str">
        <f t="shared" si="1064"/>
        <v>801</v>
      </c>
      <c r="L5863">
        <v>16.8</v>
      </c>
    </row>
    <row r="5864" spans="1:12" x14ac:dyDescent="0.25">
      <c r="A5864" t="str">
        <f t="shared" si="1056"/>
        <v>89301000</v>
      </c>
      <c r="B5864" t="str">
        <f t="shared" si="1061"/>
        <v>93201000</v>
      </c>
      <c r="C5864" t="str">
        <f t="shared" si="1062"/>
        <v>93201250</v>
      </c>
      <c r="D5864">
        <v>89301167</v>
      </c>
      <c r="E5864" t="str">
        <f t="shared" si="1063"/>
        <v>511221028</v>
      </c>
      <c r="F5864" s="1">
        <v>45062</v>
      </c>
      <c r="G5864" t="str">
        <f>"81469"</f>
        <v>81469</v>
      </c>
      <c r="H5864">
        <v>1</v>
      </c>
      <c r="I5864">
        <v>16</v>
      </c>
      <c r="J5864">
        <v>0</v>
      </c>
      <c r="K5864" t="str">
        <f t="shared" si="1064"/>
        <v>801</v>
      </c>
      <c r="L5864">
        <v>13.44</v>
      </c>
    </row>
    <row r="5865" spans="1:12" x14ac:dyDescent="0.25">
      <c r="A5865" t="str">
        <f t="shared" si="1056"/>
        <v>89301000</v>
      </c>
      <c r="B5865" t="str">
        <f t="shared" si="1061"/>
        <v>93201000</v>
      </c>
      <c r="C5865" t="str">
        <f t="shared" si="1062"/>
        <v>93201250</v>
      </c>
      <c r="D5865">
        <v>89301167</v>
      </c>
      <c r="E5865" t="str">
        <f t="shared" si="1063"/>
        <v>511221028</v>
      </c>
      <c r="F5865" s="1">
        <v>45062</v>
      </c>
      <c r="G5865" t="str">
        <f>"81439"</f>
        <v>81439</v>
      </c>
      <c r="H5865">
        <v>1</v>
      </c>
      <c r="I5865">
        <v>16</v>
      </c>
      <c r="J5865">
        <v>0</v>
      </c>
      <c r="K5865" t="str">
        <f t="shared" si="1064"/>
        <v>801</v>
      </c>
      <c r="L5865">
        <v>13.44</v>
      </c>
    </row>
    <row r="5866" spans="1:12" x14ac:dyDescent="0.25">
      <c r="A5866" t="str">
        <f t="shared" si="1056"/>
        <v>89301000</v>
      </c>
      <c r="B5866" t="str">
        <f t="shared" si="1061"/>
        <v>93201000</v>
      </c>
      <c r="C5866" t="str">
        <f t="shared" si="1062"/>
        <v>93201250</v>
      </c>
      <c r="D5866">
        <v>89301167</v>
      </c>
      <c r="E5866" t="str">
        <f t="shared" si="1063"/>
        <v>511221028</v>
      </c>
      <c r="F5866" s="1">
        <v>45062</v>
      </c>
      <c r="G5866" t="str">
        <f>"81435"</f>
        <v>81435</v>
      </c>
      <c r="H5866">
        <v>1</v>
      </c>
      <c r="I5866">
        <v>22</v>
      </c>
      <c r="J5866">
        <v>0</v>
      </c>
      <c r="K5866" t="str">
        <f t="shared" si="1064"/>
        <v>801</v>
      </c>
      <c r="L5866">
        <v>18.48</v>
      </c>
    </row>
    <row r="5867" spans="1:12" x14ac:dyDescent="0.25">
      <c r="A5867" t="str">
        <f t="shared" si="1056"/>
        <v>89301000</v>
      </c>
      <c r="B5867" t="str">
        <f t="shared" si="1061"/>
        <v>93201000</v>
      </c>
      <c r="C5867" t="str">
        <f t="shared" si="1062"/>
        <v>93201250</v>
      </c>
      <c r="D5867">
        <v>89301167</v>
      </c>
      <c r="E5867" t="str">
        <f t="shared" si="1063"/>
        <v>511221028</v>
      </c>
      <c r="F5867" s="1">
        <v>45062</v>
      </c>
      <c r="G5867" t="str">
        <f>"81393"</f>
        <v>81393</v>
      </c>
      <c r="H5867">
        <v>1</v>
      </c>
      <c r="I5867">
        <v>24</v>
      </c>
      <c r="J5867">
        <v>0</v>
      </c>
      <c r="K5867" t="str">
        <f t="shared" si="1064"/>
        <v>801</v>
      </c>
      <c r="L5867">
        <v>20.16</v>
      </c>
    </row>
    <row r="5868" spans="1:12" x14ac:dyDescent="0.25">
      <c r="A5868" t="str">
        <f t="shared" si="1056"/>
        <v>89301000</v>
      </c>
      <c r="B5868" t="str">
        <f t="shared" si="1061"/>
        <v>93201000</v>
      </c>
      <c r="C5868" t="str">
        <f t="shared" si="1062"/>
        <v>93201250</v>
      </c>
      <c r="D5868">
        <v>89301167</v>
      </c>
      <c r="E5868" t="str">
        <f t="shared" si="1063"/>
        <v>511221028</v>
      </c>
      <c r="F5868" s="1">
        <v>45062</v>
      </c>
      <c r="G5868" t="str">
        <f>"81499"</f>
        <v>81499</v>
      </c>
      <c r="H5868">
        <v>1</v>
      </c>
      <c r="I5868">
        <v>18</v>
      </c>
      <c r="J5868">
        <v>0</v>
      </c>
      <c r="K5868" t="str">
        <f t="shared" si="1064"/>
        <v>801</v>
      </c>
      <c r="L5868">
        <v>15.12</v>
      </c>
    </row>
    <row r="5869" spans="1:12" x14ac:dyDescent="0.25">
      <c r="A5869" t="str">
        <f t="shared" si="1056"/>
        <v>89301000</v>
      </c>
      <c r="B5869" t="str">
        <f t="shared" si="1061"/>
        <v>93201000</v>
      </c>
      <c r="C5869" t="str">
        <f t="shared" si="1062"/>
        <v>93201250</v>
      </c>
      <c r="D5869">
        <v>89301167</v>
      </c>
      <c r="E5869" t="str">
        <f t="shared" si="1063"/>
        <v>511221028</v>
      </c>
      <c r="F5869" s="1">
        <v>45062</v>
      </c>
      <c r="G5869" t="str">
        <f>"81523"</f>
        <v>81523</v>
      </c>
      <c r="H5869">
        <v>1</v>
      </c>
      <c r="I5869">
        <v>23</v>
      </c>
      <c r="J5869">
        <v>0</v>
      </c>
      <c r="K5869" t="str">
        <f t="shared" si="1064"/>
        <v>801</v>
      </c>
      <c r="L5869">
        <v>19.32</v>
      </c>
    </row>
    <row r="5870" spans="1:12" x14ac:dyDescent="0.25">
      <c r="A5870" t="str">
        <f t="shared" si="1056"/>
        <v>89301000</v>
      </c>
      <c r="B5870" t="str">
        <f t="shared" si="1061"/>
        <v>93201000</v>
      </c>
      <c r="C5870" t="str">
        <f t="shared" si="1062"/>
        <v>93201250</v>
      </c>
      <c r="D5870">
        <v>89301167</v>
      </c>
      <c r="E5870" t="str">
        <f t="shared" si="1063"/>
        <v>511221028</v>
      </c>
      <c r="F5870" s="1">
        <v>45062</v>
      </c>
      <c r="G5870" t="str">
        <f>"81593"</f>
        <v>81593</v>
      </c>
      <c r="H5870">
        <v>1</v>
      </c>
      <c r="I5870">
        <v>22</v>
      </c>
      <c r="J5870">
        <v>0</v>
      </c>
      <c r="K5870" t="str">
        <f t="shared" si="1064"/>
        <v>801</v>
      </c>
      <c r="L5870">
        <v>18.48</v>
      </c>
    </row>
    <row r="5871" spans="1:12" x14ac:dyDescent="0.25">
      <c r="A5871" t="str">
        <f t="shared" si="1056"/>
        <v>89301000</v>
      </c>
      <c r="B5871" t="str">
        <f t="shared" si="1061"/>
        <v>93201000</v>
      </c>
      <c r="C5871" t="str">
        <f t="shared" si="1062"/>
        <v>93201250</v>
      </c>
      <c r="D5871">
        <v>89301167</v>
      </c>
      <c r="E5871" t="str">
        <f t="shared" si="1063"/>
        <v>511221028</v>
      </c>
      <c r="F5871" s="1">
        <v>45062</v>
      </c>
      <c r="G5871" t="str">
        <f>"81383"</f>
        <v>81383</v>
      </c>
      <c r="H5871">
        <v>1</v>
      </c>
      <c r="I5871">
        <v>24</v>
      </c>
      <c r="J5871">
        <v>0</v>
      </c>
      <c r="K5871" t="str">
        <f t="shared" si="1064"/>
        <v>801</v>
      </c>
      <c r="L5871">
        <v>20.16</v>
      </c>
    </row>
    <row r="5872" spans="1:12" x14ac:dyDescent="0.25">
      <c r="A5872" t="str">
        <f t="shared" si="1056"/>
        <v>89301000</v>
      </c>
      <c r="B5872" t="str">
        <f t="shared" si="1061"/>
        <v>93201000</v>
      </c>
      <c r="C5872" t="str">
        <f t="shared" si="1062"/>
        <v>93201250</v>
      </c>
      <c r="D5872">
        <v>89301167</v>
      </c>
      <c r="E5872" t="str">
        <f t="shared" si="1063"/>
        <v>511221028</v>
      </c>
      <c r="F5872" s="1">
        <v>45062</v>
      </c>
      <c r="G5872" t="str">
        <f>"81365"</f>
        <v>81365</v>
      </c>
      <c r="H5872">
        <v>1</v>
      </c>
      <c r="I5872">
        <v>16</v>
      </c>
      <c r="J5872">
        <v>0</v>
      </c>
      <c r="K5872" t="str">
        <f t="shared" si="1064"/>
        <v>801</v>
      </c>
      <c r="L5872">
        <v>13.44</v>
      </c>
    </row>
    <row r="5873" spans="1:12" x14ac:dyDescent="0.25">
      <c r="A5873" t="str">
        <f t="shared" si="1056"/>
        <v>89301000</v>
      </c>
      <c r="B5873" t="str">
        <f t="shared" si="1061"/>
        <v>93201000</v>
      </c>
      <c r="C5873" t="str">
        <f t="shared" si="1062"/>
        <v>93201250</v>
      </c>
      <c r="D5873">
        <v>89301167</v>
      </c>
      <c r="E5873" t="str">
        <f t="shared" si="1063"/>
        <v>511221028</v>
      </c>
      <c r="F5873" s="1">
        <v>45062</v>
      </c>
      <c r="G5873" t="str">
        <f>"93195"</f>
        <v>93195</v>
      </c>
      <c r="H5873">
        <v>1</v>
      </c>
      <c r="I5873">
        <v>183</v>
      </c>
      <c r="J5873">
        <v>0</v>
      </c>
      <c r="K5873" t="str">
        <f t="shared" si="1064"/>
        <v>801</v>
      </c>
      <c r="L5873">
        <v>153.72</v>
      </c>
    </row>
    <row r="5874" spans="1:12" x14ac:dyDescent="0.25">
      <c r="A5874" t="str">
        <f t="shared" si="1056"/>
        <v>89301000</v>
      </c>
      <c r="B5874" t="str">
        <f t="shared" si="1061"/>
        <v>93201000</v>
      </c>
      <c r="C5874" t="str">
        <f t="shared" si="1062"/>
        <v>93201250</v>
      </c>
      <c r="D5874">
        <v>89301167</v>
      </c>
      <c r="E5874" t="str">
        <f t="shared" si="1063"/>
        <v>511221028</v>
      </c>
      <c r="F5874" s="1">
        <v>45062</v>
      </c>
      <c r="G5874" t="str">
        <f>"93189"</f>
        <v>93189</v>
      </c>
      <c r="H5874">
        <v>1</v>
      </c>
      <c r="I5874">
        <v>191</v>
      </c>
      <c r="J5874">
        <v>0</v>
      </c>
      <c r="K5874" t="str">
        <f t="shared" si="1064"/>
        <v>801</v>
      </c>
      <c r="L5874">
        <v>160.44</v>
      </c>
    </row>
    <row r="5875" spans="1:12" x14ac:dyDescent="0.25">
      <c r="A5875" t="str">
        <f t="shared" si="1056"/>
        <v>89301000</v>
      </c>
      <c r="B5875" t="str">
        <f t="shared" si="1061"/>
        <v>93201000</v>
      </c>
      <c r="C5875" t="str">
        <f t="shared" si="1062"/>
        <v>93201250</v>
      </c>
      <c r="D5875">
        <v>89301167</v>
      </c>
      <c r="E5875" t="str">
        <f t="shared" si="1063"/>
        <v>511221028</v>
      </c>
      <c r="F5875" s="1">
        <v>45062</v>
      </c>
      <c r="G5875" t="str">
        <f>"93245"</f>
        <v>93245</v>
      </c>
      <c r="H5875">
        <v>1</v>
      </c>
      <c r="I5875">
        <v>191</v>
      </c>
      <c r="J5875">
        <v>0</v>
      </c>
      <c r="K5875" t="str">
        <f t="shared" si="1064"/>
        <v>801</v>
      </c>
      <c r="L5875">
        <v>160.44</v>
      </c>
    </row>
    <row r="5876" spans="1:12" x14ac:dyDescent="0.25">
      <c r="A5876" t="str">
        <f t="shared" si="1056"/>
        <v>89301000</v>
      </c>
      <c r="B5876" t="str">
        <f t="shared" si="1061"/>
        <v>93201000</v>
      </c>
      <c r="C5876" t="str">
        <f t="shared" si="1062"/>
        <v>93201250</v>
      </c>
      <c r="D5876">
        <v>89301167</v>
      </c>
      <c r="E5876" t="str">
        <f t="shared" si="1063"/>
        <v>511221028</v>
      </c>
      <c r="F5876" s="1">
        <v>45062</v>
      </c>
      <c r="G5876" t="str">
        <f>"81621"</f>
        <v>81621</v>
      </c>
      <c r="H5876">
        <v>1</v>
      </c>
      <c r="I5876">
        <v>19</v>
      </c>
      <c r="J5876">
        <v>0</v>
      </c>
      <c r="K5876" t="str">
        <f t="shared" si="1064"/>
        <v>801</v>
      </c>
      <c r="L5876">
        <v>15.96</v>
      </c>
    </row>
    <row r="5877" spans="1:12" x14ac:dyDescent="0.25">
      <c r="A5877" t="str">
        <f t="shared" si="1056"/>
        <v>89301000</v>
      </c>
      <c r="B5877" t="str">
        <f t="shared" si="1061"/>
        <v>93201000</v>
      </c>
      <c r="C5877" t="str">
        <f>"93201130"</f>
        <v>93201130</v>
      </c>
      <c r="D5877">
        <v>89301167</v>
      </c>
      <c r="E5877" t="str">
        <f t="shared" si="1063"/>
        <v>511221028</v>
      </c>
      <c r="F5877" s="1">
        <v>45062</v>
      </c>
      <c r="G5877" t="str">
        <f>"96167"</f>
        <v>96167</v>
      </c>
      <c r="H5877">
        <v>1</v>
      </c>
      <c r="I5877">
        <v>67</v>
      </c>
      <c r="J5877">
        <v>0</v>
      </c>
      <c r="K5877" t="str">
        <f>"818"</f>
        <v>818</v>
      </c>
      <c r="L5877">
        <v>64.989999999999995</v>
      </c>
    </row>
    <row r="5878" spans="1:12" x14ac:dyDescent="0.25">
      <c r="A5878" t="str">
        <f t="shared" si="1056"/>
        <v>89301000</v>
      </c>
      <c r="B5878" t="str">
        <f>"02384000"</f>
        <v>02384000</v>
      </c>
      <c r="C5878" t="str">
        <f>"02384007"</f>
        <v>02384007</v>
      </c>
      <c r="D5878">
        <v>89301037</v>
      </c>
      <c r="E5878" t="str">
        <f>"485115163"</f>
        <v>485115163</v>
      </c>
      <c r="F5878" s="1">
        <v>45057</v>
      </c>
      <c r="G5878" t="str">
        <f>"89312"</f>
        <v>89312</v>
      </c>
      <c r="H5878">
        <v>1</v>
      </c>
      <c r="I5878">
        <v>312</v>
      </c>
      <c r="J5878">
        <v>0</v>
      </c>
      <c r="K5878" t="str">
        <f t="shared" ref="K5878:K5891" si="1065">"809"</f>
        <v>809</v>
      </c>
      <c r="L5878">
        <v>340.08</v>
      </c>
    </row>
    <row r="5879" spans="1:12" x14ac:dyDescent="0.25">
      <c r="A5879" t="str">
        <f t="shared" si="1056"/>
        <v>89301000</v>
      </c>
      <c r="B5879" t="str">
        <f>"02384000"</f>
        <v>02384000</v>
      </c>
      <c r="C5879" t="str">
        <f>"02384007"</f>
        <v>02384007</v>
      </c>
      <c r="D5879">
        <v>89301037</v>
      </c>
      <c r="E5879" t="str">
        <f>"485115163"</f>
        <v>485115163</v>
      </c>
      <c r="F5879" s="1">
        <v>45057</v>
      </c>
      <c r="G5879" t="str">
        <f>"89312"</f>
        <v>89312</v>
      </c>
      <c r="H5879">
        <v>2</v>
      </c>
      <c r="I5879">
        <v>624</v>
      </c>
      <c r="J5879">
        <v>0</v>
      </c>
      <c r="K5879" t="str">
        <f t="shared" si="1065"/>
        <v>809</v>
      </c>
      <c r="L5879">
        <v>680.16</v>
      </c>
    </row>
    <row r="5880" spans="1:12" x14ac:dyDescent="0.25">
      <c r="A5880" t="str">
        <f t="shared" si="1056"/>
        <v>89301000</v>
      </c>
      <c r="B5880" t="str">
        <f t="shared" ref="B5880:B5897" si="1066">"93201000"</f>
        <v>93201000</v>
      </c>
      <c r="C5880" t="str">
        <f t="shared" ref="C5880:C5891" si="1067">"93201350"</f>
        <v>93201350</v>
      </c>
      <c r="D5880">
        <v>89301212</v>
      </c>
      <c r="E5880" t="str">
        <f>"480122435"</f>
        <v>480122435</v>
      </c>
      <c r="F5880" s="1">
        <v>45061</v>
      </c>
      <c r="G5880" t="str">
        <f>"89131"</f>
        <v>89131</v>
      </c>
      <c r="H5880">
        <v>1</v>
      </c>
      <c r="I5880">
        <v>190</v>
      </c>
      <c r="J5880">
        <v>0</v>
      </c>
      <c r="K5880" t="str">
        <f t="shared" si="1065"/>
        <v>809</v>
      </c>
      <c r="L5880">
        <v>279.3</v>
      </c>
    </row>
    <row r="5881" spans="1:12" x14ac:dyDescent="0.25">
      <c r="A5881" t="str">
        <f t="shared" si="1056"/>
        <v>89301000</v>
      </c>
      <c r="B5881" t="str">
        <f t="shared" si="1066"/>
        <v>93201000</v>
      </c>
      <c r="C5881" t="str">
        <f t="shared" si="1067"/>
        <v>93201350</v>
      </c>
      <c r="D5881">
        <v>89301212</v>
      </c>
      <c r="E5881" t="str">
        <f>"6762051494"</f>
        <v>6762051494</v>
      </c>
      <c r="F5881" s="1">
        <v>45069</v>
      </c>
      <c r="G5881" t="str">
        <f>"89513"</f>
        <v>89513</v>
      </c>
      <c r="H5881">
        <v>1</v>
      </c>
      <c r="I5881">
        <v>378</v>
      </c>
      <c r="J5881">
        <v>0</v>
      </c>
      <c r="K5881" t="str">
        <f t="shared" si="1065"/>
        <v>809</v>
      </c>
      <c r="L5881">
        <v>555.66</v>
      </c>
    </row>
    <row r="5882" spans="1:12" x14ac:dyDescent="0.25">
      <c r="A5882" t="str">
        <f t="shared" si="1056"/>
        <v>89301000</v>
      </c>
      <c r="B5882" t="str">
        <f t="shared" si="1066"/>
        <v>93201000</v>
      </c>
      <c r="C5882" t="str">
        <f t="shared" si="1067"/>
        <v>93201350</v>
      </c>
      <c r="D5882">
        <v>89301212</v>
      </c>
      <c r="E5882" t="str">
        <f>"6762051494"</f>
        <v>6762051494</v>
      </c>
      <c r="F5882" s="1">
        <v>45069</v>
      </c>
      <c r="G5882" t="str">
        <f>"89514"</f>
        <v>89514</v>
      </c>
      <c r="H5882">
        <v>1</v>
      </c>
      <c r="I5882">
        <v>378</v>
      </c>
      <c r="J5882">
        <v>0</v>
      </c>
      <c r="K5882" t="str">
        <f t="shared" si="1065"/>
        <v>809</v>
      </c>
      <c r="L5882">
        <v>555.66</v>
      </c>
    </row>
    <row r="5883" spans="1:12" x14ac:dyDescent="0.25">
      <c r="A5883" t="str">
        <f t="shared" si="1056"/>
        <v>89301000</v>
      </c>
      <c r="B5883" t="str">
        <f t="shared" si="1066"/>
        <v>93201000</v>
      </c>
      <c r="C5883" t="str">
        <f t="shared" si="1067"/>
        <v>93201350</v>
      </c>
      <c r="D5883">
        <v>89301212</v>
      </c>
      <c r="E5883" t="str">
        <f>"480122435"</f>
        <v>480122435</v>
      </c>
      <c r="F5883" s="1">
        <v>45061</v>
      </c>
      <c r="G5883" t="str">
        <f>"89513"</f>
        <v>89513</v>
      </c>
      <c r="H5883">
        <v>1</v>
      </c>
      <c r="I5883">
        <v>378</v>
      </c>
      <c r="J5883">
        <v>0</v>
      </c>
      <c r="K5883" t="str">
        <f t="shared" si="1065"/>
        <v>809</v>
      </c>
      <c r="L5883">
        <v>555.66</v>
      </c>
    </row>
    <row r="5884" spans="1:12" x14ac:dyDescent="0.25">
      <c r="A5884" t="str">
        <f t="shared" si="1056"/>
        <v>89301000</v>
      </c>
      <c r="B5884" t="str">
        <f t="shared" si="1066"/>
        <v>93201000</v>
      </c>
      <c r="C5884" t="str">
        <f t="shared" si="1067"/>
        <v>93201350</v>
      </c>
      <c r="D5884">
        <v>89301212</v>
      </c>
      <c r="E5884" t="str">
        <f>"480122435"</f>
        <v>480122435</v>
      </c>
      <c r="F5884" s="1">
        <v>45061</v>
      </c>
      <c r="G5884" t="str">
        <f>"89514"</f>
        <v>89514</v>
      </c>
      <c r="H5884">
        <v>1</v>
      </c>
      <c r="I5884">
        <v>378</v>
      </c>
      <c r="J5884">
        <v>0</v>
      </c>
      <c r="K5884" t="str">
        <f t="shared" si="1065"/>
        <v>809</v>
      </c>
      <c r="L5884">
        <v>555.66</v>
      </c>
    </row>
    <row r="5885" spans="1:12" x14ac:dyDescent="0.25">
      <c r="A5885" t="str">
        <f t="shared" si="1056"/>
        <v>89301000</v>
      </c>
      <c r="B5885" t="str">
        <f t="shared" si="1066"/>
        <v>93201000</v>
      </c>
      <c r="C5885" t="str">
        <f t="shared" si="1067"/>
        <v>93201350</v>
      </c>
      <c r="D5885">
        <v>89301212</v>
      </c>
      <c r="E5885" t="str">
        <f>"536130059"</f>
        <v>536130059</v>
      </c>
      <c r="F5885" s="1">
        <v>45072</v>
      </c>
      <c r="G5885" t="str">
        <f>"89617"</f>
        <v>89617</v>
      </c>
      <c r="H5885">
        <v>1</v>
      </c>
      <c r="I5885">
        <v>1342</v>
      </c>
      <c r="J5885">
        <v>0</v>
      </c>
      <c r="K5885" t="str">
        <f t="shared" si="1065"/>
        <v>809</v>
      </c>
      <c r="L5885">
        <v>872.3</v>
      </c>
    </row>
    <row r="5886" spans="1:12" x14ac:dyDescent="0.25">
      <c r="A5886" t="str">
        <f t="shared" si="1056"/>
        <v>89301000</v>
      </c>
      <c r="B5886" t="str">
        <f t="shared" si="1066"/>
        <v>93201000</v>
      </c>
      <c r="C5886" t="str">
        <f t="shared" si="1067"/>
        <v>93201350</v>
      </c>
      <c r="D5886">
        <v>89301212</v>
      </c>
      <c r="E5886" t="str">
        <f>"536130059"</f>
        <v>536130059</v>
      </c>
      <c r="F5886" s="1">
        <v>45072</v>
      </c>
      <c r="G5886" t="str">
        <f>"89619"</f>
        <v>89619</v>
      </c>
      <c r="H5886">
        <v>1</v>
      </c>
      <c r="I5886">
        <v>1218</v>
      </c>
      <c r="J5886">
        <v>0</v>
      </c>
      <c r="K5886" t="str">
        <f t="shared" si="1065"/>
        <v>809</v>
      </c>
      <c r="L5886">
        <v>791.7</v>
      </c>
    </row>
    <row r="5887" spans="1:12" x14ac:dyDescent="0.25">
      <c r="A5887" t="str">
        <f t="shared" si="1056"/>
        <v>89301000</v>
      </c>
      <c r="B5887" t="str">
        <f t="shared" si="1066"/>
        <v>93201000</v>
      </c>
      <c r="C5887" t="str">
        <f t="shared" si="1067"/>
        <v>93201350</v>
      </c>
      <c r="D5887">
        <v>89301212</v>
      </c>
      <c r="E5887" t="str">
        <f>"536130059"</f>
        <v>536130059</v>
      </c>
      <c r="F5887" s="1">
        <v>45072</v>
      </c>
      <c r="G5887" t="str">
        <f>"0137480"</f>
        <v>0137480</v>
      </c>
      <c r="H5887">
        <v>0.16</v>
      </c>
      <c r="J5887">
        <v>803.86</v>
      </c>
      <c r="K5887" t="str">
        <f t="shared" si="1065"/>
        <v>809</v>
      </c>
      <c r="L5887">
        <v>803.86</v>
      </c>
    </row>
    <row r="5888" spans="1:12" x14ac:dyDescent="0.25">
      <c r="A5888" t="str">
        <f t="shared" si="1056"/>
        <v>89301000</v>
      </c>
      <c r="B5888" t="str">
        <f t="shared" si="1066"/>
        <v>93201000</v>
      </c>
      <c r="C5888" t="str">
        <f t="shared" si="1067"/>
        <v>93201350</v>
      </c>
      <c r="D5888">
        <v>89301211</v>
      </c>
      <c r="E5888" t="str">
        <f>"6461182013"</f>
        <v>6461182013</v>
      </c>
      <c r="F5888" s="1">
        <v>45058</v>
      </c>
      <c r="G5888" t="str">
        <f>"89615"</f>
        <v>89615</v>
      </c>
      <c r="H5888">
        <v>1</v>
      </c>
      <c r="I5888">
        <v>2199</v>
      </c>
      <c r="J5888">
        <v>0</v>
      </c>
      <c r="K5888" t="str">
        <f t="shared" si="1065"/>
        <v>809</v>
      </c>
      <c r="L5888">
        <v>1429.35</v>
      </c>
    </row>
    <row r="5889" spans="1:12" x14ac:dyDescent="0.25">
      <c r="A5889" t="str">
        <f t="shared" si="1056"/>
        <v>89301000</v>
      </c>
      <c r="B5889" t="str">
        <f t="shared" si="1066"/>
        <v>93201000</v>
      </c>
      <c r="C5889" t="str">
        <f t="shared" si="1067"/>
        <v>93201350</v>
      </c>
      <c r="D5889">
        <v>89301212</v>
      </c>
      <c r="E5889" t="str">
        <f>"475822490"</f>
        <v>475822490</v>
      </c>
      <c r="F5889" s="1">
        <v>45069</v>
      </c>
      <c r="G5889" t="str">
        <f>"89512"</f>
        <v>89512</v>
      </c>
      <c r="H5889">
        <v>1</v>
      </c>
      <c r="I5889">
        <v>283</v>
      </c>
      <c r="J5889">
        <v>0</v>
      </c>
      <c r="K5889" t="str">
        <f t="shared" si="1065"/>
        <v>809</v>
      </c>
      <c r="L5889">
        <v>416.01</v>
      </c>
    </row>
    <row r="5890" spans="1:12" x14ac:dyDescent="0.25">
      <c r="A5890" t="str">
        <f t="shared" ref="A5890:A5953" si="1068">"89301000"</f>
        <v>89301000</v>
      </c>
      <c r="B5890" t="str">
        <f t="shared" si="1066"/>
        <v>93201000</v>
      </c>
      <c r="C5890" t="str">
        <f t="shared" si="1067"/>
        <v>93201350</v>
      </c>
      <c r="D5890">
        <v>89301212</v>
      </c>
      <c r="E5890" t="str">
        <f>"5761220311"</f>
        <v>5761220311</v>
      </c>
      <c r="F5890" s="1">
        <v>45076</v>
      </c>
      <c r="G5890" t="str">
        <f>"89180"</f>
        <v>89180</v>
      </c>
      <c r="H5890">
        <v>2</v>
      </c>
      <c r="I5890">
        <v>762</v>
      </c>
      <c r="J5890">
        <v>0</v>
      </c>
      <c r="K5890" t="str">
        <f t="shared" si="1065"/>
        <v>809</v>
      </c>
      <c r="L5890">
        <v>1120.1400000000001</v>
      </c>
    </row>
    <row r="5891" spans="1:12" x14ac:dyDescent="0.25">
      <c r="A5891" t="str">
        <f t="shared" si="1068"/>
        <v>89301000</v>
      </c>
      <c r="B5891" t="str">
        <f t="shared" si="1066"/>
        <v>93201000</v>
      </c>
      <c r="C5891" t="str">
        <f t="shared" si="1067"/>
        <v>93201350</v>
      </c>
      <c r="D5891">
        <v>89301212</v>
      </c>
      <c r="E5891" t="str">
        <f>"485730034"</f>
        <v>485730034</v>
      </c>
      <c r="F5891" s="1">
        <v>45061</v>
      </c>
      <c r="G5891" t="str">
        <f>"89180"</f>
        <v>89180</v>
      </c>
      <c r="H5891">
        <v>2</v>
      </c>
      <c r="I5891">
        <v>762</v>
      </c>
      <c r="J5891">
        <v>0</v>
      </c>
      <c r="K5891" t="str">
        <f t="shared" si="1065"/>
        <v>809</v>
      </c>
      <c r="L5891">
        <v>1120.1400000000001</v>
      </c>
    </row>
    <row r="5892" spans="1:12" x14ac:dyDescent="0.25">
      <c r="A5892" t="str">
        <f t="shared" si="1068"/>
        <v>89301000</v>
      </c>
      <c r="B5892" t="str">
        <f t="shared" si="1066"/>
        <v>93201000</v>
      </c>
      <c r="C5892" t="str">
        <f t="shared" ref="C5892:C5897" si="1069">"93201355"</f>
        <v>93201355</v>
      </c>
      <c r="D5892">
        <v>89301172</v>
      </c>
      <c r="E5892" t="str">
        <f>"421023426"</f>
        <v>421023426</v>
      </c>
      <c r="F5892" s="1">
        <v>45057</v>
      </c>
      <c r="G5892" t="str">
        <f>"89713"</f>
        <v>89713</v>
      </c>
      <c r="H5892">
        <v>1</v>
      </c>
      <c r="I5892">
        <v>5411</v>
      </c>
      <c r="J5892">
        <v>0</v>
      </c>
      <c r="K5892" t="str">
        <f t="shared" ref="K5892:K5897" si="1070">"810"</f>
        <v>810</v>
      </c>
      <c r="L5892">
        <v>3517.15</v>
      </c>
    </row>
    <row r="5893" spans="1:12" x14ac:dyDescent="0.25">
      <c r="A5893" t="str">
        <f t="shared" si="1068"/>
        <v>89301000</v>
      </c>
      <c r="B5893" t="str">
        <f t="shared" si="1066"/>
        <v>93201000</v>
      </c>
      <c r="C5893" t="str">
        <f t="shared" si="1069"/>
        <v>93201355</v>
      </c>
      <c r="D5893">
        <v>89301172</v>
      </c>
      <c r="E5893" t="str">
        <f>"421023426"</f>
        <v>421023426</v>
      </c>
      <c r="F5893" s="1">
        <v>45057</v>
      </c>
      <c r="G5893" t="str">
        <f>"89725"</f>
        <v>89725</v>
      </c>
      <c r="H5893">
        <v>1</v>
      </c>
      <c r="I5893">
        <v>2863</v>
      </c>
      <c r="J5893">
        <v>0</v>
      </c>
      <c r="K5893" t="str">
        <f t="shared" si="1070"/>
        <v>810</v>
      </c>
      <c r="L5893">
        <v>1860.95</v>
      </c>
    </row>
    <row r="5894" spans="1:12" x14ac:dyDescent="0.25">
      <c r="A5894" t="str">
        <f t="shared" si="1068"/>
        <v>89301000</v>
      </c>
      <c r="B5894" t="str">
        <f t="shared" si="1066"/>
        <v>93201000</v>
      </c>
      <c r="C5894" t="str">
        <f t="shared" si="1069"/>
        <v>93201355</v>
      </c>
      <c r="D5894">
        <v>89301172</v>
      </c>
      <c r="E5894" t="str">
        <f>"5404224056"</f>
        <v>5404224056</v>
      </c>
      <c r="F5894" s="1">
        <v>45076</v>
      </c>
      <c r="G5894" t="str">
        <f>"89713"</f>
        <v>89713</v>
      </c>
      <c r="H5894">
        <v>1</v>
      </c>
      <c r="I5894">
        <v>5411</v>
      </c>
      <c r="J5894">
        <v>0</v>
      </c>
      <c r="K5894" t="str">
        <f t="shared" si="1070"/>
        <v>810</v>
      </c>
      <c r="L5894">
        <v>3517.15</v>
      </c>
    </row>
    <row r="5895" spans="1:12" x14ac:dyDescent="0.25">
      <c r="A5895" t="str">
        <f t="shared" si="1068"/>
        <v>89301000</v>
      </c>
      <c r="B5895" t="str">
        <f t="shared" si="1066"/>
        <v>93201000</v>
      </c>
      <c r="C5895" t="str">
        <f t="shared" si="1069"/>
        <v>93201355</v>
      </c>
      <c r="D5895">
        <v>89301062</v>
      </c>
      <c r="E5895" t="str">
        <f>"7606185818"</f>
        <v>7606185818</v>
      </c>
      <c r="F5895" s="1">
        <v>45068</v>
      </c>
      <c r="G5895" t="str">
        <f>"89713"</f>
        <v>89713</v>
      </c>
      <c r="H5895">
        <v>1</v>
      </c>
      <c r="I5895">
        <v>5411</v>
      </c>
      <c r="J5895">
        <v>0</v>
      </c>
      <c r="K5895" t="str">
        <f t="shared" si="1070"/>
        <v>810</v>
      </c>
      <c r="L5895">
        <v>3517.15</v>
      </c>
    </row>
    <row r="5896" spans="1:12" x14ac:dyDescent="0.25">
      <c r="A5896" t="str">
        <f t="shared" si="1068"/>
        <v>89301000</v>
      </c>
      <c r="B5896" t="str">
        <f t="shared" si="1066"/>
        <v>93201000</v>
      </c>
      <c r="C5896" t="str">
        <f t="shared" si="1069"/>
        <v>93201355</v>
      </c>
      <c r="D5896">
        <v>89301172</v>
      </c>
      <c r="E5896" t="str">
        <f>"510414154"</f>
        <v>510414154</v>
      </c>
      <c r="F5896" s="1">
        <v>45051</v>
      </c>
      <c r="G5896" t="str">
        <f>"89713"</f>
        <v>89713</v>
      </c>
      <c r="H5896">
        <v>1</v>
      </c>
      <c r="I5896">
        <v>5411</v>
      </c>
      <c r="J5896">
        <v>0</v>
      </c>
      <c r="K5896" t="str">
        <f t="shared" si="1070"/>
        <v>810</v>
      </c>
      <c r="L5896">
        <v>3517.15</v>
      </c>
    </row>
    <row r="5897" spans="1:12" x14ac:dyDescent="0.25">
      <c r="A5897" t="str">
        <f t="shared" si="1068"/>
        <v>89301000</v>
      </c>
      <c r="B5897" t="str">
        <f t="shared" si="1066"/>
        <v>93201000</v>
      </c>
      <c r="C5897" t="str">
        <f t="shared" si="1069"/>
        <v>93201355</v>
      </c>
      <c r="D5897">
        <v>89301172</v>
      </c>
      <c r="E5897" t="str">
        <f>"510414154"</f>
        <v>510414154</v>
      </c>
      <c r="F5897" s="1">
        <v>45051</v>
      </c>
      <c r="G5897" t="str">
        <f>"89725"</f>
        <v>89725</v>
      </c>
      <c r="H5897">
        <v>1</v>
      </c>
      <c r="I5897">
        <v>2863</v>
      </c>
      <c r="J5897">
        <v>0</v>
      </c>
      <c r="K5897" t="str">
        <f t="shared" si="1070"/>
        <v>810</v>
      </c>
      <c r="L5897">
        <v>1860.95</v>
      </c>
    </row>
    <row r="5898" spans="1:12" x14ac:dyDescent="0.25">
      <c r="A5898" t="str">
        <f t="shared" si="1068"/>
        <v>89301000</v>
      </c>
      <c r="B5898" t="str">
        <f t="shared" ref="B5898:B5932" si="1071">"88805000"</f>
        <v>88805000</v>
      </c>
      <c r="C5898" t="str">
        <f>"88805014"</f>
        <v>88805014</v>
      </c>
      <c r="D5898">
        <v>89301282</v>
      </c>
      <c r="E5898" t="str">
        <f>"5504130863"</f>
        <v>5504130863</v>
      </c>
      <c r="F5898" s="1">
        <v>45019</v>
      </c>
      <c r="G5898" t="str">
        <f>"94221"</f>
        <v>94221</v>
      </c>
      <c r="H5898">
        <v>1</v>
      </c>
      <c r="I5898">
        <v>2467</v>
      </c>
      <c r="J5898">
        <v>0</v>
      </c>
      <c r="K5898" t="str">
        <f>"816"</f>
        <v>816</v>
      </c>
      <c r="L5898">
        <v>2220.3000000000002</v>
      </c>
    </row>
    <row r="5899" spans="1:12" x14ac:dyDescent="0.25">
      <c r="A5899" t="str">
        <f t="shared" si="1068"/>
        <v>89301000</v>
      </c>
      <c r="B5899" t="str">
        <f t="shared" si="1071"/>
        <v>88805000</v>
      </c>
      <c r="C5899" t="str">
        <f>"88805014"</f>
        <v>88805014</v>
      </c>
      <c r="D5899">
        <v>89301282</v>
      </c>
      <c r="E5899" t="str">
        <f>"5504130863"</f>
        <v>5504130863</v>
      </c>
      <c r="F5899" s="1">
        <v>45019</v>
      </c>
      <c r="G5899" t="str">
        <f>"94948"</f>
        <v>94948</v>
      </c>
      <c r="H5899">
        <v>1</v>
      </c>
      <c r="I5899">
        <v>0</v>
      </c>
      <c r="J5899">
        <v>0</v>
      </c>
      <c r="K5899" t="str">
        <f>"816"</f>
        <v>816</v>
      </c>
      <c r="L5899">
        <v>0</v>
      </c>
    </row>
    <row r="5900" spans="1:12" x14ac:dyDescent="0.25">
      <c r="A5900" t="str">
        <f t="shared" si="1068"/>
        <v>89301000</v>
      </c>
      <c r="B5900" t="str">
        <f t="shared" si="1071"/>
        <v>88805000</v>
      </c>
      <c r="C5900" t="str">
        <f>"88805014"</f>
        <v>88805014</v>
      </c>
      <c r="D5900">
        <v>89301282</v>
      </c>
      <c r="E5900" t="str">
        <f>"6851241804"</f>
        <v>6851241804</v>
      </c>
      <c r="F5900" s="1">
        <v>45019</v>
      </c>
      <c r="G5900" t="str">
        <f>"94221"</f>
        <v>94221</v>
      </c>
      <c r="H5900">
        <v>1</v>
      </c>
      <c r="I5900">
        <v>2467</v>
      </c>
      <c r="J5900">
        <v>0</v>
      </c>
      <c r="K5900" t="str">
        <f>"816"</f>
        <v>816</v>
      </c>
      <c r="L5900">
        <v>2220.3000000000002</v>
      </c>
    </row>
    <row r="5901" spans="1:12" x14ac:dyDescent="0.25">
      <c r="A5901" t="str">
        <f t="shared" si="1068"/>
        <v>89301000</v>
      </c>
      <c r="B5901" t="str">
        <f t="shared" si="1071"/>
        <v>88805000</v>
      </c>
      <c r="C5901" t="str">
        <f>"88805014"</f>
        <v>88805014</v>
      </c>
      <c r="D5901">
        <v>89301282</v>
      </c>
      <c r="E5901" t="str">
        <f>"6851241804"</f>
        <v>6851241804</v>
      </c>
      <c r="F5901" s="1">
        <v>45019</v>
      </c>
      <c r="G5901" t="str">
        <f>"94948"</f>
        <v>94948</v>
      </c>
      <c r="H5901">
        <v>1</v>
      </c>
      <c r="I5901">
        <v>0</v>
      </c>
      <c r="J5901">
        <v>0</v>
      </c>
      <c r="K5901" t="str">
        <f>"816"</f>
        <v>816</v>
      </c>
      <c r="L5901">
        <v>0</v>
      </c>
    </row>
    <row r="5902" spans="1:12" x14ac:dyDescent="0.25">
      <c r="A5902" t="str">
        <f t="shared" si="1068"/>
        <v>89301000</v>
      </c>
      <c r="B5902" t="str">
        <f t="shared" si="1071"/>
        <v>88805000</v>
      </c>
      <c r="C5902" t="str">
        <f t="shared" ref="C5902:C5910" si="1072">"88805001"</f>
        <v>88805001</v>
      </c>
      <c r="D5902">
        <v>89301202</v>
      </c>
      <c r="E5902" t="str">
        <f>"8358295308"</f>
        <v>8358295308</v>
      </c>
      <c r="F5902" s="1">
        <v>45049</v>
      </c>
      <c r="G5902" t="str">
        <f>"81643"</f>
        <v>81643</v>
      </c>
      <c r="H5902">
        <v>1</v>
      </c>
      <c r="I5902">
        <v>104</v>
      </c>
      <c r="J5902">
        <v>0</v>
      </c>
      <c r="K5902" t="str">
        <f t="shared" ref="K5902:K5910" si="1073">"801"</f>
        <v>801</v>
      </c>
      <c r="L5902">
        <v>87.36</v>
      </c>
    </row>
    <row r="5903" spans="1:12" x14ac:dyDescent="0.25">
      <c r="A5903" t="str">
        <f t="shared" si="1068"/>
        <v>89301000</v>
      </c>
      <c r="B5903" t="str">
        <f t="shared" si="1071"/>
        <v>88805000</v>
      </c>
      <c r="C5903" t="str">
        <f t="shared" si="1072"/>
        <v>88805001</v>
      </c>
      <c r="D5903">
        <v>89301202</v>
      </c>
      <c r="E5903" t="str">
        <f>"7552275302"</f>
        <v>7552275302</v>
      </c>
      <c r="F5903" s="1">
        <v>45058</v>
      </c>
      <c r="G5903" t="str">
        <f>"81643"</f>
        <v>81643</v>
      </c>
      <c r="H5903">
        <v>1</v>
      </c>
      <c r="I5903">
        <v>104</v>
      </c>
      <c r="J5903">
        <v>0</v>
      </c>
      <c r="K5903" t="str">
        <f t="shared" si="1073"/>
        <v>801</v>
      </c>
      <c r="L5903">
        <v>87.36</v>
      </c>
    </row>
    <row r="5904" spans="1:12" x14ac:dyDescent="0.25">
      <c r="A5904" t="str">
        <f t="shared" si="1068"/>
        <v>89301000</v>
      </c>
      <c r="B5904" t="str">
        <f t="shared" si="1071"/>
        <v>88805000</v>
      </c>
      <c r="C5904" t="str">
        <f t="shared" si="1072"/>
        <v>88805001</v>
      </c>
      <c r="D5904">
        <v>89301022</v>
      </c>
      <c r="E5904" t="str">
        <f>"7951224457"</f>
        <v>7951224457</v>
      </c>
      <c r="F5904" s="1">
        <v>45075</v>
      </c>
      <c r="G5904" t="str">
        <f>"81643"</f>
        <v>81643</v>
      </c>
      <c r="H5904">
        <v>1</v>
      </c>
      <c r="I5904">
        <v>104</v>
      </c>
      <c r="J5904">
        <v>0</v>
      </c>
      <c r="K5904" t="str">
        <f t="shared" si="1073"/>
        <v>801</v>
      </c>
      <c r="L5904">
        <v>87.36</v>
      </c>
    </row>
    <row r="5905" spans="1:12" x14ac:dyDescent="0.25">
      <c r="A5905" t="str">
        <f t="shared" si="1068"/>
        <v>89301000</v>
      </c>
      <c r="B5905" t="str">
        <f t="shared" si="1071"/>
        <v>88805000</v>
      </c>
      <c r="C5905" t="str">
        <f t="shared" si="1072"/>
        <v>88805001</v>
      </c>
      <c r="D5905">
        <v>89301108</v>
      </c>
      <c r="E5905" t="str">
        <f>"2004230745"</f>
        <v>2004230745</v>
      </c>
      <c r="F5905" s="1">
        <v>45071</v>
      </c>
      <c r="G5905" t="str">
        <f>"81643"</f>
        <v>81643</v>
      </c>
      <c r="H5905">
        <v>1</v>
      </c>
      <c r="I5905">
        <v>104</v>
      </c>
      <c r="J5905">
        <v>0</v>
      </c>
      <c r="K5905" t="str">
        <f t="shared" si="1073"/>
        <v>801</v>
      </c>
      <c r="L5905">
        <v>87.36</v>
      </c>
    </row>
    <row r="5906" spans="1:12" x14ac:dyDescent="0.25">
      <c r="A5906" t="str">
        <f t="shared" si="1068"/>
        <v>89301000</v>
      </c>
      <c r="B5906" t="str">
        <f t="shared" si="1071"/>
        <v>88805000</v>
      </c>
      <c r="C5906" t="str">
        <f t="shared" si="1072"/>
        <v>88805001</v>
      </c>
      <c r="D5906">
        <v>89301202</v>
      </c>
      <c r="E5906" t="str">
        <f>"8755265805"</f>
        <v>8755265805</v>
      </c>
      <c r="F5906" s="1">
        <v>45049</v>
      </c>
      <c r="G5906" t="str">
        <f>"81643"</f>
        <v>81643</v>
      </c>
      <c r="H5906">
        <v>1</v>
      </c>
      <c r="I5906">
        <v>104</v>
      </c>
      <c r="J5906">
        <v>0</v>
      </c>
      <c r="K5906" t="str">
        <f t="shared" si="1073"/>
        <v>801</v>
      </c>
      <c r="L5906">
        <v>87.36</v>
      </c>
    </row>
    <row r="5907" spans="1:12" x14ac:dyDescent="0.25">
      <c r="A5907" t="str">
        <f t="shared" si="1068"/>
        <v>89301000</v>
      </c>
      <c r="B5907" t="str">
        <f t="shared" si="1071"/>
        <v>88805000</v>
      </c>
      <c r="C5907" t="str">
        <f t="shared" si="1072"/>
        <v>88805001</v>
      </c>
      <c r="D5907">
        <v>89301108</v>
      </c>
      <c r="E5907" t="str">
        <f>"1210190311"</f>
        <v>1210190311</v>
      </c>
      <c r="F5907" s="1">
        <v>45077</v>
      </c>
      <c r="G5907" t="str">
        <f>"81631"</f>
        <v>81631</v>
      </c>
      <c r="H5907">
        <v>1</v>
      </c>
      <c r="I5907">
        <v>299</v>
      </c>
      <c r="J5907">
        <v>0</v>
      </c>
      <c r="K5907" t="str">
        <f t="shared" si="1073"/>
        <v>801</v>
      </c>
      <c r="L5907">
        <v>251.16</v>
      </c>
    </row>
    <row r="5908" spans="1:12" x14ac:dyDescent="0.25">
      <c r="A5908" t="str">
        <f t="shared" si="1068"/>
        <v>89301000</v>
      </c>
      <c r="B5908" t="str">
        <f t="shared" si="1071"/>
        <v>88805000</v>
      </c>
      <c r="C5908" t="str">
        <f t="shared" si="1072"/>
        <v>88805001</v>
      </c>
      <c r="D5908">
        <v>89301108</v>
      </c>
      <c r="E5908" t="str">
        <f>"1210190311"</f>
        <v>1210190311</v>
      </c>
      <c r="F5908" s="1">
        <v>45077</v>
      </c>
      <c r="G5908" t="str">
        <f>"92143"</f>
        <v>92143</v>
      </c>
      <c r="H5908">
        <v>1</v>
      </c>
      <c r="I5908">
        <v>1772</v>
      </c>
      <c r="J5908">
        <v>0</v>
      </c>
      <c r="K5908" t="str">
        <f t="shared" si="1073"/>
        <v>801</v>
      </c>
      <c r="L5908">
        <v>1488.48</v>
      </c>
    </row>
    <row r="5909" spans="1:12" x14ac:dyDescent="0.25">
      <c r="A5909" t="str">
        <f t="shared" si="1068"/>
        <v>89301000</v>
      </c>
      <c r="B5909" t="str">
        <f t="shared" si="1071"/>
        <v>88805000</v>
      </c>
      <c r="C5909" t="str">
        <f t="shared" si="1072"/>
        <v>88805001</v>
      </c>
      <c r="D5909">
        <v>89301702</v>
      </c>
      <c r="E5909" t="str">
        <f>"1103260433"</f>
        <v>1103260433</v>
      </c>
      <c r="F5909" s="1">
        <v>45063</v>
      </c>
      <c r="G5909" t="str">
        <f>"81631"</f>
        <v>81631</v>
      </c>
      <c r="H5909">
        <v>1</v>
      </c>
      <c r="I5909">
        <v>299</v>
      </c>
      <c r="J5909">
        <v>0</v>
      </c>
      <c r="K5909" t="str">
        <f t="shared" si="1073"/>
        <v>801</v>
      </c>
      <c r="L5909">
        <v>251.16</v>
      </c>
    </row>
    <row r="5910" spans="1:12" x14ac:dyDescent="0.25">
      <c r="A5910" t="str">
        <f t="shared" si="1068"/>
        <v>89301000</v>
      </c>
      <c r="B5910" t="str">
        <f t="shared" si="1071"/>
        <v>88805000</v>
      </c>
      <c r="C5910" t="str">
        <f t="shared" si="1072"/>
        <v>88805001</v>
      </c>
      <c r="D5910">
        <v>89301702</v>
      </c>
      <c r="E5910" t="str">
        <f>"1103260433"</f>
        <v>1103260433</v>
      </c>
      <c r="F5910" s="1">
        <v>45063</v>
      </c>
      <c r="G5910" t="str">
        <f>"92143"</f>
        <v>92143</v>
      </c>
      <c r="H5910">
        <v>1</v>
      </c>
      <c r="I5910">
        <v>1772</v>
      </c>
      <c r="J5910">
        <v>0</v>
      </c>
      <c r="K5910" t="str">
        <f t="shared" si="1073"/>
        <v>801</v>
      </c>
      <c r="L5910">
        <v>1488.48</v>
      </c>
    </row>
    <row r="5911" spans="1:12" x14ac:dyDescent="0.25">
      <c r="A5911" t="str">
        <f t="shared" si="1068"/>
        <v>89301000</v>
      </c>
      <c r="B5911" t="str">
        <f t="shared" si="1071"/>
        <v>88805000</v>
      </c>
      <c r="C5911" t="str">
        <f t="shared" ref="C5911:C5923" si="1074">"88805014"</f>
        <v>88805014</v>
      </c>
      <c r="D5911">
        <v>89301282</v>
      </c>
      <c r="E5911" t="str">
        <f>"1212281686"</f>
        <v>1212281686</v>
      </c>
      <c r="F5911" s="1">
        <v>45062</v>
      </c>
      <c r="G5911" t="str">
        <f>"94227"</f>
        <v>94227</v>
      </c>
      <c r="H5911">
        <v>6</v>
      </c>
      <c r="I5911">
        <v>3798</v>
      </c>
      <c r="J5911">
        <v>0</v>
      </c>
      <c r="K5911" t="str">
        <f t="shared" ref="K5911:K5923" si="1075">"816"</f>
        <v>816</v>
      </c>
      <c r="L5911">
        <v>3418.2</v>
      </c>
    </row>
    <row r="5912" spans="1:12" x14ac:dyDescent="0.25">
      <c r="A5912" t="str">
        <f t="shared" si="1068"/>
        <v>89301000</v>
      </c>
      <c r="B5912" t="str">
        <f t="shared" si="1071"/>
        <v>88805000</v>
      </c>
      <c r="C5912" t="str">
        <f t="shared" si="1074"/>
        <v>88805014</v>
      </c>
      <c r="D5912">
        <v>89301282</v>
      </c>
      <c r="E5912" t="str">
        <f>"1212281686"</f>
        <v>1212281686</v>
      </c>
      <c r="F5912" s="1">
        <v>45062</v>
      </c>
      <c r="G5912" t="str">
        <f>"94237"</f>
        <v>94237</v>
      </c>
      <c r="H5912">
        <v>1</v>
      </c>
      <c r="I5912">
        <v>3936</v>
      </c>
      <c r="J5912">
        <v>0</v>
      </c>
      <c r="K5912" t="str">
        <f t="shared" si="1075"/>
        <v>816</v>
      </c>
      <c r="L5912">
        <v>3542.4</v>
      </c>
    </row>
    <row r="5913" spans="1:12" x14ac:dyDescent="0.25">
      <c r="A5913" t="str">
        <f t="shared" si="1068"/>
        <v>89301000</v>
      </c>
      <c r="B5913" t="str">
        <f t="shared" si="1071"/>
        <v>88805000</v>
      </c>
      <c r="C5913" t="str">
        <f t="shared" si="1074"/>
        <v>88805014</v>
      </c>
      <c r="D5913">
        <v>89301282</v>
      </c>
      <c r="E5913" t="str">
        <f>"1212281686"</f>
        <v>1212281686</v>
      </c>
      <c r="F5913" s="1">
        <v>45062</v>
      </c>
      <c r="G5913" t="str">
        <f>"94948"</f>
        <v>94948</v>
      </c>
      <c r="H5913">
        <v>1</v>
      </c>
      <c r="I5913">
        <v>0</v>
      </c>
      <c r="J5913">
        <v>0</v>
      </c>
      <c r="K5913" t="str">
        <f t="shared" si="1075"/>
        <v>816</v>
      </c>
      <c r="L5913">
        <v>0</v>
      </c>
    </row>
    <row r="5914" spans="1:12" x14ac:dyDescent="0.25">
      <c r="A5914" t="str">
        <f t="shared" si="1068"/>
        <v>89301000</v>
      </c>
      <c r="B5914" t="str">
        <f t="shared" si="1071"/>
        <v>88805000</v>
      </c>
      <c r="C5914" t="str">
        <f t="shared" si="1074"/>
        <v>88805014</v>
      </c>
      <c r="D5914">
        <v>89301282</v>
      </c>
      <c r="E5914" t="str">
        <f>"1701241190"</f>
        <v>1701241190</v>
      </c>
      <c r="F5914" s="1">
        <v>45058</v>
      </c>
      <c r="G5914" t="str">
        <f>"94345"</f>
        <v>94345</v>
      </c>
      <c r="H5914">
        <v>1</v>
      </c>
      <c r="I5914">
        <v>4662</v>
      </c>
      <c r="J5914">
        <v>0</v>
      </c>
      <c r="K5914" t="str">
        <f t="shared" si="1075"/>
        <v>816</v>
      </c>
      <c r="L5914">
        <v>4195.8</v>
      </c>
    </row>
    <row r="5915" spans="1:12" x14ac:dyDescent="0.25">
      <c r="A5915" t="str">
        <f t="shared" si="1068"/>
        <v>89301000</v>
      </c>
      <c r="B5915" t="str">
        <f t="shared" si="1071"/>
        <v>88805000</v>
      </c>
      <c r="C5915" t="str">
        <f t="shared" si="1074"/>
        <v>88805014</v>
      </c>
      <c r="D5915">
        <v>89301282</v>
      </c>
      <c r="E5915" t="str">
        <f>"1960200176"</f>
        <v>1960200176</v>
      </c>
      <c r="F5915" s="1">
        <v>45058</v>
      </c>
      <c r="G5915" t="str">
        <f>"94345"</f>
        <v>94345</v>
      </c>
      <c r="H5915">
        <v>1</v>
      </c>
      <c r="I5915">
        <v>4662</v>
      </c>
      <c r="J5915">
        <v>0</v>
      </c>
      <c r="K5915" t="str">
        <f t="shared" si="1075"/>
        <v>816</v>
      </c>
      <c r="L5915">
        <v>4195.8</v>
      </c>
    </row>
    <row r="5916" spans="1:12" x14ac:dyDescent="0.25">
      <c r="A5916" t="str">
        <f t="shared" si="1068"/>
        <v>89301000</v>
      </c>
      <c r="B5916" t="str">
        <f t="shared" si="1071"/>
        <v>88805000</v>
      </c>
      <c r="C5916" t="str">
        <f t="shared" si="1074"/>
        <v>88805014</v>
      </c>
      <c r="D5916">
        <v>89301282</v>
      </c>
      <c r="E5916" t="str">
        <f>"1762010415"</f>
        <v>1762010415</v>
      </c>
      <c r="F5916" s="1">
        <v>45055</v>
      </c>
      <c r="G5916" t="str">
        <f>"94345"</f>
        <v>94345</v>
      </c>
      <c r="H5916">
        <v>1</v>
      </c>
      <c r="I5916">
        <v>4662</v>
      </c>
      <c r="J5916">
        <v>0</v>
      </c>
      <c r="K5916" t="str">
        <f t="shared" si="1075"/>
        <v>816</v>
      </c>
      <c r="L5916">
        <v>4195.8</v>
      </c>
    </row>
    <row r="5917" spans="1:12" x14ac:dyDescent="0.25">
      <c r="A5917" t="str">
        <f t="shared" si="1068"/>
        <v>89301000</v>
      </c>
      <c r="B5917" t="str">
        <f t="shared" si="1071"/>
        <v>88805000</v>
      </c>
      <c r="C5917" t="str">
        <f t="shared" si="1074"/>
        <v>88805014</v>
      </c>
      <c r="D5917">
        <v>89301282</v>
      </c>
      <c r="E5917" t="str">
        <f>"2053130530"</f>
        <v>2053130530</v>
      </c>
      <c r="F5917" s="1">
        <v>45055</v>
      </c>
      <c r="G5917" t="str">
        <f>"94345"</f>
        <v>94345</v>
      </c>
      <c r="H5917">
        <v>1</v>
      </c>
      <c r="I5917">
        <v>4662</v>
      </c>
      <c r="J5917">
        <v>0</v>
      </c>
      <c r="K5917" t="str">
        <f t="shared" si="1075"/>
        <v>816</v>
      </c>
      <c r="L5917">
        <v>4195.8</v>
      </c>
    </row>
    <row r="5918" spans="1:12" x14ac:dyDescent="0.25">
      <c r="A5918" t="str">
        <f t="shared" si="1068"/>
        <v>89301000</v>
      </c>
      <c r="B5918" t="str">
        <f t="shared" si="1071"/>
        <v>88805000</v>
      </c>
      <c r="C5918" t="str">
        <f t="shared" si="1074"/>
        <v>88805014</v>
      </c>
      <c r="D5918">
        <v>89301282</v>
      </c>
      <c r="E5918" t="str">
        <f>"8155015781"</f>
        <v>8155015781</v>
      </c>
      <c r="F5918" s="1">
        <v>45058</v>
      </c>
      <c r="G5918" t="str">
        <f>"94982"</f>
        <v>94982</v>
      </c>
      <c r="H5918">
        <v>1</v>
      </c>
      <c r="I5918">
        <v>0</v>
      </c>
      <c r="J5918">
        <v>27500</v>
      </c>
      <c r="K5918" t="str">
        <f t="shared" si="1075"/>
        <v>816</v>
      </c>
      <c r="L5918">
        <v>27500</v>
      </c>
    </row>
    <row r="5919" spans="1:12" x14ac:dyDescent="0.25">
      <c r="A5919" t="str">
        <f t="shared" si="1068"/>
        <v>89301000</v>
      </c>
      <c r="B5919" t="str">
        <f t="shared" si="1071"/>
        <v>88805000</v>
      </c>
      <c r="C5919" t="str">
        <f t="shared" si="1074"/>
        <v>88805014</v>
      </c>
      <c r="D5919">
        <v>89301282</v>
      </c>
      <c r="E5919" t="str">
        <f>"8155015781"</f>
        <v>8155015781</v>
      </c>
      <c r="F5919" s="1">
        <v>45058</v>
      </c>
      <c r="G5919" t="str">
        <f>"94996"</f>
        <v>94996</v>
      </c>
      <c r="H5919">
        <v>1</v>
      </c>
      <c r="I5919">
        <v>0</v>
      </c>
      <c r="J5919">
        <v>0</v>
      </c>
      <c r="K5919" t="str">
        <f t="shared" si="1075"/>
        <v>816</v>
      </c>
      <c r="L5919">
        <v>0</v>
      </c>
    </row>
    <row r="5920" spans="1:12" x14ac:dyDescent="0.25">
      <c r="A5920" t="str">
        <f t="shared" si="1068"/>
        <v>89301000</v>
      </c>
      <c r="B5920" t="str">
        <f t="shared" si="1071"/>
        <v>88805000</v>
      </c>
      <c r="C5920" t="str">
        <f t="shared" si="1074"/>
        <v>88805014</v>
      </c>
      <c r="D5920">
        <v>89301282</v>
      </c>
      <c r="E5920" t="str">
        <f>"9957074182"</f>
        <v>9957074182</v>
      </c>
      <c r="F5920" s="1">
        <v>45051</v>
      </c>
      <c r="G5920" t="str">
        <f>"94982"</f>
        <v>94982</v>
      </c>
      <c r="H5920">
        <v>1</v>
      </c>
      <c r="I5920">
        <v>0</v>
      </c>
      <c r="J5920">
        <v>27500</v>
      </c>
      <c r="K5920" t="str">
        <f t="shared" si="1075"/>
        <v>816</v>
      </c>
      <c r="L5920">
        <v>27500</v>
      </c>
    </row>
    <row r="5921" spans="1:12" x14ac:dyDescent="0.25">
      <c r="A5921" t="str">
        <f t="shared" si="1068"/>
        <v>89301000</v>
      </c>
      <c r="B5921" t="str">
        <f t="shared" si="1071"/>
        <v>88805000</v>
      </c>
      <c r="C5921" t="str">
        <f t="shared" si="1074"/>
        <v>88805014</v>
      </c>
      <c r="D5921">
        <v>89301282</v>
      </c>
      <c r="E5921" t="str">
        <f>"9957074182"</f>
        <v>9957074182</v>
      </c>
      <c r="F5921" s="1">
        <v>45051</v>
      </c>
      <c r="G5921" t="str">
        <f>"94996"</f>
        <v>94996</v>
      </c>
      <c r="H5921">
        <v>1</v>
      </c>
      <c r="I5921">
        <v>0</v>
      </c>
      <c r="J5921">
        <v>0</v>
      </c>
      <c r="K5921" t="str">
        <f t="shared" si="1075"/>
        <v>816</v>
      </c>
      <c r="L5921">
        <v>0</v>
      </c>
    </row>
    <row r="5922" spans="1:12" x14ac:dyDescent="0.25">
      <c r="A5922" t="str">
        <f t="shared" si="1068"/>
        <v>89301000</v>
      </c>
      <c r="B5922" t="str">
        <f t="shared" si="1071"/>
        <v>88805000</v>
      </c>
      <c r="C5922" t="str">
        <f t="shared" si="1074"/>
        <v>88805014</v>
      </c>
      <c r="D5922">
        <v>89301282</v>
      </c>
      <c r="E5922" t="str">
        <f>"7610032903"</f>
        <v>7610032903</v>
      </c>
      <c r="F5922" s="1">
        <v>45062</v>
      </c>
      <c r="G5922" t="str">
        <f>"94982"</f>
        <v>94982</v>
      </c>
      <c r="H5922">
        <v>1</v>
      </c>
      <c r="I5922">
        <v>0</v>
      </c>
      <c r="J5922">
        <v>27500</v>
      </c>
      <c r="K5922" t="str">
        <f t="shared" si="1075"/>
        <v>816</v>
      </c>
      <c r="L5922">
        <v>27500</v>
      </c>
    </row>
    <row r="5923" spans="1:12" x14ac:dyDescent="0.25">
      <c r="A5923" t="str">
        <f t="shared" si="1068"/>
        <v>89301000</v>
      </c>
      <c r="B5923" t="str">
        <f t="shared" si="1071"/>
        <v>88805000</v>
      </c>
      <c r="C5923" t="str">
        <f t="shared" si="1074"/>
        <v>88805014</v>
      </c>
      <c r="D5923">
        <v>89301282</v>
      </c>
      <c r="E5923" t="str">
        <f>"7610032903"</f>
        <v>7610032903</v>
      </c>
      <c r="F5923" s="1">
        <v>45062</v>
      </c>
      <c r="G5923" t="str">
        <f>"94996"</f>
        <v>94996</v>
      </c>
      <c r="H5923">
        <v>1</v>
      </c>
      <c r="I5923">
        <v>0</v>
      </c>
      <c r="J5923">
        <v>0</v>
      </c>
      <c r="K5923" t="str">
        <f t="shared" si="1075"/>
        <v>816</v>
      </c>
      <c r="L5923">
        <v>0</v>
      </c>
    </row>
    <row r="5924" spans="1:12" x14ac:dyDescent="0.25">
      <c r="A5924" t="str">
        <f t="shared" si="1068"/>
        <v>89301000</v>
      </c>
      <c r="B5924" t="str">
        <f t="shared" si="1071"/>
        <v>88805000</v>
      </c>
      <c r="C5924" t="str">
        <f t="shared" ref="C5924:C5932" si="1076">"88805001"</f>
        <v>88805001</v>
      </c>
      <c r="D5924">
        <v>89301082</v>
      </c>
      <c r="E5924" t="str">
        <f>"8759195709"</f>
        <v>8759195709</v>
      </c>
      <c r="F5924" s="1">
        <v>45077</v>
      </c>
      <c r="G5924" t="str">
        <f>"97111"</f>
        <v>97111</v>
      </c>
      <c r="H5924">
        <v>1</v>
      </c>
      <c r="I5924">
        <v>19</v>
      </c>
      <c r="J5924">
        <v>0</v>
      </c>
      <c r="K5924" t="str">
        <f t="shared" ref="K5924:K5948" si="1077">"801"</f>
        <v>801</v>
      </c>
      <c r="L5924">
        <v>23.94</v>
      </c>
    </row>
    <row r="5925" spans="1:12" x14ac:dyDescent="0.25">
      <c r="A5925" t="str">
        <f t="shared" si="1068"/>
        <v>89301000</v>
      </c>
      <c r="B5925" t="str">
        <f t="shared" si="1071"/>
        <v>88805000</v>
      </c>
      <c r="C5925" t="str">
        <f t="shared" si="1076"/>
        <v>88805001</v>
      </c>
      <c r="D5925">
        <v>89301082</v>
      </c>
      <c r="E5925" t="str">
        <f>"8759195709"</f>
        <v>8759195709</v>
      </c>
      <c r="F5925" s="1">
        <v>45077</v>
      </c>
      <c r="G5925" t="str">
        <f>"93159"</f>
        <v>93159</v>
      </c>
      <c r="H5925">
        <v>1</v>
      </c>
      <c r="I5925">
        <v>197</v>
      </c>
      <c r="J5925">
        <v>0</v>
      </c>
      <c r="K5925" t="str">
        <f t="shared" si="1077"/>
        <v>801</v>
      </c>
      <c r="L5925">
        <v>165.48</v>
      </c>
    </row>
    <row r="5926" spans="1:12" x14ac:dyDescent="0.25">
      <c r="A5926" t="str">
        <f t="shared" si="1068"/>
        <v>89301000</v>
      </c>
      <c r="B5926" t="str">
        <f t="shared" si="1071"/>
        <v>88805000</v>
      </c>
      <c r="C5926" t="str">
        <f t="shared" si="1076"/>
        <v>88805001</v>
      </c>
      <c r="D5926">
        <v>89301108</v>
      </c>
      <c r="E5926" t="str">
        <f>"1210190311"</f>
        <v>1210190311</v>
      </c>
      <c r="F5926" s="1">
        <v>45077</v>
      </c>
      <c r="G5926" t="str">
        <f t="shared" ref="G5926:G5933" si="1078">"97111"</f>
        <v>97111</v>
      </c>
      <c r="H5926">
        <v>1</v>
      </c>
      <c r="I5926">
        <v>19</v>
      </c>
      <c r="J5926">
        <v>0</v>
      </c>
      <c r="K5926" t="str">
        <f t="shared" si="1077"/>
        <v>801</v>
      </c>
      <c r="L5926">
        <v>23.94</v>
      </c>
    </row>
    <row r="5927" spans="1:12" x14ac:dyDescent="0.25">
      <c r="A5927" t="str">
        <f t="shared" si="1068"/>
        <v>89301000</v>
      </c>
      <c r="B5927" t="str">
        <f t="shared" si="1071"/>
        <v>88805000</v>
      </c>
      <c r="C5927" t="str">
        <f t="shared" si="1076"/>
        <v>88805001</v>
      </c>
      <c r="D5927">
        <v>89301202</v>
      </c>
      <c r="E5927" t="str">
        <f>"8358295308"</f>
        <v>8358295308</v>
      </c>
      <c r="F5927" s="1">
        <v>45049</v>
      </c>
      <c r="G5927" t="str">
        <f t="shared" si="1078"/>
        <v>97111</v>
      </c>
      <c r="H5927">
        <v>1</v>
      </c>
      <c r="I5927">
        <v>19</v>
      </c>
      <c r="J5927">
        <v>0</v>
      </c>
      <c r="K5927" t="str">
        <f t="shared" si="1077"/>
        <v>801</v>
      </c>
      <c r="L5927">
        <v>23.94</v>
      </c>
    </row>
    <row r="5928" spans="1:12" x14ac:dyDescent="0.25">
      <c r="A5928" t="str">
        <f t="shared" si="1068"/>
        <v>89301000</v>
      </c>
      <c r="B5928" t="str">
        <f t="shared" si="1071"/>
        <v>88805000</v>
      </c>
      <c r="C5928" t="str">
        <f t="shared" si="1076"/>
        <v>88805001</v>
      </c>
      <c r="D5928">
        <v>89301702</v>
      </c>
      <c r="E5928" t="str">
        <f>"1103260433"</f>
        <v>1103260433</v>
      </c>
      <c r="F5928" s="1">
        <v>45063</v>
      </c>
      <c r="G5928" t="str">
        <f t="shared" si="1078"/>
        <v>97111</v>
      </c>
      <c r="H5928">
        <v>1</v>
      </c>
      <c r="I5928">
        <v>19</v>
      </c>
      <c r="J5928">
        <v>0</v>
      </c>
      <c r="K5928" t="str">
        <f t="shared" si="1077"/>
        <v>801</v>
      </c>
      <c r="L5928">
        <v>23.94</v>
      </c>
    </row>
    <row r="5929" spans="1:12" x14ac:dyDescent="0.25">
      <c r="A5929" t="str">
        <f t="shared" si="1068"/>
        <v>89301000</v>
      </c>
      <c r="B5929" t="str">
        <f t="shared" si="1071"/>
        <v>88805000</v>
      </c>
      <c r="C5929" t="str">
        <f t="shared" si="1076"/>
        <v>88805001</v>
      </c>
      <c r="D5929">
        <v>89301202</v>
      </c>
      <c r="E5929" t="str">
        <f>"7552275302"</f>
        <v>7552275302</v>
      </c>
      <c r="F5929" s="1">
        <v>45058</v>
      </c>
      <c r="G5929" t="str">
        <f t="shared" si="1078"/>
        <v>97111</v>
      </c>
      <c r="H5929">
        <v>1</v>
      </c>
      <c r="I5929">
        <v>19</v>
      </c>
      <c r="J5929">
        <v>0</v>
      </c>
      <c r="K5929" t="str">
        <f t="shared" si="1077"/>
        <v>801</v>
      </c>
      <c r="L5929">
        <v>23.94</v>
      </c>
    </row>
    <row r="5930" spans="1:12" x14ac:dyDescent="0.25">
      <c r="A5930" t="str">
        <f t="shared" si="1068"/>
        <v>89301000</v>
      </c>
      <c r="B5930" t="str">
        <f t="shared" si="1071"/>
        <v>88805000</v>
      </c>
      <c r="C5930" t="str">
        <f t="shared" si="1076"/>
        <v>88805001</v>
      </c>
      <c r="D5930">
        <v>89301202</v>
      </c>
      <c r="E5930" t="str">
        <f>"8755265805"</f>
        <v>8755265805</v>
      </c>
      <c r="F5930" s="1">
        <v>45049</v>
      </c>
      <c r="G5930" t="str">
        <f t="shared" si="1078"/>
        <v>97111</v>
      </c>
      <c r="H5930">
        <v>1</v>
      </c>
      <c r="I5930">
        <v>19</v>
      </c>
      <c r="J5930">
        <v>0</v>
      </c>
      <c r="K5930" t="str">
        <f t="shared" si="1077"/>
        <v>801</v>
      </c>
      <c r="L5930">
        <v>23.94</v>
      </c>
    </row>
    <row r="5931" spans="1:12" x14ac:dyDescent="0.25">
      <c r="A5931" t="str">
        <f t="shared" si="1068"/>
        <v>89301000</v>
      </c>
      <c r="B5931" t="str">
        <f t="shared" si="1071"/>
        <v>88805000</v>
      </c>
      <c r="C5931" t="str">
        <f t="shared" si="1076"/>
        <v>88805001</v>
      </c>
      <c r="D5931">
        <v>89301108</v>
      </c>
      <c r="E5931" t="str">
        <f>"2004230745"</f>
        <v>2004230745</v>
      </c>
      <c r="F5931" s="1">
        <v>45071</v>
      </c>
      <c r="G5931" t="str">
        <f t="shared" si="1078"/>
        <v>97111</v>
      </c>
      <c r="H5931">
        <v>1</v>
      </c>
      <c r="I5931">
        <v>19</v>
      </c>
      <c r="J5931">
        <v>0</v>
      </c>
      <c r="K5931" t="str">
        <f t="shared" si="1077"/>
        <v>801</v>
      </c>
      <c r="L5931">
        <v>23.94</v>
      </c>
    </row>
    <row r="5932" spans="1:12" x14ac:dyDescent="0.25">
      <c r="A5932" t="str">
        <f t="shared" si="1068"/>
        <v>89301000</v>
      </c>
      <c r="B5932" t="str">
        <f t="shared" si="1071"/>
        <v>88805000</v>
      </c>
      <c r="C5932" t="str">
        <f t="shared" si="1076"/>
        <v>88805001</v>
      </c>
      <c r="D5932">
        <v>89301022</v>
      </c>
      <c r="E5932" t="str">
        <f>"7951224457"</f>
        <v>7951224457</v>
      </c>
      <c r="F5932" s="1">
        <v>45075</v>
      </c>
      <c r="G5932" t="str">
        <f t="shared" si="1078"/>
        <v>97111</v>
      </c>
      <c r="H5932">
        <v>1</v>
      </c>
      <c r="I5932">
        <v>19</v>
      </c>
      <c r="J5932">
        <v>0</v>
      </c>
      <c r="K5932" t="str">
        <f t="shared" si="1077"/>
        <v>801</v>
      </c>
      <c r="L5932">
        <v>23.94</v>
      </c>
    </row>
    <row r="5933" spans="1:12" x14ac:dyDescent="0.25">
      <c r="A5933" t="str">
        <f t="shared" si="1068"/>
        <v>89301000</v>
      </c>
      <c r="B5933" t="str">
        <f t="shared" ref="B5933:C5948" si="1079">"91970116"</f>
        <v>91970116</v>
      </c>
      <c r="C5933" t="str">
        <f t="shared" si="1079"/>
        <v>91970116</v>
      </c>
      <c r="D5933">
        <v>89301167</v>
      </c>
      <c r="E5933" t="str">
        <f t="shared" ref="E5933:E5953" si="1080">"530220073"</f>
        <v>530220073</v>
      </c>
      <c r="F5933" s="1">
        <v>45072</v>
      </c>
      <c r="G5933" t="str">
        <f t="shared" si="1078"/>
        <v>97111</v>
      </c>
      <c r="H5933">
        <v>1</v>
      </c>
      <c r="I5933">
        <v>19</v>
      </c>
      <c r="J5933">
        <v>0</v>
      </c>
      <c r="K5933" t="str">
        <f t="shared" si="1077"/>
        <v>801</v>
      </c>
      <c r="L5933">
        <v>23.94</v>
      </c>
    </row>
    <row r="5934" spans="1:12" x14ac:dyDescent="0.25">
      <c r="A5934" t="str">
        <f t="shared" si="1068"/>
        <v>89301000</v>
      </c>
      <c r="B5934" t="str">
        <f t="shared" si="1079"/>
        <v>91970116</v>
      </c>
      <c r="C5934" t="str">
        <f t="shared" si="1079"/>
        <v>91970116</v>
      </c>
      <c r="D5934">
        <v>89301167</v>
      </c>
      <c r="E5934" t="str">
        <f t="shared" si="1080"/>
        <v>530220073</v>
      </c>
      <c r="F5934" s="1">
        <v>45072</v>
      </c>
      <c r="G5934" t="str">
        <f>"81625"</f>
        <v>81625</v>
      </c>
      <c r="H5934">
        <v>1</v>
      </c>
      <c r="I5934">
        <v>21</v>
      </c>
      <c r="J5934">
        <v>0</v>
      </c>
      <c r="K5934" t="str">
        <f t="shared" si="1077"/>
        <v>801</v>
      </c>
      <c r="L5934">
        <v>17.64</v>
      </c>
    </row>
    <row r="5935" spans="1:12" x14ac:dyDescent="0.25">
      <c r="A5935" t="str">
        <f t="shared" si="1068"/>
        <v>89301000</v>
      </c>
      <c r="B5935" t="str">
        <f t="shared" si="1079"/>
        <v>91970116</v>
      </c>
      <c r="C5935" t="str">
        <f t="shared" si="1079"/>
        <v>91970116</v>
      </c>
      <c r="D5935">
        <v>89301167</v>
      </c>
      <c r="E5935" t="str">
        <f t="shared" si="1080"/>
        <v>530220073</v>
      </c>
      <c r="F5935" s="1">
        <v>45072</v>
      </c>
      <c r="G5935" t="str">
        <f>"81621"</f>
        <v>81621</v>
      </c>
      <c r="H5935">
        <v>1</v>
      </c>
      <c r="I5935">
        <v>19</v>
      </c>
      <c r="J5935">
        <v>0</v>
      </c>
      <c r="K5935" t="str">
        <f t="shared" si="1077"/>
        <v>801</v>
      </c>
      <c r="L5935">
        <v>15.96</v>
      </c>
    </row>
    <row r="5936" spans="1:12" x14ac:dyDescent="0.25">
      <c r="A5936" t="str">
        <f t="shared" si="1068"/>
        <v>89301000</v>
      </c>
      <c r="B5936" t="str">
        <f t="shared" si="1079"/>
        <v>91970116</v>
      </c>
      <c r="C5936" t="str">
        <f t="shared" si="1079"/>
        <v>91970116</v>
      </c>
      <c r="D5936">
        <v>89301167</v>
      </c>
      <c r="E5936" t="str">
        <f t="shared" si="1080"/>
        <v>530220073</v>
      </c>
      <c r="F5936" s="1">
        <v>45072</v>
      </c>
      <c r="G5936" t="str">
        <f>"81499"</f>
        <v>81499</v>
      </c>
      <c r="H5936">
        <v>1</v>
      </c>
      <c r="I5936">
        <v>18</v>
      </c>
      <c r="J5936">
        <v>0</v>
      </c>
      <c r="K5936" t="str">
        <f t="shared" si="1077"/>
        <v>801</v>
      </c>
      <c r="L5936">
        <v>15.12</v>
      </c>
    </row>
    <row r="5937" spans="1:12" x14ac:dyDescent="0.25">
      <c r="A5937" t="str">
        <f t="shared" si="1068"/>
        <v>89301000</v>
      </c>
      <c r="B5937" t="str">
        <f t="shared" si="1079"/>
        <v>91970116</v>
      </c>
      <c r="C5937" t="str">
        <f t="shared" si="1079"/>
        <v>91970116</v>
      </c>
      <c r="D5937">
        <v>89301167</v>
      </c>
      <c r="E5937" t="str">
        <f t="shared" si="1080"/>
        <v>530220073</v>
      </c>
      <c r="F5937" s="1">
        <v>45072</v>
      </c>
      <c r="G5937" t="str">
        <f>"81523"</f>
        <v>81523</v>
      </c>
      <c r="H5937">
        <v>1</v>
      </c>
      <c r="I5937">
        <v>23</v>
      </c>
      <c r="J5937">
        <v>0</v>
      </c>
      <c r="K5937" t="str">
        <f t="shared" si="1077"/>
        <v>801</v>
      </c>
      <c r="L5937">
        <v>19.32</v>
      </c>
    </row>
    <row r="5938" spans="1:12" x14ac:dyDescent="0.25">
      <c r="A5938" t="str">
        <f t="shared" si="1068"/>
        <v>89301000</v>
      </c>
      <c r="B5938" t="str">
        <f t="shared" si="1079"/>
        <v>91970116</v>
      </c>
      <c r="C5938" t="str">
        <f t="shared" si="1079"/>
        <v>91970116</v>
      </c>
      <c r="D5938">
        <v>89301167</v>
      </c>
      <c r="E5938" t="str">
        <f t="shared" si="1080"/>
        <v>530220073</v>
      </c>
      <c r="F5938" s="1">
        <v>45072</v>
      </c>
      <c r="G5938" t="str">
        <f>"81337"</f>
        <v>81337</v>
      </c>
      <c r="H5938">
        <v>1</v>
      </c>
      <c r="I5938">
        <v>20</v>
      </c>
      <c r="J5938">
        <v>0</v>
      </c>
      <c r="K5938" t="str">
        <f t="shared" si="1077"/>
        <v>801</v>
      </c>
      <c r="L5938">
        <v>16.8</v>
      </c>
    </row>
    <row r="5939" spans="1:12" x14ac:dyDescent="0.25">
      <c r="A5939" t="str">
        <f t="shared" si="1068"/>
        <v>89301000</v>
      </c>
      <c r="B5939" t="str">
        <f t="shared" si="1079"/>
        <v>91970116</v>
      </c>
      <c r="C5939" t="str">
        <f t="shared" si="1079"/>
        <v>91970116</v>
      </c>
      <c r="D5939">
        <v>89301167</v>
      </c>
      <c r="E5939" t="str">
        <f t="shared" si="1080"/>
        <v>530220073</v>
      </c>
      <c r="F5939" s="1">
        <v>45072</v>
      </c>
      <c r="G5939" t="str">
        <f>"81357"</f>
        <v>81357</v>
      </c>
      <c r="H5939">
        <v>1</v>
      </c>
      <c r="I5939">
        <v>20</v>
      </c>
      <c r="J5939">
        <v>0</v>
      </c>
      <c r="K5939" t="str">
        <f t="shared" si="1077"/>
        <v>801</v>
      </c>
      <c r="L5939">
        <v>16.8</v>
      </c>
    </row>
    <row r="5940" spans="1:12" x14ac:dyDescent="0.25">
      <c r="A5940" t="str">
        <f t="shared" si="1068"/>
        <v>89301000</v>
      </c>
      <c r="B5940" t="str">
        <f t="shared" si="1079"/>
        <v>91970116</v>
      </c>
      <c r="C5940" t="str">
        <f t="shared" si="1079"/>
        <v>91970116</v>
      </c>
      <c r="D5940">
        <v>89301167</v>
      </c>
      <c r="E5940" t="str">
        <f t="shared" si="1080"/>
        <v>530220073</v>
      </c>
      <c r="F5940" s="1">
        <v>45072</v>
      </c>
      <c r="G5940" t="str">
        <f>"81421"</f>
        <v>81421</v>
      </c>
      <c r="H5940">
        <v>1</v>
      </c>
      <c r="I5940">
        <v>19</v>
      </c>
      <c r="J5940">
        <v>0</v>
      </c>
      <c r="K5940" t="str">
        <f t="shared" si="1077"/>
        <v>801</v>
      </c>
      <c r="L5940">
        <v>15.96</v>
      </c>
    </row>
    <row r="5941" spans="1:12" x14ac:dyDescent="0.25">
      <c r="A5941" t="str">
        <f t="shared" si="1068"/>
        <v>89301000</v>
      </c>
      <c r="B5941" t="str">
        <f t="shared" si="1079"/>
        <v>91970116</v>
      </c>
      <c r="C5941" t="str">
        <f t="shared" si="1079"/>
        <v>91970116</v>
      </c>
      <c r="D5941">
        <v>89301167</v>
      </c>
      <c r="E5941" t="str">
        <f t="shared" si="1080"/>
        <v>530220073</v>
      </c>
      <c r="F5941" s="1">
        <v>45072</v>
      </c>
      <c r="G5941" t="str">
        <f>"81435"</f>
        <v>81435</v>
      </c>
      <c r="H5941">
        <v>1</v>
      </c>
      <c r="I5941">
        <v>22</v>
      </c>
      <c r="J5941">
        <v>0</v>
      </c>
      <c r="K5941" t="str">
        <f t="shared" si="1077"/>
        <v>801</v>
      </c>
      <c r="L5941">
        <v>18.48</v>
      </c>
    </row>
    <row r="5942" spans="1:12" x14ac:dyDescent="0.25">
      <c r="A5942" t="str">
        <f t="shared" si="1068"/>
        <v>89301000</v>
      </c>
      <c r="B5942" t="str">
        <f t="shared" si="1079"/>
        <v>91970116</v>
      </c>
      <c r="C5942" t="str">
        <f t="shared" si="1079"/>
        <v>91970116</v>
      </c>
      <c r="D5942">
        <v>89301167</v>
      </c>
      <c r="E5942" t="str">
        <f t="shared" si="1080"/>
        <v>530220073</v>
      </c>
      <c r="F5942" s="1">
        <v>45072</v>
      </c>
      <c r="G5942" t="str">
        <f>"81439"</f>
        <v>81439</v>
      </c>
      <c r="H5942">
        <v>1</v>
      </c>
      <c r="I5942">
        <v>16</v>
      </c>
      <c r="J5942">
        <v>0</v>
      </c>
      <c r="K5942" t="str">
        <f t="shared" si="1077"/>
        <v>801</v>
      </c>
      <c r="L5942">
        <v>13.44</v>
      </c>
    </row>
    <row r="5943" spans="1:12" x14ac:dyDescent="0.25">
      <c r="A5943" t="str">
        <f t="shared" si="1068"/>
        <v>89301000</v>
      </c>
      <c r="B5943" t="str">
        <f t="shared" si="1079"/>
        <v>91970116</v>
      </c>
      <c r="C5943" t="str">
        <f t="shared" si="1079"/>
        <v>91970116</v>
      </c>
      <c r="D5943">
        <v>89301167</v>
      </c>
      <c r="E5943" t="str">
        <f t="shared" si="1080"/>
        <v>530220073</v>
      </c>
      <c r="F5943" s="1">
        <v>45072</v>
      </c>
      <c r="G5943" t="str">
        <f>"91153"</f>
        <v>91153</v>
      </c>
      <c r="H5943">
        <v>1</v>
      </c>
      <c r="I5943">
        <v>153</v>
      </c>
      <c r="J5943">
        <v>0</v>
      </c>
      <c r="K5943" t="str">
        <f t="shared" si="1077"/>
        <v>801</v>
      </c>
      <c r="L5943">
        <v>128.52000000000001</v>
      </c>
    </row>
    <row r="5944" spans="1:12" x14ac:dyDescent="0.25">
      <c r="A5944" t="str">
        <f t="shared" si="1068"/>
        <v>89301000</v>
      </c>
      <c r="B5944" t="str">
        <f t="shared" si="1079"/>
        <v>91970116</v>
      </c>
      <c r="C5944" t="str">
        <f t="shared" si="1079"/>
        <v>91970116</v>
      </c>
      <c r="D5944">
        <v>89301167</v>
      </c>
      <c r="E5944" t="str">
        <f t="shared" si="1080"/>
        <v>530220073</v>
      </c>
      <c r="F5944" s="1">
        <v>45072</v>
      </c>
      <c r="G5944" t="str">
        <f>"81511"</f>
        <v>81511</v>
      </c>
      <c r="H5944">
        <v>1</v>
      </c>
      <c r="I5944">
        <v>10</v>
      </c>
      <c r="J5944">
        <v>0</v>
      </c>
      <c r="K5944" t="str">
        <f t="shared" si="1077"/>
        <v>801</v>
      </c>
      <c r="L5944">
        <v>8.4</v>
      </c>
    </row>
    <row r="5945" spans="1:12" x14ac:dyDescent="0.25">
      <c r="A5945" t="str">
        <f t="shared" si="1068"/>
        <v>89301000</v>
      </c>
      <c r="B5945" t="str">
        <f t="shared" si="1079"/>
        <v>91970116</v>
      </c>
      <c r="C5945" t="str">
        <f t="shared" si="1079"/>
        <v>91970116</v>
      </c>
      <c r="D5945">
        <v>89301167</v>
      </c>
      <c r="E5945" t="str">
        <f t="shared" si="1080"/>
        <v>530220073</v>
      </c>
      <c r="F5945" s="1">
        <v>45072</v>
      </c>
      <c r="G5945" t="str">
        <f>"81593"</f>
        <v>81593</v>
      </c>
      <c r="H5945">
        <v>1</v>
      </c>
      <c r="I5945">
        <v>22</v>
      </c>
      <c r="J5945">
        <v>0</v>
      </c>
      <c r="K5945" t="str">
        <f t="shared" si="1077"/>
        <v>801</v>
      </c>
      <c r="L5945">
        <v>18.48</v>
      </c>
    </row>
    <row r="5946" spans="1:12" x14ac:dyDescent="0.25">
      <c r="A5946" t="str">
        <f t="shared" si="1068"/>
        <v>89301000</v>
      </c>
      <c r="B5946" t="str">
        <f t="shared" si="1079"/>
        <v>91970116</v>
      </c>
      <c r="C5946" t="str">
        <f t="shared" si="1079"/>
        <v>91970116</v>
      </c>
      <c r="D5946">
        <v>89301167</v>
      </c>
      <c r="E5946" t="str">
        <f t="shared" si="1080"/>
        <v>530220073</v>
      </c>
      <c r="F5946" s="1">
        <v>45072</v>
      </c>
      <c r="G5946" t="str">
        <f>"81393"</f>
        <v>81393</v>
      </c>
      <c r="H5946">
        <v>1</v>
      </c>
      <c r="I5946">
        <v>24</v>
      </c>
      <c r="J5946">
        <v>0</v>
      </c>
      <c r="K5946" t="str">
        <f t="shared" si="1077"/>
        <v>801</v>
      </c>
      <c r="L5946">
        <v>20.16</v>
      </c>
    </row>
    <row r="5947" spans="1:12" x14ac:dyDescent="0.25">
      <c r="A5947" t="str">
        <f t="shared" si="1068"/>
        <v>89301000</v>
      </c>
      <c r="B5947" t="str">
        <f t="shared" si="1079"/>
        <v>91970116</v>
      </c>
      <c r="C5947" t="str">
        <f t="shared" si="1079"/>
        <v>91970116</v>
      </c>
      <c r="D5947">
        <v>89301167</v>
      </c>
      <c r="E5947" t="str">
        <f t="shared" si="1080"/>
        <v>530220073</v>
      </c>
      <c r="F5947" s="1">
        <v>45072</v>
      </c>
      <c r="G5947" t="str">
        <f>"81469"</f>
        <v>81469</v>
      </c>
      <c r="H5947">
        <v>1</v>
      </c>
      <c r="I5947">
        <v>16</v>
      </c>
      <c r="J5947">
        <v>0</v>
      </c>
      <c r="K5947" t="str">
        <f t="shared" si="1077"/>
        <v>801</v>
      </c>
      <c r="L5947">
        <v>13.44</v>
      </c>
    </row>
    <row r="5948" spans="1:12" x14ac:dyDescent="0.25">
      <c r="A5948" t="str">
        <f t="shared" si="1068"/>
        <v>89301000</v>
      </c>
      <c r="B5948" t="str">
        <f t="shared" si="1079"/>
        <v>91970116</v>
      </c>
      <c r="C5948" t="str">
        <f t="shared" si="1079"/>
        <v>91970116</v>
      </c>
      <c r="D5948">
        <v>89301167</v>
      </c>
      <c r="E5948" t="str">
        <f t="shared" si="1080"/>
        <v>530220073</v>
      </c>
      <c r="F5948" s="1">
        <v>45072</v>
      </c>
      <c r="G5948" t="str">
        <f>"81249"</f>
        <v>81249</v>
      </c>
      <c r="H5948">
        <v>1</v>
      </c>
      <c r="I5948">
        <v>334</v>
      </c>
      <c r="J5948">
        <v>0</v>
      </c>
      <c r="K5948" t="str">
        <f t="shared" si="1077"/>
        <v>801</v>
      </c>
      <c r="L5948">
        <v>280.56</v>
      </c>
    </row>
    <row r="5949" spans="1:12" x14ac:dyDescent="0.25">
      <c r="A5949" t="str">
        <f t="shared" si="1068"/>
        <v>89301000</v>
      </c>
      <c r="B5949" t="str">
        <f>"91970116"</f>
        <v>91970116</v>
      </c>
      <c r="C5949" t="str">
        <f>"91970115"</f>
        <v>91970115</v>
      </c>
      <c r="D5949">
        <v>89301167</v>
      </c>
      <c r="E5949" t="str">
        <f t="shared" si="1080"/>
        <v>530220073</v>
      </c>
      <c r="F5949" s="1">
        <v>45072</v>
      </c>
      <c r="G5949" t="str">
        <f>"09119"</f>
        <v>09119</v>
      </c>
      <c r="H5949">
        <v>1</v>
      </c>
      <c r="I5949">
        <v>43</v>
      </c>
      <c r="J5949">
        <v>0</v>
      </c>
      <c r="K5949" t="str">
        <f>"818"</f>
        <v>818</v>
      </c>
      <c r="L5949">
        <v>54.18</v>
      </c>
    </row>
    <row r="5950" spans="1:12" x14ac:dyDescent="0.25">
      <c r="A5950" t="str">
        <f t="shared" si="1068"/>
        <v>89301000</v>
      </c>
      <c r="B5950" t="str">
        <f>"91970116"</f>
        <v>91970116</v>
      </c>
      <c r="C5950" t="str">
        <f>"91970115"</f>
        <v>91970115</v>
      </c>
      <c r="D5950">
        <v>89301167</v>
      </c>
      <c r="E5950" t="str">
        <f t="shared" si="1080"/>
        <v>530220073</v>
      </c>
      <c r="F5950" s="1">
        <v>45072</v>
      </c>
      <c r="G5950" t="str">
        <f>"96163"</f>
        <v>96163</v>
      </c>
      <c r="H5950">
        <v>1</v>
      </c>
      <c r="I5950">
        <v>28</v>
      </c>
      <c r="J5950">
        <v>0</v>
      </c>
      <c r="K5950" t="str">
        <f>"818"</f>
        <v>818</v>
      </c>
      <c r="L5950">
        <v>27.16</v>
      </c>
    </row>
    <row r="5951" spans="1:12" x14ac:dyDescent="0.25">
      <c r="A5951" t="str">
        <f t="shared" si="1068"/>
        <v>89301000</v>
      </c>
      <c r="B5951" t="str">
        <f>"91970116"</f>
        <v>91970116</v>
      </c>
      <c r="C5951" t="str">
        <f>"91970115"</f>
        <v>91970115</v>
      </c>
      <c r="D5951">
        <v>89301167</v>
      </c>
      <c r="E5951" t="str">
        <f t="shared" si="1080"/>
        <v>530220073</v>
      </c>
      <c r="F5951" s="1">
        <v>45072</v>
      </c>
      <c r="G5951" t="str">
        <f>"96315"</f>
        <v>96315</v>
      </c>
      <c r="H5951">
        <v>1</v>
      </c>
      <c r="I5951">
        <v>30</v>
      </c>
      <c r="J5951">
        <v>0</v>
      </c>
      <c r="K5951" t="str">
        <f>"818"</f>
        <v>818</v>
      </c>
      <c r="L5951">
        <v>29.1</v>
      </c>
    </row>
    <row r="5952" spans="1:12" x14ac:dyDescent="0.25">
      <c r="A5952" t="str">
        <f t="shared" si="1068"/>
        <v>89301000</v>
      </c>
      <c r="B5952" t="str">
        <f>"91970116"</f>
        <v>91970116</v>
      </c>
      <c r="C5952" t="str">
        <f>"91970115"</f>
        <v>91970115</v>
      </c>
      <c r="D5952">
        <v>89301167</v>
      </c>
      <c r="E5952" t="str">
        <f t="shared" si="1080"/>
        <v>530220073</v>
      </c>
      <c r="F5952" s="1">
        <v>45072</v>
      </c>
      <c r="G5952" t="str">
        <f>"96711"</f>
        <v>96711</v>
      </c>
      <c r="H5952">
        <v>1</v>
      </c>
      <c r="I5952">
        <v>28</v>
      </c>
      <c r="J5952">
        <v>0</v>
      </c>
      <c r="K5952" t="str">
        <f>"818"</f>
        <v>818</v>
      </c>
      <c r="L5952">
        <v>27.16</v>
      </c>
    </row>
    <row r="5953" spans="1:12" x14ac:dyDescent="0.25">
      <c r="A5953" t="str">
        <f t="shared" si="1068"/>
        <v>89301000</v>
      </c>
      <c r="B5953" t="str">
        <f>"91970116"</f>
        <v>91970116</v>
      </c>
      <c r="C5953" t="str">
        <f>"91970115"</f>
        <v>91970115</v>
      </c>
      <c r="D5953">
        <v>89301167</v>
      </c>
      <c r="E5953" t="str">
        <f t="shared" si="1080"/>
        <v>530220073</v>
      </c>
      <c r="F5953" s="1">
        <v>45072</v>
      </c>
      <c r="G5953" t="str">
        <f>"96713"</f>
        <v>96713</v>
      </c>
      <c r="H5953">
        <v>1</v>
      </c>
      <c r="I5953">
        <v>14</v>
      </c>
      <c r="J5953">
        <v>0</v>
      </c>
      <c r="K5953" t="str">
        <f>"818"</f>
        <v>818</v>
      </c>
      <c r="L5953">
        <v>13.58</v>
      </c>
    </row>
    <row r="5954" spans="1:12" x14ac:dyDescent="0.25">
      <c r="A5954" t="str">
        <f t="shared" ref="A5954:A6017" si="1081">"89301000"</f>
        <v>89301000</v>
      </c>
      <c r="B5954" t="str">
        <f>"44564000"</f>
        <v>44564000</v>
      </c>
      <c r="C5954" t="str">
        <f>"44564006"</f>
        <v>44564006</v>
      </c>
      <c r="D5954">
        <v>89301375</v>
      </c>
      <c r="E5954" t="str">
        <f>"5651011124"</f>
        <v>5651011124</v>
      </c>
      <c r="F5954" s="1">
        <v>45050</v>
      </c>
      <c r="G5954" t="str">
        <f>"94115"</f>
        <v>94115</v>
      </c>
      <c r="H5954">
        <v>1</v>
      </c>
      <c r="I5954">
        <v>10758</v>
      </c>
      <c r="J5954">
        <v>0</v>
      </c>
      <c r="K5954" t="str">
        <f>"816"</f>
        <v>816</v>
      </c>
      <c r="L5954">
        <v>9682.2000000000007</v>
      </c>
    </row>
    <row r="5955" spans="1:12" x14ac:dyDescent="0.25">
      <c r="A5955" t="str">
        <f t="shared" si="1081"/>
        <v>89301000</v>
      </c>
      <c r="B5955" t="str">
        <f>"86210300"</f>
        <v>86210300</v>
      </c>
      <c r="C5955" t="str">
        <f>"86210230"</f>
        <v>86210230</v>
      </c>
      <c r="D5955">
        <v>89301142</v>
      </c>
      <c r="E5955" t="str">
        <f>"6406041631"</f>
        <v>6406041631</v>
      </c>
      <c r="F5955" s="1">
        <v>45070</v>
      </c>
      <c r="G5955" t="str">
        <f>"89131"</f>
        <v>89131</v>
      </c>
      <c r="H5955">
        <v>1</v>
      </c>
      <c r="I5955">
        <v>190</v>
      </c>
      <c r="J5955">
        <v>0</v>
      </c>
      <c r="K5955" t="str">
        <f>"809"</f>
        <v>809</v>
      </c>
      <c r="L5955">
        <v>279.3</v>
      </c>
    </row>
    <row r="5956" spans="1:12" x14ac:dyDescent="0.25">
      <c r="A5956" t="str">
        <f t="shared" si="1081"/>
        <v>89301000</v>
      </c>
      <c r="B5956" t="str">
        <f>"86210300"</f>
        <v>86210300</v>
      </c>
      <c r="C5956" t="str">
        <f>"86210220"</f>
        <v>86210220</v>
      </c>
      <c r="D5956">
        <v>89301212</v>
      </c>
      <c r="E5956" t="str">
        <f>"526212175"</f>
        <v>526212175</v>
      </c>
      <c r="F5956" s="1">
        <v>45071</v>
      </c>
      <c r="G5956" t="str">
        <f>"89131"</f>
        <v>89131</v>
      </c>
      <c r="H5956">
        <v>1</v>
      </c>
      <c r="I5956">
        <v>190</v>
      </c>
      <c r="J5956">
        <v>0</v>
      </c>
      <c r="K5956" t="str">
        <f>"809"</f>
        <v>809</v>
      </c>
      <c r="L5956">
        <v>279.3</v>
      </c>
    </row>
    <row r="5957" spans="1:12" x14ac:dyDescent="0.25">
      <c r="A5957" t="str">
        <f t="shared" si="1081"/>
        <v>89301000</v>
      </c>
      <c r="B5957" t="str">
        <f>"89148000"</f>
        <v>89148000</v>
      </c>
      <c r="C5957" t="str">
        <f>"89148212"</f>
        <v>89148212</v>
      </c>
      <c r="D5957">
        <v>89301122</v>
      </c>
      <c r="E5957" t="str">
        <f>"531003240"</f>
        <v>531003240</v>
      </c>
      <c r="F5957" s="1">
        <v>45049</v>
      </c>
      <c r="G5957" t="str">
        <f>"09119"</f>
        <v>09119</v>
      </c>
      <c r="H5957">
        <v>1</v>
      </c>
      <c r="I5957">
        <v>43</v>
      </c>
      <c r="J5957">
        <v>0</v>
      </c>
      <c r="K5957" t="str">
        <f>"801"</f>
        <v>801</v>
      </c>
      <c r="L5957">
        <v>54.18</v>
      </c>
    </row>
    <row r="5958" spans="1:12" x14ac:dyDescent="0.25">
      <c r="A5958" t="str">
        <f t="shared" si="1081"/>
        <v>89301000</v>
      </c>
      <c r="B5958" t="str">
        <f>"65547000"</f>
        <v>65547000</v>
      </c>
      <c r="C5958" t="str">
        <f>"65547001"</f>
        <v>65547001</v>
      </c>
      <c r="D5958">
        <v>89301171</v>
      </c>
      <c r="E5958" t="str">
        <f>"0102226157"</f>
        <v>0102226157</v>
      </c>
      <c r="F5958" s="1">
        <v>45071</v>
      </c>
      <c r="G5958" t="str">
        <f>"89725"</f>
        <v>89725</v>
      </c>
      <c r="H5958">
        <v>1</v>
      </c>
      <c r="I5958">
        <v>2863</v>
      </c>
      <c r="J5958">
        <v>0</v>
      </c>
      <c r="K5958" t="str">
        <f>"810"</f>
        <v>810</v>
      </c>
      <c r="L5958">
        <v>1860.95</v>
      </c>
    </row>
    <row r="5959" spans="1:12" x14ac:dyDescent="0.25">
      <c r="A5959" t="str">
        <f t="shared" si="1081"/>
        <v>89301000</v>
      </c>
      <c r="B5959" t="str">
        <f>"65547000"</f>
        <v>65547000</v>
      </c>
      <c r="C5959" t="str">
        <f>"65547001"</f>
        <v>65547001</v>
      </c>
      <c r="D5959">
        <v>89301171</v>
      </c>
      <c r="E5959" t="str">
        <f>"0102226157"</f>
        <v>0102226157</v>
      </c>
      <c r="F5959" s="1">
        <v>45071</v>
      </c>
      <c r="G5959" t="str">
        <f>"89713"</f>
        <v>89713</v>
      </c>
      <c r="H5959">
        <v>1</v>
      </c>
      <c r="I5959">
        <v>5411</v>
      </c>
      <c r="J5959">
        <v>0</v>
      </c>
      <c r="K5959" t="str">
        <f>"810"</f>
        <v>810</v>
      </c>
      <c r="L5959">
        <v>3517.15</v>
      </c>
    </row>
    <row r="5960" spans="1:12" x14ac:dyDescent="0.25">
      <c r="A5960" t="str">
        <f t="shared" si="1081"/>
        <v>89301000</v>
      </c>
      <c r="B5960" t="str">
        <f>"65547000"</f>
        <v>65547000</v>
      </c>
      <c r="C5960" t="str">
        <f>"65547385"</f>
        <v>65547385</v>
      </c>
      <c r="D5960">
        <v>89301171</v>
      </c>
      <c r="E5960" t="str">
        <f>"0102226157"</f>
        <v>0102226157</v>
      </c>
      <c r="F5960" s="1">
        <v>45071</v>
      </c>
      <c r="G5960" t="str">
        <f>"89113"</f>
        <v>89113</v>
      </c>
      <c r="H5960">
        <v>1</v>
      </c>
      <c r="I5960">
        <v>237</v>
      </c>
      <c r="J5960">
        <v>0</v>
      </c>
      <c r="K5960" t="str">
        <f>"809"</f>
        <v>809</v>
      </c>
      <c r="L5960">
        <v>348.39</v>
      </c>
    </row>
    <row r="5961" spans="1:12" x14ac:dyDescent="0.25">
      <c r="A5961" t="str">
        <f t="shared" si="1081"/>
        <v>89301000</v>
      </c>
      <c r="B5961" t="str">
        <f t="shared" ref="B5961:B6004" si="1082">"75311000"</f>
        <v>75311000</v>
      </c>
      <c r="C5961" t="str">
        <f t="shared" ref="C5961:C6002" si="1083">"75311715"</f>
        <v>75311715</v>
      </c>
      <c r="D5961">
        <v>89301167</v>
      </c>
      <c r="E5961" t="str">
        <f t="shared" ref="E5961:E6004" si="1084">"5957040397"</f>
        <v>5957040397</v>
      </c>
      <c r="F5961" s="1">
        <v>45058</v>
      </c>
      <c r="G5961" t="str">
        <f>"81593"</f>
        <v>81593</v>
      </c>
      <c r="H5961">
        <v>1</v>
      </c>
      <c r="I5961">
        <v>22</v>
      </c>
      <c r="J5961">
        <v>0</v>
      </c>
      <c r="K5961" t="str">
        <f t="shared" ref="K5961:K6002" si="1085">"801"</f>
        <v>801</v>
      </c>
      <c r="L5961">
        <v>18.48</v>
      </c>
    </row>
    <row r="5962" spans="1:12" x14ac:dyDescent="0.25">
      <c r="A5962" t="str">
        <f t="shared" si="1081"/>
        <v>89301000</v>
      </c>
      <c r="B5962" t="str">
        <f t="shared" si="1082"/>
        <v>75311000</v>
      </c>
      <c r="C5962" t="str">
        <f t="shared" si="1083"/>
        <v>75311715</v>
      </c>
      <c r="D5962">
        <v>89301167</v>
      </c>
      <c r="E5962" t="str">
        <f t="shared" si="1084"/>
        <v>5957040397</v>
      </c>
      <c r="F5962" s="1">
        <v>45058</v>
      </c>
      <c r="G5962" t="str">
        <f>"81393"</f>
        <v>81393</v>
      </c>
      <c r="H5962">
        <v>1</v>
      </c>
      <c r="I5962">
        <v>24</v>
      </c>
      <c r="J5962">
        <v>0</v>
      </c>
      <c r="K5962" t="str">
        <f t="shared" si="1085"/>
        <v>801</v>
      </c>
      <c r="L5962">
        <v>20.16</v>
      </c>
    </row>
    <row r="5963" spans="1:12" x14ac:dyDescent="0.25">
      <c r="A5963" t="str">
        <f t="shared" si="1081"/>
        <v>89301000</v>
      </c>
      <c r="B5963" t="str">
        <f t="shared" si="1082"/>
        <v>75311000</v>
      </c>
      <c r="C5963" t="str">
        <f t="shared" si="1083"/>
        <v>75311715</v>
      </c>
      <c r="D5963">
        <v>89301167</v>
      </c>
      <c r="E5963" t="str">
        <f t="shared" si="1084"/>
        <v>5957040397</v>
      </c>
      <c r="F5963" s="1">
        <v>45058</v>
      </c>
      <c r="G5963" t="str">
        <f>"81469"</f>
        <v>81469</v>
      </c>
      <c r="H5963">
        <v>1</v>
      </c>
      <c r="I5963">
        <v>16</v>
      </c>
      <c r="J5963">
        <v>0</v>
      </c>
      <c r="K5963" t="str">
        <f t="shared" si="1085"/>
        <v>801</v>
      </c>
      <c r="L5963">
        <v>13.44</v>
      </c>
    </row>
    <row r="5964" spans="1:12" x14ac:dyDescent="0.25">
      <c r="A5964" t="str">
        <f t="shared" si="1081"/>
        <v>89301000</v>
      </c>
      <c r="B5964" t="str">
        <f t="shared" si="1082"/>
        <v>75311000</v>
      </c>
      <c r="C5964" t="str">
        <f t="shared" si="1083"/>
        <v>75311715</v>
      </c>
      <c r="D5964">
        <v>89301167</v>
      </c>
      <c r="E5964" t="str">
        <f t="shared" si="1084"/>
        <v>5957040397</v>
      </c>
      <c r="F5964" s="1">
        <v>45058</v>
      </c>
      <c r="G5964" t="str">
        <f>"81329"</f>
        <v>81329</v>
      </c>
      <c r="H5964">
        <v>1</v>
      </c>
      <c r="I5964">
        <v>17</v>
      </c>
      <c r="J5964">
        <v>0</v>
      </c>
      <c r="K5964" t="str">
        <f t="shared" si="1085"/>
        <v>801</v>
      </c>
      <c r="L5964">
        <v>14.28</v>
      </c>
    </row>
    <row r="5965" spans="1:12" x14ac:dyDescent="0.25">
      <c r="A5965" t="str">
        <f t="shared" si="1081"/>
        <v>89301000</v>
      </c>
      <c r="B5965" t="str">
        <f t="shared" si="1082"/>
        <v>75311000</v>
      </c>
      <c r="C5965" t="str">
        <f t="shared" si="1083"/>
        <v>75311715</v>
      </c>
      <c r="D5965">
        <v>89301167</v>
      </c>
      <c r="E5965" t="str">
        <f t="shared" si="1084"/>
        <v>5957040397</v>
      </c>
      <c r="F5965" s="1">
        <v>45058</v>
      </c>
      <c r="G5965" t="str">
        <f>"81625"</f>
        <v>81625</v>
      </c>
      <c r="H5965">
        <v>1</v>
      </c>
      <c r="I5965">
        <v>21</v>
      </c>
      <c r="J5965">
        <v>0</v>
      </c>
      <c r="K5965" t="str">
        <f t="shared" si="1085"/>
        <v>801</v>
      </c>
      <c r="L5965">
        <v>17.64</v>
      </c>
    </row>
    <row r="5966" spans="1:12" x14ac:dyDescent="0.25">
      <c r="A5966" t="str">
        <f t="shared" si="1081"/>
        <v>89301000</v>
      </c>
      <c r="B5966" t="str">
        <f t="shared" si="1082"/>
        <v>75311000</v>
      </c>
      <c r="C5966" t="str">
        <f t="shared" si="1083"/>
        <v>75311715</v>
      </c>
      <c r="D5966">
        <v>89301167</v>
      </c>
      <c r="E5966" t="str">
        <f t="shared" si="1084"/>
        <v>5957040397</v>
      </c>
      <c r="F5966" s="1">
        <v>45058</v>
      </c>
      <c r="G5966" t="str">
        <f>"81439"</f>
        <v>81439</v>
      </c>
      <c r="H5966">
        <v>1</v>
      </c>
      <c r="I5966">
        <v>16</v>
      </c>
      <c r="J5966">
        <v>0</v>
      </c>
      <c r="K5966" t="str">
        <f t="shared" si="1085"/>
        <v>801</v>
      </c>
      <c r="L5966">
        <v>13.44</v>
      </c>
    </row>
    <row r="5967" spans="1:12" x14ac:dyDescent="0.25">
      <c r="A5967" t="str">
        <f t="shared" si="1081"/>
        <v>89301000</v>
      </c>
      <c r="B5967" t="str">
        <f t="shared" si="1082"/>
        <v>75311000</v>
      </c>
      <c r="C5967" t="str">
        <f t="shared" si="1083"/>
        <v>75311715</v>
      </c>
      <c r="D5967">
        <v>89301167</v>
      </c>
      <c r="E5967" t="str">
        <f t="shared" si="1084"/>
        <v>5957040397</v>
      </c>
      <c r="F5967" s="1">
        <v>45058</v>
      </c>
      <c r="G5967" t="str">
        <f>"81365"</f>
        <v>81365</v>
      </c>
      <c r="H5967">
        <v>1</v>
      </c>
      <c r="I5967">
        <v>16</v>
      </c>
      <c r="J5967">
        <v>0</v>
      </c>
      <c r="K5967" t="str">
        <f t="shared" si="1085"/>
        <v>801</v>
      </c>
      <c r="L5967">
        <v>13.44</v>
      </c>
    </row>
    <row r="5968" spans="1:12" x14ac:dyDescent="0.25">
      <c r="A5968" t="str">
        <f t="shared" si="1081"/>
        <v>89301000</v>
      </c>
      <c r="B5968" t="str">
        <f t="shared" si="1082"/>
        <v>75311000</v>
      </c>
      <c r="C5968" t="str">
        <f t="shared" si="1083"/>
        <v>75311715</v>
      </c>
      <c r="D5968">
        <v>89301167</v>
      </c>
      <c r="E5968" t="str">
        <f t="shared" si="1084"/>
        <v>5957040397</v>
      </c>
      <c r="F5968" s="1">
        <v>45058</v>
      </c>
      <c r="G5968" t="str">
        <f>"81361"</f>
        <v>81361</v>
      </c>
      <c r="H5968">
        <v>1</v>
      </c>
      <c r="I5968">
        <v>17</v>
      </c>
      <c r="J5968">
        <v>0</v>
      </c>
      <c r="K5968" t="str">
        <f t="shared" si="1085"/>
        <v>801</v>
      </c>
      <c r="L5968">
        <v>14.28</v>
      </c>
    </row>
    <row r="5969" spans="1:12" x14ac:dyDescent="0.25">
      <c r="A5969" t="str">
        <f t="shared" si="1081"/>
        <v>89301000</v>
      </c>
      <c r="B5969" t="str">
        <f t="shared" si="1082"/>
        <v>75311000</v>
      </c>
      <c r="C5969" t="str">
        <f t="shared" si="1083"/>
        <v>75311715</v>
      </c>
      <c r="D5969">
        <v>89301167</v>
      </c>
      <c r="E5969" t="str">
        <f t="shared" si="1084"/>
        <v>5957040397</v>
      </c>
      <c r="F5969" s="1">
        <v>45058</v>
      </c>
      <c r="G5969" t="str">
        <f>"81421"</f>
        <v>81421</v>
      </c>
      <c r="H5969">
        <v>1</v>
      </c>
      <c r="I5969">
        <v>19</v>
      </c>
      <c r="J5969">
        <v>0</v>
      </c>
      <c r="K5969" t="str">
        <f t="shared" si="1085"/>
        <v>801</v>
      </c>
      <c r="L5969">
        <v>15.96</v>
      </c>
    </row>
    <row r="5970" spans="1:12" x14ac:dyDescent="0.25">
      <c r="A5970" t="str">
        <f t="shared" si="1081"/>
        <v>89301000</v>
      </c>
      <c r="B5970" t="str">
        <f t="shared" si="1082"/>
        <v>75311000</v>
      </c>
      <c r="C5970" t="str">
        <f t="shared" si="1083"/>
        <v>75311715</v>
      </c>
      <c r="D5970">
        <v>89301167</v>
      </c>
      <c r="E5970" t="str">
        <f t="shared" si="1084"/>
        <v>5957040397</v>
      </c>
      <c r="F5970" s="1">
        <v>45058</v>
      </c>
      <c r="G5970" t="str">
        <f>"91153"</f>
        <v>91153</v>
      </c>
      <c r="H5970">
        <v>1</v>
      </c>
      <c r="I5970">
        <v>153</v>
      </c>
      <c r="J5970">
        <v>0</v>
      </c>
      <c r="K5970" t="str">
        <f t="shared" si="1085"/>
        <v>801</v>
      </c>
      <c r="L5970">
        <v>128.52000000000001</v>
      </c>
    </row>
    <row r="5971" spans="1:12" x14ac:dyDescent="0.25">
      <c r="A5971" t="str">
        <f t="shared" si="1081"/>
        <v>89301000</v>
      </c>
      <c r="B5971" t="str">
        <f t="shared" si="1082"/>
        <v>75311000</v>
      </c>
      <c r="C5971" t="str">
        <f t="shared" si="1083"/>
        <v>75311715</v>
      </c>
      <c r="D5971">
        <v>89301167</v>
      </c>
      <c r="E5971" t="str">
        <f t="shared" si="1084"/>
        <v>5957040397</v>
      </c>
      <c r="F5971" s="1">
        <v>45058</v>
      </c>
      <c r="G5971" t="str">
        <f>"81621"</f>
        <v>81621</v>
      </c>
      <c r="H5971">
        <v>1</v>
      </c>
      <c r="I5971">
        <v>19</v>
      </c>
      <c r="J5971">
        <v>0</v>
      </c>
      <c r="K5971" t="str">
        <f t="shared" si="1085"/>
        <v>801</v>
      </c>
      <c r="L5971">
        <v>15.96</v>
      </c>
    </row>
    <row r="5972" spans="1:12" x14ac:dyDescent="0.25">
      <c r="A5972" t="str">
        <f t="shared" si="1081"/>
        <v>89301000</v>
      </c>
      <c r="B5972" t="str">
        <f t="shared" si="1082"/>
        <v>75311000</v>
      </c>
      <c r="C5972" t="str">
        <f t="shared" si="1083"/>
        <v>75311715</v>
      </c>
      <c r="D5972">
        <v>89301167</v>
      </c>
      <c r="E5972" t="str">
        <f t="shared" si="1084"/>
        <v>5957040397</v>
      </c>
      <c r="F5972" s="1">
        <v>45058</v>
      </c>
      <c r="G5972" t="str">
        <f>"81383"</f>
        <v>81383</v>
      </c>
      <c r="H5972">
        <v>1</v>
      </c>
      <c r="I5972">
        <v>24</v>
      </c>
      <c r="J5972">
        <v>0</v>
      </c>
      <c r="K5972" t="str">
        <f t="shared" si="1085"/>
        <v>801</v>
      </c>
      <c r="L5972">
        <v>20.16</v>
      </c>
    </row>
    <row r="5973" spans="1:12" x14ac:dyDescent="0.25">
      <c r="A5973" t="str">
        <f t="shared" si="1081"/>
        <v>89301000</v>
      </c>
      <c r="B5973" t="str">
        <f t="shared" si="1082"/>
        <v>75311000</v>
      </c>
      <c r="C5973" t="str">
        <f t="shared" si="1083"/>
        <v>75311715</v>
      </c>
      <c r="D5973">
        <v>89301167</v>
      </c>
      <c r="E5973" t="str">
        <f t="shared" si="1084"/>
        <v>5957040397</v>
      </c>
      <c r="F5973" s="1">
        <v>45058</v>
      </c>
      <c r="G5973" t="str">
        <f>"81337"</f>
        <v>81337</v>
      </c>
      <c r="H5973">
        <v>1</v>
      </c>
      <c r="I5973">
        <v>20</v>
      </c>
      <c r="J5973">
        <v>0</v>
      </c>
      <c r="K5973" t="str">
        <f t="shared" si="1085"/>
        <v>801</v>
      </c>
      <c r="L5973">
        <v>16.8</v>
      </c>
    </row>
    <row r="5974" spans="1:12" x14ac:dyDescent="0.25">
      <c r="A5974" t="str">
        <f t="shared" si="1081"/>
        <v>89301000</v>
      </c>
      <c r="B5974" t="str">
        <f t="shared" si="1082"/>
        <v>75311000</v>
      </c>
      <c r="C5974" t="str">
        <f t="shared" si="1083"/>
        <v>75311715</v>
      </c>
      <c r="D5974">
        <v>89301167</v>
      </c>
      <c r="E5974" t="str">
        <f t="shared" si="1084"/>
        <v>5957040397</v>
      </c>
      <c r="F5974" s="1">
        <v>45058</v>
      </c>
      <c r="G5974" t="str">
        <f>"81357"</f>
        <v>81357</v>
      </c>
      <c r="H5974">
        <v>1</v>
      </c>
      <c r="I5974">
        <v>20</v>
      </c>
      <c r="J5974">
        <v>0</v>
      </c>
      <c r="K5974" t="str">
        <f t="shared" si="1085"/>
        <v>801</v>
      </c>
      <c r="L5974">
        <v>16.8</v>
      </c>
    </row>
    <row r="5975" spans="1:12" x14ac:dyDescent="0.25">
      <c r="A5975" t="str">
        <f t="shared" si="1081"/>
        <v>89301000</v>
      </c>
      <c r="B5975" t="str">
        <f t="shared" si="1082"/>
        <v>75311000</v>
      </c>
      <c r="C5975" t="str">
        <f t="shared" si="1083"/>
        <v>75311715</v>
      </c>
      <c r="D5975">
        <v>89301167</v>
      </c>
      <c r="E5975" t="str">
        <f t="shared" si="1084"/>
        <v>5957040397</v>
      </c>
      <c r="F5975" s="1">
        <v>45058</v>
      </c>
      <c r="G5975" t="str">
        <f>"81523"</f>
        <v>81523</v>
      </c>
      <c r="H5975">
        <v>1</v>
      </c>
      <c r="I5975">
        <v>23</v>
      </c>
      <c r="J5975">
        <v>0</v>
      </c>
      <c r="K5975" t="str">
        <f t="shared" si="1085"/>
        <v>801</v>
      </c>
      <c r="L5975">
        <v>19.32</v>
      </c>
    </row>
    <row r="5976" spans="1:12" x14ac:dyDescent="0.25">
      <c r="A5976" t="str">
        <f t="shared" si="1081"/>
        <v>89301000</v>
      </c>
      <c r="B5976" t="str">
        <f t="shared" si="1082"/>
        <v>75311000</v>
      </c>
      <c r="C5976" t="str">
        <f t="shared" si="1083"/>
        <v>75311715</v>
      </c>
      <c r="D5976">
        <v>89301167</v>
      </c>
      <c r="E5976" t="str">
        <f t="shared" si="1084"/>
        <v>5957040397</v>
      </c>
      <c r="F5976" s="1">
        <v>45058</v>
      </c>
      <c r="G5976" t="str">
        <f>"81435"</f>
        <v>81435</v>
      </c>
      <c r="H5976">
        <v>1</v>
      </c>
      <c r="I5976">
        <v>22</v>
      </c>
      <c r="J5976">
        <v>0</v>
      </c>
      <c r="K5976" t="str">
        <f t="shared" si="1085"/>
        <v>801</v>
      </c>
      <c r="L5976">
        <v>18.48</v>
      </c>
    </row>
    <row r="5977" spans="1:12" x14ac:dyDescent="0.25">
      <c r="A5977" t="str">
        <f t="shared" si="1081"/>
        <v>89301000</v>
      </c>
      <c r="B5977" t="str">
        <f t="shared" si="1082"/>
        <v>75311000</v>
      </c>
      <c r="C5977" t="str">
        <f t="shared" si="1083"/>
        <v>75311715</v>
      </c>
      <c r="D5977">
        <v>89301167</v>
      </c>
      <c r="E5977" t="str">
        <f t="shared" si="1084"/>
        <v>5957040397</v>
      </c>
      <c r="F5977" s="1">
        <v>45058</v>
      </c>
      <c r="G5977" t="str">
        <f>"81499"</f>
        <v>81499</v>
      </c>
      <c r="H5977">
        <v>1</v>
      </c>
      <c r="I5977">
        <v>18</v>
      </c>
      <c r="J5977">
        <v>0</v>
      </c>
      <c r="K5977" t="str">
        <f t="shared" si="1085"/>
        <v>801</v>
      </c>
      <c r="L5977">
        <v>15.12</v>
      </c>
    </row>
    <row r="5978" spans="1:12" x14ac:dyDescent="0.25">
      <c r="A5978" t="str">
        <f t="shared" si="1081"/>
        <v>89301000</v>
      </c>
      <c r="B5978" t="str">
        <f t="shared" si="1082"/>
        <v>75311000</v>
      </c>
      <c r="C5978" t="str">
        <f t="shared" si="1083"/>
        <v>75311715</v>
      </c>
      <c r="D5978">
        <v>89301167</v>
      </c>
      <c r="E5978" t="str">
        <f t="shared" si="1084"/>
        <v>5957040397</v>
      </c>
      <c r="F5978" s="1">
        <v>45058</v>
      </c>
      <c r="G5978" t="str">
        <f>"81511"</f>
        <v>81511</v>
      </c>
      <c r="H5978">
        <v>1</v>
      </c>
      <c r="I5978">
        <v>10</v>
      </c>
      <c r="J5978">
        <v>0</v>
      </c>
      <c r="K5978" t="str">
        <f t="shared" si="1085"/>
        <v>801</v>
      </c>
      <c r="L5978">
        <v>8.4</v>
      </c>
    </row>
    <row r="5979" spans="1:12" x14ac:dyDescent="0.25">
      <c r="A5979" t="str">
        <f t="shared" si="1081"/>
        <v>89301000</v>
      </c>
      <c r="B5979" t="str">
        <f t="shared" si="1082"/>
        <v>75311000</v>
      </c>
      <c r="C5979" t="str">
        <f t="shared" si="1083"/>
        <v>75311715</v>
      </c>
      <c r="D5979">
        <v>89301167</v>
      </c>
      <c r="E5979" t="str">
        <f t="shared" si="1084"/>
        <v>5957040397</v>
      </c>
      <c r="F5979" s="1">
        <v>45058</v>
      </c>
      <c r="G5979" t="str">
        <f>"97111"</f>
        <v>97111</v>
      </c>
      <c r="H5979">
        <v>1</v>
      </c>
      <c r="I5979">
        <v>19</v>
      </c>
      <c r="J5979">
        <v>0</v>
      </c>
      <c r="K5979" t="str">
        <f t="shared" si="1085"/>
        <v>801</v>
      </c>
      <c r="L5979">
        <v>23.94</v>
      </c>
    </row>
    <row r="5980" spans="1:12" x14ac:dyDescent="0.25">
      <c r="A5980" t="str">
        <f t="shared" si="1081"/>
        <v>89301000</v>
      </c>
      <c r="B5980" t="str">
        <f t="shared" si="1082"/>
        <v>75311000</v>
      </c>
      <c r="C5980" t="str">
        <f t="shared" si="1083"/>
        <v>75311715</v>
      </c>
      <c r="D5980">
        <v>89301167</v>
      </c>
      <c r="E5980" t="str">
        <f t="shared" si="1084"/>
        <v>5957040397</v>
      </c>
      <c r="F5980" s="1">
        <v>45058</v>
      </c>
      <c r="G5980" t="str">
        <f>"93189"</f>
        <v>93189</v>
      </c>
      <c r="H5980">
        <v>1</v>
      </c>
      <c r="I5980">
        <v>191</v>
      </c>
      <c r="J5980">
        <v>0</v>
      </c>
      <c r="K5980" t="str">
        <f t="shared" si="1085"/>
        <v>801</v>
      </c>
      <c r="L5980">
        <v>160.44</v>
      </c>
    </row>
    <row r="5981" spans="1:12" x14ac:dyDescent="0.25">
      <c r="A5981" t="str">
        <f t="shared" si="1081"/>
        <v>89301000</v>
      </c>
      <c r="B5981" t="str">
        <f t="shared" si="1082"/>
        <v>75311000</v>
      </c>
      <c r="C5981" t="str">
        <f t="shared" si="1083"/>
        <v>75311715</v>
      </c>
      <c r="D5981">
        <v>89301167</v>
      </c>
      <c r="E5981" t="str">
        <f t="shared" si="1084"/>
        <v>5957040397</v>
      </c>
      <c r="F5981" s="1">
        <v>45058</v>
      </c>
      <c r="G5981" t="str">
        <f>"93195"</f>
        <v>93195</v>
      </c>
      <c r="H5981">
        <v>1</v>
      </c>
      <c r="I5981">
        <v>183</v>
      </c>
      <c r="J5981">
        <v>0</v>
      </c>
      <c r="K5981" t="str">
        <f t="shared" si="1085"/>
        <v>801</v>
      </c>
      <c r="L5981">
        <v>153.72</v>
      </c>
    </row>
    <row r="5982" spans="1:12" x14ac:dyDescent="0.25">
      <c r="A5982" t="str">
        <f t="shared" si="1081"/>
        <v>89301000</v>
      </c>
      <c r="B5982" t="str">
        <f t="shared" si="1082"/>
        <v>75311000</v>
      </c>
      <c r="C5982" t="str">
        <f t="shared" si="1083"/>
        <v>75311715</v>
      </c>
      <c r="D5982">
        <v>89301167</v>
      </c>
      <c r="E5982" t="str">
        <f t="shared" si="1084"/>
        <v>5957040397</v>
      </c>
      <c r="F5982" s="1">
        <v>45072</v>
      </c>
      <c r="G5982" t="str">
        <f>"81593"</f>
        <v>81593</v>
      </c>
      <c r="H5982">
        <v>1</v>
      </c>
      <c r="I5982">
        <v>22</v>
      </c>
      <c r="J5982">
        <v>0</v>
      </c>
      <c r="K5982" t="str">
        <f t="shared" si="1085"/>
        <v>801</v>
      </c>
      <c r="L5982">
        <v>18.48</v>
      </c>
    </row>
    <row r="5983" spans="1:12" x14ac:dyDescent="0.25">
      <c r="A5983" t="str">
        <f t="shared" si="1081"/>
        <v>89301000</v>
      </c>
      <c r="B5983" t="str">
        <f t="shared" si="1082"/>
        <v>75311000</v>
      </c>
      <c r="C5983" t="str">
        <f t="shared" si="1083"/>
        <v>75311715</v>
      </c>
      <c r="D5983">
        <v>89301167</v>
      </c>
      <c r="E5983" t="str">
        <f t="shared" si="1084"/>
        <v>5957040397</v>
      </c>
      <c r="F5983" s="1">
        <v>45072</v>
      </c>
      <c r="G5983" t="str">
        <f>"81393"</f>
        <v>81393</v>
      </c>
      <c r="H5983">
        <v>1</v>
      </c>
      <c r="I5983">
        <v>24</v>
      </c>
      <c r="J5983">
        <v>0</v>
      </c>
      <c r="K5983" t="str">
        <f t="shared" si="1085"/>
        <v>801</v>
      </c>
      <c r="L5983">
        <v>20.16</v>
      </c>
    </row>
    <row r="5984" spans="1:12" x14ac:dyDescent="0.25">
      <c r="A5984" t="str">
        <f t="shared" si="1081"/>
        <v>89301000</v>
      </c>
      <c r="B5984" t="str">
        <f t="shared" si="1082"/>
        <v>75311000</v>
      </c>
      <c r="C5984" t="str">
        <f t="shared" si="1083"/>
        <v>75311715</v>
      </c>
      <c r="D5984">
        <v>89301167</v>
      </c>
      <c r="E5984" t="str">
        <f t="shared" si="1084"/>
        <v>5957040397</v>
      </c>
      <c r="F5984" s="1">
        <v>45072</v>
      </c>
      <c r="G5984" t="str">
        <f>"81469"</f>
        <v>81469</v>
      </c>
      <c r="H5984">
        <v>1</v>
      </c>
      <c r="I5984">
        <v>16</v>
      </c>
      <c r="J5984">
        <v>0</v>
      </c>
      <c r="K5984" t="str">
        <f t="shared" si="1085"/>
        <v>801</v>
      </c>
      <c r="L5984">
        <v>13.44</v>
      </c>
    </row>
    <row r="5985" spans="1:12" x14ac:dyDescent="0.25">
      <c r="A5985" t="str">
        <f t="shared" si="1081"/>
        <v>89301000</v>
      </c>
      <c r="B5985" t="str">
        <f t="shared" si="1082"/>
        <v>75311000</v>
      </c>
      <c r="C5985" t="str">
        <f t="shared" si="1083"/>
        <v>75311715</v>
      </c>
      <c r="D5985">
        <v>89301167</v>
      </c>
      <c r="E5985" t="str">
        <f t="shared" si="1084"/>
        <v>5957040397</v>
      </c>
      <c r="F5985" s="1">
        <v>45072</v>
      </c>
      <c r="G5985" t="str">
        <f>"81329"</f>
        <v>81329</v>
      </c>
      <c r="H5985">
        <v>1</v>
      </c>
      <c r="I5985">
        <v>17</v>
      </c>
      <c r="J5985">
        <v>0</v>
      </c>
      <c r="K5985" t="str">
        <f t="shared" si="1085"/>
        <v>801</v>
      </c>
      <c r="L5985">
        <v>14.28</v>
      </c>
    </row>
    <row r="5986" spans="1:12" x14ac:dyDescent="0.25">
      <c r="A5986" t="str">
        <f t="shared" si="1081"/>
        <v>89301000</v>
      </c>
      <c r="B5986" t="str">
        <f t="shared" si="1082"/>
        <v>75311000</v>
      </c>
      <c r="C5986" t="str">
        <f t="shared" si="1083"/>
        <v>75311715</v>
      </c>
      <c r="D5986">
        <v>89301167</v>
      </c>
      <c r="E5986" t="str">
        <f t="shared" si="1084"/>
        <v>5957040397</v>
      </c>
      <c r="F5986" s="1">
        <v>45072</v>
      </c>
      <c r="G5986" t="str">
        <f>"81625"</f>
        <v>81625</v>
      </c>
      <c r="H5986">
        <v>1</v>
      </c>
      <c r="I5986">
        <v>21</v>
      </c>
      <c r="J5986">
        <v>0</v>
      </c>
      <c r="K5986" t="str">
        <f t="shared" si="1085"/>
        <v>801</v>
      </c>
      <c r="L5986">
        <v>17.64</v>
      </c>
    </row>
    <row r="5987" spans="1:12" x14ac:dyDescent="0.25">
      <c r="A5987" t="str">
        <f t="shared" si="1081"/>
        <v>89301000</v>
      </c>
      <c r="B5987" t="str">
        <f t="shared" si="1082"/>
        <v>75311000</v>
      </c>
      <c r="C5987" t="str">
        <f t="shared" si="1083"/>
        <v>75311715</v>
      </c>
      <c r="D5987">
        <v>89301167</v>
      </c>
      <c r="E5987" t="str">
        <f t="shared" si="1084"/>
        <v>5957040397</v>
      </c>
      <c r="F5987" s="1">
        <v>45072</v>
      </c>
      <c r="G5987" t="str">
        <f>"81439"</f>
        <v>81439</v>
      </c>
      <c r="H5987">
        <v>1</v>
      </c>
      <c r="I5987">
        <v>16</v>
      </c>
      <c r="J5987">
        <v>0</v>
      </c>
      <c r="K5987" t="str">
        <f t="shared" si="1085"/>
        <v>801</v>
      </c>
      <c r="L5987">
        <v>13.44</v>
      </c>
    </row>
    <row r="5988" spans="1:12" x14ac:dyDescent="0.25">
      <c r="A5988" t="str">
        <f t="shared" si="1081"/>
        <v>89301000</v>
      </c>
      <c r="B5988" t="str">
        <f t="shared" si="1082"/>
        <v>75311000</v>
      </c>
      <c r="C5988" t="str">
        <f t="shared" si="1083"/>
        <v>75311715</v>
      </c>
      <c r="D5988">
        <v>89301167</v>
      </c>
      <c r="E5988" t="str">
        <f t="shared" si="1084"/>
        <v>5957040397</v>
      </c>
      <c r="F5988" s="1">
        <v>45072</v>
      </c>
      <c r="G5988" t="str">
        <f>"81365"</f>
        <v>81365</v>
      </c>
      <c r="H5988">
        <v>1</v>
      </c>
      <c r="I5988">
        <v>16</v>
      </c>
      <c r="J5988">
        <v>0</v>
      </c>
      <c r="K5988" t="str">
        <f t="shared" si="1085"/>
        <v>801</v>
      </c>
      <c r="L5988">
        <v>13.44</v>
      </c>
    </row>
    <row r="5989" spans="1:12" x14ac:dyDescent="0.25">
      <c r="A5989" t="str">
        <f t="shared" si="1081"/>
        <v>89301000</v>
      </c>
      <c r="B5989" t="str">
        <f t="shared" si="1082"/>
        <v>75311000</v>
      </c>
      <c r="C5989" t="str">
        <f t="shared" si="1083"/>
        <v>75311715</v>
      </c>
      <c r="D5989">
        <v>89301167</v>
      </c>
      <c r="E5989" t="str">
        <f t="shared" si="1084"/>
        <v>5957040397</v>
      </c>
      <c r="F5989" s="1">
        <v>45072</v>
      </c>
      <c r="G5989" t="str">
        <f>"81361"</f>
        <v>81361</v>
      </c>
      <c r="H5989">
        <v>1</v>
      </c>
      <c r="I5989">
        <v>17</v>
      </c>
      <c r="J5989">
        <v>0</v>
      </c>
      <c r="K5989" t="str">
        <f t="shared" si="1085"/>
        <v>801</v>
      </c>
      <c r="L5989">
        <v>14.28</v>
      </c>
    </row>
    <row r="5990" spans="1:12" x14ac:dyDescent="0.25">
      <c r="A5990" t="str">
        <f t="shared" si="1081"/>
        <v>89301000</v>
      </c>
      <c r="B5990" t="str">
        <f t="shared" si="1082"/>
        <v>75311000</v>
      </c>
      <c r="C5990" t="str">
        <f t="shared" si="1083"/>
        <v>75311715</v>
      </c>
      <c r="D5990">
        <v>89301167</v>
      </c>
      <c r="E5990" t="str">
        <f t="shared" si="1084"/>
        <v>5957040397</v>
      </c>
      <c r="F5990" s="1">
        <v>45072</v>
      </c>
      <c r="G5990" t="str">
        <f>"81421"</f>
        <v>81421</v>
      </c>
      <c r="H5990">
        <v>1</v>
      </c>
      <c r="I5990">
        <v>19</v>
      </c>
      <c r="J5990">
        <v>0</v>
      </c>
      <c r="K5990" t="str">
        <f t="shared" si="1085"/>
        <v>801</v>
      </c>
      <c r="L5990">
        <v>15.96</v>
      </c>
    </row>
    <row r="5991" spans="1:12" x14ac:dyDescent="0.25">
      <c r="A5991" t="str">
        <f t="shared" si="1081"/>
        <v>89301000</v>
      </c>
      <c r="B5991" t="str">
        <f t="shared" si="1082"/>
        <v>75311000</v>
      </c>
      <c r="C5991" t="str">
        <f t="shared" si="1083"/>
        <v>75311715</v>
      </c>
      <c r="D5991">
        <v>89301167</v>
      </c>
      <c r="E5991" t="str">
        <f t="shared" si="1084"/>
        <v>5957040397</v>
      </c>
      <c r="F5991" s="1">
        <v>45072</v>
      </c>
      <c r="G5991" t="str">
        <f>"91153"</f>
        <v>91153</v>
      </c>
      <c r="H5991">
        <v>1</v>
      </c>
      <c r="I5991">
        <v>153</v>
      </c>
      <c r="J5991">
        <v>0</v>
      </c>
      <c r="K5991" t="str">
        <f t="shared" si="1085"/>
        <v>801</v>
      </c>
      <c r="L5991">
        <v>128.52000000000001</v>
      </c>
    </row>
    <row r="5992" spans="1:12" x14ac:dyDescent="0.25">
      <c r="A5992" t="str">
        <f t="shared" si="1081"/>
        <v>89301000</v>
      </c>
      <c r="B5992" t="str">
        <f t="shared" si="1082"/>
        <v>75311000</v>
      </c>
      <c r="C5992" t="str">
        <f t="shared" si="1083"/>
        <v>75311715</v>
      </c>
      <c r="D5992">
        <v>89301167</v>
      </c>
      <c r="E5992" t="str">
        <f t="shared" si="1084"/>
        <v>5957040397</v>
      </c>
      <c r="F5992" s="1">
        <v>45072</v>
      </c>
      <c r="G5992" t="str">
        <f>"81621"</f>
        <v>81621</v>
      </c>
      <c r="H5992">
        <v>1</v>
      </c>
      <c r="I5992">
        <v>19</v>
      </c>
      <c r="J5992">
        <v>0</v>
      </c>
      <c r="K5992" t="str">
        <f t="shared" si="1085"/>
        <v>801</v>
      </c>
      <c r="L5992">
        <v>15.96</v>
      </c>
    </row>
    <row r="5993" spans="1:12" x14ac:dyDescent="0.25">
      <c r="A5993" t="str">
        <f t="shared" si="1081"/>
        <v>89301000</v>
      </c>
      <c r="B5993" t="str">
        <f t="shared" si="1082"/>
        <v>75311000</v>
      </c>
      <c r="C5993" t="str">
        <f t="shared" si="1083"/>
        <v>75311715</v>
      </c>
      <c r="D5993">
        <v>89301167</v>
      </c>
      <c r="E5993" t="str">
        <f t="shared" si="1084"/>
        <v>5957040397</v>
      </c>
      <c r="F5993" s="1">
        <v>45072</v>
      </c>
      <c r="G5993" t="str">
        <f>"81383"</f>
        <v>81383</v>
      </c>
      <c r="H5993">
        <v>1</v>
      </c>
      <c r="I5993">
        <v>24</v>
      </c>
      <c r="J5993">
        <v>0</v>
      </c>
      <c r="K5993" t="str">
        <f t="shared" si="1085"/>
        <v>801</v>
      </c>
      <c r="L5993">
        <v>20.16</v>
      </c>
    </row>
    <row r="5994" spans="1:12" x14ac:dyDescent="0.25">
      <c r="A5994" t="str">
        <f t="shared" si="1081"/>
        <v>89301000</v>
      </c>
      <c r="B5994" t="str">
        <f t="shared" si="1082"/>
        <v>75311000</v>
      </c>
      <c r="C5994" t="str">
        <f t="shared" si="1083"/>
        <v>75311715</v>
      </c>
      <c r="D5994">
        <v>89301167</v>
      </c>
      <c r="E5994" t="str">
        <f t="shared" si="1084"/>
        <v>5957040397</v>
      </c>
      <c r="F5994" s="1">
        <v>45072</v>
      </c>
      <c r="G5994" t="str">
        <f>"81337"</f>
        <v>81337</v>
      </c>
      <c r="H5994">
        <v>1</v>
      </c>
      <c r="I5994">
        <v>20</v>
      </c>
      <c r="J5994">
        <v>0</v>
      </c>
      <c r="K5994" t="str">
        <f t="shared" si="1085"/>
        <v>801</v>
      </c>
      <c r="L5994">
        <v>16.8</v>
      </c>
    </row>
    <row r="5995" spans="1:12" x14ac:dyDescent="0.25">
      <c r="A5995" t="str">
        <f t="shared" si="1081"/>
        <v>89301000</v>
      </c>
      <c r="B5995" t="str">
        <f t="shared" si="1082"/>
        <v>75311000</v>
      </c>
      <c r="C5995" t="str">
        <f t="shared" si="1083"/>
        <v>75311715</v>
      </c>
      <c r="D5995">
        <v>89301167</v>
      </c>
      <c r="E5995" t="str">
        <f t="shared" si="1084"/>
        <v>5957040397</v>
      </c>
      <c r="F5995" s="1">
        <v>45072</v>
      </c>
      <c r="G5995" t="str">
        <f>"81357"</f>
        <v>81357</v>
      </c>
      <c r="H5995">
        <v>1</v>
      </c>
      <c r="I5995">
        <v>20</v>
      </c>
      <c r="J5995">
        <v>0</v>
      </c>
      <c r="K5995" t="str">
        <f t="shared" si="1085"/>
        <v>801</v>
      </c>
      <c r="L5995">
        <v>16.8</v>
      </c>
    </row>
    <row r="5996" spans="1:12" x14ac:dyDescent="0.25">
      <c r="A5996" t="str">
        <f t="shared" si="1081"/>
        <v>89301000</v>
      </c>
      <c r="B5996" t="str">
        <f t="shared" si="1082"/>
        <v>75311000</v>
      </c>
      <c r="C5996" t="str">
        <f t="shared" si="1083"/>
        <v>75311715</v>
      </c>
      <c r="D5996">
        <v>89301167</v>
      </c>
      <c r="E5996" t="str">
        <f t="shared" si="1084"/>
        <v>5957040397</v>
      </c>
      <c r="F5996" s="1">
        <v>45072</v>
      </c>
      <c r="G5996" t="str">
        <f>"81523"</f>
        <v>81523</v>
      </c>
      <c r="H5996">
        <v>1</v>
      </c>
      <c r="I5996">
        <v>23</v>
      </c>
      <c r="J5996">
        <v>0</v>
      </c>
      <c r="K5996" t="str">
        <f t="shared" si="1085"/>
        <v>801</v>
      </c>
      <c r="L5996">
        <v>19.32</v>
      </c>
    </row>
    <row r="5997" spans="1:12" x14ac:dyDescent="0.25">
      <c r="A5997" t="str">
        <f t="shared" si="1081"/>
        <v>89301000</v>
      </c>
      <c r="B5997" t="str">
        <f t="shared" si="1082"/>
        <v>75311000</v>
      </c>
      <c r="C5997" t="str">
        <f t="shared" si="1083"/>
        <v>75311715</v>
      </c>
      <c r="D5997">
        <v>89301167</v>
      </c>
      <c r="E5997" t="str">
        <f t="shared" si="1084"/>
        <v>5957040397</v>
      </c>
      <c r="F5997" s="1">
        <v>45072</v>
      </c>
      <c r="G5997" t="str">
        <f>"81435"</f>
        <v>81435</v>
      </c>
      <c r="H5997">
        <v>1</v>
      </c>
      <c r="I5997">
        <v>22</v>
      </c>
      <c r="J5997">
        <v>0</v>
      </c>
      <c r="K5997" t="str">
        <f t="shared" si="1085"/>
        <v>801</v>
      </c>
      <c r="L5997">
        <v>18.48</v>
      </c>
    </row>
    <row r="5998" spans="1:12" x14ac:dyDescent="0.25">
      <c r="A5998" t="str">
        <f t="shared" si="1081"/>
        <v>89301000</v>
      </c>
      <c r="B5998" t="str">
        <f t="shared" si="1082"/>
        <v>75311000</v>
      </c>
      <c r="C5998" t="str">
        <f t="shared" si="1083"/>
        <v>75311715</v>
      </c>
      <c r="D5998">
        <v>89301167</v>
      </c>
      <c r="E5998" t="str">
        <f t="shared" si="1084"/>
        <v>5957040397</v>
      </c>
      <c r="F5998" s="1">
        <v>45072</v>
      </c>
      <c r="G5998" t="str">
        <f>"81499"</f>
        <v>81499</v>
      </c>
      <c r="H5998">
        <v>1</v>
      </c>
      <c r="I5998">
        <v>18</v>
      </c>
      <c r="J5998">
        <v>0</v>
      </c>
      <c r="K5998" t="str">
        <f t="shared" si="1085"/>
        <v>801</v>
      </c>
      <c r="L5998">
        <v>15.12</v>
      </c>
    </row>
    <row r="5999" spans="1:12" x14ac:dyDescent="0.25">
      <c r="A5999" t="str">
        <f t="shared" si="1081"/>
        <v>89301000</v>
      </c>
      <c r="B5999" t="str">
        <f t="shared" si="1082"/>
        <v>75311000</v>
      </c>
      <c r="C5999" t="str">
        <f t="shared" si="1083"/>
        <v>75311715</v>
      </c>
      <c r="D5999">
        <v>89301167</v>
      </c>
      <c r="E5999" t="str">
        <f t="shared" si="1084"/>
        <v>5957040397</v>
      </c>
      <c r="F5999" s="1">
        <v>45072</v>
      </c>
      <c r="G5999" t="str">
        <f>"81511"</f>
        <v>81511</v>
      </c>
      <c r="H5999">
        <v>1</v>
      </c>
      <c r="I5999">
        <v>10</v>
      </c>
      <c r="J5999">
        <v>0</v>
      </c>
      <c r="K5999" t="str">
        <f t="shared" si="1085"/>
        <v>801</v>
      </c>
      <c r="L5999">
        <v>8.4</v>
      </c>
    </row>
    <row r="6000" spans="1:12" x14ac:dyDescent="0.25">
      <c r="A6000" t="str">
        <f t="shared" si="1081"/>
        <v>89301000</v>
      </c>
      <c r="B6000" t="str">
        <f t="shared" si="1082"/>
        <v>75311000</v>
      </c>
      <c r="C6000" t="str">
        <f t="shared" si="1083"/>
        <v>75311715</v>
      </c>
      <c r="D6000">
        <v>89301167</v>
      </c>
      <c r="E6000" t="str">
        <f t="shared" si="1084"/>
        <v>5957040397</v>
      </c>
      <c r="F6000" s="1">
        <v>45072</v>
      </c>
      <c r="G6000" t="str">
        <f>"93189"</f>
        <v>93189</v>
      </c>
      <c r="H6000">
        <v>1</v>
      </c>
      <c r="I6000">
        <v>191</v>
      </c>
      <c r="J6000">
        <v>0</v>
      </c>
      <c r="K6000" t="str">
        <f t="shared" si="1085"/>
        <v>801</v>
      </c>
      <c r="L6000">
        <v>160.44</v>
      </c>
    </row>
    <row r="6001" spans="1:12" x14ac:dyDescent="0.25">
      <c r="A6001" t="str">
        <f t="shared" si="1081"/>
        <v>89301000</v>
      </c>
      <c r="B6001" t="str">
        <f t="shared" si="1082"/>
        <v>75311000</v>
      </c>
      <c r="C6001" t="str">
        <f t="shared" si="1083"/>
        <v>75311715</v>
      </c>
      <c r="D6001">
        <v>89301167</v>
      </c>
      <c r="E6001" t="str">
        <f t="shared" si="1084"/>
        <v>5957040397</v>
      </c>
      <c r="F6001" s="1">
        <v>45072</v>
      </c>
      <c r="G6001" t="str">
        <f>"93195"</f>
        <v>93195</v>
      </c>
      <c r="H6001">
        <v>1</v>
      </c>
      <c r="I6001">
        <v>183</v>
      </c>
      <c r="J6001">
        <v>0</v>
      </c>
      <c r="K6001" t="str">
        <f t="shared" si="1085"/>
        <v>801</v>
      </c>
      <c r="L6001">
        <v>153.72</v>
      </c>
    </row>
    <row r="6002" spans="1:12" x14ac:dyDescent="0.25">
      <c r="A6002" t="str">
        <f t="shared" si="1081"/>
        <v>89301000</v>
      </c>
      <c r="B6002" t="str">
        <f t="shared" si="1082"/>
        <v>75311000</v>
      </c>
      <c r="C6002" t="str">
        <f t="shared" si="1083"/>
        <v>75311715</v>
      </c>
      <c r="D6002">
        <v>89301167</v>
      </c>
      <c r="E6002" t="str">
        <f t="shared" si="1084"/>
        <v>5957040397</v>
      </c>
      <c r="F6002" s="1">
        <v>45072</v>
      </c>
      <c r="G6002" t="str">
        <f>"97111"</f>
        <v>97111</v>
      </c>
      <c r="H6002">
        <v>1</v>
      </c>
      <c r="I6002">
        <v>19</v>
      </c>
      <c r="J6002">
        <v>0</v>
      </c>
      <c r="K6002" t="str">
        <f t="shared" si="1085"/>
        <v>801</v>
      </c>
      <c r="L6002">
        <v>23.94</v>
      </c>
    </row>
    <row r="6003" spans="1:12" x14ac:dyDescent="0.25">
      <c r="A6003" t="str">
        <f t="shared" si="1081"/>
        <v>89301000</v>
      </c>
      <c r="B6003" t="str">
        <f t="shared" si="1082"/>
        <v>75311000</v>
      </c>
      <c r="C6003" t="str">
        <f>"75311001"</f>
        <v>75311001</v>
      </c>
      <c r="D6003">
        <v>89301167</v>
      </c>
      <c r="E6003" t="str">
        <f t="shared" si="1084"/>
        <v>5957040397</v>
      </c>
      <c r="F6003" s="1">
        <v>45058</v>
      </c>
      <c r="G6003" t="str">
        <f>"96167"</f>
        <v>96167</v>
      </c>
      <c r="H6003">
        <v>1</v>
      </c>
      <c r="I6003">
        <v>67</v>
      </c>
      <c r="J6003">
        <v>0</v>
      </c>
      <c r="K6003" t="str">
        <f>"818"</f>
        <v>818</v>
      </c>
      <c r="L6003">
        <v>64.989999999999995</v>
      </c>
    </row>
    <row r="6004" spans="1:12" x14ac:dyDescent="0.25">
      <c r="A6004" t="str">
        <f t="shared" si="1081"/>
        <v>89301000</v>
      </c>
      <c r="B6004" t="str">
        <f t="shared" si="1082"/>
        <v>75311000</v>
      </c>
      <c r="C6004" t="str">
        <f>"75311001"</f>
        <v>75311001</v>
      </c>
      <c r="D6004">
        <v>89301167</v>
      </c>
      <c r="E6004" t="str">
        <f t="shared" si="1084"/>
        <v>5957040397</v>
      </c>
      <c r="F6004" s="1">
        <v>45072</v>
      </c>
      <c r="G6004" t="str">
        <f>"96167"</f>
        <v>96167</v>
      </c>
      <c r="H6004">
        <v>1</v>
      </c>
      <c r="I6004">
        <v>67</v>
      </c>
      <c r="J6004">
        <v>0</v>
      </c>
      <c r="K6004" t="str">
        <f>"818"</f>
        <v>818</v>
      </c>
      <c r="L6004">
        <v>64.989999999999995</v>
      </c>
    </row>
    <row r="6005" spans="1:12" x14ac:dyDescent="0.25">
      <c r="A6005" t="str">
        <f t="shared" si="1081"/>
        <v>89301000</v>
      </c>
      <c r="B6005" t="str">
        <f t="shared" ref="B6005:B6036" si="1086">"10510000"</f>
        <v>10510000</v>
      </c>
      <c r="C6005" t="str">
        <f t="shared" ref="C6005:C6036" si="1087">"10510001"</f>
        <v>10510001</v>
      </c>
      <c r="D6005">
        <v>89301101</v>
      </c>
      <c r="E6005" t="str">
        <f>"1361280228"</f>
        <v>1361280228</v>
      </c>
      <c r="F6005" s="1">
        <v>45066</v>
      </c>
      <c r="G6005" t="str">
        <f>"82057"</f>
        <v>82057</v>
      </c>
      <c r="H6005">
        <v>9</v>
      </c>
      <c r="I6005">
        <v>459</v>
      </c>
      <c r="J6005">
        <v>0</v>
      </c>
      <c r="K6005" t="str">
        <f t="shared" ref="K6005:K6036" si="1088">"802"</f>
        <v>802</v>
      </c>
      <c r="L6005">
        <v>445.23</v>
      </c>
    </row>
    <row r="6006" spans="1:12" x14ac:dyDescent="0.25">
      <c r="A6006" t="str">
        <f t="shared" si="1081"/>
        <v>89301000</v>
      </c>
      <c r="B6006" t="str">
        <f t="shared" si="1086"/>
        <v>10510000</v>
      </c>
      <c r="C6006" t="str">
        <f t="shared" si="1087"/>
        <v>10510001</v>
      </c>
      <c r="D6006">
        <v>89301101</v>
      </c>
      <c r="E6006" t="str">
        <f>"1361280228"</f>
        <v>1361280228</v>
      </c>
      <c r="F6006" s="1">
        <v>45067</v>
      </c>
      <c r="G6006" t="str">
        <f>"82057"</f>
        <v>82057</v>
      </c>
      <c r="H6006">
        <v>8</v>
      </c>
      <c r="I6006">
        <v>408</v>
      </c>
      <c r="J6006">
        <v>0</v>
      </c>
      <c r="K6006" t="str">
        <f t="shared" si="1088"/>
        <v>802</v>
      </c>
      <c r="L6006">
        <v>395.76</v>
      </c>
    </row>
    <row r="6007" spans="1:12" x14ac:dyDescent="0.25">
      <c r="A6007" t="str">
        <f t="shared" si="1081"/>
        <v>89301000</v>
      </c>
      <c r="B6007" t="str">
        <f t="shared" si="1086"/>
        <v>10510000</v>
      </c>
      <c r="C6007" t="str">
        <f t="shared" si="1087"/>
        <v>10510001</v>
      </c>
      <c r="D6007">
        <v>89301101</v>
      </c>
      <c r="E6007" t="str">
        <f>"1361280228"</f>
        <v>1361280228</v>
      </c>
      <c r="F6007" s="1">
        <v>45067</v>
      </c>
      <c r="G6007" t="str">
        <f>"82149"</f>
        <v>82149</v>
      </c>
      <c r="H6007">
        <v>9</v>
      </c>
      <c r="I6007">
        <v>432</v>
      </c>
      <c r="J6007">
        <v>0</v>
      </c>
      <c r="K6007" t="str">
        <f t="shared" si="1088"/>
        <v>802</v>
      </c>
      <c r="L6007">
        <v>419.04</v>
      </c>
    </row>
    <row r="6008" spans="1:12" x14ac:dyDescent="0.25">
      <c r="A6008" t="str">
        <f t="shared" si="1081"/>
        <v>89301000</v>
      </c>
      <c r="B6008" t="str">
        <f t="shared" si="1086"/>
        <v>10510000</v>
      </c>
      <c r="C6008" t="str">
        <f t="shared" si="1087"/>
        <v>10510001</v>
      </c>
      <c r="D6008">
        <v>89301101</v>
      </c>
      <c r="E6008" t="str">
        <f>"1361280228"</f>
        <v>1361280228</v>
      </c>
      <c r="F6008" s="1">
        <v>45067</v>
      </c>
      <c r="G6008" t="str">
        <f>"82149"</f>
        <v>82149</v>
      </c>
      <c r="H6008">
        <v>6</v>
      </c>
      <c r="I6008">
        <v>288</v>
      </c>
      <c r="J6008">
        <v>0</v>
      </c>
      <c r="K6008" t="str">
        <f t="shared" si="1088"/>
        <v>802</v>
      </c>
      <c r="L6008">
        <v>279.36</v>
      </c>
    </row>
    <row r="6009" spans="1:12" x14ac:dyDescent="0.25">
      <c r="A6009" t="str">
        <f t="shared" si="1081"/>
        <v>89301000</v>
      </c>
      <c r="B6009" t="str">
        <f t="shared" si="1086"/>
        <v>10510000</v>
      </c>
      <c r="C6009" t="str">
        <f t="shared" si="1087"/>
        <v>10510001</v>
      </c>
      <c r="D6009">
        <v>89301202</v>
      </c>
      <c r="E6009" t="str">
        <f>"2254121870"</f>
        <v>2254121870</v>
      </c>
      <c r="F6009" s="1">
        <v>45051</v>
      </c>
      <c r="G6009" t="str">
        <f>"82145"</f>
        <v>82145</v>
      </c>
      <c r="H6009">
        <v>1</v>
      </c>
      <c r="I6009">
        <v>59</v>
      </c>
      <c r="J6009">
        <v>0</v>
      </c>
      <c r="K6009" t="str">
        <f t="shared" si="1088"/>
        <v>802</v>
      </c>
      <c r="L6009">
        <v>57.23</v>
      </c>
    </row>
    <row r="6010" spans="1:12" x14ac:dyDescent="0.25">
      <c r="A6010" t="str">
        <f t="shared" si="1081"/>
        <v>89301000</v>
      </c>
      <c r="B6010" t="str">
        <f t="shared" si="1086"/>
        <v>10510000</v>
      </c>
      <c r="C6010" t="str">
        <f t="shared" si="1087"/>
        <v>10510001</v>
      </c>
      <c r="D6010">
        <v>89301202</v>
      </c>
      <c r="E6010" t="str">
        <f>"2254121870"</f>
        <v>2254121870</v>
      </c>
      <c r="F6010" s="1">
        <v>45055</v>
      </c>
      <c r="G6010" t="str">
        <f>"82113"</f>
        <v>82113</v>
      </c>
      <c r="H6010">
        <v>1</v>
      </c>
      <c r="I6010">
        <v>363</v>
      </c>
      <c r="J6010">
        <v>0</v>
      </c>
      <c r="K6010" t="str">
        <f t="shared" si="1088"/>
        <v>802</v>
      </c>
      <c r="L6010">
        <v>352.11</v>
      </c>
    </row>
    <row r="6011" spans="1:12" x14ac:dyDescent="0.25">
      <c r="A6011" t="str">
        <f t="shared" si="1081"/>
        <v>89301000</v>
      </c>
      <c r="B6011" t="str">
        <f t="shared" si="1086"/>
        <v>10510000</v>
      </c>
      <c r="C6011" t="str">
        <f t="shared" si="1087"/>
        <v>10510001</v>
      </c>
      <c r="D6011">
        <v>89301202</v>
      </c>
      <c r="E6011" t="str">
        <f>"2254121870"</f>
        <v>2254121870</v>
      </c>
      <c r="F6011" s="1">
        <v>45051</v>
      </c>
      <c r="G6011" t="str">
        <f>"82111"</f>
        <v>82111</v>
      </c>
      <c r="H6011">
        <v>1</v>
      </c>
      <c r="I6011">
        <v>37</v>
      </c>
      <c r="J6011">
        <v>0</v>
      </c>
      <c r="K6011" t="str">
        <f t="shared" si="1088"/>
        <v>802</v>
      </c>
      <c r="L6011">
        <v>35.89</v>
      </c>
    </row>
    <row r="6012" spans="1:12" x14ac:dyDescent="0.25">
      <c r="A6012" t="str">
        <f t="shared" si="1081"/>
        <v>89301000</v>
      </c>
      <c r="B6012" t="str">
        <f t="shared" si="1086"/>
        <v>10510000</v>
      </c>
      <c r="C6012" t="str">
        <f t="shared" si="1087"/>
        <v>10510001</v>
      </c>
      <c r="D6012">
        <v>89301202</v>
      </c>
      <c r="E6012" t="str">
        <f>"2254121870"</f>
        <v>2254121870</v>
      </c>
      <c r="F6012" s="1">
        <v>45051</v>
      </c>
      <c r="G6012" t="str">
        <f>"82079"</f>
        <v>82079</v>
      </c>
      <c r="H6012">
        <v>1</v>
      </c>
      <c r="I6012">
        <v>333</v>
      </c>
      <c r="J6012">
        <v>0</v>
      </c>
      <c r="K6012" t="str">
        <f t="shared" si="1088"/>
        <v>802</v>
      </c>
      <c r="L6012">
        <v>323.01</v>
      </c>
    </row>
    <row r="6013" spans="1:12" x14ac:dyDescent="0.25">
      <c r="A6013" t="str">
        <f t="shared" si="1081"/>
        <v>89301000</v>
      </c>
      <c r="B6013" t="str">
        <f t="shared" si="1086"/>
        <v>10510000</v>
      </c>
      <c r="C6013" t="str">
        <f t="shared" si="1087"/>
        <v>10510001</v>
      </c>
      <c r="D6013">
        <v>89301202</v>
      </c>
      <c r="E6013" t="str">
        <f>"2254121870"</f>
        <v>2254121870</v>
      </c>
      <c r="F6013" s="1">
        <v>45050</v>
      </c>
      <c r="G6013" t="str">
        <f>"97111"</f>
        <v>97111</v>
      </c>
      <c r="H6013">
        <v>1</v>
      </c>
      <c r="I6013">
        <v>19</v>
      </c>
      <c r="J6013">
        <v>0</v>
      </c>
      <c r="K6013" t="str">
        <f t="shared" si="1088"/>
        <v>802</v>
      </c>
      <c r="L6013">
        <v>23.94</v>
      </c>
    </row>
    <row r="6014" spans="1:12" x14ac:dyDescent="0.25">
      <c r="A6014" t="str">
        <f t="shared" si="1081"/>
        <v>89301000</v>
      </c>
      <c r="B6014" t="str">
        <f t="shared" si="1086"/>
        <v>10510000</v>
      </c>
      <c r="C6014" t="str">
        <f t="shared" si="1087"/>
        <v>10510001</v>
      </c>
      <c r="D6014">
        <v>89301202</v>
      </c>
      <c r="E6014" t="str">
        <f>"8807094923"</f>
        <v>8807094923</v>
      </c>
      <c r="F6014" s="1">
        <v>45050</v>
      </c>
      <c r="G6014" t="str">
        <f>"97111"</f>
        <v>97111</v>
      </c>
      <c r="H6014">
        <v>1</v>
      </c>
      <c r="I6014">
        <v>19</v>
      </c>
      <c r="J6014">
        <v>0</v>
      </c>
      <c r="K6014" t="str">
        <f t="shared" si="1088"/>
        <v>802</v>
      </c>
      <c r="L6014">
        <v>23.94</v>
      </c>
    </row>
    <row r="6015" spans="1:12" x14ac:dyDescent="0.25">
      <c r="A6015" t="str">
        <f t="shared" si="1081"/>
        <v>89301000</v>
      </c>
      <c r="B6015" t="str">
        <f t="shared" si="1086"/>
        <v>10510000</v>
      </c>
      <c r="C6015" t="str">
        <f t="shared" si="1087"/>
        <v>10510001</v>
      </c>
      <c r="D6015">
        <v>89301202</v>
      </c>
      <c r="E6015" t="str">
        <f>"8807094923"</f>
        <v>8807094923</v>
      </c>
      <c r="F6015" s="1">
        <v>45051</v>
      </c>
      <c r="G6015" t="str">
        <f>"82079"</f>
        <v>82079</v>
      </c>
      <c r="H6015">
        <v>1</v>
      </c>
      <c r="I6015">
        <v>333</v>
      </c>
      <c r="J6015">
        <v>0</v>
      </c>
      <c r="K6015" t="str">
        <f t="shared" si="1088"/>
        <v>802</v>
      </c>
      <c r="L6015">
        <v>323.01</v>
      </c>
    </row>
    <row r="6016" spans="1:12" x14ac:dyDescent="0.25">
      <c r="A6016" t="str">
        <f t="shared" si="1081"/>
        <v>89301000</v>
      </c>
      <c r="B6016" t="str">
        <f t="shared" si="1086"/>
        <v>10510000</v>
      </c>
      <c r="C6016" t="str">
        <f t="shared" si="1087"/>
        <v>10510001</v>
      </c>
      <c r="D6016">
        <v>89301202</v>
      </c>
      <c r="E6016" t="str">
        <f>"8807094923"</f>
        <v>8807094923</v>
      </c>
      <c r="F6016" s="1">
        <v>45051</v>
      </c>
      <c r="G6016" t="str">
        <f>"82111"</f>
        <v>82111</v>
      </c>
      <c r="H6016">
        <v>1</v>
      </c>
      <c r="I6016">
        <v>37</v>
      </c>
      <c r="J6016">
        <v>0</v>
      </c>
      <c r="K6016" t="str">
        <f t="shared" si="1088"/>
        <v>802</v>
      </c>
      <c r="L6016">
        <v>35.89</v>
      </c>
    </row>
    <row r="6017" spans="1:12" x14ac:dyDescent="0.25">
      <c r="A6017" t="str">
        <f t="shared" si="1081"/>
        <v>89301000</v>
      </c>
      <c r="B6017" t="str">
        <f t="shared" si="1086"/>
        <v>10510000</v>
      </c>
      <c r="C6017" t="str">
        <f t="shared" si="1087"/>
        <v>10510001</v>
      </c>
      <c r="D6017">
        <v>89301202</v>
      </c>
      <c r="E6017" t="str">
        <f>"8807094923"</f>
        <v>8807094923</v>
      </c>
      <c r="F6017" s="1">
        <v>45051</v>
      </c>
      <c r="G6017" t="str">
        <f>"82113"</f>
        <v>82113</v>
      </c>
      <c r="H6017">
        <v>1</v>
      </c>
      <c r="I6017">
        <v>363</v>
      </c>
      <c r="J6017">
        <v>0</v>
      </c>
      <c r="K6017" t="str">
        <f t="shared" si="1088"/>
        <v>802</v>
      </c>
      <c r="L6017">
        <v>352.11</v>
      </c>
    </row>
    <row r="6018" spans="1:12" x14ac:dyDescent="0.25">
      <c r="A6018" t="str">
        <f t="shared" ref="A6018:A6081" si="1089">"89301000"</f>
        <v>89301000</v>
      </c>
      <c r="B6018" t="str">
        <f t="shared" si="1086"/>
        <v>10510000</v>
      </c>
      <c r="C6018" t="str">
        <f t="shared" si="1087"/>
        <v>10510001</v>
      </c>
      <c r="D6018">
        <v>89301202</v>
      </c>
      <c r="E6018" t="str">
        <f>"8807094923"</f>
        <v>8807094923</v>
      </c>
      <c r="F6018" s="1">
        <v>45051</v>
      </c>
      <c r="G6018" t="str">
        <f>"82145"</f>
        <v>82145</v>
      </c>
      <c r="H6018">
        <v>6</v>
      </c>
      <c r="I6018">
        <v>354</v>
      </c>
      <c r="J6018">
        <v>0</v>
      </c>
      <c r="K6018" t="str">
        <f t="shared" si="1088"/>
        <v>802</v>
      </c>
      <c r="L6018">
        <v>343.38</v>
      </c>
    </row>
    <row r="6019" spans="1:12" x14ac:dyDescent="0.25">
      <c r="A6019" t="str">
        <f t="shared" si="1089"/>
        <v>89301000</v>
      </c>
      <c r="B6019" t="str">
        <f t="shared" si="1086"/>
        <v>10510000</v>
      </c>
      <c r="C6019" t="str">
        <f t="shared" si="1087"/>
        <v>10510001</v>
      </c>
      <c r="D6019">
        <v>89301202</v>
      </c>
      <c r="E6019" t="str">
        <f t="shared" ref="E6019:E6024" si="1090">"0462236071"</f>
        <v>0462236071</v>
      </c>
      <c r="F6019" s="1">
        <v>45056</v>
      </c>
      <c r="G6019" t="str">
        <f>"97111"</f>
        <v>97111</v>
      </c>
      <c r="H6019">
        <v>1</v>
      </c>
      <c r="I6019">
        <v>19</v>
      </c>
      <c r="J6019">
        <v>0</v>
      </c>
      <c r="K6019" t="str">
        <f t="shared" si="1088"/>
        <v>802</v>
      </c>
      <c r="L6019">
        <v>23.94</v>
      </c>
    </row>
    <row r="6020" spans="1:12" x14ac:dyDescent="0.25">
      <c r="A6020" t="str">
        <f t="shared" si="1089"/>
        <v>89301000</v>
      </c>
      <c r="B6020" t="str">
        <f t="shared" si="1086"/>
        <v>10510000</v>
      </c>
      <c r="C6020" t="str">
        <f t="shared" si="1087"/>
        <v>10510001</v>
      </c>
      <c r="D6020">
        <v>89301202</v>
      </c>
      <c r="E6020" t="str">
        <f t="shared" si="1090"/>
        <v>0462236071</v>
      </c>
      <c r="F6020" s="1">
        <v>45061</v>
      </c>
      <c r="G6020" t="str">
        <f>"82145"</f>
        <v>82145</v>
      </c>
      <c r="H6020">
        <v>6</v>
      </c>
      <c r="I6020">
        <v>354</v>
      </c>
      <c r="J6020">
        <v>0</v>
      </c>
      <c r="K6020" t="str">
        <f t="shared" si="1088"/>
        <v>802</v>
      </c>
      <c r="L6020">
        <v>343.38</v>
      </c>
    </row>
    <row r="6021" spans="1:12" x14ac:dyDescent="0.25">
      <c r="A6021" t="str">
        <f t="shared" si="1089"/>
        <v>89301000</v>
      </c>
      <c r="B6021" t="str">
        <f t="shared" si="1086"/>
        <v>10510000</v>
      </c>
      <c r="C6021" t="str">
        <f t="shared" si="1087"/>
        <v>10510001</v>
      </c>
      <c r="D6021">
        <v>89301202</v>
      </c>
      <c r="E6021" t="str">
        <f t="shared" si="1090"/>
        <v>0462236071</v>
      </c>
      <c r="F6021" s="1">
        <v>45058</v>
      </c>
      <c r="G6021" t="str">
        <f>"82145"</f>
        <v>82145</v>
      </c>
      <c r="H6021">
        <v>1</v>
      </c>
      <c r="I6021">
        <v>59</v>
      </c>
      <c r="J6021">
        <v>0</v>
      </c>
      <c r="K6021" t="str">
        <f t="shared" si="1088"/>
        <v>802</v>
      </c>
      <c r="L6021">
        <v>57.23</v>
      </c>
    </row>
    <row r="6022" spans="1:12" x14ac:dyDescent="0.25">
      <c r="A6022" t="str">
        <f t="shared" si="1089"/>
        <v>89301000</v>
      </c>
      <c r="B6022" t="str">
        <f t="shared" si="1086"/>
        <v>10510000</v>
      </c>
      <c r="C6022" t="str">
        <f t="shared" si="1087"/>
        <v>10510001</v>
      </c>
      <c r="D6022">
        <v>89301202</v>
      </c>
      <c r="E6022" t="str">
        <f t="shared" si="1090"/>
        <v>0462236071</v>
      </c>
      <c r="F6022" s="1">
        <v>45057</v>
      </c>
      <c r="G6022" t="str">
        <f>"82113"</f>
        <v>82113</v>
      </c>
      <c r="H6022">
        <v>1</v>
      </c>
      <c r="I6022">
        <v>363</v>
      </c>
      <c r="J6022">
        <v>0</v>
      </c>
      <c r="K6022" t="str">
        <f t="shared" si="1088"/>
        <v>802</v>
      </c>
      <c r="L6022">
        <v>352.11</v>
      </c>
    </row>
    <row r="6023" spans="1:12" x14ac:dyDescent="0.25">
      <c r="A6023" t="str">
        <f t="shared" si="1089"/>
        <v>89301000</v>
      </c>
      <c r="B6023" t="str">
        <f t="shared" si="1086"/>
        <v>10510000</v>
      </c>
      <c r="C6023" t="str">
        <f t="shared" si="1087"/>
        <v>10510001</v>
      </c>
      <c r="D6023">
        <v>89301202</v>
      </c>
      <c r="E6023" t="str">
        <f t="shared" si="1090"/>
        <v>0462236071</v>
      </c>
      <c r="F6023" s="1">
        <v>45057</v>
      </c>
      <c r="G6023" t="str">
        <f>"82111"</f>
        <v>82111</v>
      </c>
      <c r="H6023">
        <v>1</v>
      </c>
      <c r="I6023">
        <v>37</v>
      </c>
      <c r="J6023">
        <v>0</v>
      </c>
      <c r="K6023" t="str">
        <f t="shared" si="1088"/>
        <v>802</v>
      </c>
      <c r="L6023">
        <v>35.89</v>
      </c>
    </row>
    <row r="6024" spans="1:12" x14ac:dyDescent="0.25">
      <c r="A6024" t="str">
        <f t="shared" si="1089"/>
        <v>89301000</v>
      </c>
      <c r="B6024" t="str">
        <f t="shared" si="1086"/>
        <v>10510000</v>
      </c>
      <c r="C6024" t="str">
        <f t="shared" si="1087"/>
        <v>10510001</v>
      </c>
      <c r="D6024">
        <v>89301202</v>
      </c>
      <c r="E6024" t="str">
        <f t="shared" si="1090"/>
        <v>0462236071</v>
      </c>
      <c r="F6024" s="1">
        <v>45057</v>
      </c>
      <c r="G6024" t="str">
        <f>"82079"</f>
        <v>82079</v>
      </c>
      <c r="H6024">
        <v>1</v>
      </c>
      <c r="I6024">
        <v>333</v>
      </c>
      <c r="J6024">
        <v>0</v>
      </c>
      <c r="K6024" t="str">
        <f t="shared" si="1088"/>
        <v>802</v>
      </c>
      <c r="L6024">
        <v>323.01</v>
      </c>
    </row>
    <row r="6025" spans="1:12" x14ac:dyDescent="0.25">
      <c r="A6025" t="str">
        <f t="shared" si="1089"/>
        <v>89301000</v>
      </c>
      <c r="B6025" t="str">
        <f t="shared" si="1086"/>
        <v>10510000</v>
      </c>
      <c r="C6025" t="str">
        <f t="shared" si="1087"/>
        <v>10510001</v>
      </c>
      <c r="D6025">
        <v>89301202</v>
      </c>
      <c r="E6025" t="str">
        <f t="shared" ref="E6025:E6030" si="1091">"7705165347"</f>
        <v>7705165347</v>
      </c>
      <c r="F6025" s="1">
        <v>45062</v>
      </c>
      <c r="G6025" t="str">
        <f>"82145"</f>
        <v>82145</v>
      </c>
      <c r="H6025">
        <v>1</v>
      </c>
      <c r="I6025">
        <v>59</v>
      </c>
      <c r="J6025">
        <v>0</v>
      </c>
      <c r="K6025" t="str">
        <f t="shared" si="1088"/>
        <v>802</v>
      </c>
      <c r="L6025">
        <v>57.23</v>
      </c>
    </row>
    <row r="6026" spans="1:12" x14ac:dyDescent="0.25">
      <c r="A6026" t="str">
        <f t="shared" si="1089"/>
        <v>89301000</v>
      </c>
      <c r="B6026" t="str">
        <f t="shared" si="1086"/>
        <v>10510000</v>
      </c>
      <c r="C6026" t="str">
        <f t="shared" si="1087"/>
        <v>10510001</v>
      </c>
      <c r="D6026">
        <v>89301202</v>
      </c>
      <c r="E6026" t="str">
        <f t="shared" si="1091"/>
        <v>7705165347</v>
      </c>
      <c r="F6026" s="1">
        <v>45062</v>
      </c>
      <c r="G6026" t="str">
        <f>"82111"</f>
        <v>82111</v>
      </c>
      <c r="H6026">
        <v>1</v>
      </c>
      <c r="I6026">
        <v>37</v>
      </c>
      <c r="J6026">
        <v>0</v>
      </c>
      <c r="K6026" t="str">
        <f t="shared" si="1088"/>
        <v>802</v>
      </c>
      <c r="L6026">
        <v>35.89</v>
      </c>
    </row>
    <row r="6027" spans="1:12" x14ac:dyDescent="0.25">
      <c r="A6027" t="str">
        <f t="shared" si="1089"/>
        <v>89301000</v>
      </c>
      <c r="B6027" t="str">
        <f t="shared" si="1086"/>
        <v>10510000</v>
      </c>
      <c r="C6027" t="str">
        <f t="shared" si="1087"/>
        <v>10510001</v>
      </c>
      <c r="D6027">
        <v>89301202</v>
      </c>
      <c r="E6027" t="str">
        <f t="shared" si="1091"/>
        <v>7705165347</v>
      </c>
      <c r="F6027" s="1">
        <v>45061</v>
      </c>
      <c r="G6027" t="str">
        <f>"82111"</f>
        <v>82111</v>
      </c>
      <c r="H6027">
        <v>1</v>
      </c>
      <c r="I6027">
        <v>37</v>
      </c>
      <c r="J6027">
        <v>0</v>
      </c>
      <c r="K6027" t="str">
        <f t="shared" si="1088"/>
        <v>802</v>
      </c>
      <c r="L6027">
        <v>35.89</v>
      </c>
    </row>
    <row r="6028" spans="1:12" x14ac:dyDescent="0.25">
      <c r="A6028" t="str">
        <f t="shared" si="1089"/>
        <v>89301000</v>
      </c>
      <c r="B6028" t="str">
        <f t="shared" si="1086"/>
        <v>10510000</v>
      </c>
      <c r="C6028" t="str">
        <f t="shared" si="1087"/>
        <v>10510001</v>
      </c>
      <c r="D6028">
        <v>89301202</v>
      </c>
      <c r="E6028" t="str">
        <f t="shared" si="1091"/>
        <v>7705165347</v>
      </c>
      <c r="F6028" s="1">
        <v>45062</v>
      </c>
      <c r="G6028" t="str">
        <f>"82113"</f>
        <v>82113</v>
      </c>
      <c r="H6028">
        <v>1</v>
      </c>
      <c r="I6028">
        <v>363</v>
      </c>
      <c r="J6028">
        <v>0</v>
      </c>
      <c r="K6028" t="str">
        <f t="shared" si="1088"/>
        <v>802</v>
      </c>
      <c r="L6028">
        <v>352.11</v>
      </c>
    </row>
    <row r="6029" spans="1:12" x14ac:dyDescent="0.25">
      <c r="A6029" t="str">
        <f t="shared" si="1089"/>
        <v>89301000</v>
      </c>
      <c r="B6029" t="str">
        <f t="shared" si="1086"/>
        <v>10510000</v>
      </c>
      <c r="C6029" t="str">
        <f t="shared" si="1087"/>
        <v>10510001</v>
      </c>
      <c r="D6029">
        <v>89301202</v>
      </c>
      <c r="E6029" t="str">
        <f t="shared" si="1091"/>
        <v>7705165347</v>
      </c>
      <c r="F6029" s="1">
        <v>45062</v>
      </c>
      <c r="G6029" t="str">
        <f>"82079"</f>
        <v>82079</v>
      </c>
      <c r="H6029">
        <v>1</v>
      </c>
      <c r="I6029">
        <v>333</v>
      </c>
      <c r="J6029">
        <v>0</v>
      </c>
      <c r="K6029" t="str">
        <f t="shared" si="1088"/>
        <v>802</v>
      </c>
      <c r="L6029">
        <v>323.01</v>
      </c>
    </row>
    <row r="6030" spans="1:12" x14ac:dyDescent="0.25">
      <c r="A6030" t="str">
        <f t="shared" si="1089"/>
        <v>89301000</v>
      </c>
      <c r="B6030" t="str">
        <f t="shared" si="1086"/>
        <v>10510000</v>
      </c>
      <c r="C6030" t="str">
        <f t="shared" si="1087"/>
        <v>10510001</v>
      </c>
      <c r="D6030">
        <v>89301202</v>
      </c>
      <c r="E6030" t="str">
        <f t="shared" si="1091"/>
        <v>7705165347</v>
      </c>
      <c r="F6030" s="1">
        <v>45061</v>
      </c>
      <c r="G6030" t="str">
        <f>"97111"</f>
        <v>97111</v>
      </c>
      <c r="H6030">
        <v>1</v>
      </c>
      <c r="I6030">
        <v>19</v>
      </c>
      <c r="J6030">
        <v>0</v>
      </c>
      <c r="K6030" t="str">
        <f t="shared" si="1088"/>
        <v>802</v>
      </c>
      <c r="L6030">
        <v>23.94</v>
      </c>
    </row>
    <row r="6031" spans="1:12" x14ac:dyDescent="0.25">
      <c r="A6031" t="str">
        <f t="shared" si="1089"/>
        <v>89301000</v>
      </c>
      <c r="B6031" t="str">
        <f t="shared" si="1086"/>
        <v>10510000</v>
      </c>
      <c r="C6031" t="str">
        <f t="shared" si="1087"/>
        <v>10510001</v>
      </c>
      <c r="D6031">
        <v>89301202</v>
      </c>
      <c r="E6031" t="str">
        <f>"2256101804"</f>
        <v>2256101804</v>
      </c>
      <c r="F6031" s="1">
        <v>45071</v>
      </c>
      <c r="G6031" t="str">
        <f>"82113"</f>
        <v>82113</v>
      </c>
      <c r="H6031">
        <v>1</v>
      </c>
      <c r="I6031">
        <v>363</v>
      </c>
      <c r="J6031">
        <v>0</v>
      </c>
      <c r="K6031" t="str">
        <f t="shared" si="1088"/>
        <v>802</v>
      </c>
      <c r="L6031">
        <v>352.11</v>
      </c>
    </row>
    <row r="6032" spans="1:12" x14ac:dyDescent="0.25">
      <c r="A6032" t="str">
        <f t="shared" si="1089"/>
        <v>89301000</v>
      </c>
      <c r="B6032" t="str">
        <f t="shared" si="1086"/>
        <v>10510000</v>
      </c>
      <c r="C6032" t="str">
        <f t="shared" si="1087"/>
        <v>10510001</v>
      </c>
      <c r="D6032">
        <v>89301202</v>
      </c>
      <c r="E6032" t="str">
        <f>"2256101804"</f>
        <v>2256101804</v>
      </c>
      <c r="F6032" s="1">
        <v>45071</v>
      </c>
      <c r="G6032" t="str">
        <f>"82079"</f>
        <v>82079</v>
      </c>
      <c r="H6032">
        <v>1</v>
      </c>
      <c r="I6032">
        <v>333</v>
      </c>
      <c r="J6032">
        <v>0</v>
      </c>
      <c r="K6032" t="str">
        <f t="shared" si="1088"/>
        <v>802</v>
      </c>
      <c r="L6032">
        <v>323.01</v>
      </c>
    </row>
    <row r="6033" spans="1:12" x14ac:dyDescent="0.25">
      <c r="A6033" t="str">
        <f t="shared" si="1089"/>
        <v>89301000</v>
      </c>
      <c r="B6033" t="str">
        <f t="shared" si="1086"/>
        <v>10510000</v>
      </c>
      <c r="C6033" t="str">
        <f t="shared" si="1087"/>
        <v>10510001</v>
      </c>
      <c r="D6033">
        <v>89301202</v>
      </c>
      <c r="E6033" t="str">
        <f>"2256101804"</f>
        <v>2256101804</v>
      </c>
      <c r="F6033" s="1">
        <v>45071</v>
      </c>
      <c r="G6033" t="str">
        <f>"82111"</f>
        <v>82111</v>
      </c>
      <c r="H6033">
        <v>1</v>
      </c>
      <c r="I6033">
        <v>37</v>
      </c>
      <c r="J6033">
        <v>0</v>
      </c>
      <c r="K6033" t="str">
        <f t="shared" si="1088"/>
        <v>802</v>
      </c>
      <c r="L6033">
        <v>35.89</v>
      </c>
    </row>
    <row r="6034" spans="1:12" x14ac:dyDescent="0.25">
      <c r="A6034" t="str">
        <f t="shared" si="1089"/>
        <v>89301000</v>
      </c>
      <c r="B6034" t="str">
        <f t="shared" si="1086"/>
        <v>10510000</v>
      </c>
      <c r="C6034" t="str">
        <f t="shared" si="1087"/>
        <v>10510001</v>
      </c>
      <c r="D6034">
        <v>89301202</v>
      </c>
      <c r="E6034" t="str">
        <f>"2256101804"</f>
        <v>2256101804</v>
      </c>
      <c r="F6034" s="1">
        <v>45071</v>
      </c>
      <c r="G6034" t="str">
        <f>"82145"</f>
        <v>82145</v>
      </c>
      <c r="H6034">
        <v>1</v>
      </c>
      <c r="I6034">
        <v>59</v>
      </c>
      <c r="J6034">
        <v>0</v>
      </c>
      <c r="K6034" t="str">
        <f t="shared" si="1088"/>
        <v>802</v>
      </c>
      <c r="L6034">
        <v>57.23</v>
      </c>
    </row>
    <row r="6035" spans="1:12" x14ac:dyDescent="0.25">
      <c r="A6035" t="str">
        <f t="shared" si="1089"/>
        <v>89301000</v>
      </c>
      <c r="B6035" t="str">
        <f t="shared" si="1086"/>
        <v>10510000</v>
      </c>
      <c r="C6035" t="str">
        <f t="shared" si="1087"/>
        <v>10510001</v>
      </c>
      <c r="D6035">
        <v>89301202</v>
      </c>
      <c r="E6035" t="str">
        <f>"2256101804"</f>
        <v>2256101804</v>
      </c>
      <c r="F6035" s="1">
        <v>45070</v>
      </c>
      <c r="G6035" t="str">
        <f>"97111"</f>
        <v>97111</v>
      </c>
      <c r="H6035">
        <v>1</v>
      </c>
      <c r="I6035">
        <v>19</v>
      </c>
      <c r="J6035">
        <v>0</v>
      </c>
      <c r="K6035" t="str">
        <f t="shared" si="1088"/>
        <v>802</v>
      </c>
      <c r="L6035">
        <v>23.94</v>
      </c>
    </row>
    <row r="6036" spans="1:12" x14ac:dyDescent="0.25">
      <c r="A6036" t="str">
        <f t="shared" si="1089"/>
        <v>89301000</v>
      </c>
      <c r="B6036" t="str">
        <f t="shared" si="1086"/>
        <v>10510000</v>
      </c>
      <c r="C6036" t="str">
        <f t="shared" si="1087"/>
        <v>10510001</v>
      </c>
      <c r="D6036">
        <v>89301202</v>
      </c>
      <c r="E6036" t="str">
        <f>"7651019948"</f>
        <v>7651019948</v>
      </c>
      <c r="F6036" s="1">
        <v>45076</v>
      </c>
      <c r="G6036" t="str">
        <f>"82111"</f>
        <v>82111</v>
      </c>
      <c r="H6036">
        <v>1</v>
      </c>
      <c r="I6036">
        <v>37</v>
      </c>
      <c r="J6036">
        <v>0</v>
      </c>
      <c r="K6036" t="str">
        <f t="shared" si="1088"/>
        <v>802</v>
      </c>
      <c r="L6036">
        <v>35.89</v>
      </c>
    </row>
    <row r="6037" spans="1:12" x14ac:dyDescent="0.25">
      <c r="A6037" t="str">
        <f t="shared" si="1089"/>
        <v>89301000</v>
      </c>
      <c r="B6037" t="str">
        <f t="shared" ref="B6037:B6068" si="1092">"10510000"</f>
        <v>10510000</v>
      </c>
      <c r="C6037" t="str">
        <f t="shared" ref="C6037:C6068" si="1093">"10510001"</f>
        <v>10510001</v>
      </c>
      <c r="D6037">
        <v>89301202</v>
      </c>
      <c r="E6037" t="str">
        <f>"7651019948"</f>
        <v>7651019948</v>
      </c>
      <c r="F6037" s="1">
        <v>45076</v>
      </c>
      <c r="G6037" t="str">
        <f>"82079"</f>
        <v>82079</v>
      </c>
      <c r="H6037">
        <v>1</v>
      </c>
      <c r="I6037">
        <v>333</v>
      </c>
      <c r="J6037">
        <v>0</v>
      </c>
      <c r="K6037" t="str">
        <f t="shared" ref="K6037:K6068" si="1094">"802"</f>
        <v>802</v>
      </c>
      <c r="L6037">
        <v>323.01</v>
      </c>
    </row>
    <row r="6038" spans="1:12" x14ac:dyDescent="0.25">
      <c r="A6038" t="str">
        <f t="shared" si="1089"/>
        <v>89301000</v>
      </c>
      <c r="B6038" t="str">
        <f t="shared" si="1092"/>
        <v>10510000</v>
      </c>
      <c r="C6038" t="str">
        <f t="shared" si="1093"/>
        <v>10510001</v>
      </c>
      <c r="D6038">
        <v>89301202</v>
      </c>
      <c r="E6038" t="str">
        <f>"7651019948"</f>
        <v>7651019948</v>
      </c>
      <c r="F6038" s="1">
        <v>45076</v>
      </c>
      <c r="G6038" t="str">
        <f>"82145"</f>
        <v>82145</v>
      </c>
      <c r="H6038">
        <v>1</v>
      </c>
      <c r="I6038">
        <v>59</v>
      </c>
      <c r="J6038">
        <v>0</v>
      </c>
      <c r="K6038" t="str">
        <f t="shared" si="1094"/>
        <v>802</v>
      </c>
      <c r="L6038">
        <v>57.23</v>
      </c>
    </row>
    <row r="6039" spans="1:12" x14ac:dyDescent="0.25">
      <c r="A6039" t="str">
        <f t="shared" si="1089"/>
        <v>89301000</v>
      </c>
      <c r="B6039" t="str">
        <f t="shared" si="1092"/>
        <v>10510000</v>
      </c>
      <c r="C6039" t="str">
        <f t="shared" si="1093"/>
        <v>10510001</v>
      </c>
      <c r="D6039">
        <v>89301202</v>
      </c>
      <c r="E6039" t="str">
        <f>"7651019948"</f>
        <v>7651019948</v>
      </c>
      <c r="F6039" s="1">
        <v>45076</v>
      </c>
      <c r="G6039" t="str">
        <f>"82113"</f>
        <v>82113</v>
      </c>
      <c r="H6039">
        <v>1</v>
      </c>
      <c r="I6039">
        <v>363</v>
      </c>
      <c r="J6039">
        <v>0</v>
      </c>
      <c r="K6039" t="str">
        <f t="shared" si="1094"/>
        <v>802</v>
      </c>
      <c r="L6039">
        <v>352.11</v>
      </c>
    </row>
    <row r="6040" spans="1:12" x14ac:dyDescent="0.25">
      <c r="A6040" t="str">
        <f t="shared" si="1089"/>
        <v>89301000</v>
      </c>
      <c r="B6040" t="str">
        <f t="shared" si="1092"/>
        <v>10510000</v>
      </c>
      <c r="C6040" t="str">
        <f t="shared" si="1093"/>
        <v>10510001</v>
      </c>
      <c r="D6040">
        <v>89301202</v>
      </c>
      <c r="E6040" t="str">
        <f>"7651019948"</f>
        <v>7651019948</v>
      </c>
      <c r="F6040" s="1">
        <v>45075</v>
      </c>
      <c r="G6040" t="str">
        <f>"97111"</f>
        <v>97111</v>
      </c>
      <c r="H6040">
        <v>1</v>
      </c>
      <c r="I6040">
        <v>19</v>
      </c>
      <c r="J6040">
        <v>0</v>
      </c>
      <c r="K6040" t="str">
        <f t="shared" si="1094"/>
        <v>802</v>
      </c>
      <c r="L6040">
        <v>23.94</v>
      </c>
    </row>
    <row r="6041" spans="1:12" x14ac:dyDescent="0.25">
      <c r="A6041" t="str">
        <f t="shared" si="1089"/>
        <v>89301000</v>
      </c>
      <c r="B6041" t="str">
        <f t="shared" si="1092"/>
        <v>10510000</v>
      </c>
      <c r="C6041" t="str">
        <f t="shared" si="1093"/>
        <v>10510001</v>
      </c>
      <c r="D6041">
        <v>89301152</v>
      </c>
      <c r="E6041" t="str">
        <f>"5861060557"</f>
        <v>5861060557</v>
      </c>
      <c r="F6041" s="1">
        <v>45048</v>
      </c>
      <c r="G6041" t="str">
        <f>"82077"</f>
        <v>82077</v>
      </c>
      <c r="H6041">
        <v>1</v>
      </c>
      <c r="I6041">
        <v>351</v>
      </c>
      <c r="J6041">
        <v>0</v>
      </c>
      <c r="K6041" t="str">
        <f t="shared" si="1094"/>
        <v>802</v>
      </c>
      <c r="L6041">
        <v>340.47</v>
      </c>
    </row>
    <row r="6042" spans="1:12" x14ac:dyDescent="0.25">
      <c r="A6042" t="str">
        <f t="shared" si="1089"/>
        <v>89301000</v>
      </c>
      <c r="B6042" t="str">
        <f t="shared" si="1092"/>
        <v>10510000</v>
      </c>
      <c r="C6042" t="str">
        <f t="shared" si="1093"/>
        <v>10510001</v>
      </c>
      <c r="D6042">
        <v>89301152</v>
      </c>
      <c r="E6042" t="str">
        <f>"5861060557"</f>
        <v>5861060557</v>
      </c>
      <c r="F6042" s="1">
        <v>45048</v>
      </c>
      <c r="G6042" t="str">
        <f>"82077"</f>
        <v>82077</v>
      </c>
      <c r="H6042">
        <v>1</v>
      </c>
      <c r="I6042">
        <v>351</v>
      </c>
      <c r="J6042">
        <v>0</v>
      </c>
      <c r="K6042" t="str">
        <f t="shared" si="1094"/>
        <v>802</v>
      </c>
      <c r="L6042">
        <v>340.47</v>
      </c>
    </row>
    <row r="6043" spans="1:12" x14ac:dyDescent="0.25">
      <c r="A6043" t="str">
        <f t="shared" si="1089"/>
        <v>89301000</v>
      </c>
      <c r="B6043" t="str">
        <f t="shared" si="1092"/>
        <v>10510000</v>
      </c>
      <c r="C6043" t="str">
        <f t="shared" si="1093"/>
        <v>10510001</v>
      </c>
      <c r="D6043">
        <v>89301152</v>
      </c>
      <c r="E6043" t="str">
        <f>"5861060557"</f>
        <v>5861060557</v>
      </c>
      <c r="F6043" s="1">
        <v>45049</v>
      </c>
      <c r="G6043" t="str">
        <f>"82040"</f>
        <v>82040</v>
      </c>
      <c r="H6043">
        <v>1</v>
      </c>
      <c r="I6043">
        <v>938</v>
      </c>
      <c r="J6043">
        <v>0</v>
      </c>
      <c r="K6043" t="str">
        <f t="shared" si="1094"/>
        <v>802</v>
      </c>
      <c r="L6043">
        <v>909.86</v>
      </c>
    </row>
    <row r="6044" spans="1:12" x14ac:dyDescent="0.25">
      <c r="A6044" t="str">
        <f t="shared" si="1089"/>
        <v>89301000</v>
      </c>
      <c r="B6044" t="str">
        <f t="shared" si="1092"/>
        <v>10510000</v>
      </c>
      <c r="C6044" t="str">
        <f t="shared" si="1093"/>
        <v>10510001</v>
      </c>
      <c r="D6044">
        <v>89301152</v>
      </c>
      <c r="E6044" t="str">
        <f>"5861060557"</f>
        <v>5861060557</v>
      </c>
      <c r="F6044" s="1">
        <v>45049</v>
      </c>
      <c r="G6044" t="str">
        <f>"82041"</f>
        <v>82041</v>
      </c>
      <c r="H6044">
        <v>1</v>
      </c>
      <c r="I6044">
        <v>1096</v>
      </c>
      <c r="J6044">
        <v>0</v>
      </c>
      <c r="K6044" t="str">
        <f t="shared" si="1094"/>
        <v>802</v>
      </c>
      <c r="L6044">
        <v>1063.1199999999999</v>
      </c>
    </row>
    <row r="6045" spans="1:12" x14ac:dyDescent="0.25">
      <c r="A6045" t="str">
        <f t="shared" si="1089"/>
        <v>89301000</v>
      </c>
      <c r="B6045" t="str">
        <f t="shared" si="1092"/>
        <v>10510000</v>
      </c>
      <c r="C6045" t="str">
        <f t="shared" si="1093"/>
        <v>10510001</v>
      </c>
      <c r="D6045">
        <v>89301355</v>
      </c>
      <c r="E6045" t="str">
        <f>"9806276238"</f>
        <v>9806276238</v>
      </c>
      <c r="F6045" s="1">
        <v>45071</v>
      </c>
      <c r="G6045" t="str">
        <f>"82137"</f>
        <v>82137</v>
      </c>
      <c r="H6045">
        <v>1</v>
      </c>
      <c r="I6045">
        <v>1606</v>
      </c>
      <c r="J6045">
        <v>0</v>
      </c>
      <c r="K6045" t="str">
        <f t="shared" si="1094"/>
        <v>802</v>
      </c>
      <c r="L6045">
        <v>1557.82</v>
      </c>
    </row>
    <row r="6046" spans="1:12" x14ac:dyDescent="0.25">
      <c r="A6046" t="str">
        <f t="shared" si="1089"/>
        <v>89301000</v>
      </c>
      <c r="B6046" t="str">
        <f t="shared" si="1092"/>
        <v>10510000</v>
      </c>
      <c r="C6046" t="str">
        <f t="shared" si="1093"/>
        <v>10510001</v>
      </c>
      <c r="D6046">
        <v>89301355</v>
      </c>
      <c r="E6046" t="str">
        <f>"9806276238"</f>
        <v>9806276238</v>
      </c>
      <c r="F6046" s="1">
        <v>45072</v>
      </c>
      <c r="G6046" t="str">
        <f t="shared" ref="G6046:G6051" si="1095">"82077"</f>
        <v>82077</v>
      </c>
      <c r="H6046">
        <v>2</v>
      </c>
      <c r="I6046">
        <v>702</v>
      </c>
      <c r="J6046">
        <v>0</v>
      </c>
      <c r="K6046" t="str">
        <f t="shared" si="1094"/>
        <v>802</v>
      </c>
      <c r="L6046">
        <v>680.94</v>
      </c>
    </row>
    <row r="6047" spans="1:12" x14ac:dyDescent="0.25">
      <c r="A6047" t="str">
        <f t="shared" si="1089"/>
        <v>89301000</v>
      </c>
      <c r="B6047" t="str">
        <f t="shared" si="1092"/>
        <v>10510000</v>
      </c>
      <c r="C6047" t="str">
        <f t="shared" si="1093"/>
        <v>10510001</v>
      </c>
      <c r="D6047">
        <v>89301355</v>
      </c>
      <c r="E6047" t="str">
        <f>"9806276238"</f>
        <v>9806276238</v>
      </c>
      <c r="F6047" s="1">
        <v>45072</v>
      </c>
      <c r="G6047" t="str">
        <f t="shared" si="1095"/>
        <v>82077</v>
      </c>
      <c r="H6047">
        <v>2</v>
      </c>
      <c r="I6047">
        <v>702</v>
      </c>
      <c r="J6047">
        <v>0</v>
      </c>
      <c r="K6047" t="str">
        <f t="shared" si="1094"/>
        <v>802</v>
      </c>
      <c r="L6047">
        <v>680.94</v>
      </c>
    </row>
    <row r="6048" spans="1:12" x14ac:dyDescent="0.25">
      <c r="A6048" t="str">
        <f t="shared" si="1089"/>
        <v>89301000</v>
      </c>
      <c r="B6048" t="str">
        <f t="shared" si="1092"/>
        <v>10510000</v>
      </c>
      <c r="C6048" t="str">
        <f t="shared" si="1093"/>
        <v>10510001</v>
      </c>
      <c r="D6048">
        <v>89301355</v>
      </c>
      <c r="E6048" t="str">
        <f>"9806276238"</f>
        <v>9806276238</v>
      </c>
      <c r="F6048" s="1">
        <v>45069</v>
      </c>
      <c r="G6048" t="str">
        <f t="shared" si="1095"/>
        <v>82077</v>
      </c>
      <c r="H6048">
        <v>1</v>
      </c>
      <c r="I6048">
        <v>351</v>
      </c>
      <c r="J6048">
        <v>0</v>
      </c>
      <c r="K6048" t="str">
        <f t="shared" si="1094"/>
        <v>802</v>
      </c>
      <c r="L6048">
        <v>340.47</v>
      </c>
    </row>
    <row r="6049" spans="1:12" x14ac:dyDescent="0.25">
      <c r="A6049" t="str">
        <f t="shared" si="1089"/>
        <v>89301000</v>
      </c>
      <c r="B6049" t="str">
        <f t="shared" si="1092"/>
        <v>10510000</v>
      </c>
      <c r="C6049" t="str">
        <f t="shared" si="1093"/>
        <v>10510001</v>
      </c>
      <c r="D6049">
        <v>89301355</v>
      </c>
      <c r="E6049" t="str">
        <f t="shared" ref="E6049:E6054" si="1096">"9001235716"</f>
        <v>9001235716</v>
      </c>
      <c r="F6049" s="1">
        <v>45072</v>
      </c>
      <c r="G6049" t="str">
        <f t="shared" si="1095"/>
        <v>82077</v>
      </c>
      <c r="H6049">
        <v>2</v>
      </c>
      <c r="I6049">
        <v>702</v>
      </c>
      <c r="J6049">
        <v>0</v>
      </c>
      <c r="K6049" t="str">
        <f t="shared" si="1094"/>
        <v>802</v>
      </c>
      <c r="L6049">
        <v>680.94</v>
      </c>
    </row>
    <row r="6050" spans="1:12" x14ac:dyDescent="0.25">
      <c r="A6050" t="str">
        <f t="shared" si="1089"/>
        <v>89301000</v>
      </c>
      <c r="B6050" t="str">
        <f t="shared" si="1092"/>
        <v>10510000</v>
      </c>
      <c r="C6050" t="str">
        <f t="shared" si="1093"/>
        <v>10510001</v>
      </c>
      <c r="D6050">
        <v>89301355</v>
      </c>
      <c r="E6050" t="str">
        <f t="shared" si="1096"/>
        <v>9001235716</v>
      </c>
      <c r="F6050" s="1">
        <v>45072</v>
      </c>
      <c r="G6050" t="str">
        <f t="shared" si="1095"/>
        <v>82077</v>
      </c>
      <c r="H6050">
        <v>2</v>
      </c>
      <c r="I6050">
        <v>702</v>
      </c>
      <c r="J6050">
        <v>0</v>
      </c>
      <c r="K6050" t="str">
        <f t="shared" si="1094"/>
        <v>802</v>
      </c>
      <c r="L6050">
        <v>680.94</v>
      </c>
    </row>
    <row r="6051" spans="1:12" x14ac:dyDescent="0.25">
      <c r="A6051" t="str">
        <f t="shared" si="1089"/>
        <v>89301000</v>
      </c>
      <c r="B6051" t="str">
        <f t="shared" si="1092"/>
        <v>10510000</v>
      </c>
      <c r="C6051" t="str">
        <f t="shared" si="1093"/>
        <v>10510001</v>
      </c>
      <c r="D6051">
        <v>89301355</v>
      </c>
      <c r="E6051" t="str">
        <f t="shared" si="1096"/>
        <v>9001235716</v>
      </c>
      <c r="F6051" s="1">
        <v>45069</v>
      </c>
      <c r="G6051" t="str">
        <f t="shared" si="1095"/>
        <v>82077</v>
      </c>
      <c r="H6051">
        <v>1</v>
      </c>
      <c r="I6051">
        <v>351</v>
      </c>
      <c r="J6051">
        <v>0</v>
      </c>
      <c r="K6051" t="str">
        <f t="shared" si="1094"/>
        <v>802</v>
      </c>
      <c r="L6051">
        <v>340.47</v>
      </c>
    </row>
    <row r="6052" spans="1:12" x14ac:dyDescent="0.25">
      <c r="A6052" t="str">
        <f t="shared" si="1089"/>
        <v>89301000</v>
      </c>
      <c r="B6052" t="str">
        <f t="shared" si="1092"/>
        <v>10510000</v>
      </c>
      <c r="C6052" t="str">
        <f t="shared" si="1093"/>
        <v>10510001</v>
      </c>
      <c r="D6052">
        <v>89301355</v>
      </c>
      <c r="E6052" t="str">
        <f t="shared" si="1096"/>
        <v>9001235716</v>
      </c>
      <c r="F6052" s="1">
        <v>45071</v>
      </c>
      <c r="G6052" t="str">
        <f>"82137"</f>
        <v>82137</v>
      </c>
      <c r="H6052">
        <v>1</v>
      </c>
      <c r="I6052">
        <v>1606</v>
      </c>
      <c r="J6052">
        <v>0</v>
      </c>
      <c r="K6052" t="str">
        <f t="shared" si="1094"/>
        <v>802</v>
      </c>
      <c r="L6052">
        <v>1557.82</v>
      </c>
    </row>
    <row r="6053" spans="1:12" x14ac:dyDescent="0.25">
      <c r="A6053" t="str">
        <f t="shared" si="1089"/>
        <v>89301000</v>
      </c>
      <c r="B6053" t="str">
        <f t="shared" si="1092"/>
        <v>10510000</v>
      </c>
      <c r="C6053" t="str">
        <f t="shared" si="1093"/>
        <v>10510001</v>
      </c>
      <c r="D6053">
        <v>89301355</v>
      </c>
      <c r="E6053" t="str">
        <f t="shared" si="1096"/>
        <v>9001235716</v>
      </c>
      <c r="F6053" s="1">
        <v>45076</v>
      </c>
      <c r="G6053" t="str">
        <f>"82038"</f>
        <v>82038</v>
      </c>
      <c r="H6053">
        <v>1</v>
      </c>
      <c r="I6053">
        <v>2149</v>
      </c>
      <c r="J6053">
        <v>0</v>
      </c>
      <c r="K6053" t="str">
        <f t="shared" si="1094"/>
        <v>802</v>
      </c>
      <c r="L6053">
        <v>2084.5300000000002</v>
      </c>
    </row>
    <row r="6054" spans="1:12" x14ac:dyDescent="0.25">
      <c r="A6054" t="str">
        <f t="shared" si="1089"/>
        <v>89301000</v>
      </c>
      <c r="B6054" t="str">
        <f t="shared" si="1092"/>
        <v>10510000</v>
      </c>
      <c r="C6054" t="str">
        <f t="shared" si="1093"/>
        <v>10510001</v>
      </c>
      <c r="D6054">
        <v>89301355</v>
      </c>
      <c r="E6054" t="str">
        <f t="shared" si="1096"/>
        <v>9001235716</v>
      </c>
      <c r="F6054" s="1">
        <v>45076</v>
      </c>
      <c r="G6054" t="str">
        <f>"82040"</f>
        <v>82040</v>
      </c>
      <c r="H6054">
        <v>1</v>
      </c>
      <c r="I6054">
        <v>938</v>
      </c>
      <c r="J6054">
        <v>0</v>
      </c>
      <c r="K6054" t="str">
        <f t="shared" si="1094"/>
        <v>802</v>
      </c>
      <c r="L6054">
        <v>909.86</v>
      </c>
    </row>
    <row r="6055" spans="1:12" x14ac:dyDescent="0.25">
      <c r="A6055" t="str">
        <f t="shared" si="1089"/>
        <v>89301000</v>
      </c>
      <c r="B6055" t="str">
        <f t="shared" si="1092"/>
        <v>10510000</v>
      </c>
      <c r="C6055" t="str">
        <f t="shared" si="1093"/>
        <v>10510001</v>
      </c>
      <c r="D6055">
        <v>89301037</v>
      </c>
      <c r="E6055" t="str">
        <f>"6304282435"</f>
        <v>6304282435</v>
      </c>
      <c r="F6055" s="1">
        <v>45076</v>
      </c>
      <c r="G6055" t="str">
        <f>"82077"</f>
        <v>82077</v>
      </c>
      <c r="H6055">
        <v>1</v>
      </c>
      <c r="I6055">
        <v>351</v>
      </c>
      <c r="J6055">
        <v>0</v>
      </c>
      <c r="K6055" t="str">
        <f t="shared" si="1094"/>
        <v>802</v>
      </c>
      <c r="L6055">
        <v>340.47</v>
      </c>
    </row>
    <row r="6056" spans="1:12" x14ac:dyDescent="0.25">
      <c r="A6056" t="str">
        <f t="shared" si="1089"/>
        <v>89301000</v>
      </c>
      <c r="B6056" t="str">
        <f t="shared" si="1092"/>
        <v>10510000</v>
      </c>
      <c r="C6056" t="str">
        <f t="shared" si="1093"/>
        <v>10510001</v>
      </c>
      <c r="D6056">
        <v>89301037</v>
      </c>
      <c r="E6056" t="str">
        <f>"6304282435"</f>
        <v>6304282435</v>
      </c>
      <c r="F6056" s="1">
        <v>45076</v>
      </c>
      <c r="G6056" t="str">
        <f>"82077"</f>
        <v>82077</v>
      </c>
      <c r="H6056">
        <v>1</v>
      </c>
      <c r="I6056">
        <v>351</v>
      </c>
      <c r="J6056">
        <v>0</v>
      </c>
      <c r="K6056" t="str">
        <f t="shared" si="1094"/>
        <v>802</v>
      </c>
      <c r="L6056">
        <v>340.47</v>
      </c>
    </row>
    <row r="6057" spans="1:12" x14ac:dyDescent="0.25">
      <c r="A6057" t="str">
        <f t="shared" si="1089"/>
        <v>89301000</v>
      </c>
      <c r="B6057" t="str">
        <f t="shared" si="1092"/>
        <v>10510000</v>
      </c>
      <c r="C6057" t="str">
        <f t="shared" si="1093"/>
        <v>10510001</v>
      </c>
      <c r="D6057">
        <v>89301171</v>
      </c>
      <c r="E6057" t="str">
        <f>"8108175339"</f>
        <v>8108175339</v>
      </c>
      <c r="F6057" s="1">
        <v>45020</v>
      </c>
      <c r="G6057" t="str">
        <f>"82034"</f>
        <v>82034</v>
      </c>
      <c r="H6057">
        <v>1</v>
      </c>
      <c r="I6057">
        <v>354</v>
      </c>
      <c r="J6057">
        <v>0</v>
      </c>
      <c r="K6057" t="str">
        <f t="shared" si="1094"/>
        <v>802</v>
      </c>
      <c r="L6057">
        <v>343.38</v>
      </c>
    </row>
    <row r="6058" spans="1:12" x14ac:dyDescent="0.25">
      <c r="A6058" t="str">
        <f t="shared" si="1089"/>
        <v>89301000</v>
      </c>
      <c r="B6058" t="str">
        <f t="shared" si="1092"/>
        <v>10510000</v>
      </c>
      <c r="C6058" t="str">
        <f t="shared" si="1093"/>
        <v>10510001</v>
      </c>
      <c r="D6058">
        <v>89301171</v>
      </c>
      <c r="E6058" t="str">
        <f>"8108175339"</f>
        <v>8108175339</v>
      </c>
      <c r="F6058" s="1">
        <v>45020</v>
      </c>
      <c r="G6058" t="str">
        <f>"82041"</f>
        <v>82041</v>
      </c>
      <c r="H6058">
        <v>1</v>
      </c>
      <c r="I6058">
        <v>1096</v>
      </c>
      <c r="J6058">
        <v>0</v>
      </c>
      <c r="K6058" t="str">
        <f t="shared" si="1094"/>
        <v>802</v>
      </c>
      <c r="L6058">
        <v>1063.1199999999999</v>
      </c>
    </row>
    <row r="6059" spans="1:12" x14ac:dyDescent="0.25">
      <c r="A6059" t="str">
        <f t="shared" si="1089"/>
        <v>89301000</v>
      </c>
      <c r="B6059" t="str">
        <f t="shared" si="1092"/>
        <v>10510000</v>
      </c>
      <c r="C6059" t="str">
        <f t="shared" si="1093"/>
        <v>10510001</v>
      </c>
      <c r="D6059">
        <v>89301171</v>
      </c>
      <c r="E6059" t="str">
        <f>"8108175339"</f>
        <v>8108175339</v>
      </c>
      <c r="F6059" s="1">
        <v>45020</v>
      </c>
      <c r="G6059" t="str">
        <f>"82041"</f>
        <v>82041</v>
      </c>
      <c r="H6059">
        <v>1</v>
      </c>
      <c r="I6059">
        <v>1096</v>
      </c>
      <c r="J6059">
        <v>0</v>
      </c>
      <c r="K6059" t="str">
        <f t="shared" si="1094"/>
        <v>802</v>
      </c>
      <c r="L6059">
        <v>1063.1199999999999</v>
      </c>
    </row>
    <row r="6060" spans="1:12" x14ac:dyDescent="0.25">
      <c r="A6060" t="str">
        <f t="shared" si="1089"/>
        <v>89301000</v>
      </c>
      <c r="B6060" t="str">
        <f t="shared" si="1092"/>
        <v>10510000</v>
      </c>
      <c r="C6060" t="str">
        <f t="shared" si="1093"/>
        <v>10510001</v>
      </c>
      <c r="D6060">
        <v>89301171</v>
      </c>
      <c r="E6060" t="str">
        <f>"7053055350"</f>
        <v>7053055350</v>
      </c>
      <c r="F6060" s="1">
        <v>45055</v>
      </c>
      <c r="G6060" t="str">
        <f>"82041"</f>
        <v>82041</v>
      </c>
      <c r="H6060">
        <v>1</v>
      </c>
      <c r="I6060">
        <v>1096</v>
      </c>
      <c r="J6060">
        <v>0</v>
      </c>
      <c r="K6060" t="str">
        <f t="shared" si="1094"/>
        <v>802</v>
      </c>
      <c r="L6060">
        <v>1063.1199999999999</v>
      </c>
    </row>
    <row r="6061" spans="1:12" x14ac:dyDescent="0.25">
      <c r="A6061" t="str">
        <f t="shared" si="1089"/>
        <v>89301000</v>
      </c>
      <c r="B6061" t="str">
        <f t="shared" si="1092"/>
        <v>10510000</v>
      </c>
      <c r="C6061" t="str">
        <f t="shared" si="1093"/>
        <v>10510001</v>
      </c>
      <c r="D6061">
        <v>89301171</v>
      </c>
      <c r="E6061" t="str">
        <f>"7053055350"</f>
        <v>7053055350</v>
      </c>
      <c r="F6061" s="1">
        <v>45055</v>
      </c>
      <c r="G6061" t="str">
        <f>"82041"</f>
        <v>82041</v>
      </c>
      <c r="H6061">
        <v>1</v>
      </c>
      <c r="I6061">
        <v>1096</v>
      </c>
      <c r="J6061">
        <v>0</v>
      </c>
      <c r="K6061" t="str">
        <f t="shared" si="1094"/>
        <v>802</v>
      </c>
      <c r="L6061">
        <v>1063.1199999999999</v>
      </c>
    </row>
    <row r="6062" spans="1:12" x14ac:dyDescent="0.25">
      <c r="A6062" t="str">
        <f t="shared" si="1089"/>
        <v>89301000</v>
      </c>
      <c r="B6062" t="str">
        <f t="shared" si="1092"/>
        <v>10510000</v>
      </c>
      <c r="C6062" t="str">
        <f t="shared" si="1093"/>
        <v>10510001</v>
      </c>
      <c r="D6062">
        <v>89301171</v>
      </c>
      <c r="E6062" t="str">
        <f>"7053055350"</f>
        <v>7053055350</v>
      </c>
      <c r="F6062" s="1">
        <v>45055</v>
      </c>
      <c r="G6062" t="str">
        <f>"82034"</f>
        <v>82034</v>
      </c>
      <c r="H6062">
        <v>1</v>
      </c>
      <c r="I6062">
        <v>354</v>
      </c>
      <c r="J6062">
        <v>0</v>
      </c>
      <c r="K6062" t="str">
        <f t="shared" si="1094"/>
        <v>802</v>
      </c>
      <c r="L6062">
        <v>343.38</v>
      </c>
    </row>
    <row r="6063" spans="1:12" x14ac:dyDescent="0.25">
      <c r="A6063" t="str">
        <f t="shared" si="1089"/>
        <v>89301000</v>
      </c>
      <c r="B6063" t="str">
        <f t="shared" si="1092"/>
        <v>10510000</v>
      </c>
      <c r="C6063" t="str">
        <f t="shared" si="1093"/>
        <v>10510001</v>
      </c>
      <c r="D6063">
        <v>89301171</v>
      </c>
      <c r="E6063" t="str">
        <f>"8102275324"</f>
        <v>8102275324</v>
      </c>
      <c r="F6063" s="1">
        <v>45055</v>
      </c>
      <c r="G6063" t="str">
        <f>"82041"</f>
        <v>82041</v>
      </c>
      <c r="H6063">
        <v>1</v>
      </c>
      <c r="I6063">
        <v>1096</v>
      </c>
      <c r="J6063">
        <v>0</v>
      </c>
      <c r="K6063" t="str">
        <f t="shared" si="1094"/>
        <v>802</v>
      </c>
      <c r="L6063">
        <v>1063.1199999999999</v>
      </c>
    </row>
    <row r="6064" spans="1:12" x14ac:dyDescent="0.25">
      <c r="A6064" t="str">
        <f t="shared" si="1089"/>
        <v>89301000</v>
      </c>
      <c r="B6064" t="str">
        <f t="shared" si="1092"/>
        <v>10510000</v>
      </c>
      <c r="C6064" t="str">
        <f t="shared" si="1093"/>
        <v>10510001</v>
      </c>
      <c r="D6064">
        <v>89301171</v>
      </c>
      <c r="E6064" t="str">
        <f>"8102275324"</f>
        <v>8102275324</v>
      </c>
      <c r="F6064" s="1">
        <v>45055</v>
      </c>
      <c r="G6064" t="str">
        <f>"82041"</f>
        <v>82041</v>
      </c>
      <c r="H6064">
        <v>1</v>
      </c>
      <c r="I6064">
        <v>1096</v>
      </c>
      <c r="J6064">
        <v>0</v>
      </c>
      <c r="K6064" t="str">
        <f t="shared" si="1094"/>
        <v>802</v>
      </c>
      <c r="L6064">
        <v>1063.1199999999999</v>
      </c>
    </row>
    <row r="6065" spans="1:12" x14ac:dyDescent="0.25">
      <c r="A6065" t="str">
        <f t="shared" si="1089"/>
        <v>89301000</v>
      </c>
      <c r="B6065" t="str">
        <f t="shared" si="1092"/>
        <v>10510000</v>
      </c>
      <c r="C6065" t="str">
        <f t="shared" si="1093"/>
        <v>10510001</v>
      </c>
      <c r="D6065">
        <v>89301171</v>
      </c>
      <c r="E6065" t="str">
        <f>"8102275324"</f>
        <v>8102275324</v>
      </c>
      <c r="F6065" s="1">
        <v>45055</v>
      </c>
      <c r="G6065" t="str">
        <f>"82034"</f>
        <v>82034</v>
      </c>
      <c r="H6065">
        <v>1</v>
      </c>
      <c r="I6065">
        <v>354</v>
      </c>
      <c r="J6065">
        <v>0</v>
      </c>
      <c r="K6065" t="str">
        <f t="shared" si="1094"/>
        <v>802</v>
      </c>
      <c r="L6065">
        <v>343.38</v>
      </c>
    </row>
    <row r="6066" spans="1:12" x14ac:dyDescent="0.25">
      <c r="A6066" t="str">
        <f t="shared" si="1089"/>
        <v>89301000</v>
      </c>
      <c r="B6066" t="str">
        <f t="shared" si="1092"/>
        <v>10510000</v>
      </c>
      <c r="C6066" t="str">
        <f t="shared" si="1093"/>
        <v>10510001</v>
      </c>
      <c r="D6066">
        <v>89301171</v>
      </c>
      <c r="E6066" t="str">
        <f>"9552085730"</f>
        <v>9552085730</v>
      </c>
      <c r="F6066" s="1">
        <v>45056</v>
      </c>
      <c r="G6066" t="str">
        <f>"82034"</f>
        <v>82034</v>
      </c>
      <c r="H6066">
        <v>1</v>
      </c>
      <c r="I6066">
        <v>354</v>
      </c>
      <c r="J6066">
        <v>0</v>
      </c>
      <c r="K6066" t="str">
        <f t="shared" si="1094"/>
        <v>802</v>
      </c>
      <c r="L6066">
        <v>343.38</v>
      </c>
    </row>
    <row r="6067" spans="1:12" x14ac:dyDescent="0.25">
      <c r="A6067" t="str">
        <f t="shared" si="1089"/>
        <v>89301000</v>
      </c>
      <c r="B6067" t="str">
        <f t="shared" si="1092"/>
        <v>10510000</v>
      </c>
      <c r="C6067" t="str">
        <f t="shared" si="1093"/>
        <v>10510001</v>
      </c>
      <c r="D6067">
        <v>89301171</v>
      </c>
      <c r="E6067" t="str">
        <f>"9552085730"</f>
        <v>9552085730</v>
      </c>
      <c r="F6067" s="1">
        <v>45056</v>
      </c>
      <c r="G6067" t="str">
        <f>"82041"</f>
        <v>82041</v>
      </c>
      <c r="H6067">
        <v>1</v>
      </c>
      <c r="I6067">
        <v>1096</v>
      </c>
      <c r="J6067">
        <v>0</v>
      </c>
      <c r="K6067" t="str">
        <f t="shared" si="1094"/>
        <v>802</v>
      </c>
      <c r="L6067">
        <v>1063.1199999999999</v>
      </c>
    </row>
    <row r="6068" spans="1:12" x14ac:dyDescent="0.25">
      <c r="A6068" t="str">
        <f t="shared" si="1089"/>
        <v>89301000</v>
      </c>
      <c r="B6068" t="str">
        <f t="shared" si="1092"/>
        <v>10510000</v>
      </c>
      <c r="C6068" t="str">
        <f t="shared" si="1093"/>
        <v>10510001</v>
      </c>
      <c r="D6068">
        <v>89301172</v>
      </c>
      <c r="E6068" t="str">
        <f>"9507164854"</f>
        <v>9507164854</v>
      </c>
      <c r="F6068" s="1">
        <v>45068</v>
      </c>
      <c r="G6068" t="str">
        <f>"82041"</f>
        <v>82041</v>
      </c>
      <c r="H6068">
        <v>1</v>
      </c>
      <c r="I6068">
        <v>1096</v>
      </c>
      <c r="J6068">
        <v>0</v>
      </c>
      <c r="K6068" t="str">
        <f t="shared" si="1094"/>
        <v>802</v>
      </c>
      <c r="L6068">
        <v>1063.1199999999999</v>
      </c>
    </row>
    <row r="6069" spans="1:12" x14ac:dyDescent="0.25">
      <c r="A6069" t="str">
        <f t="shared" si="1089"/>
        <v>89301000</v>
      </c>
      <c r="B6069" t="str">
        <f t="shared" ref="B6069:B6091" si="1097">"10510000"</f>
        <v>10510000</v>
      </c>
      <c r="C6069" t="str">
        <f t="shared" ref="C6069:C6091" si="1098">"10510001"</f>
        <v>10510001</v>
      </c>
      <c r="D6069">
        <v>89301172</v>
      </c>
      <c r="E6069" t="str">
        <f>"9507164854"</f>
        <v>9507164854</v>
      </c>
      <c r="F6069" s="1">
        <v>45068</v>
      </c>
      <c r="G6069" t="str">
        <f>"82041"</f>
        <v>82041</v>
      </c>
      <c r="H6069">
        <v>1</v>
      </c>
      <c r="I6069">
        <v>1096</v>
      </c>
      <c r="J6069">
        <v>0</v>
      </c>
      <c r="K6069" t="str">
        <f t="shared" ref="K6069:K6091" si="1099">"802"</f>
        <v>802</v>
      </c>
      <c r="L6069">
        <v>1063.1199999999999</v>
      </c>
    </row>
    <row r="6070" spans="1:12" x14ac:dyDescent="0.25">
      <c r="A6070" t="str">
        <f t="shared" si="1089"/>
        <v>89301000</v>
      </c>
      <c r="B6070" t="str">
        <f t="shared" si="1097"/>
        <v>10510000</v>
      </c>
      <c r="C6070" t="str">
        <f t="shared" si="1098"/>
        <v>10510001</v>
      </c>
      <c r="D6070">
        <v>89301172</v>
      </c>
      <c r="E6070" t="str">
        <f>"9507164854"</f>
        <v>9507164854</v>
      </c>
      <c r="F6070" s="1">
        <v>45068</v>
      </c>
      <c r="G6070" t="str">
        <f>"82034"</f>
        <v>82034</v>
      </c>
      <c r="H6070">
        <v>1</v>
      </c>
      <c r="I6070">
        <v>354</v>
      </c>
      <c r="J6070">
        <v>0</v>
      </c>
      <c r="K6070" t="str">
        <f t="shared" si="1099"/>
        <v>802</v>
      </c>
      <c r="L6070">
        <v>343.38</v>
      </c>
    </row>
    <row r="6071" spans="1:12" x14ac:dyDescent="0.25">
      <c r="A6071" t="str">
        <f t="shared" si="1089"/>
        <v>89301000</v>
      </c>
      <c r="B6071" t="str">
        <f t="shared" si="1097"/>
        <v>10510000</v>
      </c>
      <c r="C6071" t="str">
        <f t="shared" si="1098"/>
        <v>10510001</v>
      </c>
      <c r="D6071">
        <v>89301172</v>
      </c>
      <c r="E6071" t="str">
        <f>"8801131999"</f>
        <v>8801131999</v>
      </c>
      <c r="F6071" s="1">
        <v>45068</v>
      </c>
      <c r="G6071" t="str">
        <f>"82034"</f>
        <v>82034</v>
      </c>
      <c r="H6071">
        <v>1</v>
      </c>
      <c r="I6071">
        <v>354</v>
      </c>
      <c r="J6071">
        <v>0</v>
      </c>
      <c r="K6071" t="str">
        <f t="shared" si="1099"/>
        <v>802</v>
      </c>
      <c r="L6071">
        <v>343.38</v>
      </c>
    </row>
    <row r="6072" spans="1:12" x14ac:dyDescent="0.25">
      <c r="A6072" t="str">
        <f t="shared" si="1089"/>
        <v>89301000</v>
      </c>
      <c r="B6072" t="str">
        <f t="shared" si="1097"/>
        <v>10510000</v>
      </c>
      <c r="C6072" t="str">
        <f t="shared" si="1098"/>
        <v>10510001</v>
      </c>
      <c r="D6072">
        <v>89301172</v>
      </c>
      <c r="E6072" t="str">
        <f>"8801131999"</f>
        <v>8801131999</v>
      </c>
      <c r="F6072" s="1">
        <v>45068</v>
      </c>
      <c r="G6072" t="str">
        <f>"82041"</f>
        <v>82041</v>
      </c>
      <c r="H6072">
        <v>1</v>
      </c>
      <c r="I6072">
        <v>1096</v>
      </c>
      <c r="J6072">
        <v>0</v>
      </c>
      <c r="K6072" t="str">
        <f t="shared" si="1099"/>
        <v>802</v>
      </c>
      <c r="L6072">
        <v>1063.1199999999999</v>
      </c>
    </row>
    <row r="6073" spans="1:12" x14ac:dyDescent="0.25">
      <c r="A6073" t="str">
        <f t="shared" si="1089"/>
        <v>89301000</v>
      </c>
      <c r="B6073" t="str">
        <f t="shared" si="1097"/>
        <v>10510000</v>
      </c>
      <c r="C6073" t="str">
        <f t="shared" si="1098"/>
        <v>10510001</v>
      </c>
      <c r="D6073">
        <v>89301172</v>
      </c>
      <c r="E6073" t="str">
        <f>"8801131999"</f>
        <v>8801131999</v>
      </c>
      <c r="F6073" s="1">
        <v>45068</v>
      </c>
      <c r="G6073" t="str">
        <f>"82041"</f>
        <v>82041</v>
      </c>
      <c r="H6073">
        <v>1</v>
      </c>
      <c r="I6073">
        <v>1096</v>
      </c>
      <c r="J6073">
        <v>0</v>
      </c>
      <c r="K6073" t="str">
        <f t="shared" si="1099"/>
        <v>802</v>
      </c>
      <c r="L6073">
        <v>1063.1199999999999</v>
      </c>
    </row>
    <row r="6074" spans="1:12" x14ac:dyDescent="0.25">
      <c r="A6074" t="str">
        <f t="shared" si="1089"/>
        <v>89301000</v>
      </c>
      <c r="B6074" t="str">
        <f t="shared" si="1097"/>
        <v>10510000</v>
      </c>
      <c r="C6074" t="str">
        <f t="shared" si="1098"/>
        <v>10510001</v>
      </c>
      <c r="D6074">
        <v>89301172</v>
      </c>
      <c r="E6074" t="str">
        <f>"8803255571"</f>
        <v>8803255571</v>
      </c>
      <c r="F6074" s="1">
        <v>45070</v>
      </c>
      <c r="G6074" t="str">
        <f>"82041"</f>
        <v>82041</v>
      </c>
      <c r="H6074">
        <v>1</v>
      </c>
      <c r="I6074">
        <v>1096</v>
      </c>
      <c r="J6074">
        <v>0</v>
      </c>
      <c r="K6074" t="str">
        <f t="shared" si="1099"/>
        <v>802</v>
      </c>
      <c r="L6074">
        <v>1063.1199999999999</v>
      </c>
    </row>
    <row r="6075" spans="1:12" x14ac:dyDescent="0.25">
      <c r="A6075" t="str">
        <f t="shared" si="1089"/>
        <v>89301000</v>
      </c>
      <c r="B6075" t="str">
        <f t="shared" si="1097"/>
        <v>10510000</v>
      </c>
      <c r="C6075" t="str">
        <f t="shared" si="1098"/>
        <v>10510001</v>
      </c>
      <c r="D6075">
        <v>89301172</v>
      </c>
      <c r="E6075" t="str">
        <f>"8803255571"</f>
        <v>8803255571</v>
      </c>
      <c r="F6075" s="1">
        <v>45070</v>
      </c>
      <c r="G6075" t="str">
        <f>"82041"</f>
        <v>82041</v>
      </c>
      <c r="H6075">
        <v>1</v>
      </c>
      <c r="I6075">
        <v>1096</v>
      </c>
      <c r="J6075">
        <v>0</v>
      </c>
      <c r="K6075" t="str">
        <f t="shared" si="1099"/>
        <v>802</v>
      </c>
      <c r="L6075">
        <v>1063.1199999999999</v>
      </c>
    </row>
    <row r="6076" spans="1:12" x14ac:dyDescent="0.25">
      <c r="A6076" t="str">
        <f t="shared" si="1089"/>
        <v>89301000</v>
      </c>
      <c r="B6076" t="str">
        <f t="shared" si="1097"/>
        <v>10510000</v>
      </c>
      <c r="C6076" t="str">
        <f t="shared" si="1098"/>
        <v>10510001</v>
      </c>
      <c r="D6076">
        <v>89301172</v>
      </c>
      <c r="E6076" t="str">
        <f>"8803255571"</f>
        <v>8803255571</v>
      </c>
      <c r="F6076" s="1">
        <v>45070</v>
      </c>
      <c r="G6076" t="str">
        <f>"82034"</f>
        <v>82034</v>
      </c>
      <c r="H6076">
        <v>1</v>
      </c>
      <c r="I6076">
        <v>354</v>
      </c>
      <c r="J6076">
        <v>0</v>
      </c>
      <c r="K6076" t="str">
        <f t="shared" si="1099"/>
        <v>802</v>
      </c>
      <c r="L6076">
        <v>343.38</v>
      </c>
    </row>
    <row r="6077" spans="1:12" x14ac:dyDescent="0.25">
      <c r="A6077" t="str">
        <f t="shared" si="1089"/>
        <v>89301000</v>
      </c>
      <c r="B6077" t="str">
        <f t="shared" si="1097"/>
        <v>10510000</v>
      </c>
      <c r="C6077" t="str">
        <f t="shared" si="1098"/>
        <v>10510001</v>
      </c>
      <c r="D6077">
        <v>89301171</v>
      </c>
      <c r="E6077" t="str">
        <f>"9560196162"</f>
        <v>9560196162</v>
      </c>
      <c r="F6077" s="1">
        <v>45070</v>
      </c>
      <c r="G6077" t="str">
        <f>"82034"</f>
        <v>82034</v>
      </c>
      <c r="H6077">
        <v>1</v>
      </c>
      <c r="I6077">
        <v>354</v>
      </c>
      <c r="J6077">
        <v>0</v>
      </c>
      <c r="K6077" t="str">
        <f t="shared" si="1099"/>
        <v>802</v>
      </c>
      <c r="L6077">
        <v>343.38</v>
      </c>
    </row>
    <row r="6078" spans="1:12" x14ac:dyDescent="0.25">
      <c r="A6078" t="str">
        <f t="shared" si="1089"/>
        <v>89301000</v>
      </c>
      <c r="B6078" t="str">
        <f t="shared" si="1097"/>
        <v>10510000</v>
      </c>
      <c r="C6078" t="str">
        <f t="shared" si="1098"/>
        <v>10510001</v>
      </c>
      <c r="D6078">
        <v>89301171</v>
      </c>
      <c r="E6078" t="str">
        <f>"9560196162"</f>
        <v>9560196162</v>
      </c>
      <c r="F6078" s="1">
        <v>45070</v>
      </c>
      <c r="G6078" t="str">
        <f>"82041"</f>
        <v>82041</v>
      </c>
      <c r="H6078">
        <v>1</v>
      </c>
      <c r="I6078">
        <v>1096</v>
      </c>
      <c r="J6078">
        <v>0</v>
      </c>
      <c r="K6078" t="str">
        <f t="shared" si="1099"/>
        <v>802</v>
      </c>
      <c r="L6078">
        <v>1063.1199999999999</v>
      </c>
    </row>
    <row r="6079" spans="1:12" x14ac:dyDescent="0.25">
      <c r="A6079" t="str">
        <f t="shared" si="1089"/>
        <v>89301000</v>
      </c>
      <c r="B6079" t="str">
        <f t="shared" si="1097"/>
        <v>10510000</v>
      </c>
      <c r="C6079" t="str">
        <f t="shared" si="1098"/>
        <v>10510001</v>
      </c>
      <c r="D6079">
        <v>89301171</v>
      </c>
      <c r="E6079" t="str">
        <f>"9560196162"</f>
        <v>9560196162</v>
      </c>
      <c r="F6079" s="1">
        <v>45070</v>
      </c>
      <c r="G6079" t="str">
        <f>"82041"</f>
        <v>82041</v>
      </c>
      <c r="H6079">
        <v>1</v>
      </c>
      <c r="I6079">
        <v>1096</v>
      </c>
      <c r="J6079">
        <v>0</v>
      </c>
      <c r="K6079" t="str">
        <f t="shared" si="1099"/>
        <v>802</v>
      </c>
      <c r="L6079">
        <v>1063.1199999999999</v>
      </c>
    </row>
    <row r="6080" spans="1:12" x14ac:dyDescent="0.25">
      <c r="A6080" t="str">
        <f t="shared" si="1089"/>
        <v>89301000</v>
      </c>
      <c r="B6080" t="str">
        <f t="shared" si="1097"/>
        <v>10510000</v>
      </c>
      <c r="C6080" t="str">
        <f t="shared" si="1098"/>
        <v>10510001</v>
      </c>
      <c r="D6080">
        <v>89301171</v>
      </c>
      <c r="E6080" t="str">
        <f>"7261295327"</f>
        <v>7261295327</v>
      </c>
      <c r="F6080" s="1">
        <v>45070</v>
      </c>
      <c r="G6080" t="str">
        <f>"82034"</f>
        <v>82034</v>
      </c>
      <c r="H6080">
        <v>1</v>
      </c>
      <c r="I6080">
        <v>354</v>
      </c>
      <c r="J6080">
        <v>0</v>
      </c>
      <c r="K6080" t="str">
        <f t="shared" si="1099"/>
        <v>802</v>
      </c>
      <c r="L6080">
        <v>343.38</v>
      </c>
    </row>
    <row r="6081" spans="1:12" x14ac:dyDescent="0.25">
      <c r="A6081" t="str">
        <f t="shared" si="1089"/>
        <v>89301000</v>
      </c>
      <c r="B6081" t="str">
        <f t="shared" si="1097"/>
        <v>10510000</v>
      </c>
      <c r="C6081" t="str">
        <f t="shared" si="1098"/>
        <v>10510001</v>
      </c>
      <c r="D6081">
        <v>89301171</v>
      </c>
      <c r="E6081" t="str">
        <f>"7261295327"</f>
        <v>7261295327</v>
      </c>
      <c r="F6081" s="1">
        <v>45070</v>
      </c>
      <c r="G6081" t="str">
        <f>"82041"</f>
        <v>82041</v>
      </c>
      <c r="H6081">
        <v>1</v>
      </c>
      <c r="I6081">
        <v>1096</v>
      </c>
      <c r="J6081">
        <v>0</v>
      </c>
      <c r="K6081" t="str">
        <f t="shared" si="1099"/>
        <v>802</v>
      </c>
      <c r="L6081">
        <v>1063.1199999999999</v>
      </c>
    </row>
    <row r="6082" spans="1:12" x14ac:dyDescent="0.25">
      <c r="A6082" t="str">
        <f t="shared" ref="A6082:A6145" si="1100">"89301000"</f>
        <v>89301000</v>
      </c>
      <c r="B6082" t="str">
        <f t="shared" si="1097"/>
        <v>10510000</v>
      </c>
      <c r="C6082" t="str">
        <f t="shared" si="1098"/>
        <v>10510001</v>
      </c>
      <c r="D6082">
        <v>89301171</v>
      </c>
      <c r="E6082" t="str">
        <f>"7261295327"</f>
        <v>7261295327</v>
      </c>
      <c r="F6082" s="1">
        <v>45070</v>
      </c>
      <c r="G6082" t="str">
        <f>"82041"</f>
        <v>82041</v>
      </c>
      <c r="H6082">
        <v>1</v>
      </c>
      <c r="I6082">
        <v>1096</v>
      </c>
      <c r="J6082">
        <v>0</v>
      </c>
      <c r="K6082" t="str">
        <f t="shared" si="1099"/>
        <v>802</v>
      </c>
      <c r="L6082">
        <v>1063.1199999999999</v>
      </c>
    </row>
    <row r="6083" spans="1:12" x14ac:dyDescent="0.25">
      <c r="A6083" t="str">
        <f t="shared" si="1100"/>
        <v>89301000</v>
      </c>
      <c r="B6083" t="str">
        <f t="shared" si="1097"/>
        <v>10510000</v>
      </c>
      <c r="C6083" t="str">
        <f t="shared" si="1098"/>
        <v>10510001</v>
      </c>
      <c r="D6083">
        <v>89301171</v>
      </c>
      <c r="E6083" t="str">
        <f>"9353285678"</f>
        <v>9353285678</v>
      </c>
      <c r="F6083" s="1">
        <v>45075</v>
      </c>
      <c r="G6083" t="str">
        <f>"82041"</f>
        <v>82041</v>
      </c>
      <c r="H6083">
        <v>1</v>
      </c>
      <c r="I6083">
        <v>1096</v>
      </c>
      <c r="J6083">
        <v>0</v>
      </c>
      <c r="K6083" t="str">
        <f t="shared" si="1099"/>
        <v>802</v>
      </c>
      <c r="L6083">
        <v>1063.1199999999999</v>
      </c>
    </row>
    <row r="6084" spans="1:12" x14ac:dyDescent="0.25">
      <c r="A6084" t="str">
        <f t="shared" si="1100"/>
        <v>89301000</v>
      </c>
      <c r="B6084" t="str">
        <f t="shared" si="1097"/>
        <v>10510000</v>
      </c>
      <c r="C6084" t="str">
        <f t="shared" si="1098"/>
        <v>10510001</v>
      </c>
      <c r="D6084">
        <v>89301171</v>
      </c>
      <c r="E6084" t="str">
        <f>"9353285678"</f>
        <v>9353285678</v>
      </c>
      <c r="F6084" s="1">
        <v>45075</v>
      </c>
      <c r="G6084" t="str">
        <f>"82041"</f>
        <v>82041</v>
      </c>
      <c r="H6084">
        <v>1</v>
      </c>
      <c r="I6084">
        <v>1096</v>
      </c>
      <c r="J6084">
        <v>0</v>
      </c>
      <c r="K6084" t="str">
        <f t="shared" si="1099"/>
        <v>802</v>
      </c>
      <c r="L6084">
        <v>1063.1199999999999</v>
      </c>
    </row>
    <row r="6085" spans="1:12" x14ac:dyDescent="0.25">
      <c r="A6085" t="str">
        <f t="shared" si="1100"/>
        <v>89301000</v>
      </c>
      <c r="B6085" t="str">
        <f t="shared" si="1097"/>
        <v>10510000</v>
      </c>
      <c r="C6085" t="str">
        <f t="shared" si="1098"/>
        <v>10510001</v>
      </c>
      <c r="D6085">
        <v>89301171</v>
      </c>
      <c r="E6085" t="str">
        <f>"9353285678"</f>
        <v>9353285678</v>
      </c>
      <c r="F6085" s="1">
        <v>45075</v>
      </c>
      <c r="G6085" t="str">
        <f>"82034"</f>
        <v>82034</v>
      </c>
      <c r="H6085">
        <v>1</v>
      </c>
      <c r="I6085">
        <v>354</v>
      </c>
      <c r="J6085">
        <v>0</v>
      </c>
      <c r="K6085" t="str">
        <f t="shared" si="1099"/>
        <v>802</v>
      </c>
      <c r="L6085">
        <v>343.38</v>
      </c>
    </row>
    <row r="6086" spans="1:12" x14ac:dyDescent="0.25">
      <c r="A6086" t="str">
        <f t="shared" si="1100"/>
        <v>89301000</v>
      </c>
      <c r="B6086" t="str">
        <f t="shared" si="1097"/>
        <v>10510000</v>
      </c>
      <c r="C6086" t="str">
        <f t="shared" si="1098"/>
        <v>10510001</v>
      </c>
      <c r="D6086">
        <v>89301172</v>
      </c>
      <c r="E6086" t="str">
        <f>"6405170068"</f>
        <v>6405170068</v>
      </c>
      <c r="F6086" s="1">
        <v>45075</v>
      </c>
      <c r="G6086" t="str">
        <f>"82034"</f>
        <v>82034</v>
      </c>
      <c r="H6086">
        <v>1</v>
      </c>
      <c r="I6086">
        <v>354</v>
      </c>
      <c r="J6086">
        <v>0</v>
      </c>
      <c r="K6086" t="str">
        <f t="shared" si="1099"/>
        <v>802</v>
      </c>
      <c r="L6086">
        <v>343.38</v>
      </c>
    </row>
    <row r="6087" spans="1:12" x14ac:dyDescent="0.25">
      <c r="A6087" t="str">
        <f t="shared" si="1100"/>
        <v>89301000</v>
      </c>
      <c r="B6087" t="str">
        <f t="shared" si="1097"/>
        <v>10510000</v>
      </c>
      <c r="C6087" t="str">
        <f t="shared" si="1098"/>
        <v>10510001</v>
      </c>
      <c r="D6087">
        <v>89301172</v>
      </c>
      <c r="E6087" t="str">
        <f>"6405170068"</f>
        <v>6405170068</v>
      </c>
      <c r="F6087" s="1">
        <v>45075</v>
      </c>
      <c r="G6087" t="str">
        <f>"82041"</f>
        <v>82041</v>
      </c>
      <c r="H6087">
        <v>1</v>
      </c>
      <c r="I6087">
        <v>1096</v>
      </c>
      <c r="J6087">
        <v>0</v>
      </c>
      <c r="K6087" t="str">
        <f t="shared" si="1099"/>
        <v>802</v>
      </c>
      <c r="L6087">
        <v>1063.1199999999999</v>
      </c>
    </row>
    <row r="6088" spans="1:12" x14ac:dyDescent="0.25">
      <c r="A6088" t="str">
        <f t="shared" si="1100"/>
        <v>89301000</v>
      </c>
      <c r="B6088" t="str">
        <f t="shared" si="1097"/>
        <v>10510000</v>
      </c>
      <c r="C6088" t="str">
        <f t="shared" si="1098"/>
        <v>10510001</v>
      </c>
      <c r="D6088">
        <v>89301172</v>
      </c>
      <c r="E6088" t="str">
        <f>"6405170068"</f>
        <v>6405170068</v>
      </c>
      <c r="F6088" s="1">
        <v>45075</v>
      </c>
      <c r="G6088" t="str">
        <f>"82041"</f>
        <v>82041</v>
      </c>
      <c r="H6088">
        <v>1</v>
      </c>
      <c r="I6088">
        <v>1096</v>
      </c>
      <c r="J6088">
        <v>0</v>
      </c>
      <c r="K6088" t="str">
        <f t="shared" si="1099"/>
        <v>802</v>
      </c>
      <c r="L6088">
        <v>1063.1199999999999</v>
      </c>
    </row>
    <row r="6089" spans="1:12" x14ac:dyDescent="0.25">
      <c r="A6089" t="str">
        <f t="shared" si="1100"/>
        <v>89301000</v>
      </c>
      <c r="B6089" t="str">
        <f t="shared" si="1097"/>
        <v>10510000</v>
      </c>
      <c r="C6089" t="str">
        <f t="shared" si="1098"/>
        <v>10510001</v>
      </c>
      <c r="D6089">
        <v>89301172</v>
      </c>
      <c r="E6089" t="str">
        <f>"0102226157"</f>
        <v>0102226157</v>
      </c>
      <c r="F6089" s="1">
        <v>45075</v>
      </c>
      <c r="G6089" t="str">
        <f>"82034"</f>
        <v>82034</v>
      </c>
      <c r="H6089">
        <v>1</v>
      </c>
      <c r="I6089">
        <v>354</v>
      </c>
      <c r="J6089">
        <v>0</v>
      </c>
      <c r="K6089" t="str">
        <f t="shared" si="1099"/>
        <v>802</v>
      </c>
      <c r="L6089">
        <v>343.38</v>
      </c>
    </row>
    <row r="6090" spans="1:12" x14ac:dyDescent="0.25">
      <c r="A6090" t="str">
        <f t="shared" si="1100"/>
        <v>89301000</v>
      </c>
      <c r="B6090" t="str">
        <f t="shared" si="1097"/>
        <v>10510000</v>
      </c>
      <c r="C6090" t="str">
        <f t="shared" si="1098"/>
        <v>10510001</v>
      </c>
      <c r="D6090">
        <v>89301172</v>
      </c>
      <c r="E6090" t="str">
        <f>"0102226157"</f>
        <v>0102226157</v>
      </c>
      <c r="F6090" s="1">
        <v>45075</v>
      </c>
      <c r="G6090" t="str">
        <f>"82041"</f>
        <v>82041</v>
      </c>
      <c r="H6090">
        <v>1</v>
      </c>
      <c r="I6090">
        <v>1096</v>
      </c>
      <c r="J6090">
        <v>0</v>
      </c>
      <c r="K6090" t="str">
        <f t="shared" si="1099"/>
        <v>802</v>
      </c>
      <c r="L6090">
        <v>1063.1199999999999</v>
      </c>
    </row>
    <row r="6091" spans="1:12" x14ac:dyDescent="0.25">
      <c r="A6091" t="str">
        <f t="shared" si="1100"/>
        <v>89301000</v>
      </c>
      <c r="B6091" t="str">
        <f t="shared" si="1097"/>
        <v>10510000</v>
      </c>
      <c r="C6091" t="str">
        <f t="shared" si="1098"/>
        <v>10510001</v>
      </c>
      <c r="D6091">
        <v>89301172</v>
      </c>
      <c r="E6091" t="str">
        <f>"0102226157"</f>
        <v>0102226157</v>
      </c>
      <c r="F6091" s="1">
        <v>45075</v>
      </c>
      <c r="G6091" t="str">
        <f>"82041"</f>
        <v>82041</v>
      </c>
      <c r="H6091">
        <v>1</v>
      </c>
      <c r="I6091">
        <v>1096</v>
      </c>
      <c r="J6091">
        <v>0</v>
      </c>
      <c r="K6091" t="str">
        <f t="shared" si="1099"/>
        <v>802</v>
      </c>
      <c r="L6091">
        <v>1063.1199999999999</v>
      </c>
    </row>
    <row r="6092" spans="1:12" x14ac:dyDescent="0.25">
      <c r="A6092" t="str">
        <f t="shared" si="1100"/>
        <v>89301000</v>
      </c>
      <c r="B6092" t="str">
        <f>"88001000"</f>
        <v>88001000</v>
      </c>
      <c r="C6092" t="str">
        <f>"88001842"</f>
        <v>88001842</v>
      </c>
      <c r="D6092">
        <v>89301212</v>
      </c>
      <c r="E6092" t="str">
        <f>"8756085756"</f>
        <v>8756085756</v>
      </c>
      <c r="F6092" s="1">
        <v>45072</v>
      </c>
      <c r="G6092" t="str">
        <f>"89715"</f>
        <v>89715</v>
      </c>
      <c r="H6092">
        <v>1</v>
      </c>
      <c r="I6092">
        <v>5523</v>
      </c>
      <c r="J6092">
        <v>0</v>
      </c>
      <c r="K6092" t="str">
        <f>"809"</f>
        <v>809</v>
      </c>
      <c r="L6092">
        <v>3589.95</v>
      </c>
    </row>
    <row r="6093" spans="1:12" x14ac:dyDescent="0.25">
      <c r="A6093" t="str">
        <f t="shared" si="1100"/>
        <v>89301000</v>
      </c>
      <c r="B6093" t="str">
        <f>"88001000"</f>
        <v>88001000</v>
      </c>
      <c r="C6093" t="str">
        <f>"88001842"</f>
        <v>88001842</v>
      </c>
      <c r="D6093">
        <v>89301212</v>
      </c>
      <c r="E6093" t="str">
        <f>"8756085756"</f>
        <v>8756085756</v>
      </c>
      <c r="F6093" s="1">
        <v>45072</v>
      </c>
      <c r="G6093" t="str">
        <f>"89725"</f>
        <v>89725</v>
      </c>
      <c r="H6093">
        <v>1</v>
      </c>
      <c r="I6093">
        <v>2863</v>
      </c>
      <c r="J6093">
        <v>0</v>
      </c>
      <c r="K6093" t="str">
        <f>"809"</f>
        <v>809</v>
      </c>
      <c r="L6093">
        <v>1860.95</v>
      </c>
    </row>
    <row r="6094" spans="1:12" x14ac:dyDescent="0.25">
      <c r="A6094" t="str">
        <f t="shared" si="1100"/>
        <v>89301000</v>
      </c>
      <c r="B6094" t="str">
        <f>"88001000"</f>
        <v>88001000</v>
      </c>
      <c r="C6094" t="str">
        <f>"88001842"</f>
        <v>88001842</v>
      </c>
      <c r="D6094">
        <v>89301212</v>
      </c>
      <c r="E6094" t="str">
        <f>"8756085756"</f>
        <v>8756085756</v>
      </c>
      <c r="F6094" s="1">
        <v>45072</v>
      </c>
      <c r="G6094" t="str">
        <f>"0207746"</f>
        <v>0207746</v>
      </c>
      <c r="H6094">
        <v>0.2</v>
      </c>
      <c r="J6094">
        <v>1727.02</v>
      </c>
      <c r="K6094" t="str">
        <f>"809"</f>
        <v>809</v>
      </c>
      <c r="L6094">
        <v>1727.02</v>
      </c>
    </row>
    <row r="6095" spans="1:12" x14ac:dyDescent="0.25">
      <c r="A6095" t="str">
        <f t="shared" si="1100"/>
        <v>89301000</v>
      </c>
      <c r="B6095" t="str">
        <f>"88001000"</f>
        <v>88001000</v>
      </c>
      <c r="C6095" t="str">
        <f>"88001842"</f>
        <v>88001842</v>
      </c>
      <c r="D6095">
        <v>89301212</v>
      </c>
      <c r="E6095" t="str">
        <f>"8756085756"</f>
        <v>8756085756</v>
      </c>
      <c r="F6095" s="1">
        <v>45072</v>
      </c>
      <c r="G6095" t="str">
        <f>"0234021"</f>
        <v>0234021</v>
      </c>
      <c r="H6095">
        <v>2.5000000000000001E-2</v>
      </c>
      <c r="J6095">
        <v>2.44</v>
      </c>
      <c r="K6095" t="str">
        <f>"809"</f>
        <v>809</v>
      </c>
      <c r="L6095">
        <v>2.44</v>
      </c>
    </row>
    <row r="6096" spans="1:12" x14ac:dyDescent="0.25">
      <c r="A6096" t="str">
        <f t="shared" si="1100"/>
        <v>89301000</v>
      </c>
      <c r="B6096" t="str">
        <f>"44564000"</f>
        <v>44564000</v>
      </c>
      <c r="C6096" t="str">
        <f>"44564004"</f>
        <v>44564004</v>
      </c>
      <c r="D6096">
        <v>89301375</v>
      </c>
      <c r="E6096" t="str">
        <f>"5651011124"</f>
        <v>5651011124</v>
      </c>
      <c r="F6096" s="1">
        <v>45053</v>
      </c>
      <c r="G6096" t="str">
        <f>"87231"</f>
        <v>87231</v>
      </c>
      <c r="H6096">
        <v>9</v>
      </c>
      <c r="I6096">
        <v>3429</v>
      </c>
      <c r="J6096">
        <v>0</v>
      </c>
      <c r="K6096" t="str">
        <f>"807"</f>
        <v>807</v>
      </c>
      <c r="L6096">
        <v>2880.36</v>
      </c>
    </row>
    <row r="6097" spans="1:12" x14ac:dyDescent="0.25">
      <c r="A6097" t="str">
        <f t="shared" si="1100"/>
        <v>89301000</v>
      </c>
      <c r="B6097" t="str">
        <f>"44564000"</f>
        <v>44564000</v>
      </c>
      <c r="C6097" t="str">
        <f>"44564004"</f>
        <v>44564004</v>
      </c>
      <c r="D6097">
        <v>89301375</v>
      </c>
      <c r="E6097" t="str">
        <f>"5651011124"</f>
        <v>5651011124</v>
      </c>
      <c r="F6097" s="1">
        <v>45053</v>
      </c>
      <c r="G6097" t="str">
        <f>"87231"</f>
        <v>87231</v>
      </c>
      <c r="H6097">
        <v>9</v>
      </c>
      <c r="I6097">
        <v>3429</v>
      </c>
      <c r="J6097">
        <v>0</v>
      </c>
      <c r="K6097" t="str">
        <f>"807"</f>
        <v>807</v>
      </c>
      <c r="L6097">
        <v>2880.36</v>
      </c>
    </row>
    <row r="6098" spans="1:12" x14ac:dyDescent="0.25">
      <c r="A6098" t="str">
        <f t="shared" si="1100"/>
        <v>89301000</v>
      </c>
      <c r="B6098" t="str">
        <f>"44564000"</f>
        <v>44564000</v>
      </c>
      <c r="C6098" t="str">
        <f>"44564004"</f>
        <v>44564004</v>
      </c>
      <c r="D6098">
        <v>89301375</v>
      </c>
      <c r="E6098" t="str">
        <f>"5651011124"</f>
        <v>5651011124</v>
      </c>
      <c r="F6098" s="1">
        <v>45053</v>
      </c>
      <c r="G6098" t="str">
        <f>"87231"</f>
        <v>87231</v>
      </c>
      <c r="H6098">
        <v>2</v>
      </c>
      <c r="I6098">
        <v>762</v>
      </c>
      <c r="J6098">
        <v>0</v>
      </c>
      <c r="K6098" t="str">
        <f>"807"</f>
        <v>807</v>
      </c>
      <c r="L6098">
        <v>640.08000000000004</v>
      </c>
    </row>
    <row r="6099" spans="1:12" x14ac:dyDescent="0.25">
      <c r="A6099" t="str">
        <f t="shared" si="1100"/>
        <v>89301000</v>
      </c>
      <c r="B6099" t="str">
        <f>"44564000"</f>
        <v>44564000</v>
      </c>
      <c r="C6099" t="str">
        <f>"44564004"</f>
        <v>44564004</v>
      </c>
      <c r="D6099">
        <v>89301375</v>
      </c>
      <c r="E6099" t="str">
        <f>"5651011124"</f>
        <v>5651011124</v>
      </c>
      <c r="F6099" s="1">
        <v>45053</v>
      </c>
      <c r="G6099" t="str">
        <f>"87613"</f>
        <v>87613</v>
      </c>
      <c r="H6099">
        <v>1</v>
      </c>
      <c r="I6099">
        <v>436</v>
      </c>
      <c r="J6099">
        <v>0</v>
      </c>
      <c r="K6099" t="str">
        <f>"807"</f>
        <v>807</v>
      </c>
      <c r="L6099">
        <v>366.24</v>
      </c>
    </row>
    <row r="6100" spans="1:12" x14ac:dyDescent="0.25">
      <c r="A6100" t="str">
        <f t="shared" si="1100"/>
        <v>89301000</v>
      </c>
      <c r="B6100" t="str">
        <f>"44564000"</f>
        <v>44564000</v>
      </c>
      <c r="C6100" t="str">
        <f>"44564004"</f>
        <v>44564004</v>
      </c>
      <c r="D6100">
        <v>89301375</v>
      </c>
      <c r="E6100" t="str">
        <f>"5651011124"</f>
        <v>5651011124</v>
      </c>
      <c r="F6100" s="1">
        <v>45053</v>
      </c>
      <c r="G6100" t="str">
        <f>"87617"</f>
        <v>87617</v>
      </c>
      <c r="H6100">
        <v>1</v>
      </c>
      <c r="I6100">
        <v>3750</v>
      </c>
      <c r="J6100">
        <v>0</v>
      </c>
      <c r="K6100" t="str">
        <f>"807"</f>
        <v>807</v>
      </c>
      <c r="L6100">
        <v>3150</v>
      </c>
    </row>
    <row r="6101" spans="1:12" x14ac:dyDescent="0.25">
      <c r="A6101" t="str">
        <f t="shared" si="1100"/>
        <v>89301000</v>
      </c>
      <c r="B6101" t="str">
        <f>"85600000"</f>
        <v>85600000</v>
      </c>
      <c r="C6101" t="str">
        <f>"85600421"</f>
        <v>85600421</v>
      </c>
      <c r="D6101">
        <v>89301322</v>
      </c>
      <c r="E6101" t="str">
        <f>"506231072"</f>
        <v>506231072</v>
      </c>
      <c r="F6101" s="1">
        <v>45061</v>
      </c>
      <c r="G6101" t="str">
        <f>"89517"</f>
        <v>89517</v>
      </c>
      <c r="H6101">
        <v>1</v>
      </c>
      <c r="I6101">
        <v>994</v>
      </c>
      <c r="J6101">
        <v>0</v>
      </c>
      <c r="K6101" t="str">
        <f t="shared" ref="K6101:K6110" si="1101">"809"</f>
        <v>809</v>
      </c>
      <c r="L6101">
        <v>1461.18</v>
      </c>
    </row>
    <row r="6102" spans="1:12" x14ac:dyDescent="0.25">
      <c r="A6102" t="str">
        <f t="shared" si="1100"/>
        <v>89301000</v>
      </c>
      <c r="B6102" t="str">
        <f>"85600000"</f>
        <v>85600000</v>
      </c>
      <c r="C6102" t="str">
        <f>"85600421"</f>
        <v>85600421</v>
      </c>
      <c r="D6102">
        <v>89301322</v>
      </c>
      <c r="E6102" t="str">
        <f>"506231072"</f>
        <v>506231072</v>
      </c>
      <c r="F6102" s="1">
        <v>45061</v>
      </c>
      <c r="G6102" t="str">
        <f>"89514"</f>
        <v>89514</v>
      </c>
      <c r="H6102">
        <v>1</v>
      </c>
      <c r="I6102">
        <v>378</v>
      </c>
      <c r="J6102">
        <v>0</v>
      </c>
      <c r="K6102" t="str">
        <f t="shared" si="1101"/>
        <v>809</v>
      </c>
      <c r="L6102">
        <v>555.66</v>
      </c>
    </row>
    <row r="6103" spans="1:12" x14ac:dyDescent="0.25">
      <c r="A6103" t="str">
        <f t="shared" si="1100"/>
        <v>89301000</v>
      </c>
      <c r="B6103" t="str">
        <f>"85600000"</f>
        <v>85600000</v>
      </c>
      <c r="C6103" t="str">
        <f>"85600421"</f>
        <v>85600421</v>
      </c>
      <c r="D6103">
        <v>89301322</v>
      </c>
      <c r="E6103" t="str">
        <f>"506231072"</f>
        <v>506231072</v>
      </c>
      <c r="F6103" s="1">
        <v>45061</v>
      </c>
      <c r="G6103" t="str">
        <f>"89513"</f>
        <v>89513</v>
      </c>
      <c r="H6103">
        <v>1</v>
      </c>
      <c r="I6103">
        <v>378</v>
      </c>
      <c r="J6103">
        <v>0</v>
      </c>
      <c r="K6103" t="str">
        <f t="shared" si="1101"/>
        <v>809</v>
      </c>
      <c r="L6103">
        <v>555.66</v>
      </c>
    </row>
    <row r="6104" spans="1:12" x14ac:dyDescent="0.25">
      <c r="A6104" t="str">
        <f t="shared" si="1100"/>
        <v>89301000</v>
      </c>
      <c r="B6104" t="str">
        <f>"77140000"</f>
        <v>77140000</v>
      </c>
      <c r="C6104" t="str">
        <f>"77140001"</f>
        <v>77140001</v>
      </c>
      <c r="D6104">
        <v>89301212</v>
      </c>
      <c r="E6104" t="str">
        <f>"495301344"</f>
        <v>495301344</v>
      </c>
      <c r="F6104" s="1">
        <v>45061</v>
      </c>
      <c r="G6104" t="str">
        <f>"89513"</f>
        <v>89513</v>
      </c>
      <c r="H6104">
        <v>1</v>
      </c>
      <c r="I6104">
        <v>378</v>
      </c>
      <c r="J6104">
        <v>0</v>
      </c>
      <c r="K6104" t="str">
        <f t="shared" si="1101"/>
        <v>809</v>
      </c>
      <c r="L6104">
        <v>555.66</v>
      </c>
    </row>
    <row r="6105" spans="1:12" x14ac:dyDescent="0.25">
      <c r="A6105" t="str">
        <f t="shared" si="1100"/>
        <v>89301000</v>
      </c>
      <c r="B6105" t="str">
        <f>"77140000"</f>
        <v>77140000</v>
      </c>
      <c r="C6105" t="str">
        <f>"77140001"</f>
        <v>77140001</v>
      </c>
      <c r="D6105">
        <v>89301212</v>
      </c>
      <c r="E6105" t="str">
        <f>"495301344"</f>
        <v>495301344</v>
      </c>
      <c r="F6105" s="1">
        <v>45061</v>
      </c>
      <c r="G6105" t="str">
        <f>"89514"</f>
        <v>89514</v>
      </c>
      <c r="H6105">
        <v>1</v>
      </c>
      <c r="I6105">
        <v>378</v>
      </c>
      <c r="J6105">
        <v>0</v>
      </c>
      <c r="K6105" t="str">
        <f t="shared" si="1101"/>
        <v>809</v>
      </c>
      <c r="L6105">
        <v>555.66</v>
      </c>
    </row>
    <row r="6106" spans="1:12" x14ac:dyDescent="0.25">
      <c r="A6106" t="str">
        <f t="shared" si="1100"/>
        <v>89301000</v>
      </c>
      <c r="B6106" t="str">
        <f>"77140000"</f>
        <v>77140000</v>
      </c>
      <c r="C6106" t="str">
        <f>"77140001"</f>
        <v>77140001</v>
      </c>
      <c r="D6106">
        <v>89301212</v>
      </c>
      <c r="E6106" t="str">
        <f>"495301344"</f>
        <v>495301344</v>
      </c>
      <c r="F6106" s="1">
        <v>45056</v>
      </c>
      <c r="G6106" t="str">
        <f>"89131"</f>
        <v>89131</v>
      </c>
      <c r="H6106">
        <v>1</v>
      </c>
      <c r="I6106">
        <v>190</v>
      </c>
      <c r="J6106">
        <v>0</v>
      </c>
      <c r="K6106" t="str">
        <f t="shared" si="1101"/>
        <v>809</v>
      </c>
      <c r="L6106">
        <v>279.3</v>
      </c>
    </row>
    <row r="6107" spans="1:12" x14ac:dyDescent="0.25">
      <c r="A6107" t="str">
        <f t="shared" si="1100"/>
        <v>89301000</v>
      </c>
      <c r="B6107" t="str">
        <f>"77913000"</f>
        <v>77913000</v>
      </c>
      <c r="C6107" t="str">
        <f>"77913001"</f>
        <v>77913001</v>
      </c>
      <c r="D6107">
        <v>89301212</v>
      </c>
      <c r="E6107" t="str">
        <f>"495301344"</f>
        <v>495301344</v>
      </c>
      <c r="F6107" s="1">
        <v>45056</v>
      </c>
      <c r="G6107" t="str">
        <f>"89180"</f>
        <v>89180</v>
      </c>
      <c r="H6107">
        <v>2</v>
      </c>
      <c r="I6107">
        <v>762</v>
      </c>
      <c r="J6107">
        <v>0</v>
      </c>
      <c r="K6107" t="str">
        <f t="shared" si="1101"/>
        <v>809</v>
      </c>
      <c r="L6107">
        <v>1120.1400000000001</v>
      </c>
    </row>
    <row r="6108" spans="1:12" x14ac:dyDescent="0.25">
      <c r="A6108" t="str">
        <f t="shared" si="1100"/>
        <v>89301000</v>
      </c>
      <c r="B6108" t="str">
        <f>"77913000"</f>
        <v>77913000</v>
      </c>
      <c r="C6108" t="str">
        <f>"77913001"</f>
        <v>77913001</v>
      </c>
      <c r="D6108">
        <v>89301212</v>
      </c>
      <c r="E6108" t="str">
        <f>"495301344"</f>
        <v>495301344</v>
      </c>
      <c r="F6108" s="1">
        <v>45056</v>
      </c>
      <c r="G6108" t="str">
        <f>"89512"</f>
        <v>89512</v>
      </c>
      <c r="H6108">
        <v>1</v>
      </c>
      <c r="I6108">
        <v>283</v>
      </c>
      <c r="J6108">
        <v>0</v>
      </c>
      <c r="K6108" t="str">
        <f t="shared" si="1101"/>
        <v>809</v>
      </c>
      <c r="L6108">
        <v>416.01</v>
      </c>
    </row>
    <row r="6109" spans="1:12" x14ac:dyDescent="0.25">
      <c r="A6109" t="str">
        <f t="shared" si="1100"/>
        <v>89301000</v>
      </c>
      <c r="B6109" t="str">
        <f>"78934000"</f>
        <v>78934000</v>
      </c>
      <c r="C6109" t="str">
        <f>"78934001"</f>
        <v>78934001</v>
      </c>
      <c r="D6109">
        <v>89301172</v>
      </c>
      <c r="E6109" t="str">
        <f>"6860256172"</f>
        <v>6860256172</v>
      </c>
      <c r="F6109" s="1">
        <v>45070</v>
      </c>
      <c r="G6109" t="str">
        <f>"89513"</f>
        <v>89513</v>
      </c>
      <c r="H6109">
        <v>1</v>
      </c>
      <c r="I6109">
        <v>378</v>
      </c>
      <c r="J6109">
        <v>0</v>
      </c>
      <c r="K6109" t="str">
        <f t="shared" si="1101"/>
        <v>809</v>
      </c>
      <c r="L6109">
        <v>555.66</v>
      </c>
    </row>
    <row r="6110" spans="1:12" x14ac:dyDescent="0.25">
      <c r="A6110" t="str">
        <f t="shared" si="1100"/>
        <v>89301000</v>
      </c>
      <c r="B6110" t="str">
        <f>"78934000"</f>
        <v>78934000</v>
      </c>
      <c r="C6110" t="str">
        <f>"78934001"</f>
        <v>78934001</v>
      </c>
      <c r="D6110">
        <v>89301172</v>
      </c>
      <c r="E6110" t="str">
        <f>"6860256172"</f>
        <v>6860256172</v>
      </c>
      <c r="F6110" s="1">
        <v>45070</v>
      </c>
      <c r="G6110" t="str">
        <f>"89514"</f>
        <v>89514</v>
      </c>
      <c r="H6110">
        <v>1</v>
      </c>
      <c r="I6110">
        <v>378</v>
      </c>
      <c r="J6110">
        <v>0</v>
      </c>
      <c r="K6110" t="str">
        <f t="shared" si="1101"/>
        <v>809</v>
      </c>
      <c r="L6110">
        <v>555.66</v>
      </c>
    </row>
    <row r="6111" spans="1:12" x14ac:dyDescent="0.25">
      <c r="A6111" t="str">
        <f t="shared" si="1100"/>
        <v>89301000</v>
      </c>
      <c r="B6111" t="str">
        <f t="shared" ref="B6111:B6142" si="1102">"06539000"</f>
        <v>06539000</v>
      </c>
      <c r="C6111" t="str">
        <f>"06539001"</f>
        <v>06539001</v>
      </c>
      <c r="D6111">
        <v>89301171</v>
      </c>
      <c r="E6111" t="str">
        <f t="shared" ref="E6111:E6152" si="1103">"8411235360"</f>
        <v>8411235360</v>
      </c>
      <c r="F6111" s="1">
        <v>45037</v>
      </c>
      <c r="G6111" t="str">
        <f>"81329"</f>
        <v>81329</v>
      </c>
      <c r="H6111">
        <v>1</v>
      </c>
      <c r="I6111">
        <v>17</v>
      </c>
      <c r="J6111">
        <v>0</v>
      </c>
      <c r="K6111" t="str">
        <f>"801"</f>
        <v>801</v>
      </c>
      <c r="L6111">
        <v>14.28</v>
      </c>
    </row>
    <row r="6112" spans="1:12" x14ac:dyDescent="0.25">
      <c r="A6112" t="str">
        <f t="shared" si="1100"/>
        <v>89301000</v>
      </c>
      <c r="B6112" t="str">
        <f t="shared" si="1102"/>
        <v>06539000</v>
      </c>
      <c r="C6112" t="str">
        <f>"06539001"</f>
        <v>06539001</v>
      </c>
      <c r="D6112">
        <v>89301171</v>
      </c>
      <c r="E6112" t="str">
        <f t="shared" si="1103"/>
        <v>8411235360</v>
      </c>
      <c r="F6112" s="1">
        <v>45037</v>
      </c>
      <c r="G6112" t="str">
        <f>"81331"</f>
        <v>81331</v>
      </c>
      <c r="H6112">
        <v>1</v>
      </c>
      <c r="I6112">
        <v>193</v>
      </c>
      <c r="J6112">
        <v>0</v>
      </c>
      <c r="K6112" t="str">
        <f>"801"</f>
        <v>801</v>
      </c>
      <c r="L6112">
        <v>162.12</v>
      </c>
    </row>
    <row r="6113" spans="1:12" x14ac:dyDescent="0.25">
      <c r="A6113" t="str">
        <f t="shared" si="1100"/>
        <v>89301000</v>
      </c>
      <c r="B6113" t="str">
        <f t="shared" si="1102"/>
        <v>06539000</v>
      </c>
      <c r="C6113" t="str">
        <f t="shared" ref="C6113:C6120" si="1104">"06539002"</f>
        <v>06539002</v>
      </c>
      <c r="D6113">
        <v>89301171</v>
      </c>
      <c r="E6113" t="str">
        <f t="shared" si="1103"/>
        <v>8411235360</v>
      </c>
      <c r="F6113" s="1">
        <v>45037</v>
      </c>
      <c r="G6113" t="str">
        <f t="shared" ref="G6113:G6120" si="1105">"82097"</f>
        <v>82097</v>
      </c>
      <c r="H6113">
        <v>1</v>
      </c>
      <c r="I6113">
        <v>381</v>
      </c>
      <c r="J6113">
        <v>0</v>
      </c>
      <c r="K6113" t="str">
        <f t="shared" ref="K6113:K6120" si="1106">"802"</f>
        <v>802</v>
      </c>
      <c r="L6113">
        <v>369.57</v>
      </c>
    </row>
    <row r="6114" spans="1:12" x14ac:dyDescent="0.25">
      <c r="A6114" t="str">
        <f t="shared" si="1100"/>
        <v>89301000</v>
      </c>
      <c r="B6114" t="str">
        <f t="shared" si="1102"/>
        <v>06539000</v>
      </c>
      <c r="C6114" t="str">
        <f t="shared" si="1104"/>
        <v>06539002</v>
      </c>
      <c r="D6114">
        <v>89301171</v>
      </c>
      <c r="E6114" t="str">
        <f t="shared" si="1103"/>
        <v>8411235360</v>
      </c>
      <c r="F6114" s="1">
        <v>45037</v>
      </c>
      <c r="G6114" t="str">
        <f t="shared" si="1105"/>
        <v>82097</v>
      </c>
      <c r="H6114">
        <v>1</v>
      </c>
      <c r="I6114">
        <v>381</v>
      </c>
      <c r="J6114">
        <v>0</v>
      </c>
      <c r="K6114" t="str">
        <f t="shared" si="1106"/>
        <v>802</v>
      </c>
      <c r="L6114">
        <v>369.57</v>
      </c>
    </row>
    <row r="6115" spans="1:12" x14ac:dyDescent="0.25">
      <c r="A6115" t="str">
        <f t="shared" si="1100"/>
        <v>89301000</v>
      </c>
      <c r="B6115" t="str">
        <f t="shared" si="1102"/>
        <v>06539000</v>
      </c>
      <c r="C6115" t="str">
        <f t="shared" si="1104"/>
        <v>06539002</v>
      </c>
      <c r="D6115">
        <v>89301171</v>
      </c>
      <c r="E6115" t="str">
        <f t="shared" si="1103"/>
        <v>8411235360</v>
      </c>
      <c r="F6115" s="1">
        <v>45037</v>
      </c>
      <c r="G6115" t="str">
        <f t="shared" si="1105"/>
        <v>82097</v>
      </c>
      <c r="H6115">
        <v>1</v>
      </c>
      <c r="I6115">
        <v>381</v>
      </c>
      <c r="J6115">
        <v>0</v>
      </c>
      <c r="K6115" t="str">
        <f t="shared" si="1106"/>
        <v>802</v>
      </c>
      <c r="L6115">
        <v>369.57</v>
      </c>
    </row>
    <row r="6116" spans="1:12" x14ac:dyDescent="0.25">
      <c r="A6116" t="str">
        <f t="shared" si="1100"/>
        <v>89301000</v>
      </c>
      <c r="B6116" t="str">
        <f t="shared" si="1102"/>
        <v>06539000</v>
      </c>
      <c r="C6116" t="str">
        <f t="shared" si="1104"/>
        <v>06539002</v>
      </c>
      <c r="D6116">
        <v>89301171</v>
      </c>
      <c r="E6116" t="str">
        <f t="shared" si="1103"/>
        <v>8411235360</v>
      </c>
      <c r="F6116" s="1">
        <v>45037</v>
      </c>
      <c r="G6116" t="str">
        <f t="shared" si="1105"/>
        <v>82097</v>
      </c>
      <c r="H6116">
        <v>1</v>
      </c>
      <c r="I6116">
        <v>381</v>
      </c>
      <c r="J6116">
        <v>0</v>
      </c>
      <c r="K6116" t="str">
        <f t="shared" si="1106"/>
        <v>802</v>
      </c>
      <c r="L6116">
        <v>369.57</v>
      </c>
    </row>
    <row r="6117" spans="1:12" x14ac:dyDescent="0.25">
      <c r="A6117" t="str">
        <f t="shared" si="1100"/>
        <v>89301000</v>
      </c>
      <c r="B6117" t="str">
        <f t="shared" si="1102"/>
        <v>06539000</v>
      </c>
      <c r="C6117" t="str">
        <f t="shared" si="1104"/>
        <v>06539002</v>
      </c>
      <c r="D6117">
        <v>89301171</v>
      </c>
      <c r="E6117" t="str">
        <f t="shared" si="1103"/>
        <v>8411235360</v>
      </c>
      <c r="F6117" s="1">
        <v>45037</v>
      </c>
      <c r="G6117" t="str">
        <f t="shared" si="1105"/>
        <v>82097</v>
      </c>
      <c r="H6117">
        <v>1</v>
      </c>
      <c r="I6117">
        <v>381</v>
      </c>
      <c r="J6117">
        <v>0</v>
      </c>
      <c r="K6117" t="str">
        <f t="shared" si="1106"/>
        <v>802</v>
      </c>
      <c r="L6117">
        <v>369.57</v>
      </c>
    </row>
    <row r="6118" spans="1:12" x14ac:dyDescent="0.25">
      <c r="A6118" t="str">
        <f t="shared" si="1100"/>
        <v>89301000</v>
      </c>
      <c r="B6118" t="str">
        <f t="shared" si="1102"/>
        <v>06539000</v>
      </c>
      <c r="C6118" t="str">
        <f t="shared" si="1104"/>
        <v>06539002</v>
      </c>
      <c r="D6118">
        <v>89301171</v>
      </c>
      <c r="E6118" t="str">
        <f t="shared" si="1103"/>
        <v>8411235360</v>
      </c>
      <c r="F6118" s="1">
        <v>45037</v>
      </c>
      <c r="G6118" t="str">
        <f t="shared" si="1105"/>
        <v>82097</v>
      </c>
      <c r="H6118">
        <v>1</v>
      </c>
      <c r="I6118">
        <v>381</v>
      </c>
      <c r="J6118">
        <v>0</v>
      </c>
      <c r="K6118" t="str">
        <f t="shared" si="1106"/>
        <v>802</v>
      </c>
      <c r="L6118">
        <v>369.57</v>
      </c>
    </row>
    <row r="6119" spans="1:12" x14ac:dyDescent="0.25">
      <c r="A6119" t="str">
        <f t="shared" si="1100"/>
        <v>89301000</v>
      </c>
      <c r="B6119" t="str">
        <f t="shared" si="1102"/>
        <v>06539000</v>
      </c>
      <c r="C6119" t="str">
        <f t="shared" si="1104"/>
        <v>06539002</v>
      </c>
      <c r="D6119">
        <v>89301171</v>
      </c>
      <c r="E6119" t="str">
        <f t="shared" si="1103"/>
        <v>8411235360</v>
      </c>
      <c r="F6119" s="1">
        <v>45037</v>
      </c>
      <c r="G6119" t="str">
        <f t="shared" si="1105"/>
        <v>82097</v>
      </c>
      <c r="H6119">
        <v>2</v>
      </c>
      <c r="I6119">
        <v>762</v>
      </c>
      <c r="J6119">
        <v>0</v>
      </c>
      <c r="K6119" t="str">
        <f t="shared" si="1106"/>
        <v>802</v>
      </c>
      <c r="L6119">
        <v>739.14</v>
      </c>
    </row>
    <row r="6120" spans="1:12" x14ac:dyDescent="0.25">
      <c r="A6120" t="str">
        <f t="shared" si="1100"/>
        <v>89301000</v>
      </c>
      <c r="B6120" t="str">
        <f t="shared" si="1102"/>
        <v>06539000</v>
      </c>
      <c r="C6120" t="str">
        <f t="shared" si="1104"/>
        <v>06539002</v>
      </c>
      <c r="D6120">
        <v>89301171</v>
      </c>
      <c r="E6120" t="str">
        <f t="shared" si="1103"/>
        <v>8411235360</v>
      </c>
      <c r="F6120" s="1">
        <v>45037</v>
      </c>
      <c r="G6120" t="str">
        <f t="shared" si="1105"/>
        <v>82097</v>
      </c>
      <c r="H6120">
        <v>2</v>
      </c>
      <c r="I6120">
        <v>762</v>
      </c>
      <c r="J6120">
        <v>0</v>
      </c>
      <c r="K6120" t="str">
        <f t="shared" si="1106"/>
        <v>802</v>
      </c>
      <c r="L6120">
        <v>739.14</v>
      </c>
    </row>
    <row r="6121" spans="1:12" x14ac:dyDescent="0.25">
      <c r="A6121" t="str">
        <f t="shared" si="1100"/>
        <v>89301000</v>
      </c>
      <c r="B6121" t="str">
        <f t="shared" si="1102"/>
        <v>06539000</v>
      </c>
      <c r="C6121" t="str">
        <f t="shared" ref="C6121:C6152" si="1107">"06539003"</f>
        <v>06539003</v>
      </c>
      <c r="D6121">
        <v>89301171</v>
      </c>
      <c r="E6121" t="str">
        <f t="shared" si="1103"/>
        <v>8411235360</v>
      </c>
      <c r="F6121" s="1">
        <v>45040</v>
      </c>
      <c r="G6121" t="str">
        <f t="shared" ref="G6121:G6130" si="1108">"91413"</f>
        <v>91413</v>
      </c>
      <c r="H6121">
        <v>1</v>
      </c>
      <c r="I6121">
        <v>868</v>
      </c>
      <c r="J6121">
        <v>0</v>
      </c>
      <c r="K6121" t="str">
        <f t="shared" ref="K6121:K6152" si="1109">"813"</f>
        <v>813</v>
      </c>
      <c r="L6121">
        <v>729.12</v>
      </c>
    </row>
    <row r="6122" spans="1:12" x14ac:dyDescent="0.25">
      <c r="A6122" t="str">
        <f t="shared" si="1100"/>
        <v>89301000</v>
      </c>
      <c r="B6122" t="str">
        <f t="shared" si="1102"/>
        <v>06539000</v>
      </c>
      <c r="C6122" t="str">
        <f t="shared" si="1107"/>
        <v>06539003</v>
      </c>
      <c r="D6122">
        <v>89301171</v>
      </c>
      <c r="E6122" t="str">
        <f t="shared" si="1103"/>
        <v>8411235360</v>
      </c>
      <c r="F6122" s="1">
        <v>45040</v>
      </c>
      <c r="G6122" t="str">
        <f t="shared" si="1108"/>
        <v>91413</v>
      </c>
      <c r="H6122">
        <v>1</v>
      </c>
      <c r="I6122">
        <v>868</v>
      </c>
      <c r="J6122">
        <v>0</v>
      </c>
      <c r="K6122" t="str">
        <f t="shared" si="1109"/>
        <v>813</v>
      </c>
      <c r="L6122">
        <v>729.12</v>
      </c>
    </row>
    <row r="6123" spans="1:12" x14ac:dyDescent="0.25">
      <c r="A6123" t="str">
        <f t="shared" si="1100"/>
        <v>89301000</v>
      </c>
      <c r="B6123" t="str">
        <f t="shared" si="1102"/>
        <v>06539000</v>
      </c>
      <c r="C6123" t="str">
        <f t="shared" si="1107"/>
        <v>06539003</v>
      </c>
      <c r="D6123">
        <v>89301171</v>
      </c>
      <c r="E6123" t="str">
        <f t="shared" si="1103"/>
        <v>8411235360</v>
      </c>
      <c r="F6123" s="1">
        <v>45056</v>
      </c>
      <c r="G6123" t="str">
        <f t="shared" si="1108"/>
        <v>91413</v>
      </c>
      <c r="H6123">
        <v>1</v>
      </c>
      <c r="I6123">
        <v>868</v>
      </c>
      <c r="J6123">
        <v>0</v>
      </c>
      <c r="K6123" t="str">
        <f t="shared" si="1109"/>
        <v>813</v>
      </c>
      <c r="L6123">
        <v>729.12</v>
      </c>
    </row>
    <row r="6124" spans="1:12" x14ac:dyDescent="0.25">
      <c r="A6124" t="str">
        <f t="shared" si="1100"/>
        <v>89301000</v>
      </c>
      <c r="B6124" t="str">
        <f t="shared" si="1102"/>
        <v>06539000</v>
      </c>
      <c r="C6124" t="str">
        <f t="shared" si="1107"/>
        <v>06539003</v>
      </c>
      <c r="D6124">
        <v>89301171</v>
      </c>
      <c r="E6124" t="str">
        <f t="shared" si="1103"/>
        <v>8411235360</v>
      </c>
      <c r="F6124" s="1">
        <v>45056</v>
      </c>
      <c r="G6124" t="str">
        <f t="shared" si="1108"/>
        <v>91413</v>
      </c>
      <c r="H6124">
        <v>1</v>
      </c>
      <c r="I6124">
        <v>868</v>
      </c>
      <c r="J6124">
        <v>0</v>
      </c>
      <c r="K6124" t="str">
        <f t="shared" si="1109"/>
        <v>813</v>
      </c>
      <c r="L6124">
        <v>729.12</v>
      </c>
    </row>
    <row r="6125" spans="1:12" x14ac:dyDescent="0.25">
      <c r="A6125" t="str">
        <f t="shared" si="1100"/>
        <v>89301000</v>
      </c>
      <c r="B6125" t="str">
        <f t="shared" si="1102"/>
        <v>06539000</v>
      </c>
      <c r="C6125" t="str">
        <f t="shared" si="1107"/>
        <v>06539003</v>
      </c>
      <c r="D6125">
        <v>89301171</v>
      </c>
      <c r="E6125" t="str">
        <f t="shared" si="1103"/>
        <v>8411235360</v>
      </c>
      <c r="F6125" s="1">
        <v>45051</v>
      </c>
      <c r="G6125" t="str">
        <f t="shared" si="1108"/>
        <v>91413</v>
      </c>
      <c r="H6125">
        <v>1</v>
      </c>
      <c r="I6125">
        <v>868</v>
      </c>
      <c r="J6125">
        <v>0</v>
      </c>
      <c r="K6125" t="str">
        <f t="shared" si="1109"/>
        <v>813</v>
      </c>
      <c r="L6125">
        <v>729.12</v>
      </c>
    </row>
    <row r="6126" spans="1:12" x14ac:dyDescent="0.25">
      <c r="A6126" t="str">
        <f t="shared" si="1100"/>
        <v>89301000</v>
      </c>
      <c r="B6126" t="str">
        <f t="shared" si="1102"/>
        <v>06539000</v>
      </c>
      <c r="C6126" t="str">
        <f t="shared" si="1107"/>
        <v>06539003</v>
      </c>
      <c r="D6126">
        <v>89301171</v>
      </c>
      <c r="E6126" t="str">
        <f t="shared" si="1103"/>
        <v>8411235360</v>
      </c>
      <c r="F6126" s="1">
        <v>45051</v>
      </c>
      <c r="G6126" t="str">
        <f t="shared" si="1108"/>
        <v>91413</v>
      </c>
      <c r="H6126">
        <v>1</v>
      </c>
      <c r="I6126">
        <v>868</v>
      </c>
      <c r="J6126">
        <v>0</v>
      </c>
      <c r="K6126" t="str">
        <f t="shared" si="1109"/>
        <v>813</v>
      </c>
      <c r="L6126">
        <v>729.12</v>
      </c>
    </row>
    <row r="6127" spans="1:12" x14ac:dyDescent="0.25">
      <c r="A6127" t="str">
        <f t="shared" si="1100"/>
        <v>89301000</v>
      </c>
      <c r="B6127" t="str">
        <f t="shared" si="1102"/>
        <v>06539000</v>
      </c>
      <c r="C6127" t="str">
        <f t="shared" si="1107"/>
        <v>06539003</v>
      </c>
      <c r="D6127">
        <v>89301171</v>
      </c>
      <c r="E6127" t="str">
        <f t="shared" si="1103"/>
        <v>8411235360</v>
      </c>
      <c r="F6127" s="1">
        <v>45056</v>
      </c>
      <c r="G6127" t="str">
        <f t="shared" si="1108"/>
        <v>91413</v>
      </c>
      <c r="H6127">
        <v>1</v>
      </c>
      <c r="I6127">
        <v>868</v>
      </c>
      <c r="J6127">
        <v>0</v>
      </c>
      <c r="K6127" t="str">
        <f t="shared" si="1109"/>
        <v>813</v>
      </c>
      <c r="L6127">
        <v>729.12</v>
      </c>
    </row>
    <row r="6128" spans="1:12" x14ac:dyDescent="0.25">
      <c r="A6128" t="str">
        <f t="shared" si="1100"/>
        <v>89301000</v>
      </c>
      <c r="B6128" t="str">
        <f t="shared" si="1102"/>
        <v>06539000</v>
      </c>
      <c r="C6128" t="str">
        <f t="shared" si="1107"/>
        <v>06539003</v>
      </c>
      <c r="D6128">
        <v>89301171</v>
      </c>
      <c r="E6128" t="str">
        <f t="shared" si="1103"/>
        <v>8411235360</v>
      </c>
      <c r="F6128" s="1">
        <v>45056</v>
      </c>
      <c r="G6128" t="str">
        <f t="shared" si="1108"/>
        <v>91413</v>
      </c>
      <c r="H6128">
        <v>1</v>
      </c>
      <c r="I6128">
        <v>868</v>
      </c>
      <c r="J6128">
        <v>0</v>
      </c>
      <c r="K6128" t="str">
        <f t="shared" si="1109"/>
        <v>813</v>
      </c>
      <c r="L6128">
        <v>729.12</v>
      </c>
    </row>
    <row r="6129" spans="1:12" x14ac:dyDescent="0.25">
      <c r="A6129" t="str">
        <f t="shared" si="1100"/>
        <v>89301000</v>
      </c>
      <c r="B6129" t="str">
        <f t="shared" si="1102"/>
        <v>06539000</v>
      </c>
      <c r="C6129" t="str">
        <f t="shared" si="1107"/>
        <v>06539003</v>
      </c>
      <c r="D6129">
        <v>89301171</v>
      </c>
      <c r="E6129" t="str">
        <f t="shared" si="1103"/>
        <v>8411235360</v>
      </c>
      <c r="F6129" s="1">
        <v>45056</v>
      </c>
      <c r="G6129" t="str">
        <f t="shared" si="1108"/>
        <v>91413</v>
      </c>
      <c r="H6129">
        <v>1</v>
      </c>
      <c r="I6129">
        <v>868</v>
      </c>
      <c r="J6129">
        <v>0</v>
      </c>
      <c r="K6129" t="str">
        <f t="shared" si="1109"/>
        <v>813</v>
      </c>
      <c r="L6129">
        <v>729.12</v>
      </c>
    </row>
    <row r="6130" spans="1:12" x14ac:dyDescent="0.25">
      <c r="A6130" t="str">
        <f t="shared" si="1100"/>
        <v>89301000</v>
      </c>
      <c r="B6130" t="str">
        <f t="shared" si="1102"/>
        <v>06539000</v>
      </c>
      <c r="C6130" t="str">
        <f t="shared" si="1107"/>
        <v>06539003</v>
      </c>
      <c r="D6130">
        <v>89301171</v>
      </c>
      <c r="E6130" t="str">
        <f t="shared" si="1103"/>
        <v>8411235360</v>
      </c>
      <c r="F6130" s="1">
        <v>45056</v>
      </c>
      <c r="G6130" t="str">
        <f t="shared" si="1108"/>
        <v>91413</v>
      </c>
      <c r="H6130">
        <v>1</v>
      </c>
      <c r="I6130">
        <v>868</v>
      </c>
      <c r="J6130">
        <v>0</v>
      </c>
      <c r="K6130" t="str">
        <f t="shared" si="1109"/>
        <v>813</v>
      </c>
      <c r="L6130">
        <v>729.12</v>
      </c>
    </row>
    <row r="6131" spans="1:12" x14ac:dyDescent="0.25">
      <c r="A6131" t="str">
        <f t="shared" si="1100"/>
        <v>89301000</v>
      </c>
      <c r="B6131" t="str">
        <f t="shared" si="1102"/>
        <v>06539000</v>
      </c>
      <c r="C6131" t="str">
        <f t="shared" si="1107"/>
        <v>06539003</v>
      </c>
      <c r="D6131">
        <v>89301171</v>
      </c>
      <c r="E6131" t="str">
        <f t="shared" si="1103"/>
        <v>8411235360</v>
      </c>
      <c r="F6131" s="1">
        <v>45037</v>
      </c>
      <c r="G6131" t="str">
        <f t="shared" ref="G6131:G6137" si="1110">"91197"</f>
        <v>91197</v>
      </c>
      <c r="H6131">
        <v>1</v>
      </c>
      <c r="I6131">
        <v>1048</v>
      </c>
      <c r="J6131">
        <v>0</v>
      </c>
      <c r="K6131" t="str">
        <f t="shared" si="1109"/>
        <v>813</v>
      </c>
      <c r="L6131">
        <v>880.32</v>
      </c>
    </row>
    <row r="6132" spans="1:12" x14ac:dyDescent="0.25">
      <c r="A6132" t="str">
        <f t="shared" si="1100"/>
        <v>89301000</v>
      </c>
      <c r="B6132" t="str">
        <f t="shared" si="1102"/>
        <v>06539000</v>
      </c>
      <c r="C6132" t="str">
        <f t="shared" si="1107"/>
        <v>06539003</v>
      </c>
      <c r="D6132">
        <v>89301171</v>
      </c>
      <c r="E6132" t="str">
        <f t="shared" si="1103"/>
        <v>8411235360</v>
      </c>
      <c r="F6132" s="1">
        <v>45040</v>
      </c>
      <c r="G6132" t="str">
        <f t="shared" si="1110"/>
        <v>91197</v>
      </c>
      <c r="H6132">
        <v>1</v>
      </c>
      <c r="I6132">
        <v>1048</v>
      </c>
      <c r="J6132">
        <v>0</v>
      </c>
      <c r="K6132" t="str">
        <f t="shared" si="1109"/>
        <v>813</v>
      </c>
      <c r="L6132">
        <v>880.32</v>
      </c>
    </row>
    <row r="6133" spans="1:12" x14ac:dyDescent="0.25">
      <c r="A6133" t="str">
        <f t="shared" si="1100"/>
        <v>89301000</v>
      </c>
      <c r="B6133" t="str">
        <f t="shared" si="1102"/>
        <v>06539000</v>
      </c>
      <c r="C6133" t="str">
        <f t="shared" si="1107"/>
        <v>06539003</v>
      </c>
      <c r="D6133">
        <v>89301171</v>
      </c>
      <c r="E6133" t="str">
        <f t="shared" si="1103"/>
        <v>8411235360</v>
      </c>
      <c r="F6133" s="1">
        <v>45040</v>
      </c>
      <c r="G6133" t="str">
        <f t="shared" si="1110"/>
        <v>91197</v>
      </c>
      <c r="H6133">
        <v>1</v>
      </c>
      <c r="I6133">
        <v>1048</v>
      </c>
      <c r="J6133">
        <v>0</v>
      </c>
      <c r="K6133" t="str">
        <f t="shared" si="1109"/>
        <v>813</v>
      </c>
      <c r="L6133">
        <v>880.32</v>
      </c>
    </row>
    <row r="6134" spans="1:12" x14ac:dyDescent="0.25">
      <c r="A6134" t="str">
        <f t="shared" si="1100"/>
        <v>89301000</v>
      </c>
      <c r="B6134" t="str">
        <f t="shared" si="1102"/>
        <v>06539000</v>
      </c>
      <c r="C6134" t="str">
        <f t="shared" si="1107"/>
        <v>06539003</v>
      </c>
      <c r="D6134">
        <v>89301171</v>
      </c>
      <c r="E6134" t="str">
        <f t="shared" si="1103"/>
        <v>8411235360</v>
      </c>
      <c r="F6134" s="1">
        <v>45039</v>
      </c>
      <c r="G6134" t="str">
        <f t="shared" si="1110"/>
        <v>91197</v>
      </c>
      <c r="H6134">
        <v>1</v>
      </c>
      <c r="I6134">
        <v>1048</v>
      </c>
      <c r="J6134">
        <v>0</v>
      </c>
      <c r="K6134" t="str">
        <f t="shared" si="1109"/>
        <v>813</v>
      </c>
      <c r="L6134">
        <v>880.32</v>
      </c>
    </row>
    <row r="6135" spans="1:12" x14ac:dyDescent="0.25">
      <c r="A6135" t="str">
        <f t="shared" si="1100"/>
        <v>89301000</v>
      </c>
      <c r="B6135" t="str">
        <f t="shared" si="1102"/>
        <v>06539000</v>
      </c>
      <c r="C6135" t="str">
        <f t="shared" si="1107"/>
        <v>06539003</v>
      </c>
      <c r="D6135">
        <v>89301171</v>
      </c>
      <c r="E6135" t="str">
        <f t="shared" si="1103"/>
        <v>8411235360</v>
      </c>
      <c r="F6135" s="1">
        <v>45039</v>
      </c>
      <c r="G6135" t="str">
        <f t="shared" si="1110"/>
        <v>91197</v>
      </c>
      <c r="H6135">
        <v>1</v>
      </c>
      <c r="I6135">
        <v>1048</v>
      </c>
      <c r="J6135">
        <v>0</v>
      </c>
      <c r="K6135" t="str">
        <f t="shared" si="1109"/>
        <v>813</v>
      </c>
      <c r="L6135">
        <v>880.32</v>
      </c>
    </row>
    <row r="6136" spans="1:12" x14ac:dyDescent="0.25">
      <c r="A6136" t="str">
        <f t="shared" si="1100"/>
        <v>89301000</v>
      </c>
      <c r="B6136" t="str">
        <f t="shared" si="1102"/>
        <v>06539000</v>
      </c>
      <c r="C6136" t="str">
        <f t="shared" si="1107"/>
        <v>06539003</v>
      </c>
      <c r="D6136">
        <v>89301171</v>
      </c>
      <c r="E6136" t="str">
        <f t="shared" si="1103"/>
        <v>8411235360</v>
      </c>
      <c r="F6136" s="1">
        <v>45038</v>
      </c>
      <c r="G6136" t="str">
        <f t="shared" si="1110"/>
        <v>91197</v>
      </c>
      <c r="H6136">
        <v>1</v>
      </c>
      <c r="I6136">
        <v>1048</v>
      </c>
      <c r="J6136">
        <v>0</v>
      </c>
      <c r="K6136" t="str">
        <f t="shared" si="1109"/>
        <v>813</v>
      </c>
      <c r="L6136">
        <v>880.32</v>
      </c>
    </row>
    <row r="6137" spans="1:12" x14ac:dyDescent="0.25">
      <c r="A6137" t="str">
        <f t="shared" si="1100"/>
        <v>89301000</v>
      </c>
      <c r="B6137" t="str">
        <f t="shared" si="1102"/>
        <v>06539000</v>
      </c>
      <c r="C6137" t="str">
        <f t="shared" si="1107"/>
        <v>06539003</v>
      </c>
      <c r="D6137">
        <v>89301171</v>
      </c>
      <c r="E6137" t="str">
        <f t="shared" si="1103"/>
        <v>8411235360</v>
      </c>
      <c r="F6137" s="1">
        <v>45038</v>
      </c>
      <c r="G6137" t="str">
        <f t="shared" si="1110"/>
        <v>91197</v>
      </c>
      <c r="H6137">
        <v>1</v>
      </c>
      <c r="I6137">
        <v>1048</v>
      </c>
      <c r="J6137">
        <v>0</v>
      </c>
      <c r="K6137" t="str">
        <f t="shared" si="1109"/>
        <v>813</v>
      </c>
      <c r="L6137">
        <v>880.32</v>
      </c>
    </row>
    <row r="6138" spans="1:12" x14ac:dyDescent="0.25">
      <c r="A6138" t="str">
        <f t="shared" si="1100"/>
        <v>89301000</v>
      </c>
      <c r="B6138" t="str">
        <f t="shared" si="1102"/>
        <v>06539000</v>
      </c>
      <c r="C6138" t="str">
        <f t="shared" si="1107"/>
        <v>06539003</v>
      </c>
      <c r="D6138">
        <v>89301171</v>
      </c>
      <c r="E6138" t="str">
        <f t="shared" si="1103"/>
        <v>8411235360</v>
      </c>
      <c r="F6138" s="1">
        <v>45041</v>
      </c>
      <c r="G6138" t="str">
        <f>"91329"</f>
        <v>91329</v>
      </c>
      <c r="H6138">
        <v>2</v>
      </c>
      <c r="I6138">
        <v>436</v>
      </c>
      <c r="J6138">
        <v>0</v>
      </c>
      <c r="K6138" t="str">
        <f t="shared" si="1109"/>
        <v>813</v>
      </c>
      <c r="L6138">
        <v>366.24</v>
      </c>
    </row>
    <row r="6139" spans="1:12" x14ac:dyDescent="0.25">
      <c r="A6139" t="str">
        <f t="shared" si="1100"/>
        <v>89301000</v>
      </c>
      <c r="B6139" t="str">
        <f t="shared" si="1102"/>
        <v>06539000</v>
      </c>
      <c r="C6139" t="str">
        <f t="shared" si="1107"/>
        <v>06539003</v>
      </c>
      <c r="D6139">
        <v>89301171</v>
      </c>
      <c r="E6139" t="str">
        <f t="shared" si="1103"/>
        <v>8411235360</v>
      </c>
      <c r="F6139" s="1">
        <v>45041</v>
      </c>
      <c r="G6139" t="str">
        <f>"91329"</f>
        <v>91329</v>
      </c>
      <c r="H6139">
        <v>2</v>
      </c>
      <c r="I6139">
        <v>436</v>
      </c>
      <c r="J6139">
        <v>0</v>
      </c>
      <c r="K6139" t="str">
        <f t="shared" si="1109"/>
        <v>813</v>
      </c>
      <c r="L6139">
        <v>366.24</v>
      </c>
    </row>
    <row r="6140" spans="1:12" x14ac:dyDescent="0.25">
      <c r="A6140" t="str">
        <f t="shared" si="1100"/>
        <v>89301000</v>
      </c>
      <c r="B6140" t="str">
        <f t="shared" si="1102"/>
        <v>06539000</v>
      </c>
      <c r="C6140" t="str">
        <f t="shared" si="1107"/>
        <v>06539003</v>
      </c>
      <c r="D6140">
        <v>89301171</v>
      </c>
      <c r="E6140" t="str">
        <f t="shared" si="1103"/>
        <v>8411235360</v>
      </c>
      <c r="F6140" s="1">
        <v>45041</v>
      </c>
      <c r="G6140" t="str">
        <f>"91329"</f>
        <v>91329</v>
      </c>
      <c r="H6140">
        <v>2</v>
      </c>
      <c r="I6140">
        <v>436</v>
      </c>
      <c r="J6140">
        <v>0</v>
      </c>
      <c r="K6140" t="str">
        <f t="shared" si="1109"/>
        <v>813</v>
      </c>
      <c r="L6140">
        <v>366.24</v>
      </c>
    </row>
    <row r="6141" spans="1:12" x14ac:dyDescent="0.25">
      <c r="A6141" t="str">
        <f t="shared" si="1100"/>
        <v>89301000</v>
      </c>
      <c r="B6141" t="str">
        <f t="shared" si="1102"/>
        <v>06539000</v>
      </c>
      <c r="C6141" t="str">
        <f t="shared" si="1107"/>
        <v>06539003</v>
      </c>
      <c r="D6141">
        <v>89301171</v>
      </c>
      <c r="E6141" t="str">
        <f t="shared" si="1103"/>
        <v>8411235360</v>
      </c>
      <c r="F6141" s="1">
        <v>45041</v>
      </c>
      <c r="G6141" t="str">
        <f>"91329"</f>
        <v>91329</v>
      </c>
      <c r="H6141">
        <v>2</v>
      </c>
      <c r="I6141">
        <v>436</v>
      </c>
      <c r="J6141">
        <v>0</v>
      </c>
      <c r="K6141" t="str">
        <f t="shared" si="1109"/>
        <v>813</v>
      </c>
      <c r="L6141">
        <v>366.24</v>
      </c>
    </row>
    <row r="6142" spans="1:12" x14ac:dyDescent="0.25">
      <c r="A6142" t="str">
        <f t="shared" si="1100"/>
        <v>89301000</v>
      </c>
      <c r="B6142" t="str">
        <f t="shared" si="1102"/>
        <v>06539000</v>
      </c>
      <c r="C6142" t="str">
        <f t="shared" si="1107"/>
        <v>06539003</v>
      </c>
      <c r="D6142">
        <v>89301171</v>
      </c>
      <c r="E6142" t="str">
        <f t="shared" si="1103"/>
        <v>8411235360</v>
      </c>
      <c r="F6142" s="1">
        <v>45037</v>
      </c>
      <c r="G6142" t="str">
        <f>"91129"</f>
        <v>91129</v>
      </c>
      <c r="H6142">
        <v>1</v>
      </c>
      <c r="I6142">
        <v>175</v>
      </c>
      <c r="J6142">
        <v>0</v>
      </c>
      <c r="K6142" t="str">
        <f t="shared" si="1109"/>
        <v>813</v>
      </c>
      <c r="L6142">
        <v>147</v>
      </c>
    </row>
    <row r="6143" spans="1:12" x14ac:dyDescent="0.25">
      <c r="A6143" t="str">
        <f t="shared" si="1100"/>
        <v>89301000</v>
      </c>
      <c r="B6143" t="str">
        <f t="shared" ref="B6143:B6174" si="1111">"06539000"</f>
        <v>06539000</v>
      </c>
      <c r="C6143" t="str">
        <f t="shared" si="1107"/>
        <v>06539003</v>
      </c>
      <c r="D6143">
        <v>89301171</v>
      </c>
      <c r="E6143" t="str">
        <f t="shared" si="1103"/>
        <v>8411235360</v>
      </c>
      <c r="F6143" s="1">
        <v>45037</v>
      </c>
      <c r="G6143" t="str">
        <f>"91131"</f>
        <v>91131</v>
      </c>
      <c r="H6143">
        <v>1</v>
      </c>
      <c r="I6143">
        <v>171</v>
      </c>
      <c r="J6143">
        <v>0</v>
      </c>
      <c r="K6143" t="str">
        <f t="shared" si="1109"/>
        <v>813</v>
      </c>
      <c r="L6143">
        <v>143.63999999999999</v>
      </c>
    </row>
    <row r="6144" spans="1:12" x14ac:dyDescent="0.25">
      <c r="A6144" t="str">
        <f t="shared" si="1100"/>
        <v>89301000</v>
      </c>
      <c r="B6144" t="str">
        <f t="shared" si="1111"/>
        <v>06539000</v>
      </c>
      <c r="C6144" t="str">
        <f t="shared" si="1107"/>
        <v>06539003</v>
      </c>
      <c r="D6144">
        <v>89301171</v>
      </c>
      <c r="E6144" t="str">
        <f t="shared" si="1103"/>
        <v>8411235360</v>
      </c>
      <c r="F6144" s="1">
        <v>45037</v>
      </c>
      <c r="G6144" t="str">
        <f>"91133"</f>
        <v>91133</v>
      </c>
      <c r="H6144">
        <v>1</v>
      </c>
      <c r="I6144">
        <v>177</v>
      </c>
      <c r="J6144">
        <v>0</v>
      </c>
      <c r="K6144" t="str">
        <f t="shared" si="1109"/>
        <v>813</v>
      </c>
      <c r="L6144">
        <v>148.68</v>
      </c>
    </row>
    <row r="6145" spans="1:12" x14ac:dyDescent="0.25">
      <c r="A6145" t="str">
        <f t="shared" si="1100"/>
        <v>89301000</v>
      </c>
      <c r="B6145" t="str">
        <f t="shared" si="1111"/>
        <v>06539000</v>
      </c>
      <c r="C6145" t="str">
        <f t="shared" si="1107"/>
        <v>06539003</v>
      </c>
      <c r="D6145">
        <v>89301171</v>
      </c>
      <c r="E6145" t="str">
        <f t="shared" si="1103"/>
        <v>8411235360</v>
      </c>
      <c r="F6145" s="1">
        <v>45037</v>
      </c>
      <c r="G6145" t="str">
        <f>"91171"</f>
        <v>91171</v>
      </c>
      <c r="H6145">
        <v>1</v>
      </c>
      <c r="I6145">
        <v>362</v>
      </c>
      <c r="J6145">
        <v>0</v>
      </c>
      <c r="K6145" t="str">
        <f t="shared" si="1109"/>
        <v>813</v>
      </c>
      <c r="L6145">
        <v>304.08</v>
      </c>
    </row>
    <row r="6146" spans="1:12" x14ac:dyDescent="0.25">
      <c r="A6146" t="str">
        <f t="shared" ref="A6146:A6209" si="1112">"89301000"</f>
        <v>89301000</v>
      </c>
      <c r="B6146" t="str">
        <f t="shared" si="1111"/>
        <v>06539000</v>
      </c>
      <c r="C6146" t="str">
        <f t="shared" si="1107"/>
        <v>06539003</v>
      </c>
      <c r="D6146">
        <v>89301171</v>
      </c>
      <c r="E6146" t="str">
        <f t="shared" si="1103"/>
        <v>8411235360</v>
      </c>
      <c r="F6146" s="1">
        <v>45037</v>
      </c>
      <c r="G6146" t="str">
        <f>"91173"</f>
        <v>91173</v>
      </c>
      <c r="H6146">
        <v>1</v>
      </c>
      <c r="I6146">
        <v>337</v>
      </c>
      <c r="J6146">
        <v>0</v>
      </c>
      <c r="K6146" t="str">
        <f t="shared" si="1109"/>
        <v>813</v>
      </c>
      <c r="L6146">
        <v>283.08</v>
      </c>
    </row>
    <row r="6147" spans="1:12" x14ac:dyDescent="0.25">
      <c r="A6147" t="str">
        <f t="shared" si="1112"/>
        <v>89301000</v>
      </c>
      <c r="B6147" t="str">
        <f t="shared" si="1111"/>
        <v>06539000</v>
      </c>
      <c r="C6147" t="str">
        <f t="shared" si="1107"/>
        <v>06539003</v>
      </c>
      <c r="D6147">
        <v>89301171</v>
      </c>
      <c r="E6147" t="str">
        <f t="shared" si="1103"/>
        <v>8411235360</v>
      </c>
      <c r="F6147" s="1">
        <v>45037</v>
      </c>
      <c r="G6147" t="str">
        <f>"91175"</f>
        <v>91175</v>
      </c>
      <c r="H6147">
        <v>1</v>
      </c>
      <c r="I6147">
        <v>362</v>
      </c>
      <c r="J6147">
        <v>0</v>
      </c>
      <c r="K6147" t="str">
        <f t="shared" si="1109"/>
        <v>813</v>
      </c>
      <c r="L6147">
        <v>304.08</v>
      </c>
    </row>
    <row r="6148" spans="1:12" x14ac:dyDescent="0.25">
      <c r="A6148" t="str">
        <f t="shared" si="1112"/>
        <v>89301000</v>
      </c>
      <c r="B6148" t="str">
        <f t="shared" si="1111"/>
        <v>06539000</v>
      </c>
      <c r="C6148" t="str">
        <f t="shared" si="1107"/>
        <v>06539003</v>
      </c>
      <c r="D6148">
        <v>89301171</v>
      </c>
      <c r="E6148" t="str">
        <f t="shared" si="1103"/>
        <v>8411235360</v>
      </c>
      <c r="F6148" s="1">
        <v>45038</v>
      </c>
      <c r="G6148" t="str">
        <f>"91167"</f>
        <v>91167</v>
      </c>
      <c r="H6148">
        <v>1</v>
      </c>
      <c r="I6148">
        <v>426</v>
      </c>
      <c r="J6148">
        <v>0</v>
      </c>
      <c r="K6148" t="str">
        <f t="shared" si="1109"/>
        <v>813</v>
      </c>
      <c r="L6148">
        <v>357.84</v>
      </c>
    </row>
    <row r="6149" spans="1:12" x14ac:dyDescent="0.25">
      <c r="A6149" t="str">
        <f t="shared" si="1112"/>
        <v>89301000</v>
      </c>
      <c r="B6149" t="str">
        <f t="shared" si="1111"/>
        <v>06539000</v>
      </c>
      <c r="C6149" t="str">
        <f t="shared" si="1107"/>
        <v>06539003</v>
      </c>
      <c r="D6149">
        <v>89301171</v>
      </c>
      <c r="E6149" t="str">
        <f t="shared" si="1103"/>
        <v>8411235360</v>
      </c>
      <c r="F6149" s="1">
        <v>45038</v>
      </c>
      <c r="G6149" t="str">
        <f>"91169"</f>
        <v>91169</v>
      </c>
      <c r="H6149">
        <v>1</v>
      </c>
      <c r="I6149">
        <v>426</v>
      </c>
      <c r="J6149">
        <v>0</v>
      </c>
      <c r="K6149" t="str">
        <f t="shared" si="1109"/>
        <v>813</v>
      </c>
      <c r="L6149">
        <v>357.84</v>
      </c>
    </row>
    <row r="6150" spans="1:12" x14ac:dyDescent="0.25">
      <c r="A6150" t="str">
        <f t="shared" si="1112"/>
        <v>89301000</v>
      </c>
      <c r="B6150" t="str">
        <f t="shared" si="1111"/>
        <v>06539000</v>
      </c>
      <c r="C6150" t="str">
        <f t="shared" si="1107"/>
        <v>06539003</v>
      </c>
      <c r="D6150">
        <v>89301171</v>
      </c>
      <c r="E6150" t="str">
        <f t="shared" si="1103"/>
        <v>8411235360</v>
      </c>
      <c r="F6150" s="1">
        <v>45037</v>
      </c>
      <c r="G6150" t="str">
        <f>"91167"</f>
        <v>91167</v>
      </c>
      <c r="H6150">
        <v>1</v>
      </c>
      <c r="I6150">
        <v>426</v>
      </c>
      <c r="J6150">
        <v>0</v>
      </c>
      <c r="K6150" t="str">
        <f t="shared" si="1109"/>
        <v>813</v>
      </c>
      <c r="L6150">
        <v>357.84</v>
      </c>
    </row>
    <row r="6151" spans="1:12" x14ac:dyDescent="0.25">
      <c r="A6151" t="str">
        <f t="shared" si="1112"/>
        <v>89301000</v>
      </c>
      <c r="B6151" t="str">
        <f t="shared" si="1111"/>
        <v>06539000</v>
      </c>
      <c r="C6151" t="str">
        <f t="shared" si="1107"/>
        <v>06539003</v>
      </c>
      <c r="D6151">
        <v>89301171</v>
      </c>
      <c r="E6151" t="str">
        <f t="shared" si="1103"/>
        <v>8411235360</v>
      </c>
      <c r="F6151" s="1">
        <v>45037</v>
      </c>
      <c r="G6151" t="str">
        <f>"91169"</f>
        <v>91169</v>
      </c>
      <c r="H6151">
        <v>1</v>
      </c>
      <c r="I6151">
        <v>426</v>
      </c>
      <c r="J6151">
        <v>0</v>
      </c>
      <c r="K6151" t="str">
        <f t="shared" si="1109"/>
        <v>813</v>
      </c>
      <c r="L6151">
        <v>357.84</v>
      </c>
    </row>
    <row r="6152" spans="1:12" x14ac:dyDescent="0.25">
      <c r="A6152" t="str">
        <f t="shared" si="1112"/>
        <v>89301000</v>
      </c>
      <c r="B6152" t="str">
        <f t="shared" si="1111"/>
        <v>06539000</v>
      </c>
      <c r="C6152" t="str">
        <f t="shared" si="1107"/>
        <v>06539003</v>
      </c>
      <c r="D6152">
        <v>89301171</v>
      </c>
      <c r="E6152" t="str">
        <f t="shared" si="1103"/>
        <v>8411235360</v>
      </c>
      <c r="F6152" s="1">
        <v>45041</v>
      </c>
      <c r="G6152" t="str">
        <f>"91475"</f>
        <v>91475</v>
      </c>
      <c r="H6152">
        <v>1</v>
      </c>
      <c r="I6152">
        <v>213</v>
      </c>
      <c r="J6152">
        <v>0</v>
      </c>
      <c r="K6152" t="str">
        <f t="shared" si="1109"/>
        <v>813</v>
      </c>
      <c r="L6152">
        <v>178.92</v>
      </c>
    </row>
    <row r="6153" spans="1:12" x14ac:dyDescent="0.25">
      <c r="A6153" t="str">
        <f t="shared" si="1112"/>
        <v>89301000</v>
      </c>
      <c r="B6153" t="str">
        <f t="shared" si="1111"/>
        <v>06539000</v>
      </c>
      <c r="C6153" t="str">
        <f>"06539001"</f>
        <v>06539001</v>
      </c>
      <c r="D6153">
        <v>89301171</v>
      </c>
      <c r="E6153" t="str">
        <f t="shared" ref="E6153:E6194" si="1113">"6411231464"</f>
        <v>6411231464</v>
      </c>
      <c r="F6153" s="1">
        <v>45037</v>
      </c>
      <c r="G6153" t="str">
        <f>"81329"</f>
        <v>81329</v>
      </c>
      <c r="H6153">
        <v>1</v>
      </c>
      <c r="I6153">
        <v>17</v>
      </c>
      <c r="J6153">
        <v>0</v>
      </c>
      <c r="K6153" t="str">
        <f>"801"</f>
        <v>801</v>
      </c>
      <c r="L6153">
        <v>14.28</v>
      </c>
    </row>
    <row r="6154" spans="1:12" x14ac:dyDescent="0.25">
      <c r="A6154" t="str">
        <f t="shared" si="1112"/>
        <v>89301000</v>
      </c>
      <c r="B6154" t="str">
        <f t="shared" si="1111"/>
        <v>06539000</v>
      </c>
      <c r="C6154" t="str">
        <f>"06539001"</f>
        <v>06539001</v>
      </c>
      <c r="D6154">
        <v>89301171</v>
      </c>
      <c r="E6154" t="str">
        <f t="shared" si="1113"/>
        <v>6411231464</v>
      </c>
      <c r="F6154" s="1">
        <v>45037</v>
      </c>
      <c r="G6154" t="str">
        <f>"81331"</f>
        <v>81331</v>
      </c>
      <c r="H6154">
        <v>1</v>
      </c>
      <c r="I6154">
        <v>193</v>
      </c>
      <c r="J6154">
        <v>0</v>
      </c>
      <c r="K6154" t="str">
        <f>"801"</f>
        <v>801</v>
      </c>
      <c r="L6154">
        <v>162.12</v>
      </c>
    </row>
    <row r="6155" spans="1:12" x14ac:dyDescent="0.25">
      <c r="A6155" t="str">
        <f t="shared" si="1112"/>
        <v>89301000</v>
      </c>
      <c r="B6155" t="str">
        <f t="shared" si="1111"/>
        <v>06539000</v>
      </c>
      <c r="C6155" t="str">
        <f t="shared" ref="C6155:C6162" si="1114">"06539002"</f>
        <v>06539002</v>
      </c>
      <c r="D6155">
        <v>89301171</v>
      </c>
      <c r="E6155" t="str">
        <f t="shared" si="1113"/>
        <v>6411231464</v>
      </c>
      <c r="F6155" s="1">
        <v>45037</v>
      </c>
      <c r="G6155" t="str">
        <f t="shared" ref="G6155:G6162" si="1115">"82097"</f>
        <v>82097</v>
      </c>
      <c r="H6155">
        <v>1</v>
      </c>
      <c r="I6155">
        <v>381</v>
      </c>
      <c r="J6155">
        <v>0</v>
      </c>
      <c r="K6155" t="str">
        <f t="shared" ref="K6155:K6162" si="1116">"802"</f>
        <v>802</v>
      </c>
      <c r="L6155">
        <v>369.57</v>
      </c>
    </row>
    <row r="6156" spans="1:12" x14ac:dyDescent="0.25">
      <c r="A6156" t="str">
        <f t="shared" si="1112"/>
        <v>89301000</v>
      </c>
      <c r="B6156" t="str">
        <f t="shared" si="1111"/>
        <v>06539000</v>
      </c>
      <c r="C6156" t="str">
        <f t="shared" si="1114"/>
        <v>06539002</v>
      </c>
      <c r="D6156">
        <v>89301171</v>
      </c>
      <c r="E6156" t="str">
        <f t="shared" si="1113"/>
        <v>6411231464</v>
      </c>
      <c r="F6156" s="1">
        <v>45037</v>
      </c>
      <c r="G6156" t="str">
        <f t="shared" si="1115"/>
        <v>82097</v>
      </c>
      <c r="H6156">
        <v>1</v>
      </c>
      <c r="I6156">
        <v>381</v>
      </c>
      <c r="J6156">
        <v>0</v>
      </c>
      <c r="K6156" t="str">
        <f t="shared" si="1116"/>
        <v>802</v>
      </c>
      <c r="L6156">
        <v>369.57</v>
      </c>
    </row>
    <row r="6157" spans="1:12" x14ac:dyDescent="0.25">
      <c r="A6157" t="str">
        <f t="shared" si="1112"/>
        <v>89301000</v>
      </c>
      <c r="B6157" t="str">
        <f t="shared" si="1111"/>
        <v>06539000</v>
      </c>
      <c r="C6157" t="str">
        <f t="shared" si="1114"/>
        <v>06539002</v>
      </c>
      <c r="D6157">
        <v>89301171</v>
      </c>
      <c r="E6157" t="str">
        <f t="shared" si="1113"/>
        <v>6411231464</v>
      </c>
      <c r="F6157" s="1">
        <v>45037</v>
      </c>
      <c r="G6157" t="str">
        <f t="shared" si="1115"/>
        <v>82097</v>
      </c>
      <c r="H6157">
        <v>1</v>
      </c>
      <c r="I6157">
        <v>381</v>
      </c>
      <c r="J6157">
        <v>0</v>
      </c>
      <c r="K6157" t="str">
        <f t="shared" si="1116"/>
        <v>802</v>
      </c>
      <c r="L6157">
        <v>369.57</v>
      </c>
    </row>
    <row r="6158" spans="1:12" x14ac:dyDescent="0.25">
      <c r="A6158" t="str">
        <f t="shared" si="1112"/>
        <v>89301000</v>
      </c>
      <c r="B6158" t="str">
        <f t="shared" si="1111"/>
        <v>06539000</v>
      </c>
      <c r="C6158" t="str">
        <f t="shared" si="1114"/>
        <v>06539002</v>
      </c>
      <c r="D6158">
        <v>89301171</v>
      </c>
      <c r="E6158" t="str">
        <f t="shared" si="1113"/>
        <v>6411231464</v>
      </c>
      <c r="F6158" s="1">
        <v>45037</v>
      </c>
      <c r="G6158" t="str">
        <f t="shared" si="1115"/>
        <v>82097</v>
      </c>
      <c r="H6158">
        <v>1</v>
      </c>
      <c r="I6158">
        <v>381</v>
      </c>
      <c r="J6158">
        <v>0</v>
      </c>
      <c r="K6158" t="str">
        <f t="shared" si="1116"/>
        <v>802</v>
      </c>
      <c r="L6158">
        <v>369.57</v>
      </c>
    </row>
    <row r="6159" spans="1:12" x14ac:dyDescent="0.25">
      <c r="A6159" t="str">
        <f t="shared" si="1112"/>
        <v>89301000</v>
      </c>
      <c r="B6159" t="str">
        <f t="shared" si="1111"/>
        <v>06539000</v>
      </c>
      <c r="C6159" t="str">
        <f t="shared" si="1114"/>
        <v>06539002</v>
      </c>
      <c r="D6159">
        <v>89301171</v>
      </c>
      <c r="E6159" t="str">
        <f t="shared" si="1113"/>
        <v>6411231464</v>
      </c>
      <c r="F6159" s="1">
        <v>45037</v>
      </c>
      <c r="G6159" t="str">
        <f t="shared" si="1115"/>
        <v>82097</v>
      </c>
      <c r="H6159">
        <v>1</v>
      </c>
      <c r="I6159">
        <v>381</v>
      </c>
      <c r="J6159">
        <v>0</v>
      </c>
      <c r="K6159" t="str">
        <f t="shared" si="1116"/>
        <v>802</v>
      </c>
      <c r="L6159">
        <v>369.57</v>
      </c>
    </row>
    <row r="6160" spans="1:12" x14ac:dyDescent="0.25">
      <c r="A6160" t="str">
        <f t="shared" si="1112"/>
        <v>89301000</v>
      </c>
      <c r="B6160" t="str">
        <f t="shared" si="1111"/>
        <v>06539000</v>
      </c>
      <c r="C6160" t="str">
        <f t="shared" si="1114"/>
        <v>06539002</v>
      </c>
      <c r="D6160">
        <v>89301171</v>
      </c>
      <c r="E6160" t="str">
        <f t="shared" si="1113"/>
        <v>6411231464</v>
      </c>
      <c r="F6160" s="1">
        <v>45037</v>
      </c>
      <c r="G6160" t="str">
        <f t="shared" si="1115"/>
        <v>82097</v>
      </c>
      <c r="H6160">
        <v>1</v>
      </c>
      <c r="I6160">
        <v>381</v>
      </c>
      <c r="J6160">
        <v>0</v>
      </c>
      <c r="K6160" t="str">
        <f t="shared" si="1116"/>
        <v>802</v>
      </c>
      <c r="L6160">
        <v>369.57</v>
      </c>
    </row>
    <row r="6161" spans="1:12" x14ac:dyDescent="0.25">
      <c r="A6161" t="str">
        <f t="shared" si="1112"/>
        <v>89301000</v>
      </c>
      <c r="B6161" t="str">
        <f t="shared" si="1111"/>
        <v>06539000</v>
      </c>
      <c r="C6161" t="str">
        <f t="shared" si="1114"/>
        <v>06539002</v>
      </c>
      <c r="D6161">
        <v>89301171</v>
      </c>
      <c r="E6161" t="str">
        <f t="shared" si="1113"/>
        <v>6411231464</v>
      </c>
      <c r="F6161" s="1">
        <v>45037</v>
      </c>
      <c r="G6161" t="str">
        <f t="shared" si="1115"/>
        <v>82097</v>
      </c>
      <c r="H6161">
        <v>1</v>
      </c>
      <c r="I6161">
        <v>381</v>
      </c>
      <c r="J6161">
        <v>0</v>
      </c>
      <c r="K6161" t="str">
        <f t="shared" si="1116"/>
        <v>802</v>
      </c>
      <c r="L6161">
        <v>369.57</v>
      </c>
    </row>
    <row r="6162" spans="1:12" x14ac:dyDescent="0.25">
      <c r="A6162" t="str">
        <f t="shared" si="1112"/>
        <v>89301000</v>
      </c>
      <c r="B6162" t="str">
        <f t="shared" si="1111"/>
        <v>06539000</v>
      </c>
      <c r="C6162" t="str">
        <f t="shared" si="1114"/>
        <v>06539002</v>
      </c>
      <c r="D6162">
        <v>89301171</v>
      </c>
      <c r="E6162" t="str">
        <f t="shared" si="1113"/>
        <v>6411231464</v>
      </c>
      <c r="F6162" s="1">
        <v>45037</v>
      </c>
      <c r="G6162" t="str">
        <f t="shared" si="1115"/>
        <v>82097</v>
      </c>
      <c r="H6162">
        <v>1</v>
      </c>
      <c r="I6162">
        <v>381</v>
      </c>
      <c r="J6162">
        <v>0</v>
      </c>
      <c r="K6162" t="str">
        <f t="shared" si="1116"/>
        <v>802</v>
      </c>
      <c r="L6162">
        <v>369.57</v>
      </c>
    </row>
    <row r="6163" spans="1:12" x14ac:dyDescent="0.25">
      <c r="A6163" t="str">
        <f t="shared" si="1112"/>
        <v>89301000</v>
      </c>
      <c r="B6163" t="str">
        <f t="shared" si="1111"/>
        <v>06539000</v>
      </c>
      <c r="C6163" t="str">
        <f t="shared" ref="C6163:C6194" si="1117">"06539003"</f>
        <v>06539003</v>
      </c>
      <c r="D6163">
        <v>89301171</v>
      </c>
      <c r="E6163" t="str">
        <f t="shared" si="1113"/>
        <v>6411231464</v>
      </c>
      <c r="F6163" s="1">
        <v>45040</v>
      </c>
      <c r="G6163" t="str">
        <f t="shared" ref="G6163:G6172" si="1118">"91413"</f>
        <v>91413</v>
      </c>
      <c r="H6163">
        <v>1</v>
      </c>
      <c r="I6163">
        <v>868</v>
      </c>
      <c r="J6163">
        <v>0</v>
      </c>
      <c r="K6163" t="str">
        <f t="shared" ref="K6163:K6194" si="1119">"813"</f>
        <v>813</v>
      </c>
      <c r="L6163">
        <v>729.12</v>
      </c>
    </row>
    <row r="6164" spans="1:12" x14ac:dyDescent="0.25">
      <c r="A6164" t="str">
        <f t="shared" si="1112"/>
        <v>89301000</v>
      </c>
      <c r="B6164" t="str">
        <f t="shared" si="1111"/>
        <v>06539000</v>
      </c>
      <c r="C6164" t="str">
        <f t="shared" si="1117"/>
        <v>06539003</v>
      </c>
      <c r="D6164">
        <v>89301171</v>
      </c>
      <c r="E6164" t="str">
        <f t="shared" si="1113"/>
        <v>6411231464</v>
      </c>
      <c r="F6164" s="1">
        <v>45040</v>
      </c>
      <c r="G6164" t="str">
        <f t="shared" si="1118"/>
        <v>91413</v>
      </c>
      <c r="H6164">
        <v>1</v>
      </c>
      <c r="I6164">
        <v>868</v>
      </c>
      <c r="J6164">
        <v>0</v>
      </c>
      <c r="K6164" t="str">
        <f t="shared" si="1119"/>
        <v>813</v>
      </c>
      <c r="L6164">
        <v>729.12</v>
      </c>
    </row>
    <row r="6165" spans="1:12" x14ac:dyDescent="0.25">
      <c r="A6165" t="str">
        <f t="shared" si="1112"/>
        <v>89301000</v>
      </c>
      <c r="B6165" t="str">
        <f t="shared" si="1111"/>
        <v>06539000</v>
      </c>
      <c r="C6165" t="str">
        <f t="shared" si="1117"/>
        <v>06539003</v>
      </c>
      <c r="D6165">
        <v>89301171</v>
      </c>
      <c r="E6165" t="str">
        <f t="shared" si="1113"/>
        <v>6411231464</v>
      </c>
      <c r="F6165" s="1">
        <v>45056</v>
      </c>
      <c r="G6165" t="str">
        <f t="shared" si="1118"/>
        <v>91413</v>
      </c>
      <c r="H6165">
        <v>1</v>
      </c>
      <c r="I6165">
        <v>868</v>
      </c>
      <c r="J6165">
        <v>0</v>
      </c>
      <c r="K6165" t="str">
        <f t="shared" si="1119"/>
        <v>813</v>
      </c>
      <c r="L6165">
        <v>729.12</v>
      </c>
    </row>
    <row r="6166" spans="1:12" x14ac:dyDescent="0.25">
      <c r="A6166" t="str">
        <f t="shared" si="1112"/>
        <v>89301000</v>
      </c>
      <c r="B6166" t="str">
        <f t="shared" si="1111"/>
        <v>06539000</v>
      </c>
      <c r="C6166" t="str">
        <f t="shared" si="1117"/>
        <v>06539003</v>
      </c>
      <c r="D6166">
        <v>89301171</v>
      </c>
      <c r="E6166" t="str">
        <f t="shared" si="1113"/>
        <v>6411231464</v>
      </c>
      <c r="F6166" s="1">
        <v>45056</v>
      </c>
      <c r="G6166" t="str">
        <f t="shared" si="1118"/>
        <v>91413</v>
      </c>
      <c r="H6166">
        <v>1</v>
      </c>
      <c r="I6166">
        <v>868</v>
      </c>
      <c r="J6166">
        <v>0</v>
      </c>
      <c r="K6166" t="str">
        <f t="shared" si="1119"/>
        <v>813</v>
      </c>
      <c r="L6166">
        <v>729.12</v>
      </c>
    </row>
    <row r="6167" spans="1:12" x14ac:dyDescent="0.25">
      <c r="A6167" t="str">
        <f t="shared" si="1112"/>
        <v>89301000</v>
      </c>
      <c r="B6167" t="str">
        <f t="shared" si="1111"/>
        <v>06539000</v>
      </c>
      <c r="C6167" t="str">
        <f t="shared" si="1117"/>
        <v>06539003</v>
      </c>
      <c r="D6167">
        <v>89301171</v>
      </c>
      <c r="E6167" t="str">
        <f t="shared" si="1113"/>
        <v>6411231464</v>
      </c>
      <c r="F6167" s="1">
        <v>45051</v>
      </c>
      <c r="G6167" t="str">
        <f t="shared" si="1118"/>
        <v>91413</v>
      </c>
      <c r="H6167">
        <v>1</v>
      </c>
      <c r="I6167">
        <v>868</v>
      </c>
      <c r="J6167">
        <v>0</v>
      </c>
      <c r="K6167" t="str">
        <f t="shared" si="1119"/>
        <v>813</v>
      </c>
      <c r="L6167">
        <v>729.12</v>
      </c>
    </row>
    <row r="6168" spans="1:12" x14ac:dyDescent="0.25">
      <c r="A6168" t="str">
        <f t="shared" si="1112"/>
        <v>89301000</v>
      </c>
      <c r="B6168" t="str">
        <f t="shared" si="1111"/>
        <v>06539000</v>
      </c>
      <c r="C6168" t="str">
        <f t="shared" si="1117"/>
        <v>06539003</v>
      </c>
      <c r="D6168">
        <v>89301171</v>
      </c>
      <c r="E6168" t="str">
        <f t="shared" si="1113"/>
        <v>6411231464</v>
      </c>
      <c r="F6168" s="1">
        <v>45051</v>
      </c>
      <c r="G6168" t="str">
        <f t="shared" si="1118"/>
        <v>91413</v>
      </c>
      <c r="H6168">
        <v>1</v>
      </c>
      <c r="I6168">
        <v>868</v>
      </c>
      <c r="J6168">
        <v>0</v>
      </c>
      <c r="K6168" t="str">
        <f t="shared" si="1119"/>
        <v>813</v>
      </c>
      <c r="L6168">
        <v>729.12</v>
      </c>
    </row>
    <row r="6169" spans="1:12" x14ac:dyDescent="0.25">
      <c r="A6169" t="str">
        <f t="shared" si="1112"/>
        <v>89301000</v>
      </c>
      <c r="B6169" t="str">
        <f t="shared" si="1111"/>
        <v>06539000</v>
      </c>
      <c r="C6169" t="str">
        <f t="shared" si="1117"/>
        <v>06539003</v>
      </c>
      <c r="D6169">
        <v>89301171</v>
      </c>
      <c r="E6169" t="str">
        <f t="shared" si="1113"/>
        <v>6411231464</v>
      </c>
      <c r="F6169" s="1">
        <v>45056</v>
      </c>
      <c r="G6169" t="str">
        <f t="shared" si="1118"/>
        <v>91413</v>
      </c>
      <c r="H6169">
        <v>1</v>
      </c>
      <c r="I6169">
        <v>868</v>
      </c>
      <c r="J6169">
        <v>0</v>
      </c>
      <c r="K6169" t="str">
        <f t="shared" si="1119"/>
        <v>813</v>
      </c>
      <c r="L6169">
        <v>729.12</v>
      </c>
    </row>
    <row r="6170" spans="1:12" x14ac:dyDescent="0.25">
      <c r="A6170" t="str">
        <f t="shared" si="1112"/>
        <v>89301000</v>
      </c>
      <c r="B6170" t="str">
        <f t="shared" si="1111"/>
        <v>06539000</v>
      </c>
      <c r="C6170" t="str">
        <f t="shared" si="1117"/>
        <v>06539003</v>
      </c>
      <c r="D6170">
        <v>89301171</v>
      </c>
      <c r="E6170" t="str">
        <f t="shared" si="1113"/>
        <v>6411231464</v>
      </c>
      <c r="F6170" s="1">
        <v>45056</v>
      </c>
      <c r="G6170" t="str">
        <f t="shared" si="1118"/>
        <v>91413</v>
      </c>
      <c r="H6170">
        <v>1</v>
      </c>
      <c r="I6170">
        <v>868</v>
      </c>
      <c r="J6170">
        <v>0</v>
      </c>
      <c r="K6170" t="str">
        <f t="shared" si="1119"/>
        <v>813</v>
      </c>
      <c r="L6170">
        <v>729.12</v>
      </c>
    </row>
    <row r="6171" spans="1:12" x14ac:dyDescent="0.25">
      <c r="A6171" t="str">
        <f t="shared" si="1112"/>
        <v>89301000</v>
      </c>
      <c r="B6171" t="str">
        <f t="shared" si="1111"/>
        <v>06539000</v>
      </c>
      <c r="C6171" t="str">
        <f t="shared" si="1117"/>
        <v>06539003</v>
      </c>
      <c r="D6171">
        <v>89301171</v>
      </c>
      <c r="E6171" t="str">
        <f t="shared" si="1113"/>
        <v>6411231464</v>
      </c>
      <c r="F6171" s="1">
        <v>45056</v>
      </c>
      <c r="G6171" t="str">
        <f t="shared" si="1118"/>
        <v>91413</v>
      </c>
      <c r="H6171">
        <v>1</v>
      </c>
      <c r="I6171">
        <v>868</v>
      </c>
      <c r="J6171">
        <v>0</v>
      </c>
      <c r="K6171" t="str">
        <f t="shared" si="1119"/>
        <v>813</v>
      </c>
      <c r="L6171">
        <v>729.12</v>
      </c>
    </row>
    <row r="6172" spans="1:12" x14ac:dyDescent="0.25">
      <c r="A6172" t="str">
        <f t="shared" si="1112"/>
        <v>89301000</v>
      </c>
      <c r="B6172" t="str">
        <f t="shared" si="1111"/>
        <v>06539000</v>
      </c>
      <c r="C6172" t="str">
        <f t="shared" si="1117"/>
        <v>06539003</v>
      </c>
      <c r="D6172">
        <v>89301171</v>
      </c>
      <c r="E6172" t="str">
        <f t="shared" si="1113"/>
        <v>6411231464</v>
      </c>
      <c r="F6172" s="1">
        <v>45056</v>
      </c>
      <c r="G6172" t="str">
        <f t="shared" si="1118"/>
        <v>91413</v>
      </c>
      <c r="H6172">
        <v>1</v>
      </c>
      <c r="I6172">
        <v>868</v>
      </c>
      <c r="J6172">
        <v>0</v>
      </c>
      <c r="K6172" t="str">
        <f t="shared" si="1119"/>
        <v>813</v>
      </c>
      <c r="L6172">
        <v>729.12</v>
      </c>
    </row>
    <row r="6173" spans="1:12" x14ac:dyDescent="0.25">
      <c r="A6173" t="str">
        <f t="shared" si="1112"/>
        <v>89301000</v>
      </c>
      <c r="B6173" t="str">
        <f t="shared" si="1111"/>
        <v>06539000</v>
      </c>
      <c r="C6173" t="str">
        <f t="shared" si="1117"/>
        <v>06539003</v>
      </c>
      <c r="D6173">
        <v>89301171</v>
      </c>
      <c r="E6173" t="str">
        <f t="shared" si="1113"/>
        <v>6411231464</v>
      </c>
      <c r="F6173" s="1">
        <v>45037</v>
      </c>
      <c r="G6173" t="str">
        <f t="shared" ref="G6173:G6179" si="1120">"91197"</f>
        <v>91197</v>
      </c>
      <c r="H6173">
        <v>1</v>
      </c>
      <c r="I6173">
        <v>1048</v>
      </c>
      <c r="J6173">
        <v>0</v>
      </c>
      <c r="K6173" t="str">
        <f t="shared" si="1119"/>
        <v>813</v>
      </c>
      <c r="L6173">
        <v>880.32</v>
      </c>
    </row>
    <row r="6174" spans="1:12" x14ac:dyDescent="0.25">
      <c r="A6174" t="str">
        <f t="shared" si="1112"/>
        <v>89301000</v>
      </c>
      <c r="B6174" t="str">
        <f t="shared" si="1111"/>
        <v>06539000</v>
      </c>
      <c r="C6174" t="str">
        <f t="shared" si="1117"/>
        <v>06539003</v>
      </c>
      <c r="D6174">
        <v>89301171</v>
      </c>
      <c r="E6174" t="str">
        <f t="shared" si="1113"/>
        <v>6411231464</v>
      </c>
      <c r="F6174" s="1">
        <v>45040</v>
      </c>
      <c r="G6174" t="str">
        <f t="shared" si="1120"/>
        <v>91197</v>
      </c>
      <c r="H6174">
        <v>1</v>
      </c>
      <c r="I6174">
        <v>1048</v>
      </c>
      <c r="J6174">
        <v>0</v>
      </c>
      <c r="K6174" t="str">
        <f t="shared" si="1119"/>
        <v>813</v>
      </c>
      <c r="L6174">
        <v>880.32</v>
      </c>
    </row>
    <row r="6175" spans="1:12" x14ac:dyDescent="0.25">
      <c r="A6175" t="str">
        <f t="shared" si="1112"/>
        <v>89301000</v>
      </c>
      <c r="B6175" t="str">
        <f t="shared" ref="B6175:B6206" si="1121">"06539000"</f>
        <v>06539000</v>
      </c>
      <c r="C6175" t="str">
        <f t="shared" si="1117"/>
        <v>06539003</v>
      </c>
      <c r="D6175">
        <v>89301171</v>
      </c>
      <c r="E6175" t="str">
        <f t="shared" si="1113"/>
        <v>6411231464</v>
      </c>
      <c r="F6175" s="1">
        <v>45040</v>
      </c>
      <c r="G6175" t="str">
        <f t="shared" si="1120"/>
        <v>91197</v>
      </c>
      <c r="H6175">
        <v>1</v>
      </c>
      <c r="I6175">
        <v>1048</v>
      </c>
      <c r="J6175">
        <v>0</v>
      </c>
      <c r="K6175" t="str">
        <f t="shared" si="1119"/>
        <v>813</v>
      </c>
      <c r="L6175">
        <v>880.32</v>
      </c>
    </row>
    <row r="6176" spans="1:12" x14ac:dyDescent="0.25">
      <c r="A6176" t="str">
        <f t="shared" si="1112"/>
        <v>89301000</v>
      </c>
      <c r="B6176" t="str">
        <f t="shared" si="1121"/>
        <v>06539000</v>
      </c>
      <c r="C6176" t="str">
        <f t="shared" si="1117"/>
        <v>06539003</v>
      </c>
      <c r="D6176">
        <v>89301171</v>
      </c>
      <c r="E6176" t="str">
        <f t="shared" si="1113"/>
        <v>6411231464</v>
      </c>
      <c r="F6176" s="1">
        <v>45039</v>
      </c>
      <c r="G6176" t="str">
        <f t="shared" si="1120"/>
        <v>91197</v>
      </c>
      <c r="H6176">
        <v>1</v>
      </c>
      <c r="I6176">
        <v>1048</v>
      </c>
      <c r="J6176">
        <v>0</v>
      </c>
      <c r="K6176" t="str">
        <f t="shared" si="1119"/>
        <v>813</v>
      </c>
      <c r="L6176">
        <v>880.32</v>
      </c>
    </row>
    <row r="6177" spans="1:12" x14ac:dyDescent="0.25">
      <c r="A6177" t="str">
        <f t="shared" si="1112"/>
        <v>89301000</v>
      </c>
      <c r="B6177" t="str">
        <f t="shared" si="1121"/>
        <v>06539000</v>
      </c>
      <c r="C6177" t="str">
        <f t="shared" si="1117"/>
        <v>06539003</v>
      </c>
      <c r="D6177">
        <v>89301171</v>
      </c>
      <c r="E6177" t="str">
        <f t="shared" si="1113"/>
        <v>6411231464</v>
      </c>
      <c r="F6177" s="1">
        <v>45039</v>
      </c>
      <c r="G6177" t="str">
        <f t="shared" si="1120"/>
        <v>91197</v>
      </c>
      <c r="H6177">
        <v>1</v>
      </c>
      <c r="I6177">
        <v>1048</v>
      </c>
      <c r="J6177">
        <v>0</v>
      </c>
      <c r="K6177" t="str">
        <f t="shared" si="1119"/>
        <v>813</v>
      </c>
      <c r="L6177">
        <v>880.32</v>
      </c>
    </row>
    <row r="6178" spans="1:12" x14ac:dyDescent="0.25">
      <c r="A6178" t="str">
        <f t="shared" si="1112"/>
        <v>89301000</v>
      </c>
      <c r="B6178" t="str">
        <f t="shared" si="1121"/>
        <v>06539000</v>
      </c>
      <c r="C6178" t="str">
        <f t="shared" si="1117"/>
        <v>06539003</v>
      </c>
      <c r="D6178">
        <v>89301171</v>
      </c>
      <c r="E6178" t="str">
        <f t="shared" si="1113"/>
        <v>6411231464</v>
      </c>
      <c r="F6178" s="1">
        <v>45038</v>
      </c>
      <c r="G6178" t="str">
        <f t="shared" si="1120"/>
        <v>91197</v>
      </c>
      <c r="H6178">
        <v>1</v>
      </c>
      <c r="I6178">
        <v>1048</v>
      </c>
      <c r="J6178">
        <v>0</v>
      </c>
      <c r="K6178" t="str">
        <f t="shared" si="1119"/>
        <v>813</v>
      </c>
      <c r="L6178">
        <v>880.32</v>
      </c>
    </row>
    <row r="6179" spans="1:12" x14ac:dyDescent="0.25">
      <c r="A6179" t="str">
        <f t="shared" si="1112"/>
        <v>89301000</v>
      </c>
      <c r="B6179" t="str">
        <f t="shared" si="1121"/>
        <v>06539000</v>
      </c>
      <c r="C6179" t="str">
        <f t="shared" si="1117"/>
        <v>06539003</v>
      </c>
      <c r="D6179">
        <v>89301171</v>
      </c>
      <c r="E6179" t="str">
        <f t="shared" si="1113"/>
        <v>6411231464</v>
      </c>
      <c r="F6179" s="1">
        <v>45038</v>
      </c>
      <c r="G6179" t="str">
        <f t="shared" si="1120"/>
        <v>91197</v>
      </c>
      <c r="H6179">
        <v>1</v>
      </c>
      <c r="I6179">
        <v>1048</v>
      </c>
      <c r="J6179">
        <v>0</v>
      </c>
      <c r="K6179" t="str">
        <f t="shared" si="1119"/>
        <v>813</v>
      </c>
      <c r="L6179">
        <v>880.32</v>
      </c>
    </row>
    <row r="6180" spans="1:12" x14ac:dyDescent="0.25">
      <c r="A6180" t="str">
        <f t="shared" si="1112"/>
        <v>89301000</v>
      </c>
      <c r="B6180" t="str">
        <f t="shared" si="1121"/>
        <v>06539000</v>
      </c>
      <c r="C6180" t="str">
        <f t="shared" si="1117"/>
        <v>06539003</v>
      </c>
      <c r="D6180">
        <v>89301171</v>
      </c>
      <c r="E6180" t="str">
        <f t="shared" si="1113"/>
        <v>6411231464</v>
      </c>
      <c r="F6180" s="1">
        <v>45056</v>
      </c>
      <c r="G6180" t="str">
        <f>"91329"</f>
        <v>91329</v>
      </c>
      <c r="H6180">
        <v>2</v>
      </c>
      <c r="I6180">
        <v>436</v>
      </c>
      <c r="J6180">
        <v>0</v>
      </c>
      <c r="K6180" t="str">
        <f t="shared" si="1119"/>
        <v>813</v>
      </c>
      <c r="L6180">
        <v>366.24</v>
      </c>
    </row>
    <row r="6181" spans="1:12" x14ac:dyDescent="0.25">
      <c r="A6181" t="str">
        <f t="shared" si="1112"/>
        <v>89301000</v>
      </c>
      <c r="B6181" t="str">
        <f t="shared" si="1121"/>
        <v>06539000</v>
      </c>
      <c r="C6181" t="str">
        <f t="shared" si="1117"/>
        <v>06539003</v>
      </c>
      <c r="D6181">
        <v>89301171</v>
      </c>
      <c r="E6181" t="str">
        <f t="shared" si="1113"/>
        <v>6411231464</v>
      </c>
      <c r="F6181" s="1">
        <v>45056</v>
      </c>
      <c r="G6181" t="str">
        <f>"91329"</f>
        <v>91329</v>
      </c>
      <c r="H6181">
        <v>2</v>
      </c>
      <c r="I6181">
        <v>436</v>
      </c>
      <c r="J6181">
        <v>0</v>
      </c>
      <c r="K6181" t="str">
        <f t="shared" si="1119"/>
        <v>813</v>
      </c>
      <c r="L6181">
        <v>366.24</v>
      </c>
    </row>
    <row r="6182" spans="1:12" x14ac:dyDescent="0.25">
      <c r="A6182" t="str">
        <f t="shared" si="1112"/>
        <v>89301000</v>
      </c>
      <c r="B6182" t="str">
        <f t="shared" si="1121"/>
        <v>06539000</v>
      </c>
      <c r="C6182" t="str">
        <f t="shared" si="1117"/>
        <v>06539003</v>
      </c>
      <c r="D6182">
        <v>89301171</v>
      </c>
      <c r="E6182" t="str">
        <f t="shared" si="1113"/>
        <v>6411231464</v>
      </c>
      <c r="F6182" s="1">
        <v>45056</v>
      </c>
      <c r="G6182" t="str">
        <f>"91329"</f>
        <v>91329</v>
      </c>
      <c r="H6182">
        <v>2</v>
      </c>
      <c r="I6182">
        <v>436</v>
      </c>
      <c r="J6182">
        <v>0</v>
      </c>
      <c r="K6182" t="str">
        <f t="shared" si="1119"/>
        <v>813</v>
      </c>
      <c r="L6182">
        <v>366.24</v>
      </c>
    </row>
    <row r="6183" spans="1:12" x14ac:dyDescent="0.25">
      <c r="A6183" t="str">
        <f t="shared" si="1112"/>
        <v>89301000</v>
      </c>
      <c r="B6183" t="str">
        <f t="shared" si="1121"/>
        <v>06539000</v>
      </c>
      <c r="C6183" t="str">
        <f t="shared" si="1117"/>
        <v>06539003</v>
      </c>
      <c r="D6183">
        <v>89301171</v>
      </c>
      <c r="E6183" t="str">
        <f t="shared" si="1113"/>
        <v>6411231464</v>
      </c>
      <c r="F6183" s="1">
        <v>45056</v>
      </c>
      <c r="G6183" t="str">
        <f>"91329"</f>
        <v>91329</v>
      </c>
      <c r="H6183">
        <v>2</v>
      </c>
      <c r="I6183">
        <v>436</v>
      </c>
      <c r="J6183">
        <v>0</v>
      </c>
      <c r="K6183" t="str">
        <f t="shared" si="1119"/>
        <v>813</v>
      </c>
      <c r="L6183">
        <v>366.24</v>
      </c>
    </row>
    <row r="6184" spans="1:12" x14ac:dyDescent="0.25">
      <c r="A6184" t="str">
        <f t="shared" si="1112"/>
        <v>89301000</v>
      </c>
      <c r="B6184" t="str">
        <f t="shared" si="1121"/>
        <v>06539000</v>
      </c>
      <c r="C6184" t="str">
        <f t="shared" si="1117"/>
        <v>06539003</v>
      </c>
      <c r="D6184">
        <v>89301171</v>
      </c>
      <c r="E6184" t="str">
        <f t="shared" si="1113"/>
        <v>6411231464</v>
      </c>
      <c r="F6184" s="1">
        <v>45037</v>
      </c>
      <c r="G6184" t="str">
        <f>"91129"</f>
        <v>91129</v>
      </c>
      <c r="H6184">
        <v>1</v>
      </c>
      <c r="I6184">
        <v>175</v>
      </c>
      <c r="J6184">
        <v>0</v>
      </c>
      <c r="K6184" t="str">
        <f t="shared" si="1119"/>
        <v>813</v>
      </c>
      <c r="L6184">
        <v>147</v>
      </c>
    </row>
    <row r="6185" spans="1:12" x14ac:dyDescent="0.25">
      <c r="A6185" t="str">
        <f t="shared" si="1112"/>
        <v>89301000</v>
      </c>
      <c r="B6185" t="str">
        <f t="shared" si="1121"/>
        <v>06539000</v>
      </c>
      <c r="C6185" t="str">
        <f t="shared" si="1117"/>
        <v>06539003</v>
      </c>
      <c r="D6185">
        <v>89301171</v>
      </c>
      <c r="E6185" t="str">
        <f t="shared" si="1113"/>
        <v>6411231464</v>
      </c>
      <c r="F6185" s="1">
        <v>45037</v>
      </c>
      <c r="G6185" t="str">
        <f>"91131"</f>
        <v>91131</v>
      </c>
      <c r="H6185">
        <v>1</v>
      </c>
      <c r="I6185">
        <v>171</v>
      </c>
      <c r="J6185">
        <v>0</v>
      </c>
      <c r="K6185" t="str">
        <f t="shared" si="1119"/>
        <v>813</v>
      </c>
      <c r="L6185">
        <v>143.63999999999999</v>
      </c>
    </row>
    <row r="6186" spans="1:12" x14ac:dyDescent="0.25">
      <c r="A6186" t="str">
        <f t="shared" si="1112"/>
        <v>89301000</v>
      </c>
      <c r="B6186" t="str">
        <f t="shared" si="1121"/>
        <v>06539000</v>
      </c>
      <c r="C6186" t="str">
        <f t="shared" si="1117"/>
        <v>06539003</v>
      </c>
      <c r="D6186">
        <v>89301171</v>
      </c>
      <c r="E6186" t="str">
        <f t="shared" si="1113"/>
        <v>6411231464</v>
      </c>
      <c r="F6186" s="1">
        <v>45037</v>
      </c>
      <c r="G6186" t="str">
        <f>"91133"</f>
        <v>91133</v>
      </c>
      <c r="H6186">
        <v>1</v>
      </c>
      <c r="I6186">
        <v>177</v>
      </c>
      <c r="J6186">
        <v>0</v>
      </c>
      <c r="K6186" t="str">
        <f t="shared" si="1119"/>
        <v>813</v>
      </c>
      <c r="L6186">
        <v>148.68</v>
      </c>
    </row>
    <row r="6187" spans="1:12" x14ac:dyDescent="0.25">
      <c r="A6187" t="str">
        <f t="shared" si="1112"/>
        <v>89301000</v>
      </c>
      <c r="B6187" t="str">
        <f t="shared" si="1121"/>
        <v>06539000</v>
      </c>
      <c r="C6187" t="str">
        <f t="shared" si="1117"/>
        <v>06539003</v>
      </c>
      <c r="D6187">
        <v>89301171</v>
      </c>
      <c r="E6187" t="str">
        <f t="shared" si="1113"/>
        <v>6411231464</v>
      </c>
      <c r="F6187" s="1">
        <v>45037</v>
      </c>
      <c r="G6187" t="str">
        <f>"91171"</f>
        <v>91171</v>
      </c>
      <c r="H6187">
        <v>1</v>
      </c>
      <c r="I6187">
        <v>362</v>
      </c>
      <c r="J6187">
        <v>0</v>
      </c>
      <c r="K6187" t="str">
        <f t="shared" si="1119"/>
        <v>813</v>
      </c>
      <c r="L6187">
        <v>304.08</v>
      </c>
    </row>
    <row r="6188" spans="1:12" x14ac:dyDescent="0.25">
      <c r="A6188" t="str">
        <f t="shared" si="1112"/>
        <v>89301000</v>
      </c>
      <c r="B6188" t="str">
        <f t="shared" si="1121"/>
        <v>06539000</v>
      </c>
      <c r="C6188" t="str">
        <f t="shared" si="1117"/>
        <v>06539003</v>
      </c>
      <c r="D6188">
        <v>89301171</v>
      </c>
      <c r="E6188" t="str">
        <f t="shared" si="1113"/>
        <v>6411231464</v>
      </c>
      <c r="F6188" s="1">
        <v>45037</v>
      </c>
      <c r="G6188" t="str">
        <f>"91173"</f>
        <v>91173</v>
      </c>
      <c r="H6188">
        <v>1</v>
      </c>
      <c r="I6188">
        <v>337</v>
      </c>
      <c r="J6188">
        <v>0</v>
      </c>
      <c r="K6188" t="str">
        <f t="shared" si="1119"/>
        <v>813</v>
      </c>
      <c r="L6188">
        <v>283.08</v>
      </c>
    </row>
    <row r="6189" spans="1:12" x14ac:dyDescent="0.25">
      <c r="A6189" t="str">
        <f t="shared" si="1112"/>
        <v>89301000</v>
      </c>
      <c r="B6189" t="str">
        <f t="shared" si="1121"/>
        <v>06539000</v>
      </c>
      <c r="C6189" t="str">
        <f t="shared" si="1117"/>
        <v>06539003</v>
      </c>
      <c r="D6189">
        <v>89301171</v>
      </c>
      <c r="E6189" t="str">
        <f t="shared" si="1113"/>
        <v>6411231464</v>
      </c>
      <c r="F6189" s="1">
        <v>45037</v>
      </c>
      <c r="G6189" t="str">
        <f>"91175"</f>
        <v>91175</v>
      </c>
      <c r="H6189">
        <v>1</v>
      </c>
      <c r="I6189">
        <v>362</v>
      </c>
      <c r="J6189">
        <v>0</v>
      </c>
      <c r="K6189" t="str">
        <f t="shared" si="1119"/>
        <v>813</v>
      </c>
      <c r="L6189">
        <v>304.08</v>
      </c>
    </row>
    <row r="6190" spans="1:12" x14ac:dyDescent="0.25">
      <c r="A6190" t="str">
        <f t="shared" si="1112"/>
        <v>89301000</v>
      </c>
      <c r="B6190" t="str">
        <f t="shared" si="1121"/>
        <v>06539000</v>
      </c>
      <c r="C6190" t="str">
        <f t="shared" si="1117"/>
        <v>06539003</v>
      </c>
      <c r="D6190">
        <v>89301171</v>
      </c>
      <c r="E6190" t="str">
        <f t="shared" si="1113"/>
        <v>6411231464</v>
      </c>
      <c r="F6190" s="1">
        <v>45038</v>
      </c>
      <c r="G6190" t="str">
        <f>"91167"</f>
        <v>91167</v>
      </c>
      <c r="H6190">
        <v>1</v>
      </c>
      <c r="I6190">
        <v>426</v>
      </c>
      <c r="J6190">
        <v>0</v>
      </c>
      <c r="K6190" t="str">
        <f t="shared" si="1119"/>
        <v>813</v>
      </c>
      <c r="L6190">
        <v>357.84</v>
      </c>
    </row>
    <row r="6191" spans="1:12" x14ac:dyDescent="0.25">
      <c r="A6191" t="str">
        <f t="shared" si="1112"/>
        <v>89301000</v>
      </c>
      <c r="B6191" t="str">
        <f t="shared" si="1121"/>
        <v>06539000</v>
      </c>
      <c r="C6191" t="str">
        <f t="shared" si="1117"/>
        <v>06539003</v>
      </c>
      <c r="D6191">
        <v>89301171</v>
      </c>
      <c r="E6191" t="str">
        <f t="shared" si="1113"/>
        <v>6411231464</v>
      </c>
      <c r="F6191" s="1">
        <v>45038</v>
      </c>
      <c r="G6191" t="str">
        <f>"91169"</f>
        <v>91169</v>
      </c>
      <c r="H6191">
        <v>1</v>
      </c>
      <c r="I6191">
        <v>426</v>
      </c>
      <c r="J6191">
        <v>0</v>
      </c>
      <c r="K6191" t="str">
        <f t="shared" si="1119"/>
        <v>813</v>
      </c>
      <c r="L6191">
        <v>357.84</v>
      </c>
    </row>
    <row r="6192" spans="1:12" x14ac:dyDescent="0.25">
      <c r="A6192" t="str">
        <f t="shared" si="1112"/>
        <v>89301000</v>
      </c>
      <c r="B6192" t="str">
        <f t="shared" si="1121"/>
        <v>06539000</v>
      </c>
      <c r="C6192" t="str">
        <f t="shared" si="1117"/>
        <v>06539003</v>
      </c>
      <c r="D6192">
        <v>89301171</v>
      </c>
      <c r="E6192" t="str">
        <f t="shared" si="1113"/>
        <v>6411231464</v>
      </c>
      <c r="F6192" s="1">
        <v>45037</v>
      </c>
      <c r="G6192" t="str">
        <f>"91167"</f>
        <v>91167</v>
      </c>
      <c r="H6192">
        <v>1</v>
      </c>
      <c r="I6192">
        <v>426</v>
      </c>
      <c r="J6192">
        <v>0</v>
      </c>
      <c r="K6192" t="str">
        <f t="shared" si="1119"/>
        <v>813</v>
      </c>
      <c r="L6192">
        <v>357.84</v>
      </c>
    </row>
    <row r="6193" spans="1:12" x14ac:dyDescent="0.25">
      <c r="A6193" t="str">
        <f t="shared" si="1112"/>
        <v>89301000</v>
      </c>
      <c r="B6193" t="str">
        <f t="shared" si="1121"/>
        <v>06539000</v>
      </c>
      <c r="C6193" t="str">
        <f t="shared" si="1117"/>
        <v>06539003</v>
      </c>
      <c r="D6193">
        <v>89301171</v>
      </c>
      <c r="E6193" t="str">
        <f t="shared" si="1113"/>
        <v>6411231464</v>
      </c>
      <c r="F6193" s="1">
        <v>45037</v>
      </c>
      <c r="G6193" t="str">
        <f>"91169"</f>
        <v>91169</v>
      </c>
      <c r="H6193">
        <v>1</v>
      </c>
      <c r="I6193">
        <v>426</v>
      </c>
      <c r="J6193">
        <v>0</v>
      </c>
      <c r="K6193" t="str">
        <f t="shared" si="1119"/>
        <v>813</v>
      </c>
      <c r="L6193">
        <v>357.84</v>
      </c>
    </row>
    <row r="6194" spans="1:12" x14ac:dyDescent="0.25">
      <c r="A6194" t="str">
        <f t="shared" si="1112"/>
        <v>89301000</v>
      </c>
      <c r="B6194" t="str">
        <f t="shared" si="1121"/>
        <v>06539000</v>
      </c>
      <c r="C6194" t="str">
        <f t="shared" si="1117"/>
        <v>06539003</v>
      </c>
      <c r="D6194">
        <v>89301171</v>
      </c>
      <c r="E6194" t="str">
        <f t="shared" si="1113"/>
        <v>6411231464</v>
      </c>
      <c r="F6194" s="1">
        <v>45041</v>
      </c>
      <c r="G6194" t="str">
        <f>"91475"</f>
        <v>91475</v>
      </c>
      <c r="H6194">
        <v>1</v>
      </c>
      <c r="I6194">
        <v>213</v>
      </c>
      <c r="J6194">
        <v>0</v>
      </c>
      <c r="K6194" t="str">
        <f t="shared" si="1119"/>
        <v>813</v>
      </c>
      <c r="L6194">
        <v>178.92</v>
      </c>
    </row>
    <row r="6195" spans="1:12" x14ac:dyDescent="0.25">
      <c r="A6195" t="str">
        <f t="shared" si="1112"/>
        <v>89301000</v>
      </c>
      <c r="B6195" t="str">
        <f t="shared" si="1121"/>
        <v>06539000</v>
      </c>
      <c r="C6195" t="str">
        <f t="shared" ref="C6195:C6220" si="1122">"06539003"</f>
        <v>06539003</v>
      </c>
      <c r="D6195">
        <v>89301172</v>
      </c>
      <c r="E6195" t="str">
        <f>"5806160613"</f>
        <v>5806160613</v>
      </c>
      <c r="F6195" s="1">
        <v>45044</v>
      </c>
      <c r="G6195" t="str">
        <f>"91329"</f>
        <v>91329</v>
      </c>
      <c r="H6195">
        <v>2</v>
      </c>
      <c r="I6195">
        <v>436</v>
      </c>
      <c r="J6195">
        <v>0</v>
      </c>
      <c r="K6195" t="str">
        <f t="shared" ref="K6195:K6220" si="1123">"813"</f>
        <v>813</v>
      </c>
      <c r="L6195">
        <v>366.24</v>
      </c>
    </row>
    <row r="6196" spans="1:12" x14ac:dyDescent="0.25">
      <c r="A6196" t="str">
        <f t="shared" si="1112"/>
        <v>89301000</v>
      </c>
      <c r="B6196" t="str">
        <f t="shared" si="1121"/>
        <v>06539000</v>
      </c>
      <c r="C6196" t="str">
        <f t="shared" si="1122"/>
        <v>06539003</v>
      </c>
      <c r="D6196">
        <v>89301172</v>
      </c>
      <c r="E6196" t="str">
        <f>"5806160613"</f>
        <v>5806160613</v>
      </c>
      <c r="F6196" s="1">
        <v>45044</v>
      </c>
      <c r="G6196" t="str">
        <f>"91329"</f>
        <v>91329</v>
      </c>
      <c r="H6196">
        <v>2</v>
      </c>
      <c r="I6196">
        <v>436</v>
      </c>
      <c r="J6196">
        <v>0</v>
      </c>
      <c r="K6196" t="str">
        <f t="shared" si="1123"/>
        <v>813</v>
      </c>
      <c r="L6196">
        <v>366.24</v>
      </c>
    </row>
    <row r="6197" spans="1:12" x14ac:dyDescent="0.25">
      <c r="A6197" t="str">
        <f t="shared" si="1112"/>
        <v>89301000</v>
      </c>
      <c r="B6197" t="str">
        <f t="shared" si="1121"/>
        <v>06539000</v>
      </c>
      <c r="C6197" t="str">
        <f t="shared" si="1122"/>
        <v>06539003</v>
      </c>
      <c r="D6197">
        <v>89301172</v>
      </c>
      <c r="E6197" t="str">
        <f>"5806160613"</f>
        <v>5806160613</v>
      </c>
      <c r="F6197" s="1">
        <v>45050</v>
      </c>
      <c r="G6197" t="str">
        <f>"91475"</f>
        <v>91475</v>
      </c>
      <c r="H6197">
        <v>1</v>
      </c>
      <c r="I6197">
        <v>213</v>
      </c>
      <c r="J6197">
        <v>0</v>
      </c>
      <c r="K6197" t="str">
        <f t="shared" si="1123"/>
        <v>813</v>
      </c>
      <c r="L6197">
        <v>178.92</v>
      </c>
    </row>
    <row r="6198" spans="1:12" x14ac:dyDescent="0.25">
      <c r="A6198" t="str">
        <f t="shared" si="1112"/>
        <v>89301000</v>
      </c>
      <c r="B6198" t="str">
        <f t="shared" si="1121"/>
        <v>06539000</v>
      </c>
      <c r="C6198" t="str">
        <f t="shared" si="1122"/>
        <v>06539003</v>
      </c>
      <c r="D6198">
        <v>89301171</v>
      </c>
      <c r="E6198" t="str">
        <f t="shared" ref="E6198:E6220" si="1124">"9552085730"</f>
        <v>9552085730</v>
      </c>
      <c r="F6198" s="1">
        <v>45057</v>
      </c>
      <c r="G6198" t="str">
        <f t="shared" ref="G6198:G6207" si="1125">"91413"</f>
        <v>91413</v>
      </c>
      <c r="H6198">
        <v>1</v>
      </c>
      <c r="I6198">
        <v>868</v>
      </c>
      <c r="J6198">
        <v>0</v>
      </c>
      <c r="K6198" t="str">
        <f t="shared" si="1123"/>
        <v>813</v>
      </c>
      <c r="L6198">
        <v>729.12</v>
      </c>
    </row>
    <row r="6199" spans="1:12" x14ac:dyDescent="0.25">
      <c r="A6199" t="str">
        <f t="shared" si="1112"/>
        <v>89301000</v>
      </c>
      <c r="B6199" t="str">
        <f t="shared" si="1121"/>
        <v>06539000</v>
      </c>
      <c r="C6199" t="str">
        <f t="shared" si="1122"/>
        <v>06539003</v>
      </c>
      <c r="D6199">
        <v>89301171</v>
      </c>
      <c r="E6199" t="str">
        <f t="shared" si="1124"/>
        <v>9552085730</v>
      </c>
      <c r="F6199" s="1">
        <v>45057</v>
      </c>
      <c r="G6199" t="str">
        <f t="shared" si="1125"/>
        <v>91413</v>
      </c>
      <c r="H6199">
        <v>1</v>
      </c>
      <c r="I6199">
        <v>868</v>
      </c>
      <c r="J6199">
        <v>0</v>
      </c>
      <c r="K6199" t="str">
        <f t="shared" si="1123"/>
        <v>813</v>
      </c>
      <c r="L6199">
        <v>729.12</v>
      </c>
    </row>
    <row r="6200" spans="1:12" x14ac:dyDescent="0.25">
      <c r="A6200" t="str">
        <f t="shared" si="1112"/>
        <v>89301000</v>
      </c>
      <c r="B6200" t="str">
        <f t="shared" si="1121"/>
        <v>06539000</v>
      </c>
      <c r="C6200" t="str">
        <f t="shared" si="1122"/>
        <v>06539003</v>
      </c>
      <c r="D6200">
        <v>89301171</v>
      </c>
      <c r="E6200" t="str">
        <f t="shared" si="1124"/>
        <v>9552085730</v>
      </c>
      <c r="F6200" s="1">
        <v>45064</v>
      </c>
      <c r="G6200" t="str">
        <f t="shared" si="1125"/>
        <v>91413</v>
      </c>
      <c r="H6200">
        <v>1</v>
      </c>
      <c r="I6200">
        <v>868</v>
      </c>
      <c r="J6200">
        <v>0</v>
      </c>
      <c r="K6200" t="str">
        <f t="shared" si="1123"/>
        <v>813</v>
      </c>
      <c r="L6200">
        <v>729.12</v>
      </c>
    </row>
    <row r="6201" spans="1:12" x14ac:dyDescent="0.25">
      <c r="A6201" t="str">
        <f t="shared" si="1112"/>
        <v>89301000</v>
      </c>
      <c r="B6201" t="str">
        <f t="shared" si="1121"/>
        <v>06539000</v>
      </c>
      <c r="C6201" t="str">
        <f t="shared" si="1122"/>
        <v>06539003</v>
      </c>
      <c r="D6201">
        <v>89301171</v>
      </c>
      <c r="E6201" t="str">
        <f t="shared" si="1124"/>
        <v>9552085730</v>
      </c>
      <c r="F6201" s="1">
        <v>45064</v>
      </c>
      <c r="G6201" t="str">
        <f t="shared" si="1125"/>
        <v>91413</v>
      </c>
      <c r="H6201">
        <v>1</v>
      </c>
      <c r="I6201">
        <v>868</v>
      </c>
      <c r="J6201">
        <v>0</v>
      </c>
      <c r="K6201" t="str">
        <f t="shared" si="1123"/>
        <v>813</v>
      </c>
      <c r="L6201">
        <v>729.12</v>
      </c>
    </row>
    <row r="6202" spans="1:12" x14ac:dyDescent="0.25">
      <c r="A6202" t="str">
        <f t="shared" si="1112"/>
        <v>89301000</v>
      </c>
      <c r="B6202" t="str">
        <f t="shared" si="1121"/>
        <v>06539000</v>
      </c>
      <c r="C6202" t="str">
        <f t="shared" si="1122"/>
        <v>06539003</v>
      </c>
      <c r="D6202">
        <v>89301171</v>
      </c>
      <c r="E6202" t="str">
        <f t="shared" si="1124"/>
        <v>9552085730</v>
      </c>
      <c r="F6202" s="1">
        <v>45063</v>
      </c>
      <c r="G6202" t="str">
        <f t="shared" si="1125"/>
        <v>91413</v>
      </c>
      <c r="H6202">
        <v>1</v>
      </c>
      <c r="I6202">
        <v>868</v>
      </c>
      <c r="J6202">
        <v>0</v>
      </c>
      <c r="K6202" t="str">
        <f t="shared" si="1123"/>
        <v>813</v>
      </c>
      <c r="L6202">
        <v>729.12</v>
      </c>
    </row>
    <row r="6203" spans="1:12" x14ac:dyDescent="0.25">
      <c r="A6203" t="str">
        <f t="shared" si="1112"/>
        <v>89301000</v>
      </c>
      <c r="B6203" t="str">
        <f t="shared" si="1121"/>
        <v>06539000</v>
      </c>
      <c r="C6203" t="str">
        <f t="shared" si="1122"/>
        <v>06539003</v>
      </c>
      <c r="D6203">
        <v>89301171</v>
      </c>
      <c r="E6203" t="str">
        <f t="shared" si="1124"/>
        <v>9552085730</v>
      </c>
      <c r="F6203" s="1">
        <v>45063</v>
      </c>
      <c r="G6203" t="str">
        <f t="shared" si="1125"/>
        <v>91413</v>
      </c>
      <c r="H6203">
        <v>1</v>
      </c>
      <c r="I6203">
        <v>868</v>
      </c>
      <c r="J6203">
        <v>0</v>
      </c>
      <c r="K6203" t="str">
        <f t="shared" si="1123"/>
        <v>813</v>
      </c>
      <c r="L6203">
        <v>729.12</v>
      </c>
    </row>
    <row r="6204" spans="1:12" x14ac:dyDescent="0.25">
      <c r="A6204" t="str">
        <f t="shared" si="1112"/>
        <v>89301000</v>
      </c>
      <c r="B6204" t="str">
        <f t="shared" si="1121"/>
        <v>06539000</v>
      </c>
      <c r="C6204" t="str">
        <f t="shared" si="1122"/>
        <v>06539003</v>
      </c>
      <c r="D6204">
        <v>89301171</v>
      </c>
      <c r="E6204" t="str">
        <f t="shared" si="1124"/>
        <v>9552085730</v>
      </c>
      <c r="F6204" s="1">
        <v>45064</v>
      </c>
      <c r="G6204" t="str">
        <f t="shared" si="1125"/>
        <v>91413</v>
      </c>
      <c r="H6204">
        <v>1</v>
      </c>
      <c r="I6204">
        <v>868</v>
      </c>
      <c r="J6204">
        <v>0</v>
      </c>
      <c r="K6204" t="str">
        <f t="shared" si="1123"/>
        <v>813</v>
      </c>
      <c r="L6204">
        <v>729.12</v>
      </c>
    </row>
    <row r="6205" spans="1:12" x14ac:dyDescent="0.25">
      <c r="A6205" t="str">
        <f t="shared" si="1112"/>
        <v>89301000</v>
      </c>
      <c r="B6205" t="str">
        <f t="shared" si="1121"/>
        <v>06539000</v>
      </c>
      <c r="C6205" t="str">
        <f t="shared" si="1122"/>
        <v>06539003</v>
      </c>
      <c r="D6205">
        <v>89301171</v>
      </c>
      <c r="E6205" t="str">
        <f t="shared" si="1124"/>
        <v>9552085730</v>
      </c>
      <c r="F6205" s="1">
        <v>45064</v>
      </c>
      <c r="G6205" t="str">
        <f t="shared" si="1125"/>
        <v>91413</v>
      </c>
      <c r="H6205">
        <v>1</v>
      </c>
      <c r="I6205">
        <v>868</v>
      </c>
      <c r="J6205">
        <v>0</v>
      </c>
      <c r="K6205" t="str">
        <f t="shared" si="1123"/>
        <v>813</v>
      </c>
      <c r="L6205">
        <v>729.12</v>
      </c>
    </row>
    <row r="6206" spans="1:12" x14ac:dyDescent="0.25">
      <c r="A6206" t="str">
        <f t="shared" si="1112"/>
        <v>89301000</v>
      </c>
      <c r="B6206" t="str">
        <f t="shared" si="1121"/>
        <v>06539000</v>
      </c>
      <c r="C6206" t="str">
        <f t="shared" si="1122"/>
        <v>06539003</v>
      </c>
      <c r="D6206">
        <v>89301171</v>
      </c>
      <c r="E6206" t="str">
        <f t="shared" si="1124"/>
        <v>9552085730</v>
      </c>
      <c r="F6206" s="1">
        <v>45064</v>
      </c>
      <c r="G6206" t="str">
        <f t="shared" si="1125"/>
        <v>91413</v>
      </c>
      <c r="H6206">
        <v>1</v>
      </c>
      <c r="I6206">
        <v>868</v>
      </c>
      <c r="J6206">
        <v>0</v>
      </c>
      <c r="K6206" t="str">
        <f t="shared" si="1123"/>
        <v>813</v>
      </c>
      <c r="L6206">
        <v>729.12</v>
      </c>
    </row>
    <row r="6207" spans="1:12" x14ac:dyDescent="0.25">
      <c r="A6207" t="str">
        <f t="shared" si="1112"/>
        <v>89301000</v>
      </c>
      <c r="B6207" t="str">
        <f t="shared" ref="B6207:B6225" si="1126">"06539000"</f>
        <v>06539000</v>
      </c>
      <c r="C6207" t="str">
        <f t="shared" si="1122"/>
        <v>06539003</v>
      </c>
      <c r="D6207">
        <v>89301171</v>
      </c>
      <c r="E6207" t="str">
        <f t="shared" si="1124"/>
        <v>9552085730</v>
      </c>
      <c r="F6207" s="1">
        <v>45064</v>
      </c>
      <c r="G6207" t="str">
        <f t="shared" si="1125"/>
        <v>91413</v>
      </c>
      <c r="H6207">
        <v>1</v>
      </c>
      <c r="I6207">
        <v>868</v>
      </c>
      <c r="J6207">
        <v>0</v>
      </c>
      <c r="K6207" t="str">
        <f t="shared" si="1123"/>
        <v>813</v>
      </c>
      <c r="L6207">
        <v>729.12</v>
      </c>
    </row>
    <row r="6208" spans="1:12" x14ac:dyDescent="0.25">
      <c r="A6208" t="str">
        <f t="shared" si="1112"/>
        <v>89301000</v>
      </c>
      <c r="B6208" t="str">
        <f t="shared" si="1126"/>
        <v>06539000</v>
      </c>
      <c r="C6208" t="str">
        <f t="shared" si="1122"/>
        <v>06539003</v>
      </c>
      <c r="D6208">
        <v>89301171</v>
      </c>
      <c r="E6208" t="str">
        <f t="shared" si="1124"/>
        <v>9552085730</v>
      </c>
      <c r="F6208" s="1">
        <v>45054</v>
      </c>
      <c r="G6208" t="str">
        <f t="shared" ref="G6208:G6213" si="1127">"91197"</f>
        <v>91197</v>
      </c>
      <c r="H6208">
        <v>1</v>
      </c>
      <c r="I6208">
        <v>1048</v>
      </c>
      <c r="J6208">
        <v>0</v>
      </c>
      <c r="K6208" t="str">
        <f t="shared" si="1123"/>
        <v>813</v>
      </c>
      <c r="L6208">
        <v>880.32</v>
      </c>
    </row>
    <row r="6209" spans="1:12" x14ac:dyDescent="0.25">
      <c r="A6209" t="str">
        <f t="shared" si="1112"/>
        <v>89301000</v>
      </c>
      <c r="B6209" t="str">
        <f t="shared" si="1126"/>
        <v>06539000</v>
      </c>
      <c r="C6209" t="str">
        <f t="shared" si="1122"/>
        <v>06539003</v>
      </c>
      <c r="D6209">
        <v>89301171</v>
      </c>
      <c r="E6209" t="str">
        <f t="shared" si="1124"/>
        <v>9552085730</v>
      </c>
      <c r="F6209" s="1">
        <v>45054</v>
      </c>
      <c r="G6209" t="str">
        <f t="shared" si="1127"/>
        <v>91197</v>
      </c>
      <c r="H6209">
        <v>1</v>
      </c>
      <c r="I6209">
        <v>1048</v>
      </c>
      <c r="J6209">
        <v>0</v>
      </c>
      <c r="K6209" t="str">
        <f t="shared" si="1123"/>
        <v>813</v>
      </c>
      <c r="L6209">
        <v>880.32</v>
      </c>
    </row>
    <row r="6210" spans="1:12" x14ac:dyDescent="0.25">
      <c r="A6210" t="str">
        <f t="shared" ref="A6210:A6273" si="1128">"89301000"</f>
        <v>89301000</v>
      </c>
      <c r="B6210" t="str">
        <f t="shared" si="1126"/>
        <v>06539000</v>
      </c>
      <c r="C6210" t="str">
        <f t="shared" si="1122"/>
        <v>06539003</v>
      </c>
      <c r="D6210">
        <v>89301171</v>
      </c>
      <c r="E6210" t="str">
        <f t="shared" si="1124"/>
        <v>9552085730</v>
      </c>
      <c r="F6210" s="1">
        <v>45053</v>
      </c>
      <c r="G6210" t="str">
        <f t="shared" si="1127"/>
        <v>91197</v>
      </c>
      <c r="H6210">
        <v>1</v>
      </c>
      <c r="I6210">
        <v>1048</v>
      </c>
      <c r="J6210">
        <v>0</v>
      </c>
      <c r="K6210" t="str">
        <f t="shared" si="1123"/>
        <v>813</v>
      </c>
      <c r="L6210">
        <v>880.32</v>
      </c>
    </row>
    <row r="6211" spans="1:12" x14ac:dyDescent="0.25">
      <c r="A6211" t="str">
        <f t="shared" si="1128"/>
        <v>89301000</v>
      </c>
      <c r="B6211" t="str">
        <f t="shared" si="1126"/>
        <v>06539000</v>
      </c>
      <c r="C6211" t="str">
        <f t="shared" si="1122"/>
        <v>06539003</v>
      </c>
      <c r="D6211">
        <v>89301171</v>
      </c>
      <c r="E6211" t="str">
        <f t="shared" si="1124"/>
        <v>9552085730</v>
      </c>
      <c r="F6211" s="1">
        <v>45053</v>
      </c>
      <c r="G6211" t="str">
        <f t="shared" si="1127"/>
        <v>91197</v>
      </c>
      <c r="H6211">
        <v>1</v>
      </c>
      <c r="I6211">
        <v>1048</v>
      </c>
      <c r="J6211">
        <v>0</v>
      </c>
      <c r="K6211" t="str">
        <f t="shared" si="1123"/>
        <v>813</v>
      </c>
      <c r="L6211">
        <v>880.32</v>
      </c>
    </row>
    <row r="6212" spans="1:12" x14ac:dyDescent="0.25">
      <c r="A6212" t="str">
        <f t="shared" si="1128"/>
        <v>89301000</v>
      </c>
      <c r="B6212" t="str">
        <f t="shared" si="1126"/>
        <v>06539000</v>
      </c>
      <c r="C6212" t="str">
        <f t="shared" si="1122"/>
        <v>06539003</v>
      </c>
      <c r="D6212">
        <v>89301171</v>
      </c>
      <c r="E6212" t="str">
        <f t="shared" si="1124"/>
        <v>9552085730</v>
      </c>
      <c r="F6212" s="1">
        <v>45052</v>
      </c>
      <c r="G6212" t="str">
        <f t="shared" si="1127"/>
        <v>91197</v>
      </c>
      <c r="H6212">
        <v>1</v>
      </c>
      <c r="I6212">
        <v>1048</v>
      </c>
      <c r="J6212">
        <v>0</v>
      </c>
      <c r="K6212" t="str">
        <f t="shared" si="1123"/>
        <v>813</v>
      </c>
      <c r="L6212">
        <v>880.32</v>
      </c>
    </row>
    <row r="6213" spans="1:12" x14ac:dyDescent="0.25">
      <c r="A6213" t="str">
        <f t="shared" si="1128"/>
        <v>89301000</v>
      </c>
      <c r="B6213" t="str">
        <f t="shared" si="1126"/>
        <v>06539000</v>
      </c>
      <c r="C6213" t="str">
        <f t="shared" si="1122"/>
        <v>06539003</v>
      </c>
      <c r="D6213">
        <v>89301171</v>
      </c>
      <c r="E6213" t="str">
        <f t="shared" si="1124"/>
        <v>9552085730</v>
      </c>
      <c r="F6213" s="1">
        <v>45052</v>
      </c>
      <c r="G6213" t="str">
        <f t="shared" si="1127"/>
        <v>91197</v>
      </c>
      <c r="H6213">
        <v>1</v>
      </c>
      <c r="I6213">
        <v>1048</v>
      </c>
      <c r="J6213">
        <v>0</v>
      </c>
      <c r="K6213" t="str">
        <f t="shared" si="1123"/>
        <v>813</v>
      </c>
      <c r="L6213">
        <v>880.32</v>
      </c>
    </row>
    <row r="6214" spans="1:12" x14ac:dyDescent="0.25">
      <c r="A6214" t="str">
        <f t="shared" si="1128"/>
        <v>89301000</v>
      </c>
      <c r="B6214" t="str">
        <f t="shared" si="1126"/>
        <v>06539000</v>
      </c>
      <c r="C6214" t="str">
        <f t="shared" si="1122"/>
        <v>06539003</v>
      </c>
      <c r="D6214">
        <v>89301171</v>
      </c>
      <c r="E6214" t="str">
        <f t="shared" si="1124"/>
        <v>9552085730</v>
      </c>
      <c r="F6214" s="1">
        <v>45064</v>
      </c>
      <c r="G6214" t="str">
        <f>"91329"</f>
        <v>91329</v>
      </c>
      <c r="H6214">
        <v>2</v>
      </c>
      <c r="I6214">
        <v>436</v>
      </c>
      <c r="J6214">
        <v>0</v>
      </c>
      <c r="K6214" t="str">
        <f t="shared" si="1123"/>
        <v>813</v>
      </c>
      <c r="L6214">
        <v>366.24</v>
      </c>
    </row>
    <row r="6215" spans="1:12" x14ac:dyDescent="0.25">
      <c r="A6215" t="str">
        <f t="shared" si="1128"/>
        <v>89301000</v>
      </c>
      <c r="B6215" t="str">
        <f t="shared" si="1126"/>
        <v>06539000</v>
      </c>
      <c r="C6215" t="str">
        <f t="shared" si="1122"/>
        <v>06539003</v>
      </c>
      <c r="D6215">
        <v>89301171</v>
      </c>
      <c r="E6215" t="str">
        <f t="shared" si="1124"/>
        <v>9552085730</v>
      </c>
      <c r="F6215" s="1">
        <v>45064</v>
      </c>
      <c r="G6215" t="str">
        <f>"91329"</f>
        <v>91329</v>
      </c>
      <c r="H6215">
        <v>2</v>
      </c>
      <c r="I6215">
        <v>436</v>
      </c>
      <c r="J6215">
        <v>0</v>
      </c>
      <c r="K6215" t="str">
        <f t="shared" si="1123"/>
        <v>813</v>
      </c>
      <c r="L6215">
        <v>366.24</v>
      </c>
    </row>
    <row r="6216" spans="1:12" x14ac:dyDescent="0.25">
      <c r="A6216" t="str">
        <f t="shared" si="1128"/>
        <v>89301000</v>
      </c>
      <c r="B6216" t="str">
        <f t="shared" si="1126"/>
        <v>06539000</v>
      </c>
      <c r="C6216" t="str">
        <f t="shared" si="1122"/>
        <v>06539003</v>
      </c>
      <c r="D6216">
        <v>89301171</v>
      </c>
      <c r="E6216" t="str">
        <f t="shared" si="1124"/>
        <v>9552085730</v>
      </c>
      <c r="F6216" s="1">
        <v>45064</v>
      </c>
      <c r="G6216" t="str">
        <f>"91329"</f>
        <v>91329</v>
      </c>
      <c r="H6216">
        <v>2</v>
      </c>
      <c r="I6216">
        <v>436</v>
      </c>
      <c r="J6216">
        <v>0</v>
      </c>
      <c r="K6216" t="str">
        <f t="shared" si="1123"/>
        <v>813</v>
      </c>
      <c r="L6216">
        <v>366.24</v>
      </c>
    </row>
    <row r="6217" spans="1:12" x14ac:dyDescent="0.25">
      <c r="A6217" t="str">
        <f t="shared" si="1128"/>
        <v>89301000</v>
      </c>
      <c r="B6217" t="str">
        <f t="shared" si="1126"/>
        <v>06539000</v>
      </c>
      <c r="C6217" t="str">
        <f t="shared" si="1122"/>
        <v>06539003</v>
      </c>
      <c r="D6217">
        <v>89301171</v>
      </c>
      <c r="E6217" t="str">
        <f t="shared" si="1124"/>
        <v>9552085730</v>
      </c>
      <c r="F6217" s="1">
        <v>45064</v>
      </c>
      <c r="G6217" t="str">
        <f>"91329"</f>
        <v>91329</v>
      </c>
      <c r="H6217">
        <v>2</v>
      </c>
      <c r="I6217">
        <v>436</v>
      </c>
      <c r="J6217">
        <v>0</v>
      </c>
      <c r="K6217" t="str">
        <f t="shared" si="1123"/>
        <v>813</v>
      </c>
      <c r="L6217">
        <v>366.24</v>
      </c>
    </row>
    <row r="6218" spans="1:12" x14ac:dyDescent="0.25">
      <c r="A6218" t="str">
        <f t="shared" si="1128"/>
        <v>89301000</v>
      </c>
      <c r="B6218" t="str">
        <f t="shared" si="1126"/>
        <v>06539000</v>
      </c>
      <c r="C6218" t="str">
        <f t="shared" si="1122"/>
        <v>06539003</v>
      </c>
      <c r="D6218">
        <v>89301171</v>
      </c>
      <c r="E6218" t="str">
        <f t="shared" si="1124"/>
        <v>9552085730</v>
      </c>
      <c r="F6218" s="1">
        <v>45052</v>
      </c>
      <c r="G6218" t="str">
        <f>"91167"</f>
        <v>91167</v>
      </c>
      <c r="H6218">
        <v>1</v>
      </c>
      <c r="I6218">
        <v>426</v>
      </c>
      <c r="J6218">
        <v>0</v>
      </c>
      <c r="K6218" t="str">
        <f t="shared" si="1123"/>
        <v>813</v>
      </c>
      <c r="L6218">
        <v>357.84</v>
      </c>
    </row>
    <row r="6219" spans="1:12" x14ac:dyDescent="0.25">
      <c r="A6219" t="str">
        <f t="shared" si="1128"/>
        <v>89301000</v>
      </c>
      <c r="B6219" t="str">
        <f t="shared" si="1126"/>
        <v>06539000</v>
      </c>
      <c r="C6219" t="str">
        <f t="shared" si="1122"/>
        <v>06539003</v>
      </c>
      <c r="D6219">
        <v>89301171</v>
      </c>
      <c r="E6219" t="str">
        <f t="shared" si="1124"/>
        <v>9552085730</v>
      </c>
      <c r="F6219" s="1">
        <v>45052</v>
      </c>
      <c r="G6219" t="str">
        <f>"91169"</f>
        <v>91169</v>
      </c>
      <c r="H6219">
        <v>1</v>
      </c>
      <c r="I6219">
        <v>426</v>
      </c>
      <c r="J6219">
        <v>0</v>
      </c>
      <c r="K6219" t="str">
        <f t="shared" si="1123"/>
        <v>813</v>
      </c>
      <c r="L6219">
        <v>357.84</v>
      </c>
    </row>
    <row r="6220" spans="1:12" x14ac:dyDescent="0.25">
      <c r="A6220" t="str">
        <f t="shared" si="1128"/>
        <v>89301000</v>
      </c>
      <c r="B6220" t="str">
        <f t="shared" si="1126"/>
        <v>06539000</v>
      </c>
      <c r="C6220" t="str">
        <f t="shared" si="1122"/>
        <v>06539003</v>
      </c>
      <c r="D6220">
        <v>89301171</v>
      </c>
      <c r="E6220" t="str">
        <f t="shared" si="1124"/>
        <v>9552085730</v>
      </c>
      <c r="F6220" s="1">
        <v>45057</v>
      </c>
      <c r="G6220" t="str">
        <f>"91475"</f>
        <v>91475</v>
      </c>
      <c r="H6220">
        <v>1</v>
      </c>
      <c r="I6220">
        <v>213</v>
      </c>
      <c r="J6220">
        <v>0</v>
      </c>
      <c r="K6220" t="str">
        <f t="shared" si="1123"/>
        <v>813</v>
      </c>
      <c r="L6220">
        <v>178.92</v>
      </c>
    </row>
    <row r="6221" spans="1:12" x14ac:dyDescent="0.25">
      <c r="A6221" t="str">
        <f t="shared" si="1128"/>
        <v>89301000</v>
      </c>
      <c r="B6221" t="str">
        <f t="shared" si="1126"/>
        <v>06539000</v>
      </c>
      <c r="C6221" t="str">
        <f>"06539001"</f>
        <v>06539001</v>
      </c>
      <c r="D6221">
        <v>89301171</v>
      </c>
      <c r="E6221" t="str">
        <f>"0361165706"</f>
        <v>0361165706</v>
      </c>
      <c r="F6221" s="1">
        <v>45055</v>
      </c>
      <c r="G6221" t="str">
        <f>"81705"</f>
        <v>81705</v>
      </c>
      <c r="H6221">
        <v>1</v>
      </c>
      <c r="I6221">
        <v>348</v>
      </c>
      <c r="J6221">
        <v>0</v>
      </c>
      <c r="K6221" t="str">
        <f>"801"</f>
        <v>801</v>
      </c>
      <c r="L6221">
        <v>292.32</v>
      </c>
    </row>
    <row r="6222" spans="1:12" x14ac:dyDescent="0.25">
      <c r="A6222" t="str">
        <f t="shared" si="1128"/>
        <v>89301000</v>
      </c>
      <c r="B6222" t="str">
        <f t="shared" si="1126"/>
        <v>06539000</v>
      </c>
      <c r="C6222" t="str">
        <f>"06539001"</f>
        <v>06539001</v>
      </c>
      <c r="D6222">
        <v>89301171</v>
      </c>
      <c r="E6222" t="str">
        <f>"0361165706"</f>
        <v>0361165706</v>
      </c>
      <c r="F6222" s="1">
        <v>45058</v>
      </c>
      <c r="G6222" t="str">
        <f>"81705"</f>
        <v>81705</v>
      </c>
      <c r="H6222">
        <v>1</v>
      </c>
      <c r="I6222">
        <v>348</v>
      </c>
      <c r="J6222">
        <v>0</v>
      </c>
      <c r="K6222" t="str">
        <f>"801"</f>
        <v>801</v>
      </c>
      <c r="L6222">
        <v>292.32</v>
      </c>
    </row>
    <row r="6223" spans="1:12" x14ac:dyDescent="0.25">
      <c r="A6223" t="str">
        <f t="shared" si="1128"/>
        <v>89301000</v>
      </c>
      <c r="B6223" t="str">
        <f t="shared" si="1126"/>
        <v>06539000</v>
      </c>
      <c r="C6223" t="str">
        <f>"06539003"</f>
        <v>06539003</v>
      </c>
      <c r="D6223">
        <v>89301171</v>
      </c>
      <c r="E6223" t="str">
        <f>"0361165706"</f>
        <v>0361165706</v>
      </c>
      <c r="F6223" s="1">
        <v>45055</v>
      </c>
      <c r="G6223" t="str">
        <f>"91329"</f>
        <v>91329</v>
      </c>
      <c r="H6223">
        <v>2</v>
      </c>
      <c r="I6223">
        <v>436</v>
      </c>
      <c r="J6223">
        <v>0</v>
      </c>
      <c r="K6223" t="str">
        <f>"813"</f>
        <v>813</v>
      </c>
      <c r="L6223">
        <v>366.24</v>
      </c>
    </row>
    <row r="6224" spans="1:12" x14ac:dyDescent="0.25">
      <c r="A6224" t="str">
        <f t="shared" si="1128"/>
        <v>89301000</v>
      </c>
      <c r="B6224" t="str">
        <f t="shared" si="1126"/>
        <v>06539000</v>
      </c>
      <c r="C6224" t="str">
        <f>"06539003"</f>
        <v>06539003</v>
      </c>
      <c r="D6224">
        <v>89301171</v>
      </c>
      <c r="E6224" t="str">
        <f>"0361165706"</f>
        <v>0361165706</v>
      </c>
      <c r="F6224" s="1">
        <v>45058</v>
      </c>
      <c r="G6224" t="str">
        <f>"91475"</f>
        <v>91475</v>
      </c>
      <c r="H6224">
        <v>1</v>
      </c>
      <c r="I6224">
        <v>213</v>
      </c>
      <c r="J6224">
        <v>0</v>
      </c>
      <c r="K6224" t="str">
        <f>"813"</f>
        <v>813</v>
      </c>
      <c r="L6224">
        <v>178.92</v>
      </c>
    </row>
    <row r="6225" spans="1:12" x14ac:dyDescent="0.25">
      <c r="A6225" t="str">
        <f t="shared" si="1128"/>
        <v>89301000</v>
      </c>
      <c r="B6225" t="str">
        <f t="shared" si="1126"/>
        <v>06539000</v>
      </c>
      <c r="C6225" t="str">
        <f>"06539001"</f>
        <v>06539001</v>
      </c>
      <c r="D6225">
        <v>89301171</v>
      </c>
      <c r="E6225" t="str">
        <f>"6362081539"</f>
        <v>6362081539</v>
      </c>
      <c r="F6225" s="1">
        <v>45072</v>
      </c>
      <c r="G6225" t="str">
        <f>"81705"</f>
        <v>81705</v>
      </c>
      <c r="H6225">
        <v>1</v>
      </c>
      <c r="I6225">
        <v>348</v>
      </c>
      <c r="J6225">
        <v>0</v>
      </c>
      <c r="K6225" t="str">
        <f>"801"</f>
        <v>801</v>
      </c>
      <c r="L6225">
        <v>292.32</v>
      </c>
    </row>
    <row r="6226" spans="1:12" x14ac:dyDescent="0.25">
      <c r="A6226" t="str">
        <f t="shared" si="1128"/>
        <v>89301000</v>
      </c>
      <c r="B6226" t="str">
        <f t="shared" ref="B6226:C6229" si="1129">"89632000"</f>
        <v>89632000</v>
      </c>
      <c r="C6226" t="str">
        <f t="shared" si="1129"/>
        <v>89632000</v>
      </c>
      <c r="D6226">
        <v>89301212</v>
      </c>
      <c r="E6226" t="str">
        <f>"0412043225"</f>
        <v>0412043225</v>
      </c>
      <c r="F6226" s="1">
        <v>45049</v>
      </c>
      <c r="G6226" t="str">
        <f>"09139"</f>
        <v>09139</v>
      </c>
      <c r="H6226">
        <v>1</v>
      </c>
      <c r="I6226">
        <v>356</v>
      </c>
      <c r="J6226">
        <v>0</v>
      </c>
      <c r="K6226" t="str">
        <f t="shared" ref="K6226:K6231" si="1130">"809"</f>
        <v>809</v>
      </c>
      <c r="L6226">
        <v>523.32000000000005</v>
      </c>
    </row>
    <row r="6227" spans="1:12" x14ac:dyDescent="0.25">
      <c r="A6227" t="str">
        <f t="shared" si="1128"/>
        <v>89301000</v>
      </c>
      <c r="B6227" t="str">
        <f t="shared" si="1129"/>
        <v>89632000</v>
      </c>
      <c r="C6227" t="str">
        <f t="shared" si="1129"/>
        <v>89632000</v>
      </c>
      <c r="D6227">
        <v>89301212</v>
      </c>
      <c r="E6227" t="str">
        <f>"0412043225"</f>
        <v>0412043225</v>
      </c>
      <c r="F6227" s="1">
        <v>45049</v>
      </c>
      <c r="G6227" t="str">
        <f>"09137"</f>
        <v>09137</v>
      </c>
      <c r="H6227">
        <v>1</v>
      </c>
      <c r="I6227">
        <v>238</v>
      </c>
      <c r="J6227">
        <v>0</v>
      </c>
      <c r="K6227" t="str">
        <f t="shared" si="1130"/>
        <v>809</v>
      </c>
      <c r="L6227">
        <v>349.86</v>
      </c>
    </row>
    <row r="6228" spans="1:12" x14ac:dyDescent="0.25">
      <c r="A6228" t="str">
        <f t="shared" si="1128"/>
        <v>89301000</v>
      </c>
      <c r="B6228" t="str">
        <f t="shared" si="1129"/>
        <v>89632000</v>
      </c>
      <c r="C6228" t="str">
        <f t="shared" si="1129"/>
        <v>89632000</v>
      </c>
      <c r="D6228">
        <v>89301212</v>
      </c>
      <c r="E6228" t="str">
        <f>"496128213"</f>
        <v>496128213</v>
      </c>
      <c r="F6228" s="1">
        <v>45062</v>
      </c>
      <c r="G6228" t="str">
        <f>"89513"</f>
        <v>89513</v>
      </c>
      <c r="H6228">
        <v>1</v>
      </c>
      <c r="I6228">
        <v>378</v>
      </c>
      <c r="J6228">
        <v>0</v>
      </c>
      <c r="K6228" t="str">
        <f t="shared" si="1130"/>
        <v>809</v>
      </c>
      <c r="L6228">
        <v>555.66</v>
      </c>
    </row>
    <row r="6229" spans="1:12" x14ac:dyDescent="0.25">
      <c r="A6229" t="str">
        <f t="shared" si="1128"/>
        <v>89301000</v>
      </c>
      <c r="B6229" t="str">
        <f t="shared" si="1129"/>
        <v>89632000</v>
      </c>
      <c r="C6229" t="str">
        <f t="shared" si="1129"/>
        <v>89632000</v>
      </c>
      <c r="D6229">
        <v>89301212</v>
      </c>
      <c r="E6229" t="str">
        <f>"496128213"</f>
        <v>496128213</v>
      </c>
      <c r="F6229" s="1">
        <v>45062</v>
      </c>
      <c r="G6229" t="str">
        <f>"89514"</f>
        <v>89514</v>
      </c>
      <c r="H6229">
        <v>1</v>
      </c>
      <c r="I6229">
        <v>378</v>
      </c>
      <c r="J6229">
        <v>0</v>
      </c>
      <c r="K6229" t="str">
        <f t="shared" si="1130"/>
        <v>809</v>
      </c>
      <c r="L6229">
        <v>555.66</v>
      </c>
    </row>
    <row r="6230" spans="1:12" x14ac:dyDescent="0.25">
      <c r="A6230" t="str">
        <f t="shared" si="1128"/>
        <v>89301000</v>
      </c>
      <c r="B6230" t="str">
        <f>"87004000"</f>
        <v>87004000</v>
      </c>
      <c r="C6230" t="str">
        <f>"87004889"</f>
        <v>87004889</v>
      </c>
      <c r="D6230">
        <v>89301042</v>
      </c>
      <c r="E6230" t="str">
        <f>"5656220108"</f>
        <v>5656220108</v>
      </c>
      <c r="F6230" s="1">
        <v>45071</v>
      </c>
      <c r="G6230" t="str">
        <f>"89513"</f>
        <v>89513</v>
      </c>
      <c r="H6230">
        <v>1</v>
      </c>
      <c r="I6230">
        <v>378</v>
      </c>
      <c r="J6230">
        <v>0</v>
      </c>
      <c r="K6230" t="str">
        <f t="shared" si="1130"/>
        <v>809</v>
      </c>
      <c r="L6230">
        <v>555.66</v>
      </c>
    </row>
    <row r="6231" spans="1:12" x14ac:dyDescent="0.25">
      <c r="A6231" t="str">
        <f t="shared" si="1128"/>
        <v>89301000</v>
      </c>
      <c r="B6231" t="str">
        <f>"87004000"</f>
        <v>87004000</v>
      </c>
      <c r="C6231" t="str">
        <f>"87004889"</f>
        <v>87004889</v>
      </c>
      <c r="D6231">
        <v>89301042</v>
      </c>
      <c r="E6231" t="str">
        <f>"5656220108"</f>
        <v>5656220108</v>
      </c>
      <c r="F6231" s="1">
        <v>45071</v>
      </c>
      <c r="G6231" t="str">
        <f>"89514"</f>
        <v>89514</v>
      </c>
      <c r="H6231">
        <v>1</v>
      </c>
      <c r="I6231">
        <v>378</v>
      </c>
      <c r="J6231">
        <v>0</v>
      </c>
      <c r="K6231" t="str">
        <f t="shared" si="1130"/>
        <v>809</v>
      </c>
      <c r="L6231">
        <v>555.66</v>
      </c>
    </row>
    <row r="6232" spans="1:12" x14ac:dyDescent="0.25">
      <c r="A6232" t="str">
        <f t="shared" si="1128"/>
        <v>89301000</v>
      </c>
      <c r="B6232" t="str">
        <f>"82001000"</f>
        <v>82001000</v>
      </c>
      <c r="C6232" t="str">
        <f>"82001848"</f>
        <v>82001848</v>
      </c>
      <c r="D6232">
        <v>89301112</v>
      </c>
      <c r="E6232" t="str">
        <f>"7362284171"</f>
        <v>7362284171</v>
      </c>
      <c r="F6232" s="1">
        <v>45055</v>
      </c>
      <c r="G6232" t="str">
        <f>"97111"</f>
        <v>97111</v>
      </c>
      <c r="H6232">
        <v>1</v>
      </c>
      <c r="I6232">
        <v>19</v>
      </c>
      <c r="J6232">
        <v>0</v>
      </c>
      <c r="K6232" t="str">
        <f>"222"</f>
        <v>222</v>
      </c>
      <c r="L6232">
        <v>23.94</v>
      </c>
    </row>
    <row r="6233" spans="1:12" x14ac:dyDescent="0.25">
      <c r="A6233" t="str">
        <f t="shared" si="1128"/>
        <v>89301000</v>
      </c>
      <c r="B6233" t="str">
        <f>"82001000"</f>
        <v>82001000</v>
      </c>
      <c r="C6233" t="str">
        <f>"82001848"</f>
        <v>82001848</v>
      </c>
      <c r="D6233">
        <v>89301112</v>
      </c>
      <c r="E6233" t="str">
        <f>"7362284171"</f>
        <v>7362284171</v>
      </c>
      <c r="F6233" s="1">
        <v>45055</v>
      </c>
      <c r="G6233" t="str">
        <f>"82075"</f>
        <v>82075</v>
      </c>
      <c r="H6233">
        <v>1</v>
      </c>
      <c r="I6233">
        <v>488</v>
      </c>
      <c r="J6233">
        <v>0</v>
      </c>
      <c r="K6233" t="str">
        <f>"222"</f>
        <v>222</v>
      </c>
      <c r="L6233">
        <v>409.92</v>
      </c>
    </row>
    <row r="6234" spans="1:12" x14ac:dyDescent="0.25">
      <c r="A6234" t="str">
        <f t="shared" si="1128"/>
        <v>89301000</v>
      </c>
      <c r="B6234" t="str">
        <f>"82001000"</f>
        <v>82001000</v>
      </c>
      <c r="C6234" t="str">
        <f>"82001848"</f>
        <v>82001848</v>
      </c>
      <c r="D6234">
        <v>89301112</v>
      </c>
      <c r="E6234" t="str">
        <f>"7362284171"</f>
        <v>7362284171</v>
      </c>
      <c r="F6234" s="1">
        <v>45055</v>
      </c>
      <c r="G6234" t="str">
        <f>"82077"</f>
        <v>82077</v>
      </c>
      <c r="H6234">
        <v>1</v>
      </c>
      <c r="I6234">
        <v>351</v>
      </c>
      <c r="J6234">
        <v>0</v>
      </c>
      <c r="K6234" t="str">
        <f>"222"</f>
        <v>222</v>
      </c>
      <c r="L6234">
        <v>294.83999999999997</v>
      </c>
    </row>
    <row r="6235" spans="1:12" x14ac:dyDescent="0.25">
      <c r="A6235" t="str">
        <f t="shared" si="1128"/>
        <v>89301000</v>
      </c>
      <c r="B6235" t="str">
        <f>"82001000"</f>
        <v>82001000</v>
      </c>
      <c r="C6235" t="str">
        <f>"82001848"</f>
        <v>82001848</v>
      </c>
      <c r="D6235">
        <v>89301112</v>
      </c>
      <c r="E6235" t="str">
        <f>"7362284171"</f>
        <v>7362284171</v>
      </c>
      <c r="F6235" s="1">
        <v>45055</v>
      </c>
      <c r="G6235" t="str">
        <f>"82119"</f>
        <v>82119</v>
      </c>
      <c r="H6235">
        <v>1</v>
      </c>
      <c r="I6235">
        <v>230</v>
      </c>
      <c r="J6235">
        <v>0</v>
      </c>
      <c r="K6235" t="str">
        <f>"222"</f>
        <v>222</v>
      </c>
      <c r="L6235">
        <v>193.2</v>
      </c>
    </row>
    <row r="6236" spans="1:12" x14ac:dyDescent="0.25">
      <c r="A6236" t="str">
        <f t="shared" si="1128"/>
        <v>89301000</v>
      </c>
      <c r="B6236" t="str">
        <f>"82001000"</f>
        <v>82001000</v>
      </c>
      <c r="C6236" t="str">
        <f>"82001848"</f>
        <v>82001848</v>
      </c>
      <c r="D6236">
        <v>89301112</v>
      </c>
      <c r="E6236" t="str">
        <f>"7362284171"</f>
        <v>7362284171</v>
      </c>
      <c r="F6236" s="1">
        <v>45055</v>
      </c>
      <c r="G6236" t="str">
        <f>"82079"</f>
        <v>82079</v>
      </c>
      <c r="H6236">
        <v>1</v>
      </c>
      <c r="I6236">
        <v>333</v>
      </c>
      <c r="J6236">
        <v>0</v>
      </c>
      <c r="K6236" t="str">
        <f>"222"</f>
        <v>222</v>
      </c>
      <c r="L6236">
        <v>279.72000000000003</v>
      </c>
    </row>
    <row r="6237" spans="1:12" x14ac:dyDescent="0.25">
      <c r="A6237" t="str">
        <f t="shared" si="1128"/>
        <v>89301000</v>
      </c>
      <c r="B6237" t="str">
        <f>"89434000"</f>
        <v>89434000</v>
      </c>
      <c r="C6237" t="str">
        <f>"89434000"</f>
        <v>89434000</v>
      </c>
      <c r="D6237">
        <v>89301212</v>
      </c>
      <c r="E6237" t="str">
        <f>"466116424"</f>
        <v>466116424</v>
      </c>
      <c r="F6237" s="1">
        <v>45076</v>
      </c>
      <c r="G6237" t="str">
        <f>"09135"</f>
        <v>09135</v>
      </c>
      <c r="H6237">
        <v>1</v>
      </c>
      <c r="I6237">
        <v>179</v>
      </c>
      <c r="J6237">
        <v>0</v>
      </c>
      <c r="K6237" t="str">
        <f>"809"</f>
        <v>809</v>
      </c>
      <c r="L6237">
        <v>263.13</v>
      </c>
    </row>
    <row r="6238" spans="1:12" x14ac:dyDescent="0.25">
      <c r="A6238" t="str">
        <f t="shared" si="1128"/>
        <v>89301000</v>
      </c>
      <c r="B6238" t="str">
        <f t="shared" ref="B6238:B6245" si="1131">"72001000"</f>
        <v>72001000</v>
      </c>
      <c r="C6238" t="str">
        <f t="shared" ref="C6238:C6245" si="1132">"72001847"</f>
        <v>72001847</v>
      </c>
      <c r="D6238">
        <v>89301202</v>
      </c>
      <c r="E6238" t="str">
        <f t="shared" ref="E6238:E6245" si="1133">"6560231678"</f>
        <v>6560231678</v>
      </c>
      <c r="F6238" s="1">
        <v>45058</v>
      </c>
      <c r="G6238" t="str">
        <f>"82075"</f>
        <v>82075</v>
      </c>
      <c r="H6238">
        <v>1</v>
      </c>
      <c r="I6238">
        <v>488</v>
      </c>
      <c r="J6238">
        <v>0</v>
      </c>
      <c r="K6238" t="str">
        <f t="shared" ref="K6238:K6245" si="1134">"802"</f>
        <v>802</v>
      </c>
      <c r="L6238">
        <v>473.36</v>
      </c>
    </row>
    <row r="6239" spans="1:12" x14ac:dyDescent="0.25">
      <c r="A6239" t="str">
        <f t="shared" si="1128"/>
        <v>89301000</v>
      </c>
      <c r="B6239" t="str">
        <f t="shared" si="1131"/>
        <v>72001000</v>
      </c>
      <c r="C6239" t="str">
        <f t="shared" si="1132"/>
        <v>72001847</v>
      </c>
      <c r="D6239">
        <v>89301202</v>
      </c>
      <c r="E6239" t="str">
        <f t="shared" si="1133"/>
        <v>6560231678</v>
      </c>
      <c r="F6239" s="1">
        <v>45058</v>
      </c>
      <c r="G6239" t="str">
        <f>"82075"</f>
        <v>82075</v>
      </c>
      <c r="H6239">
        <v>1</v>
      </c>
      <c r="I6239">
        <v>488</v>
      </c>
      <c r="J6239">
        <v>0</v>
      </c>
      <c r="K6239" t="str">
        <f t="shared" si="1134"/>
        <v>802</v>
      </c>
      <c r="L6239">
        <v>473.36</v>
      </c>
    </row>
    <row r="6240" spans="1:12" x14ac:dyDescent="0.25">
      <c r="A6240" t="str">
        <f t="shared" si="1128"/>
        <v>89301000</v>
      </c>
      <c r="B6240" t="str">
        <f t="shared" si="1131"/>
        <v>72001000</v>
      </c>
      <c r="C6240" t="str">
        <f t="shared" si="1132"/>
        <v>72001847</v>
      </c>
      <c r="D6240">
        <v>89301202</v>
      </c>
      <c r="E6240" t="str">
        <f t="shared" si="1133"/>
        <v>6560231678</v>
      </c>
      <c r="F6240" s="1">
        <v>45058</v>
      </c>
      <c r="G6240" t="str">
        <f>"82079"</f>
        <v>82079</v>
      </c>
      <c r="H6240">
        <v>1</v>
      </c>
      <c r="I6240">
        <v>333</v>
      </c>
      <c r="J6240">
        <v>0</v>
      </c>
      <c r="K6240" t="str">
        <f t="shared" si="1134"/>
        <v>802</v>
      </c>
      <c r="L6240">
        <v>323.01</v>
      </c>
    </row>
    <row r="6241" spans="1:12" x14ac:dyDescent="0.25">
      <c r="A6241" t="str">
        <f t="shared" si="1128"/>
        <v>89301000</v>
      </c>
      <c r="B6241" t="str">
        <f t="shared" si="1131"/>
        <v>72001000</v>
      </c>
      <c r="C6241" t="str">
        <f t="shared" si="1132"/>
        <v>72001847</v>
      </c>
      <c r="D6241">
        <v>89301202</v>
      </c>
      <c r="E6241" t="str">
        <f t="shared" si="1133"/>
        <v>6560231678</v>
      </c>
      <c r="F6241" s="1">
        <v>45058</v>
      </c>
      <c r="G6241" t="str">
        <f>"82079"</f>
        <v>82079</v>
      </c>
      <c r="H6241">
        <v>1</v>
      </c>
      <c r="I6241">
        <v>333</v>
      </c>
      <c r="J6241">
        <v>0</v>
      </c>
      <c r="K6241" t="str">
        <f t="shared" si="1134"/>
        <v>802</v>
      </c>
      <c r="L6241">
        <v>323.01</v>
      </c>
    </row>
    <row r="6242" spans="1:12" x14ac:dyDescent="0.25">
      <c r="A6242" t="str">
        <f t="shared" si="1128"/>
        <v>89301000</v>
      </c>
      <c r="B6242" t="str">
        <f t="shared" si="1131"/>
        <v>72001000</v>
      </c>
      <c r="C6242" t="str">
        <f t="shared" si="1132"/>
        <v>72001847</v>
      </c>
      <c r="D6242">
        <v>89301202</v>
      </c>
      <c r="E6242" t="str">
        <f t="shared" si="1133"/>
        <v>6560231678</v>
      </c>
      <c r="F6242" s="1">
        <v>45058</v>
      </c>
      <c r="G6242" t="str">
        <f>"82097"</f>
        <v>82097</v>
      </c>
      <c r="H6242">
        <v>1</v>
      </c>
      <c r="I6242">
        <v>381</v>
      </c>
      <c r="J6242">
        <v>0</v>
      </c>
      <c r="K6242" t="str">
        <f t="shared" si="1134"/>
        <v>802</v>
      </c>
      <c r="L6242">
        <v>369.57</v>
      </c>
    </row>
    <row r="6243" spans="1:12" x14ac:dyDescent="0.25">
      <c r="A6243" t="str">
        <f t="shared" si="1128"/>
        <v>89301000</v>
      </c>
      <c r="B6243" t="str">
        <f t="shared" si="1131"/>
        <v>72001000</v>
      </c>
      <c r="C6243" t="str">
        <f t="shared" si="1132"/>
        <v>72001847</v>
      </c>
      <c r="D6243">
        <v>89301202</v>
      </c>
      <c r="E6243" t="str">
        <f t="shared" si="1133"/>
        <v>6560231678</v>
      </c>
      <c r="F6243" s="1">
        <v>45058</v>
      </c>
      <c r="G6243" t="str">
        <f>"82113"</f>
        <v>82113</v>
      </c>
      <c r="H6243">
        <v>1</v>
      </c>
      <c r="I6243">
        <v>363</v>
      </c>
      <c r="J6243">
        <v>0</v>
      </c>
      <c r="K6243" t="str">
        <f t="shared" si="1134"/>
        <v>802</v>
      </c>
      <c r="L6243">
        <v>352.11</v>
      </c>
    </row>
    <row r="6244" spans="1:12" x14ac:dyDescent="0.25">
      <c r="A6244" t="str">
        <f t="shared" si="1128"/>
        <v>89301000</v>
      </c>
      <c r="B6244" t="str">
        <f t="shared" si="1131"/>
        <v>72001000</v>
      </c>
      <c r="C6244" t="str">
        <f t="shared" si="1132"/>
        <v>72001847</v>
      </c>
      <c r="D6244">
        <v>89301202</v>
      </c>
      <c r="E6244" t="str">
        <f t="shared" si="1133"/>
        <v>6560231678</v>
      </c>
      <c r="F6244" s="1">
        <v>45058</v>
      </c>
      <c r="G6244" t="str">
        <f>"82145"</f>
        <v>82145</v>
      </c>
      <c r="H6244">
        <v>1</v>
      </c>
      <c r="I6244">
        <v>59</v>
      </c>
      <c r="J6244">
        <v>0</v>
      </c>
      <c r="K6244" t="str">
        <f t="shared" si="1134"/>
        <v>802</v>
      </c>
      <c r="L6244">
        <v>57.23</v>
      </c>
    </row>
    <row r="6245" spans="1:12" x14ac:dyDescent="0.25">
      <c r="A6245" t="str">
        <f t="shared" si="1128"/>
        <v>89301000</v>
      </c>
      <c r="B6245" t="str">
        <f t="shared" si="1131"/>
        <v>72001000</v>
      </c>
      <c r="C6245" t="str">
        <f t="shared" si="1132"/>
        <v>72001847</v>
      </c>
      <c r="D6245">
        <v>89301202</v>
      </c>
      <c r="E6245" t="str">
        <f t="shared" si="1133"/>
        <v>6560231678</v>
      </c>
      <c r="F6245" s="1">
        <v>45058</v>
      </c>
      <c r="G6245" t="str">
        <f>"97111"</f>
        <v>97111</v>
      </c>
      <c r="H6245">
        <v>1</v>
      </c>
      <c r="I6245">
        <v>19</v>
      </c>
      <c r="J6245">
        <v>0</v>
      </c>
      <c r="K6245" t="str">
        <f t="shared" si="1134"/>
        <v>802</v>
      </c>
      <c r="L6245">
        <v>23.94</v>
      </c>
    </row>
    <row r="6246" spans="1:12" x14ac:dyDescent="0.25">
      <c r="A6246" t="str">
        <f t="shared" si="1128"/>
        <v>89301000</v>
      </c>
      <c r="B6246" t="str">
        <f>"87259000"</f>
        <v>87259000</v>
      </c>
      <c r="C6246" t="str">
        <f>"87259001"</f>
        <v>87259001</v>
      </c>
      <c r="D6246">
        <v>89301606</v>
      </c>
      <c r="E6246" t="str">
        <f>"470508421"</f>
        <v>470508421</v>
      </c>
      <c r="F6246" s="1">
        <v>45070</v>
      </c>
      <c r="G6246" t="str">
        <f>"89713"</f>
        <v>89713</v>
      </c>
      <c r="H6246">
        <v>1</v>
      </c>
      <c r="I6246">
        <v>5411</v>
      </c>
      <c r="J6246">
        <v>0</v>
      </c>
      <c r="K6246" t="str">
        <f>"810"</f>
        <v>810</v>
      </c>
      <c r="L6246">
        <v>3517.15</v>
      </c>
    </row>
    <row r="6247" spans="1:12" x14ac:dyDescent="0.25">
      <c r="A6247" t="str">
        <f t="shared" si="1128"/>
        <v>89301000</v>
      </c>
      <c r="B6247" t="str">
        <f>"87259000"</f>
        <v>87259000</v>
      </c>
      <c r="C6247" t="str">
        <f>"87259001"</f>
        <v>87259001</v>
      </c>
      <c r="D6247">
        <v>89301606</v>
      </c>
      <c r="E6247" t="str">
        <f>"470508421"</f>
        <v>470508421</v>
      </c>
      <c r="F6247" s="1">
        <v>45070</v>
      </c>
      <c r="G6247" t="str">
        <f>"89725"</f>
        <v>89725</v>
      </c>
      <c r="H6247">
        <v>1</v>
      </c>
      <c r="I6247">
        <v>2863</v>
      </c>
      <c r="J6247">
        <v>0</v>
      </c>
      <c r="K6247" t="str">
        <f>"810"</f>
        <v>810</v>
      </c>
      <c r="L6247">
        <v>1860.95</v>
      </c>
    </row>
    <row r="6248" spans="1:12" x14ac:dyDescent="0.25">
      <c r="A6248" t="str">
        <f t="shared" si="1128"/>
        <v>89301000</v>
      </c>
      <c r="B6248" t="str">
        <f>"02001000"</f>
        <v>02001000</v>
      </c>
      <c r="C6248" t="str">
        <f>"02001171"</f>
        <v>02001171</v>
      </c>
      <c r="D6248">
        <v>89301704</v>
      </c>
      <c r="E6248" t="str">
        <f>"1507020009"</f>
        <v>1507020009</v>
      </c>
      <c r="F6248" s="1">
        <v>45050</v>
      </c>
      <c r="G6248" t="str">
        <f>"91399"</f>
        <v>91399</v>
      </c>
      <c r="H6248">
        <v>1</v>
      </c>
      <c r="I6248">
        <v>2380</v>
      </c>
      <c r="J6248">
        <v>0</v>
      </c>
      <c r="K6248" t="str">
        <f>"813"</f>
        <v>813</v>
      </c>
      <c r="L6248">
        <v>1999.2</v>
      </c>
    </row>
    <row r="6249" spans="1:12" x14ac:dyDescent="0.25">
      <c r="A6249" t="str">
        <f t="shared" si="1128"/>
        <v>89301000</v>
      </c>
      <c r="B6249" t="str">
        <f>"02001000"</f>
        <v>02001000</v>
      </c>
      <c r="C6249" t="str">
        <f>"02001171"</f>
        <v>02001171</v>
      </c>
      <c r="D6249">
        <v>89301704</v>
      </c>
      <c r="E6249" t="str">
        <f>"1507020009"</f>
        <v>1507020009</v>
      </c>
      <c r="F6249" s="1">
        <v>45050</v>
      </c>
      <c r="G6249" t="str">
        <f>"91411"</f>
        <v>91411</v>
      </c>
      <c r="H6249">
        <v>1</v>
      </c>
      <c r="I6249">
        <v>1631</v>
      </c>
      <c r="J6249">
        <v>0</v>
      </c>
      <c r="K6249" t="str">
        <f>"813"</f>
        <v>813</v>
      </c>
      <c r="L6249">
        <v>1370.04</v>
      </c>
    </row>
    <row r="6250" spans="1:12" x14ac:dyDescent="0.25">
      <c r="A6250" t="str">
        <f t="shared" si="1128"/>
        <v>89301000</v>
      </c>
      <c r="B6250" t="str">
        <f t="shared" ref="B6250:B6281" si="1135">"78006000"</f>
        <v>78006000</v>
      </c>
      <c r="C6250" t="str">
        <f>"78006207"</f>
        <v>78006207</v>
      </c>
      <c r="D6250">
        <v>89301171</v>
      </c>
      <c r="E6250" t="str">
        <f>"8552025768"</f>
        <v>8552025768</v>
      </c>
      <c r="F6250" s="1">
        <v>45005</v>
      </c>
      <c r="G6250" t="str">
        <f>"91197"</f>
        <v>91197</v>
      </c>
      <c r="H6250">
        <v>6</v>
      </c>
      <c r="I6250">
        <v>6288</v>
      </c>
      <c r="J6250">
        <v>0</v>
      </c>
      <c r="K6250" t="str">
        <f>"813"</f>
        <v>813</v>
      </c>
      <c r="L6250">
        <v>5281.92</v>
      </c>
    </row>
    <row r="6251" spans="1:12" x14ac:dyDescent="0.25">
      <c r="A6251" t="str">
        <f t="shared" si="1128"/>
        <v>89301000</v>
      </c>
      <c r="B6251" t="str">
        <f t="shared" si="1135"/>
        <v>78006000</v>
      </c>
      <c r="C6251" t="str">
        <f>"78006201"</f>
        <v>78006201</v>
      </c>
      <c r="D6251">
        <v>89301171</v>
      </c>
      <c r="E6251" t="str">
        <f>"8552025768"</f>
        <v>8552025768</v>
      </c>
      <c r="F6251" s="1">
        <v>44998</v>
      </c>
      <c r="G6251" t="str">
        <f>"81703"</f>
        <v>81703</v>
      </c>
      <c r="H6251">
        <v>2</v>
      </c>
      <c r="I6251">
        <v>556</v>
      </c>
      <c r="J6251">
        <v>0</v>
      </c>
      <c r="K6251" t="str">
        <f>"801"</f>
        <v>801</v>
      </c>
      <c r="L6251">
        <v>467.04</v>
      </c>
    </row>
    <row r="6252" spans="1:12" x14ac:dyDescent="0.25">
      <c r="A6252" t="str">
        <f t="shared" si="1128"/>
        <v>89301000</v>
      </c>
      <c r="B6252" t="str">
        <f t="shared" si="1135"/>
        <v>78006000</v>
      </c>
      <c r="C6252" t="str">
        <f t="shared" ref="C6252:C6260" si="1136">"78006231"</f>
        <v>78006231</v>
      </c>
      <c r="D6252">
        <v>89301212</v>
      </c>
      <c r="E6252" t="str">
        <f>"7962044475"</f>
        <v>7962044475</v>
      </c>
      <c r="F6252" s="1">
        <v>45051</v>
      </c>
      <c r="G6252" t="str">
        <f>"89180"</f>
        <v>89180</v>
      </c>
      <c r="H6252">
        <v>2</v>
      </c>
      <c r="I6252">
        <v>762</v>
      </c>
      <c r="J6252">
        <v>0</v>
      </c>
      <c r="K6252" t="str">
        <f t="shared" ref="K6252:K6260" si="1137">"809"</f>
        <v>809</v>
      </c>
      <c r="L6252">
        <v>1120.1400000000001</v>
      </c>
    </row>
    <row r="6253" spans="1:12" x14ac:dyDescent="0.25">
      <c r="A6253" t="str">
        <f t="shared" si="1128"/>
        <v>89301000</v>
      </c>
      <c r="B6253" t="str">
        <f t="shared" si="1135"/>
        <v>78006000</v>
      </c>
      <c r="C6253" t="str">
        <f t="shared" si="1136"/>
        <v>78006231</v>
      </c>
      <c r="D6253">
        <v>89301212</v>
      </c>
      <c r="E6253" t="str">
        <f>"7962044475"</f>
        <v>7962044475</v>
      </c>
      <c r="F6253" s="1">
        <v>45051</v>
      </c>
      <c r="G6253" t="str">
        <f>"89512"</f>
        <v>89512</v>
      </c>
      <c r="H6253">
        <v>1</v>
      </c>
      <c r="I6253">
        <v>283</v>
      </c>
      <c r="J6253">
        <v>0</v>
      </c>
      <c r="K6253" t="str">
        <f t="shared" si="1137"/>
        <v>809</v>
      </c>
      <c r="L6253">
        <v>416.01</v>
      </c>
    </row>
    <row r="6254" spans="1:12" x14ac:dyDescent="0.25">
      <c r="A6254" t="str">
        <f t="shared" si="1128"/>
        <v>89301000</v>
      </c>
      <c r="B6254" t="str">
        <f t="shared" si="1135"/>
        <v>78006000</v>
      </c>
      <c r="C6254" t="str">
        <f t="shared" si="1136"/>
        <v>78006231</v>
      </c>
      <c r="D6254">
        <v>89301212</v>
      </c>
      <c r="E6254" t="str">
        <f>"5758220963"</f>
        <v>5758220963</v>
      </c>
      <c r="F6254" s="1">
        <v>45071</v>
      </c>
      <c r="G6254" t="str">
        <f>"89180"</f>
        <v>89180</v>
      </c>
      <c r="H6254">
        <v>2</v>
      </c>
      <c r="I6254">
        <v>762</v>
      </c>
      <c r="J6254">
        <v>0</v>
      </c>
      <c r="K6254" t="str">
        <f t="shared" si="1137"/>
        <v>809</v>
      </c>
      <c r="L6254">
        <v>1120.1400000000001</v>
      </c>
    </row>
    <row r="6255" spans="1:12" x14ac:dyDescent="0.25">
      <c r="A6255" t="str">
        <f t="shared" si="1128"/>
        <v>89301000</v>
      </c>
      <c r="B6255" t="str">
        <f t="shared" si="1135"/>
        <v>78006000</v>
      </c>
      <c r="C6255" t="str">
        <f t="shared" si="1136"/>
        <v>78006231</v>
      </c>
      <c r="D6255">
        <v>89301212</v>
      </c>
      <c r="E6255" t="str">
        <f>"7962044475"</f>
        <v>7962044475</v>
      </c>
      <c r="F6255" s="1">
        <v>45051</v>
      </c>
      <c r="G6255" t="str">
        <f>"89513"</f>
        <v>89513</v>
      </c>
      <c r="H6255">
        <v>1</v>
      </c>
      <c r="I6255">
        <v>378</v>
      </c>
      <c r="J6255">
        <v>0</v>
      </c>
      <c r="K6255" t="str">
        <f t="shared" si="1137"/>
        <v>809</v>
      </c>
      <c r="L6255">
        <v>555.66</v>
      </c>
    </row>
    <row r="6256" spans="1:12" x14ac:dyDescent="0.25">
      <c r="A6256" t="str">
        <f t="shared" si="1128"/>
        <v>89301000</v>
      </c>
      <c r="B6256" t="str">
        <f t="shared" si="1135"/>
        <v>78006000</v>
      </c>
      <c r="C6256" t="str">
        <f t="shared" si="1136"/>
        <v>78006231</v>
      </c>
      <c r="D6256">
        <v>89301212</v>
      </c>
      <c r="E6256" t="str">
        <f>"7962044475"</f>
        <v>7962044475</v>
      </c>
      <c r="F6256" s="1">
        <v>45051</v>
      </c>
      <c r="G6256" t="str">
        <f>"89514"</f>
        <v>89514</v>
      </c>
      <c r="H6256">
        <v>1</v>
      </c>
      <c r="I6256">
        <v>378</v>
      </c>
      <c r="J6256">
        <v>0</v>
      </c>
      <c r="K6256" t="str">
        <f t="shared" si="1137"/>
        <v>809</v>
      </c>
      <c r="L6256">
        <v>555.66</v>
      </c>
    </row>
    <row r="6257" spans="1:12" x14ac:dyDescent="0.25">
      <c r="A6257" t="str">
        <f t="shared" si="1128"/>
        <v>89301000</v>
      </c>
      <c r="B6257" t="str">
        <f t="shared" si="1135"/>
        <v>78006000</v>
      </c>
      <c r="C6257" t="str">
        <f t="shared" si="1136"/>
        <v>78006231</v>
      </c>
      <c r="D6257">
        <v>89301172</v>
      </c>
      <c r="E6257" t="str">
        <f>"7754294460"</f>
        <v>7754294460</v>
      </c>
      <c r="F6257" s="1">
        <v>45077</v>
      </c>
      <c r="G6257" t="str">
        <f>"89123"</f>
        <v>89123</v>
      </c>
      <c r="H6257">
        <v>1</v>
      </c>
      <c r="I6257">
        <v>141</v>
      </c>
      <c r="J6257">
        <v>0</v>
      </c>
      <c r="K6257" t="str">
        <f t="shared" si="1137"/>
        <v>809</v>
      </c>
      <c r="L6257">
        <v>207.27</v>
      </c>
    </row>
    <row r="6258" spans="1:12" x14ac:dyDescent="0.25">
      <c r="A6258" t="str">
        <f t="shared" si="1128"/>
        <v>89301000</v>
      </c>
      <c r="B6258" t="str">
        <f t="shared" si="1135"/>
        <v>78006000</v>
      </c>
      <c r="C6258" t="str">
        <f t="shared" si="1136"/>
        <v>78006231</v>
      </c>
      <c r="D6258">
        <v>89301172</v>
      </c>
      <c r="E6258" t="str">
        <f>"7754294460"</f>
        <v>7754294460</v>
      </c>
      <c r="F6258" s="1">
        <v>45077</v>
      </c>
      <c r="G6258" t="str">
        <f>"89127"</f>
        <v>89127</v>
      </c>
      <c r="H6258">
        <v>2</v>
      </c>
      <c r="I6258">
        <v>484</v>
      </c>
      <c r="J6258">
        <v>0</v>
      </c>
      <c r="K6258" t="str">
        <f t="shared" si="1137"/>
        <v>809</v>
      </c>
      <c r="L6258">
        <v>711.48</v>
      </c>
    </row>
    <row r="6259" spans="1:12" x14ac:dyDescent="0.25">
      <c r="A6259" t="str">
        <f t="shared" si="1128"/>
        <v>89301000</v>
      </c>
      <c r="B6259" t="str">
        <f t="shared" si="1135"/>
        <v>78006000</v>
      </c>
      <c r="C6259" t="str">
        <f t="shared" si="1136"/>
        <v>78006231</v>
      </c>
      <c r="D6259">
        <v>89301212</v>
      </c>
      <c r="E6259" t="str">
        <f>"7358065319"</f>
        <v>7358065319</v>
      </c>
      <c r="F6259" s="1">
        <v>45051</v>
      </c>
      <c r="G6259" t="str">
        <f>"89513"</f>
        <v>89513</v>
      </c>
      <c r="H6259">
        <v>1</v>
      </c>
      <c r="I6259">
        <v>378</v>
      </c>
      <c r="J6259">
        <v>0</v>
      </c>
      <c r="K6259" t="str">
        <f t="shared" si="1137"/>
        <v>809</v>
      </c>
      <c r="L6259">
        <v>555.66</v>
      </c>
    </row>
    <row r="6260" spans="1:12" x14ac:dyDescent="0.25">
      <c r="A6260" t="str">
        <f t="shared" si="1128"/>
        <v>89301000</v>
      </c>
      <c r="B6260" t="str">
        <f t="shared" si="1135"/>
        <v>78006000</v>
      </c>
      <c r="C6260" t="str">
        <f t="shared" si="1136"/>
        <v>78006231</v>
      </c>
      <c r="D6260">
        <v>89301212</v>
      </c>
      <c r="E6260" t="str">
        <f>"7358065319"</f>
        <v>7358065319</v>
      </c>
      <c r="F6260" s="1">
        <v>45051</v>
      </c>
      <c r="G6260" t="str">
        <f>"89514"</f>
        <v>89514</v>
      </c>
      <c r="H6260">
        <v>1</v>
      </c>
      <c r="I6260">
        <v>378</v>
      </c>
      <c r="J6260">
        <v>0</v>
      </c>
      <c r="K6260" t="str">
        <f t="shared" si="1137"/>
        <v>809</v>
      </c>
      <c r="L6260">
        <v>555.66</v>
      </c>
    </row>
    <row r="6261" spans="1:12" x14ac:dyDescent="0.25">
      <c r="A6261" t="str">
        <f t="shared" si="1128"/>
        <v>89301000</v>
      </c>
      <c r="B6261" t="str">
        <f t="shared" si="1135"/>
        <v>78006000</v>
      </c>
      <c r="C6261" t="str">
        <f>"78006832"</f>
        <v>78006832</v>
      </c>
      <c r="D6261">
        <v>89301606</v>
      </c>
      <c r="E6261" t="str">
        <f>"9207085734"</f>
        <v>9207085734</v>
      </c>
      <c r="F6261" s="1">
        <v>45065</v>
      </c>
      <c r="G6261" t="str">
        <f>"89723"</f>
        <v>89723</v>
      </c>
      <c r="H6261">
        <v>1</v>
      </c>
      <c r="I6261">
        <v>5940</v>
      </c>
      <c r="J6261">
        <v>0</v>
      </c>
      <c r="K6261" t="str">
        <f>"810"</f>
        <v>810</v>
      </c>
      <c r="L6261">
        <v>3861</v>
      </c>
    </row>
    <row r="6262" spans="1:12" x14ac:dyDescent="0.25">
      <c r="A6262" t="str">
        <f t="shared" si="1128"/>
        <v>89301000</v>
      </c>
      <c r="B6262" t="str">
        <f t="shared" si="1135"/>
        <v>78006000</v>
      </c>
      <c r="C6262" t="str">
        <f>"78006832"</f>
        <v>78006832</v>
      </c>
      <c r="D6262">
        <v>89301606</v>
      </c>
      <c r="E6262" t="str">
        <f>"9207085734"</f>
        <v>9207085734</v>
      </c>
      <c r="F6262" s="1">
        <v>45065</v>
      </c>
      <c r="G6262" t="str">
        <f>"89713"</f>
        <v>89713</v>
      </c>
      <c r="H6262">
        <v>1</v>
      </c>
      <c r="I6262">
        <v>5411</v>
      </c>
      <c r="J6262">
        <v>0</v>
      </c>
      <c r="K6262" t="str">
        <f>"810"</f>
        <v>810</v>
      </c>
      <c r="L6262">
        <v>3517.15</v>
      </c>
    </row>
    <row r="6263" spans="1:12" x14ac:dyDescent="0.25">
      <c r="A6263" t="str">
        <f t="shared" si="1128"/>
        <v>89301000</v>
      </c>
      <c r="B6263" t="str">
        <f t="shared" si="1135"/>
        <v>78006000</v>
      </c>
      <c r="C6263" t="str">
        <f>"78006832"</f>
        <v>78006832</v>
      </c>
      <c r="D6263">
        <v>89301606</v>
      </c>
      <c r="E6263" t="str">
        <f>"9207085734"</f>
        <v>9207085734</v>
      </c>
      <c r="F6263" s="1">
        <v>45065</v>
      </c>
      <c r="G6263" t="str">
        <f>"89725"</f>
        <v>89725</v>
      </c>
      <c r="H6263">
        <v>1</v>
      </c>
      <c r="I6263">
        <v>2863</v>
      </c>
      <c r="J6263">
        <v>0</v>
      </c>
      <c r="K6263" t="str">
        <f>"810"</f>
        <v>810</v>
      </c>
      <c r="L6263">
        <v>1860.95</v>
      </c>
    </row>
    <row r="6264" spans="1:12" x14ac:dyDescent="0.25">
      <c r="A6264" t="str">
        <f t="shared" si="1128"/>
        <v>89301000</v>
      </c>
      <c r="B6264" t="str">
        <f t="shared" si="1135"/>
        <v>78006000</v>
      </c>
      <c r="C6264" t="str">
        <f>"78006832"</f>
        <v>78006832</v>
      </c>
      <c r="D6264">
        <v>89301606</v>
      </c>
      <c r="E6264" t="str">
        <f>"9207085734"</f>
        <v>9207085734</v>
      </c>
      <c r="F6264" s="1">
        <v>45065</v>
      </c>
      <c r="G6264" t="str">
        <f>"89713"</f>
        <v>89713</v>
      </c>
      <c r="H6264">
        <v>1</v>
      </c>
      <c r="I6264">
        <v>5411</v>
      </c>
      <c r="J6264">
        <v>0</v>
      </c>
      <c r="K6264" t="str">
        <f>"810"</f>
        <v>810</v>
      </c>
      <c r="L6264">
        <v>3517.15</v>
      </c>
    </row>
    <row r="6265" spans="1:12" x14ac:dyDescent="0.25">
      <c r="A6265" t="str">
        <f t="shared" si="1128"/>
        <v>89301000</v>
      </c>
      <c r="B6265" t="str">
        <f t="shared" si="1135"/>
        <v>78006000</v>
      </c>
      <c r="C6265" t="str">
        <f>"78006207"</f>
        <v>78006207</v>
      </c>
      <c r="D6265">
        <v>89301167</v>
      </c>
      <c r="E6265" t="str">
        <f>"5854210813"</f>
        <v>5854210813</v>
      </c>
      <c r="F6265" s="1">
        <v>45058</v>
      </c>
      <c r="G6265" t="str">
        <f>"91153"</f>
        <v>91153</v>
      </c>
      <c r="H6265">
        <v>1</v>
      </c>
      <c r="I6265">
        <v>153</v>
      </c>
      <c r="J6265">
        <v>0</v>
      </c>
      <c r="K6265" t="str">
        <f>"813"</f>
        <v>813</v>
      </c>
      <c r="L6265">
        <v>128.52000000000001</v>
      </c>
    </row>
    <row r="6266" spans="1:12" x14ac:dyDescent="0.25">
      <c r="A6266" t="str">
        <f t="shared" si="1128"/>
        <v>89301000</v>
      </c>
      <c r="B6266" t="str">
        <f t="shared" si="1135"/>
        <v>78006000</v>
      </c>
      <c r="C6266" t="str">
        <f>"78006207"</f>
        <v>78006207</v>
      </c>
      <c r="D6266">
        <v>89301167</v>
      </c>
      <c r="E6266" t="str">
        <f>"450921431"</f>
        <v>450921431</v>
      </c>
      <c r="F6266" s="1">
        <v>45063</v>
      </c>
      <c r="G6266" t="str">
        <f>"91153"</f>
        <v>91153</v>
      </c>
      <c r="H6266">
        <v>1</v>
      </c>
      <c r="I6266">
        <v>153</v>
      </c>
      <c r="J6266">
        <v>0</v>
      </c>
      <c r="K6266" t="str">
        <f>"813"</f>
        <v>813</v>
      </c>
      <c r="L6266">
        <v>128.52000000000001</v>
      </c>
    </row>
    <row r="6267" spans="1:12" x14ac:dyDescent="0.25">
      <c r="A6267" t="str">
        <f t="shared" si="1128"/>
        <v>89301000</v>
      </c>
      <c r="B6267" t="str">
        <f t="shared" si="1135"/>
        <v>78006000</v>
      </c>
      <c r="C6267" t="str">
        <f>"78006207"</f>
        <v>78006207</v>
      </c>
      <c r="D6267">
        <v>89301171</v>
      </c>
      <c r="E6267" t="str">
        <f>"9552085730"</f>
        <v>9552085730</v>
      </c>
      <c r="F6267" s="1">
        <v>45075</v>
      </c>
      <c r="G6267" t="str">
        <f>"91197"</f>
        <v>91197</v>
      </c>
      <c r="H6267">
        <v>6</v>
      </c>
      <c r="I6267">
        <v>6288</v>
      </c>
      <c r="J6267">
        <v>0</v>
      </c>
      <c r="K6267" t="str">
        <f>"813"</f>
        <v>813</v>
      </c>
      <c r="L6267">
        <v>5281.92</v>
      </c>
    </row>
    <row r="6268" spans="1:12" x14ac:dyDescent="0.25">
      <c r="A6268" t="str">
        <f t="shared" si="1128"/>
        <v>89301000</v>
      </c>
      <c r="B6268" t="str">
        <f t="shared" si="1135"/>
        <v>78006000</v>
      </c>
      <c r="C6268" t="str">
        <f>"78006207"</f>
        <v>78006207</v>
      </c>
      <c r="D6268">
        <v>89301171</v>
      </c>
      <c r="E6268" t="str">
        <f>"8411235360"</f>
        <v>8411235360</v>
      </c>
      <c r="F6268" s="1">
        <v>45056</v>
      </c>
      <c r="G6268" t="str">
        <f>"91197"</f>
        <v>91197</v>
      </c>
      <c r="H6268">
        <v>6</v>
      </c>
      <c r="I6268">
        <v>6288</v>
      </c>
      <c r="J6268">
        <v>0</v>
      </c>
      <c r="K6268" t="str">
        <f>"813"</f>
        <v>813</v>
      </c>
      <c r="L6268">
        <v>5281.92</v>
      </c>
    </row>
    <row r="6269" spans="1:12" x14ac:dyDescent="0.25">
      <c r="A6269" t="str">
        <f t="shared" si="1128"/>
        <v>89301000</v>
      </c>
      <c r="B6269" t="str">
        <f t="shared" si="1135"/>
        <v>78006000</v>
      </c>
      <c r="C6269" t="str">
        <f>"78006831"</f>
        <v>78006831</v>
      </c>
      <c r="D6269">
        <v>89301062</v>
      </c>
      <c r="E6269" t="str">
        <f>"5556051534"</f>
        <v>5556051534</v>
      </c>
      <c r="F6269" s="1">
        <v>45077</v>
      </c>
      <c r="G6269" t="str">
        <f>"89615"</f>
        <v>89615</v>
      </c>
      <c r="H6269">
        <v>1</v>
      </c>
      <c r="I6269">
        <v>2199</v>
      </c>
      <c r="J6269">
        <v>0</v>
      </c>
      <c r="K6269" t="str">
        <f t="shared" ref="K6269:K6277" si="1138">"809"</f>
        <v>809</v>
      </c>
      <c r="L6269">
        <v>1429.35</v>
      </c>
    </row>
    <row r="6270" spans="1:12" x14ac:dyDescent="0.25">
      <c r="A6270" t="str">
        <f t="shared" si="1128"/>
        <v>89301000</v>
      </c>
      <c r="B6270" t="str">
        <f t="shared" si="1135"/>
        <v>78006000</v>
      </c>
      <c r="C6270" t="str">
        <f>"78006531"</f>
        <v>78006531</v>
      </c>
      <c r="D6270">
        <v>89301212</v>
      </c>
      <c r="E6270" t="str">
        <f>"7558175713"</f>
        <v>7558175713</v>
      </c>
      <c r="F6270" s="1">
        <v>45055</v>
      </c>
      <c r="G6270" t="str">
        <f>"89513"</f>
        <v>89513</v>
      </c>
      <c r="H6270">
        <v>1</v>
      </c>
      <c r="I6270">
        <v>378</v>
      </c>
      <c r="J6270">
        <v>0</v>
      </c>
      <c r="K6270" t="str">
        <f t="shared" si="1138"/>
        <v>809</v>
      </c>
      <c r="L6270">
        <v>555.66</v>
      </c>
    </row>
    <row r="6271" spans="1:12" x14ac:dyDescent="0.25">
      <c r="A6271" t="str">
        <f t="shared" si="1128"/>
        <v>89301000</v>
      </c>
      <c r="B6271" t="str">
        <f t="shared" si="1135"/>
        <v>78006000</v>
      </c>
      <c r="C6271" t="str">
        <f>"78006531"</f>
        <v>78006531</v>
      </c>
      <c r="D6271">
        <v>89301212</v>
      </c>
      <c r="E6271" t="str">
        <f>"7558175713"</f>
        <v>7558175713</v>
      </c>
      <c r="F6271" s="1">
        <v>45055</v>
      </c>
      <c r="G6271" t="str">
        <f>"89514"</f>
        <v>89514</v>
      </c>
      <c r="H6271">
        <v>1</v>
      </c>
      <c r="I6271">
        <v>378</v>
      </c>
      <c r="J6271">
        <v>0</v>
      </c>
      <c r="K6271" t="str">
        <f t="shared" si="1138"/>
        <v>809</v>
      </c>
      <c r="L6271">
        <v>555.66</v>
      </c>
    </row>
    <row r="6272" spans="1:12" x14ac:dyDescent="0.25">
      <c r="A6272" t="str">
        <f t="shared" si="1128"/>
        <v>89301000</v>
      </c>
      <c r="B6272" t="str">
        <f t="shared" si="1135"/>
        <v>78006000</v>
      </c>
      <c r="C6272" t="str">
        <f t="shared" ref="C6272:C6277" si="1139">"78006831"</f>
        <v>78006831</v>
      </c>
      <c r="D6272">
        <v>89301037</v>
      </c>
      <c r="E6272" t="str">
        <f>"6654270810"</f>
        <v>6654270810</v>
      </c>
      <c r="F6272" s="1">
        <v>45071</v>
      </c>
      <c r="G6272" t="str">
        <f>"89131"</f>
        <v>89131</v>
      </c>
      <c r="H6272">
        <v>1</v>
      </c>
      <c r="I6272">
        <v>190</v>
      </c>
      <c r="J6272">
        <v>0</v>
      </c>
      <c r="K6272" t="str">
        <f t="shared" si="1138"/>
        <v>809</v>
      </c>
      <c r="L6272">
        <v>279.3</v>
      </c>
    </row>
    <row r="6273" spans="1:12" x14ac:dyDescent="0.25">
      <c r="A6273" t="str">
        <f t="shared" si="1128"/>
        <v>89301000</v>
      </c>
      <c r="B6273" t="str">
        <f t="shared" si="1135"/>
        <v>78006000</v>
      </c>
      <c r="C6273" t="str">
        <f t="shared" si="1139"/>
        <v>78006831</v>
      </c>
      <c r="D6273">
        <v>89301034</v>
      </c>
      <c r="E6273" t="str">
        <f>"7858045327"</f>
        <v>7858045327</v>
      </c>
      <c r="F6273" s="1">
        <v>45051</v>
      </c>
      <c r="G6273" t="str">
        <f>"89513"</f>
        <v>89513</v>
      </c>
      <c r="H6273">
        <v>1</v>
      </c>
      <c r="I6273">
        <v>378</v>
      </c>
      <c r="J6273">
        <v>0</v>
      </c>
      <c r="K6273" t="str">
        <f t="shared" si="1138"/>
        <v>809</v>
      </c>
      <c r="L6273">
        <v>555.66</v>
      </c>
    </row>
    <row r="6274" spans="1:12" x14ac:dyDescent="0.25">
      <c r="A6274" t="str">
        <f t="shared" ref="A6274:A6337" si="1140">"89301000"</f>
        <v>89301000</v>
      </c>
      <c r="B6274" t="str">
        <f t="shared" si="1135"/>
        <v>78006000</v>
      </c>
      <c r="C6274" t="str">
        <f t="shared" si="1139"/>
        <v>78006831</v>
      </c>
      <c r="D6274">
        <v>89301034</v>
      </c>
      <c r="E6274" t="str">
        <f>"7858045327"</f>
        <v>7858045327</v>
      </c>
      <c r="F6274" s="1">
        <v>45051</v>
      </c>
      <c r="G6274" t="str">
        <f>"89514"</f>
        <v>89514</v>
      </c>
      <c r="H6274">
        <v>1</v>
      </c>
      <c r="I6274">
        <v>378</v>
      </c>
      <c r="J6274">
        <v>0</v>
      </c>
      <c r="K6274" t="str">
        <f t="shared" si="1138"/>
        <v>809</v>
      </c>
      <c r="L6274">
        <v>555.66</v>
      </c>
    </row>
    <row r="6275" spans="1:12" x14ac:dyDescent="0.25">
      <c r="A6275" t="str">
        <f t="shared" si="1140"/>
        <v>89301000</v>
      </c>
      <c r="B6275" t="str">
        <f t="shared" si="1135"/>
        <v>78006000</v>
      </c>
      <c r="C6275" t="str">
        <f t="shared" si="1139"/>
        <v>78006831</v>
      </c>
      <c r="D6275">
        <v>89301167</v>
      </c>
      <c r="E6275" t="str">
        <f>"5404302068"</f>
        <v>5404302068</v>
      </c>
      <c r="F6275" s="1">
        <v>45057</v>
      </c>
      <c r="G6275" t="str">
        <f>"09137"</f>
        <v>09137</v>
      </c>
      <c r="H6275">
        <v>1</v>
      </c>
      <c r="I6275">
        <v>238</v>
      </c>
      <c r="J6275">
        <v>0</v>
      </c>
      <c r="K6275" t="str">
        <f t="shared" si="1138"/>
        <v>809</v>
      </c>
      <c r="L6275">
        <v>349.86</v>
      </c>
    </row>
    <row r="6276" spans="1:12" x14ac:dyDescent="0.25">
      <c r="A6276" t="str">
        <f t="shared" si="1140"/>
        <v>89301000</v>
      </c>
      <c r="B6276" t="str">
        <f t="shared" si="1135"/>
        <v>78006000</v>
      </c>
      <c r="C6276" t="str">
        <f t="shared" si="1139"/>
        <v>78006831</v>
      </c>
      <c r="D6276">
        <v>89301322</v>
      </c>
      <c r="E6276" t="str">
        <f>"460216434"</f>
        <v>460216434</v>
      </c>
      <c r="F6276" s="1">
        <v>45072</v>
      </c>
      <c r="G6276" t="str">
        <f>"89513"</f>
        <v>89513</v>
      </c>
      <c r="H6276">
        <v>1</v>
      </c>
      <c r="I6276">
        <v>378</v>
      </c>
      <c r="J6276">
        <v>0</v>
      </c>
      <c r="K6276" t="str">
        <f t="shared" si="1138"/>
        <v>809</v>
      </c>
      <c r="L6276">
        <v>555.66</v>
      </c>
    </row>
    <row r="6277" spans="1:12" x14ac:dyDescent="0.25">
      <c r="A6277" t="str">
        <f t="shared" si="1140"/>
        <v>89301000</v>
      </c>
      <c r="B6277" t="str">
        <f t="shared" si="1135"/>
        <v>78006000</v>
      </c>
      <c r="C6277" t="str">
        <f t="shared" si="1139"/>
        <v>78006831</v>
      </c>
      <c r="D6277">
        <v>89301322</v>
      </c>
      <c r="E6277" t="str">
        <f>"460216434"</f>
        <v>460216434</v>
      </c>
      <c r="F6277" s="1">
        <v>45072</v>
      </c>
      <c r="G6277" t="str">
        <f>"89514"</f>
        <v>89514</v>
      </c>
      <c r="H6277">
        <v>1</v>
      </c>
      <c r="I6277">
        <v>378</v>
      </c>
      <c r="J6277">
        <v>0</v>
      </c>
      <c r="K6277" t="str">
        <f t="shared" si="1138"/>
        <v>809</v>
      </c>
      <c r="L6277">
        <v>555.66</v>
      </c>
    </row>
    <row r="6278" spans="1:12" x14ac:dyDescent="0.25">
      <c r="A6278" t="str">
        <f t="shared" si="1140"/>
        <v>89301000</v>
      </c>
      <c r="B6278" t="str">
        <f t="shared" si="1135"/>
        <v>78006000</v>
      </c>
      <c r="C6278" t="str">
        <f>"78006532"</f>
        <v>78006532</v>
      </c>
      <c r="D6278">
        <v>89301062</v>
      </c>
      <c r="E6278" t="str">
        <f>"7403184470"</f>
        <v>7403184470</v>
      </c>
      <c r="F6278" s="1">
        <v>45068</v>
      </c>
      <c r="G6278" t="str">
        <f>"89713"</f>
        <v>89713</v>
      </c>
      <c r="H6278">
        <v>1</v>
      </c>
      <c r="I6278">
        <v>5411</v>
      </c>
      <c r="J6278">
        <v>0</v>
      </c>
      <c r="K6278" t="str">
        <f>"810"</f>
        <v>810</v>
      </c>
      <c r="L6278">
        <v>3517.15</v>
      </c>
    </row>
    <row r="6279" spans="1:12" x14ac:dyDescent="0.25">
      <c r="A6279" t="str">
        <f t="shared" si="1140"/>
        <v>89301000</v>
      </c>
      <c r="B6279" t="str">
        <f t="shared" si="1135"/>
        <v>78006000</v>
      </c>
      <c r="C6279" t="str">
        <f t="shared" ref="C6279:C6286" si="1141">"78006205"</f>
        <v>78006205</v>
      </c>
      <c r="D6279">
        <v>89301167</v>
      </c>
      <c r="E6279" t="str">
        <f>"5854210813"</f>
        <v>5854210813</v>
      </c>
      <c r="F6279" s="1">
        <v>45058</v>
      </c>
      <c r="G6279" t="str">
        <f>"96167"</f>
        <v>96167</v>
      </c>
      <c r="H6279">
        <v>1</v>
      </c>
      <c r="I6279">
        <v>67</v>
      </c>
      <c r="J6279">
        <v>0</v>
      </c>
      <c r="K6279" t="str">
        <f t="shared" ref="K6279:K6286" si="1142">"818"</f>
        <v>818</v>
      </c>
      <c r="L6279">
        <v>64.989999999999995</v>
      </c>
    </row>
    <row r="6280" spans="1:12" x14ac:dyDescent="0.25">
      <c r="A6280" t="str">
        <f t="shared" si="1140"/>
        <v>89301000</v>
      </c>
      <c r="B6280" t="str">
        <f t="shared" si="1135"/>
        <v>78006000</v>
      </c>
      <c r="C6280" t="str">
        <f t="shared" si="1141"/>
        <v>78006205</v>
      </c>
      <c r="D6280">
        <v>89301167</v>
      </c>
      <c r="E6280" t="str">
        <f>"5854210813"</f>
        <v>5854210813</v>
      </c>
      <c r="F6280" s="1">
        <v>45058</v>
      </c>
      <c r="G6280" t="str">
        <f>"96315"</f>
        <v>96315</v>
      </c>
      <c r="H6280">
        <v>1</v>
      </c>
      <c r="I6280">
        <v>30</v>
      </c>
      <c r="J6280">
        <v>0</v>
      </c>
      <c r="K6280" t="str">
        <f t="shared" si="1142"/>
        <v>818</v>
      </c>
      <c r="L6280">
        <v>29.1</v>
      </c>
    </row>
    <row r="6281" spans="1:12" x14ac:dyDescent="0.25">
      <c r="A6281" t="str">
        <f t="shared" si="1140"/>
        <v>89301000</v>
      </c>
      <c r="B6281" t="str">
        <f t="shared" si="1135"/>
        <v>78006000</v>
      </c>
      <c r="C6281" t="str">
        <f t="shared" si="1141"/>
        <v>78006205</v>
      </c>
      <c r="D6281">
        <v>89301167</v>
      </c>
      <c r="E6281" t="str">
        <f>"5854210813"</f>
        <v>5854210813</v>
      </c>
      <c r="F6281" s="1">
        <v>45058</v>
      </c>
      <c r="G6281" t="str">
        <f>"96711"</f>
        <v>96711</v>
      </c>
      <c r="H6281">
        <v>1</v>
      </c>
      <c r="I6281">
        <v>28</v>
      </c>
      <c r="J6281">
        <v>0</v>
      </c>
      <c r="K6281" t="str">
        <f t="shared" si="1142"/>
        <v>818</v>
      </c>
      <c r="L6281">
        <v>27.16</v>
      </c>
    </row>
    <row r="6282" spans="1:12" x14ac:dyDescent="0.25">
      <c r="A6282" t="str">
        <f t="shared" si="1140"/>
        <v>89301000</v>
      </c>
      <c r="B6282" t="str">
        <f t="shared" ref="B6282:B6313" si="1143">"78006000"</f>
        <v>78006000</v>
      </c>
      <c r="C6282" t="str">
        <f t="shared" si="1141"/>
        <v>78006205</v>
      </c>
      <c r="D6282">
        <v>89301167</v>
      </c>
      <c r="E6282" t="str">
        <f>"450921431"</f>
        <v>450921431</v>
      </c>
      <c r="F6282" s="1">
        <v>45063</v>
      </c>
      <c r="G6282" t="str">
        <f>"96167"</f>
        <v>96167</v>
      </c>
      <c r="H6282">
        <v>1</v>
      </c>
      <c r="I6282">
        <v>67</v>
      </c>
      <c r="J6282">
        <v>0</v>
      </c>
      <c r="K6282" t="str">
        <f t="shared" si="1142"/>
        <v>818</v>
      </c>
      <c r="L6282">
        <v>64.989999999999995</v>
      </c>
    </row>
    <row r="6283" spans="1:12" x14ac:dyDescent="0.25">
      <c r="A6283" t="str">
        <f t="shared" si="1140"/>
        <v>89301000</v>
      </c>
      <c r="B6283" t="str">
        <f t="shared" si="1143"/>
        <v>78006000</v>
      </c>
      <c r="C6283" t="str">
        <f t="shared" si="1141"/>
        <v>78006205</v>
      </c>
      <c r="D6283">
        <v>89301167</v>
      </c>
      <c r="E6283" t="str">
        <f>"450921431"</f>
        <v>450921431</v>
      </c>
      <c r="F6283" s="1">
        <v>45063</v>
      </c>
      <c r="G6283" t="str">
        <f>"96315"</f>
        <v>96315</v>
      </c>
      <c r="H6283">
        <v>1</v>
      </c>
      <c r="I6283">
        <v>30</v>
      </c>
      <c r="J6283">
        <v>0</v>
      </c>
      <c r="K6283" t="str">
        <f t="shared" si="1142"/>
        <v>818</v>
      </c>
      <c r="L6283">
        <v>29.1</v>
      </c>
    </row>
    <row r="6284" spans="1:12" x14ac:dyDescent="0.25">
      <c r="A6284" t="str">
        <f t="shared" si="1140"/>
        <v>89301000</v>
      </c>
      <c r="B6284" t="str">
        <f t="shared" si="1143"/>
        <v>78006000</v>
      </c>
      <c r="C6284" t="str">
        <f t="shared" si="1141"/>
        <v>78006205</v>
      </c>
      <c r="D6284">
        <v>89301167</v>
      </c>
      <c r="E6284" t="str">
        <f>"450921431"</f>
        <v>450921431</v>
      </c>
      <c r="F6284" s="1">
        <v>45063</v>
      </c>
      <c r="G6284" t="str">
        <f>"96711"</f>
        <v>96711</v>
      </c>
      <c r="H6284">
        <v>1</v>
      </c>
      <c r="I6284">
        <v>28</v>
      </c>
      <c r="J6284">
        <v>0</v>
      </c>
      <c r="K6284" t="str">
        <f t="shared" si="1142"/>
        <v>818</v>
      </c>
      <c r="L6284">
        <v>27.16</v>
      </c>
    </row>
    <row r="6285" spans="1:12" x14ac:dyDescent="0.25">
      <c r="A6285" t="str">
        <f t="shared" si="1140"/>
        <v>89301000</v>
      </c>
      <c r="B6285" t="str">
        <f t="shared" si="1143"/>
        <v>78006000</v>
      </c>
      <c r="C6285" t="str">
        <f t="shared" si="1141"/>
        <v>78006205</v>
      </c>
      <c r="D6285">
        <v>89301167</v>
      </c>
      <c r="E6285" t="str">
        <f>"5854210813"</f>
        <v>5854210813</v>
      </c>
      <c r="F6285" s="1">
        <v>45058</v>
      </c>
      <c r="G6285" t="str">
        <f>"96713"</f>
        <v>96713</v>
      </c>
      <c r="H6285">
        <v>1</v>
      </c>
      <c r="I6285">
        <v>14</v>
      </c>
      <c r="J6285">
        <v>0</v>
      </c>
      <c r="K6285" t="str">
        <f t="shared" si="1142"/>
        <v>818</v>
      </c>
      <c r="L6285">
        <v>13.58</v>
      </c>
    </row>
    <row r="6286" spans="1:12" x14ac:dyDescent="0.25">
      <c r="A6286" t="str">
        <f t="shared" si="1140"/>
        <v>89301000</v>
      </c>
      <c r="B6286" t="str">
        <f t="shared" si="1143"/>
        <v>78006000</v>
      </c>
      <c r="C6286" t="str">
        <f t="shared" si="1141"/>
        <v>78006205</v>
      </c>
      <c r="D6286">
        <v>89301167</v>
      </c>
      <c r="E6286" t="str">
        <f>"450921431"</f>
        <v>450921431</v>
      </c>
      <c r="F6286" s="1">
        <v>45063</v>
      </c>
      <c r="G6286" t="str">
        <f>"96713"</f>
        <v>96713</v>
      </c>
      <c r="H6286">
        <v>1</v>
      </c>
      <c r="I6286">
        <v>14</v>
      </c>
      <c r="J6286">
        <v>0</v>
      </c>
      <c r="K6286" t="str">
        <f t="shared" si="1142"/>
        <v>818</v>
      </c>
      <c r="L6286">
        <v>13.58</v>
      </c>
    </row>
    <row r="6287" spans="1:12" x14ac:dyDescent="0.25">
      <c r="A6287" t="str">
        <f t="shared" si="1140"/>
        <v>89301000</v>
      </c>
      <c r="B6287" t="str">
        <f t="shared" si="1143"/>
        <v>78006000</v>
      </c>
      <c r="C6287" t="str">
        <f t="shared" ref="C6287:C6333" si="1144">"78006201"</f>
        <v>78006201</v>
      </c>
      <c r="D6287">
        <v>89301167</v>
      </c>
      <c r="E6287" t="str">
        <f t="shared" ref="E6287:E6292" si="1145">"5854210813"</f>
        <v>5854210813</v>
      </c>
      <c r="F6287" s="1">
        <v>45058</v>
      </c>
      <c r="G6287" t="str">
        <f>"81249"</f>
        <v>81249</v>
      </c>
      <c r="H6287">
        <v>1</v>
      </c>
      <c r="I6287">
        <v>334</v>
      </c>
      <c r="J6287">
        <v>0</v>
      </c>
      <c r="K6287" t="str">
        <f t="shared" ref="K6287:K6333" si="1146">"801"</f>
        <v>801</v>
      </c>
      <c r="L6287">
        <v>280.56</v>
      </c>
    </row>
    <row r="6288" spans="1:12" x14ac:dyDescent="0.25">
      <c r="A6288" t="str">
        <f t="shared" si="1140"/>
        <v>89301000</v>
      </c>
      <c r="B6288" t="str">
        <f t="shared" si="1143"/>
        <v>78006000</v>
      </c>
      <c r="C6288" t="str">
        <f t="shared" si="1144"/>
        <v>78006201</v>
      </c>
      <c r="D6288">
        <v>89301167</v>
      </c>
      <c r="E6288" t="str">
        <f t="shared" si="1145"/>
        <v>5854210813</v>
      </c>
      <c r="F6288" s="1">
        <v>45058</v>
      </c>
      <c r="G6288" t="str">
        <f>"81329"</f>
        <v>81329</v>
      </c>
      <c r="H6288">
        <v>1</v>
      </c>
      <c r="I6288">
        <v>17</v>
      </c>
      <c r="J6288">
        <v>0</v>
      </c>
      <c r="K6288" t="str">
        <f t="shared" si="1146"/>
        <v>801</v>
      </c>
      <c r="L6288">
        <v>14.28</v>
      </c>
    </row>
    <row r="6289" spans="1:12" x14ac:dyDescent="0.25">
      <c r="A6289" t="str">
        <f t="shared" si="1140"/>
        <v>89301000</v>
      </c>
      <c r="B6289" t="str">
        <f t="shared" si="1143"/>
        <v>78006000</v>
      </c>
      <c r="C6289" t="str">
        <f t="shared" si="1144"/>
        <v>78006201</v>
      </c>
      <c r="D6289">
        <v>89301167</v>
      </c>
      <c r="E6289" t="str">
        <f t="shared" si="1145"/>
        <v>5854210813</v>
      </c>
      <c r="F6289" s="1">
        <v>45058</v>
      </c>
      <c r="G6289" t="str">
        <f>"81383"</f>
        <v>81383</v>
      </c>
      <c r="H6289">
        <v>1</v>
      </c>
      <c r="I6289">
        <v>24</v>
      </c>
      <c r="J6289">
        <v>0</v>
      </c>
      <c r="K6289" t="str">
        <f t="shared" si="1146"/>
        <v>801</v>
      </c>
      <c r="L6289">
        <v>20.16</v>
      </c>
    </row>
    <row r="6290" spans="1:12" x14ac:dyDescent="0.25">
      <c r="A6290" t="str">
        <f t="shared" si="1140"/>
        <v>89301000</v>
      </c>
      <c r="B6290" t="str">
        <f t="shared" si="1143"/>
        <v>78006000</v>
      </c>
      <c r="C6290" t="str">
        <f t="shared" si="1144"/>
        <v>78006201</v>
      </c>
      <c r="D6290">
        <v>89301167</v>
      </c>
      <c r="E6290" t="str">
        <f t="shared" si="1145"/>
        <v>5854210813</v>
      </c>
      <c r="F6290" s="1">
        <v>45058</v>
      </c>
      <c r="G6290" t="str">
        <f>"81495"</f>
        <v>81495</v>
      </c>
      <c r="H6290">
        <v>1</v>
      </c>
      <c r="I6290">
        <v>32</v>
      </c>
      <c r="J6290">
        <v>0</v>
      </c>
      <c r="K6290" t="str">
        <f t="shared" si="1146"/>
        <v>801</v>
      </c>
      <c r="L6290">
        <v>26.88</v>
      </c>
    </row>
    <row r="6291" spans="1:12" x14ac:dyDescent="0.25">
      <c r="A6291" t="str">
        <f t="shared" si="1140"/>
        <v>89301000</v>
      </c>
      <c r="B6291" t="str">
        <f t="shared" si="1143"/>
        <v>78006000</v>
      </c>
      <c r="C6291" t="str">
        <f t="shared" si="1144"/>
        <v>78006201</v>
      </c>
      <c r="D6291">
        <v>89301167</v>
      </c>
      <c r="E6291" t="str">
        <f t="shared" si="1145"/>
        <v>5854210813</v>
      </c>
      <c r="F6291" s="1">
        <v>45058</v>
      </c>
      <c r="G6291" t="str">
        <f>"81625"</f>
        <v>81625</v>
      </c>
      <c r="H6291">
        <v>1</v>
      </c>
      <c r="I6291">
        <v>21</v>
      </c>
      <c r="J6291">
        <v>0</v>
      </c>
      <c r="K6291" t="str">
        <f t="shared" si="1146"/>
        <v>801</v>
      </c>
      <c r="L6291">
        <v>17.64</v>
      </c>
    </row>
    <row r="6292" spans="1:12" x14ac:dyDescent="0.25">
      <c r="A6292" t="str">
        <f t="shared" si="1140"/>
        <v>89301000</v>
      </c>
      <c r="B6292" t="str">
        <f t="shared" si="1143"/>
        <v>78006000</v>
      </c>
      <c r="C6292" t="str">
        <f t="shared" si="1144"/>
        <v>78006201</v>
      </c>
      <c r="D6292">
        <v>89301167</v>
      </c>
      <c r="E6292" t="str">
        <f t="shared" si="1145"/>
        <v>5854210813</v>
      </c>
      <c r="F6292" s="1">
        <v>45058</v>
      </c>
      <c r="G6292" t="str">
        <f>"97111"</f>
        <v>97111</v>
      </c>
      <c r="H6292">
        <v>1</v>
      </c>
      <c r="I6292">
        <v>19</v>
      </c>
      <c r="J6292">
        <v>0</v>
      </c>
      <c r="K6292" t="str">
        <f t="shared" si="1146"/>
        <v>801</v>
      </c>
      <c r="L6292">
        <v>23.94</v>
      </c>
    </row>
    <row r="6293" spans="1:12" x14ac:dyDescent="0.25">
      <c r="A6293" t="str">
        <f t="shared" si="1140"/>
        <v>89301000</v>
      </c>
      <c r="B6293" t="str">
        <f t="shared" si="1143"/>
        <v>78006000</v>
      </c>
      <c r="C6293" t="str">
        <f t="shared" si="1144"/>
        <v>78006201</v>
      </c>
      <c r="D6293">
        <v>89301167</v>
      </c>
      <c r="E6293" t="str">
        <f t="shared" ref="E6293:E6299" si="1147">"450921431"</f>
        <v>450921431</v>
      </c>
      <c r="F6293" s="1">
        <v>45063</v>
      </c>
      <c r="G6293" t="str">
        <f>"81329"</f>
        <v>81329</v>
      </c>
      <c r="H6293">
        <v>1</v>
      </c>
      <c r="I6293">
        <v>17</v>
      </c>
      <c r="J6293">
        <v>0</v>
      </c>
      <c r="K6293" t="str">
        <f t="shared" si="1146"/>
        <v>801</v>
      </c>
      <c r="L6293">
        <v>14.28</v>
      </c>
    </row>
    <row r="6294" spans="1:12" x14ac:dyDescent="0.25">
      <c r="A6294" t="str">
        <f t="shared" si="1140"/>
        <v>89301000</v>
      </c>
      <c r="B6294" t="str">
        <f t="shared" si="1143"/>
        <v>78006000</v>
      </c>
      <c r="C6294" t="str">
        <f t="shared" si="1144"/>
        <v>78006201</v>
      </c>
      <c r="D6294">
        <v>89301167</v>
      </c>
      <c r="E6294" t="str">
        <f t="shared" si="1147"/>
        <v>450921431</v>
      </c>
      <c r="F6294" s="1">
        <v>45063</v>
      </c>
      <c r="G6294" t="str">
        <f>"81383"</f>
        <v>81383</v>
      </c>
      <c r="H6294">
        <v>1</v>
      </c>
      <c r="I6294">
        <v>24</v>
      </c>
      <c r="J6294">
        <v>0</v>
      </c>
      <c r="K6294" t="str">
        <f t="shared" si="1146"/>
        <v>801</v>
      </c>
      <c r="L6294">
        <v>20.16</v>
      </c>
    </row>
    <row r="6295" spans="1:12" x14ac:dyDescent="0.25">
      <c r="A6295" t="str">
        <f t="shared" si="1140"/>
        <v>89301000</v>
      </c>
      <c r="B6295" t="str">
        <f t="shared" si="1143"/>
        <v>78006000</v>
      </c>
      <c r="C6295" t="str">
        <f t="shared" si="1144"/>
        <v>78006201</v>
      </c>
      <c r="D6295">
        <v>89301167</v>
      </c>
      <c r="E6295" t="str">
        <f t="shared" si="1147"/>
        <v>450921431</v>
      </c>
      <c r="F6295" s="1">
        <v>45063</v>
      </c>
      <c r="G6295" t="str">
        <f>"81625"</f>
        <v>81625</v>
      </c>
      <c r="H6295">
        <v>1</v>
      </c>
      <c r="I6295">
        <v>21</v>
      </c>
      <c r="J6295">
        <v>0</v>
      </c>
      <c r="K6295" t="str">
        <f t="shared" si="1146"/>
        <v>801</v>
      </c>
      <c r="L6295">
        <v>17.64</v>
      </c>
    </row>
    <row r="6296" spans="1:12" x14ac:dyDescent="0.25">
      <c r="A6296" t="str">
        <f t="shared" si="1140"/>
        <v>89301000</v>
      </c>
      <c r="B6296" t="str">
        <f t="shared" si="1143"/>
        <v>78006000</v>
      </c>
      <c r="C6296" t="str">
        <f t="shared" si="1144"/>
        <v>78006201</v>
      </c>
      <c r="D6296">
        <v>89301167</v>
      </c>
      <c r="E6296" t="str">
        <f t="shared" si="1147"/>
        <v>450921431</v>
      </c>
      <c r="F6296" s="1">
        <v>45063</v>
      </c>
      <c r="G6296" t="str">
        <f>"93131"</f>
        <v>93131</v>
      </c>
      <c r="H6296">
        <v>1</v>
      </c>
      <c r="I6296">
        <v>197</v>
      </c>
      <c r="J6296">
        <v>0</v>
      </c>
      <c r="K6296" t="str">
        <f t="shared" si="1146"/>
        <v>801</v>
      </c>
      <c r="L6296">
        <v>165.48</v>
      </c>
    </row>
    <row r="6297" spans="1:12" x14ac:dyDescent="0.25">
      <c r="A6297" t="str">
        <f t="shared" si="1140"/>
        <v>89301000</v>
      </c>
      <c r="B6297" t="str">
        <f t="shared" si="1143"/>
        <v>78006000</v>
      </c>
      <c r="C6297" t="str">
        <f t="shared" si="1144"/>
        <v>78006201</v>
      </c>
      <c r="D6297">
        <v>89301167</v>
      </c>
      <c r="E6297" t="str">
        <f t="shared" si="1147"/>
        <v>450921431</v>
      </c>
      <c r="F6297" s="1">
        <v>45063</v>
      </c>
      <c r="G6297" t="str">
        <f>"93189"</f>
        <v>93189</v>
      </c>
      <c r="H6297">
        <v>1</v>
      </c>
      <c r="I6297">
        <v>191</v>
      </c>
      <c r="J6297">
        <v>0</v>
      </c>
      <c r="K6297" t="str">
        <f t="shared" si="1146"/>
        <v>801</v>
      </c>
      <c r="L6297">
        <v>160.44</v>
      </c>
    </row>
    <row r="6298" spans="1:12" x14ac:dyDescent="0.25">
      <c r="A6298" t="str">
        <f t="shared" si="1140"/>
        <v>89301000</v>
      </c>
      <c r="B6298" t="str">
        <f t="shared" si="1143"/>
        <v>78006000</v>
      </c>
      <c r="C6298" t="str">
        <f t="shared" si="1144"/>
        <v>78006201</v>
      </c>
      <c r="D6298">
        <v>89301167</v>
      </c>
      <c r="E6298" t="str">
        <f t="shared" si="1147"/>
        <v>450921431</v>
      </c>
      <c r="F6298" s="1">
        <v>45063</v>
      </c>
      <c r="G6298" t="str">
        <f>"93195"</f>
        <v>93195</v>
      </c>
      <c r="H6298">
        <v>1</v>
      </c>
      <c r="I6298">
        <v>183</v>
      </c>
      <c r="J6298">
        <v>0</v>
      </c>
      <c r="K6298" t="str">
        <f t="shared" si="1146"/>
        <v>801</v>
      </c>
      <c r="L6298">
        <v>153.72</v>
      </c>
    </row>
    <row r="6299" spans="1:12" x14ac:dyDescent="0.25">
      <c r="A6299" t="str">
        <f t="shared" si="1140"/>
        <v>89301000</v>
      </c>
      <c r="B6299" t="str">
        <f t="shared" si="1143"/>
        <v>78006000</v>
      </c>
      <c r="C6299" t="str">
        <f t="shared" si="1144"/>
        <v>78006201</v>
      </c>
      <c r="D6299">
        <v>89301167</v>
      </c>
      <c r="E6299" t="str">
        <f t="shared" si="1147"/>
        <v>450921431</v>
      </c>
      <c r="F6299" s="1">
        <v>45063</v>
      </c>
      <c r="G6299" t="str">
        <f>"97111"</f>
        <v>97111</v>
      </c>
      <c r="H6299">
        <v>1</v>
      </c>
      <c r="I6299">
        <v>19</v>
      </c>
      <c r="J6299">
        <v>0</v>
      </c>
      <c r="K6299" t="str">
        <f t="shared" si="1146"/>
        <v>801</v>
      </c>
      <c r="L6299">
        <v>23.94</v>
      </c>
    </row>
    <row r="6300" spans="1:12" x14ac:dyDescent="0.25">
      <c r="A6300" t="str">
        <f t="shared" si="1140"/>
        <v>89301000</v>
      </c>
      <c r="B6300" t="str">
        <f t="shared" si="1143"/>
        <v>78006000</v>
      </c>
      <c r="C6300" t="str">
        <f t="shared" si="1144"/>
        <v>78006201</v>
      </c>
      <c r="D6300">
        <v>89301171</v>
      </c>
      <c r="E6300" t="str">
        <f>"6405170068"</f>
        <v>6405170068</v>
      </c>
      <c r="F6300" s="1">
        <v>45075</v>
      </c>
      <c r="G6300" t="str">
        <f>"81703"</f>
        <v>81703</v>
      </c>
      <c r="H6300">
        <v>2</v>
      </c>
      <c r="I6300">
        <v>556</v>
      </c>
      <c r="J6300">
        <v>0</v>
      </c>
      <c r="K6300" t="str">
        <f t="shared" si="1146"/>
        <v>801</v>
      </c>
      <c r="L6300">
        <v>467.04</v>
      </c>
    </row>
    <row r="6301" spans="1:12" x14ac:dyDescent="0.25">
      <c r="A6301" t="str">
        <f t="shared" si="1140"/>
        <v>89301000</v>
      </c>
      <c r="B6301" t="str">
        <f t="shared" si="1143"/>
        <v>78006000</v>
      </c>
      <c r="C6301" t="str">
        <f t="shared" si="1144"/>
        <v>78006201</v>
      </c>
      <c r="D6301">
        <v>89301171</v>
      </c>
      <c r="E6301" t="str">
        <f>"9552085730"</f>
        <v>9552085730</v>
      </c>
      <c r="F6301" s="1">
        <v>45057</v>
      </c>
      <c r="G6301" t="str">
        <f>"81703"</f>
        <v>81703</v>
      </c>
      <c r="H6301">
        <v>2</v>
      </c>
      <c r="I6301">
        <v>556</v>
      </c>
      <c r="J6301">
        <v>0</v>
      </c>
      <c r="K6301" t="str">
        <f t="shared" si="1146"/>
        <v>801</v>
      </c>
      <c r="L6301">
        <v>467.04</v>
      </c>
    </row>
    <row r="6302" spans="1:12" x14ac:dyDescent="0.25">
      <c r="A6302" t="str">
        <f t="shared" si="1140"/>
        <v>89301000</v>
      </c>
      <c r="B6302" t="str">
        <f t="shared" si="1143"/>
        <v>78006000</v>
      </c>
      <c r="C6302" t="str">
        <f t="shared" si="1144"/>
        <v>78006201</v>
      </c>
      <c r="D6302">
        <v>89301171</v>
      </c>
      <c r="E6302" t="str">
        <f>"8803255571"</f>
        <v>8803255571</v>
      </c>
      <c r="F6302" s="1">
        <v>45065</v>
      </c>
      <c r="G6302" t="str">
        <f>"81703"</f>
        <v>81703</v>
      </c>
      <c r="H6302">
        <v>2</v>
      </c>
      <c r="I6302">
        <v>556</v>
      </c>
      <c r="J6302">
        <v>0</v>
      </c>
      <c r="K6302" t="str">
        <f t="shared" si="1146"/>
        <v>801</v>
      </c>
      <c r="L6302">
        <v>467.04</v>
      </c>
    </row>
    <row r="6303" spans="1:12" x14ac:dyDescent="0.25">
      <c r="A6303" t="str">
        <f t="shared" si="1140"/>
        <v>89301000</v>
      </c>
      <c r="B6303" t="str">
        <f t="shared" si="1143"/>
        <v>78006000</v>
      </c>
      <c r="C6303" t="str">
        <f t="shared" si="1144"/>
        <v>78006201</v>
      </c>
      <c r="D6303">
        <v>89301171</v>
      </c>
      <c r="E6303" t="str">
        <f>"9353285678"</f>
        <v>9353285678</v>
      </c>
      <c r="F6303" s="1">
        <v>45075</v>
      </c>
      <c r="G6303" t="str">
        <f>"81703"</f>
        <v>81703</v>
      </c>
      <c r="H6303">
        <v>2</v>
      </c>
      <c r="I6303">
        <v>556</v>
      </c>
      <c r="J6303">
        <v>0</v>
      </c>
      <c r="K6303" t="str">
        <f t="shared" si="1146"/>
        <v>801</v>
      </c>
      <c r="L6303">
        <v>467.04</v>
      </c>
    </row>
    <row r="6304" spans="1:12" x14ac:dyDescent="0.25">
      <c r="A6304" t="str">
        <f t="shared" si="1140"/>
        <v>89301000</v>
      </c>
      <c r="B6304" t="str">
        <f t="shared" si="1143"/>
        <v>78006000</v>
      </c>
      <c r="C6304" t="str">
        <f t="shared" si="1144"/>
        <v>78006201</v>
      </c>
      <c r="D6304">
        <v>89301122</v>
      </c>
      <c r="E6304" t="str">
        <f>"531003240"</f>
        <v>531003240</v>
      </c>
      <c r="F6304" s="1">
        <v>45049</v>
      </c>
      <c r="G6304" t="str">
        <f>"93191"</f>
        <v>93191</v>
      </c>
      <c r="H6304">
        <v>1</v>
      </c>
      <c r="I6304">
        <v>186</v>
      </c>
      <c r="J6304">
        <v>0</v>
      </c>
      <c r="K6304" t="str">
        <f t="shared" si="1146"/>
        <v>801</v>
      </c>
      <c r="L6304">
        <v>156.24</v>
      </c>
    </row>
    <row r="6305" spans="1:12" x14ac:dyDescent="0.25">
      <c r="A6305" t="str">
        <f t="shared" si="1140"/>
        <v>89301000</v>
      </c>
      <c r="B6305" t="str">
        <f t="shared" si="1143"/>
        <v>78006000</v>
      </c>
      <c r="C6305" t="str">
        <f t="shared" si="1144"/>
        <v>78006201</v>
      </c>
      <c r="D6305">
        <v>89301122</v>
      </c>
      <c r="E6305" t="str">
        <f>"531003240"</f>
        <v>531003240</v>
      </c>
      <c r="F6305" s="1">
        <v>45049</v>
      </c>
      <c r="G6305" t="str">
        <f>"93225"</f>
        <v>93225</v>
      </c>
      <c r="H6305">
        <v>1</v>
      </c>
      <c r="I6305">
        <v>265</v>
      </c>
      <c r="J6305">
        <v>0</v>
      </c>
      <c r="K6305" t="str">
        <f t="shared" si="1146"/>
        <v>801</v>
      </c>
      <c r="L6305">
        <v>222.6</v>
      </c>
    </row>
    <row r="6306" spans="1:12" x14ac:dyDescent="0.25">
      <c r="A6306" t="str">
        <f t="shared" si="1140"/>
        <v>89301000</v>
      </c>
      <c r="B6306" t="str">
        <f t="shared" si="1143"/>
        <v>78006000</v>
      </c>
      <c r="C6306" t="str">
        <f t="shared" si="1144"/>
        <v>78006201</v>
      </c>
      <c r="D6306">
        <v>89301122</v>
      </c>
      <c r="E6306" t="str">
        <f>"531003240"</f>
        <v>531003240</v>
      </c>
      <c r="F6306" s="1">
        <v>45049</v>
      </c>
      <c r="G6306" t="str">
        <f>"97111"</f>
        <v>97111</v>
      </c>
      <c r="H6306">
        <v>1</v>
      </c>
      <c r="I6306">
        <v>19</v>
      </c>
      <c r="J6306">
        <v>0</v>
      </c>
      <c r="K6306" t="str">
        <f t="shared" si="1146"/>
        <v>801</v>
      </c>
      <c r="L6306">
        <v>23.94</v>
      </c>
    </row>
    <row r="6307" spans="1:12" x14ac:dyDescent="0.25">
      <c r="A6307" t="str">
        <f t="shared" si="1140"/>
        <v>89301000</v>
      </c>
      <c r="B6307" t="str">
        <f t="shared" si="1143"/>
        <v>78006000</v>
      </c>
      <c r="C6307" t="str">
        <f t="shared" si="1144"/>
        <v>78006201</v>
      </c>
      <c r="D6307">
        <v>89301167</v>
      </c>
      <c r="E6307" t="str">
        <f t="shared" ref="E6307:E6318" si="1148">"5854210813"</f>
        <v>5854210813</v>
      </c>
      <c r="F6307" s="1">
        <v>45058</v>
      </c>
      <c r="G6307" t="str">
        <f>"81337"</f>
        <v>81337</v>
      </c>
      <c r="H6307">
        <v>1</v>
      </c>
      <c r="I6307">
        <v>20</v>
      </c>
      <c r="J6307">
        <v>0</v>
      </c>
      <c r="K6307" t="str">
        <f t="shared" si="1146"/>
        <v>801</v>
      </c>
      <c r="L6307">
        <v>16.8</v>
      </c>
    </row>
    <row r="6308" spans="1:12" x14ac:dyDescent="0.25">
      <c r="A6308" t="str">
        <f t="shared" si="1140"/>
        <v>89301000</v>
      </c>
      <c r="B6308" t="str">
        <f t="shared" si="1143"/>
        <v>78006000</v>
      </c>
      <c r="C6308" t="str">
        <f t="shared" si="1144"/>
        <v>78006201</v>
      </c>
      <c r="D6308">
        <v>89301167</v>
      </c>
      <c r="E6308" t="str">
        <f t="shared" si="1148"/>
        <v>5854210813</v>
      </c>
      <c r="F6308" s="1">
        <v>45058</v>
      </c>
      <c r="G6308" t="str">
        <f>"81357"</f>
        <v>81357</v>
      </c>
      <c r="H6308">
        <v>1</v>
      </c>
      <c r="I6308">
        <v>20</v>
      </c>
      <c r="J6308">
        <v>0</v>
      </c>
      <c r="K6308" t="str">
        <f t="shared" si="1146"/>
        <v>801</v>
      </c>
      <c r="L6308">
        <v>16.8</v>
      </c>
    </row>
    <row r="6309" spans="1:12" x14ac:dyDescent="0.25">
      <c r="A6309" t="str">
        <f t="shared" si="1140"/>
        <v>89301000</v>
      </c>
      <c r="B6309" t="str">
        <f t="shared" si="1143"/>
        <v>78006000</v>
      </c>
      <c r="C6309" t="str">
        <f t="shared" si="1144"/>
        <v>78006201</v>
      </c>
      <c r="D6309">
        <v>89301167</v>
      </c>
      <c r="E6309" t="str">
        <f t="shared" si="1148"/>
        <v>5854210813</v>
      </c>
      <c r="F6309" s="1">
        <v>45058</v>
      </c>
      <c r="G6309" t="str">
        <f>"81361"</f>
        <v>81361</v>
      </c>
      <c r="H6309">
        <v>1</v>
      </c>
      <c r="I6309">
        <v>17</v>
      </c>
      <c r="J6309">
        <v>0</v>
      </c>
      <c r="K6309" t="str">
        <f t="shared" si="1146"/>
        <v>801</v>
      </c>
      <c r="L6309">
        <v>14.28</v>
      </c>
    </row>
    <row r="6310" spans="1:12" x14ac:dyDescent="0.25">
      <c r="A6310" t="str">
        <f t="shared" si="1140"/>
        <v>89301000</v>
      </c>
      <c r="B6310" t="str">
        <f t="shared" si="1143"/>
        <v>78006000</v>
      </c>
      <c r="C6310" t="str">
        <f t="shared" si="1144"/>
        <v>78006201</v>
      </c>
      <c r="D6310">
        <v>89301167</v>
      </c>
      <c r="E6310" t="str">
        <f t="shared" si="1148"/>
        <v>5854210813</v>
      </c>
      <c r="F6310" s="1">
        <v>45058</v>
      </c>
      <c r="G6310" t="str">
        <f>"81393"</f>
        <v>81393</v>
      </c>
      <c r="H6310">
        <v>1</v>
      </c>
      <c r="I6310">
        <v>24</v>
      </c>
      <c r="J6310">
        <v>0</v>
      </c>
      <c r="K6310" t="str">
        <f t="shared" si="1146"/>
        <v>801</v>
      </c>
      <c r="L6310">
        <v>20.16</v>
      </c>
    </row>
    <row r="6311" spans="1:12" x14ac:dyDescent="0.25">
      <c r="A6311" t="str">
        <f t="shared" si="1140"/>
        <v>89301000</v>
      </c>
      <c r="B6311" t="str">
        <f t="shared" si="1143"/>
        <v>78006000</v>
      </c>
      <c r="C6311" t="str">
        <f t="shared" si="1144"/>
        <v>78006201</v>
      </c>
      <c r="D6311">
        <v>89301167</v>
      </c>
      <c r="E6311" t="str">
        <f t="shared" si="1148"/>
        <v>5854210813</v>
      </c>
      <c r="F6311" s="1">
        <v>45058</v>
      </c>
      <c r="G6311" t="str">
        <f>"81421"</f>
        <v>81421</v>
      </c>
      <c r="H6311">
        <v>1</v>
      </c>
      <c r="I6311">
        <v>19</v>
      </c>
      <c r="J6311">
        <v>0</v>
      </c>
      <c r="K6311" t="str">
        <f t="shared" si="1146"/>
        <v>801</v>
      </c>
      <c r="L6311">
        <v>15.96</v>
      </c>
    </row>
    <row r="6312" spans="1:12" x14ac:dyDescent="0.25">
      <c r="A6312" t="str">
        <f t="shared" si="1140"/>
        <v>89301000</v>
      </c>
      <c r="B6312" t="str">
        <f t="shared" si="1143"/>
        <v>78006000</v>
      </c>
      <c r="C6312" t="str">
        <f t="shared" si="1144"/>
        <v>78006201</v>
      </c>
      <c r="D6312">
        <v>89301167</v>
      </c>
      <c r="E6312" t="str">
        <f t="shared" si="1148"/>
        <v>5854210813</v>
      </c>
      <c r="F6312" s="1">
        <v>45058</v>
      </c>
      <c r="G6312" t="str">
        <f>"81435"</f>
        <v>81435</v>
      </c>
      <c r="H6312">
        <v>1</v>
      </c>
      <c r="I6312">
        <v>22</v>
      </c>
      <c r="J6312">
        <v>0</v>
      </c>
      <c r="K6312" t="str">
        <f t="shared" si="1146"/>
        <v>801</v>
      </c>
      <c r="L6312">
        <v>18.48</v>
      </c>
    </row>
    <row r="6313" spans="1:12" x14ac:dyDescent="0.25">
      <c r="A6313" t="str">
        <f t="shared" si="1140"/>
        <v>89301000</v>
      </c>
      <c r="B6313" t="str">
        <f t="shared" si="1143"/>
        <v>78006000</v>
      </c>
      <c r="C6313" t="str">
        <f t="shared" si="1144"/>
        <v>78006201</v>
      </c>
      <c r="D6313">
        <v>89301167</v>
      </c>
      <c r="E6313" t="str">
        <f t="shared" si="1148"/>
        <v>5854210813</v>
      </c>
      <c r="F6313" s="1">
        <v>45058</v>
      </c>
      <c r="G6313" t="str">
        <f>"81439"</f>
        <v>81439</v>
      </c>
      <c r="H6313">
        <v>1</v>
      </c>
      <c r="I6313">
        <v>16</v>
      </c>
      <c r="J6313">
        <v>0</v>
      </c>
      <c r="K6313" t="str">
        <f t="shared" si="1146"/>
        <v>801</v>
      </c>
      <c r="L6313">
        <v>13.44</v>
      </c>
    </row>
    <row r="6314" spans="1:12" x14ac:dyDescent="0.25">
      <c r="A6314" t="str">
        <f t="shared" si="1140"/>
        <v>89301000</v>
      </c>
      <c r="B6314" t="str">
        <f t="shared" ref="B6314:B6342" si="1149">"78006000"</f>
        <v>78006000</v>
      </c>
      <c r="C6314" t="str">
        <f t="shared" si="1144"/>
        <v>78006201</v>
      </c>
      <c r="D6314">
        <v>89301167</v>
      </c>
      <c r="E6314" t="str">
        <f t="shared" si="1148"/>
        <v>5854210813</v>
      </c>
      <c r="F6314" s="1">
        <v>45058</v>
      </c>
      <c r="G6314" t="str">
        <f>"81469"</f>
        <v>81469</v>
      </c>
      <c r="H6314">
        <v>1</v>
      </c>
      <c r="I6314">
        <v>16</v>
      </c>
      <c r="J6314">
        <v>0</v>
      </c>
      <c r="K6314" t="str">
        <f t="shared" si="1146"/>
        <v>801</v>
      </c>
      <c r="L6314">
        <v>13.44</v>
      </c>
    </row>
    <row r="6315" spans="1:12" x14ac:dyDescent="0.25">
      <c r="A6315" t="str">
        <f t="shared" si="1140"/>
        <v>89301000</v>
      </c>
      <c r="B6315" t="str">
        <f t="shared" si="1149"/>
        <v>78006000</v>
      </c>
      <c r="C6315" t="str">
        <f t="shared" si="1144"/>
        <v>78006201</v>
      </c>
      <c r="D6315">
        <v>89301167</v>
      </c>
      <c r="E6315" t="str">
        <f t="shared" si="1148"/>
        <v>5854210813</v>
      </c>
      <c r="F6315" s="1">
        <v>45058</v>
      </c>
      <c r="G6315" t="str">
        <f>"81499"</f>
        <v>81499</v>
      </c>
      <c r="H6315">
        <v>1</v>
      </c>
      <c r="I6315">
        <v>18</v>
      </c>
      <c r="J6315">
        <v>0</v>
      </c>
      <c r="K6315" t="str">
        <f t="shared" si="1146"/>
        <v>801</v>
      </c>
      <c r="L6315">
        <v>15.12</v>
      </c>
    </row>
    <row r="6316" spans="1:12" x14ac:dyDescent="0.25">
      <c r="A6316" t="str">
        <f t="shared" si="1140"/>
        <v>89301000</v>
      </c>
      <c r="B6316" t="str">
        <f t="shared" si="1149"/>
        <v>78006000</v>
      </c>
      <c r="C6316" t="str">
        <f t="shared" si="1144"/>
        <v>78006201</v>
      </c>
      <c r="D6316">
        <v>89301167</v>
      </c>
      <c r="E6316" t="str">
        <f t="shared" si="1148"/>
        <v>5854210813</v>
      </c>
      <c r="F6316" s="1">
        <v>45058</v>
      </c>
      <c r="G6316" t="str">
        <f>"81523"</f>
        <v>81523</v>
      </c>
      <c r="H6316">
        <v>1</v>
      </c>
      <c r="I6316">
        <v>23</v>
      </c>
      <c r="J6316">
        <v>0</v>
      </c>
      <c r="K6316" t="str">
        <f t="shared" si="1146"/>
        <v>801</v>
      </c>
      <c r="L6316">
        <v>19.32</v>
      </c>
    </row>
    <row r="6317" spans="1:12" x14ac:dyDescent="0.25">
      <c r="A6317" t="str">
        <f t="shared" si="1140"/>
        <v>89301000</v>
      </c>
      <c r="B6317" t="str">
        <f t="shared" si="1149"/>
        <v>78006000</v>
      </c>
      <c r="C6317" t="str">
        <f t="shared" si="1144"/>
        <v>78006201</v>
      </c>
      <c r="D6317">
        <v>89301167</v>
      </c>
      <c r="E6317" t="str">
        <f t="shared" si="1148"/>
        <v>5854210813</v>
      </c>
      <c r="F6317" s="1">
        <v>45058</v>
      </c>
      <c r="G6317" t="str">
        <f>"81593"</f>
        <v>81593</v>
      </c>
      <c r="H6317">
        <v>1</v>
      </c>
      <c r="I6317">
        <v>22</v>
      </c>
      <c r="J6317">
        <v>0</v>
      </c>
      <c r="K6317" t="str">
        <f t="shared" si="1146"/>
        <v>801</v>
      </c>
      <c r="L6317">
        <v>18.48</v>
      </c>
    </row>
    <row r="6318" spans="1:12" x14ac:dyDescent="0.25">
      <c r="A6318" t="str">
        <f t="shared" si="1140"/>
        <v>89301000</v>
      </c>
      <c r="B6318" t="str">
        <f t="shared" si="1149"/>
        <v>78006000</v>
      </c>
      <c r="C6318" t="str">
        <f t="shared" si="1144"/>
        <v>78006201</v>
      </c>
      <c r="D6318">
        <v>89301167</v>
      </c>
      <c r="E6318" t="str">
        <f t="shared" si="1148"/>
        <v>5854210813</v>
      </c>
      <c r="F6318" s="1">
        <v>45058</v>
      </c>
      <c r="G6318" t="str">
        <f>"81621"</f>
        <v>81621</v>
      </c>
      <c r="H6318">
        <v>1</v>
      </c>
      <c r="I6318">
        <v>19</v>
      </c>
      <c r="J6318">
        <v>0</v>
      </c>
      <c r="K6318" t="str">
        <f t="shared" si="1146"/>
        <v>801</v>
      </c>
      <c r="L6318">
        <v>15.96</v>
      </c>
    </row>
    <row r="6319" spans="1:12" x14ac:dyDescent="0.25">
      <c r="A6319" t="str">
        <f t="shared" si="1140"/>
        <v>89301000</v>
      </c>
      <c r="B6319" t="str">
        <f t="shared" si="1149"/>
        <v>78006000</v>
      </c>
      <c r="C6319" t="str">
        <f t="shared" si="1144"/>
        <v>78006201</v>
      </c>
      <c r="D6319">
        <v>89301167</v>
      </c>
      <c r="E6319" t="str">
        <f t="shared" ref="E6319:E6331" si="1150">"450921431"</f>
        <v>450921431</v>
      </c>
      <c r="F6319" s="1">
        <v>45063</v>
      </c>
      <c r="G6319" t="str">
        <f>"81337"</f>
        <v>81337</v>
      </c>
      <c r="H6319">
        <v>1</v>
      </c>
      <c r="I6319">
        <v>20</v>
      </c>
      <c r="J6319">
        <v>0</v>
      </c>
      <c r="K6319" t="str">
        <f t="shared" si="1146"/>
        <v>801</v>
      </c>
      <c r="L6319">
        <v>16.8</v>
      </c>
    </row>
    <row r="6320" spans="1:12" x14ac:dyDescent="0.25">
      <c r="A6320" t="str">
        <f t="shared" si="1140"/>
        <v>89301000</v>
      </c>
      <c r="B6320" t="str">
        <f t="shared" si="1149"/>
        <v>78006000</v>
      </c>
      <c r="C6320" t="str">
        <f t="shared" si="1144"/>
        <v>78006201</v>
      </c>
      <c r="D6320">
        <v>89301167</v>
      </c>
      <c r="E6320" t="str">
        <f t="shared" si="1150"/>
        <v>450921431</v>
      </c>
      <c r="F6320" s="1">
        <v>45063</v>
      </c>
      <c r="G6320" t="str">
        <f>"81357"</f>
        <v>81357</v>
      </c>
      <c r="H6320">
        <v>1</v>
      </c>
      <c r="I6320">
        <v>20</v>
      </c>
      <c r="J6320">
        <v>0</v>
      </c>
      <c r="K6320" t="str">
        <f t="shared" si="1146"/>
        <v>801</v>
      </c>
      <c r="L6320">
        <v>16.8</v>
      </c>
    </row>
    <row r="6321" spans="1:12" x14ac:dyDescent="0.25">
      <c r="A6321" t="str">
        <f t="shared" si="1140"/>
        <v>89301000</v>
      </c>
      <c r="B6321" t="str">
        <f t="shared" si="1149"/>
        <v>78006000</v>
      </c>
      <c r="C6321" t="str">
        <f t="shared" si="1144"/>
        <v>78006201</v>
      </c>
      <c r="D6321">
        <v>89301167</v>
      </c>
      <c r="E6321" t="str">
        <f t="shared" si="1150"/>
        <v>450921431</v>
      </c>
      <c r="F6321" s="1">
        <v>45063</v>
      </c>
      <c r="G6321" t="str">
        <f>"81361"</f>
        <v>81361</v>
      </c>
      <c r="H6321">
        <v>1</v>
      </c>
      <c r="I6321">
        <v>17</v>
      </c>
      <c r="J6321">
        <v>0</v>
      </c>
      <c r="K6321" t="str">
        <f t="shared" si="1146"/>
        <v>801</v>
      </c>
      <c r="L6321">
        <v>14.28</v>
      </c>
    </row>
    <row r="6322" spans="1:12" x14ac:dyDescent="0.25">
      <c r="A6322" t="str">
        <f t="shared" si="1140"/>
        <v>89301000</v>
      </c>
      <c r="B6322" t="str">
        <f t="shared" si="1149"/>
        <v>78006000</v>
      </c>
      <c r="C6322" t="str">
        <f t="shared" si="1144"/>
        <v>78006201</v>
      </c>
      <c r="D6322">
        <v>89301167</v>
      </c>
      <c r="E6322" t="str">
        <f t="shared" si="1150"/>
        <v>450921431</v>
      </c>
      <c r="F6322" s="1">
        <v>45063</v>
      </c>
      <c r="G6322" t="str">
        <f>"81365"</f>
        <v>81365</v>
      </c>
      <c r="H6322">
        <v>1</v>
      </c>
      <c r="I6322">
        <v>16</v>
      </c>
      <c r="J6322">
        <v>0</v>
      </c>
      <c r="K6322" t="str">
        <f t="shared" si="1146"/>
        <v>801</v>
      </c>
      <c r="L6322">
        <v>13.44</v>
      </c>
    </row>
    <row r="6323" spans="1:12" x14ac:dyDescent="0.25">
      <c r="A6323" t="str">
        <f t="shared" si="1140"/>
        <v>89301000</v>
      </c>
      <c r="B6323" t="str">
        <f t="shared" si="1149"/>
        <v>78006000</v>
      </c>
      <c r="C6323" t="str">
        <f t="shared" si="1144"/>
        <v>78006201</v>
      </c>
      <c r="D6323">
        <v>89301167</v>
      </c>
      <c r="E6323" t="str">
        <f t="shared" si="1150"/>
        <v>450921431</v>
      </c>
      <c r="F6323" s="1">
        <v>45063</v>
      </c>
      <c r="G6323" t="str">
        <f>"81393"</f>
        <v>81393</v>
      </c>
      <c r="H6323">
        <v>1</v>
      </c>
      <c r="I6323">
        <v>24</v>
      </c>
      <c r="J6323">
        <v>0</v>
      </c>
      <c r="K6323" t="str">
        <f t="shared" si="1146"/>
        <v>801</v>
      </c>
      <c r="L6323">
        <v>20.16</v>
      </c>
    </row>
    <row r="6324" spans="1:12" x14ac:dyDescent="0.25">
      <c r="A6324" t="str">
        <f t="shared" si="1140"/>
        <v>89301000</v>
      </c>
      <c r="B6324" t="str">
        <f t="shared" si="1149"/>
        <v>78006000</v>
      </c>
      <c r="C6324" t="str">
        <f t="shared" si="1144"/>
        <v>78006201</v>
      </c>
      <c r="D6324">
        <v>89301167</v>
      </c>
      <c r="E6324" t="str">
        <f t="shared" si="1150"/>
        <v>450921431</v>
      </c>
      <c r="F6324" s="1">
        <v>45063</v>
      </c>
      <c r="G6324" t="str">
        <f>"81421"</f>
        <v>81421</v>
      </c>
      <c r="H6324">
        <v>1</v>
      </c>
      <c r="I6324">
        <v>19</v>
      </c>
      <c r="J6324">
        <v>0</v>
      </c>
      <c r="K6324" t="str">
        <f t="shared" si="1146"/>
        <v>801</v>
      </c>
      <c r="L6324">
        <v>15.96</v>
      </c>
    </row>
    <row r="6325" spans="1:12" x14ac:dyDescent="0.25">
      <c r="A6325" t="str">
        <f t="shared" si="1140"/>
        <v>89301000</v>
      </c>
      <c r="B6325" t="str">
        <f t="shared" si="1149"/>
        <v>78006000</v>
      </c>
      <c r="C6325" t="str">
        <f t="shared" si="1144"/>
        <v>78006201</v>
      </c>
      <c r="D6325">
        <v>89301167</v>
      </c>
      <c r="E6325" t="str">
        <f t="shared" si="1150"/>
        <v>450921431</v>
      </c>
      <c r="F6325" s="1">
        <v>45063</v>
      </c>
      <c r="G6325" t="str">
        <f>"81435"</f>
        <v>81435</v>
      </c>
      <c r="H6325">
        <v>1</v>
      </c>
      <c r="I6325">
        <v>22</v>
      </c>
      <c r="J6325">
        <v>0</v>
      </c>
      <c r="K6325" t="str">
        <f t="shared" si="1146"/>
        <v>801</v>
      </c>
      <c r="L6325">
        <v>18.48</v>
      </c>
    </row>
    <row r="6326" spans="1:12" x14ac:dyDescent="0.25">
      <c r="A6326" t="str">
        <f t="shared" si="1140"/>
        <v>89301000</v>
      </c>
      <c r="B6326" t="str">
        <f t="shared" si="1149"/>
        <v>78006000</v>
      </c>
      <c r="C6326" t="str">
        <f t="shared" si="1144"/>
        <v>78006201</v>
      </c>
      <c r="D6326">
        <v>89301167</v>
      </c>
      <c r="E6326" t="str">
        <f t="shared" si="1150"/>
        <v>450921431</v>
      </c>
      <c r="F6326" s="1">
        <v>45063</v>
      </c>
      <c r="G6326" t="str">
        <f>"81439"</f>
        <v>81439</v>
      </c>
      <c r="H6326">
        <v>1</v>
      </c>
      <c r="I6326">
        <v>16</v>
      </c>
      <c r="J6326">
        <v>0</v>
      </c>
      <c r="K6326" t="str">
        <f t="shared" si="1146"/>
        <v>801</v>
      </c>
      <c r="L6326">
        <v>13.44</v>
      </c>
    </row>
    <row r="6327" spans="1:12" x14ac:dyDescent="0.25">
      <c r="A6327" t="str">
        <f t="shared" si="1140"/>
        <v>89301000</v>
      </c>
      <c r="B6327" t="str">
        <f t="shared" si="1149"/>
        <v>78006000</v>
      </c>
      <c r="C6327" t="str">
        <f t="shared" si="1144"/>
        <v>78006201</v>
      </c>
      <c r="D6327">
        <v>89301167</v>
      </c>
      <c r="E6327" t="str">
        <f t="shared" si="1150"/>
        <v>450921431</v>
      </c>
      <c r="F6327" s="1">
        <v>45063</v>
      </c>
      <c r="G6327" t="str">
        <f>"81469"</f>
        <v>81469</v>
      </c>
      <c r="H6327">
        <v>1</v>
      </c>
      <c r="I6327">
        <v>16</v>
      </c>
      <c r="J6327">
        <v>0</v>
      </c>
      <c r="K6327" t="str">
        <f t="shared" si="1146"/>
        <v>801</v>
      </c>
      <c r="L6327">
        <v>13.44</v>
      </c>
    </row>
    <row r="6328" spans="1:12" x14ac:dyDescent="0.25">
      <c r="A6328" t="str">
        <f t="shared" si="1140"/>
        <v>89301000</v>
      </c>
      <c r="B6328" t="str">
        <f t="shared" si="1149"/>
        <v>78006000</v>
      </c>
      <c r="C6328" t="str">
        <f t="shared" si="1144"/>
        <v>78006201</v>
      </c>
      <c r="D6328">
        <v>89301167</v>
      </c>
      <c r="E6328" t="str">
        <f t="shared" si="1150"/>
        <v>450921431</v>
      </c>
      <c r="F6328" s="1">
        <v>45063</v>
      </c>
      <c r="G6328" t="str">
        <f>"81499"</f>
        <v>81499</v>
      </c>
      <c r="H6328">
        <v>1</v>
      </c>
      <c r="I6328">
        <v>18</v>
      </c>
      <c r="J6328">
        <v>0</v>
      </c>
      <c r="K6328" t="str">
        <f t="shared" si="1146"/>
        <v>801</v>
      </c>
      <c r="L6328">
        <v>15.12</v>
      </c>
    </row>
    <row r="6329" spans="1:12" x14ac:dyDescent="0.25">
      <c r="A6329" t="str">
        <f t="shared" si="1140"/>
        <v>89301000</v>
      </c>
      <c r="B6329" t="str">
        <f t="shared" si="1149"/>
        <v>78006000</v>
      </c>
      <c r="C6329" t="str">
        <f t="shared" si="1144"/>
        <v>78006201</v>
      </c>
      <c r="D6329">
        <v>89301167</v>
      </c>
      <c r="E6329" t="str">
        <f t="shared" si="1150"/>
        <v>450921431</v>
      </c>
      <c r="F6329" s="1">
        <v>45063</v>
      </c>
      <c r="G6329" t="str">
        <f>"81523"</f>
        <v>81523</v>
      </c>
      <c r="H6329">
        <v>1</v>
      </c>
      <c r="I6329">
        <v>23</v>
      </c>
      <c r="J6329">
        <v>0</v>
      </c>
      <c r="K6329" t="str">
        <f t="shared" si="1146"/>
        <v>801</v>
      </c>
      <c r="L6329">
        <v>19.32</v>
      </c>
    </row>
    <row r="6330" spans="1:12" x14ac:dyDescent="0.25">
      <c r="A6330" t="str">
        <f t="shared" si="1140"/>
        <v>89301000</v>
      </c>
      <c r="B6330" t="str">
        <f t="shared" si="1149"/>
        <v>78006000</v>
      </c>
      <c r="C6330" t="str">
        <f t="shared" si="1144"/>
        <v>78006201</v>
      </c>
      <c r="D6330">
        <v>89301167</v>
      </c>
      <c r="E6330" t="str">
        <f t="shared" si="1150"/>
        <v>450921431</v>
      </c>
      <c r="F6330" s="1">
        <v>45063</v>
      </c>
      <c r="G6330" t="str">
        <f>"81593"</f>
        <v>81593</v>
      </c>
      <c r="H6330">
        <v>1</v>
      </c>
      <c r="I6330">
        <v>22</v>
      </c>
      <c r="J6330">
        <v>0</v>
      </c>
      <c r="K6330" t="str">
        <f t="shared" si="1146"/>
        <v>801</v>
      </c>
      <c r="L6330">
        <v>18.48</v>
      </c>
    </row>
    <row r="6331" spans="1:12" x14ac:dyDescent="0.25">
      <c r="A6331" t="str">
        <f t="shared" si="1140"/>
        <v>89301000</v>
      </c>
      <c r="B6331" t="str">
        <f t="shared" si="1149"/>
        <v>78006000</v>
      </c>
      <c r="C6331" t="str">
        <f t="shared" si="1144"/>
        <v>78006201</v>
      </c>
      <c r="D6331">
        <v>89301167</v>
      </c>
      <c r="E6331" t="str">
        <f t="shared" si="1150"/>
        <v>450921431</v>
      </c>
      <c r="F6331" s="1">
        <v>45063</v>
      </c>
      <c r="G6331" t="str">
        <f>"81621"</f>
        <v>81621</v>
      </c>
      <c r="H6331">
        <v>1</v>
      </c>
      <c r="I6331">
        <v>19</v>
      </c>
      <c r="J6331">
        <v>0</v>
      </c>
      <c r="K6331" t="str">
        <f t="shared" si="1146"/>
        <v>801</v>
      </c>
      <c r="L6331">
        <v>15.96</v>
      </c>
    </row>
    <row r="6332" spans="1:12" x14ac:dyDescent="0.25">
      <c r="A6332" t="str">
        <f t="shared" si="1140"/>
        <v>89301000</v>
      </c>
      <c r="B6332" t="str">
        <f t="shared" si="1149"/>
        <v>78006000</v>
      </c>
      <c r="C6332" t="str">
        <f t="shared" si="1144"/>
        <v>78006201</v>
      </c>
      <c r="D6332">
        <v>89301165</v>
      </c>
      <c r="E6332" t="str">
        <f>"5854210813"</f>
        <v>5854210813</v>
      </c>
      <c r="F6332" s="1">
        <v>45058</v>
      </c>
      <c r="G6332" t="str">
        <f>"09119"</f>
        <v>09119</v>
      </c>
      <c r="H6332">
        <v>1</v>
      </c>
      <c r="I6332">
        <v>43</v>
      </c>
      <c r="J6332">
        <v>0</v>
      </c>
      <c r="K6332" t="str">
        <f t="shared" si="1146"/>
        <v>801</v>
      </c>
      <c r="L6332">
        <v>54.18</v>
      </c>
    </row>
    <row r="6333" spans="1:12" x14ac:dyDescent="0.25">
      <c r="A6333" t="str">
        <f t="shared" si="1140"/>
        <v>89301000</v>
      </c>
      <c r="B6333" t="str">
        <f t="shared" si="1149"/>
        <v>78006000</v>
      </c>
      <c r="C6333" t="str">
        <f t="shared" si="1144"/>
        <v>78006201</v>
      </c>
      <c r="D6333">
        <v>89301167</v>
      </c>
      <c r="E6333" t="str">
        <f>"450921431"</f>
        <v>450921431</v>
      </c>
      <c r="F6333" s="1">
        <v>45063</v>
      </c>
      <c r="G6333" t="str">
        <f>"09119"</f>
        <v>09119</v>
      </c>
      <c r="H6333">
        <v>1</v>
      </c>
      <c r="I6333">
        <v>43</v>
      </c>
      <c r="J6333">
        <v>0</v>
      </c>
      <c r="K6333" t="str">
        <f t="shared" si="1146"/>
        <v>801</v>
      </c>
      <c r="L6333">
        <v>54.18</v>
      </c>
    </row>
    <row r="6334" spans="1:12" x14ac:dyDescent="0.25">
      <c r="A6334" t="str">
        <f t="shared" si="1140"/>
        <v>89301000</v>
      </c>
      <c r="B6334" t="str">
        <f t="shared" si="1149"/>
        <v>78006000</v>
      </c>
      <c r="C6334" t="str">
        <f t="shared" ref="C6334:C6342" si="1151">"78006233"</f>
        <v>78006233</v>
      </c>
      <c r="D6334">
        <v>89301172</v>
      </c>
      <c r="E6334" t="str">
        <f>"465715461"</f>
        <v>465715461</v>
      </c>
      <c r="F6334" s="1">
        <v>45051</v>
      </c>
      <c r="G6334" t="str">
        <f>"89713"</f>
        <v>89713</v>
      </c>
      <c r="H6334">
        <v>1</v>
      </c>
      <c r="I6334">
        <v>5411</v>
      </c>
      <c r="J6334">
        <v>0</v>
      </c>
      <c r="K6334" t="str">
        <f t="shared" ref="K6334:K6342" si="1152">"810"</f>
        <v>810</v>
      </c>
      <c r="L6334">
        <v>3517.15</v>
      </c>
    </row>
    <row r="6335" spans="1:12" x14ac:dyDescent="0.25">
      <c r="A6335" t="str">
        <f t="shared" si="1140"/>
        <v>89301000</v>
      </c>
      <c r="B6335" t="str">
        <f t="shared" si="1149"/>
        <v>78006000</v>
      </c>
      <c r="C6335" t="str">
        <f t="shared" si="1151"/>
        <v>78006233</v>
      </c>
      <c r="D6335">
        <v>89301172</v>
      </c>
      <c r="E6335" t="str">
        <f>"465715461"</f>
        <v>465715461</v>
      </c>
      <c r="F6335" s="1">
        <v>45051</v>
      </c>
      <c r="G6335" t="str">
        <f>"89725"</f>
        <v>89725</v>
      </c>
      <c r="H6335">
        <v>1</v>
      </c>
      <c r="I6335">
        <v>2863</v>
      </c>
      <c r="J6335">
        <v>0</v>
      </c>
      <c r="K6335" t="str">
        <f t="shared" si="1152"/>
        <v>810</v>
      </c>
      <c r="L6335">
        <v>1860.95</v>
      </c>
    </row>
    <row r="6336" spans="1:12" x14ac:dyDescent="0.25">
      <c r="A6336" t="str">
        <f t="shared" si="1140"/>
        <v>89301000</v>
      </c>
      <c r="B6336" t="str">
        <f t="shared" si="1149"/>
        <v>78006000</v>
      </c>
      <c r="C6336" t="str">
        <f t="shared" si="1151"/>
        <v>78006233</v>
      </c>
      <c r="D6336">
        <v>89301062</v>
      </c>
      <c r="E6336" t="str">
        <f>"475404423"</f>
        <v>475404423</v>
      </c>
      <c r="F6336" s="1">
        <v>45055</v>
      </c>
      <c r="G6336" t="str">
        <f>"89713"</f>
        <v>89713</v>
      </c>
      <c r="H6336">
        <v>1</v>
      </c>
      <c r="I6336">
        <v>5411</v>
      </c>
      <c r="J6336">
        <v>0</v>
      </c>
      <c r="K6336" t="str">
        <f t="shared" si="1152"/>
        <v>810</v>
      </c>
      <c r="L6336">
        <v>3517.15</v>
      </c>
    </row>
    <row r="6337" spans="1:12" x14ac:dyDescent="0.25">
      <c r="A6337" t="str">
        <f t="shared" si="1140"/>
        <v>89301000</v>
      </c>
      <c r="B6337" t="str">
        <f t="shared" si="1149"/>
        <v>78006000</v>
      </c>
      <c r="C6337" t="str">
        <f t="shared" si="1151"/>
        <v>78006233</v>
      </c>
      <c r="D6337">
        <v>89301062</v>
      </c>
      <c r="E6337" t="str">
        <f>"475404423"</f>
        <v>475404423</v>
      </c>
      <c r="F6337" s="1">
        <v>45055</v>
      </c>
      <c r="G6337" t="str">
        <f>"89725"</f>
        <v>89725</v>
      </c>
      <c r="H6337">
        <v>1</v>
      </c>
      <c r="I6337">
        <v>2863</v>
      </c>
      <c r="J6337">
        <v>0</v>
      </c>
      <c r="K6337" t="str">
        <f t="shared" si="1152"/>
        <v>810</v>
      </c>
      <c r="L6337">
        <v>1860.95</v>
      </c>
    </row>
    <row r="6338" spans="1:12" x14ac:dyDescent="0.25">
      <c r="A6338" t="str">
        <f t="shared" ref="A6338:A6401" si="1153">"89301000"</f>
        <v>89301000</v>
      </c>
      <c r="B6338" t="str">
        <f t="shared" si="1149"/>
        <v>78006000</v>
      </c>
      <c r="C6338" t="str">
        <f t="shared" si="1151"/>
        <v>78006233</v>
      </c>
      <c r="D6338">
        <v>89301312</v>
      </c>
      <c r="E6338" t="str">
        <f>"0006164862"</f>
        <v>0006164862</v>
      </c>
      <c r="F6338" s="1">
        <v>45056</v>
      </c>
      <c r="G6338" t="str">
        <f>"89713"</f>
        <v>89713</v>
      </c>
      <c r="H6338">
        <v>1</v>
      </c>
      <c r="I6338">
        <v>5411</v>
      </c>
      <c r="J6338">
        <v>0</v>
      </c>
      <c r="K6338" t="str">
        <f t="shared" si="1152"/>
        <v>810</v>
      </c>
      <c r="L6338">
        <v>3517.15</v>
      </c>
    </row>
    <row r="6339" spans="1:12" x14ac:dyDescent="0.25">
      <c r="A6339" t="str">
        <f t="shared" si="1153"/>
        <v>89301000</v>
      </c>
      <c r="B6339" t="str">
        <f t="shared" si="1149"/>
        <v>78006000</v>
      </c>
      <c r="C6339" t="str">
        <f t="shared" si="1151"/>
        <v>78006233</v>
      </c>
      <c r="D6339">
        <v>89301606</v>
      </c>
      <c r="E6339" t="str">
        <f>"8258045763"</f>
        <v>8258045763</v>
      </c>
      <c r="F6339" s="1">
        <v>45058</v>
      </c>
      <c r="G6339" t="str">
        <f>"89713"</f>
        <v>89713</v>
      </c>
      <c r="H6339">
        <v>1</v>
      </c>
      <c r="I6339">
        <v>5411</v>
      </c>
      <c r="J6339">
        <v>0</v>
      </c>
      <c r="K6339" t="str">
        <f t="shared" si="1152"/>
        <v>810</v>
      </c>
      <c r="L6339">
        <v>3517.15</v>
      </c>
    </row>
    <row r="6340" spans="1:12" x14ac:dyDescent="0.25">
      <c r="A6340" t="str">
        <f t="shared" si="1153"/>
        <v>89301000</v>
      </c>
      <c r="B6340" t="str">
        <f t="shared" si="1149"/>
        <v>78006000</v>
      </c>
      <c r="C6340" t="str">
        <f t="shared" si="1151"/>
        <v>78006233</v>
      </c>
      <c r="D6340">
        <v>89301606</v>
      </c>
      <c r="E6340" t="str">
        <f>"8258045763"</f>
        <v>8258045763</v>
      </c>
      <c r="F6340" s="1">
        <v>45058</v>
      </c>
      <c r="G6340" t="str">
        <f>"89725"</f>
        <v>89725</v>
      </c>
      <c r="H6340">
        <v>1</v>
      </c>
      <c r="I6340">
        <v>2863</v>
      </c>
      <c r="J6340">
        <v>0</v>
      </c>
      <c r="K6340" t="str">
        <f t="shared" si="1152"/>
        <v>810</v>
      </c>
      <c r="L6340">
        <v>1860.95</v>
      </c>
    </row>
    <row r="6341" spans="1:12" x14ac:dyDescent="0.25">
      <c r="A6341" t="str">
        <f t="shared" si="1153"/>
        <v>89301000</v>
      </c>
      <c r="B6341" t="str">
        <f t="shared" si="1149"/>
        <v>78006000</v>
      </c>
      <c r="C6341" t="str">
        <f t="shared" si="1151"/>
        <v>78006233</v>
      </c>
      <c r="D6341">
        <v>89301062</v>
      </c>
      <c r="E6341" t="str">
        <f>"6455186397"</f>
        <v>6455186397</v>
      </c>
      <c r="F6341" s="1">
        <v>45061</v>
      </c>
      <c r="G6341" t="str">
        <f>"89713"</f>
        <v>89713</v>
      </c>
      <c r="H6341">
        <v>1</v>
      </c>
      <c r="I6341">
        <v>5411</v>
      </c>
      <c r="J6341">
        <v>0</v>
      </c>
      <c r="K6341" t="str">
        <f t="shared" si="1152"/>
        <v>810</v>
      </c>
      <c r="L6341">
        <v>3517.15</v>
      </c>
    </row>
    <row r="6342" spans="1:12" x14ac:dyDescent="0.25">
      <c r="A6342" t="str">
        <f t="shared" si="1153"/>
        <v>89301000</v>
      </c>
      <c r="B6342" t="str">
        <f t="shared" si="1149"/>
        <v>78006000</v>
      </c>
      <c r="C6342" t="str">
        <f t="shared" si="1151"/>
        <v>78006233</v>
      </c>
      <c r="D6342">
        <v>89301112</v>
      </c>
      <c r="E6342" t="str">
        <f>"6354270494"</f>
        <v>6354270494</v>
      </c>
      <c r="F6342" s="1">
        <v>45062</v>
      </c>
      <c r="G6342" t="str">
        <f>"89713"</f>
        <v>89713</v>
      </c>
      <c r="H6342">
        <v>1</v>
      </c>
      <c r="I6342">
        <v>5411</v>
      </c>
      <c r="J6342">
        <v>0</v>
      </c>
      <c r="K6342" t="str">
        <f t="shared" si="1152"/>
        <v>810</v>
      </c>
      <c r="L6342">
        <v>3517.15</v>
      </c>
    </row>
    <row r="6343" spans="1:12" x14ac:dyDescent="0.25">
      <c r="A6343" t="str">
        <f t="shared" si="1153"/>
        <v>89301000</v>
      </c>
      <c r="B6343" t="str">
        <f t="shared" ref="B6343:B6348" si="1154">"72932000"</f>
        <v>72932000</v>
      </c>
      <c r="C6343" t="str">
        <f t="shared" ref="C6343:C6348" si="1155">"72932050"</f>
        <v>72932050</v>
      </c>
      <c r="D6343">
        <v>89301034</v>
      </c>
      <c r="E6343" t="str">
        <f>"5655031019"</f>
        <v>5655031019</v>
      </c>
      <c r="F6343" s="1">
        <v>45068</v>
      </c>
      <c r="G6343" t="str">
        <f>"94225"</f>
        <v>94225</v>
      </c>
      <c r="H6343">
        <v>1</v>
      </c>
      <c r="I6343">
        <v>1208</v>
      </c>
      <c r="J6343">
        <v>0</v>
      </c>
      <c r="K6343" t="str">
        <f t="shared" ref="K6343:K6348" si="1156">"816"</f>
        <v>816</v>
      </c>
      <c r="L6343">
        <v>1087.2</v>
      </c>
    </row>
    <row r="6344" spans="1:12" x14ac:dyDescent="0.25">
      <c r="A6344" t="str">
        <f t="shared" si="1153"/>
        <v>89301000</v>
      </c>
      <c r="B6344" t="str">
        <f t="shared" si="1154"/>
        <v>72932000</v>
      </c>
      <c r="C6344" t="str">
        <f t="shared" si="1155"/>
        <v>72932050</v>
      </c>
      <c r="D6344">
        <v>89301034</v>
      </c>
      <c r="E6344" t="str">
        <f>"5655031019"</f>
        <v>5655031019</v>
      </c>
      <c r="F6344" s="1">
        <v>45068</v>
      </c>
      <c r="G6344" t="str">
        <f>"94956"</f>
        <v>94956</v>
      </c>
      <c r="H6344">
        <v>1</v>
      </c>
      <c r="I6344">
        <v>0</v>
      </c>
      <c r="J6344">
        <v>976</v>
      </c>
      <c r="K6344" t="str">
        <f t="shared" si="1156"/>
        <v>816</v>
      </c>
      <c r="L6344">
        <v>976</v>
      </c>
    </row>
    <row r="6345" spans="1:12" x14ac:dyDescent="0.25">
      <c r="A6345" t="str">
        <f t="shared" si="1153"/>
        <v>89301000</v>
      </c>
      <c r="B6345" t="str">
        <f t="shared" si="1154"/>
        <v>72932000</v>
      </c>
      <c r="C6345" t="str">
        <f t="shared" si="1155"/>
        <v>72932050</v>
      </c>
      <c r="D6345">
        <v>89301034</v>
      </c>
      <c r="E6345" t="str">
        <f>"6357171931"</f>
        <v>6357171931</v>
      </c>
      <c r="F6345" s="1">
        <v>45068</v>
      </c>
      <c r="G6345" t="str">
        <f>"94225"</f>
        <v>94225</v>
      </c>
      <c r="H6345">
        <v>1</v>
      </c>
      <c r="I6345">
        <v>1208</v>
      </c>
      <c r="J6345">
        <v>0</v>
      </c>
      <c r="K6345" t="str">
        <f t="shared" si="1156"/>
        <v>816</v>
      </c>
      <c r="L6345">
        <v>1087.2</v>
      </c>
    </row>
    <row r="6346" spans="1:12" x14ac:dyDescent="0.25">
      <c r="A6346" t="str">
        <f t="shared" si="1153"/>
        <v>89301000</v>
      </c>
      <c r="B6346" t="str">
        <f t="shared" si="1154"/>
        <v>72932000</v>
      </c>
      <c r="C6346" t="str">
        <f t="shared" si="1155"/>
        <v>72932050</v>
      </c>
      <c r="D6346">
        <v>89301034</v>
      </c>
      <c r="E6346" t="str">
        <f>"6357171931"</f>
        <v>6357171931</v>
      </c>
      <c r="F6346" s="1">
        <v>45068</v>
      </c>
      <c r="G6346" t="str">
        <f>"94956"</f>
        <v>94956</v>
      </c>
      <c r="H6346">
        <v>1</v>
      </c>
      <c r="I6346">
        <v>0</v>
      </c>
      <c r="J6346">
        <v>976</v>
      </c>
      <c r="K6346" t="str">
        <f t="shared" si="1156"/>
        <v>816</v>
      </c>
      <c r="L6346">
        <v>976</v>
      </c>
    </row>
    <row r="6347" spans="1:12" x14ac:dyDescent="0.25">
      <c r="A6347" t="str">
        <f t="shared" si="1153"/>
        <v>89301000</v>
      </c>
      <c r="B6347" t="str">
        <f t="shared" si="1154"/>
        <v>72932000</v>
      </c>
      <c r="C6347" t="str">
        <f t="shared" si="1155"/>
        <v>72932050</v>
      </c>
      <c r="D6347">
        <v>89301032</v>
      </c>
      <c r="E6347" t="str">
        <f>"7960304473"</f>
        <v>7960304473</v>
      </c>
      <c r="F6347" s="1">
        <v>45068</v>
      </c>
      <c r="G6347" t="str">
        <f>"94225"</f>
        <v>94225</v>
      </c>
      <c r="H6347">
        <v>1</v>
      </c>
      <c r="I6347">
        <v>1208</v>
      </c>
      <c r="J6347">
        <v>0</v>
      </c>
      <c r="K6347" t="str">
        <f t="shared" si="1156"/>
        <v>816</v>
      </c>
      <c r="L6347">
        <v>1087.2</v>
      </c>
    </row>
    <row r="6348" spans="1:12" x14ac:dyDescent="0.25">
      <c r="A6348" t="str">
        <f t="shared" si="1153"/>
        <v>89301000</v>
      </c>
      <c r="B6348" t="str">
        <f t="shared" si="1154"/>
        <v>72932000</v>
      </c>
      <c r="C6348" t="str">
        <f t="shared" si="1155"/>
        <v>72932050</v>
      </c>
      <c r="D6348">
        <v>89301032</v>
      </c>
      <c r="E6348" t="str">
        <f>"7960304473"</f>
        <v>7960304473</v>
      </c>
      <c r="F6348" s="1">
        <v>45068</v>
      </c>
      <c r="G6348" t="str">
        <f>"94956"</f>
        <v>94956</v>
      </c>
      <c r="H6348">
        <v>1</v>
      </c>
      <c r="I6348">
        <v>0</v>
      </c>
      <c r="J6348">
        <v>976</v>
      </c>
      <c r="K6348" t="str">
        <f t="shared" si="1156"/>
        <v>816</v>
      </c>
      <c r="L6348">
        <v>976</v>
      </c>
    </row>
    <row r="6349" spans="1:12" x14ac:dyDescent="0.25">
      <c r="A6349" t="str">
        <f t="shared" si="1153"/>
        <v>89301000</v>
      </c>
      <c r="B6349" t="str">
        <f t="shared" ref="B6349:B6384" si="1157">"89903000"</f>
        <v>89903000</v>
      </c>
      <c r="C6349" t="str">
        <f>"89903504"</f>
        <v>89903504</v>
      </c>
      <c r="D6349">
        <v>89301106</v>
      </c>
      <c r="E6349" t="str">
        <f>"0754266062"</f>
        <v>0754266062</v>
      </c>
      <c r="F6349" s="1">
        <v>45056</v>
      </c>
      <c r="G6349" t="str">
        <f>"89713"</f>
        <v>89713</v>
      </c>
      <c r="H6349">
        <v>1</v>
      </c>
      <c r="I6349">
        <v>5411</v>
      </c>
      <c r="J6349">
        <v>0</v>
      </c>
      <c r="K6349" t="str">
        <f>"810"</f>
        <v>810</v>
      </c>
      <c r="L6349">
        <v>3517.15</v>
      </c>
    </row>
    <row r="6350" spans="1:12" x14ac:dyDescent="0.25">
      <c r="A6350" t="str">
        <f t="shared" si="1153"/>
        <v>89301000</v>
      </c>
      <c r="B6350" t="str">
        <f t="shared" si="1157"/>
        <v>89903000</v>
      </c>
      <c r="C6350" t="str">
        <f>"89903504"</f>
        <v>89903504</v>
      </c>
      <c r="D6350">
        <v>89301106</v>
      </c>
      <c r="E6350" t="str">
        <f>"0754266062"</f>
        <v>0754266062</v>
      </c>
      <c r="F6350" s="1">
        <v>45056</v>
      </c>
      <c r="G6350" t="str">
        <f>"89723"</f>
        <v>89723</v>
      </c>
      <c r="H6350">
        <v>1</v>
      </c>
      <c r="I6350">
        <v>5940</v>
      </c>
      <c r="J6350">
        <v>0</v>
      </c>
      <c r="K6350" t="str">
        <f>"810"</f>
        <v>810</v>
      </c>
      <c r="L6350">
        <v>3861</v>
      </c>
    </row>
    <row r="6351" spans="1:12" x14ac:dyDescent="0.25">
      <c r="A6351" t="str">
        <f t="shared" si="1153"/>
        <v>89301000</v>
      </c>
      <c r="B6351" t="str">
        <f t="shared" si="1157"/>
        <v>89903000</v>
      </c>
      <c r="C6351" t="str">
        <f>"89903504"</f>
        <v>89903504</v>
      </c>
      <c r="D6351">
        <v>89301172</v>
      </c>
      <c r="E6351" t="str">
        <f>"6859041585"</f>
        <v>6859041585</v>
      </c>
      <c r="F6351" s="1">
        <v>45058</v>
      </c>
      <c r="G6351" t="str">
        <f>"89713"</f>
        <v>89713</v>
      </c>
      <c r="H6351">
        <v>2</v>
      </c>
      <c r="I6351">
        <v>10822</v>
      </c>
      <c r="J6351">
        <v>0</v>
      </c>
      <c r="K6351" t="str">
        <f>"810"</f>
        <v>810</v>
      </c>
      <c r="L6351">
        <v>7034.3</v>
      </c>
    </row>
    <row r="6352" spans="1:12" x14ac:dyDescent="0.25">
      <c r="A6352" t="str">
        <f t="shared" si="1153"/>
        <v>89301000</v>
      </c>
      <c r="B6352" t="str">
        <f t="shared" si="1157"/>
        <v>89903000</v>
      </c>
      <c r="C6352" t="str">
        <f t="shared" ref="C6352:C6384" si="1158">"89903503"</f>
        <v>89903503</v>
      </c>
      <c r="D6352">
        <v>89301062</v>
      </c>
      <c r="E6352" t="str">
        <f t="shared" ref="E6352:E6358" si="1159">"6352101426"</f>
        <v>6352101426</v>
      </c>
      <c r="F6352" s="1">
        <v>45051</v>
      </c>
      <c r="G6352" t="str">
        <f>"09233"</f>
        <v>09233</v>
      </c>
      <c r="H6352">
        <v>1</v>
      </c>
      <c r="I6352">
        <v>102</v>
      </c>
      <c r="J6352">
        <v>0</v>
      </c>
      <c r="K6352" t="str">
        <f t="shared" ref="K6352:K6384" si="1160">"809"</f>
        <v>809</v>
      </c>
      <c r="L6352">
        <v>149.94</v>
      </c>
    </row>
    <row r="6353" spans="1:12" x14ac:dyDescent="0.25">
      <c r="A6353" t="str">
        <f t="shared" si="1153"/>
        <v>89301000</v>
      </c>
      <c r="B6353" t="str">
        <f t="shared" si="1157"/>
        <v>89903000</v>
      </c>
      <c r="C6353" t="str">
        <f t="shared" si="1158"/>
        <v>89903503</v>
      </c>
      <c r="D6353">
        <v>89301062</v>
      </c>
      <c r="E6353" t="str">
        <f t="shared" si="1159"/>
        <v>6352101426</v>
      </c>
      <c r="F6353" s="1">
        <v>45051</v>
      </c>
      <c r="G6353" t="str">
        <f>"89311"</f>
        <v>89311</v>
      </c>
      <c r="H6353">
        <v>1</v>
      </c>
      <c r="I6353">
        <v>970</v>
      </c>
      <c r="J6353">
        <v>0</v>
      </c>
      <c r="K6353" t="str">
        <f t="shared" si="1160"/>
        <v>809</v>
      </c>
      <c r="L6353">
        <v>1425.9</v>
      </c>
    </row>
    <row r="6354" spans="1:12" x14ac:dyDescent="0.25">
      <c r="A6354" t="str">
        <f t="shared" si="1153"/>
        <v>89301000</v>
      </c>
      <c r="B6354" t="str">
        <f t="shared" si="1157"/>
        <v>89903000</v>
      </c>
      <c r="C6354" t="str">
        <f t="shared" si="1158"/>
        <v>89903503</v>
      </c>
      <c r="D6354">
        <v>89301062</v>
      </c>
      <c r="E6354" t="str">
        <f t="shared" si="1159"/>
        <v>6352101426</v>
      </c>
      <c r="F6354" s="1">
        <v>45051</v>
      </c>
      <c r="G6354" t="str">
        <f>"89615"</f>
        <v>89615</v>
      </c>
      <c r="H6354">
        <v>1</v>
      </c>
      <c r="I6354">
        <v>2199</v>
      </c>
      <c r="J6354">
        <v>0</v>
      </c>
      <c r="K6354" t="str">
        <f t="shared" si="1160"/>
        <v>809</v>
      </c>
      <c r="L6354">
        <v>1429.35</v>
      </c>
    </row>
    <row r="6355" spans="1:12" x14ac:dyDescent="0.25">
      <c r="A6355" t="str">
        <f t="shared" si="1153"/>
        <v>89301000</v>
      </c>
      <c r="B6355" t="str">
        <f t="shared" si="1157"/>
        <v>89903000</v>
      </c>
      <c r="C6355" t="str">
        <f t="shared" si="1158"/>
        <v>89903503</v>
      </c>
      <c r="D6355">
        <v>89301062</v>
      </c>
      <c r="E6355" t="str">
        <f t="shared" si="1159"/>
        <v>6352101426</v>
      </c>
      <c r="F6355" s="1">
        <v>45051</v>
      </c>
      <c r="G6355" t="str">
        <f>"0000502"</f>
        <v>0000502</v>
      </c>
      <c r="H6355">
        <v>0.1</v>
      </c>
      <c r="J6355">
        <v>6.97</v>
      </c>
      <c r="K6355" t="str">
        <f t="shared" si="1160"/>
        <v>809</v>
      </c>
      <c r="L6355">
        <v>6.97</v>
      </c>
    </row>
    <row r="6356" spans="1:12" x14ac:dyDescent="0.25">
      <c r="A6356" t="str">
        <f t="shared" si="1153"/>
        <v>89301000</v>
      </c>
      <c r="B6356" t="str">
        <f t="shared" si="1157"/>
        <v>89903000</v>
      </c>
      <c r="C6356" t="str">
        <f t="shared" si="1158"/>
        <v>89903503</v>
      </c>
      <c r="D6356">
        <v>89301062</v>
      </c>
      <c r="E6356" t="str">
        <f t="shared" si="1159"/>
        <v>6352101426</v>
      </c>
      <c r="F6356" s="1">
        <v>45051</v>
      </c>
      <c r="G6356" t="str">
        <f>"0084090"</f>
        <v>0084090</v>
      </c>
      <c r="H6356">
        <v>0.1</v>
      </c>
      <c r="J6356">
        <v>8.52</v>
      </c>
      <c r="K6356" t="str">
        <f t="shared" si="1160"/>
        <v>809</v>
      </c>
      <c r="L6356">
        <v>8.52</v>
      </c>
    </row>
    <row r="6357" spans="1:12" x14ac:dyDescent="0.25">
      <c r="A6357" t="str">
        <f t="shared" si="1153"/>
        <v>89301000</v>
      </c>
      <c r="B6357" t="str">
        <f t="shared" si="1157"/>
        <v>89903000</v>
      </c>
      <c r="C6357" t="str">
        <f t="shared" si="1158"/>
        <v>89903503</v>
      </c>
      <c r="D6357">
        <v>89301062</v>
      </c>
      <c r="E6357" t="str">
        <f t="shared" si="1159"/>
        <v>6352101426</v>
      </c>
      <c r="F6357" s="1">
        <v>45051</v>
      </c>
      <c r="G6357" t="str">
        <f>"0096251"</f>
        <v>0096251</v>
      </c>
      <c r="H6357">
        <v>8.0000000000000002E-3</v>
      </c>
      <c r="J6357">
        <v>9.36</v>
      </c>
      <c r="K6357" t="str">
        <f t="shared" si="1160"/>
        <v>809</v>
      </c>
      <c r="L6357">
        <v>9.36</v>
      </c>
    </row>
    <row r="6358" spans="1:12" x14ac:dyDescent="0.25">
      <c r="A6358" t="str">
        <f t="shared" si="1153"/>
        <v>89301000</v>
      </c>
      <c r="B6358" t="str">
        <f t="shared" si="1157"/>
        <v>89903000</v>
      </c>
      <c r="C6358" t="str">
        <f t="shared" si="1158"/>
        <v>89903503</v>
      </c>
      <c r="D6358">
        <v>89301062</v>
      </c>
      <c r="E6358" t="str">
        <f t="shared" si="1159"/>
        <v>6352101426</v>
      </c>
      <c r="F6358" s="1">
        <v>45051</v>
      </c>
      <c r="G6358" t="str">
        <f>"0194183"</f>
        <v>0194183</v>
      </c>
      <c r="H6358">
        <v>1</v>
      </c>
      <c r="J6358">
        <v>53</v>
      </c>
      <c r="K6358" t="str">
        <f t="shared" si="1160"/>
        <v>809</v>
      </c>
      <c r="L6358">
        <v>53</v>
      </c>
    </row>
    <row r="6359" spans="1:12" x14ac:dyDescent="0.25">
      <c r="A6359" t="str">
        <f t="shared" si="1153"/>
        <v>89301000</v>
      </c>
      <c r="B6359" t="str">
        <f t="shared" si="1157"/>
        <v>89903000</v>
      </c>
      <c r="C6359" t="str">
        <f t="shared" si="1158"/>
        <v>89903503</v>
      </c>
      <c r="D6359">
        <v>89301171</v>
      </c>
      <c r="E6359" t="str">
        <f t="shared" ref="E6359:E6364" si="1161">"6058121674"</f>
        <v>6058121674</v>
      </c>
      <c r="F6359" s="1">
        <v>45058</v>
      </c>
      <c r="G6359" t="str">
        <f>"09233"</f>
        <v>09233</v>
      </c>
      <c r="H6359">
        <v>1</v>
      </c>
      <c r="I6359">
        <v>102</v>
      </c>
      <c r="J6359">
        <v>0</v>
      </c>
      <c r="K6359" t="str">
        <f t="shared" si="1160"/>
        <v>809</v>
      </c>
      <c r="L6359">
        <v>149.94</v>
      </c>
    </row>
    <row r="6360" spans="1:12" x14ac:dyDescent="0.25">
      <c r="A6360" t="str">
        <f t="shared" si="1153"/>
        <v>89301000</v>
      </c>
      <c r="B6360" t="str">
        <f t="shared" si="1157"/>
        <v>89903000</v>
      </c>
      <c r="C6360" t="str">
        <f t="shared" si="1158"/>
        <v>89903503</v>
      </c>
      <c r="D6360">
        <v>89301171</v>
      </c>
      <c r="E6360" t="str">
        <f t="shared" si="1161"/>
        <v>6058121674</v>
      </c>
      <c r="F6360" s="1">
        <v>45058</v>
      </c>
      <c r="G6360" t="str">
        <f>"89311"</f>
        <v>89311</v>
      </c>
      <c r="H6360">
        <v>1</v>
      </c>
      <c r="I6360">
        <v>970</v>
      </c>
      <c r="J6360">
        <v>0</v>
      </c>
      <c r="K6360" t="str">
        <f t="shared" si="1160"/>
        <v>809</v>
      </c>
      <c r="L6360">
        <v>1425.9</v>
      </c>
    </row>
    <row r="6361" spans="1:12" x14ac:dyDescent="0.25">
      <c r="A6361" t="str">
        <f t="shared" si="1153"/>
        <v>89301000</v>
      </c>
      <c r="B6361" t="str">
        <f t="shared" si="1157"/>
        <v>89903000</v>
      </c>
      <c r="C6361" t="str">
        <f t="shared" si="1158"/>
        <v>89903503</v>
      </c>
      <c r="D6361">
        <v>89301171</v>
      </c>
      <c r="E6361" t="str">
        <f t="shared" si="1161"/>
        <v>6058121674</v>
      </c>
      <c r="F6361" s="1">
        <v>45058</v>
      </c>
      <c r="G6361" t="str">
        <f>"89615"</f>
        <v>89615</v>
      </c>
      <c r="H6361">
        <v>1</v>
      </c>
      <c r="I6361">
        <v>2199</v>
      </c>
      <c r="J6361">
        <v>0</v>
      </c>
      <c r="K6361" t="str">
        <f t="shared" si="1160"/>
        <v>809</v>
      </c>
      <c r="L6361">
        <v>1429.35</v>
      </c>
    </row>
    <row r="6362" spans="1:12" x14ac:dyDescent="0.25">
      <c r="A6362" t="str">
        <f t="shared" si="1153"/>
        <v>89301000</v>
      </c>
      <c r="B6362" t="str">
        <f t="shared" si="1157"/>
        <v>89903000</v>
      </c>
      <c r="C6362" t="str">
        <f t="shared" si="1158"/>
        <v>89903503</v>
      </c>
      <c r="D6362">
        <v>89301171</v>
      </c>
      <c r="E6362" t="str">
        <f t="shared" si="1161"/>
        <v>6058121674</v>
      </c>
      <c r="F6362" s="1">
        <v>45058</v>
      </c>
      <c r="G6362" t="str">
        <f>"0000502"</f>
        <v>0000502</v>
      </c>
      <c r="H6362">
        <v>0.1</v>
      </c>
      <c r="J6362">
        <v>6.97</v>
      </c>
      <c r="K6362" t="str">
        <f t="shared" si="1160"/>
        <v>809</v>
      </c>
      <c r="L6362">
        <v>6.97</v>
      </c>
    </row>
    <row r="6363" spans="1:12" x14ac:dyDescent="0.25">
      <c r="A6363" t="str">
        <f t="shared" si="1153"/>
        <v>89301000</v>
      </c>
      <c r="B6363" t="str">
        <f t="shared" si="1157"/>
        <v>89903000</v>
      </c>
      <c r="C6363" t="str">
        <f t="shared" si="1158"/>
        <v>89903503</v>
      </c>
      <c r="D6363">
        <v>89301171</v>
      </c>
      <c r="E6363" t="str">
        <f t="shared" si="1161"/>
        <v>6058121674</v>
      </c>
      <c r="F6363" s="1">
        <v>45058</v>
      </c>
      <c r="G6363" t="str">
        <f>"0096251"</f>
        <v>0096251</v>
      </c>
      <c r="H6363">
        <v>8.0000000000000002E-3</v>
      </c>
      <c r="J6363">
        <v>9.36</v>
      </c>
      <c r="K6363" t="str">
        <f t="shared" si="1160"/>
        <v>809</v>
      </c>
      <c r="L6363">
        <v>9.36</v>
      </c>
    </row>
    <row r="6364" spans="1:12" x14ac:dyDescent="0.25">
      <c r="A6364" t="str">
        <f t="shared" si="1153"/>
        <v>89301000</v>
      </c>
      <c r="B6364" t="str">
        <f t="shared" si="1157"/>
        <v>89903000</v>
      </c>
      <c r="C6364" t="str">
        <f t="shared" si="1158"/>
        <v>89903503</v>
      </c>
      <c r="D6364">
        <v>89301171</v>
      </c>
      <c r="E6364" t="str">
        <f t="shared" si="1161"/>
        <v>6058121674</v>
      </c>
      <c r="F6364" s="1">
        <v>45058</v>
      </c>
      <c r="G6364" t="str">
        <f>"0194183"</f>
        <v>0194183</v>
      </c>
      <c r="H6364">
        <v>1</v>
      </c>
      <c r="J6364">
        <v>53</v>
      </c>
      <c r="K6364" t="str">
        <f t="shared" si="1160"/>
        <v>809</v>
      </c>
      <c r="L6364">
        <v>53</v>
      </c>
    </row>
    <row r="6365" spans="1:12" x14ac:dyDescent="0.25">
      <c r="A6365" t="str">
        <f t="shared" si="1153"/>
        <v>89301000</v>
      </c>
      <c r="B6365" t="str">
        <f t="shared" si="1157"/>
        <v>89903000</v>
      </c>
      <c r="C6365" t="str">
        <f t="shared" si="1158"/>
        <v>89903503</v>
      </c>
      <c r="D6365">
        <v>89301062</v>
      </c>
      <c r="E6365" t="str">
        <f t="shared" ref="E6365:E6378" si="1162">"6352101426"</f>
        <v>6352101426</v>
      </c>
      <c r="F6365" s="1">
        <v>45062</v>
      </c>
      <c r="G6365" t="str">
        <f>"09233"</f>
        <v>09233</v>
      </c>
      <c r="H6365">
        <v>1</v>
      </c>
      <c r="I6365">
        <v>102</v>
      </c>
      <c r="J6365">
        <v>0</v>
      </c>
      <c r="K6365" t="str">
        <f t="shared" si="1160"/>
        <v>809</v>
      </c>
      <c r="L6365">
        <v>149.94</v>
      </c>
    </row>
    <row r="6366" spans="1:12" x14ac:dyDescent="0.25">
      <c r="A6366" t="str">
        <f t="shared" si="1153"/>
        <v>89301000</v>
      </c>
      <c r="B6366" t="str">
        <f t="shared" si="1157"/>
        <v>89903000</v>
      </c>
      <c r="C6366" t="str">
        <f t="shared" si="1158"/>
        <v>89903503</v>
      </c>
      <c r="D6366">
        <v>89301062</v>
      </c>
      <c r="E6366" t="str">
        <f t="shared" si="1162"/>
        <v>6352101426</v>
      </c>
      <c r="F6366" s="1">
        <v>45062</v>
      </c>
      <c r="G6366" t="str">
        <f>"89311"</f>
        <v>89311</v>
      </c>
      <c r="H6366">
        <v>1</v>
      </c>
      <c r="I6366">
        <v>970</v>
      </c>
      <c r="J6366">
        <v>0</v>
      </c>
      <c r="K6366" t="str">
        <f t="shared" si="1160"/>
        <v>809</v>
      </c>
      <c r="L6366">
        <v>1425.9</v>
      </c>
    </row>
    <row r="6367" spans="1:12" x14ac:dyDescent="0.25">
      <c r="A6367" t="str">
        <f t="shared" si="1153"/>
        <v>89301000</v>
      </c>
      <c r="B6367" t="str">
        <f t="shared" si="1157"/>
        <v>89903000</v>
      </c>
      <c r="C6367" t="str">
        <f t="shared" si="1158"/>
        <v>89903503</v>
      </c>
      <c r="D6367">
        <v>89301062</v>
      </c>
      <c r="E6367" t="str">
        <f t="shared" si="1162"/>
        <v>6352101426</v>
      </c>
      <c r="F6367" s="1">
        <v>45062</v>
      </c>
      <c r="G6367" t="str">
        <f>"89615"</f>
        <v>89615</v>
      </c>
      <c r="H6367">
        <v>1</v>
      </c>
      <c r="I6367">
        <v>2199</v>
      </c>
      <c r="J6367">
        <v>0</v>
      </c>
      <c r="K6367" t="str">
        <f t="shared" si="1160"/>
        <v>809</v>
      </c>
      <c r="L6367">
        <v>1429.35</v>
      </c>
    </row>
    <row r="6368" spans="1:12" x14ac:dyDescent="0.25">
      <c r="A6368" t="str">
        <f t="shared" si="1153"/>
        <v>89301000</v>
      </c>
      <c r="B6368" t="str">
        <f t="shared" si="1157"/>
        <v>89903000</v>
      </c>
      <c r="C6368" t="str">
        <f t="shared" si="1158"/>
        <v>89903503</v>
      </c>
      <c r="D6368">
        <v>89301062</v>
      </c>
      <c r="E6368" t="str">
        <f t="shared" si="1162"/>
        <v>6352101426</v>
      </c>
      <c r="F6368" s="1">
        <v>45062</v>
      </c>
      <c r="G6368" t="str">
        <f>"0000502"</f>
        <v>0000502</v>
      </c>
      <c r="H6368">
        <v>0.1</v>
      </c>
      <c r="J6368">
        <v>6.97</v>
      </c>
      <c r="K6368" t="str">
        <f t="shared" si="1160"/>
        <v>809</v>
      </c>
      <c r="L6368">
        <v>6.97</v>
      </c>
    </row>
    <row r="6369" spans="1:12" x14ac:dyDescent="0.25">
      <c r="A6369" t="str">
        <f t="shared" si="1153"/>
        <v>89301000</v>
      </c>
      <c r="B6369" t="str">
        <f t="shared" si="1157"/>
        <v>89903000</v>
      </c>
      <c r="C6369" t="str">
        <f t="shared" si="1158"/>
        <v>89903503</v>
      </c>
      <c r="D6369">
        <v>89301062</v>
      </c>
      <c r="E6369" t="str">
        <f t="shared" si="1162"/>
        <v>6352101426</v>
      </c>
      <c r="F6369" s="1">
        <v>45062</v>
      </c>
      <c r="G6369" t="str">
        <f>"0084090"</f>
        <v>0084090</v>
      </c>
      <c r="H6369">
        <v>0.1</v>
      </c>
      <c r="J6369">
        <v>8.52</v>
      </c>
      <c r="K6369" t="str">
        <f t="shared" si="1160"/>
        <v>809</v>
      </c>
      <c r="L6369">
        <v>8.52</v>
      </c>
    </row>
    <row r="6370" spans="1:12" x14ac:dyDescent="0.25">
      <c r="A6370" t="str">
        <f t="shared" si="1153"/>
        <v>89301000</v>
      </c>
      <c r="B6370" t="str">
        <f t="shared" si="1157"/>
        <v>89903000</v>
      </c>
      <c r="C6370" t="str">
        <f t="shared" si="1158"/>
        <v>89903503</v>
      </c>
      <c r="D6370">
        <v>89301062</v>
      </c>
      <c r="E6370" t="str">
        <f t="shared" si="1162"/>
        <v>6352101426</v>
      </c>
      <c r="F6370" s="1">
        <v>45062</v>
      </c>
      <c r="G6370" t="str">
        <f>"0096251"</f>
        <v>0096251</v>
      </c>
      <c r="H6370">
        <v>8.0000000000000002E-3</v>
      </c>
      <c r="J6370">
        <v>9.36</v>
      </c>
      <c r="K6370" t="str">
        <f t="shared" si="1160"/>
        <v>809</v>
      </c>
      <c r="L6370">
        <v>9.36</v>
      </c>
    </row>
    <row r="6371" spans="1:12" x14ac:dyDescent="0.25">
      <c r="A6371" t="str">
        <f t="shared" si="1153"/>
        <v>89301000</v>
      </c>
      <c r="B6371" t="str">
        <f t="shared" si="1157"/>
        <v>89903000</v>
      </c>
      <c r="C6371" t="str">
        <f t="shared" si="1158"/>
        <v>89903503</v>
      </c>
      <c r="D6371">
        <v>89301062</v>
      </c>
      <c r="E6371" t="str">
        <f t="shared" si="1162"/>
        <v>6352101426</v>
      </c>
      <c r="F6371" s="1">
        <v>45062</v>
      </c>
      <c r="G6371" t="str">
        <f>"0194183"</f>
        <v>0194183</v>
      </c>
      <c r="H6371">
        <v>1</v>
      </c>
      <c r="J6371">
        <v>53</v>
      </c>
      <c r="K6371" t="str">
        <f t="shared" si="1160"/>
        <v>809</v>
      </c>
      <c r="L6371">
        <v>53</v>
      </c>
    </row>
    <row r="6372" spans="1:12" x14ac:dyDescent="0.25">
      <c r="A6372" t="str">
        <f t="shared" si="1153"/>
        <v>89301000</v>
      </c>
      <c r="B6372" t="str">
        <f t="shared" si="1157"/>
        <v>89903000</v>
      </c>
      <c r="C6372" t="str">
        <f t="shared" si="1158"/>
        <v>89903503</v>
      </c>
      <c r="D6372">
        <v>89301062</v>
      </c>
      <c r="E6372" t="str">
        <f t="shared" si="1162"/>
        <v>6352101426</v>
      </c>
      <c r="F6372" s="1">
        <v>45069</v>
      </c>
      <c r="G6372" t="str">
        <f>"09233"</f>
        <v>09233</v>
      </c>
      <c r="H6372">
        <v>1</v>
      </c>
      <c r="I6372">
        <v>102</v>
      </c>
      <c r="J6372">
        <v>0</v>
      </c>
      <c r="K6372" t="str">
        <f t="shared" si="1160"/>
        <v>809</v>
      </c>
      <c r="L6372">
        <v>149.94</v>
      </c>
    </row>
    <row r="6373" spans="1:12" x14ac:dyDescent="0.25">
      <c r="A6373" t="str">
        <f t="shared" si="1153"/>
        <v>89301000</v>
      </c>
      <c r="B6373" t="str">
        <f t="shared" si="1157"/>
        <v>89903000</v>
      </c>
      <c r="C6373" t="str">
        <f t="shared" si="1158"/>
        <v>89903503</v>
      </c>
      <c r="D6373">
        <v>89301062</v>
      </c>
      <c r="E6373" t="str">
        <f t="shared" si="1162"/>
        <v>6352101426</v>
      </c>
      <c r="F6373" s="1">
        <v>45069</v>
      </c>
      <c r="G6373" t="str">
        <f>"89311"</f>
        <v>89311</v>
      </c>
      <c r="H6373">
        <v>1</v>
      </c>
      <c r="I6373">
        <v>970</v>
      </c>
      <c r="J6373">
        <v>0</v>
      </c>
      <c r="K6373" t="str">
        <f t="shared" si="1160"/>
        <v>809</v>
      </c>
      <c r="L6373">
        <v>1425.9</v>
      </c>
    </row>
    <row r="6374" spans="1:12" x14ac:dyDescent="0.25">
      <c r="A6374" t="str">
        <f t="shared" si="1153"/>
        <v>89301000</v>
      </c>
      <c r="B6374" t="str">
        <f t="shared" si="1157"/>
        <v>89903000</v>
      </c>
      <c r="C6374" t="str">
        <f t="shared" si="1158"/>
        <v>89903503</v>
      </c>
      <c r="D6374">
        <v>89301062</v>
      </c>
      <c r="E6374" t="str">
        <f t="shared" si="1162"/>
        <v>6352101426</v>
      </c>
      <c r="F6374" s="1">
        <v>45069</v>
      </c>
      <c r="G6374" t="str">
        <f>"89615"</f>
        <v>89615</v>
      </c>
      <c r="H6374">
        <v>1</v>
      </c>
      <c r="I6374">
        <v>2199</v>
      </c>
      <c r="J6374">
        <v>0</v>
      </c>
      <c r="K6374" t="str">
        <f t="shared" si="1160"/>
        <v>809</v>
      </c>
      <c r="L6374">
        <v>1429.35</v>
      </c>
    </row>
    <row r="6375" spans="1:12" x14ac:dyDescent="0.25">
      <c r="A6375" t="str">
        <f t="shared" si="1153"/>
        <v>89301000</v>
      </c>
      <c r="B6375" t="str">
        <f t="shared" si="1157"/>
        <v>89903000</v>
      </c>
      <c r="C6375" t="str">
        <f t="shared" si="1158"/>
        <v>89903503</v>
      </c>
      <c r="D6375">
        <v>89301062</v>
      </c>
      <c r="E6375" t="str">
        <f t="shared" si="1162"/>
        <v>6352101426</v>
      </c>
      <c r="F6375" s="1">
        <v>45069</v>
      </c>
      <c r="G6375" t="str">
        <f>"0000502"</f>
        <v>0000502</v>
      </c>
      <c r="H6375">
        <v>0.1</v>
      </c>
      <c r="J6375">
        <v>6.97</v>
      </c>
      <c r="K6375" t="str">
        <f t="shared" si="1160"/>
        <v>809</v>
      </c>
      <c r="L6375">
        <v>6.97</v>
      </c>
    </row>
    <row r="6376" spans="1:12" x14ac:dyDescent="0.25">
      <c r="A6376" t="str">
        <f t="shared" si="1153"/>
        <v>89301000</v>
      </c>
      <c r="B6376" t="str">
        <f t="shared" si="1157"/>
        <v>89903000</v>
      </c>
      <c r="C6376" t="str">
        <f t="shared" si="1158"/>
        <v>89903503</v>
      </c>
      <c r="D6376">
        <v>89301062</v>
      </c>
      <c r="E6376" t="str">
        <f t="shared" si="1162"/>
        <v>6352101426</v>
      </c>
      <c r="F6376" s="1">
        <v>45069</v>
      </c>
      <c r="G6376" t="str">
        <f>"0084090"</f>
        <v>0084090</v>
      </c>
      <c r="H6376">
        <v>0.1</v>
      </c>
      <c r="J6376">
        <v>8.52</v>
      </c>
      <c r="K6376" t="str">
        <f t="shared" si="1160"/>
        <v>809</v>
      </c>
      <c r="L6376">
        <v>8.52</v>
      </c>
    </row>
    <row r="6377" spans="1:12" x14ac:dyDescent="0.25">
      <c r="A6377" t="str">
        <f t="shared" si="1153"/>
        <v>89301000</v>
      </c>
      <c r="B6377" t="str">
        <f t="shared" si="1157"/>
        <v>89903000</v>
      </c>
      <c r="C6377" t="str">
        <f t="shared" si="1158"/>
        <v>89903503</v>
      </c>
      <c r="D6377">
        <v>89301062</v>
      </c>
      <c r="E6377" t="str">
        <f t="shared" si="1162"/>
        <v>6352101426</v>
      </c>
      <c r="F6377" s="1">
        <v>45069</v>
      </c>
      <c r="G6377" t="str">
        <f>"0096251"</f>
        <v>0096251</v>
      </c>
      <c r="H6377">
        <v>8.0000000000000002E-3</v>
      </c>
      <c r="J6377">
        <v>9.36</v>
      </c>
      <c r="K6377" t="str">
        <f t="shared" si="1160"/>
        <v>809</v>
      </c>
      <c r="L6377">
        <v>9.36</v>
      </c>
    </row>
    <row r="6378" spans="1:12" x14ac:dyDescent="0.25">
      <c r="A6378" t="str">
        <f t="shared" si="1153"/>
        <v>89301000</v>
      </c>
      <c r="B6378" t="str">
        <f t="shared" si="1157"/>
        <v>89903000</v>
      </c>
      <c r="C6378" t="str">
        <f t="shared" si="1158"/>
        <v>89903503</v>
      </c>
      <c r="D6378">
        <v>89301062</v>
      </c>
      <c r="E6378" t="str">
        <f t="shared" si="1162"/>
        <v>6352101426</v>
      </c>
      <c r="F6378" s="1">
        <v>45069</v>
      </c>
      <c r="G6378" t="str">
        <f>"0194183"</f>
        <v>0194183</v>
      </c>
      <c r="H6378">
        <v>1</v>
      </c>
      <c r="J6378">
        <v>53</v>
      </c>
      <c r="K6378" t="str">
        <f t="shared" si="1160"/>
        <v>809</v>
      </c>
      <c r="L6378">
        <v>53</v>
      </c>
    </row>
    <row r="6379" spans="1:12" x14ac:dyDescent="0.25">
      <c r="A6379" t="str">
        <f t="shared" si="1153"/>
        <v>89301000</v>
      </c>
      <c r="B6379" t="str">
        <f t="shared" si="1157"/>
        <v>89903000</v>
      </c>
      <c r="C6379" t="str">
        <f t="shared" si="1158"/>
        <v>89903503</v>
      </c>
      <c r="D6379">
        <v>89301171</v>
      </c>
      <c r="E6379" t="str">
        <f>"6058121674"</f>
        <v>6058121674</v>
      </c>
      <c r="F6379" s="1">
        <v>45077</v>
      </c>
      <c r="G6379" t="str">
        <f>"09233"</f>
        <v>09233</v>
      </c>
      <c r="H6379">
        <v>1</v>
      </c>
      <c r="I6379">
        <v>102</v>
      </c>
      <c r="J6379">
        <v>0</v>
      </c>
      <c r="K6379" t="str">
        <f t="shared" si="1160"/>
        <v>809</v>
      </c>
      <c r="L6379">
        <v>149.94</v>
      </c>
    </row>
    <row r="6380" spans="1:12" x14ac:dyDescent="0.25">
      <c r="A6380" t="str">
        <f t="shared" si="1153"/>
        <v>89301000</v>
      </c>
      <c r="B6380" t="str">
        <f t="shared" si="1157"/>
        <v>89903000</v>
      </c>
      <c r="C6380" t="str">
        <f t="shared" si="1158"/>
        <v>89903503</v>
      </c>
      <c r="D6380">
        <v>89301171</v>
      </c>
      <c r="E6380" t="str">
        <f>"6058121674"</f>
        <v>6058121674</v>
      </c>
      <c r="F6380" s="1">
        <v>45077</v>
      </c>
      <c r="G6380" t="str">
        <f>"89311"</f>
        <v>89311</v>
      </c>
      <c r="H6380">
        <v>1</v>
      </c>
      <c r="I6380">
        <v>970</v>
      </c>
      <c r="J6380">
        <v>0</v>
      </c>
      <c r="K6380" t="str">
        <f t="shared" si="1160"/>
        <v>809</v>
      </c>
      <c r="L6380">
        <v>1425.9</v>
      </c>
    </row>
    <row r="6381" spans="1:12" x14ac:dyDescent="0.25">
      <c r="A6381" t="str">
        <f t="shared" si="1153"/>
        <v>89301000</v>
      </c>
      <c r="B6381" t="str">
        <f t="shared" si="1157"/>
        <v>89903000</v>
      </c>
      <c r="C6381" t="str">
        <f t="shared" si="1158"/>
        <v>89903503</v>
      </c>
      <c r="D6381">
        <v>89301171</v>
      </c>
      <c r="E6381" t="str">
        <f>"6058121674"</f>
        <v>6058121674</v>
      </c>
      <c r="F6381" s="1">
        <v>45077</v>
      </c>
      <c r="G6381" t="str">
        <f>"89615"</f>
        <v>89615</v>
      </c>
      <c r="H6381">
        <v>1</v>
      </c>
      <c r="I6381">
        <v>2199</v>
      </c>
      <c r="J6381">
        <v>0</v>
      </c>
      <c r="K6381" t="str">
        <f t="shared" si="1160"/>
        <v>809</v>
      </c>
      <c r="L6381">
        <v>1429.35</v>
      </c>
    </row>
    <row r="6382" spans="1:12" x14ac:dyDescent="0.25">
      <c r="A6382" t="str">
        <f t="shared" si="1153"/>
        <v>89301000</v>
      </c>
      <c r="B6382" t="str">
        <f t="shared" si="1157"/>
        <v>89903000</v>
      </c>
      <c r="C6382" t="str">
        <f t="shared" si="1158"/>
        <v>89903503</v>
      </c>
      <c r="D6382">
        <v>89301171</v>
      </c>
      <c r="E6382" t="str">
        <f>"6058121674"</f>
        <v>6058121674</v>
      </c>
      <c r="F6382" s="1">
        <v>45077</v>
      </c>
      <c r="G6382" t="str">
        <f>"0096251"</f>
        <v>0096251</v>
      </c>
      <c r="H6382">
        <v>8.0000000000000002E-3</v>
      </c>
      <c r="J6382">
        <v>9.36</v>
      </c>
      <c r="K6382" t="str">
        <f t="shared" si="1160"/>
        <v>809</v>
      </c>
      <c r="L6382">
        <v>9.36</v>
      </c>
    </row>
    <row r="6383" spans="1:12" x14ac:dyDescent="0.25">
      <c r="A6383" t="str">
        <f t="shared" si="1153"/>
        <v>89301000</v>
      </c>
      <c r="B6383" t="str">
        <f t="shared" si="1157"/>
        <v>89903000</v>
      </c>
      <c r="C6383" t="str">
        <f t="shared" si="1158"/>
        <v>89903503</v>
      </c>
      <c r="D6383">
        <v>89301171</v>
      </c>
      <c r="E6383" t="str">
        <f>"6058121674"</f>
        <v>6058121674</v>
      </c>
      <c r="F6383" s="1">
        <v>45077</v>
      </c>
      <c r="G6383" t="str">
        <f>"0194183"</f>
        <v>0194183</v>
      </c>
      <c r="H6383">
        <v>1</v>
      </c>
      <c r="J6383">
        <v>53</v>
      </c>
      <c r="K6383" t="str">
        <f t="shared" si="1160"/>
        <v>809</v>
      </c>
      <c r="L6383">
        <v>53</v>
      </c>
    </row>
    <row r="6384" spans="1:12" x14ac:dyDescent="0.25">
      <c r="A6384" t="str">
        <f t="shared" si="1153"/>
        <v>89301000</v>
      </c>
      <c r="B6384" t="str">
        <f t="shared" si="1157"/>
        <v>89903000</v>
      </c>
      <c r="C6384" t="str">
        <f t="shared" si="1158"/>
        <v>89903503</v>
      </c>
      <c r="D6384">
        <v>89301606</v>
      </c>
      <c r="E6384" t="str">
        <f>"9012275756"</f>
        <v>9012275756</v>
      </c>
      <c r="F6384" s="1">
        <v>45077</v>
      </c>
      <c r="G6384" t="str">
        <f>"89517"</f>
        <v>89517</v>
      </c>
      <c r="H6384">
        <v>1</v>
      </c>
      <c r="I6384">
        <v>994</v>
      </c>
      <c r="J6384">
        <v>0</v>
      </c>
      <c r="K6384" t="str">
        <f t="shared" si="1160"/>
        <v>809</v>
      </c>
      <c r="L6384">
        <v>1461.18</v>
      </c>
    </row>
    <row r="6385" spans="1:12" x14ac:dyDescent="0.25">
      <c r="A6385" t="str">
        <f t="shared" si="1153"/>
        <v>89301000</v>
      </c>
      <c r="B6385" t="str">
        <f t="shared" ref="B6385:B6399" si="1163">"91009000"</f>
        <v>91009000</v>
      </c>
      <c r="C6385" t="str">
        <f t="shared" ref="C6385:C6390" si="1164">"91009522"</f>
        <v>91009522</v>
      </c>
      <c r="D6385">
        <v>89301282</v>
      </c>
      <c r="E6385" t="str">
        <f>"8860255767"</f>
        <v>8860255767</v>
      </c>
      <c r="F6385" s="1">
        <v>45073</v>
      </c>
      <c r="G6385" t="str">
        <f>"94948"</f>
        <v>94948</v>
      </c>
      <c r="H6385">
        <v>2</v>
      </c>
      <c r="I6385">
        <v>0</v>
      </c>
      <c r="J6385">
        <v>0</v>
      </c>
      <c r="K6385" t="str">
        <f t="shared" ref="K6385:K6390" si="1165">"816"</f>
        <v>816</v>
      </c>
      <c r="L6385">
        <v>0</v>
      </c>
    </row>
    <row r="6386" spans="1:12" x14ac:dyDescent="0.25">
      <c r="A6386" t="str">
        <f t="shared" si="1153"/>
        <v>89301000</v>
      </c>
      <c r="B6386" t="str">
        <f t="shared" si="1163"/>
        <v>91009000</v>
      </c>
      <c r="C6386" t="str">
        <f t="shared" si="1164"/>
        <v>91009522</v>
      </c>
      <c r="D6386">
        <v>89301282</v>
      </c>
      <c r="E6386" t="str">
        <f>"8860255767"</f>
        <v>8860255767</v>
      </c>
      <c r="F6386" s="1">
        <v>45073</v>
      </c>
      <c r="G6386" t="str">
        <f>"94983"</f>
        <v>94983</v>
      </c>
      <c r="H6386">
        <v>1</v>
      </c>
      <c r="I6386">
        <v>0</v>
      </c>
      <c r="J6386">
        <v>39600</v>
      </c>
      <c r="K6386" t="str">
        <f t="shared" si="1165"/>
        <v>816</v>
      </c>
      <c r="L6386">
        <v>39600</v>
      </c>
    </row>
    <row r="6387" spans="1:12" x14ac:dyDescent="0.25">
      <c r="A6387" t="str">
        <f t="shared" si="1153"/>
        <v>89301000</v>
      </c>
      <c r="B6387" t="str">
        <f t="shared" si="1163"/>
        <v>91009000</v>
      </c>
      <c r="C6387" t="str">
        <f t="shared" si="1164"/>
        <v>91009522</v>
      </c>
      <c r="D6387">
        <v>89301282</v>
      </c>
      <c r="E6387" t="str">
        <f>"8860255767"</f>
        <v>8860255767</v>
      </c>
      <c r="F6387" s="1">
        <v>45073</v>
      </c>
      <c r="G6387" t="str">
        <f>"94996"</f>
        <v>94996</v>
      </c>
      <c r="H6387">
        <v>1</v>
      </c>
      <c r="I6387">
        <v>0</v>
      </c>
      <c r="J6387">
        <v>0</v>
      </c>
      <c r="K6387" t="str">
        <f t="shared" si="1165"/>
        <v>816</v>
      </c>
      <c r="L6387">
        <v>0</v>
      </c>
    </row>
    <row r="6388" spans="1:12" x14ac:dyDescent="0.25">
      <c r="A6388" t="str">
        <f t="shared" si="1153"/>
        <v>89301000</v>
      </c>
      <c r="B6388" t="str">
        <f t="shared" si="1163"/>
        <v>91009000</v>
      </c>
      <c r="C6388" t="str">
        <f t="shared" si="1164"/>
        <v>91009522</v>
      </c>
      <c r="D6388">
        <v>89301282</v>
      </c>
      <c r="E6388" t="str">
        <f>"7352044403"</f>
        <v>7352044403</v>
      </c>
      <c r="F6388" s="1">
        <v>45053</v>
      </c>
      <c r="G6388" t="str">
        <f>"94948"</f>
        <v>94948</v>
      </c>
      <c r="H6388">
        <v>2</v>
      </c>
      <c r="I6388">
        <v>0</v>
      </c>
      <c r="J6388">
        <v>0</v>
      </c>
      <c r="K6388" t="str">
        <f t="shared" si="1165"/>
        <v>816</v>
      </c>
      <c r="L6388">
        <v>0</v>
      </c>
    </row>
    <row r="6389" spans="1:12" x14ac:dyDescent="0.25">
      <c r="A6389" t="str">
        <f t="shared" si="1153"/>
        <v>89301000</v>
      </c>
      <c r="B6389" t="str">
        <f t="shared" si="1163"/>
        <v>91009000</v>
      </c>
      <c r="C6389" t="str">
        <f t="shared" si="1164"/>
        <v>91009522</v>
      </c>
      <c r="D6389">
        <v>89301282</v>
      </c>
      <c r="E6389" t="str">
        <f>"7352044403"</f>
        <v>7352044403</v>
      </c>
      <c r="F6389" s="1">
        <v>45053</v>
      </c>
      <c r="G6389" t="str">
        <f>"94984"</f>
        <v>94984</v>
      </c>
      <c r="H6389">
        <v>1</v>
      </c>
      <c r="I6389">
        <v>0</v>
      </c>
      <c r="J6389">
        <v>57200</v>
      </c>
      <c r="K6389" t="str">
        <f t="shared" si="1165"/>
        <v>816</v>
      </c>
      <c r="L6389">
        <v>57200</v>
      </c>
    </row>
    <row r="6390" spans="1:12" x14ac:dyDescent="0.25">
      <c r="A6390" t="str">
        <f t="shared" si="1153"/>
        <v>89301000</v>
      </c>
      <c r="B6390" t="str">
        <f t="shared" si="1163"/>
        <v>91009000</v>
      </c>
      <c r="C6390" t="str">
        <f t="shared" si="1164"/>
        <v>91009522</v>
      </c>
      <c r="D6390">
        <v>89301282</v>
      </c>
      <c r="E6390" t="str">
        <f>"7352044403"</f>
        <v>7352044403</v>
      </c>
      <c r="F6390" s="1">
        <v>45053</v>
      </c>
      <c r="G6390" t="str">
        <f>"94996"</f>
        <v>94996</v>
      </c>
      <c r="H6390">
        <v>1</v>
      </c>
      <c r="I6390">
        <v>0</v>
      </c>
      <c r="J6390">
        <v>0</v>
      </c>
      <c r="K6390" t="str">
        <f t="shared" si="1165"/>
        <v>816</v>
      </c>
      <c r="L6390">
        <v>0</v>
      </c>
    </row>
    <row r="6391" spans="1:12" x14ac:dyDescent="0.25">
      <c r="A6391" t="str">
        <f t="shared" si="1153"/>
        <v>89301000</v>
      </c>
      <c r="B6391" t="str">
        <f t="shared" si="1163"/>
        <v>91009000</v>
      </c>
      <c r="C6391" t="str">
        <f>"91009132"</f>
        <v>91009132</v>
      </c>
      <c r="D6391">
        <v>89301212</v>
      </c>
      <c r="E6391" t="str">
        <f>"8556125776"</f>
        <v>8556125776</v>
      </c>
      <c r="F6391" s="1">
        <v>45062</v>
      </c>
      <c r="G6391" t="str">
        <f>"92157"</f>
        <v>92157</v>
      </c>
      <c r="H6391">
        <v>1</v>
      </c>
      <c r="I6391">
        <v>1778</v>
      </c>
      <c r="J6391">
        <v>0</v>
      </c>
      <c r="K6391" t="str">
        <f>"812"</f>
        <v>812</v>
      </c>
      <c r="L6391">
        <v>1493.52</v>
      </c>
    </row>
    <row r="6392" spans="1:12" x14ac:dyDescent="0.25">
      <c r="A6392" t="str">
        <f t="shared" si="1153"/>
        <v>89301000</v>
      </c>
      <c r="B6392" t="str">
        <f t="shared" si="1163"/>
        <v>91009000</v>
      </c>
      <c r="C6392" t="str">
        <f>"91009132"</f>
        <v>91009132</v>
      </c>
      <c r="D6392">
        <v>89301212</v>
      </c>
      <c r="E6392" t="str">
        <f>"8556125776"</f>
        <v>8556125776</v>
      </c>
      <c r="F6392" s="1">
        <v>45062</v>
      </c>
      <c r="G6392" t="str">
        <f>"99111"</f>
        <v>99111</v>
      </c>
      <c r="H6392">
        <v>1</v>
      </c>
      <c r="I6392">
        <v>213</v>
      </c>
      <c r="J6392">
        <v>0</v>
      </c>
      <c r="K6392" t="str">
        <f>"812"</f>
        <v>812</v>
      </c>
      <c r="L6392">
        <v>178.92</v>
      </c>
    </row>
    <row r="6393" spans="1:12" x14ac:dyDescent="0.25">
      <c r="A6393" t="str">
        <f t="shared" si="1153"/>
        <v>89301000</v>
      </c>
      <c r="B6393" t="str">
        <f t="shared" si="1163"/>
        <v>91009000</v>
      </c>
      <c r="C6393" t="str">
        <f>"91009605"</f>
        <v>91009605</v>
      </c>
      <c r="D6393">
        <v>89301109</v>
      </c>
      <c r="E6393" t="str">
        <f>"1454230316"</f>
        <v>1454230316</v>
      </c>
      <c r="F6393" s="1">
        <v>45069</v>
      </c>
      <c r="G6393" t="str">
        <f>"91431"</f>
        <v>91431</v>
      </c>
      <c r="H6393">
        <v>1</v>
      </c>
      <c r="I6393">
        <v>543</v>
      </c>
      <c r="J6393">
        <v>0</v>
      </c>
      <c r="K6393" t="str">
        <f>"818"</f>
        <v>818</v>
      </c>
      <c r="L6393">
        <v>526.71</v>
      </c>
    </row>
    <row r="6394" spans="1:12" x14ac:dyDescent="0.25">
      <c r="A6394" t="str">
        <f t="shared" si="1153"/>
        <v>89301000</v>
      </c>
      <c r="B6394" t="str">
        <f t="shared" si="1163"/>
        <v>91009000</v>
      </c>
      <c r="C6394" t="str">
        <f>"91009605"</f>
        <v>91009605</v>
      </c>
      <c r="D6394">
        <v>89301109</v>
      </c>
      <c r="E6394" t="str">
        <f>"1454230316"</f>
        <v>1454230316</v>
      </c>
      <c r="F6394" s="1">
        <v>45071</v>
      </c>
      <c r="G6394" t="str">
        <f>"22122"</f>
        <v>22122</v>
      </c>
      <c r="H6394">
        <v>1</v>
      </c>
      <c r="I6394">
        <v>588</v>
      </c>
      <c r="J6394">
        <v>0</v>
      </c>
      <c r="K6394" t="str">
        <f>"818"</f>
        <v>818</v>
      </c>
      <c r="L6394">
        <v>570.36</v>
      </c>
    </row>
    <row r="6395" spans="1:12" x14ac:dyDescent="0.25">
      <c r="A6395" t="str">
        <f t="shared" si="1153"/>
        <v>89301000</v>
      </c>
      <c r="B6395" t="str">
        <f t="shared" si="1163"/>
        <v>91009000</v>
      </c>
      <c r="C6395" t="str">
        <f>"91009605"</f>
        <v>91009605</v>
      </c>
      <c r="D6395">
        <v>89301109</v>
      </c>
      <c r="E6395" t="str">
        <f>"1454230316"</f>
        <v>1454230316</v>
      </c>
      <c r="F6395" s="1">
        <v>45071</v>
      </c>
      <c r="G6395" t="str">
        <f>"22123"</f>
        <v>22123</v>
      </c>
      <c r="H6395">
        <v>1</v>
      </c>
      <c r="I6395">
        <v>334</v>
      </c>
      <c r="J6395">
        <v>0</v>
      </c>
      <c r="K6395" t="str">
        <f>"818"</f>
        <v>818</v>
      </c>
      <c r="L6395">
        <v>323.98</v>
      </c>
    </row>
    <row r="6396" spans="1:12" x14ac:dyDescent="0.25">
      <c r="A6396" t="str">
        <f t="shared" si="1153"/>
        <v>89301000</v>
      </c>
      <c r="B6396" t="str">
        <f t="shared" si="1163"/>
        <v>91009000</v>
      </c>
      <c r="C6396" t="str">
        <f>"91009605"</f>
        <v>91009605</v>
      </c>
      <c r="D6396">
        <v>89301109</v>
      </c>
      <c r="E6396" t="str">
        <f>"1454230316"</f>
        <v>1454230316</v>
      </c>
      <c r="F6396" s="1">
        <v>45071</v>
      </c>
      <c r="G6396" t="str">
        <f>"22127"</f>
        <v>22127</v>
      </c>
      <c r="H6396">
        <v>1</v>
      </c>
      <c r="I6396">
        <v>340</v>
      </c>
      <c r="J6396">
        <v>0</v>
      </c>
      <c r="K6396" t="str">
        <f>"818"</f>
        <v>818</v>
      </c>
      <c r="L6396">
        <v>329.8</v>
      </c>
    </row>
    <row r="6397" spans="1:12" x14ac:dyDescent="0.25">
      <c r="A6397" t="str">
        <f t="shared" si="1153"/>
        <v>89301000</v>
      </c>
      <c r="B6397" t="str">
        <f t="shared" si="1163"/>
        <v>91009000</v>
      </c>
      <c r="C6397" t="str">
        <f>"91009581"</f>
        <v>91009581</v>
      </c>
      <c r="D6397">
        <v>89301167</v>
      </c>
      <c r="E6397" t="str">
        <f>"530220073"</f>
        <v>530220073</v>
      </c>
      <c r="F6397" s="1">
        <v>45072</v>
      </c>
      <c r="G6397" t="str">
        <f>"81383"</f>
        <v>81383</v>
      </c>
      <c r="H6397">
        <v>1</v>
      </c>
      <c r="I6397">
        <v>24</v>
      </c>
      <c r="J6397">
        <v>0</v>
      </c>
      <c r="K6397" t="str">
        <f t="shared" ref="K6397:K6412" si="1166">"801"</f>
        <v>801</v>
      </c>
      <c r="L6397">
        <v>20.16</v>
      </c>
    </row>
    <row r="6398" spans="1:12" x14ac:dyDescent="0.25">
      <c r="A6398" t="str">
        <f t="shared" si="1153"/>
        <v>89301000</v>
      </c>
      <c r="B6398" t="str">
        <f t="shared" si="1163"/>
        <v>91009000</v>
      </c>
      <c r="C6398" t="str">
        <f>"91009581"</f>
        <v>91009581</v>
      </c>
      <c r="D6398">
        <v>89301167</v>
      </c>
      <c r="E6398" t="str">
        <f>"530220073"</f>
        <v>530220073</v>
      </c>
      <c r="F6398" s="1">
        <v>45072</v>
      </c>
      <c r="G6398" t="str">
        <f>"97111"</f>
        <v>97111</v>
      </c>
      <c r="H6398">
        <v>1</v>
      </c>
      <c r="I6398">
        <v>19</v>
      </c>
      <c r="J6398">
        <v>0</v>
      </c>
      <c r="K6398" t="str">
        <f t="shared" si="1166"/>
        <v>801</v>
      </c>
      <c r="L6398">
        <v>23.94</v>
      </c>
    </row>
    <row r="6399" spans="1:12" x14ac:dyDescent="0.25">
      <c r="A6399" t="str">
        <f t="shared" si="1153"/>
        <v>89301000</v>
      </c>
      <c r="B6399" t="str">
        <f t="shared" si="1163"/>
        <v>91009000</v>
      </c>
      <c r="C6399" t="str">
        <f>"91009581"</f>
        <v>91009581</v>
      </c>
      <c r="D6399">
        <v>89301212</v>
      </c>
      <c r="E6399" t="str">
        <f>"8556125776"</f>
        <v>8556125776</v>
      </c>
      <c r="F6399" s="1">
        <v>45069</v>
      </c>
      <c r="G6399" t="str">
        <f>"97111"</f>
        <v>97111</v>
      </c>
      <c r="H6399">
        <v>1</v>
      </c>
      <c r="I6399">
        <v>19</v>
      </c>
      <c r="J6399">
        <v>0</v>
      </c>
      <c r="K6399" t="str">
        <f t="shared" si="1166"/>
        <v>801</v>
      </c>
      <c r="L6399">
        <v>23.94</v>
      </c>
    </row>
    <row r="6400" spans="1:12" x14ac:dyDescent="0.25">
      <c r="A6400" t="str">
        <f t="shared" si="1153"/>
        <v>89301000</v>
      </c>
      <c r="B6400" t="str">
        <f t="shared" ref="B6400:B6412" si="1167">"06223000"</f>
        <v>06223000</v>
      </c>
      <c r="C6400" t="str">
        <f t="shared" ref="C6400:C6412" si="1168">"06223043"</f>
        <v>06223043</v>
      </c>
      <c r="D6400">
        <v>89301122</v>
      </c>
      <c r="E6400" t="str">
        <f>"455831427"</f>
        <v>455831427</v>
      </c>
      <c r="F6400" s="1">
        <v>45056</v>
      </c>
      <c r="G6400" t="str">
        <f>"92165"</f>
        <v>92165</v>
      </c>
      <c r="H6400">
        <v>1</v>
      </c>
      <c r="I6400">
        <v>2162</v>
      </c>
      <c r="J6400">
        <v>0</v>
      </c>
      <c r="K6400" t="str">
        <f t="shared" si="1166"/>
        <v>801</v>
      </c>
      <c r="L6400">
        <v>1816.08</v>
      </c>
    </row>
    <row r="6401" spans="1:12" x14ac:dyDescent="0.25">
      <c r="A6401" t="str">
        <f t="shared" si="1153"/>
        <v>89301000</v>
      </c>
      <c r="B6401" t="str">
        <f t="shared" si="1167"/>
        <v>06223000</v>
      </c>
      <c r="C6401" t="str">
        <f t="shared" si="1168"/>
        <v>06223043</v>
      </c>
      <c r="D6401">
        <v>89301122</v>
      </c>
      <c r="E6401" t="str">
        <f>"7107085315"</f>
        <v>7107085315</v>
      </c>
      <c r="F6401" s="1">
        <v>45075</v>
      </c>
      <c r="G6401" t="str">
        <f>"81485"</f>
        <v>81485</v>
      </c>
      <c r="H6401">
        <v>1</v>
      </c>
      <c r="I6401">
        <v>461</v>
      </c>
      <c r="J6401">
        <v>0</v>
      </c>
      <c r="K6401" t="str">
        <f t="shared" si="1166"/>
        <v>801</v>
      </c>
      <c r="L6401">
        <v>387.24</v>
      </c>
    </row>
    <row r="6402" spans="1:12" x14ac:dyDescent="0.25">
      <c r="A6402" t="str">
        <f t="shared" ref="A6402:A6465" si="1169">"89301000"</f>
        <v>89301000</v>
      </c>
      <c r="B6402" t="str">
        <f t="shared" si="1167"/>
        <v>06223000</v>
      </c>
      <c r="C6402" t="str">
        <f t="shared" si="1168"/>
        <v>06223043</v>
      </c>
      <c r="D6402">
        <v>89301122</v>
      </c>
      <c r="E6402" t="str">
        <f>"8356149912"</f>
        <v>8356149912</v>
      </c>
      <c r="F6402" s="1">
        <v>45075</v>
      </c>
      <c r="G6402" t="str">
        <f>"81485"</f>
        <v>81485</v>
      </c>
      <c r="H6402">
        <v>1</v>
      </c>
      <c r="I6402">
        <v>461</v>
      </c>
      <c r="J6402">
        <v>0</v>
      </c>
      <c r="K6402" t="str">
        <f t="shared" si="1166"/>
        <v>801</v>
      </c>
      <c r="L6402">
        <v>387.24</v>
      </c>
    </row>
    <row r="6403" spans="1:12" x14ac:dyDescent="0.25">
      <c r="A6403" t="str">
        <f t="shared" si="1169"/>
        <v>89301000</v>
      </c>
      <c r="B6403" t="str">
        <f t="shared" si="1167"/>
        <v>06223000</v>
      </c>
      <c r="C6403" t="str">
        <f t="shared" si="1168"/>
        <v>06223043</v>
      </c>
      <c r="D6403">
        <v>89301122</v>
      </c>
      <c r="E6403" t="str">
        <f>"7203225337"</f>
        <v>7203225337</v>
      </c>
      <c r="F6403" s="1">
        <v>45055</v>
      </c>
      <c r="G6403" t="str">
        <f>"81485"</f>
        <v>81485</v>
      </c>
      <c r="H6403">
        <v>1</v>
      </c>
      <c r="I6403">
        <v>461</v>
      </c>
      <c r="J6403">
        <v>0</v>
      </c>
      <c r="K6403" t="str">
        <f t="shared" si="1166"/>
        <v>801</v>
      </c>
      <c r="L6403">
        <v>387.24</v>
      </c>
    </row>
    <row r="6404" spans="1:12" x14ac:dyDescent="0.25">
      <c r="A6404" t="str">
        <f t="shared" si="1169"/>
        <v>89301000</v>
      </c>
      <c r="B6404" t="str">
        <f t="shared" si="1167"/>
        <v>06223000</v>
      </c>
      <c r="C6404" t="str">
        <f t="shared" si="1168"/>
        <v>06223043</v>
      </c>
      <c r="D6404">
        <v>89301122</v>
      </c>
      <c r="E6404" t="str">
        <f>"7804195795"</f>
        <v>7804195795</v>
      </c>
      <c r="F6404" s="1">
        <v>45055</v>
      </c>
      <c r="G6404" t="str">
        <f>"81485"</f>
        <v>81485</v>
      </c>
      <c r="H6404">
        <v>1</v>
      </c>
      <c r="I6404">
        <v>461</v>
      </c>
      <c r="J6404">
        <v>0</v>
      </c>
      <c r="K6404" t="str">
        <f t="shared" si="1166"/>
        <v>801</v>
      </c>
      <c r="L6404">
        <v>387.24</v>
      </c>
    </row>
    <row r="6405" spans="1:12" x14ac:dyDescent="0.25">
      <c r="A6405" t="str">
        <f t="shared" si="1169"/>
        <v>89301000</v>
      </c>
      <c r="B6405" t="str">
        <f t="shared" si="1167"/>
        <v>06223000</v>
      </c>
      <c r="C6405" t="str">
        <f t="shared" si="1168"/>
        <v>06223043</v>
      </c>
      <c r="D6405">
        <v>89301122</v>
      </c>
      <c r="E6405" t="str">
        <f>"7608185717"</f>
        <v>7608185717</v>
      </c>
      <c r="F6405" s="1">
        <v>45075</v>
      </c>
      <c r="G6405" t="str">
        <f>"81485"</f>
        <v>81485</v>
      </c>
      <c r="H6405">
        <v>1</v>
      </c>
      <c r="I6405">
        <v>461</v>
      </c>
      <c r="J6405">
        <v>0</v>
      </c>
      <c r="K6405" t="str">
        <f t="shared" si="1166"/>
        <v>801</v>
      </c>
      <c r="L6405">
        <v>387.24</v>
      </c>
    </row>
    <row r="6406" spans="1:12" x14ac:dyDescent="0.25">
      <c r="A6406" t="str">
        <f t="shared" si="1169"/>
        <v>89301000</v>
      </c>
      <c r="B6406" t="str">
        <f t="shared" si="1167"/>
        <v>06223000</v>
      </c>
      <c r="C6406" t="str">
        <f t="shared" si="1168"/>
        <v>06223043</v>
      </c>
      <c r="D6406">
        <v>89301122</v>
      </c>
      <c r="E6406" t="str">
        <f>"8561295787"</f>
        <v>8561295787</v>
      </c>
      <c r="F6406" s="1">
        <v>45056</v>
      </c>
      <c r="G6406" t="str">
        <f>"92165"</f>
        <v>92165</v>
      </c>
      <c r="H6406">
        <v>1</v>
      </c>
      <c r="I6406">
        <v>2162</v>
      </c>
      <c r="J6406">
        <v>0</v>
      </c>
      <c r="K6406" t="str">
        <f t="shared" si="1166"/>
        <v>801</v>
      </c>
      <c r="L6406">
        <v>1816.08</v>
      </c>
    </row>
    <row r="6407" spans="1:12" x14ac:dyDescent="0.25">
      <c r="A6407" t="str">
        <f t="shared" si="1169"/>
        <v>89301000</v>
      </c>
      <c r="B6407" t="str">
        <f t="shared" si="1167"/>
        <v>06223000</v>
      </c>
      <c r="C6407" t="str">
        <f t="shared" si="1168"/>
        <v>06223043</v>
      </c>
      <c r="D6407">
        <v>89301122</v>
      </c>
      <c r="E6407" t="str">
        <f>"496017184"</f>
        <v>496017184</v>
      </c>
      <c r="F6407" s="1">
        <v>45065</v>
      </c>
      <c r="G6407" t="str">
        <f>"81485"</f>
        <v>81485</v>
      </c>
      <c r="H6407">
        <v>1</v>
      </c>
      <c r="I6407">
        <v>461</v>
      </c>
      <c r="J6407">
        <v>0</v>
      </c>
      <c r="K6407" t="str">
        <f t="shared" si="1166"/>
        <v>801</v>
      </c>
      <c r="L6407">
        <v>387.24</v>
      </c>
    </row>
    <row r="6408" spans="1:12" x14ac:dyDescent="0.25">
      <c r="A6408" t="str">
        <f t="shared" si="1169"/>
        <v>89301000</v>
      </c>
      <c r="B6408" t="str">
        <f t="shared" si="1167"/>
        <v>06223000</v>
      </c>
      <c r="C6408" t="str">
        <f t="shared" si="1168"/>
        <v>06223043</v>
      </c>
      <c r="D6408">
        <v>89301122</v>
      </c>
      <c r="E6408" t="str">
        <f>"8302273804"</f>
        <v>8302273804</v>
      </c>
      <c r="F6408" s="1">
        <v>45065</v>
      </c>
      <c r="G6408" t="str">
        <f>"81485"</f>
        <v>81485</v>
      </c>
      <c r="H6408">
        <v>1</v>
      </c>
      <c r="I6408">
        <v>461</v>
      </c>
      <c r="J6408">
        <v>0</v>
      </c>
      <c r="K6408" t="str">
        <f t="shared" si="1166"/>
        <v>801</v>
      </c>
      <c r="L6408">
        <v>387.24</v>
      </c>
    </row>
    <row r="6409" spans="1:12" x14ac:dyDescent="0.25">
      <c r="A6409" t="str">
        <f t="shared" si="1169"/>
        <v>89301000</v>
      </c>
      <c r="B6409" t="str">
        <f t="shared" si="1167"/>
        <v>06223000</v>
      </c>
      <c r="C6409" t="str">
        <f t="shared" si="1168"/>
        <v>06223043</v>
      </c>
      <c r="D6409">
        <v>89301122</v>
      </c>
      <c r="E6409" t="str">
        <f>"7108305325"</f>
        <v>7108305325</v>
      </c>
      <c r="F6409" s="1">
        <v>45065</v>
      </c>
      <c r="G6409" t="str">
        <f>"81485"</f>
        <v>81485</v>
      </c>
      <c r="H6409">
        <v>1</v>
      </c>
      <c r="I6409">
        <v>461</v>
      </c>
      <c r="J6409">
        <v>0</v>
      </c>
      <c r="K6409" t="str">
        <f t="shared" si="1166"/>
        <v>801</v>
      </c>
      <c r="L6409">
        <v>387.24</v>
      </c>
    </row>
    <row r="6410" spans="1:12" x14ac:dyDescent="0.25">
      <c r="A6410" t="str">
        <f t="shared" si="1169"/>
        <v>89301000</v>
      </c>
      <c r="B6410" t="str">
        <f t="shared" si="1167"/>
        <v>06223000</v>
      </c>
      <c r="C6410" t="str">
        <f t="shared" si="1168"/>
        <v>06223043</v>
      </c>
      <c r="D6410">
        <v>89301122</v>
      </c>
      <c r="E6410" t="str">
        <f>"8058319940"</f>
        <v>8058319940</v>
      </c>
      <c r="F6410" s="1">
        <v>45068</v>
      </c>
      <c r="G6410" t="str">
        <f>"92165"</f>
        <v>92165</v>
      </c>
      <c r="H6410">
        <v>1</v>
      </c>
      <c r="I6410">
        <v>2162</v>
      </c>
      <c r="J6410">
        <v>0</v>
      </c>
      <c r="K6410" t="str">
        <f t="shared" si="1166"/>
        <v>801</v>
      </c>
      <c r="L6410">
        <v>1816.08</v>
      </c>
    </row>
    <row r="6411" spans="1:12" x14ac:dyDescent="0.25">
      <c r="A6411" t="str">
        <f t="shared" si="1169"/>
        <v>89301000</v>
      </c>
      <c r="B6411" t="str">
        <f t="shared" si="1167"/>
        <v>06223000</v>
      </c>
      <c r="C6411" t="str">
        <f t="shared" si="1168"/>
        <v>06223043</v>
      </c>
      <c r="D6411">
        <v>89301125</v>
      </c>
      <c r="E6411" t="str">
        <f>"0955135291"</f>
        <v>0955135291</v>
      </c>
      <c r="F6411" s="1">
        <v>45065</v>
      </c>
      <c r="G6411" t="str">
        <f>"81485"</f>
        <v>81485</v>
      </c>
      <c r="H6411">
        <v>1</v>
      </c>
      <c r="I6411">
        <v>461</v>
      </c>
      <c r="J6411">
        <v>0</v>
      </c>
      <c r="K6411" t="str">
        <f t="shared" si="1166"/>
        <v>801</v>
      </c>
      <c r="L6411">
        <v>387.24</v>
      </c>
    </row>
    <row r="6412" spans="1:12" x14ac:dyDescent="0.25">
      <c r="A6412" t="str">
        <f t="shared" si="1169"/>
        <v>89301000</v>
      </c>
      <c r="B6412" t="str">
        <f t="shared" si="1167"/>
        <v>06223000</v>
      </c>
      <c r="C6412" t="str">
        <f t="shared" si="1168"/>
        <v>06223043</v>
      </c>
      <c r="D6412">
        <v>89301122</v>
      </c>
      <c r="E6412" t="str">
        <f>"5706262155"</f>
        <v>5706262155</v>
      </c>
      <c r="F6412" s="1">
        <v>45076</v>
      </c>
      <c r="G6412" t="str">
        <f>"92165"</f>
        <v>92165</v>
      </c>
      <c r="H6412">
        <v>1</v>
      </c>
      <c r="I6412">
        <v>2162</v>
      </c>
      <c r="J6412">
        <v>0</v>
      </c>
      <c r="K6412" t="str">
        <f t="shared" si="1166"/>
        <v>801</v>
      </c>
      <c r="L6412">
        <v>1816.08</v>
      </c>
    </row>
    <row r="6413" spans="1:12" x14ac:dyDescent="0.25">
      <c r="A6413" t="str">
        <f t="shared" si="1169"/>
        <v>89301000</v>
      </c>
      <c r="B6413" t="str">
        <f>"72932000"</f>
        <v>72932000</v>
      </c>
      <c r="C6413" t="str">
        <f>"72932050"</f>
        <v>72932050</v>
      </c>
      <c r="D6413">
        <v>89301282</v>
      </c>
      <c r="E6413" t="str">
        <f>"1462121210"</f>
        <v>1462121210</v>
      </c>
      <c r="F6413" s="1">
        <v>44928</v>
      </c>
      <c r="G6413" t="str">
        <f>"94983"</f>
        <v>94983</v>
      </c>
      <c r="H6413">
        <v>1</v>
      </c>
      <c r="I6413">
        <v>0</v>
      </c>
      <c r="J6413">
        <v>39600</v>
      </c>
      <c r="K6413" t="str">
        <f>"816"</f>
        <v>816</v>
      </c>
      <c r="L6413">
        <v>39600</v>
      </c>
    </row>
    <row r="6414" spans="1:12" x14ac:dyDescent="0.25">
      <c r="A6414" t="str">
        <f t="shared" si="1169"/>
        <v>89301000</v>
      </c>
      <c r="B6414" t="str">
        <f>"72932000"</f>
        <v>72932000</v>
      </c>
      <c r="C6414" t="str">
        <f>"72932050"</f>
        <v>72932050</v>
      </c>
      <c r="D6414">
        <v>89301282</v>
      </c>
      <c r="E6414" t="str">
        <f>"1462121210"</f>
        <v>1462121210</v>
      </c>
      <c r="F6414" s="1">
        <v>44928</v>
      </c>
      <c r="G6414" t="str">
        <f>"94996"</f>
        <v>94996</v>
      </c>
      <c r="H6414">
        <v>1</v>
      </c>
      <c r="I6414">
        <v>0</v>
      </c>
      <c r="J6414">
        <v>0</v>
      </c>
      <c r="K6414" t="str">
        <f>"816"</f>
        <v>816</v>
      </c>
      <c r="L6414">
        <v>0</v>
      </c>
    </row>
    <row r="6415" spans="1:12" x14ac:dyDescent="0.25">
      <c r="A6415" t="str">
        <f t="shared" si="1169"/>
        <v>89301000</v>
      </c>
      <c r="B6415" t="str">
        <f>"70001000"</f>
        <v>70001000</v>
      </c>
      <c r="C6415" t="str">
        <f>"70001898"</f>
        <v>70001898</v>
      </c>
      <c r="D6415">
        <v>89301112</v>
      </c>
      <c r="E6415" t="str">
        <f>"0212275712"</f>
        <v>0212275712</v>
      </c>
      <c r="F6415" s="1">
        <v>45048</v>
      </c>
      <c r="G6415" t="str">
        <f>"89713"</f>
        <v>89713</v>
      </c>
      <c r="H6415">
        <v>1</v>
      </c>
      <c r="I6415">
        <v>5411</v>
      </c>
      <c r="J6415">
        <v>0</v>
      </c>
      <c r="K6415" t="str">
        <f>"809"</f>
        <v>809</v>
      </c>
      <c r="L6415">
        <v>3517.15</v>
      </c>
    </row>
    <row r="6416" spans="1:12" x14ac:dyDescent="0.25">
      <c r="A6416" t="str">
        <f t="shared" si="1169"/>
        <v>89301000</v>
      </c>
      <c r="B6416" t="str">
        <f>"70001000"</f>
        <v>70001000</v>
      </c>
      <c r="C6416" t="str">
        <f>"70001898"</f>
        <v>70001898</v>
      </c>
      <c r="D6416">
        <v>89301112</v>
      </c>
      <c r="E6416" t="str">
        <f>"0212275712"</f>
        <v>0212275712</v>
      </c>
      <c r="F6416" s="1">
        <v>45048</v>
      </c>
      <c r="G6416" t="str">
        <f>"89725"</f>
        <v>89725</v>
      </c>
      <c r="H6416">
        <v>1</v>
      </c>
      <c r="I6416">
        <v>2863</v>
      </c>
      <c r="J6416">
        <v>0</v>
      </c>
      <c r="K6416" t="str">
        <f>"809"</f>
        <v>809</v>
      </c>
      <c r="L6416">
        <v>1860.95</v>
      </c>
    </row>
    <row r="6417" spans="1:12" x14ac:dyDescent="0.25">
      <c r="A6417" t="str">
        <f t="shared" si="1169"/>
        <v>89301000</v>
      </c>
      <c r="B6417" t="str">
        <f>"72037000"</f>
        <v>72037000</v>
      </c>
      <c r="C6417" t="str">
        <f>"72037031"</f>
        <v>72037031</v>
      </c>
      <c r="D6417">
        <v>89301062</v>
      </c>
      <c r="E6417" t="str">
        <f>"7007013695"</f>
        <v>7007013695</v>
      </c>
      <c r="F6417" s="1">
        <v>45061</v>
      </c>
      <c r="G6417" t="str">
        <f>"89615"</f>
        <v>89615</v>
      </c>
      <c r="H6417">
        <v>1</v>
      </c>
      <c r="I6417">
        <v>2199</v>
      </c>
      <c r="J6417">
        <v>0</v>
      </c>
      <c r="K6417" t="str">
        <f>"809"</f>
        <v>809</v>
      </c>
      <c r="L6417">
        <v>1429.35</v>
      </c>
    </row>
    <row r="6418" spans="1:12" x14ac:dyDescent="0.25">
      <c r="A6418" t="str">
        <f t="shared" si="1169"/>
        <v>89301000</v>
      </c>
      <c r="B6418" t="str">
        <f t="shared" ref="B6418:B6423" si="1170">"89670000"</f>
        <v>89670000</v>
      </c>
      <c r="C6418" t="str">
        <f>"89670001"</f>
        <v>89670001</v>
      </c>
      <c r="D6418">
        <v>89301036</v>
      </c>
      <c r="E6418" t="str">
        <f>"0554276074"</f>
        <v>0554276074</v>
      </c>
      <c r="F6418" s="1">
        <v>45073</v>
      </c>
      <c r="G6418" t="str">
        <f>"82015"</f>
        <v>82015</v>
      </c>
      <c r="H6418">
        <v>1</v>
      </c>
      <c r="I6418">
        <v>79</v>
      </c>
      <c r="J6418">
        <v>0</v>
      </c>
      <c r="K6418" t="str">
        <f t="shared" ref="K6418:K6423" si="1171">"802"</f>
        <v>802</v>
      </c>
      <c r="L6418">
        <v>76.63</v>
      </c>
    </row>
    <row r="6419" spans="1:12" x14ac:dyDescent="0.25">
      <c r="A6419" t="str">
        <f t="shared" si="1169"/>
        <v>89301000</v>
      </c>
      <c r="B6419" t="str">
        <f t="shared" si="1170"/>
        <v>89670000</v>
      </c>
      <c r="C6419" t="str">
        <f>"89670001"</f>
        <v>89670001</v>
      </c>
      <c r="D6419">
        <v>89301036</v>
      </c>
      <c r="E6419" t="str">
        <f>"0554276074"</f>
        <v>0554276074</v>
      </c>
      <c r="F6419" s="1">
        <v>45073</v>
      </c>
      <c r="G6419" t="str">
        <f>"82049"</f>
        <v>82049</v>
      </c>
      <c r="H6419">
        <v>1</v>
      </c>
      <c r="I6419">
        <v>151</v>
      </c>
      <c r="J6419">
        <v>0</v>
      </c>
      <c r="K6419" t="str">
        <f t="shared" si="1171"/>
        <v>802</v>
      </c>
      <c r="L6419">
        <v>146.47</v>
      </c>
    </row>
    <row r="6420" spans="1:12" x14ac:dyDescent="0.25">
      <c r="A6420" t="str">
        <f t="shared" si="1169"/>
        <v>89301000</v>
      </c>
      <c r="B6420" t="str">
        <f t="shared" si="1170"/>
        <v>89670000</v>
      </c>
      <c r="C6420" t="str">
        <f>"89670001"</f>
        <v>89670001</v>
      </c>
      <c r="D6420">
        <v>89301036</v>
      </c>
      <c r="E6420" t="str">
        <f>"0554276074"</f>
        <v>0554276074</v>
      </c>
      <c r="F6420" s="1">
        <v>45075</v>
      </c>
      <c r="G6420" t="str">
        <f>"82041"</f>
        <v>82041</v>
      </c>
      <c r="H6420">
        <v>1</v>
      </c>
      <c r="I6420">
        <v>1096</v>
      </c>
      <c r="J6420">
        <v>0</v>
      </c>
      <c r="K6420" t="str">
        <f t="shared" si="1171"/>
        <v>802</v>
      </c>
      <c r="L6420">
        <v>1063.1199999999999</v>
      </c>
    </row>
    <row r="6421" spans="1:12" x14ac:dyDescent="0.25">
      <c r="A6421" t="str">
        <f t="shared" si="1169"/>
        <v>89301000</v>
      </c>
      <c r="B6421" t="str">
        <f t="shared" si="1170"/>
        <v>89670000</v>
      </c>
      <c r="C6421" t="str">
        <f>"89670200"</f>
        <v>89670200</v>
      </c>
      <c r="D6421">
        <v>89301167</v>
      </c>
      <c r="E6421" t="str">
        <f>"511221028"</f>
        <v>511221028</v>
      </c>
      <c r="F6421" s="1">
        <v>45062</v>
      </c>
      <c r="G6421" t="str">
        <f>"09119"</f>
        <v>09119</v>
      </c>
      <c r="H6421">
        <v>1</v>
      </c>
      <c r="I6421">
        <v>43</v>
      </c>
      <c r="J6421">
        <v>0</v>
      </c>
      <c r="K6421" t="str">
        <f t="shared" si="1171"/>
        <v>802</v>
      </c>
      <c r="L6421">
        <v>54.18</v>
      </c>
    </row>
    <row r="6422" spans="1:12" x14ac:dyDescent="0.25">
      <c r="A6422" t="str">
        <f t="shared" si="1169"/>
        <v>89301000</v>
      </c>
      <c r="B6422" t="str">
        <f t="shared" si="1170"/>
        <v>89670000</v>
      </c>
      <c r="C6422" t="str">
        <f>"89670200"</f>
        <v>89670200</v>
      </c>
      <c r="D6422">
        <v>89301167</v>
      </c>
      <c r="E6422" t="str">
        <f>"511221028"</f>
        <v>511221028</v>
      </c>
      <c r="F6422" s="1">
        <v>45062</v>
      </c>
      <c r="G6422" t="str">
        <f>"97111"</f>
        <v>97111</v>
      </c>
      <c r="H6422">
        <v>1</v>
      </c>
      <c r="I6422">
        <v>19</v>
      </c>
      <c r="J6422">
        <v>0</v>
      </c>
      <c r="K6422" t="str">
        <f t="shared" si="1171"/>
        <v>802</v>
      </c>
      <c r="L6422">
        <v>23.94</v>
      </c>
    </row>
    <row r="6423" spans="1:12" x14ac:dyDescent="0.25">
      <c r="A6423" t="str">
        <f t="shared" si="1169"/>
        <v>89301000</v>
      </c>
      <c r="B6423" t="str">
        <f t="shared" si="1170"/>
        <v>89670000</v>
      </c>
      <c r="C6423" t="str">
        <f>"89670200"</f>
        <v>89670200</v>
      </c>
      <c r="D6423">
        <v>89301167</v>
      </c>
      <c r="E6423" t="str">
        <f>"511221028"</f>
        <v>511221028</v>
      </c>
      <c r="F6423" s="1">
        <v>45062</v>
      </c>
      <c r="G6423" t="str">
        <f>"91153"</f>
        <v>91153</v>
      </c>
      <c r="H6423">
        <v>1</v>
      </c>
      <c r="I6423">
        <v>153</v>
      </c>
      <c r="J6423">
        <v>0</v>
      </c>
      <c r="K6423" t="str">
        <f t="shared" si="1171"/>
        <v>802</v>
      </c>
      <c r="L6423">
        <v>148.41</v>
      </c>
    </row>
    <row r="6424" spans="1:12" x14ac:dyDescent="0.25">
      <c r="A6424" t="str">
        <f t="shared" si="1169"/>
        <v>89301000</v>
      </c>
      <c r="B6424" t="str">
        <f>"92002000"</f>
        <v>92002000</v>
      </c>
      <c r="C6424" t="str">
        <f>"92002175"</f>
        <v>92002175</v>
      </c>
      <c r="D6424">
        <v>89301212</v>
      </c>
      <c r="E6424" t="str">
        <f>"396206437"</f>
        <v>396206437</v>
      </c>
      <c r="F6424" s="1">
        <v>45064</v>
      </c>
      <c r="G6424" t="str">
        <f>"89180"</f>
        <v>89180</v>
      </c>
      <c r="H6424">
        <v>2</v>
      </c>
      <c r="I6424">
        <v>762</v>
      </c>
      <c r="J6424">
        <v>0</v>
      </c>
      <c r="K6424" t="str">
        <f>"809"</f>
        <v>809</v>
      </c>
      <c r="L6424">
        <v>1120.1400000000001</v>
      </c>
    </row>
    <row r="6425" spans="1:12" x14ac:dyDescent="0.25">
      <c r="A6425" t="str">
        <f t="shared" si="1169"/>
        <v>89301000</v>
      </c>
      <c r="B6425" t="str">
        <f>"92002000"</f>
        <v>92002000</v>
      </c>
      <c r="C6425" t="str">
        <f>"92002175"</f>
        <v>92002175</v>
      </c>
      <c r="D6425">
        <v>89301212</v>
      </c>
      <c r="E6425" t="str">
        <f>"396206437"</f>
        <v>396206437</v>
      </c>
      <c r="F6425" s="1">
        <v>45064</v>
      </c>
      <c r="G6425" t="str">
        <f>"89512"</f>
        <v>89512</v>
      </c>
      <c r="H6425">
        <v>1</v>
      </c>
      <c r="I6425">
        <v>283</v>
      </c>
      <c r="J6425">
        <v>0</v>
      </c>
      <c r="K6425" t="str">
        <f>"809"</f>
        <v>809</v>
      </c>
      <c r="L6425">
        <v>416.01</v>
      </c>
    </row>
    <row r="6426" spans="1:12" x14ac:dyDescent="0.25">
      <c r="A6426" t="str">
        <f t="shared" si="1169"/>
        <v>89301000</v>
      </c>
      <c r="B6426" t="str">
        <f>"91009000"</f>
        <v>91009000</v>
      </c>
      <c r="C6426" t="str">
        <f>"91009522"</f>
        <v>91009522</v>
      </c>
      <c r="D6426">
        <v>89301282</v>
      </c>
      <c r="E6426" t="str">
        <f>"9553086158"</f>
        <v>9553086158</v>
      </c>
      <c r="F6426" s="1">
        <v>44990</v>
      </c>
      <c r="G6426" t="str">
        <f>"94345"</f>
        <v>94345</v>
      </c>
      <c r="H6426">
        <v>1</v>
      </c>
      <c r="I6426">
        <v>4662</v>
      </c>
      <c r="J6426">
        <v>0</v>
      </c>
      <c r="K6426" t="str">
        <f t="shared" ref="K6426:K6445" si="1172">"816"</f>
        <v>816</v>
      </c>
      <c r="L6426">
        <v>4195.8</v>
      </c>
    </row>
    <row r="6427" spans="1:12" x14ac:dyDescent="0.25">
      <c r="A6427" t="str">
        <f t="shared" si="1169"/>
        <v>89301000</v>
      </c>
      <c r="B6427" t="str">
        <f>"91009000"</f>
        <v>91009000</v>
      </c>
      <c r="C6427" t="str">
        <f>"91009522"</f>
        <v>91009522</v>
      </c>
      <c r="D6427">
        <v>89301282</v>
      </c>
      <c r="E6427" t="str">
        <f>"9553086158"</f>
        <v>9553086158</v>
      </c>
      <c r="F6427" s="1">
        <v>44990</v>
      </c>
      <c r="G6427" t="str">
        <f>"94948"</f>
        <v>94948</v>
      </c>
      <c r="H6427">
        <v>1</v>
      </c>
      <c r="I6427">
        <v>0</v>
      </c>
      <c r="J6427">
        <v>0</v>
      </c>
      <c r="K6427" t="str">
        <f t="shared" si="1172"/>
        <v>816</v>
      </c>
      <c r="L6427">
        <v>0</v>
      </c>
    </row>
    <row r="6428" spans="1:12" x14ac:dyDescent="0.25">
      <c r="A6428" t="str">
        <f t="shared" si="1169"/>
        <v>89301000</v>
      </c>
      <c r="B6428" t="str">
        <f t="shared" ref="B6428:B6442" si="1173">"72100000"</f>
        <v>72100000</v>
      </c>
      <c r="C6428" t="str">
        <f t="shared" ref="C6428:C6442" si="1174">"72100632"</f>
        <v>72100632</v>
      </c>
      <c r="D6428">
        <v>89301091</v>
      </c>
      <c r="E6428" t="str">
        <f>"2206230070"</f>
        <v>2206230070</v>
      </c>
      <c r="F6428" s="1">
        <v>44741</v>
      </c>
      <c r="G6428" t="str">
        <f>"94297"</f>
        <v>94297</v>
      </c>
      <c r="H6428">
        <v>1</v>
      </c>
      <c r="I6428">
        <v>298</v>
      </c>
      <c r="J6428">
        <v>0</v>
      </c>
      <c r="K6428" t="str">
        <f t="shared" si="1172"/>
        <v>816</v>
      </c>
      <c r="L6428">
        <v>298</v>
      </c>
    </row>
    <row r="6429" spans="1:12" x14ac:dyDescent="0.25">
      <c r="A6429" t="str">
        <f t="shared" si="1169"/>
        <v>89301000</v>
      </c>
      <c r="B6429" t="str">
        <f t="shared" si="1173"/>
        <v>72100000</v>
      </c>
      <c r="C6429" t="str">
        <f t="shared" si="1174"/>
        <v>72100632</v>
      </c>
      <c r="D6429">
        <v>89301282</v>
      </c>
      <c r="E6429" t="str">
        <f>"9159154191"</f>
        <v>9159154191</v>
      </c>
      <c r="F6429" s="1">
        <v>44979</v>
      </c>
      <c r="G6429" t="str">
        <f>"94983"</f>
        <v>94983</v>
      </c>
      <c r="H6429">
        <v>1</v>
      </c>
      <c r="I6429">
        <v>0</v>
      </c>
      <c r="J6429">
        <v>39600</v>
      </c>
      <c r="K6429" t="str">
        <f t="shared" si="1172"/>
        <v>816</v>
      </c>
      <c r="L6429">
        <v>39600</v>
      </c>
    </row>
    <row r="6430" spans="1:12" x14ac:dyDescent="0.25">
      <c r="A6430" t="str">
        <f t="shared" si="1169"/>
        <v>89301000</v>
      </c>
      <c r="B6430" t="str">
        <f t="shared" si="1173"/>
        <v>72100000</v>
      </c>
      <c r="C6430" t="str">
        <f t="shared" si="1174"/>
        <v>72100632</v>
      </c>
      <c r="D6430">
        <v>89301282</v>
      </c>
      <c r="E6430" t="str">
        <f>"9159154191"</f>
        <v>9159154191</v>
      </c>
      <c r="F6430" s="1">
        <v>44979</v>
      </c>
      <c r="G6430" t="str">
        <f>"94996"</f>
        <v>94996</v>
      </c>
      <c r="H6430">
        <v>1</v>
      </c>
      <c r="I6430">
        <v>0</v>
      </c>
      <c r="J6430">
        <v>0</v>
      </c>
      <c r="K6430" t="str">
        <f t="shared" si="1172"/>
        <v>816</v>
      </c>
      <c r="L6430">
        <v>0</v>
      </c>
    </row>
    <row r="6431" spans="1:12" x14ac:dyDescent="0.25">
      <c r="A6431" t="str">
        <f t="shared" si="1169"/>
        <v>89301000</v>
      </c>
      <c r="B6431" t="str">
        <f t="shared" si="1173"/>
        <v>72100000</v>
      </c>
      <c r="C6431" t="str">
        <f t="shared" si="1174"/>
        <v>72100632</v>
      </c>
      <c r="D6431">
        <v>89301282</v>
      </c>
      <c r="E6431" t="str">
        <f>"6510090928"</f>
        <v>6510090928</v>
      </c>
      <c r="F6431" s="1">
        <v>45007</v>
      </c>
      <c r="G6431" t="str">
        <f>"94969"</f>
        <v>94969</v>
      </c>
      <c r="H6431">
        <v>1</v>
      </c>
      <c r="I6431">
        <v>0</v>
      </c>
      <c r="J6431">
        <v>27000</v>
      </c>
      <c r="K6431" t="str">
        <f t="shared" si="1172"/>
        <v>816</v>
      </c>
      <c r="L6431">
        <v>27000</v>
      </c>
    </row>
    <row r="6432" spans="1:12" x14ac:dyDescent="0.25">
      <c r="A6432" t="str">
        <f t="shared" si="1169"/>
        <v>89301000</v>
      </c>
      <c r="B6432" t="str">
        <f t="shared" si="1173"/>
        <v>72100000</v>
      </c>
      <c r="C6432" t="str">
        <f t="shared" si="1174"/>
        <v>72100632</v>
      </c>
      <c r="D6432">
        <v>89301282</v>
      </c>
      <c r="E6432" t="str">
        <f>"9459074317"</f>
        <v>9459074317</v>
      </c>
      <c r="F6432" s="1">
        <v>44995</v>
      </c>
      <c r="G6432" t="str">
        <f>"94983"</f>
        <v>94983</v>
      </c>
      <c r="H6432">
        <v>1</v>
      </c>
      <c r="I6432">
        <v>0</v>
      </c>
      <c r="J6432">
        <v>39600</v>
      </c>
      <c r="K6432" t="str">
        <f t="shared" si="1172"/>
        <v>816</v>
      </c>
      <c r="L6432">
        <v>39600</v>
      </c>
    </row>
    <row r="6433" spans="1:12" x14ac:dyDescent="0.25">
      <c r="A6433" t="str">
        <f t="shared" si="1169"/>
        <v>89301000</v>
      </c>
      <c r="B6433" t="str">
        <f t="shared" si="1173"/>
        <v>72100000</v>
      </c>
      <c r="C6433" t="str">
        <f t="shared" si="1174"/>
        <v>72100632</v>
      </c>
      <c r="D6433">
        <v>89301282</v>
      </c>
      <c r="E6433" t="str">
        <f>"9459074317"</f>
        <v>9459074317</v>
      </c>
      <c r="F6433" s="1">
        <v>44995</v>
      </c>
      <c r="G6433" t="str">
        <f>"94996"</f>
        <v>94996</v>
      </c>
      <c r="H6433">
        <v>1</v>
      </c>
      <c r="I6433">
        <v>0</v>
      </c>
      <c r="J6433">
        <v>0</v>
      </c>
      <c r="K6433" t="str">
        <f t="shared" si="1172"/>
        <v>816</v>
      </c>
      <c r="L6433">
        <v>0</v>
      </c>
    </row>
    <row r="6434" spans="1:12" x14ac:dyDescent="0.25">
      <c r="A6434" t="str">
        <f t="shared" si="1169"/>
        <v>89301000</v>
      </c>
      <c r="B6434" t="str">
        <f t="shared" si="1173"/>
        <v>72100000</v>
      </c>
      <c r="C6434" t="str">
        <f t="shared" si="1174"/>
        <v>72100632</v>
      </c>
      <c r="D6434">
        <v>89301282</v>
      </c>
      <c r="E6434" t="str">
        <f>"7906025336"</f>
        <v>7906025336</v>
      </c>
      <c r="F6434" s="1">
        <v>45007</v>
      </c>
      <c r="G6434" t="str">
        <f>"94980"</f>
        <v>94980</v>
      </c>
      <c r="H6434">
        <v>1</v>
      </c>
      <c r="I6434">
        <v>0</v>
      </c>
      <c r="J6434">
        <v>11502</v>
      </c>
      <c r="K6434" t="str">
        <f t="shared" si="1172"/>
        <v>816</v>
      </c>
      <c r="L6434">
        <v>11502</v>
      </c>
    </row>
    <row r="6435" spans="1:12" x14ac:dyDescent="0.25">
      <c r="A6435" t="str">
        <f t="shared" si="1169"/>
        <v>89301000</v>
      </c>
      <c r="B6435" t="str">
        <f t="shared" si="1173"/>
        <v>72100000</v>
      </c>
      <c r="C6435" t="str">
        <f t="shared" si="1174"/>
        <v>72100632</v>
      </c>
      <c r="D6435">
        <v>89301282</v>
      </c>
      <c r="E6435" t="str">
        <f>"7906025336"</f>
        <v>7906025336</v>
      </c>
      <c r="F6435" s="1">
        <v>45007</v>
      </c>
      <c r="G6435" t="str">
        <f>"94237"</f>
        <v>94237</v>
      </c>
      <c r="H6435">
        <v>1</v>
      </c>
      <c r="I6435">
        <v>3936</v>
      </c>
      <c r="J6435">
        <v>0</v>
      </c>
      <c r="K6435" t="str">
        <f t="shared" si="1172"/>
        <v>816</v>
      </c>
      <c r="L6435">
        <v>3542.4</v>
      </c>
    </row>
    <row r="6436" spans="1:12" x14ac:dyDescent="0.25">
      <c r="A6436" t="str">
        <f t="shared" si="1169"/>
        <v>89301000</v>
      </c>
      <c r="B6436" t="str">
        <f t="shared" si="1173"/>
        <v>72100000</v>
      </c>
      <c r="C6436" t="str">
        <f t="shared" si="1174"/>
        <v>72100632</v>
      </c>
      <c r="D6436">
        <v>89301282</v>
      </c>
      <c r="E6436" t="str">
        <f>"7906025336"</f>
        <v>7906025336</v>
      </c>
      <c r="F6436" s="1">
        <v>45007</v>
      </c>
      <c r="G6436" t="str">
        <f>"94237"</f>
        <v>94237</v>
      </c>
      <c r="H6436">
        <v>2</v>
      </c>
      <c r="I6436">
        <v>7872</v>
      </c>
      <c r="J6436">
        <v>0</v>
      </c>
      <c r="K6436" t="str">
        <f t="shared" si="1172"/>
        <v>816</v>
      </c>
      <c r="L6436">
        <v>7084.8</v>
      </c>
    </row>
    <row r="6437" spans="1:12" x14ac:dyDescent="0.25">
      <c r="A6437" t="str">
        <f t="shared" si="1169"/>
        <v>89301000</v>
      </c>
      <c r="B6437" t="str">
        <f t="shared" si="1173"/>
        <v>72100000</v>
      </c>
      <c r="C6437" t="str">
        <f t="shared" si="1174"/>
        <v>72100632</v>
      </c>
      <c r="D6437">
        <v>89301282</v>
      </c>
      <c r="E6437" t="str">
        <f>"7906025336"</f>
        <v>7906025336</v>
      </c>
      <c r="F6437" s="1">
        <v>45007</v>
      </c>
      <c r="G6437" t="str">
        <f>"94948"</f>
        <v>94948</v>
      </c>
      <c r="H6437">
        <v>1</v>
      </c>
      <c r="I6437">
        <v>0</v>
      </c>
      <c r="J6437">
        <v>0</v>
      </c>
      <c r="K6437" t="str">
        <f t="shared" si="1172"/>
        <v>816</v>
      </c>
      <c r="L6437">
        <v>0</v>
      </c>
    </row>
    <row r="6438" spans="1:12" x14ac:dyDescent="0.25">
      <c r="A6438" t="str">
        <f t="shared" si="1169"/>
        <v>89301000</v>
      </c>
      <c r="B6438" t="str">
        <f t="shared" si="1173"/>
        <v>72100000</v>
      </c>
      <c r="C6438" t="str">
        <f t="shared" si="1174"/>
        <v>72100632</v>
      </c>
      <c r="D6438">
        <v>89301282</v>
      </c>
      <c r="E6438" t="str">
        <f>"1752080319"</f>
        <v>1752080319</v>
      </c>
      <c r="F6438" s="1">
        <v>45013</v>
      </c>
      <c r="G6438" t="str">
        <f>"94221"</f>
        <v>94221</v>
      </c>
      <c r="H6438">
        <v>9</v>
      </c>
      <c r="I6438">
        <v>22203</v>
      </c>
      <c r="J6438">
        <v>0</v>
      </c>
      <c r="K6438" t="str">
        <f t="shared" si="1172"/>
        <v>816</v>
      </c>
      <c r="L6438">
        <v>19982.7</v>
      </c>
    </row>
    <row r="6439" spans="1:12" x14ac:dyDescent="0.25">
      <c r="A6439" t="str">
        <f t="shared" si="1169"/>
        <v>89301000</v>
      </c>
      <c r="B6439" t="str">
        <f t="shared" si="1173"/>
        <v>72100000</v>
      </c>
      <c r="C6439" t="str">
        <f t="shared" si="1174"/>
        <v>72100632</v>
      </c>
      <c r="D6439">
        <v>89301282</v>
      </c>
      <c r="E6439" t="str">
        <f>"1752080319"</f>
        <v>1752080319</v>
      </c>
      <c r="F6439" s="1">
        <v>45013</v>
      </c>
      <c r="G6439" t="str">
        <f>"94221"</f>
        <v>94221</v>
      </c>
      <c r="H6439">
        <v>3</v>
      </c>
      <c r="I6439">
        <v>7401</v>
      </c>
      <c r="J6439">
        <v>0</v>
      </c>
      <c r="K6439" t="str">
        <f t="shared" si="1172"/>
        <v>816</v>
      </c>
      <c r="L6439">
        <v>6660.9</v>
      </c>
    </row>
    <row r="6440" spans="1:12" x14ac:dyDescent="0.25">
      <c r="A6440" t="str">
        <f t="shared" si="1169"/>
        <v>89301000</v>
      </c>
      <c r="B6440" t="str">
        <f t="shared" si="1173"/>
        <v>72100000</v>
      </c>
      <c r="C6440" t="str">
        <f t="shared" si="1174"/>
        <v>72100632</v>
      </c>
      <c r="D6440">
        <v>89301282</v>
      </c>
      <c r="E6440" t="str">
        <f>"1752080319"</f>
        <v>1752080319</v>
      </c>
      <c r="F6440" s="1">
        <v>45013</v>
      </c>
      <c r="G6440" t="str">
        <f>"94331"</f>
        <v>94331</v>
      </c>
      <c r="H6440">
        <v>1</v>
      </c>
      <c r="I6440">
        <v>7866</v>
      </c>
      <c r="J6440">
        <v>0</v>
      </c>
      <c r="K6440" t="str">
        <f t="shared" si="1172"/>
        <v>816</v>
      </c>
      <c r="L6440">
        <v>7079.4</v>
      </c>
    </row>
    <row r="6441" spans="1:12" x14ac:dyDescent="0.25">
      <c r="A6441" t="str">
        <f t="shared" si="1169"/>
        <v>89301000</v>
      </c>
      <c r="B6441" t="str">
        <f t="shared" si="1173"/>
        <v>72100000</v>
      </c>
      <c r="C6441" t="str">
        <f t="shared" si="1174"/>
        <v>72100632</v>
      </c>
      <c r="D6441">
        <v>89301282</v>
      </c>
      <c r="E6441" t="str">
        <f>"8806214923"</f>
        <v>8806214923</v>
      </c>
      <c r="F6441" s="1">
        <v>45027</v>
      </c>
      <c r="G6441" t="str">
        <f>"94996"</f>
        <v>94996</v>
      </c>
      <c r="H6441">
        <v>1</v>
      </c>
      <c r="I6441">
        <v>0</v>
      </c>
      <c r="J6441">
        <v>0</v>
      </c>
      <c r="K6441" t="str">
        <f t="shared" si="1172"/>
        <v>816</v>
      </c>
      <c r="L6441">
        <v>0</v>
      </c>
    </row>
    <row r="6442" spans="1:12" x14ac:dyDescent="0.25">
      <c r="A6442" t="str">
        <f t="shared" si="1169"/>
        <v>89301000</v>
      </c>
      <c r="B6442" t="str">
        <f t="shared" si="1173"/>
        <v>72100000</v>
      </c>
      <c r="C6442" t="str">
        <f t="shared" si="1174"/>
        <v>72100632</v>
      </c>
      <c r="D6442">
        <v>89301282</v>
      </c>
      <c r="E6442" t="str">
        <f>"8806214923"</f>
        <v>8806214923</v>
      </c>
      <c r="F6442" s="1">
        <v>45027</v>
      </c>
      <c r="G6442" t="str">
        <f>"94983"</f>
        <v>94983</v>
      </c>
      <c r="H6442">
        <v>1</v>
      </c>
      <c r="I6442">
        <v>0</v>
      </c>
      <c r="J6442">
        <v>39600</v>
      </c>
      <c r="K6442" t="str">
        <f t="shared" si="1172"/>
        <v>816</v>
      </c>
      <c r="L6442">
        <v>39600</v>
      </c>
    </row>
    <row r="6443" spans="1:12" x14ac:dyDescent="0.25">
      <c r="A6443" t="str">
        <f t="shared" si="1169"/>
        <v>89301000</v>
      </c>
      <c r="B6443" t="str">
        <f t="shared" ref="B6443:B6462" si="1175">"02004000"</f>
        <v>02004000</v>
      </c>
      <c r="C6443" t="str">
        <f>"02004545"</f>
        <v>02004545</v>
      </c>
      <c r="D6443">
        <v>89301282</v>
      </c>
      <c r="E6443" t="str">
        <f>"9904055711"</f>
        <v>9904055711</v>
      </c>
      <c r="F6443" s="1">
        <v>45037</v>
      </c>
      <c r="G6443" t="str">
        <f>"94221"</f>
        <v>94221</v>
      </c>
      <c r="H6443">
        <v>9</v>
      </c>
      <c r="I6443">
        <v>22203</v>
      </c>
      <c r="J6443">
        <v>0</v>
      </c>
      <c r="K6443" t="str">
        <f t="shared" si="1172"/>
        <v>816</v>
      </c>
      <c r="L6443">
        <v>19982.7</v>
      </c>
    </row>
    <row r="6444" spans="1:12" x14ac:dyDescent="0.25">
      <c r="A6444" t="str">
        <f t="shared" si="1169"/>
        <v>89301000</v>
      </c>
      <c r="B6444" t="str">
        <f t="shared" si="1175"/>
        <v>02004000</v>
      </c>
      <c r="C6444" t="str">
        <f>"02004545"</f>
        <v>02004545</v>
      </c>
      <c r="D6444">
        <v>89301282</v>
      </c>
      <c r="E6444" t="str">
        <f>"9904055711"</f>
        <v>9904055711</v>
      </c>
      <c r="F6444" s="1">
        <v>45037</v>
      </c>
      <c r="G6444" t="str">
        <f>"94221"</f>
        <v>94221</v>
      </c>
      <c r="H6444">
        <v>9</v>
      </c>
      <c r="I6444">
        <v>22203</v>
      </c>
      <c r="J6444">
        <v>0</v>
      </c>
      <c r="K6444" t="str">
        <f t="shared" si="1172"/>
        <v>816</v>
      </c>
      <c r="L6444">
        <v>19982.7</v>
      </c>
    </row>
    <row r="6445" spans="1:12" x14ac:dyDescent="0.25">
      <c r="A6445" t="str">
        <f t="shared" si="1169"/>
        <v>89301000</v>
      </c>
      <c r="B6445" t="str">
        <f t="shared" si="1175"/>
        <v>02004000</v>
      </c>
      <c r="C6445" t="str">
        <f>"02004545"</f>
        <v>02004545</v>
      </c>
      <c r="D6445">
        <v>89301282</v>
      </c>
      <c r="E6445" t="str">
        <f>"9904055711"</f>
        <v>9904055711</v>
      </c>
      <c r="F6445" s="1">
        <v>45037</v>
      </c>
      <c r="G6445" t="str">
        <f>"94221"</f>
        <v>94221</v>
      </c>
      <c r="H6445">
        <v>9</v>
      </c>
      <c r="I6445">
        <v>22203</v>
      </c>
      <c r="J6445">
        <v>0</v>
      </c>
      <c r="K6445" t="str">
        <f t="shared" si="1172"/>
        <v>816</v>
      </c>
      <c r="L6445">
        <v>19982.7</v>
      </c>
    </row>
    <row r="6446" spans="1:12" x14ac:dyDescent="0.25">
      <c r="A6446" t="str">
        <f t="shared" si="1169"/>
        <v>89301000</v>
      </c>
      <c r="B6446" t="str">
        <f t="shared" si="1175"/>
        <v>02004000</v>
      </c>
      <c r="C6446" t="str">
        <f t="shared" ref="C6446:C6455" si="1176">"02004556"</f>
        <v>02004556</v>
      </c>
      <c r="D6446">
        <v>89301704</v>
      </c>
      <c r="E6446" t="str">
        <f>"1305201392"</f>
        <v>1305201392</v>
      </c>
      <c r="F6446" s="1">
        <v>45042</v>
      </c>
      <c r="G6446" t="str">
        <f>"91249"</f>
        <v>91249</v>
      </c>
      <c r="H6446">
        <v>1</v>
      </c>
      <c r="I6446">
        <v>1495</v>
      </c>
      <c r="J6446">
        <v>0</v>
      </c>
      <c r="K6446" t="str">
        <f t="shared" ref="K6446:K6455" si="1177">"813"</f>
        <v>813</v>
      </c>
      <c r="L6446">
        <v>1255.8</v>
      </c>
    </row>
    <row r="6447" spans="1:12" x14ac:dyDescent="0.25">
      <c r="A6447" t="str">
        <f t="shared" si="1169"/>
        <v>89301000</v>
      </c>
      <c r="B6447" t="str">
        <f t="shared" si="1175"/>
        <v>02004000</v>
      </c>
      <c r="C6447" t="str">
        <f t="shared" si="1176"/>
        <v>02004556</v>
      </c>
      <c r="D6447">
        <v>89301704</v>
      </c>
      <c r="E6447" t="str">
        <f>"1305201392"</f>
        <v>1305201392</v>
      </c>
      <c r="F6447" s="1">
        <v>45042</v>
      </c>
      <c r="G6447" t="str">
        <f>"91251"</f>
        <v>91251</v>
      </c>
      <c r="H6447">
        <v>1</v>
      </c>
      <c r="I6447">
        <v>1495</v>
      </c>
      <c r="J6447">
        <v>0</v>
      </c>
      <c r="K6447" t="str">
        <f t="shared" si="1177"/>
        <v>813</v>
      </c>
      <c r="L6447">
        <v>1255.8</v>
      </c>
    </row>
    <row r="6448" spans="1:12" x14ac:dyDescent="0.25">
      <c r="A6448" t="str">
        <f t="shared" si="1169"/>
        <v>89301000</v>
      </c>
      <c r="B6448" t="str">
        <f t="shared" si="1175"/>
        <v>02004000</v>
      </c>
      <c r="C6448" t="str">
        <f t="shared" si="1176"/>
        <v>02004556</v>
      </c>
      <c r="D6448">
        <v>89301704</v>
      </c>
      <c r="E6448" t="str">
        <f>"0953196068"</f>
        <v>0953196068</v>
      </c>
      <c r="F6448" s="1">
        <v>45029</v>
      </c>
      <c r="G6448" t="str">
        <f>"91249"</f>
        <v>91249</v>
      </c>
      <c r="H6448">
        <v>1</v>
      </c>
      <c r="I6448">
        <v>1495</v>
      </c>
      <c r="J6448">
        <v>0</v>
      </c>
      <c r="K6448" t="str">
        <f t="shared" si="1177"/>
        <v>813</v>
      </c>
      <c r="L6448">
        <v>1255.8</v>
      </c>
    </row>
    <row r="6449" spans="1:12" x14ac:dyDescent="0.25">
      <c r="A6449" t="str">
        <f t="shared" si="1169"/>
        <v>89301000</v>
      </c>
      <c r="B6449" t="str">
        <f t="shared" si="1175"/>
        <v>02004000</v>
      </c>
      <c r="C6449" t="str">
        <f t="shared" si="1176"/>
        <v>02004556</v>
      </c>
      <c r="D6449">
        <v>89301704</v>
      </c>
      <c r="E6449" t="str">
        <f>"0953196068"</f>
        <v>0953196068</v>
      </c>
      <c r="F6449" s="1">
        <v>45029</v>
      </c>
      <c r="G6449" t="str">
        <f>"91251"</f>
        <v>91251</v>
      </c>
      <c r="H6449">
        <v>1</v>
      </c>
      <c r="I6449">
        <v>1495</v>
      </c>
      <c r="J6449">
        <v>0</v>
      </c>
      <c r="K6449" t="str">
        <f t="shared" si="1177"/>
        <v>813</v>
      </c>
      <c r="L6449">
        <v>1255.8</v>
      </c>
    </row>
    <row r="6450" spans="1:12" x14ac:dyDescent="0.25">
      <c r="A6450" t="str">
        <f t="shared" si="1169"/>
        <v>89301000</v>
      </c>
      <c r="B6450" t="str">
        <f t="shared" si="1175"/>
        <v>02004000</v>
      </c>
      <c r="C6450" t="str">
        <f t="shared" si="1176"/>
        <v>02004556</v>
      </c>
      <c r="D6450">
        <v>89301102</v>
      </c>
      <c r="E6450" t="str">
        <f>"0707116157"</f>
        <v>0707116157</v>
      </c>
      <c r="F6450" s="1">
        <v>45033</v>
      </c>
      <c r="G6450" t="str">
        <f>"91249"</f>
        <v>91249</v>
      </c>
      <c r="H6450">
        <v>1</v>
      </c>
      <c r="I6450">
        <v>1495</v>
      </c>
      <c r="J6450">
        <v>0</v>
      </c>
      <c r="K6450" t="str">
        <f t="shared" si="1177"/>
        <v>813</v>
      </c>
      <c r="L6450">
        <v>1255.8</v>
      </c>
    </row>
    <row r="6451" spans="1:12" x14ac:dyDescent="0.25">
      <c r="A6451" t="str">
        <f t="shared" si="1169"/>
        <v>89301000</v>
      </c>
      <c r="B6451" t="str">
        <f t="shared" si="1175"/>
        <v>02004000</v>
      </c>
      <c r="C6451" t="str">
        <f t="shared" si="1176"/>
        <v>02004556</v>
      </c>
      <c r="D6451">
        <v>89301102</v>
      </c>
      <c r="E6451" t="str">
        <f>"0707116157"</f>
        <v>0707116157</v>
      </c>
      <c r="F6451" s="1">
        <v>45033</v>
      </c>
      <c r="G6451" t="str">
        <f>"91251"</f>
        <v>91251</v>
      </c>
      <c r="H6451">
        <v>1</v>
      </c>
      <c r="I6451">
        <v>1495</v>
      </c>
      <c r="J6451">
        <v>0</v>
      </c>
      <c r="K6451" t="str">
        <f t="shared" si="1177"/>
        <v>813</v>
      </c>
      <c r="L6451">
        <v>1255.8</v>
      </c>
    </row>
    <row r="6452" spans="1:12" x14ac:dyDescent="0.25">
      <c r="A6452" t="str">
        <f t="shared" si="1169"/>
        <v>89301000</v>
      </c>
      <c r="B6452" t="str">
        <f t="shared" si="1175"/>
        <v>02004000</v>
      </c>
      <c r="C6452" t="str">
        <f t="shared" si="1176"/>
        <v>02004556</v>
      </c>
      <c r="D6452">
        <v>89301028</v>
      </c>
      <c r="E6452" t="str">
        <f>"8810085603"</f>
        <v>8810085603</v>
      </c>
      <c r="F6452" s="1">
        <v>45036</v>
      </c>
      <c r="G6452" t="str">
        <f>"91249"</f>
        <v>91249</v>
      </c>
      <c r="H6452">
        <v>1</v>
      </c>
      <c r="I6452">
        <v>1495</v>
      </c>
      <c r="J6452">
        <v>0</v>
      </c>
      <c r="K6452" t="str">
        <f t="shared" si="1177"/>
        <v>813</v>
      </c>
      <c r="L6452">
        <v>1255.8</v>
      </c>
    </row>
    <row r="6453" spans="1:12" x14ac:dyDescent="0.25">
      <c r="A6453" t="str">
        <f t="shared" si="1169"/>
        <v>89301000</v>
      </c>
      <c r="B6453" t="str">
        <f t="shared" si="1175"/>
        <v>02004000</v>
      </c>
      <c r="C6453" t="str">
        <f t="shared" si="1176"/>
        <v>02004556</v>
      </c>
      <c r="D6453">
        <v>89301028</v>
      </c>
      <c r="E6453" t="str">
        <f>"8810085603"</f>
        <v>8810085603</v>
      </c>
      <c r="F6453" s="1">
        <v>45036</v>
      </c>
      <c r="G6453" t="str">
        <f>"91251"</f>
        <v>91251</v>
      </c>
      <c r="H6453">
        <v>1</v>
      </c>
      <c r="I6453">
        <v>1495</v>
      </c>
      <c r="J6453">
        <v>0</v>
      </c>
      <c r="K6453" t="str">
        <f t="shared" si="1177"/>
        <v>813</v>
      </c>
      <c r="L6453">
        <v>1255.8</v>
      </c>
    </row>
    <row r="6454" spans="1:12" x14ac:dyDescent="0.25">
      <c r="A6454" t="str">
        <f t="shared" si="1169"/>
        <v>89301000</v>
      </c>
      <c r="B6454" t="str">
        <f t="shared" si="1175"/>
        <v>02004000</v>
      </c>
      <c r="C6454" t="str">
        <f t="shared" si="1176"/>
        <v>02004556</v>
      </c>
      <c r="D6454">
        <v>89301702</v>
      </c>
      <c r="E6454" t="str">
        <f>"1311050246"</f>
        <v>1311050246</v>
      </c>
      <c r="F6454" s="1">
        <v>45034</v>
      </c>
      <c r="G6454" t="str">
        <f>"91249"</f>
        <v>91249</v>
      </c>
      <c r="H6454">
        <v>1</v>
      </c>
      <c r="I6454">
        <v>1495</v>
      </c>
      <c r="J6454">
        <v>0</v>
      </c>
      <c r="K6454" t="str">
        <f t="shared" si="1177"/>
        <v>813</v>
      </c>
      <c r="L6454">
        <v>1255.8</v>
      </c>
    </row>
    <row r="6455" spans="1:12" x14ac:dyDescent="0.25">
      <c r="A6455" t="str">
        <f t="shared" si="1169"/>
        <v>89301000</v>
      </c>
      <c r="B6455" t="str">
        <f t="shared" si="1175"/>
        <v>02004000</v>
      </c>
      <c r="C6455" t="str">
        <f t="shared" si="1176"/>
        <v>02004556</v>
      </c>
      <c r="D6455">
        <v>89301702</v>
      </c>
      <c r="E6455" t="str">
        <f>"1311050246"</f>
        <v>1311050246</v>
      </c>
      <c r="F6455" s="1">
        <v>45034</v>
      </c>
      <c r="G6455" t="str">
        <f>"91251"</f>
        <v>91251</v>
      </c>
      <c r="H6455">
        <v>1</v>
      </c>
      <c r="I6455">
        <v>1495</v>
      </c>
      <c r="J6455">
        <v>0</v>
      </c>
      <c r="K6455" t="str">
        <f t="shared" si="1177"/>
        <v>813</v>
      </c>
      <c r="L6455">
        <v>1255.8</v>
      </c>
    </row>
    <row r="6456" spans="1:12" x14ac:dyDescent="0.25">
      <c r="A6456" t="str">
        <f t="shared" si="1169"/>
        <v>89301000</v>
      </c>
      <c r="B6456" t="str">
        <f t="shared" si="1175"/>
        <v>02004000</v>
      </c>
      <c r="C6456" t="str">
        <f>"02004545"</f>
        <v>02004545</v>
      </c>
      <c r="D6456">
        <v>89301282</v>
      </c>
      <c r="E6456" t="str">
        <f>"7451255328"</f>
        <v>7451255328</v>
      </c>
      <c r="F6456" s="1">
        <v>45056</v>
      </c>
      <c r="G6456" t="str">
        <f>"94331"</f>
        <v>94331</v>
      </c>
      <c r="H6456">
        <v>1</v>
      </c>
      <c r="I6456">
        <v>7866</v>
      </c>
      <c r="J6456">
        <v>0</v>
      </c>
      <c r="K6456" t="str">
        <f>"816"</f>
        <v>816</v>
      </c>
      <c r="L6456">
        <v>7079.4</v>
      </c>
    </row>
    <row r="6457" spans="1:12" x14ac:dyDescent="0.25">
      <c r="A6457" t="str">
        <f t="shared" si="1169"/>
        <v>89301000</v>
      </c>
      <c r="B6457" t="str">
        <f t="shared" si="1175"/>
        <v>02004000</v>
      </c>
      <c r="C6457" t="str">
        <f t="shared" ref="C6457:C6462" si="1178">"02004556"</f>
        <v>02004556</v>
      </c>
      <c r="D6457">
        <v>89301102</v>
      </c>
      <c r="E6457" t="str">
        <f>"0909103272"</f>
        <v>0909103272</v>
      </c>
      <c r="F6457" s="1">
        <v>45048</v>
      </c>
      <c r="G6457" t="str">
        <f>"91249"</f>
        <v>91249</v>
      </c>
      <c r="H6457">
        <v>1</v>
      </c>
      <c r="I6457">
        <v>1495</v>
      </c>
      <c r="J6457">
        <v>0</v>
      </c>
      <c r="K6457" t="str">
        <f t="shared" ref="K6457:K6462" si="1179">"813"</f>
        <v>813</v>
      </c>
      <c r="L6457">
        <v>1255.8</v>
      </c>
    </row>
    <row r="6458" spans="1:12" x14ac:dyDescent="0.25">
      <c r="A6458" t="str">
        <f t="shared" si="1169"/>
        <v>89301000</v>
      </c>
      <c r="B6458" t="str">
        <f t="shared" si="1175"/>
        <v>02004000</v>
      </c>
      <c r="C6458" t="str">
        <f t="shared" si="1178"/>
        <v>02004556</v>
      </c>
      <c r="D6458">
        <v>89301102</v>
      </c>
      <c r="E6458" t="str">
        <f>"0909103272"</f>
        <v>0909103272</v>
      </c>
      <c r="F6458" s="1">
        <v>45048</v>
      </c>
      <c r="G6458" t="str">
        <f>"91251"</f>
        <v>91251</v>
      </c>
      <c r="H6458">
        <v>1</v>
      </c>
      <c r="I6458">
        <v>1495</v>
      </c>
      <c r="J6458">
        <v>0</v>
      </c>
      <c r="K6458" t="str">
        <f t="shared" si="1179"/>
        <v>813</v>
      </c>
      <c r="L6458">
        <v>1255.8</v>
      </c>
    </row>
    <row r="6459" spans="1:12" x14ac:dyDescent="0.25">
      <c r="A6459" t="str">
        <f t="shared" si="1169"/>
        <v>89301000</v>
      </c>
      <c r="B6459" t="str">
        <f t="shared" si="1175"/>
        <v>02004000</v>
      </c>
      <c r="C6459" t="str">
        <f t="shared" si="1178"/>
        <v>02004556</v>
      </c>
      <c r="D6459">
        <v>89301028</v>
      </c>
      <c r="E6459" t="str">
        <f>"9751295730"</f>
        <v>9751295730</v>
      </c>
      <c r="F6459" s="1">
        <v>45055</v>
      </c>
      <c r="G6459" t="str">
        <f>"91249"</f>
        <v>91249</v>
      </c>
      <c r="H6459">
        <v>1</v>
      </c>
      <c r="I6459">
        <v>1495</v>
      </c>
      <c r="J6459">
        <v>0</v>
      </c>
      <c r="K6459" t="str">
        <f t="shared" si="1179"/>
        <v>813</v>
      </c>
      <c r="L6459">
        <v>1255.8</v>
      </c>
    </row>
    <row r="6460" spans="1:12" x14ac:dyDescent="0.25">
      <c r="A6460" t="str">
        <f t="shared" si="1169"/>
        <v>89301000</v>
      </c>
      <c r="B6460" t="str">
        <f t="shared" si="1175"/>
        <v>02004000</v>
      </c>
      <c r="C6460" t="str">
        <f t="shared" si="1178"/>
        <v>02004556</v>
      </c>
      <c r="D6460">
        <v>89301028</v>
      </c>
      <c r="E6460" t="str">
        <f>"9751295730"</f>
        <v>9751295730</v>
      </c>
      <c r="F6460" s="1">
        <v>45055</v>
      </c>
      <c r="G6460" t="str">
        <f>"91251"</f>
        <v>91251</v>
      </c>
      <c r="H6460">
        <v>1</v>
      </c>
      <c r="I6460">
        <v>1495</v>
      </c>
      <c r="J6460">
        <v>0</v>
      </c>
      <c r="K6460" t="str">
        <f t="shared" si="1179"/>
        <v>813</v>
      </c>
      <c r="L6460">
        <v>1255.8</v>
      </c>
    </row>
    <row r="6461" spans="1:12" x14ac:dyDescent="0.25">
      <c r="A6461" t="str">
        <f t="shared" si="1169"/>
        <v>89301000</v>
      </c>
      <c r="B6461" t="str">
        <f t="shared" si="1175"/>
        <v>02004000</v>
      </c>
      <c r="C6461" t="str">
        <f t="shared" si="1178"/>
        <v>02004556</v>
      </c>
      <c r="D6461">
        <v>89301102</v>
      </c>
      <c r="E6461" t="str">
        <f>"0658303239"</f>
        <v>0658303239</v>
      </c>
      <c r="F6461" s="1">
        <v>45048</v>
      </c>
      <c r="G6461" t="str">
        <f>"91249"</f>
        <v>91249</v>
      </c>
      <c r="H6461">
        <v>1</v>
      </c>
      <c r="I6461">
        <v>1495</v>
      </c>
      <c r="J6461">
        <v>0</v>
      </c>
      <c r="K6461" t="str">
        <f t="shared" si="1179"/>
        <v>813</v>
      </c>
      <c r="L6461">
        <v>1255.8</v>
      </c>
    </row>
    <row r="6462" spans="1:12" x14ac:dyDescent="0.25">
      <c r="A6462" t="str">
        <f t="shared" si="1169"/>
        <v>89301000</v>
      </c>
      <c r="B6462" t="str">
        <f t="shared" si="1175"/>
        <v>02004000</v>
      </c>
      <c r="C6462" t="str">
        <f t="shared" si="1178"/>
        <v>02004556</v>
      </c>
      <c r="D6462">
        <v>89301102</v>
      </c>
      <c r="E6462" t="str">
        <f>"0658303239"</f>
        <v>0658303239</v>
      </c>
      <c r="F6462" s="1">
        <v>45048</v>
      </c>
      <c r="G6462" t="str">
        <f>"91251"</f>
        <v>91251</v>
      </c>
      <c r="H6462">
        <v>1</v>
      </c>
      <c r="I6462">
        <v>1495</v>
      </c>
      <c r="J6462">
        <v>0</v>
      </c>
      <c r="K6462" t="str">
        <f t="shared" si="1179"/>
        <v>813</v>
      </c>
      <c r="L6462">
        <v>1255.8</v>
      </c>
    </row>
    <row r="6463" spans="1:12" x14ac:dyDescent="0.25">
      <c r="A6463" t="str">
        <f t="shared" si="1169"/>
        <v>89301000</v>
      </c>
      <c r="B6463" t="str">
        <f>"90001000"</f>
        <v>90001000</v>
      </c>
      <c r="C6463" t="str">
        <f>"90001525"</f>
        <v>90001525</v>
      </c>
      <c r="D6463">
        <v>89301132</v>
      </c>
      <c r="E6463" t="str">
        <f>"8255065445"</f>
        <v>8255065445</v>
      </c>
      <c r="F6463" s="1">
        <v>45048</v>
      </c>
      <c r="G6463" t="str">
        <f>"89615"</f>
        <v>89615</v>
      </c>
      <c r="H6463">
        <v>1</v>
      </c>
      <c r="I6463">
        <v>2199</v>
      </c>
      <c r="J6463">
        <v>0</v>
      </c>
      <c r="K6463" t="str">
        <f>"809"</f>
        <v>809</v>
      </c>
      <c r="L6463">
        <v>1429.35</v>
      </c>
    </row>
    <row r="6464" spans="1:12" x14ac:dyDescent="0.25">
      <c r="A6464" t="str">
        <f t="shared" si="1169"/>
        <v>89301000</v>
      </c>
      <c r="B6464" t="str">
        <f t="shared" ref="B6464:B6471" si="1180">"05002000"</f>
        <v>05002000</v>
      </c>
      <c r="C6464" t="str">
        <f>"05002141"</f>
        <v>05002141</v>
      </c>
      <c r="D6464">
        <v>89301282</v>
      </c>
      <c r="E6464" t="str">
        <f>"5905311192"</f>
        <v>5905311192</v>
      </c>
      <c r="F6464" s="1">
        <v>45064</v>
      </c>
      <c r="G6464" t="str">
        <f>"94221"</f>
        <v>94221</v>
      </c>
      <c r="H6464">
        <v>4</v>
      </c>
      <c r="I6464">
        <v>9868</v>
      </c>
      <c r="J6464">
        <v>0</v>
      </c>
      <c r="K6464" t="str">
        <f>"816"</f>
        <v>816</v>
      </c>
      <c r="L6464">
        <v>8881.2000000000007</v>
      </c>
    </row>
    <row r="6465" spans="1:12" x14ac:dyDescent="0.25">
      <c r="A6465" t="str">
        <f t="shared" si="1169"/>
        <v>89301000</v>
      </c>
      <c r="B6465" t="str">
        <f t="shared" si="1180"/>
        <v>05002000</v>
      </c>
      <c r="C6465" t="str">
        <f>"05002141"</f>
        <v>05002141</v>
      </c>
      <c r="D6465">
        <v>89301282</v>
      </c>
      <c r="E6465" t="str">
        <f>"8805305773"</f>
        <v>8805305773</v>
      </c>
      <c r="F6465" s="1">
        <v>45050</v>
      </c>
      <c r="G6465" t="str">
        <f>"94331"</f>
        <v>94331</v>
      </c>
      <c r="H6465">
        <v>1</v>
      </c>
      <c r="I6465">
        <v>7866</v>
      </c>
      <c r="J6465">
        <v>0</v>
      </c>
      <c r="K6465" t="str">
        <f>"816"</f>
        <v>816</v>
      </c>
      <c r="L6465">
        <v>7079.4</v>
      </c>
    </row>
    <row r="6466" spans="1:12" x14ac:dyDescent="0.25">
      <c r="A6466" t="str">
        <f t="shared" ref="A6466:A6529" si="1181">"89301000"</f>
        <v>89301000</v>
      </c>
      <c r="B6466" t="str">
        <f t="shared" si="1180"/>
        <v>05002000</v>
      </c>
      <c r="C6466" t="str">
        <f>"05002174"</f>
        <v>05002174</v>
      </c>
      <c r="D6466">
        <v>89301101</v>
      </c>
      <c r="E6466" t="str">
        <f>"2157022043"</f>
        <v>2157022043</v>
      </c>
      <c r="F6466" s="1">
        <v>45037</v>
      </c>
      <c r="G6466" t="str">
        <f>"82034"</f>
        <v>82034</v>
      </c>
      <c r="H6466">
        <v>1</v>
      </c>
      <c r="I6466">
        <v>354</v>
      </c>
      <c r="J6466">
        <v>0</v>
      </c>
      <c r="K6466" t="str">
        <f>"802"</f>
        <v>802</v>
      </c>
      <c r="L6466">
        <v>343.38</v>
      </c>
    </row>
    <row r="6467" spans="1:12" x14ac:dyDescent="0.25">
      <c r="A6467" t="str">
        <f t="shared" si="1181"/>
        <v>89301000</v>
      </c>
      <c r="B6467" t="str">
        <f t="shared" si="1180"/>
        <v>05002000</v>
      </c>
      <c r="C6467" t="str">
        <f>"05002174"</f>
        <v>05002174</v>
      </c>
      <c r="D6467">
        <v>89301101</v>
      </c>
      <c r="E6467" t="str">
        <f>"2157022043"</f>
        <v>2157022043</v>
      </c>
      <c r="F6467" s="1">
        <v>45037</v>
      </c>
      <c r="G6467" t="str">
        <f>"82041"</f>
        <v>82041</v>
      </c>
      <c r="H6467">
        <v>1</v>
      </c>
      <c r="I6467">
        <v>1096</v>
      </c>
      <c r="J6467">
        <v>0</v>
      </c>
      <c r="K6467" t="str">
        <f>"802"</f>
        <v>802</v>
      </c>
      <c r="L6467">
        <v>1063.1199999999999</v>
      </c>
    </row>
    <row r="6468" spans="1:12" x14ac:dyDescent="0.25">
      <c r="A6468" t="str">
        <f t="shared" si="1181"/>
        <v>89301000</v>
      </c>
      <c r="B6468" t="str">
        <f t="shared" si="1180"/>
        <v>05002000</v>
      </c>
      <c r="C6468" t="str">
        <f>"05002174"</f>
        <v>05002174</v>
      </c>
      <c r="D6468">
        <v>89301101</v>
      </c>
      <c r="E6468" t="str">
        <f>"2157022043"</f>
        <v>2157022043</v>
      </c>
      <c r="F6468" s="1">
        <v>45037</v>
      </c>
      <c r="G6468" t="str">
        <f>"82034"</f>
        <v>82034</v>
      </c>
      <c r="H6468">
        <v>1</v>
      </c>
      <c r="I6468">
        <v>354</v>
      </c>
      <c r="J6468">
        <v>0</v>
      </c>
      <c r="K6468" t="str">
        <f>"802"</f>
        <v>802</v>
      </c>
      <c r="L6468">
        <v>343.38</v>
      </c>
    </row>
    <row r="6469" spans="1:12" x14ac:dyDescent="0.25">
      <c r="A6469" t="str">
        <f t="shared" si="1181"/>
        <v>89301000</v>
      </c>
      <c r="B6469" t="str">
        <f t="shared" si="1180"/>
        <v>05002000</v>
      </c>
      <c r="C6469" t="str">
        <f>"05002174"</f>
        <v>05002174</v>
      </c>
      <c r="D6469">
        <v>89301101</v>
      </c>
      <c r="E6469" t="str">
        <f>"2157022043"</f>
        <v>2157022043</v>
      </c>
      <c r="F6469" s="1">
        <v>45037</v>
      </c>
      <c r="G6469" t="str">
        <f>"82041"</f>
        <v>82041</v>
      </c>
      <c r="H6469">
        <v>1</v>
      </c>
      <c r="I6469">
        <v>1096</v>
      </c>
      <c r="J6469">
        <v>0</v>
      </c>
      <c r="K6469" t="str">
        <f>"802"</f>
        <v>802</v>
      </c>
      <c r="L6469">
        <v>1063.1199999999999</v>
      </c>
    </row>
    <row r="6470" spans="1:12" x14ac:dyDescent="0.25">
      <c r="A6470" t="str">
        <f t="shared" si="1181"/>
        <v>89301000</v>
      </c>
      <c r="B6470" t="str">
        <f t="shared" si="1180"/>
        <v>05002000</v>
      </c>
      <c r="C6470" t="str">
        <f>"05002397"</f>
        <v>05002397</v>
      </c>
      <c r="D6470">
        <v>89301322</v>
      </c>
      <c r="E6470" t="str">
        <f>"6158040603"</f>
        <v>6158040603</v>
      </c>
      <c r="F6470" s="1">
        <v>45044</v>
      </c>
      <c r="G6470" t="str">
        <f>"94225"</f>
        <v>94225</v>
      </c>
      <c r="H6470">
        <v>1</v>
      </c>
      <c r="I6470">
        <v>1208</v>
      </c>
      <c r="J6470">
        <v>0</v>
      </c>
      <c r="K6470" t="str">
        <f>"818"</f>
        <v>818</v>
      </c>
      <c r="L6470">
        <v>1171.76</v>
      </c>
    </row>
    <row r="6471" spans="1:12" x14ac:dyDescent="0.25">
      <c r="A6471" t="str">
        <f t="shared" si="1181"/>
        <v>89301000</v>
      </c>
      <c r="B6471" t="str">
        <f t="shared" si="1180"/>
        <v>05002000</v>
      </c>
      <c r="C6471" t="str">
        <f>"05002397"</f>
        <v>05002397</v>
      </c>
      <c r="D6471">
        <v>89301322</v>
      </c>
      <c r="E6471" t="str">
        <f>"6158040603"</f>
        <v>6158040603</v>
      </c>
      <c r="F6471" s="1">
        <v>45044</v>
      </c>
      <c r="G6471" t="str">
        <f>"94337"</f>
        <v>94337</v>
      </c>
      <c r="H6471">
        <v>2</v>
      </c>
      <c r="I6471">
        <v>17998</v>
      </c>
      <c r="J6471">
        <v>0</v>
      </c>
      <c r="K6471" t="str">
        <f>"818"</f>
        <v>818</v>
      </c>
      <c r="L6471">
        <v>17458.060000000001</v>
      </c>
    </row>
    <row r="6472" spans="1:12" x14ac:dyDescent="0.25">
      <c r="A6472" t="str">
        <f t="shared" si="1181"/>
        <v>89301000</v>
      </c>
      <c r="B6472" t="str">
        <f t="shared" ref="B6472:B6503" si="1182">"89383000"</f>
        <v>89383000</v>
      </c>
      <c r="C6472" t="str">
        <f t="shared" ref="C6472:C6503" si="1183">"89383002"</f>
        <v>89383002</v>
      </c>
      <c r="D6472">
        <v>89301212</v>
      </c>
      <c r="E6472" t="str">
        <f>"7856075381"</f>
        <v>7856075381</v>
      </c>
      <c r="F6472" s="1">
        <v>45048</v>
      </c>
      <c r="G6472" t="str">
        <f>"89180"</f>
        <v>89180</v>
      </c>
      <c r="H6472">
        <v>2</v>
      </c>
      <c r="I6472">
        <v>762</v>
      </c>
      <c r="J6472">
        <v>0</v>
      </c>
      <c r="K6472" t="str">
        <f t="shared" ref="K6472:K6535" si="1184">"809"</f>
        <v>809</v>
      </c>
      <c r="L6472">
        <v>1120.1400000000001</v>
      </c>
    </row>
    <row r="6473" spans="1:12" x14ac:dyDescent="0.25">
      <c r="A6473" t="str">
        <f t="shared" si="1181"/>
        <v>89301000</v>
      </c>
      <c r="B6473" t="str">
        <f t="shared" si="1182"/>
        <v>89383000</v>
      </c>
      <c r="C6473" t="str">
        <f t="shared" si="1183"/>
        <v>89383002</v>
      </c>
      <c r="D6473">
        <v>89301212</v>
      </c>
      <c r="E6473" t="str">
        <f>"7856075381"</f>
        <v>7856075381</v>
      </c>
      <c r="F6473" s="1">
        <v>45048</v>
      </c>
      <c r="G6473" t="str">
        <f>"89512"</f>
        <v>89512</v>
      </c>
      <c r="H6473">
        <v>1</v>
      </c>
      <c r="I6473">
        <v>283</v>
      </c>
      <c r="J6473">
        <v>0</v>
      </c>
      <c r="K6473" t="str">
        <f t="shared" si="1184"/>
        <v>809</v>
      </c>
      <c r="L6473">
        <v>416.01</v>
      </c>
    </row>
    <row r="6474" spans="1:12" x14ac:dyDescent="0.25">
      <c r="A6474" t="str">
        <f t="shared" si="1181"/>
        <v>89301000</v>
      </c>
      <c r="B6474" t="str">
        <f t="shared" si="1182"/>
        <v>89383000</v>
      </c>
      <c r="C6474" t="str">
        <f t="shared" si="1183"/>
        <v>89383002</v>
      </c>
      <c r="D6474">
        <v>89301045</v>
      </c>
      <c r="E6474" t="str">
        <f>"5458113496"</f>
        <v>5458113496</v>
      </c>
      <c r="F6474" s="1">
        <v>45048</v>
      </c>
      <c r="G6474" t="str">
        <f>"89512"</f>
        <v>89512</v>
      </c>
      <c r="H6474">
        <v>1</v>
      </c>
      <c r="I6474">
        <v>283</v>
      </c>
      <c r="J6474">
        <v>0</v>
      </c>
      <c r="K6474" t="str">
        <f t="shared" si="1184"/>
        <v>809</v>
      </c>
      <c r="L6474">
        <v>416.01</v>
      </c>
    </row>
    <row r="6475" spans="1:12" x14ac:dyDescent="0.25">
      <c r="A6475" t="str">
        <f t="shared" si="1181"/>
        <v>89301000</v>
      </c>
      <c r="B6475" t="str">
        <f t="shared" si="1182"/>
        <v>89383000</v>
      </c>
      <c r="C6475" t="str">
        <f t="shared" si="1183"/>
        <v>89383002</v>
      </c>
      <c r="D6475">
        <v>89301045</v>
      </c>
      <c r="E6475" t="str">
        <f>"7957295687"</f>
        <v>7957295687</v>
      </c>
      <c r="F6475" s="1">
        <v>45048</v>
      </c>
      <c r="G6475" t="str">
        <f>"89512"</f>
        <v>89512</v>
      </c>
      <c r="H6475">
        <v>1</v>
      </c>
      <c r="I6475">
        <v>283</v>
      </c>
      <c r="J6475">
        <v>0</v>
      </c>
      <c r="K6475" t="str">
        <f t="shared" si="1184"/>
        <v>809</v>
      </c>
      <c r="L6475">
        <v>416.01</v>
      </c>
    </row>
    <row r="6476" spans="1:12" x14ac:dyDescent="0.25">
      <c r="A6476" t="str">
        <f t="shared" si="1181"/>
        <v>89301000</v>
      </c>
      <c r="B6476" t="str">
        <f t="shared" si="1182"/>
        <v>89383000</v>
      </c>
      <c r="C6476" t="str">
        <f t="shared" si="1183"/>
        <v>89383002</v>
      </c>
      <c r="D6476">
        <v>89301042</v>
      </c>
      <c r="E6476" t="str">
        <f>"7256244556"</f>
        <v>7256244556</v>
      </c>
      <c r="F6476" s="1">
        <v>45049</v>
      </c>
      <c r="G6476" t="str">
        <f>"89512"</f>
        <v>89512</v>
      </c>
      <c r="H6476">
        <v>1</v>
      </c>
      <c r="I6476">
        <v>283</v>
      </c>
      <c r="J6476">
        <v>0</v>
      </c>
      <c r="K6476" t="str">
        <f t="shared" si="1184"/>
        <v>809</v>
      </c>
      <c r="L6476">
        <v>416.01</v>
      </c>
    </row>
    <row r="6477" spans="1:12" x14ac:dyDescent="0.25">
      <c r="A6477" t="str">
        <f t="shared" si="1181"/>
        <v>89301000</v>
      </c>
      <c r="B6477" t="str">
        <f t="shared" si="1182"/>
        <v>89383000</v>
      </c>
      <c r="C6477" t="str">
        <f t="shared" si="1183"/>
        <v>89383002</v>
      </c>
      <c r="D6477">
        <v>89301045</v>
      </c>
      <c r="E6477" t="str">
        <f t="shared" ref="E6477:E6482" si="1185">"7558135310"</f>
        <v>7558135310</v>
      </c>
      <c r="F6477" s="1">
        <v>45049</v>
      </c>
      <c r="G6477" t="str">
        <f>"89813"</f>
        <v>89813</v>
      </c>
      <c r="H6477">
        <v>1</v>
      </c>
      <c r="I6477">
        <v>135</v>
      </c>
      <c r="J6477">
        <v>0</v>
      </c>
      <c r="K6477" t="str">
        <f t="shared" si="1184"/>
        <v>809</v>
      </c>
      <c r="L6477">
        <v>198.45</v>
      </c>
    </row>
    <row r="6478" spans="1:12" x14ac:dyDescent="0.25">
      <c r="A6478" t="str">
        <f t="shared" si="1181"/>
        <v>89301000</v>
      </c>
      <c r="B6478" t="str">
        <f t="shared" si="1182"/>
        <v>89383000</v>
      </c>
      <c r="C6478" t="str">
        <f t="shared" si="1183"/>
        <v>89383002</v>
      </c>
      <c r="D6478">
        <v>89301045</v>
      </c>
      <c r="E6478" t="str">
        <f t="shared" si="1185"/>
        <v>7558135310</v>
      </c>
      <c r="F6478" s="1">
        <v>45049</v>
      </c>
      <c r="G6478" t="str">
        <f>"89341"</f>
        <v>89341</v>
      </c>
      <c r="H6478">
        <v>1</v>
      </c>
      <c r="I6478">
        <v>5471</v>
      </c>
      <c r="J6478">
        <v>0</v>
      </c>
      <c r="K6478" t="str">
        <f t="shared" si="1184"/>
        <v>809</v>
      </c>
      <c r="L6478">
        <v>8042.37</v>
      </c>
    </row>
    <row r="6479" spans="1:12" x14ac:dyDescent="0.25">
      <c r="A6479" t="str">
        <f t="shared" si="1181"/>
        <v>89301000</v>
      </c>
      <c r="B6479" t="str">
        <f t="shared" si="1182"/>
        <v>89383000</v>
      </c>
      <c r="C6479" t="str">
        <f t="shared" si="1183"/>
        <v>89383002</v>
      </c>
      <c r="D6479">
        <v>89301045</v>
      </c>
      <c r="E6479" t="str">
        <f t="shared" si="1185"/>
        <v>7558135310</v>
      </c>
      <c r="F6479" s="1">
        <v>45049</v>
      </c>
      <c r="G6479" t="str">
        <f>"89180"</f>
        <v>89180</v>
      </c>
      <c r="H6479">
        <v>1</v>
      </c>
      <c r="I6479">
        <v>381</v>
      </c>
      <c r="J6479">
        <v>0</v>
      </c>
      <c r="K6479" t="str">
        <f t="shared" si="1184"/>
        <v>809</v>
      </c>
      <c r="L6479">
        <v>560.07000000000005</v>
      </c>
    </row>
    <row r="6480" spans="1:12" x14ac:dyDescent="0.25">
      <c r="A6480" t="str">
        <f t="shared" si="1181"/>
        <v>89301000</v>
      </c>
      <c r="B6480" t="str">
        <f t="shared" si="1182"/>
        <v>89383000</v>
      </c>
      <c r="C6480" t="str">
        <f t="shared" si="1183"/>
        <v>89383002</v>
      </c>
      <c r="D6480">
        <v>89301045</v>
      </c>
      <c r="E6480" t="str">
        <f t="shared" si="1185"/>
        <v>7558135310</v>
      </c>
      <c r="F6480" s="1">
        <v>45049</v>
      </c>
      <c r="G6480" t="str">
        <f>"0093109"</f>
        <v>0093109</v>
      </c>
      <c r="H6480">
        <v>0.1</v>
      </c>
      <c r="J6480">
        <v>27.1</v>
      </c>
      <c r="K6480" t="str">
        <f t="shared" si="1184"/>
        <v>809</v>
      </c>
      <c r="L6480">
        <v>27.1</v>
      </c>
    </row>
    <row r="6481" spans="1:12" x14ac:dyDescent="0.25">
      <c r="A6481" t="str">
        <f t="shared" si="1181"/>
        <v>89301000</v>
      </c>
      <c r="B6481" t="str">
        <f t="shared" si="1182"/>
        <v>89383000</v>
      </c>
      <c r="C6481" t="str">
        <f t="shared" si="1183"/>
        <v>89383002</v>
      </c>
      <c r="D6481">
        <v>89301045</v>
      </c>
      <c r="E6481" t="str">
        <f t="shared" si="1185"/>
        <v>7558135310</v>
      </c>
      <c r="F6481" s="1">
        <v>45049</v>
      </c>
      <c r="G6481" t="str">
        <f>"0006707"</f>
        <v>0006707</v>
      </c>
      <c r="H6481">
        <v>1</v>
      </c>
      <c r="J6481">
        <v>9783.27</v>
      </c>
      <c r="K6481" t="str">
        <f t="shared" si="1184"/>
        <v>809</v>
      </c>
      <c r="L6481">
        <v>9783.27</v>
      </c>
    </row>
    <row r="6482" spans="1:12" x14ac:dyDescent="0.25">
      <c r="A6482" t="str">
        <f t="shared" si="1181"/>
        <v>89301000</v>
      </c>
      <c r="B6482" t="str">
        <f t="shared" si="1182"/>
        <v>89383000</v>
      </c>
      <c r="C6482" t="str">
        <f t="shared" si="1183"/>
        <v>89383002</v>
      </c>
      <c r="D6482">
        <v>89301045</v>
      </c>
      <c r="E6482" t="str">
        <f t="shared" si="1185"/>
        <v>7558135310</v>
      </c>
      <c r="F6482" s="1">
        <v>45049</v>
      </c>
      <c r="G6482" t="str">
        <f>"0030303"</f>
        <v>0030303</v>
      </c>
      <c r="H6482">
        <v>1</v>
      </c>
      <c r="J6482">
        <v>3544</v>
      </c>
      <c r="K6482" t="str">
        <f t="shared" si="1184"/>
        <v>809</v>
      </c>
      <c r="L6482">
        <v>3544</v>
      </c>
    </row>
    <row r="6483" spans="1:12" x14ac:dyDescent="0.25">
      <c r="A6483" t="str">
        <f t="shared" si="1181"/>
        <v>89301000</v>
      </c>
      <c r="B6483" t="str">
        <f t="shared" si="1182"/>
        <v>89383000</v>
      </c>
      <c r="C6483" t="str">
        <f t="shared" si="1183"/>
        <v>89383002</v>
      </c>
      <c r="D6483">
        <v>89301212</v>
      </c>
      <c r="E6483" t="str">
        <f>"6062271435"</f>
        <v>6062271435</v>
      </c>
      <c r="F6483" s="1">
        <v>45049</v>
      </c>
      <c r="G6483" t="str">
        <f>"89512"</f>
        <v>89512</v>
      </c>
      <c r="H6483">
        <v>1</v>
      </c>
      <c r="I6483">
        <v>283</v>
      </c>
      <c r="J6483">
        <v>0</v>
      </c>
      <c r="K6483" t="str">
        <f t="shared" si="1184"/>
        <v>809</v>
      </c>
      <c r="L6483">
        <v>416.01</v>
      </c>
    </row>
    <row r="6484" spans="1:12" x14ac:dyDescent="0.25">
      <c r="A6484" t="str">
        <f t="shared" si="1181"/>
        <v>89301000</v>
      </c>
      <c r="B6484" t="str">
        <f t="shared" si="1182"/>
        <v>89383000</v>
      </c>
      <c r="C6484" t="str">
        <f t="shared" si="1183"/>
        <v>89383002</v>
      </c>
      <c r="D6484">
        <v>89301215</v>
      </c>
      <c r="E6484" t="str">
        <f>"5462163025"</f>
        <v>5462163025</v>
      </c>
      <c r="F6484" s="1">
        <v>45049</v>
      </c>
      <c r="G6484" t="str">
        <f>"89513"</f>
        <v>89513</v>
      </c>
      <c r="H6484">
        <v>1</v>
      </c>
      <c r="I6484">
        <v>378</v>
      </c>
      <c r="J6484">
        <v>0</v>
      </c>
      <c r="K6484" t="str">
        <f t="shared" si="1184"/>
        <v>809</v>
      </c>
      <c r="L6484">
        <v>555.66</v>
      </c>
    </row>
    <row r="6485" spans="1:12" x14ac:dyDescent="0.25">
      <c r="A6485" t="str">
        <f t="shared" si="1181"/>
        <v>89301000</v>
      </c>
      <c r="B6485" t="str">
        <f t="shared" si="1182"/>
        <v>89383000</v>
      </c>
      <c r="C6485" t="str">
        <f t="shared" si="1183"/>
        <v>89383002</v>
      </c>
      <c r="D6485">
        <v>89301215</v>
      </c>
      <c r="E6485" t="str">
        <f>"5462163025"</f>
        <v>5462163025</v>
      </c>
      <c r="F6485" s="1">
        <v>45049</v>
      </c>
      <c r="G6485" t="str">
        <f>"89514"</f>
        <v>89514</v>
      </c>
      <c r="H6485">
        <v>1</v>
      </c>
      <c r="I6485">
        <v>378</v>
      </c>
      <c r="J6485">
        <v>0</v>
      </c>
      <c r="K6485" t="str">
        <f t="shared" si="1184"/>
        <v>809</v>
      </c>
      <c r="L6485">
        <v>555.66</v>
      </c>
    </row>
    <row r="6486" spans="1:12" x14ac:dyDescent="0.25">
      <c r="A6486" t="str">
        <f t="shared" si="1181"/>
        <v>89301000</v>
      </c>
      <c r="B6486" t="str">
        <f t="shared" si="1182"/>
        <v>89383000</v>
      </c>
      <c r="C6486" t="str">
        <f t="shared" si="1183"/>
        <v>89383002</v>
      </c>
      <c r="D6486">
        <v>89301212</v>
      </c>
      <c r="E6486" t="str">
        <f>"5855021117"</f>
        <v>5855021117</v>
      </c>
      <c r="F6486" s="1">
        <v>45051</v>
      </c>
      <c r="G6486" t="str">
        <f>"89180"</f>
        <v>89180</v>
      </c>
      <c r="H6486">
        <v>2</v>
      </c>
      <c r="I6486">
        <v>762</v>
      </c>
      <c r="J6486">
        <v>0</v>
      </c>
      <c r="K6486" t="str">
        <f t="shared" si="1184"/>
        <v>809</v>
      </c>
      <c r="L6486">
        <v>1120.1400000000001</v>
      </c>
    </row>
    <row r="6487" spans="1:12" x14ac:dyDescent="0.25">
      <c r="A6487" t="str">
        <f t="shared" si="1181"/>
        <v>89301000</v>
      </c>
      <c r="B6487" t="str">
        <f t="shared" si="1182"/>
        <v>89383000</v>
      </c>
      <c r="C6487" t="str">
        <f t="shared" si="1183"/>
        <v>89383002</v>
      </c>
      <c r="D6487">
        <v>89301212</v>
      </c>
      <c r="E6487" t="str">
        <f>"5855021117"</f>
        <v>5855021117</v>
      </c>
      <c r="F6487" s="1">
        <v>45051</v>
      </c>
      <c r="G6487" t="str">
        <f>"89512"</f>
        <v>89512</v>
      </c>
      <c r="H6487">
        <v>1</v>
      </c>
      <c r="I6487">
        <v>283</v>
      </c>
      <c r="J6487">
        <v>0</v>
      </c>
      <c r="K6487" t="str">
        <f t="shared" si="1184"/>
        <v>809</v>
      </c>
      <c r="L6487">
        <v>416.01</v>
      </c>
    </row>
    <row r="6488" spans="1:12" x14ac:dyDescent="0.25">
      <c r="A6488" t="str">
        <f t="shared" si="1181"/>
        <v>89301000</v>
      </c>
      <c r="B6488" t="str">
        <f t="shared" si="1182"/>
        <v>89383000</v>
      </c>
      <c r="C6488" t="str">
        <f t="shared" si="1183"/>
        <v>89383002</v>
      </c>
      <c r="D6488">
        <v>89301212</v>
      </c>
      <c r="E6488" t="str">
        <f>"5855021117"</f>
        <v>5855021117</v>
      </c>
      <c r="F6488" s="1">
        <v>45051</v>
      </c>
      <c r="G6488" t="str">
        <f>"89513"</f>
        <v>89513</v>
      </c>
      <c r="H6488">
        <v>1</v>
      </c>
      <c r="I6488">
        <v>378</v>
      </c>
      <c r="J6488">
        <v>0</v>
      </c>
      <c r="K6488" t="str">
        <f t="shared" si="1184"/>
        <v>809</v>
      </c>
      <c r="L6488">
        <v>555.66</v>
      </c>
    </row>
    <row r="6489" spans="1:12" x14ac:dyDescent="0.25">
      <c r="A6489" t="str">
        <f t="shared" si="1181"/>
        <v>89301000</v>
      </c>
      <c r="B6489" t="str">
        <f t="shared" si="1182"/>
        <v>89383000</v>
      </c>
      <c r="C6489" t="str">
        <f t="shared" si="1183"/>
        <v>89383002</v>
      </c>
      <c r="D6489">
        <v>89301212</v>
      </c>
      <c r="E6489" t="str">
        <f>"5855021117"</f>
        <v>5855021117</v>
      </c>
      <c r="F6489" s="1">
        <v>45051</v>
      </c>
      <c r="G6489" t="str">
        <f>"89514"</f>
        <v>89514</v>
      </c>
      <c r="H6489">
        <v>1</v>
      </c>
      <c r="I6489">
        <v>378</v>
      </c>
      <c r="J6489">
        <v>0</v>
      </c>
      <c r="K6489" t="str">
        <f t="shared" si="1184"/>
        <v>809</v>
      </c>
      <c r="L6489">
        <v>555.66</v>
      </c>
    </row>
    <row r="6490" spans="1:12" x14ac:dyDescent="0.25">
      <c r="A6490" t="str">
        <f t="shared" si="1181"/>
        <v>89301000</v>
      </c>
      <c r="B6490" t="str">
        <f t="shared" si="1182"/>
        <v>89383000</v>
      </c>
      <c r="C6490" t="str">
        <f t="shared" si="1183"/>
        <v>89383002</v>
      </c>
      <c r="D6490">
        <v>89301212</v>
      </c>
      <c r="E6490" t="str">
        <f>"7651292264"</f>
        <v>7651292264</v>
      </c>
      <c r="F6490" s="1">
        <v>45051</v>
      </c>
      <c r="G6490" t="str">
        <f>"89180"</f>
        <v>89180</v>
      </c>
      <c r="H6490">
        <v>1</v>
      </c>
      <c r="I6490">
        <v>381</v>
      </c>
      <c r="J6490">
        <v>0</v>
      </c>
      <c r="K6490" t="str">
        <f t="shared" si="1184"/>
        <v>809</v>
      </c>
      <c r="L6490">
        <v>560.07000000000005</v>
      </c>
    </row>
    <row r="6491" spans="1:12" x14ac:dyDescent="0.25">
      <c r="A6491" t="str">
        <f t="shared" si="1181"/>
        <v>89301000</v>
      </c>
      <c r="B6491" t="str">
        <f t="shared" si="1182"/>
        <v>89383000</v>
      </c>
      <c r="C6491" t="str">
        <f t="shared" si="1183"/>
        <v>89383002</v>
      </c>
      <c r="D6491">
        <v>89301212</v>
      </c>
      <c r="E6491" t="str">
        <f>"7651292264"</f>
        <v>7651292264</v>
      </c>
      <c r="F6491" s="1">
        <v>45051</v>
      </c>
      <c r="G6491" t="str">
        <f>"89512"</f>
        <v>89512</v>
      </c>
      <c r="H6491">
        <v>1</v>
      </c>
      <c r="I6491">
        <v>283</v>
      </c>
      <c r="J6491">
        <v>0</v>
      </c>
      <c r="K6491" t="str">
        <f t="shared" si="1184"/>
        <v>809</v>
      </c>
      <c r="L6491">
        <v>416.01</v>
      </c>
    </row>
    <row r="6492" spans="1:12" x14ac:dyDescent="0.25">
      <c r="A6492" t="str">
        <f t="shared" si="1181"/>
        <v>89301000</v>
      </c>
      <c r="B6492" t="str">
        <f t="shared" si="1182"/>
        <v>89383000</v>
      </c>
      <c r="C6492" t="str">
        <f t="shared" si="1183"/>
        <v>89383002</v>
      </c>
      <c r="D6492">
        <v>89301212</v>
      </c>
      <c r="E6492" t="str">
        <f>"7651292264"</f>
        <v>7651292264</v>
      </c>
      <c r="F6492" s="1">
        <v>45051</v>
      </c>
      <c r="G6492" t="str">
        <f>"89513"</f>
        <v>89513</v>
      </c>
      <c r="H6492">
        <v>1</v>
      </c>
      <c r="I6492">
        <v>378</v>
      </c>
      <c r="J6492">
        <v>0</v>
      </c>
      <c r="K6492" t="str">
        <f t="shared" si="1184"/>
        <v>809</v>
      </c>
      <c r="L6492">
        <v>555.66</v>
      </c>
    </row>
    <row r="6493" spans="1:12" x14ac:dyDescent="0.25">
      <c r="A6493" t="str">
        <f t="shared" si="1181"/>
        <v>89301000</v>
      </c>
      <c r="B6493" t="str">
        <f t="shared" si="1182"/>
        <v>89383000</v>
      </c>
      <c r="C6493" t="str">
        <f t="shared" si="1183"/>
        <v>89383002</v>
      </c>
      <c r="D6493">
        <v>89301212</v>
      </c>
      <c r="E6493" t="str">
        <f>"7651292264"</f>
        <v>7651292264</v>
      </c>
      <c r="F6493" s="1">
        <v>45051</v>
      </c>
      <c r="G6493" t="str">
        <f>"89514"</f>
        <v>89514</v>
      </c>
      <c r="H6493">
        <v>1</v>
      </c>
      <c r="I6493">
        <v>378</v>
      </c>
      <c r="J6493">
        <v>0</v>
      </c>
      <c r="K6493" t="str">
        <f t="shared" si="1184"/>
        <v>809</v>
      </c>
      <c r="L6493">
        <v>555.66</v>
      </c>
    </row>
    <row r="6494" spans="1:12" x14ac:dyDescent="0.25">
      <c r="A6494" t="str">
        <f t="shared" si="1181"/>
        <v>89301000</v>
      </c>
      <c r="B6494" t="str">
        <f t="shared" si="1182"/>
        <v>89383000</v>
      </c>
      <c r="C6494" t="str">
        <f t="shared" si="1183"/>
        <v>89383002</v>
      </c>
      <c r="D6494">
        <v>89301212</v>
      </c>
      <c r="E6494" t="str">
        <f>"8659135771"</f>
        <v>8659135771</v>
      </c>
      <c r="F6494" s="1">
        <v>45051</v>
      </c>
      <c r="G6494" t="str">
        <f>"89512"</f>
        <v>89512</v>
      </c>
      <c r="H6494">
        <v>1</v>
      </c>
      <c r="I6494">
        <v>283</v>
      </c>
      <c r="J6494">
        <v>0</v>
      </c>
      <c r="K6494" t="str">
        <f t="shared" si="1184"/>
        <v>809</v>
      </c>
      <c r="L6494">
        <v>416.01</v>
      </c>
    </row>
    <row r="6495" spans="1:12" x14ac:dyDescent="0.25">
      <c r="A6495" t="str">
        <f t="shared" si="1181"/>
        <v>89301000</v>
      </c>
      <c r="B6495" t="str">
        <f t="shared" si="1182"/>
        <v>89383000</v>
      </c>
      <c r="C6495" t="str">
        <f t="shared" si="1183"/>
        <v>89383002</v>
      </c>
      <c r="D6495">
        <v>89301212</v>
      </c>
      <c r="E6495" t="str">
        <f>"7855023616"</f>
        <v>7855023616</v>
      </c>
      <c r="F6495" s="1">
        <v>45055</v>
      </c>
      <c r="G6495" t="str">
        <f>"89180"</f>
        <v>89180</v>
      </c>
      <c r="H6495">
        <v>1</v>
      </c>
      <c r="I6495">
        <v>381</v>
      </c>
      <c r="J6495">
        <v>0</v>
      </c>
      <c r="K6495" t="str">
        <f t="shared" si="1184"/>
        <v>809</v>
      </c>
      <c r="L6495">
        <v>560.07000000000005</v>
      </c>
    </row>
    <row r="6496" spans="1:12" x14ac:dyDescent="0.25">
      <c r="A6496" t="str">
        <f t="shared" si="1181"/>
        <v>89301000</v>
      </c>
      <c r="B6496" t="str">
        <f t="shared" si="1182"/>
        <v>89383000</v>
      </c>
      <c r="C6496" t="str">
        <f t="shared" si="1183"/>
        <v>89383002</v>
      </c>
      <c r="D6496">
        <v>89301212</v>
      </c>
      <c r="E6496" t="str">
        <f>"7855023616"</f>
        <v>7855023616</v>
      </c>
      <c r="F6496" s="1">
        <v>45055</v>
      </c>
      <c r="G6496" t="str">
        <f>"89512"</f>
        <v>89512</v>
      </c>
      <c r="H6496">
        <v>1</v>
      </c>
      <c r="I6496">
        <v>283</v>
      </c>
      <c r="J6496">
        <v>0</v>
      </c>
      <c r="K6496" t="str">
        <f t="shared" si="1184"/>
        <v>809</v>
      </c>
      <c r="L6496">
        <v>416.01</v>
      </c>
    </row>
    <row r="6497" spans="1:12" x14ac:dyDescent="0.25">
      <c r="A6497" t="str">
        <f t="shared" si="1181"/>
        <v>89301000</v>
      </c>
      <c r="B6497" t="str">
        <f t="shared" si="1182"/>
        <v>89383000</v>
      </c>
      <c r="C6497" t="str">
        <f t="shared" si="1183"/>
        <v>89383002</v>
      </c>
      <c r="D6497">
        <v>89301212</v>
      </c>
      <c r="E6497" t="str">
        <f>"6061190916"</f>
        <v>6061190916</v>
      </c>
      <c r="F6497" s="1">
        <v>45055</v>
      </c>
      <c r="G6497" t="str">
        <f>"89512"</f>
        <v>89512</v>
      </c>
      <c r="H6497">
        <v>1</v>
      </c>
      <c r="I6497">
        <v>283</v>
      </c>
      <c r="J6497">
        <v>0</v>
      </c>
      <c r="K6497" t="str">
        <f t="shared" si="1184"/>
        <v>809</v>
      </c>
      <c r="L6497">
        <v>416.01</v>
      </c>
    </row>
    <row r="6498" spans="1:12" x14ac:dyDescent="0.25">
      <c r="A6498" t="str">
        <f t="shared" si="1181"/>
        <v>89301000</v>
      </c>
      <c r="B6498" t="str">
        <f t="shared" si="1182"/>
        <v>89383000</v>
      </c>
      <c r="C6498" t="str">
        <f t="shared" si="1183"/>
        <v>89383002</v>
      </c>
      <c r="D6498">
        <v>89301212</v>
      </c>
      <c r="E6498" t="str">
        <f>"6061190916"</f>
        <v>6061190916</v>
      </c>
      <c r="F6498" s="1">
        <v>45055</v>
      </c>
      <c r="G6498" t="str">
        <f>"89513"</f>
        <v>89513</v>
      </c>
      <c r="H6498">
        <v>1</v>
      </c>
      <c r="I6498">
        <v>378</v>
      </c>
      <c r="J6498">
        <v>0</v>
      </c>
      <c r="K6498" t="str">
        <f t="shared" si="1184"/>
        <v>809</v>
      </c>
      <c r="L6498">
        <v>555.66</v>
      </c>
    </row>
    <row r="6499" spans="1:12" x14ac:dyDescent="0.25">
      <c r="A6499" t="str">
        <f t="shared" si="1181"/>
        <v>89301000</v>
      </c>
      <c r="B6499" t="str">
        <f t="shared" si="1182"/>
        <v>89383000</v>
      </c>
      <c r="C6499" t="str">
        <f t="shared" si="1183"/>
        <v>89383002</v>
      </c>
      <c r="D6499">
        <v>89301212</v>
      </c>
      <c r="E6499" t="str">
        <f>"6061190916"</f>
        <v>6061190916</v>
      </c>
      <c r="F6499" s="1">
        <v>45055</v>
      </c>
      <c r="G6499" t="str">
        <f>"89514"</f>
        <v>89514</v>
      </c>
      <c r="H6499">
        <v>1</v>
      </c>
      <c r="I6499">
        <v>378</v>
      </c>
      <c r="J6499">
        <v>0</v>
      </c>
      <c r="K6499" t="str">
        <f t="shared" si="1184"/>
        <v>809</v>
      </c>
      <c r="L6499">
        <v>555.66</v>
      </c>
    </row>
    <row r="6500" spans="1:12" x14ac:dyDescent="0.25">
      <c r="A6500" t="str">
        <f t="shared" si="1181"/>
        <v>89301000</v>
      </c>
      <c r="B6500" t="str">
        <f t="shared" si="1182"/>
        <v>89383000</v>
      </c>
      <c r="C6500" t="str">
        <f t="shared" si="1183"/>
        <v>89383002</v>
      </c>
      <c r="D6500">
        <v>89301045</v>
      </c>
      <c r="E6500" t="str">
        <f>"5756240281"</f>
        <v>5756240281</v>
      </c>
      <c r="F6500" s="1">
        <v>45056</v>
      </c>
      <c r="G6500" t="str">
        <f>"89180"</f>
        <v>89180</v>
      </c>
      <c r="H6500">
        <v>2</v>
      </c>
      <c r="I6500">
        <v>762</v>
      </c>
      <c r="J6500">
        <v>0</v>
      </c>
      <c r="K6500" t="str">
        <f t="shared" si="1184"/>
        <v>809</v>
      </c>
      <c r="L6500">
        <v>1120.1400000000001</v>
      </c>
    </row>
    <row r="6501" spans="1:12" x14ac:dyDescent="0.25">
      <c r="A6501" t="str">
        <f t="shared" si="1181"/>
        <v>89301000</v>
      </c>
      <c r="B6501" t="str">
        <f t="shared" si="1182"/>
        <v>89383000</v>
      </c>
      <c r="C6501" t="str">
        <f t="shared" si="1183"/>
        <v>89383002</v>
      </c>
      <c r="D6501">
        <v>89301045</v>
      </c>
      <c r="E6501" t="str">
        <f>"5756240281"</f>
        <v>5756240281</v>
      </c>
      <c r="F6501" s="1">
        <v>45056</v>
      </c>
      <c r="G6501" t="str">
        <f>"89512"</f>
        <v>89512</v>
      </c>
      <c r="H6501">
        <v>1</v>
      </c>
      <c r="I6501">
        <v>283</v>
      </c>
      <c r="J6501">
        <v>0</v>
      </c>
      <c r="K6501" t="str">
        <f t="shared" si="1184"/>
        <v>809</v>
      </c>
      <c r="L6501">
        <v>416.01</v>
      </c>
    </row>
    <row r="6502" spans="1:12" x14ac:dyDescent="0.25">
      <c r="A6502" t="str">
        <f t="shared" si="1181"/>
        <v>89301000</v>
      </c>
      <c r="B6502" t="str">
        <f t="shared" si="1182"/>
        <v>89383000</v>
      </c>
      <c r="C6502" t="str">
        <f t="shared" si="1183"/>
        <v>89383002</v>
      </c>
      <c r="D6502">
        <v>89301045</v>
      </c>
      <c r="E6502" t="str">
        <f t="shared" ref="E6502:E6508" si="1186">"6958285818"</f>
        <v>6958285818</v>
      </c>
      <c r="F6502" s="1">
        <v>45056</v>
      </c>
      <c r="G6502" t="str">
        <f>"89313"</f>
        <v>89313</v>
      </c>
      <c r="H6502">
        <v>1</v>
      </c>
      <c r="I6502">
        <v>420</v>
      </c>
      <c r="J6502">
        <v>0</v>
      </c>
      <c r="K6502" t="str">
        <f t="shared" si="1184"/>
        <v>809</v>
      </c>
      <c r="L6502">
        <v>617.4</v>
      </c>
    </row>
    <row r="6503" spans="1:12" x14ac:dyDescent="0.25">
      <c r="A6503" t="str">
        <f t="shared" si="1181"/>
        <v>89301000</v>
      </c>
      <c r="B6503" t="str">
        <f t="shared" si="1182"/>
        <v>89383000</v>
      </c>
      <c r="C6503" t="str">
        <f t="shared" si="1183"/>
        <v>89383002</v>
      </c>
      <c r="D6503">
        <v>89301045</v>
      </c>
      <c r="E6503" t="str">
        <f t="shared" si="1186"/>
        <v>6958285818</v>
      </c>
      <c r="F6503" s="1">
        <v>45056</v>
      </c>
      <c r="G6503" t="str">
        <f>"09233"</f>
        <v>09233</v>
      </c>
      <c r="H6503">
        <v>1</v>
      </c>
      <c r="I6503">
        <v>102</v>
      </c>
      <c r="J6503">
        <v>0</v>
      </c>
      <c r="K6503" t="str">
        <f t="shared" si="1184"/>
        <v>809</v>
      </c>
      <c r="L6503">
        <v>149.94</v>
      </c>
    </row>
    <row r="6504" spans="1:12" x14ac:dyDescent="0.25">
      <c r="A6504" t="str">
        <f t="shared" si="1181"/>
        <v>89301000</v>
      </c>
      <c r="B6504" t="str">
        <f t="shared" ref="B6504:B6535" si="1187">"89383000"</f>
        <v>89383000</v>
      </c>
      <c r="C6504" t="str">
        <f t="shared" ref="C6504:C6535" si="1188">"89383002"</f>
        <v>89383002</v>
      </c>
      <c r="D6504">
        <v>89301045</v>
      </c>
      <c r="E6504" t="str">
        <f t="shared" si="1186"/>
        <v>6958285818</v>
      </c>
      <c r="F6504" s="1">
        <v>45056</v>
      </c>
      <c r="G6504" t="str">
        <f>"89512"</f>
        <v>89512</v>
      </c>
      <c r="H6504">
        <v>1</v>
      </c>
      <c r="I6504">
        <v>283</v>
      </c>
      <c r="J6504">
        <v>0</v>
      </c>
      <c r="K6504" t="str">
        <f t="shared" si="1184"/>
        <v>809</v>
      </c>
      <c r="L6504">
        <v>416.01</v>
      </c>
    </row>
    <row r="6505" spans="1:12" x14ac:dyDescent="0.25">
      <c r="A6505" t="str">
        <f t="shared" si="1181"/>
        <v>89301000</v>
      </c>
      <c r="B6505" t="str">
        <f t="shared" si="1187"/>
        <v>89383000</v>
      </c>
      <c r="C6505" t="str">
        <f t="shared" si="1188"/>
        <v>89383002</v>
      </c>
      <c r="D6505">
        <v>89301045</v>
      </c>
      <c r="E6505" t="str">
        <f t="shared" si="1186"/>
        <v>6958285818</v>
      </c>
      <c r="F6505" s="1">
        <v>45056</v>
      </c>
      <c r="G6505" t="str">
        <f>"89180"</f>
        <v>89180</v>
      </c>
      <c r="H6505">
        <v>1</v>
      </c>
      <c r="I6505">
        <v>381</v>
      </c>
      <c r="J6505">
        <v>0</v>
      </c>
      <c r="K6505" t="str">
        <f t="shared" si="1184"/>
        <v>809</v>
      </c>
      <c r="L6505">
        <v>560.07000000000005</v>
      </c>
    </row>
    <row r="6506" spans="1:12" x14ac:dyDescent="0.25">
      <c r="A6506" t="str">
        <f t="shared" si="1181"/>
        <v>89301000</v>
      </c>
      <c r="B6506" t="str">
        <f t="shared" si="1187"/>
        <v>89383000</v>
      </c>
      <c r="C6506" t="str">
        <f t="shared" si="1188"/>
        <v>89383002</v>
      </c>
      <c r="D6506">
        <v>89301045</v>
      </c>
      <c r="E6506" t="str">
        <f t="shared" si="1186"/>
        <v>6958285818</v>
      </c>
      <c r="F6506" s="1">
        <v>45056</v>
      </c>
      <c r="G6506" t="str">
        <f>"09572"</f>
        <v>09572</v>
      </c>
      <c r="H6506">
        <v>1</v>
      </c>
      <c r="I6506">
        <v>0</v>
      </c>
      <c r="J6506">
        <v>0</v>
      </c>
      <c r="K6506" t="str">
        <f t="shared" si="1184"/>
        <v>809</v>
      </c>
      <c r="L6506">
        <v>0</v>
      </c>
    </row>
    <row r="6507" spans="1:12" x14ac:dyDescent="0.25">
      <c r="A6507" t="str">
        <f t="shared" si="1181"/>
        <v>89301000</v>
      </c>
      <c r="B6507" t="str">
        <f t="shared" si="1187"/>
        <v>89383000</v>
      </c>
      <c r="C6507" t="str">
        <f t="shared" si="1188"/>
        <v>89383002</v>
      </c>
      <c r="D6507">
        <v>89301045</v>
      </c>
      <c r="E6507" t="str">
        <f t="shared" si="1186"/>
        <v>6958285818</v>
      </c>
      <c r="F6507" s="1">
        <v>45056</v>
      </c>
      <c r="G6507" t="str">
        <f>"0093109"</f>
        <v>0093109</v>
      </c>
      <c r="H6507">
        <v>0.05</v>
      </c>
      <c r="J6507">
        <v>13.55</v>
      </c>
      <c r="K6507" t="str">
        <f t="shared" si="1184"/>
        <v>809</v>
      </c>
      <c r="L6507">
        <v>13.55</v>
      </c>
    </row>
    <row r="6508" spans="1:12" x14ac:dyDescent="0.25">
      <c r="A6508" t="str">
        <f t="shared" si="1181"/>
        <v>89301000</v>
      </c>
      <c r="B6508" t="str">
        <f t="shared" si="1187"/>
        <v>89383000</v>
      </c>
      <c r="C6508" t="str">
        <f t="shared" si="1188"/>
        <v>89383002</v>
      </c>
      <c r="D6508">
        <v>89301045</v>
      </c>
      <c r="E6508" t="str">
        <f t="shared" si="1186"/>
        <v>6958285818</v>
      </c>
      <c r="F6508" s="1">
        <v>45056</v>
      </c>
      <c r="G6508" t="str">
        <f>"0142906"</f>
        <v>0142906</v>
      </c>
      <c r="H6508">
        <v>2</v>
      </c>
      <c r="J6508">
        <v>13980</v>
      </c>
      <c r="K6508" t="str">
        <f t="shared" si="1184"/>
        <v>809</v>
      </c>
      <c r="L6508">
        <v>13980</v>
      </c>
    </row>
    <row r="6509" spans="1:12" x14ac:dyDescent="0.25">
      <c r="A6509" t="str">
        <f t="shared" si="1181"/>
        <v>89301000</v>
      </c>
      <c r="B6509" t="str">
        <f t="shared" si="1187"/>
        <v>89383000</v>
      </c>
      <c r="C6509" t="str">
        <f t="shared" si="1188"/>
        <v>89383002</v>
      </c>
      <c r="D6509">
        <v>89301212</v>
      </c>
      <c r="E6509" t="str">
        <f t="shared" ref="E6509:E6514" si="1189">"8659135771"</f>
        <v>8659135771</v>
      </c>
      <c r="F6509" s="1">
        <v>45056</v>
      </c>
      <c r="G6509" t="str">
        <f>"89313"</f>
        <v>89313</v>
      </c>
      <c r="H6509">
        <v>1</v>
      </c>
      <c r="I6509">
        <v>420</v>
      </c>
      <c r="J6509">
        <v>0</v>
      </c>
      <c r="K6509" t="str">
        <f t="shared" si="1184"/>
        <v>809</v>
      </c>
      <c r="L6509">
        <v>617.4</v>
      </c>
    </row>
    <row r="6510" spans="1:12" x14ac:dyDescent="0.25">
      <c r="A6510" t="str">
        <f t="shared" si="1181"/>
        <v>89301000</v>
      </c>
      <c r="B6510" t="str">
        <f t="shared" si="1187"/>
        <v>89383000</v>
      </c>
      <c r="C6510" t="str">
        <f t="shared" si="1188"/>
        <v>89383002</v>
      </c>
      <c r="D6510">
        <v>89301212</v>
      </c>
      <c r="E6510" t="str">
        <f t="shared" si="1189"/>
        <v>8659135771</v>
      </c>
      <c r="F6510" s="1">
        <v>45056</v>
      </c>
      <c r="G6510" t="str">
        <f>"09233"</f>
        <v>09233</v>
      </c>
      <c r="H6510">
        <v>1</v>
      </c>
      <c r="I6510">
        <v>102</v>
      </c>
      <c r="J6510">
        <v>0</v>
      </c>
      <c r="K6510" t="str">
        <f t="shared" si="1184"/>
        <v>809</v>
      </c>
      <c r="L6510">
        <v>149.94</v>
      </c>
    </row>
    <row r="6511" spans="1:12" x14ac:dyDescent="0.25">
      <c r="A6511" t="str">
        <f t="shared" si="1181"/>
        <v>89301000</v>
      </c>
      <c r="B6511" t="str">
        <f t="shared" si="1187"/>
        <v>89383000</v>
      </c>
      <c r="C6511" t="str">
        <f t="shared" si="1188"/>
        <v>89383002</v>
      </c>
      <c r="D6511">
        <v>89301212</v>
      </c>
      <c r="E6511" t="str">
        <f t="shared" si="1189"/>
        <v>8659135771</v>
      </c>
      <c r="F6511" s="1">
        <v>45056</v>
      </c>
      <c r="G6511" t="str">
        <f>"89515"</f>
        <v>89515</v>
      </c>
      <c r="H6511">
        <v>1</v>
      </c>
      <c r="I6511">
        <v>347</v>
      </c>
      <c r="J6511">
        <v>0</v>
      </c>
      <c r="K6511" t="str">
        <f t="shared" si="1184"/>
        <v>809</v>
      </c>
      <c r="L6511">
        <v>510.09</v>
      </c>
    </row>
    <row r="6512" spans="1:12" x14ac:dyDescent="0.25">
      <c r="A6512" t="str">
        <f t="shared" si="1181"/>
        <v>89301000</v>
      </c>
      <c r="B6512" t="str">
        <f t="shared" si="1187"/>
        <v>89383000</v>
      </c>
      <c r="C6512" t="str">
        <f t="shared" si="1188"/>
        <v>89383002</v>
      </c>
      <c r="D6512">
        <v>89301212</v>
      </c>
      <c r="E6512" t="str">
        <f t="shared" si="1189"/>
        <v>8659135771</v>
      </c>
      <c r="F6512" s="1">
        <v>45056</v>
      </c>
      <c r="G6512" t="str">
        <f>"89512"</f>
        <v>89512</v>
      </c>
      <c r="H6512">
        <v>1</v>
      </c>
      <c r="I6512">
        <v>283</v>
      </c>
      <c r="J6512">
        <v>0</v>
      </c>
      <c r="K6512" t="str">
        <f t="shared" si="1184"/>
        <v>809</v>
      </c>
      <c r="L6512">
        <v>416.01</v>
      </c>
    </row>
    <row r="6513" spans="1:12" x14ac:dyDescent="0.25">
      <c r="A6513" t="str">
        <f t="shared" si="1181"/>
        <v>89301000</v>
      </c>
      <c r="B6513" t="str">
        <f t="shared" si="1187"/>
        <v>89383000</v>
      </c>
      <c r="C6513" t="str">
        <f t="shared" si="1188"/>
        <v>89383002</v>
      </c>
      <c r="D6513">
        <v>89301212</v>
      </c>
      <c r="E6513" t="str">
        <f t="shared" si="1189"/>
        <v>8659135771</v>
      </c>
      <c r="F6513" s="1">
        <v>45056</v>
      </c>
      <c r="G6513" t="str">
        <f>"0093109"</f>
        <v>0093109</v>
      </c>
      <c r="H6513">
        <v>0.05</v>
      </c>
      <c r="J6513">
        <v>13.55</v>
      </c>
      <c r="K6513" t="str">
        <f t="shared" si="1184"/>
        <v>809</v>
      </c>
      <c r="L6513">
        <v>13.55</v>
      </c>
    </row>
    <row r="6514" spans="1:12" x14ac:dyDescent="0.25">
      <c r="A6514" t="str">
        <f t="shared" si="1181"/>
        <v>89301000</v>
      </c>
      <c r="B6514" t="str">
        <f t="shared" si="1187"/>
        <v>89383000</v>
      </c>
      <c r="C6514" t="str">
        <f t="shared" si="1188"/>
        <v>89383002</v>
      </c>
      <c r="D6514">
        <v>89301212</v>
      </c>
      <c r="E6514" t="str">
        <f t="shared" si="1189"/>
        <v>8659135771</v>
      </c>
      <c r="F6514" s="1">
        <v>45056</v>
      </c>
      <c r="G6514" t="str">
        <f>"0142908"</f>
        <v>0142908</v>
      </c>
      <c r="H6514">
        <v>1</v>
      </c>
      <c r="J6514">
        <v>910</v>
      </c>
      <c r="K6514" t="str">
        <f t="shared" si="1184"/>
        <v>809</v>
      </c>
      <c r="L6514">
        <v>910</v>
      </c>
    </row>
    <row r="6515" spans="1:12" x14ac:dyDescent="0.25">
      <c r="A6515" t="str">
        <f t="shared" si="1181"/>
        <v>89301000</v>
      </c>
      <c r="B6515" t="str">
        <f t="shared" si="1187"/>
        <v>89383000</v>
      </c>
      <c r="C6515" t="str">
        <f t="shared" si="1188"/>
        <v>89383002</v>
      </c>
      <c r="D6515">
        <v>89301212</v>
      </c>
      <c r="E6515" t="str">
        <f>"8152075349"</f>
        <v>8152075349</v>
      </c>
      <c r="F6515" s="1">
        <v>45057</v>
      </c>
      <c r="G6515" t="str">
        <f>"89180"</f>
        <v>89180</v>
      </c>
      <c r="H6515">
        <v>1</v>
      </c>
      <c r="I6515">
        <v>381</v>
      </c>
      <c r="J6515">
        <v>0</v>
      </c>
      <c r="K6515" t="str">
        <f t="shared" si="1184"/>
        <v>809</v>
      </c>
      <c r="L6515">
        <v>560.07000000000005</v>
      </c>
    </row>
    <row r="6516" spans="1:12" x14ac:dyDescent="0.25">
      <c r="A6516" t="str">
        <f t="shared" si="1181"/>
        <v>89301000</v>
      </c>
      <c r="B6516" t="str">
        <f t="shared" si="1187"/>
        <v>89383000</v>
      </c>
      <c r="C6516" t="str">
        <f t="shared" si="1188"/>
        <v>89383002</v>
      </c>
      <c r="D6516">
        <v>89301212</v>
      </c>
      <c r="E6516" t="str">
        <f>"8152075349"</f>
        <v>8152075349</v>
      </c>
      <c r="F6516" s="1">
        <v>45057</v>
      </c>
      <c r="G6516" t="str">
        <f>"89512"</f>
        <v>89512</v>
      </c>
      <c r="H6516">
        <v>1</v>
      </c>
      <c r="I6516">
        <v>283</v>
      </c>
      <c r="J6516">
        <v>0</v>
      </c>
      <c r="K6516" t="str">
        <f t="shared" si="1184"/>
        <v>809</v>
      </c>
      <c r="L6516">
        <v>416.01</v>
      </c>
    </row>
    <row r="6517" spans="1:12" x14ac:dyDescent="0.25">
      <c r="A6517" t="str">
        <f t="shared" si="1181"/>
        <v>89301000</v>
      </c>
      <c r="B6517" t="str">
        <f t="shared" si="1187"/>
        <v>89383000</v>
      </c>
      <c r="C6517" t="str">
        <f t="shared" si="1188"/>
        <v>89383002</v>
      </c>
      <c r="D6517">
        <v>89301212</v>
      </c>
      <c r="E6517" t="str">
        <f>"6558160466"</f>
        <v>6558160466</v>
      </c>
      <c r="F6517" s="1">
        <v>45058</v>
      </c>
      <c r="G6517" t="str">
        <f>"89513"</f>
        <v>89513</v>
      </c>
      <c r="H6517">
        <v>1</v>
      </c>
      <c r="I6517">
        <v>378</v>
      </c>
      <c r="J6517">
        <v>0</v>
      </c>
      <c r="K6517" t="str">
        <f t="shared" si="1184"/>
        <v>809</v>
      </c>
      <c r="L6517">
        <v>555.66</v>
      </c>
    </row>
    <row r="6518" spans="1:12" x14ac:dyDescent="0.25">
      <c r="A6518" t="str">
        <f t="shared" si="1181"/>
        <v>89301000</v>
      </c>
      <c r="B6518" t="str">
        <f t="shared" si="1187"/>
        <v>89383000</v>
      </c>
      <c r="C6518" t="str">
        <f t="shared" si="1188"/>
        <v>89383002</v>
      </c>
      <c r="D6518">
        <v>89301212</v>
      </c>
      <c r="E6518" t="str">
        <f>"6558160466"</f>
        <v>6558160466</v>
      </c>
      <c r="F6518" s="1">
        <v>45058</v>
      </c>
      <c r="G6518" t="str">
        <f>"89514"</f>
        <v>89514</v>
      </c>
      <c r="H6518">
        <v>1</v>
      </c>
      <c r="I6518">
        <v>378</v>
      </c>
      <c r="J6518">
        <v>0</v>
      </c>
      <c r="K6518" t="str">
        <f t="shared" si="1184"/>
        <v>809</v>
      </c>
      <c r="L6518">
        <v>555.66</v>
      </c>
    </row>
    <row r="6519" spans="1:12" x14ac:dyDescent="0.25">
      <c r="A6519" t="str">
        <f t="shared" si="1181"/>
        <v>89301000</v>
      </c>
      <c r="B6519" t="str">
        <f t="shared" si="1187"/>
        <v>89383000</v>
      </c>
      <c r="C6519" t="str">
        <f t="shared" si="1188"/>
        <v>89383002</v>
      </c>
      <c r="D6519">
        <v>89301212</v>
      </c>
      <c r="E6519" t="str">
        <f>"5457091508"</f>
        <v>5457091508</v>
      </c>
      <c r="F6519" s="1">
        <v>45058</v>
      </c>
      <c r="G6519" t="str">
        <f>"89513"</f>
        <v>89513</v>
      </c>
      <c r="H6519">
        <v>1</v>
      </c>
      <c r="I6519">
        <v>378</v>
      </c>
      <c r="J6519">
        <v>0</v>
      </c>
      <c r="K6519" t="str">
        <f t="shared" si="1184"/>
        <v>809</v>
      </c>
      <c r="L6519">
        <v>555.66</v>
      </c>
    </row>
    <row r="6520" spans="1:12" x14ac:dyDescent="0.25">
      <c r="A6520" t="str">
        <f t="shared" si="1181"/>
        <v>89301000</v>
      </c>
      <c r="B6520" t="str">
        <f t="shared" si="1187"/>
        <v>89383000</v>
      </c>
      <c r="C6520" t="str">
        <f t="shared" si="1188"/>
        <v>89383002</v>
      </c>
      <c r="D6520">
        <v>89301212</v>
      </c>
      <c r="E6520" t="str">
        <f>"5457091508"</f>
        <v>5457091508</v>
      </c>
      <c r="F6520" s="1">
        <v>45058</v>
      </c>
      <c r="G6520" t="str">
        <f>"89514"</f>
        <v>89514</v>
      </c>
      <c r="H6520">
        <v>1</v>
      </c>
      <c r="I6520">
        <v>378</v>
      </c>
      <c r="J6520">
        <v>0</v>
      </c>
      <c r="K6520" t="str">
        <f t="shared" si="1184"/>
        <v>809</v>
      </c>
      <c r="L6520">
        <v>555.66</v>
      </c>
    </row>
    <row r="6521" spans="1:12" x14ac:dyDescent="0.25">
      <c r="A6521" t="str">
        <f t="shared" si="1181"/>
        <v>89301000</v>
      </c>
      <c r="B6521" t="str">
        <f t="shared" si="1187"/>
        <v>89383000</v>
      </c>
      <c r="C6521" t="str">
        <f t="shared" si="1188"/>
        <v>89383002</v>
      </c>
      <c r="D6521">
        <v>89301212</v>
      </c>
      <c r="E6521" t="str">
        <f>"6759230071"</f>
        <v>6759230071</v>
      </c>
      <c r="F6521" s="1">
        <v>45061</v>
      </c>
      <c r="G6521" t="str">
        <f>"89513"</f>
        <v>89513</v>
      </c>
      <c r="H6521">
        <v>1</v>
      </c>
      <c r="I6521">
        <v>378</v>
      </c>
      <c r="J6521">
        <v>0</v>
      </c>
      <c r="K6521" t="str">
        <f t="shared" si="1184"/>
        <v>809</v>
      </c>
      <c r="L6521">
        <v>555.66</v>
      </c>
    </row>
    <row r="6522" spans="1:12" x14ac:dyDescent="0.25">
      <c r="A6522" t="str">
        <f t="shared" si="1181"/>
        <v>89301000</v>
      </c>
      <c r="B6522" t="str">
        <f t="shared" si="1187"/>
        <v>89383000</v>
      </c>
      <c r="C6522" t="str">
        <f t="shared" si="1188"/>
        <v>89383002</v>
      </c>
      <c r="D6522">
        <v>89301212</v>
      </c>
      <c r="E6522" t="str">
        <f>"6759230071"</f>
        <v>6759230071</v>
      </c>
      <c r="F6522" s="1">
        <v>45061</v>
      </c>
      <c r="G6522" t="str">
        <f>"89514"</f>
        <v>89514</v>
      </c>
      <c r="H6522">
        <v>1</v>
      </c>
      <c r="I6522">
        <v>378</v>
      </c>
      <c r="J6522">
        <v>0</v>
      </c>
      <c r="K6522" t="str">
        <f t="shared" si="1184"/>
        <v>809</v>
      </c>
      <c r="L6522">
        <v>555.66</v>
      </c>
    </row>
    <row r="6523" spans="1:12" x14ac:dyDescent="0.25">
      <c r="A6523" t="str">
        <f t="shared" si="1181"/>
        <v>89301000</v>
      </c>
      <c r="B6523" t="str">
        <f t="shared" si="1187"/>
        <v>89383000</v>
      </c>
      <c r="C6523" t="str">
        <f t="shared" si="1188"/>
        <v>89383002</v>
      </c>
      <c r="D6523">
        <v>89301212</v>
      </c>
      <c r="E6523" t="str">
        <f>"5959051912"</f>
        <v>5959051912</v>
      </c>
      <c r="F6523" s="1">
        <v>45061</v>
      </c>
      <c r="G6523" t="str">
        <f>"89513"</f>
        <v>89513</v>
      </c>
      <c r="H6523">
        <v>1</v>
      </c>
      <c r="I6523">
        <v>378</v>
      </c>
      <c r="J6523">
        <v>0</v>
      </c>
      <c r="K6523" t="str">
        <f t="shared" si="1184"/>
        <v>809</v>
      </c>
      <c r="L6523">
        <v>555.66</v>
      </c>
    </row>
    <row r="6524" spans="1:12" x14ac:dyDescent="0.25">
      <c r="A6524" t="str">
        <f t="shared" si="1181"/>
        <v>89301000</v>
      </c>
      <c r="B6524" t="str">
        <f t="shared" si="1187"/>
        <v>89383000</v>
      </c>
      <c r="C6524" t="str">
        <f t="shared" si="1188"/>
        <v>89383002</v>
      </c>
      <c r="D6524">
        <v>89301212</v>
      </c>
      <c r="E6524" t="str">
        <f>"5959051912"</f>
        <v>5959051912</v>
      </c>
      <c r="F6524" s="1">
        <v>45061</v>
      </c>
      <c r="G6524" t="str">
        <f>"89514"</f>
        <v>89514</v>
      </c>
      <c r="H6524">
        <v>1</v>
      </c>
      <c r="I6524">
        <v>378</v>
      </c>
      <c r="J6524">
        <v>0</v>
      </c>
      <c r="K6524" t="str">
        <f t="shared" si="1184"/>
        <v>809</v>
      </c>
      <c r="L6524">
        <v>555.66</v>
      </c>
    </row>
    <row r="6525" spans="1:12" x14ac:dyDescent="0.25">
      <c r="A6525" t="str">
        <f t="shared" si="1181"/>
        <v>89301000</v>
      </c>
      <c r="B6525" t="str">
        <f t="shared" si="1187"/>
        <v>89383000</v>
      </c>
      <c r="C6525" t="str">
        <f t="shared" si="1188"/>
        <v>89383002</v>
      </c>
      <c r="D6525">
        <v>89301045</v>
      </c>
      <c r="E6525" t="str">
        <f>"5855050366"</f>
        <v>5855050366</v>
      </c>
      <c r="F6525" s="1">
        <v>45061</v>
      </c>
      <c r="G6525" t="str">
        <f>"89513"</f>
        <v>89513</v>
      </c>
      <c r="H6525">
        <v>1</v>
      </c>
      <c r="I6525">
        <v>378</v>
      </c>
      <c r="J6525">
        <v>0</v>
      </c>
      <c r="K6525" t="str">
        <f t="shared" si="1184"/>
        <v>809</v>
      </c>
      <c r="L6525">
        <v>555.66</v>
      </c>
    </row>
    <row r="6526" spans="1:12" x14ac:dyDescent="0.25">
      <c r="A6526" t="str">
        <f t="shared" si="1181"/>
        <v>89301000</v>
      </c>
      <c r="B6526" t="str">
        <f t="shared" si="1187"/>
        <v>89383000</v>
      </c>
      <c r="C6526" t="str">
        <f t="shared" si="1188"/>
        <v>89383002</v>
      </c>
      <c r="D6526">
        <v>89301045</v>
      </c>
      <c r="E6526" t="str">
        <f>"5855050366"</f>
        <v>5855050366</v>
      </c>
      <c r="F6526" s="1">
        <v>45061</v>
      </c>
      <c r="G6526" t="str">
        <f>"89514"</f>
        <v>89514</v>
      </c>
      <c r="H6526">
        <v>1</v>
      </c>
      <c r="I6526">
        <v>378</v>
      </c>
      <c r="J6526">
        <v>0</v>
      </c>
      <c r="K6526" t="str">
        <f t="shared" si="1184"/>
        <v>809</v>
      </c>
      <c r="L6526">
        <v>555.66</v>
      </c>
    </row>
    <row r="6527" spans="1:12" x14ac:dyDescent="0.25">
      <c r="A6527" t="str">
        <f t="shared" si="1181"/>
        <v>89301000</v>
      </c>
      <c r="B6527" t="str">
        <f t="shared" si="1187"/>
        <v>89383000</v>
      </c>
      <c r="C6527" t="str">
        <f t="shared" si="1188"/>
        <v>89383002</v>
      </c>
      <c r="D6527">
        <v>89301045</v>
      </c>
      <c r="E6527" t="str">
        <f>"5855050366"</f>
        <v>5855050366</v>
      </c>
      <c r="F6527" s="1">
        <v>45061</v>
      </c>
      <c r="G6527" t="str">
        <f>"89813"</f>
        <v>89813</v>
      </c>
      <c r="H6527">
        <v>1</v>
      </c>
      <c r="I6527">
        <v>135</v>
      </c>
      <c r="J6527">
        <v>0</v>
      </c>
      <c r="K6527" t="str">
        <f t="shared" si="1184"/>
        <v>809</v>
      </c>
      <c r="L6527">
        <v>198.45</v>
      </c>
    </row>
    <row r="6528" spans="1:12" x14ac:dyDescent="0.25">
      <c r="A6528" t="str">
        <f t="shared" si="1181"/>
        <v>89301000</v>
      </c>
      <c r="B6528" t="str">
        <f t="shared" si="1187"/>
        <v>89383000</v>
      </c>
      <c r="C6528" t="str">
        <f t="shared" si="1188"/>
        <v>89383002</v>
      </c>
      <c r="D6528">
        <v>89301212</v>
      </c>
      <c r="E6528" t="str">
        <f>"7455255324"</f>
        <v>7455255324</v>
      </c>
      <c r="F6528" s="1">
        <v>45062</v>
      </c>
      <c r="G6528" t="str">
        <f>"89180"</f>
        <v>89180</v>
      </c>
      <c r="H6528">
        <v>2</v>
      </c>
      <c r="I6528">
        <v>762</v>
      </c>
      <c r="J6528">
        <v>0</v>
      </c>
      <c r="K6528" t="str">
        <f t="shared" si="1184"/>
        <v>809</v>
      </c>
      <c r="L6528">
        <v>1120.1400000000001</v>
      </c>
    </row>
    <row r="6529" spans="1:12" x14ac:dyDescent="0.25">
      <c r="A6529" t="str">
        <f t="shared" si="1181"/>
        <v>89301000</v>
      </c>
      <c r="B6529" t="str">
        <f t="shared" si="1187"/>
        <v>89383000</v>
      </c>
      <c r="C6529" t="str">
        <f t="shared" si="1188"/>
        <v>89383002</v>
      </c>
      <c r="D6529">
        <v>89301212</v>
      </c>
      <c r="E6529" t="str">
        <f>"7455255324"</f>
        <v>7455255324</v>
      </c>
      <c r="F6529" s="1">
        <v>45062</v>
      </c>
      <c r="G6529" t="str">
        <f>"89512"</f>
        <v>89512</v>
      </c>
      <c r="H6529">
        <v>1</v>
      </c>
      <c r="I6529">
        <v>283</v>
      </c>
      <c r="J6529">
        <v>0</v>
      </c>
      <c r="K6529" t="str">
        <f t="shared" si="1184"/>
        <v>809</v>
      </c>
      <c r="L6529">
        <v>416.01</v>
      </c>
    </row>
    <row r="6530" spans="1:12" x14ac:dyDescent="0.25">
      <c r="A6530" t="str">
        <f t="shared" ref="A6530:A6593" si="1190">"89301000"</f>
        <v>89301000</v>
      </c>
      <c r="B6530" t="str">
        <f t="shared" si="1187"/>
        <v>89383000</v>
      </c>
      <c r="C6530" t="str">
        <f t="shared" si="1188"/>
        <v>89383002</v>
      </c>
      <c r="D6530">
        <v>89301212</v>
      </c>
      <c r="E6530" t="str">
        <f>"7455255324"</f>
        <v>7455255324</v>
      </c>
      <c r="F6530" s="1">
        <v>45062</v>
      </c>
      <c r="G6530" t="str">
        <f>"89513"</f>
        <v>89513</v>
      </c>
      <c r="H6530">
        <v>1</v>
      </c>
      <c r="I6530">
        <v>378</v>
      </c>
      <c r="J6530">
        <v>0</v>
      </c>
      <c r="K6530" t="str">
        <f t="shared" si="1184"/>
        <v>809</v>
      </c>
      <c r="L6530">
        <v>555.66</v>
      </c>
    </row>
    <row r="6531" spans="1:12" x14ac:dyDescent="0.25">
      <c r="A6531" t="str">
        <f t="shared" si="1190"/>
        <v>89301000</v>
      </c>
      <c r="B6531" t="str">
        <f t="shared" si="1187"/>
        <v>89383000</v>
      </c>
      <c r="C6531" t="str">
        <f t="shared" si="1188"/>
        <v>89383002</v>
      </c>
      <c r="D6531">
        <v>89301212</v>
      </c>
      <c r="E6531" t="str">
        <f>"7455255324"</f>
        <v>7455255324</v>
      </c>
      <c r="F6531" s="1">
        <v>45062</v>
      </c>
      <c r="G6531" t="str">
        <f>"89514"</f>
        <v>89514</v>
      </c>
      <c r="H6531">
        <v>1</v>
      </c>
      <c r="I6531">
        <v>378</v>
      </c>
      <c r="J6531">
        <v>0</v>
      </c>
      <c r="K6531" t="str">
        <f t="shared" si="1184"/>
        <v>809</v>
      </c>
      <c r="L6531">
        <v>555.66</v>
      </c>
    </row>
    <row r="6532" spans="1:12" x14ac:dyDescent="0.25">
      <c r="A6532" t="str">
        <f t="shared" si="1190"/>
        <v>89301000</v>
      </c>
      <c r="B6532" t="str">
        <f t="shared" si="1187"/>
        <v>89383000</v>
      </c>
      <c r="C6532" t="str">
        <f t="shared" si="1188"/>
        <v>89383002</v>
      </c>
      <c r="D6532">
        <v>89301045</v>
      </c>
      <c r="E6532" t="str">
        <f>"7256244556"</f>
        <v>7256244556</v>
      </c>
      <c r="F6532" s="1">
        <v>45062</v>
      </c>
      <c r="G6532" t="str">
        <f>"89512"</f>
        <v>89512</v>
      </c>
      <c r="H6532">
        <v>1</v>
      </c>
      <c r="I6532">
        <v>283</v>
      </c>
      <c r="J6532">
        <v>0</v>
      </c>
      <c r="K6532" t="str">
        <f t="shared" si="1184"/>
        <v>809</v>
      </c>
      <c r="L6532">
        <v>416.01</v>
      </c>
    </row>
    <row r="6533" spans="1:12" x14ac:dyDescent="0.25">
      <c r="A6533" t="str">
        <f t="shared" si="1190"/>
        <v>89301000</v>
      </c>
      <c r="B6533" t="str">
        <f t="shared" si="1187"/>
        <v>89383000</v>
      </c>
      <c r="C6533" t="str">
        <f t="shared" si="1188"/>
        <v>89383002</v>
      </c>
      <c r="D6533">
        <v>89301212</v>
      </c>
      <c r="E6533" t="str">
        <f>"515404032"</f>
        <v>515404032</v>
      </c>
      <c r="F6533" s="1">
        <v>45062</v>
      </c>
      <c r="G6533" t="str">
        <f>"89512"</f>
        <v>89512</v>
      </c>
      <c r="H6533">
        <v>1</v>
      </c>
      <c r="I6533">
        <v>283</v>
      </c>
      <c r="J6533">
        <v>0</v>
      </c>
      <c r="K6533" t="str">
        <f t="shared" si="1184"/>
        <v>809</v>
      </c>
      <c r="L6533">
        <v>416.01</v>
      </c>
    </row>
    <row r="6534" spans="1:12" x14ac:dyDescent="0.25">
      <c r="A6534" t="str">
        <f t="shared" si="1190"/>
        <v>89301000</v>
      </c>
      <c r="B6534" t="str">
        <f t="shared" si="1187"/>
        <v>89383000</v>
      </c>
      <c r="C6534" t="str">
        <f t="shared" si="1188"/>
        <v>89383002</v>
      </c>
      <c r="D6534">
        <v>89301039</v>
      </c>
      <c r="E6534" t="str">
        <f>"7456265355"</f>
        <v>7456265355</v>
      </c>
      <c r="F6534" s="1">
        <v>45062</v>
      </c>
      <c r="G6534" t="str">
        <f>"09137"</f>
        <v>09137</v>
      </c>
      <c r="H6534">
        <v>1</v>
      </c>
      <c r="I6534">
        <v>238</v>
      </c>
      <c r="J6534">
        <v>0</v>
      </c>
      <c r="K6534" t="str">
        <f t="shared" si="1184"/>
        <v>809</v>
      </c>
      <c r="L6534">
        <v>349.86</v>
      </c>
    </row>
    <row r="6535" spans="1:12" x14ac:dyDescent="0.25">
      <c r="A6535" t="str">
        <f t="shared" si="1190"/>
        <v>89301000</v>
      </c>
      <c r="B6535" t="str">
        <f t="shared" si="1187"/>
        <v>89383000</v>
      </c>
      <c r="C6535" t="str">
        <f t="shared" si="1188"/>
        <v>89383002</v>
      </c>
      <c r="D6535">
        <v>89301212</v>
      </c>
      <c r="E6535" t="str">
        <f>"515404032"</f>
        <v>515404032</v>
      </c>
      <c r="F6535" s="1">
        <v>45063</v>
      </c>
      <c r="G6535" t="str">
        <f>"89311"</f>
        <v>89311</v>
      </c>
      <c r="H6535">
        <v>1</v>
      </c>
      <c r="I6535">
        <v>970</v>
      </c>
      <c r="J6535">
        <v>0</v>
      </c>
      <c r="K6535" t="str">
        <f t="shared" si="1184"/>
        <v>809</v>
      </c>
      <c r="L6535">
        <v>1425.9</v>
      </c>
    </row>
    <row r="6536" spans="1:12" x14ac:dyDescent="0.25">
      <c r="A6536" t="str">
        <f t="shared" si="1190"/>
        <v>89301000</v>
      </c>
      <c r="B6536" t="str">
        <f t="shared" ref="B6536:B6567" si="1191">"89383000"</f>
        <v>89383000</v>
      </c>
      <c r="C6536" t="str">
        <f t="shared" ref="C6536:C6567" si="1192">"89383002"</f>
        <v>89383002</v>
      </c>
      <c r="D6536">
        <v>89301212</v>
      </c>
      <c r="E6536" t="str">
        <f>"515404032"</f>
        <v>515404032</v>
      </c>
      <c r="F6536" s="1">
        <v>45063</v>
      </c>
      <c r="G6536" t="str">
        <f>"89512"</f>
        <v>89512</v>
      </c>
      <c r="H6536">
        <v>1</v>
      </c>
      <c r="I6536">
        <v>283</v>
      </c>
      <c r="J6536">
        <v>0</v>
      </c>
      <c r="K6536" t="str">
        <f t="shared" ref="K6536:K6599" si="1193">"809"</f>
        <v>809</v>
      </c>
      <c r="L6536">
        <v>416.01</v>
      </c>
    </row>
    <row r="6537" spans="1:12" x14ac:dyDescent="0.25">
      <c r="A6537" t="str">
        <f t="shared" si="1190"/>
        <v>89301000</v>
      </c>
      <c r="B6537" t="str">
        <f t="shared" si="1191"/>
        <v>89383000</v>
      </c>
      <c r="C6537" t="str">
        <f t="shared" si="1192"/>
        <v>89383002</v>
      </c>
      <c r="D6537">
        <v>89301212</v>
      </c>
      <c r="E6537" t="str">
        <f>"465305401"</f>
        <v>465305401</v>
      </c>
      <c r="F6537" s="1">
        <v>45064</v>
      </c>
      <c r="G6537" t="str">
        <f>"89180"</f>
        <v>89180</v>
      </c>
      <c r="H6537">
        <v>2</v>
      </c>
      <c r="I6537">
        <v>762</v>
      </c>
      <c r="J6537">
        <v>0</v>
      </c>
      <c r="K6537" t="str">
        <f t="shared" si="1193"/>
        <v>809</v>
      </c>
      <c r="L6537">
        <v>1120.1400000000001</v>
      </c>
    </row>
    <row r="6538" spans="1:12" x14ac:dyDescent="0.25">
      <c r="A6538" t="str">
        <f t="shared" si="1190"/>
        <v>89301000</v>
      </c>
      <c r="B6538" t="str">
        <f t="shared" si="1191"/>
        <v>89383000</v>
      </c>
      <c r="C6538" t="str">
        <f t="shared" si="1192"/>
        <v>89383002</v>
      </c>
      <c r="D6538">
        <v>89301212</v>
      </c>
      <c r="E6538" t="str">
        <f>"465305401"</f>
        <v>465305401</v>
      </c>
      <c r="F6538" s="1">
        <v>45064</v>
      </c>
      <c r="G6538" t="str">
        <f>"89512"</f>
        <v>89512</v>
      </c>
      <c r="H6538">
        <v>1</v>
      </c>
      <c r="I6538">
        <v>283</v>
      </c>
      <c r="J6538">
        <v>0</v>
      </c>
      <c r="K6538" t="str">
        <f t="shared" si="1193"/>
        <v>809</v>
      </c>
      <c r="L6538">
        <v>416.01</v>
      </c>
    </row>
    <row r="6539" spans="1:12" x14ac:dyDescent="0.25">
      <c r="A6539" t="str">
        <f t="shared" si="1190"/>
        <v>89301000</v>
      </c>
      <c r="B6539" t="str">
        <f t="shared" si="1191"/>
        <v>89383000</v>
      </c>
      <c r="C6539" t="str">
        <f t="shared" si="1192"/>
        <v>89383002</v>
      </c>
      <c r="D6539">
        <v>89301212</v>
      </c>
      <c r="E6539" t="str">
        <f>"7352144668"</f>
        <v>7352144668</v>
      </c>
      <c r="F6539" s="1">
        <v>45068</v>
      </c>
      <c r="G6539" t="str">
        <f>"89180"</f>
        <v>89180</v>
      </c>
      <c r="H6539">
        <v>2</v>
      </c>
      <c r="I6539">
        <v>762</v>
      </c>
      <c r="J6539">
        <v>0</v>
      </c>
      <c r="K6539" t="str">
        <f t="shared" si="1193"/>
        <v>809</v>
      </c>
      <c r="L6539">
        <v>1120.1400000000001</v>
      </c>
    </row>
    <row r="6540" spans="1:12" x14ac:dyDescent="0.25">
      <c r="A6540" t="str">
        <f t="shared" si="1190"/>
        <v>89301000</v>
      </c>
      <c r="B6540" t="str">
        <f t="shared" si="1191"/>
        <v>89383000</v>
      </c>
      <c r="C6540" t="str">
        <f t="shared" si="1192"/>
        <v>89383002</v>
      </c>
      <c r="D6540">
        <v>89301212</v>
      </c>
      <c r="E6540" t="str">
        <f>"7352144668"</f>
        <v>7352144668</v>
      </c>
      <c r="F6540" s="1">
        <v>45068</v>
      </c>
      <c r="G6540" t="str">
        <f>"89512"</f>
        <v>89512</v>
      </c>
      <c r="H6540">
        <v>1</v>
      </c>
      <c r="I6540">
        <v>283</v>
      </c>
      <c r="J6540">
        <v>0</v>
      </c>
      <c r="K6540" t="str">
        <f t="shared" si="1193"/>
        <v>809</v>
      </c>
      <c r="L6540">
        <v>416.01</v>
      </c>
    </row>
    <row r="6541" spans="1:12" x14ac:dyDescent="0.25">
      <c r="A6541" t="str">
        <f t="shared" si="1190"/>
        <v>89301000</v>
      </c>
      <c r="B6541" t="str">
        <f t="shared" si="1191"/>
        <v>89383000</v>
      </c>
      <c r="C6541" t="str">
        <f t="shared" si="1192"/>
        <v>89383002</v>
      </c>
      <c r="D6541">
        <v>89301212</v>
      </c>
      <c r="E6541" t="str">
        <f>"7352144668"</f>
        <v>7352144668</v>
      </c>
      <c r="F6541" s="1">
        <v>45068</v>
      </c>
      <c r="G6541" t="str">
        <f>"89513"</f>
        <v>89513</v>
      </c>
      <c r="H6541">
        <v>1</v>
      </c>
      <c r="I6541">
        <v>378</v>
      </c>
      <c r="J6541">
        <v>0</v>
      </c>
      <c r="K6541" t="str">
        <f t="shared" si="1193"/>
        <v>809</v>
      </c>
      <c r="L6541">
        <v>555.66</v>
      </c>
    </row>
    <row r="6542" spans="1:12" x14ac:dyDescent="0.25">
      <c r="A6542" t="str">
        <f t="shared" si="1190"/>
        <v>89301000</v>
      </c>
      <c r="B6542" t="str">
        <f t="shared" si="1191"/>
        <v>89383000</v>
      </c>
      <c r="C6542" t="str">
        <f t="shared" si="1192"/>
        <v>89383002</v>
      </c>
      <c r="D6542">
        <v>89301212</v>
      </c>
      <c r="E6542" t="str">
        <f>"7352144668"</f>
        <v>7352144668</v>
      </c>
      <c r="F6542" s="1">
        <v>45068</v>
      </c>
      <c r="G6542" t="str">
        <f>"89514"</f>
        <v>89514</v>
      </c>
      <c r="H6542">
        <v>1</v>
      </c>
      <c r="I6542">
        <v>378</v>
      </c>
      <c r="J6542">
        <v>0</v>
      </c>
      <c r="K6542" t="str">
        <f t="shared" si="1193"/>
        <v>809</v>
      </c>
      <c r="L6542">
        <v>555.66</v>
      </c>
    </row>
    <row r="6543" spans="1:12" x14ac:dyDescent="0.25">
      <c r="A6543" t="str">
        <f t="shared" si="1190"/>
        <v>89301000</v>
      </c>
      <c r="B6543" t="str">
        <f t="shared" si="1191"/>
        <v>89383000</v>
      </c>
      <c r="C6543" t="str">
        <f t="shared" si="1192"/>
        <v>89383002</v>
      </c>
      <c r="D6543">
        <v>89301045</v>
      </c>
      <c r="E6543" t="str">
        <f>"6561176622"</f>
        <v>6561176622</v>
      </c>
      <c r="F6543" s="1">
        <v>45069</v>
      </c>
      <c r="G6543" t="str">
        <f>"89513"</f>
        <v>89513</v>
      </c>
      <c r="H6543">
        <v>1</v>
      </c>
      <c r="I6543">
        <v>378</v>
      </c>
      <c r="J6543">
        <v>0</v>
      </c>
      <c r="K6543" t="str">
        <f t="shared" si="1193"/>
        <v>809</v>
      </c>
      <c r="L6543">
        <v>555.66</v>
      </c>
    </row>
    <row r="6544" spans="1:12" x14ac:dyDescent="0.25">
      <c r="A6544" t="str">
        <f t="shared" si="1190"/>
        <v>89301000</v>
      </c>
      <c r="B6544" t="str">
        <f t="shared" si="1191"/>
        <v>89383000</v>
      </c>
      <c r="C6544" t="str">
        <f t="shared" si="1192"/>
        <v>89383002</v>
      </c>
      <c r="D6544">
        <v>89301045</v>
      </c>
      <c r="E6544" t="str">
        <f>"6561176622"</f>
        <v>6561176622</v>
      </c>
      <c r="F6544" s="1">
        <v>45069</v>
      </c>
      <c r="G6544" t="str">
        <f>"89514"</f>
        <v>89514</v>
      </c>
      <c r="H6544">
        <v>1</v>
      </c>
      <c r="I6544">
        <v>378</v>
      </c>
      <c r="J6544">
        <v>0</v>
      </c>
      <c r="K6544" t="str">
        <f t="shared" si="1193"/>
        <v>809</v>
      </c>
      <c r="L6544">
        <v>555.66</v>
      </c>
    </row>
    <row r="6545" spans="1:12" x14ac:dyDescent="0.25">
      <c r="A6545" t="str">
        <f t="shared" si="1190"/>
        <v>89301000</v>
      </c>
      <c r="B6545" t="str">
        <f t="shared" si="1191"/>
        <v>89383000</v>
      </c>
      <c r="C6545" t="str">
        <f t="shared" si="1192"/>
        <v>89383002</v>
      </c>
      <c r="D6545">
        <v>89301045</v>
      </c>
      <c r="E6545" t="str">
        <f>"6561176622"</f>
        <v>6561176622</v>
      </c>
      <c r="F6545" s="1">
        <v>45069</v>
      </c>
      <c r="G6545" t="str">
        <f>"89813"</f>
        <v>89813</v>
      </c>
      <c r="H6545">
        <v>1</v>
      </c>
      <c r="I6545">
        <v>135</v>
      </c>
      <c r="J6545">
        <v>0</v>
      </c>
      <c r="K6545" t="str">
        <f t="shared" si="1193"/>
        <v>809</v>
      </c>
      <c r="L6545">
        <v>198.45</v>
      </c>
    </row>
    <row r="6546" spans="1:12" x14ac:dyDescent="0.25">
      <c r="A6546" t="str">
        <f t="shared" si="1190"/>
        <v>89301000</v>
      </c>
      <c r="B6546" t="str">
        <f t="shared" si="1191"/>
        <v>89383000</v>
      </c>
      <c r="C6546" t="str">
        <f t="shared" si="1192"/>
        <v>89383002</v>
      </c>
      <c r="D6546">
        <v>89301212</v>
      </c>
      <c r="E6546" t="str">
        <f>"7856075381"</f>
        <v>7856075381</v>
      </c>
      <c r="F6546" s="1">
        <v>45070</v>
      </c>
      <c r="G6546" t="str">
        <f>"89313"</f>
        <v>89313</v>
      </c>
      <c r="H6546">
        <v>1</v>
      </c>
      <c r="I6546">
        <v>420</v>
      </c>
      <c r="J6546">
        <v>0</v>
      </c>
      <c r="K6546" t="str">
        <f t="shared" si="1193"/>
        <v>809</v>
      </c>
      <c r="L6546">
        <v>617.4</v>
      </c>
    </row>
    <row r="6547" spans="1:12" x14ac:dyDescent="0.25">
      <c r="A6547" t="str">
        <f t="shared" si="1190"/>
        <v>89301000</v>
      </c>
      <c r="B6547" t="str">
        <f t="shared" si="1191"/>
        <v>89383000</v>
      </c>
      <c r="C6547" t="str">
        <f t="shared" si="1192"/>
        <v>89383002</v>
      </c>
      <c r="D6547">
        <v>89301212</v>
      </c>
      <c r="E6547" t="str">
        <f>"7856075381"</f>
        <v>7856075381</v>
      </c>
      <c r="F6547" s="1">
        <v>45070</v>
      </c>
      <c r="G6547" t="str">
        <f>"09233"</f>
        <v>09233</v>
      </c>
      <c r="H6547">
        <v>1</v>
      </c>
      <c r="I6547">
        <v>102</v>
      </c>
      <c r="J6547">
        <v>0</v>
      </c>
      <c r="K6547" t="str">
        <f t="shared" si="1193"/>
        <v>809</v>
      </c>
      <c r="L6547">
        <v>149.94</v>
      </c>
    </row>
    <row r="6548" spans="1:12" x14ac:dyDescent="0.25">
      <c r="A6548" t="str">
        <f t="shared" si="1190"/>
        <v>89301000</v>
      </c>
      <c r="B6548" t="str">
        <f t="shared" si="1191"/>
        <v>89383000</v>
      </c>
      <c r="C6548" t="str">
        <f t="shared" si="1192"/>
        <v>89383002</v>
      </c>
      <c r="D6548">
        <v>89301212</v>
      </c>
      <c r="E6548" t="str">
        <f>"7856075381"</f>
        <v>7856075381</v>
      </c>
      <c r="F6548" s="1">
        <v>45070</v>
      </c>
      <c r="G6548" t="str">
        <f>"89512"</f>
        <v>89512</v>
      </c>
      <c r="H6548">
        <v>1</v>
      </c>
      <c r="I6548">
        <v>283</v>
      </c>
      <c r="J6548">
        <v>0</v>
      </c>
      <c r="K6548" t="str">
        <f t="shared" si="1193"/>
        <v>809</v>
      </c>
      <c r="L6548">
        <v>416.01</v>
      </c>
    </row>
    <row r="6549" spans="1:12" x14ac:dyDescent="0.25">
      <c r="A6549" t="str">
        <f t="shared" si="1190"/>
        <v>89301000</v>
      </c>
      <c r="B6549" t="str">
        <f t="shared" si="1191"/>
        <v>89383000</v>
      </c>
      <c r="C6549" t="str">
        <f t="shared" si="1192"/>
        <v>89383002</v>
      </c>
      <c r="D6549">
        <v>89301212</v>
      </c>
      <c r="E6549" t="str">
        <f>"7856075381"</f>
        <v>7856075381</v>
      </c>
      <c r="F6549" s="1">
        <v>45070</v>
      </c>
      <c r="G6549" t="str">
        <f>"0225891"</f>
        <v>0225891</v>
      </c>
      <c r="H6549">
        <v>0.05</v>
      </c>
      <c r="J6549">
        <v>18.39</v>
      </c>
      <c r="K6549" t="str">
        <f t="shared" si="1193"/>
        <v>809</v>
      </c>
      <c r="L6549">
        <v>18.39</v>
      </c>
    </row>
    <row r="6550" spans="1:12" x14ac:dyDescent="0.25">
      <c r="A6550" t="str">
        <f t="shared" si="1190"/>
        <v>89301000</v>
      </c>
      <c r="B6550" t="str">
        <f t="shared" si="1191"/>
        <v>89383000</v>
      </c>
      <c r="C6550" t="str">
        <f t="shared" si="1192"/>
        <v>89383002</v>
      </c>
      <c r="D6550">
        <v>89301212</v>
      </c>
      <c r="E6550" t="str">
        <f>"7856075381"</f>
        <v>7856075381</v>
      </c>
      <c r="F6550" s="1">
        <v>45070</v>
      </c>
      <c r="G6550" t="str">
        <f>"0142906"</f>
        <v>0142906</v>
      </c>
      <c r="H6550">
        <v>1</v>
      </c>
      <c r="J6550">
        <v>6990</v>
      </c>
      <c r="K6550" t="str">
        <f t="shared" si="1193"/>
        <v>809</v>
      </c>
      <c r="L6550">
        <v>6990</v>
      </c>
    </row>
    <row r="6551" spans="1:12" x14ac:dyDescent="0.25">
      <c r="A6551" t="str">
        <f t="shared" si="1190"/>
        <v>89301000</v>
      </c>
      <c r="B6551" t="str">
        <f t="shared" si="1191"/>
        <v>89383000</v>
      </c>
      <c r="C6551" t="str">
        <f t="shared" si="1192"/>
        <v>89383002</v>
      </c>
      <c r="D6551">
        <v>89301212</v>
      </c>
      <c r="E6551" t="str">
        <f>"7958025361"</f>
        <v>7958025361</v>
      </c>
      <c r="F6551" s="1">
        <v>45070</v>
      </c>
      <c r="G6551" t="str">
        <f>"89512"</f>
        <v>89512</v>
      </c>
      <c r="H6551">
        <v>1</v>
      </c>
      <c r="I6551">
        <v>283</v>
      </c>
      <c r="J6551">
        <v>0</v>
      </c>
      <c r="K6551" t="str">
        <f t="shared" si="1193"/>
        <v>809</v>
      </c>
      <c r="L6551">
        <v>416.01</v>
      </c>
    </row>
    <row r="6552" spans="1:12" x14ac:dyDescent="0.25">
      <c r="A6552" t="str">
        <f t="shared" si="1190"/>
        <v>89301000</v>
      </c>
      <c r="B6552" t="str">
        <f t="shared" si="1191"/>
        <v>89383000</v>
      </c>
      <c r="C6552" t="str">
        <f t="shared" si="1192"/>
        <v>89383002</v>
      </c>
      <c r="D6552">
        <v>89301212</v>
      </c>
      <c r="E6552" t="str">
        <f>"7958025361"</f>
        <v>7958025361</v>
      </c>
      <c r="F6552" s="1">
        <v>45070</v>
      </c>
      <c r="G6552" t="str">
        <f>"89513"</f>
        <v>89513</v>
      </c>
      <c r="H6552">
        <v>1</v>
      </c>
      <c r="I6552">
        <v>378</v>
      </c>
      <c r="J6552">
        <v>0</v>
      </c>
      <c r="K6552" t="str">
        <f t="shared" si="1193"/>
        <v>809</v>
      </c>
      <c r="L6552">
        <v>555.66</v>
      </c>
    </row>
    <row r="6553" spans="1:12" x14ac:dyDescent="0.25">
      <c r="A6553" t="str">
        <f t="shared" si="1190"/>
        <v>89301000</v>
      </c>
      <c r="B6553" t="str">
        <f t="shared" si="1191"/>
        <v>89383000</v>
      </c>
      <c r="C6553" t="str">
        <f t="shared" si="1192"/>
        <v>89383002</v>
      </c>
      <c r="D6553">
        <v>89301212</v>
      </c>
      <c r="E6553" t="str">
        <f>"7958025361"</f>
        <v>7958025361</v>
      </c>
      <c r="F6553" s="1">
        <v>45070</v>
      </c>
      <c r="G6553" t="str">
        <f>"89514"</f>
        <v>89514</v>
      </c>
      <c r="H6553">
        <v>1</v>
      </c>
      <c r="I6553">
        <v>378</v>
      </c>
      <c r="J6553">
        <v>0</v>
      </c>
      <c r="K6553" t="str">
        <f t="shared" si="1193"/>
        <v>809</v>
      </c>
      <c r="L6553">
        <v>555.66</v>
      </c>
    </row>
    <row r="6554" spans="1:12" x14ac:dyDescent="0.25">
      <c r="A6554" t="str">
        <f t="shared" si="1190"/>
        <v>89301000</v>
      </c>
      <c r="B6554" t="str">
        <f t="shared" si="1191"/>
        <v>89383000</v>
      </c>
      <c r="C6554" t="str">
        <f t="shared" si="1192"/>
        <v>89383002</v>
      </c>
      <c r="D6554">
        <v>89301212</v>
      </c>
      <c r="E6554" t="str">
        <f>"6853150865"</f>
        <v>6853150865</v>
      </c>
      <c r="F6554" s="1">
        <v>45071</v>
      </c>
      <c r="G6554" t="str">
        <f>"89180"</f>
        <v>89180</v>
      </c>
      <c r="H6554">
        <v>2</v>
      </c>
      <c r="I6554">
        <v>762</v>
      </c>
      <c r="J6554">
        <v>0</v>
      </c>
      <c r="K6554" t="str">
        <f t="shared" si="1193"/>
        <v>809</v>
      </c>
      <c r="L6554">
        <v>1120.1400000000001</v>
      </c>
    </row>
    <row r="6555" spans="1:12" x14ac:dyDescent="0.25">
      <c r="A6555" t="str">
        <f t="shared" si="1190"/>
        <v>89301000</v>
      </c>
      <c r="B6555" t="str">
        <f t="shared" si="1191"/>
        <v>89383000</v>
      </c>
      <c r="C6555" t="str">
        <f t="shared" si="1192"/>
        <v>89383002</v>
      </c>
      <c r="D6555">
        <v>89301212</v>
      </c>
      <c r="E6555" t="str">
        <f>"6853150865"</f>
        <v>6853150865</v>
      </c>
      <c r="F6555" s="1">
        <v>45071</v>
      </c>
      <c r="G6555" t="str">
        <f>"89512"</f>
        <v>89512</v>
      </c>
      <c r="H6555">
        <v>1</v>
      </c>
      <c r="I6555">
        <v>283</v>
      </c>
      <c r="J6555">
        <v>0</v>
      </c>
      <c r="K6555" t="str">
        <f t="shared" si="1193"/>
        <v>809</v>
      </c>
      <c r="L6555">
        <v>416.01</v>
      </c>
    </row>
    <row r="6556" spans="1:12" x14ac:dyDescent="0.25">
      <c r="A6556" t="str">
        <f t="shared" si="1190"/>
        <v>89301000</v>
      </c>
      <c r="B6556" t="str">
        <f t="shared" si="1191"/>
        <v>89383000</v>
      </c>
      <c r="C6556" t="str">
        <f t="shared" si="1192"/>
        <v>89383002</v>
      </c>
      <c r="D6556">
        <v>89301212</v>
      </c>
      <c r="E6556" t="str">
        <f>"6853150865"</f>
        <v>6853150865</v>
      </c>
      <c r="F6556" s="1">
        <v>45071</v>
      </c>
      <c r="G6556" t="str">
        <f>"89513"</f>
        <v>89513</v>
      </c>
      <c r="H6556">
        <v>1</v>
      </c>
      <c r="I6556">
        <v>378</v>
      </c>
      <c r="J6556">
        <v>0</v>
      </c>
      <c r="K6556" t="str">
        <f t="shared" si="1193"/>
        <v>809</v>
      </c>
      <c r="L6556">
        <v>555.66</v>
      </c>
    </row>
    <row r="6557" spans="1:12" x14ac:dyDescent="0.25">
      <c r="A6557" t="str">
        <f t="shared" si="1190"/>
        <v>89301000</v>
      </c>
      <c r="B6557" t="str">
        <f t="shared" si="1191"/>
        <v>89383000</v>
      </c>
      <c r="C6557" t="str">
        <f t="shared" si="1192"/>
        <v>89383002</v>
      </c>
      <c r="D6557">
        <v>89301212</v>
      </c>
      <c r="E6557" t="str">
        <f>"6853150865"</f>
        <v>6853150865</v>
      </c>
      <c r="F6557" s="1">
        <v>45071</v>
      </c>
      <c r="G6557" t="str">
        <f>"89514"</f>
        <v>89514</v>
      </c>
      <c r="H6557">
        <v>1</v>
      </c>
      <c r="I6557">
        <v>378</v>
      </c>
      <c r="J6557">
        <v>0</v>
      </c>
      <c r="K6557" t="str">
        <f t="shared" si="1193"/>
        <v>809</v>
      </c>
      <c r="L6557">
        <v>555.66</v>
      </c>
    </row>
    <row r="6558" spans="1:12" x14ac:dyDescent="0.25">
      <c r="A6558" t="str">
        <f t="shared" si="1190"/>
        <v>89301000</v>
      </c>
      <c r="B6558" t="str">
        <f t="shared" si="1191"/>
        <v>89383000</v>
      </c>
      <c r="C6558" t="str">
        <f t="shared" si="1192"/>
        <v>89383002</v>
      </c>
      <c r="D6558">
        <v>89301045</v>
      </c>
      <c r="E6558" t="str">
        <f>"8453186390"</f>
        <v>8453186390</v>
      </c>
      <c r="F6558" s="1">
        <v>45072</v>
      </c>
      <c r="G6558" t="str">
        <f>"89180"</f>
        <v>89180</v>
      </c>
      <c r="H6558">
        <v>2</v>
      </c>
      <c r="I6558">
        <v>762</v>
      </c>
      <c r="J6558">
        <v>0</v>
      </c>
      <c r="K6558" t="str">
        <f t="shared" si="1193"/>
        <v>809</v>
      </c>
      <c r="L6558">
        <v>1120.1400000000001</v>
      </c>
    </row>
    <row r="6559" spans="1:12" x14ac:dyDescent="0.25">
      <c r="A6559" t="str">
        <f t="shared" si="1190"/>
        <v>89301000</v>
      </c>
      <c r="B6559" t="str">
        <f t="shared" si="1191"/>
        <v>89383000</v>
      </c>
      <c r="C6559" t="str">
        <f t="shared" si="1192"/>
        <v>89383002</v>
      </c>
      <c r="D6559">
        <v>89301045</v>
      </c>
      <c r="E6559" t="str">
        <f>"8453186390"</f>
        <v>8453186390</v>
      </c>
      <c r="F6559" s="1">
        <v>45072</v>
      </c>
      <c r="G6559" t="str">
        <f>"89512"</f>
        <v>89512</v>
      </c>
      <c r="H6559">
        <v>1</v>
      </c>
      <c r="I6559">
        <v>283</v>
      </c>
      <c r="J6559">
        <v>0</v>
      </c>
      <c r="K6559" t="str">
        <f t="shared" si="1193"/>
        <v>809</v>
      </c>
      <c r="L6559">
        <v>416.01</v>
      </c>
    </row>
    <row r="6560" spans="1:12" x14ac:dyDescent="0.25">
      <c r="A6560" t="str">
        <f t="shared" si="1190"/>
        <v>89301000</v>
      </c>
      <c r="B6560" t="str">
        <f t="shared" si="1191"/>
        <v>89383000</v>
      </c>
      <c r="C6560" t="str">
        <f t="shared" si="1192"/>
        <v>89383002</v>
      </c>
      <c r="D6560">
        <v>89301045</v>
      </c>
      <c r="E6560" t="str">
        <f>"8453186390"</f>
        <v>8453186390</v>
      </c>
      <c r="F6560" s="1">
        <v>45072</v>
      </c>
      <c r="G6560" t="str">
        <f>"89513"</f>
        <v>89513</v>
      </c>
      <c r="H6560">
        <v>1</v>
      </c>
      <c r="I6560">
        <v>378</v>
      </c>
      <c r="J6560">
        <v>0</v>
      </c>
      <c r="K6560" t="str">
        <f t="shared" si="1193"/>
        <v>809</v>
      </c>
      <c r="L6560">
        <v>555.66</v>
      </c>
    </row>
    <row r="6561" spans="1:12" x14ac:dyDescent="0.25">
      <c r="A6561" t="str">
        <f t="shared" si="1190"/>
        <v>89301000</v>
      </c>
      <c r="B6561" t="str">
        <f t="shared" si="1191"/>
        <v>89383000</v>
      </c>
      <c r="C6561" t="str">
        <f t="shared" si="1192"/>
        <v>89383002</v>
      </c>
      <c r="D6561">
        <v>89301045</v>
      </c>
      <c r="E6561" t="str">
        <f>"8453186390"</f>
        <v>8453186390</v>
      </c>
      <c r="F6561" s="1">
        <v>45072</v>
      </c>
      <c r="G6561" t="str">
        <f>"89514"</f>
        <v>89514</v>
      </c>
      <c r="H6561">
        <v>1</v>
      </c>
      <c r="I6561">
        <v>378</v>
      </c>
      <c r="J6561">
        <v>0</v>
      </c>
      <c r="K6561" t="str">
        <f t="shared" si="1193"/>
        <v>809</v>
      </c>
      <c r="L6561">
        <v>555.66</v>
      </c>
    </row>
    <row r="6562" spans="1:12" x14ac:dyDescent="0.25">
      <c r="A6562" t="str">
        <f t="shared" si="1190"/>
        <v>89301000</v>
      </c>
      <c r="B6562" t="str">
        <f t="shared" si="1191"/>
        <v>89383000</v>
      </c>
      <c r="C6562" t="str">
        <f t="shared" si="1192"/>
        <v>89383002</v>
      </c>
      <c r="D6562">
        <v>89301212</v>
      </c>
      <c r="E6562" t="str">
        <f>"8153115399"</f>
        <v>8153115399</v>
      </c>
      <c r="F6562" s="1">
        <v>45072</v>
      </c>
      <c r="G6562" t="str">
        <f>"89512"</f>
        <v>89512</v>
      </c>
      <c r="H6562">
        <v>1</v>
      </c>
      <c r="I6562">
        <v>283</v>
      </c>
      <c r="J6562">
        <v>0</v>
      </c>
      <c r="K6562" t="str">
        <f t="shared" si="1193"/>
        <v>809</v>
      </c>
      <c r="L6562">
        <v>416.01</v>
      </c>
    </row>
    <row r="6563" spans="1:12" x14ac:dyDescent="0.25">
      <c r="A6563" t="str">
        <f t="shared" si="1190"/>
        <v>89301000</v>
      </c>
      <c r="B6563" t="str">
        <f t="shared" si="1191"/>
        <v>89383000</v>
      </c>
      <c r="C6563" t="str">
        <f t="shared" si="1192"/>
        <v>89383002</v>
      </c>
      <c r="D6563">
        <v>89301212</v>
      </c>
      <c r="E6563" t="str">
        <f>"8153115399"</f>
        <v>8153115399</v>
      </c>
      <c r="F6563" s="1">
        <v>45072</v>
      </c>
      <c r="G6563" t="str">
        <f>"89513"</f>
        <v>89513</v>
      </c>
      <c r="H6563">
        <v>1</v>
      </c>
      <c r="I6563">
        <v>378</v>
      </c>
      <c r="J6563">
        <v>0</v>
      </c>
      <c r="K6563" t="str">
        <f t="shared" si="1193"/>
        <v>809</v>
      </c>
      <c r="L6563">
        <v>555.66</v>
      </c>
    </row>
    <row r="6564" spans="1:12" x14ac:dyDescent="0.25">
      <c r="A6564" t="str">
        <f t="shared" si="1190"/>
        <v>89301000</v>
      </c>
      <c r="B6564" t="str">
        <f t="shared" si="1191"/>
        <v>89383000</v>
      </c>
      <c r="C6564" t="str">
        <f t="shared" si="1192"/>
        <v>89383002</v>
      </c>
      <c r="D6564">
        <v>89301212</v>
      </c>
      <c r="E6564" t="str">
        <f>"8153115399"</f>
        <v>8153115399</v>
      </c>
      <c r="F6564" s="1">
        <v>45072</v>
      </c>
      <c r="G6564" t="str">
        <f>"89514"</f>
        <v>89514</v>
      </c>
      <c r="H6564">
        <v>1</v>
      </c>
      <c r="I6564">
        <v>378</v>
      </c>
      <c r="J6564">
        <v>0</v>
      </c>
      <c r="K6564" t="str">
        <f t="shared" si="1193"/>
        <v>809</v>
      </c>
      <c r="L6564">
        <v>555.66</v>
      </c>
    </row>
    <row r="6565" spans="1:12" x14ac:dyDescent="0.25">
      <c r="A6565" t="str">
        <f t="shared" si="1190"/>
        <v>89301000</v>
      </c>
      <c r="B6565" t="str">
        <f t="shared" si="1191"/>
        <v>89383000</v>
      </c>
      <c r="C6565" t="str">
        <f t="shared" si="1192"/>
        <v>89383002</v>
      </c>
      <c r="D6565">
        <v>89301212</v>
      </c>
      <c r="E6565" t="str">
        <f>"5861090873"</f>
        <v>5861090873</v>
      </c>
      <c r="F6565" s="1">
        <v>45075</v>
      </c>
      <c r="G6565" t="str">
        <f>"89180"</f>
        <v>89180</v>
      </c>
      <c r="H6565">
        <v>2</v>
      </c>
      <c r="I6565">
        <v>762</v>
      </c>
      <c r="J6565">
        <v>0</v>
      </c>
      <c r="K6565" t="str">
        <f t="shared" si="1193"/>
        <v>809</v>
      </c>
      <c r="L6565">
        <v>1120.1400000000001</v>
      </c>
    </row>
    <row r="6566" spans="1:12" x14ac:dyDescent="0.25">
      <c r="A6566" t="str">
        <f t="shared" si="1190"/>
        <v>89301000</v>
      </c>
      <c r="B6566" t="str">
        <f t="shared" si="1191"/>
        <v>89383000</v>
      </c>
      <c r="C6566" t="str">
        <f t="shared" si="1192"/>
        <v>89383002</v>
      </c>
      <c r="D6566">
        <v>89301212</v>
      </c>
      <c r="E6566" t="str">
        <f>"5861090873"</f>
        <v>5861090873</v>
      </c>
      <c r="F6566" s="1">
        <v>45075</v>
      </c>
      <c r="G6566" t="str">
        <f>"89512"</f>
        <v>89512</v>
      </c>
      <c r="H6566">
        <v>1</v>
      </c>
      <c r="I6566">
        <v>283</v>
      </c>
      <c r="J6566">
        <v>0</v>
      </c>
      <c r="K6566" t="str">
        <f t="shared" si="1193"/>
        <v>809</v>
      </c>
      <c r="L6566">
        <v>416.01</v>
      </c>
    </row>
    <row r="6567" spans="1:12" x14ac:dyDescent="0.25">
      <c r="A6567" t="str">
        <f t="shared" si="1190"/>
        <v>89301000</v>
      </c>
      <c r="B6567" t="str">
        <f t="shared" si="1191"/>
        <v>89383000</v>
      </c>
      <c r="C6567" t="str">
        <f t="shared" si="1192"/>
        <v>89383002</v>
      </c>
      <c r="D6567">
        <v>89301045</v>
      </c>
      <c r="E6567" t="str">
        <f>"530607102"</f>
        <v>530607102</v>
      </c>
      <c r="F6567" s="1">
        <v>45075</v>
      </c>
      <c r="G6567" t="str">
        <f>"89512"</f>
        <v>89512</v>
      </c>
      <c r="H6567">
        <v>1</v>
      </c>
      <c r="I6567">
        <v>283</v>
      </c>
      <c r="J6567">
        <v>0</v>
      </c>
      <c r="K6567" t="str">
        <f t="shared" si="1193"/>
        <v>809</v>
      </c>
      <c r="L6567">
        <v>416.01</v>
      </c>
    </row>
    <row r="6568" spans="1:12" x14ac:dyDescent="0.25">
      <c r="A6568" t="str">
        <f t="shared" si="1190"/>
        <v>89301000</v>
      </c>
      <c r="B6568" t="str">
        <f t="shared" ref="B6568:B6586" si="1194">"89383000"</f>
        <v>89383000</v>
      </c>
      <c r="C6568" t="str">
        <f t="shared" ref="C6568:C6586" si="1195">"89383002"</f>
        <v>89383002</v>
      </c>
      <c r="D6568">
        <v>89301212</v>
      </c>
      <c r="E6568" t="str">
        <f>"485805409"</f>
        <v>485805409</v>
      </c>
      <c r="F6568" s="1">
        <v>45075</v>
      </c>
      <c r="G6568" t="str">
        <f>"89512"</f>
        <v>89512</v>
      </c>
      <c r="H6568">
        <v>1</v>
      </c>
      <c r="I6568">
        <v>283</v>
      </c>
      <c r="J6568">
        <v>0</v>
      </c>
      <c r="K6568" t="str">
        <f t="shared" si="1193"/>
        <v>809</v>
      </c>
      <c r="L6568">
        <v>416.01</v>
      </c>
    </row>
    <row r="6569" spans="1:12" x14ac:dyDescent="0.25">
      <c r="A6569" t="str">
        <f t="shared" si="1190"/>
        <v>89301000</v>
      </c>
      <c r="B6569" t="str">
        <f t="shared" si="1194"/>
        <v>89383000</v>
      </c>
      <c r="C6569" t="str">
        <f t="shared" si="1195"/>
        <v>89383002</v>
      </c>
      <c r="D6569">
        <v>89301212</v>
      </c>
      <c r="E6569" t="str">
        <f>"485805409"</f>
        <v>485805409</v>
      </c>
      <c r="F6569" s="1">
        <v>45075</v>
      </c>
      <c r="G6569" t="str">
        <f>"89513"</f>
        <v>89513</v>
      </c>
      <c r="H6569">
        <v>1</v>
      </c>
      <c r="I6569">
        <v>378</v>
      </c>
      <c r="J6569">
        <v>0</v>
      </c>
      <c r="K6569" t="str">
        <f t="shared" si="1193"/>
        <v>809</v>
      </c>
      <c r="L6569">
        <v>555.66</v>
      </c>
    </row>
    <row r="6570" spans="1:12" x14ac:dyDescent="0.25">
      <c r="A6570" t="str">
        <f t="shared" si="1190"/>
        <v>89301000</v>
      </c>
      <c r="B6570" t="str">
        <f t="shared" si="1194"/>
        <v>89383000</v>
      </c>
      <c r="C6570" t="str">
        <f t="shared" si="1195"/>
        <v>89383002</v>
      </c>
      <c r="D6570">
        <v>89301212</v>
      </c>
      <c r="E6570" t="str">
        <f>"485805409"</f>
        <v>485805409</v>
      </c>
      <c r="F6570" s="1">
        <v>45075</v>
      </c>
      <c r="G6570" t="str">
        <f>"89514"</f>
        <v>89514</v>
      </c>
      <c r="H6570">
        <v>1</v>
      </c>
      <c r="I6570">
        <v>378</v>
      </c>
      <c r="J6570">
        <v>0</v>
      </c>
      <c r="K6570" t="str">
        <f t="shared" si="1193"/>
        <v>809</v>
      </c>
      <c r="L6570">
        <v>555.66</v>
      </c>
    </row>
    <row r="6571" spans="1:12" x14ac:dyDescent="0.25">
      <c r="A6571" t="str">
        <f t="shared" si="1190"/>
        <v>89301000</v>
      </c>
      <c r="B6571" t="str">
        <f t="shared" si="1194"/>
        <v>89383000</v>
      </c>
      <c r="C6571" t="str">
        <f t="shared" si="1195"/>
        <v>89383002</v>
      </c>
      <c r="D6571">
        <v>89301212</v>
      </c>
      <c r="E6571" t="str">
        <f>"7352245318"</f>
        <v>7352245318</v>
      </c>
      <c r="F6571" s="1">
        <v>45076</v>
      </c>
      <c r="G6571" t="str">
        <f>"89512"</f>
        <v>89512</v>
      </c>
      <c r="H6571">
        <v>1</v>
      </c>
      <c r="I6571">
        <v>283</v>
      </c>
      <c r="J6571">
        <v>0</v>
      </c>
      <c r="K6571" t="str">
        <f t="shared" si="1193"/>
        <v>809</v>
      </c>
      <c r="L6571">
        <v>416.01</v>
      </c>
    </row>
    <row r="6572" spans="1:12" x14ac:dyDescent="0.25">
      <c r="A6572" t="str">
        <f t="shared" si="1190"/>
        <v>89301000</v>
      </c>
      <c r="B6572" t="str">
        <f t="shared" si="1194"/>
        <v>89383000</v>
      </c>
      <c r="C6572" t="str">
        <f t="shared" si="1195"/>
        <v>89383002</v>
      </c>
      <c r="D6572">
        <v>89301212</v>
      </c>
      <c r="E6572" t="str">
        <f>"7352245318"</f>
        <v>7352245318</v>
      </c>
      <c r="F6572" s="1">
        <v>45076</v>
      </c>
      <c r="G6572" t="str">
        <f>"89180"</f>
        <v>89180</v>
      </c>
      <c r="H6572">
        <v>2</v>
      </c>
      <c r="I6572">
        <v>762</v>
      </c>
      <c r="J6572">
        <v>0</v>
      </c>
      <c r="K6572" t="str">
        <f t="shared" si="1193"/>
        <v>809</v>
      </c>
      <c r="L6572">
        <v>1120.1400000000001</v>
      </c>
    </row>
    <row r="6573" spans="1:12" x14ac:dyDescent="0.25">
      <c r="A6573" t="str">
        <f t="shared" si="1190"/>
        <v>89301000</v>
      </c>
      <c r="B6573" t="str">
        <f t="shared" si="1194"/>
        <v>89383000</v>
      </c>
      <c r="C6573" t="str">
        <f t="shared" si="1195"/>
        <v>89383002</v>
      </c>
      <c r="D6573">
        <v>89301212</v>
      </c>
      <c r="E6573" t="str">
        <f>"6052191310"</f>
        <v>6052191310</v>
      </c>
      <c r="F6573" s="1">
        <v>45076</v>
      </c>
      <c r="G6573" t="str">
        <f>"89512"</f>
        <v>89512</v>
      </c>
      <c r="H6573">
        <v>1</v>
      </c>
      <c r="I6573">
        <v>283</v>
      </c>
      <c r="J6573">
        <v>0</v>
      </c>
      <c r="K6573" t="str">
        <f t="shared" si="1193"/>
        <v>809</v>
      </c>
      <c r="L6573">
        <v>416.01</v>
      </c>
    </row>
    <row r="6574" spans="1:12" x14ac:dyDescent="0.25">
      <c r="A6574" t="str">
        <f t="shared" si="1190"/>
        <v>89301000</v>
      </c>
      <c r="B6574" t="str">
        <f t="shared" si="1194"/>
        <v>89383000</v>
      </c>
      <c r="C6574" t="str">
        <f t="shared" si="1195"/>
        <v>89383002</v>
      </c>
      <c r="D6574">
        <v>89301212</v>
      </c>
      <c r="E6574" t="str">
        <f>"6052191310"</f>
        <v>6052191310</v>
      </c>
      <c r="F6574" s="1">
        <v>45076</v>
      </c>
      <c r="G6574" t="str">
        <f>"89180"</f>
        <v>89180</v>
      </c>
      <c r="H6574">
        <v>1</v>
      </c>
      <c r="I6574">
        <v>381</v>
      </c>
      <c r="J6574">
        <v>0</v>
      </c>
      <c r="K6574" t="str">
        <f t="shared" si="1193"/>
        <v>809</v>
      </c>
      <c r="L6574">
        <v>560.07000000000005</v>
      </c>
    </row>
    <row r="6575" spans="1:12" x14ac:dyDescent="0.25">
      <c r="A6575" t="str">
        <f t="shared" si="1190"/>
        <v>89301000</v>
      </c>
      <c r="B6575" t="str">
        <f t="shared" si="1194"/>
        <v>89383000</v>
      </c>
      <c r="C6575" t="str">
        <f t="shared" si="1195"/>
        <v>89383002</v>
      </c>
      <c r="D6575">
        <v>89301212</v>
      </c>
      <c r="E6575" t="str">
        <f>"8154194510"</f>
        <v>8154194510</v>
      </c>
      <c r="F6575" s="1">
        <v>45077</v>
      </c>
      <c r="G6575" t="str">
        <f>"89180"</f>
        <v>89180</v>
      </c>
      <c r="H6575">
        <v>2</v>
      </c>
      <c r="I6575">
        <v>762</v>
      </c>
      <c r="J6575">
        <v>0</v>
      </c>
      <c r="K6575" t="str">
        <f t="shared" si="1193"/>
        <v>809</v>
      </c>
      <c r="L6575">
        <v>1120.1400000000001</v>
      </c>
    </row>
    <row r="6576" spans="1:12" x14ac:dyDescent="0.25">
      <c r="A6576" t="str">
        <f t="shared" si="1190"/>
        <v>89301000</v>
      </c>
      <c r="B6576" t="str">
        <f t="shared" si="1194"/>
        <v>89383000</v>
      </c>
      <c r="C6576" t="str">
        <f t="shared" si="1195"/>
        <v>89383002</v>
      </c>
      <c r="D6576">
        <v>89301212</v>
      </c>
      <c r="E6576" t="str">
        <f>"8154194510"</f>
        <v>8154194510</v>
      </c>
      <c r="F6576" s="1">
        <v>45077</v>
      </c>
      <c r="G6576" t="str">
        <f>"89512"</f>
        <v>89512</v>
      </c>
      <c r="H6576">
        <v>1</v>
      </c>
      <c r="I6576">
        <v>283</v>
      </c>
      <c r="J6576">
        <v>0</v>
      </c>
      <c r="K6576" t="str">
        <f t="shared" si="1193"/>
        <v>809</v>
      </c>
      <c r="L6576">
        <v>416.01</v>
      </c>
    </row>
    <row r="6577" spans="1:12" x14ac:dyDescent="0.25">
      <c r="A6577" t="str">
        <f t="shared" si="1190"/>
        <v>89301000</v>
      </c>
      <c r="B6577" t="str">
        <f t="shared" si="1194"/>
        <v>89383000</v>
      </c>
      <c r="C6577" t="str">
        <f t="shared" si="1195"/>
        <v>89383002</v>
      </c>
      <c r="D6577">
        <v>89301212</v>
      </c>
      <c r="E6577" t="str">
        <f>"7462024339"</f>
        <v>7462024339</v>
      </c>
      <c r="F6577" s="1">
        <v>45077</v>
      </c>
      <c r="G6577" t="str">
        <f>"89513"</f>
        <v>89513</v>
      </c>
      <c r="H6577">
        <v>1</v>
      </c>
      <c r="I6577">
        <v>378</v>
      </c>
      <c r="J6577">
        <v>0</v>
      </c>
      <c r="K6577" t="str">
        <f t="shared" si="1193"/>
        <v>809</v>
      </c>
      <c r="L6577">
        <v>555.66</v>
      </c>
    </row>
    <row r="6578" spans="1:12" x14ac:dyDescent="0.25">
      <c r="A6578" t="str">
        <f t="shared" si="1190"/>
        <v>89301000</v>
      </c>
      <c r="B6578" t="str">
        <f t="shared" si="1194"/>
        <v>89383000</v>
      </c>
      <c r="C6578" t="str">
        <f t="shared" si="1195"/>
        <v>89383002</v>
      </c>
      <c r="D6578">
        <v>89301212</v>
      </c>
      <c r="E6578" t="str">
        <f>"7462024339"</f>
        <v>7462024339</v>
      </c>
      <c r="F6578" s="1">
        <v>45077</v>
      </c>
      <c r="G6578" t="str">
        <f>"89514"</f>
        <v>89514</v>
      </c>
      <c r="H6578">
        <v>1</v>
      </c>
      <c r="I6578">
        <v>378</v>
      </c>
      <c r="J6578">
        <v>0</v>
      </c>
      <c r="K6578" t="str">
        <f t="shared" si="1193"/>
        <v>809</v>
      </c>
      <c r="L6578">
        <v>555.66</v>
      </c>
    </row>
    <row r="6579" spans="1:12" x14ac:dyDescent="0.25">
      <c r="A6579" t="str">
        <f t="shared" si="1190"/>
        <v>89301000</v>
      </c>
      <c r="B6579" t="str">
        <f t="shared" si="1194"/>
        <v>89383000</v>
      </c>
      <c r="C6579" t="str">
        <f t="shared" si="1195"/>
        <v>89383002</v>
      </c>
      <c r="D6579">
        <v>89301212</v>
      </c>
      <c r="E6579" t="str">
        <f>"7458025806"</f>
        <v>7458025806</v>
      </c>
      <c r="F6579" s="1">
        <v>45077</v>
      </c>
      <c r="G6579" t="str">
        <f>"89513"</f>
        <v>89513</v>
      </c>
      <c r="H6579">
        <v>1</v>
      </c>
      <c r="I6579">
        <v>378</v>
      </c>
      <c r="J6579">
        <v>0</v>
      </c>
      <c r="K6579" t="str">
        <f t="shared" si="1193"/>
        <v>809</v>
      </c>
      <c r="L6579">
        <v>555.66</v>
      </c>
    </row>
    <row r="6580" spans="1:12" x14ac:dyDescent="0.25">
      <c r="A6580" t="str">
        <f t="shared" si="1190"/>
        <v>89301000</v>
      </c>
      <c r="B6580" t="str">
        <f t="shared" si="1194"/>
        <v>89383000</v>
      </c>
      <c r="C6580" t="str">
        <f t="shared" si="1195"/>
        <v>89383002</v>
      </c>
      <c r="D6580">
        <v>89301212</v>
      </c>
      <c r="E6580" t="str">
        <f>"7458025806"</f>
        <v>7458025806</v>
      </c>
      <c r="F6580" s="1">
        <v>45077</v>
      </c>
      <c r="G6580" t="str">
        <f>"89514"</f>
        <v>89514</v>
      </c>
      <c r="H6580">
        <v>1</v>
      </c>
      <c r="I6580">
        <v>378</v>
      </c>
      <c r="J6580">
        <v>0</v>
      </c>
      <c r="K6580" t="str">
        <f t="shared" si="1193"/>
        <v>809</v>
      </c>
      <c r="L6580">
        <v>555.66</v>
      </c>
    </row>
    <row r="6581" spans="1:12" x14ac:dyDescent="0.25">
      <c r="A6581" t="str">
        <f t="shared" si="1190"/>
        <v>89301000</v>
      </c>
      <c r="B6581" t="str">
        <f t="shared" si="1194"/>
        <v>89383000</v>
      </c>
      <c r="C6581" t="str">
        <f t="shared" si="1195"/>
        <v>89383002</v>
      </c>
      <c r="D6581">
        <v>89301045</v>
      </c>
      <c r="E6581" t="str">
        <f t="shared" ref="E6581:E6586" si="1196">"5855050366"</f>
        <v>5855050366</v>
      </c>
      <c r="F6581" s="1">
        <v>45076</v>
      </c>
      <c r="G6581" t="str">
        <f>"89313"</f>
        <v>89313</v>
      </c>
      <c r="H6581">
        <v>1</v>
      </c>
      <c r="I6581">
        <v>420</v>
      </c>
      <c r="J6581">
        <v>0</v>
      </c>
      <c r="K6581" t="str">
        <f t="shared" si="1193"/>
        <v>809</v>
      </c>
      <c r="L6581">
        <v>617.4</v>
      </c>
    </row>
    <row r="6582" spans="1:12" x14ac:dyDescent="0.25">
      <c r="A6582" t="str">
        <f t="shared" si="1190"/>
        <v>89301000</v>
      </c>
      <c r="B6582" t="str">
        <f t="shared" si="1194"/>
        <v>89383000</v>
      </c>
      <c r="C6582" t="str">
        <f t="shared" si="1195"/>
        <v>89383002</v>
      </c>
      <c r="D6582">
        <v>89301045</v>
      </c>
      <c r="E6582" t="str">
        <f t="shared" si="1196"/>
        <v>5855050366</v>
      </c>
      <c r="F6582" s="1">
        <v>45076</v>
      </c>
      <c r="G6582" t="str">
        <f>"09233"</f>
        <v>09233</v>
      </c>
      <c r="H6582">
        <v>1</v>
      </c>
      <c r="I6582">
        <v>102</v>
      </c>
      <c r="J6582">
        <v>0</v>
      </c>
      <c r="K6582" t="str">
        <f t="shared" si="1193"/>
        <v>809</v>
      </c>
      <c r="L6582">
        <v>149.94</v>
      </c>
    </row>
    <row r="6583" spans="1:12" x14ac:dyDescent="0.25">
      <c r="A6583" t="str">
        <f t="shared" si="1190"/>
        <v>89301000</v>
      </c>
      <c r="B6583" t="str">
        <f t="shared" si="1194"/>
        <v>89383000</v>
      </c>
      <c r="C6583" t="str">
        <f t="shared" si="1195"/>
        <v>89383002</v>
      </c>
      <c r="D6583">
        <v>89301045</v>
      </c>
      <c r="E6583" t="str">
        <f t="shared" si="1196"/>
        <v>5855050366</v>
      </c>
      <c r="F6583" s="1">
        <v>45076</v>
      </c>
      <c r="G6583" t="str">
        <f>"89512"</f>
        <v>89512</v>
      </c>
      <c r="H6583">
        <v>1</v>
      </c>
      <c r="I6583">
        <v>283</v>
      </c>
      <c r="J6583">
        <v>0</v>
      </c>
      <c r="K6583" t="str">
        <f t="shared" si="1193"/>
        <v>809</v>
      </c>
      <c r="L6583">
        <v>416.01</v>
      </c>
    </row>
    <row r="6584" spans="1:12" x14ac:dyDescent="0.25">
      <c r="A6584" t="str">
        <f t="shared" si="1190"/>
        <v>89301000</v>
      </c>
      <c r="B6584" t="str">
        <f t="shared" si="1194"/>
        <v>89383000</v>
      </c>
      <c r="C6584" t="str">
        <f t="shared" si="1195"/>
        <v>89383002</v>
      </c>
      <c r="D6584">
        <v>89301045</v>
      </c>
      <c r="E6584" t="str">
        <f t="shared" si="1196"/>
        <v>5855050366</v>
      </c>
      <c r="F6584" s="1">
        <v>45076</v>
      </c>
      <c r="G6584" t="str">
        <f>"89180"</f>
        <v>89180</v>
      </c>
      <c r="H6584">
        <v>1</v>
      </c>
      <c r="I6584">
        <v>381</v>
      </c>
      <c r="J6584">
        <v>0</v>
      </c>
      <c r="K6584" t="str">
        <f t="shared" si="1193"/>
        <v>809</v>
      </c>
      <c r="L6584">
        <v>560.07000000000005</v>
      </c>
    </row>
    <row r="6585" spans="1:12" x14ac:dyDescent="0.25">
      <c r="A6585" t="str">
        <f t="shared" si="1190"/>
        <v>89301000</v>
      </c>
      <c r="B6585" t="str">
        <f t="shared" si="1194"/>
        <v>89383000</v>
      </c>
      <c r="C6585" t="str">
        <f t="shared" si="1195"/>
        <v>89383002</v>
      </c>
      <c r="D6585">
        <v>89301045</v>
      </c>
      <c r="E6585" t="str">
        <f t="shared" si="1196"/>
        <v>5855050366</v>
      </c>
      <c r="F6585" s="1">
        <v>45076</v>
      </c>
      <c r="G6585" t="str">
        <f>"0093109"</f>
        <v>0093109</v>
      </c>
      <c r="H6585">
        <v>0.1</v>
      </c>
      <c r="J6585">
        <v>27.1</v>
      </c>
      <c r="K6585" t="str">
        <f t="shared" si="1193"/>
        <v>809</v>
      </c>
      <c r="L6585">
        <v>27.1</v>
      </c>
    </row>
    <row r="6586" spans="1:12" x14ac:dyDescent="0.25">
      <c r="A6586" t="str">
        <f t="shared" si="1190"/>
        <v>89301000</v>
      </c>
      <c r="B6586" t="str">
        <f t="shared" si="1194"/>
        <v>89383000</v>
      </c>
      <c r="C6586" t="str">
        <f t="shared" si="1195"/>
        <v>89383002</v>
      </c>
      <c r="D6586">
        <v>89301045</v>
      </c>
      <c r="E6586" t="str">
        <f t="shared" si="1196"/>
        <v>5855050366</v>
      </c>
      <c r="F6586" s="1">
        <v>45076</v>
      </c>
      <c r="G6586" t="str">
        <f>"0142906"</f>
        <v>0142906</v>
      </c>
      <c r="H6586">
        <v>1</v>
      </c>
      <c r="J6586">
        <v>6990</v>
      </c>
      <c r="K6586" t="str">
        <f t="shared" si="1193"/>
        <v>809</v>
      </c>
      <c r="L6586">
        <v>6990</v>
      </c>
    </row>
    <row r="6587" spans="1:12" x14ac:dyDescent="0.25">
      <c r="A6587" t="str">
        <f t="shared" si="1190"/>
        <v>89301000</v>
      </c>
      <c r="B6587" t="str">
        <f>"92394000"</f>
        <v>92394000</v>
      </c>
      <c r="C6587" t="str">
        <f>"92394001"</f>
        <v>92394001</v>
      </c>
      <c r="D6587">
        <v>89301215</v>
      </c>
      <c r="E6587" t="str">
        <f>"6656011549"</f>
        <v>6656011549</v>
      </c>
      <c r="F6587" s="1">
        <v>45103</v>
      </c>
      <c r="G6587" t="str">
        <f>"89513"</f>
        <v>89513</v>
      </c>
      <c r="H6587">
        <v>1</v>
      </c>
      <c r="I6587">
        <v>378</v>
      </c>
      <c r="J6587">
        <v>0</v>
      </c>
      <c r="K6587" t="str">
        <f t="shared" si="1193"/>
        <v>809</v>
      </c>
      <c r="L6587">
        <v>555.66</v>
      </c>
    </row>
    <row r="6588" spans="1:12" x14ac:dyDescent="0.25">
      <c r="A6588" t="str">
        <f t="shared" si="1190"/>
        <v>89301000</v>
      </c>
      <c r="B6588" t="str">
        <f>"92394000"</f>
        <v>92394000</v>
      </c>
      <c r="C6588" t="str">
        <f>"92394001"</f>
        <v>92394001</v>
      </c>
      <c r="D6588">
        <v>89301215</v>
      </c>
      <c r="E6588" t="str">
        <f>"6656011549"</f>
        <v>6656011549</v>
      </c>
      <c r="F6588" s="1">
        <v>45103</v>
      </c>
      <c r="G6588" t="str">
        <f>"89514"</f>
        <v>89514</v>
      </c>
      <c r="H6588">
        <v>1</v>
      </c>
      <c r="I6588">
        <v>378</v>
      </c>
      <c r="J6588">
        <v>0</v>
      </c>
      <c r="K6588" t="str">
        <f t="shared" si="1193"/>
        <v>809</v>
      </c>
      <c r="L6588">
        <v>555.66</v>
      </c>
    </row>
    <row r="6589" spans="1:12" x14ac:dyDescent="0.25">
      <c r="A6589" t="str">
        <f t="shared" si="1190"/>
        <v>89301000</v>
      </c>
      <c r="B6589" t="str">
        <f t="shared" ref="B6589:B6620" si="1197">"78915000"</f>
        <v>78915000</v>
      </c>
      <c r="C6589" t="str">
        <f t="shared" ref="C6589:C6620" si="1198">"78915001"</f>
        <v>78915001</v>
      </c>
      <c r="D6589">
        <v>89301312</v>
      </c>
      <c r="E6589" t="str">
        <f>"0011035728"</f>
        <v>0011035728</v>
      </c>
      <c r="F6589" s="1">
        <v>45079</v>
      </c>
      <c r="G6589" t="str">
        <f>"09569"</f>
        <v>09569</v>
      </c>
      <c r="H6589">
        <v>1</v>
      </c>
      <c r="I6589">
        <v>0</v>
      </c>
      <c r="J6589">
        <v>0</v>
      </c>
      <c r="K6589" t="str">
        <f t="shared" si="1193"/>
        <v>809</v>
      </c>
      <c r="L6589">
        <v>0</v>
      </c>
    </row>
    <row r="6590" spans="1:12" x14ac:dyDescent="0.25">
      <c r="A6590" t="str">
        <f t="shared" si="1190"/>
        <v>89301000</v>
      </c>
      <c r="B6590" t="str">
        <f t="shared" si="1197"/>
        <v>78915000</v>
      </c>
      <c r="C6590" t="str">
        <f t="shared" si="1198"/>
        <v>78915001</v>
      </c>
      <c r="D6590">
        <v>89301312</v>
      </c>
      <c r="E6590" t="str">
        <f>"0011035728"</f>
        <v>0011035728</v>
      </c>
      <c r="F6590" s="1">
        <v>45079</v>
      </c>
      <c r="G6590" t="str">
        <f>"89713"</f>
        <v>89713</v>
      </c>
      <c r="H6590">
        <v>1</v>
      </c>
      <c r="I6590">
        <v>5411</v>
      </c>
      <c r="J6590">
        <v>0</v>
      </c>
      <c r="K6590" t="str">
        <f t="shared" si="1193"/>
        <v>809</v>
      </c>
      <c r="L6590">
        <v>3517.15</v>
      </c>
    </row>
    <row r="6591" spans="1:12" x14ac:dyDescent="0.25">
      <c r="A6591" t="str">
        <f t="shared" si="1190"/>
        <v>89301000</v>
      </c>
      <c r="B6591" t="str">
        <f t="shared" si="1197"/>
        <v>78915000</v>
      </c>
      <c r="C6591" t="str">
        <f t="shared" si="1198"/>
        <v>78915001</v>
      </c>
      <c r="D6591">
        <v>89301112</v>
      </c>
      <c r="E6591" t="str">
        <f>"0054285385"</f>
        <v>0054285385</v>
      </c>
      <c r="F6591" s="1">
        <v>45100</v>
      </c>
      <c r="G6591" t="str">
        <f>"09567"</f>
        <v>09567</v>
      </c>
      <c r="H6591">
        <v>1</v>
      </c>
      <c r="I6591">
        <v>0</v>
      </c>
      <c r="J6591">
        <v>0</v>
      </c>
      <c r="K6591" t="str">
        <f t="shared" si="1193"/>
        <v>809</v>
      </c>
      <c r="L6591">
        <v>0</v>
      </c>
    </row>
    <row r="6592" spans="1:12" x14ac:dyDescent="0.25">
      <c r="A6592" t="str">
        <f t="shared" si="1190"/>
        <v>89301000</v>
      </c>
      <c r="B6592" t="str">
        <f t="shared" si="1197"/>
        <v>78915000</v>
      </c>
      <c r="C6592" t="str">
        <f t="shared" si="1198"/>
        <v>78915001</v>
      </c>
      <c r="D6592">
        <v>89301112</v>
      </c>
      <c r="E6592" t="str">
        <f>"0054285385"</f>
        <v>0054285385</v>
      </c>
      <c r="F6592" s="1">
        <v>45100</v>
      </c>
      <c r="G6592" t="str">
        <f>"89713"</f>
        <v>89713</v>
      </c>
      <c r="H6592">
        <v>1</v>
      </c>
      <c r="I6592">
        <v>5411</v>
      </c>
      <c r="J6592">
        <v>0</v>
      </c>
      <c r="K6592" t="str">
        <f t="shared" si="1193"/>
        <v>809</v>
      </c>
      <c r="L6592">
        <v>3517.15</v>
      </c>
    </row>
    <row r="6593" spans="1:12" x14ac:dyDescent="0.25">
      <c r="A6593" t="str">
        <f t="shared" si="1190"/>
        <v>89301000</v>
      </c>
      <c r="B6593" t="str">
        <f t="shared" si="1197"/>
        <v>78915000</v>
      </c>
      <c r="C6593" t="str">
        <f t="shared" si="1198"/>
        <v>78915001</v>
      </c>
      <c r="D6593">
        <v>89301112</v>
      </c>
      <c r="E6593" t="str">
        <f>"0156015750"</f>
        <v>0156015750</v>
      </c>
      <c r="F6593" s="1">
        <v>45090</v>
      </c>
      <c r="G6593" t="str">
        <f>"09567"</f>
        <v>09567</v>
      </c>
      <c r="H6593">
        <v>1</v>
      </c>
      <c r="I6593">
        <v>0</v>
      </c>
      <c r="J6593">
        <v>0</v>
      </c>
      <c r="K6593" t="str">
        <f t="shared" si="1193"/>
        <v>809</v>
      </c>
      <c r="L6593">
        <v>0</v>
      </c>
    </row>
    <row r="6594" spans="1:12" x14ac:dyDescent="0.25">
      <c r="A6594" t="str">
        <f t="shared" ref="A6594:A6657" si="1199">"89301000"</f>
        <v>89301000</v>
      </c>
      <c r="B6594" t="str">
        <f t="shared" si="1197"/>
        <v>78915000</v>
      </c>
      <c r="C6594" t="str">
        <f t="shared" si="1198"/>
        <v>78915001</v>
      </c>
      <c r="D6594">
        <v>89301112</v>
      </c>
      <c r="E6594" t="str">
        <f>"0156015750"</f>
        <v>0156015750</v>
      </c>
      <c r="F6594" s="1">
        <v>45090</v>
      </c>
      <c r="G6594" t="str">
        <f>"89713"</f>
        <v>89713</v>
      </c>
      <c r="H6594">
        <v>1</v>
      </c>
      <c r="I6594">
        <v>5411</v>
      </c>
      <c r="J6594">
        <v>0</v>
      </c>
      <c r="K6594" t="str">
        <f t="shared" si="1193"/>
        <v>809</v>
      </c>
      <c r="L6594">
        <v>3517.15</v>
      </c>
    </row>
    <row r="6595" spans="1:12" x14ac:dyDescent="0.25">
      <c r="A6595" t="str">
        <f t="shared" si="1199"/>
        <v>89301000</v>
      </c>
      <c r="B6595" t="str">
        <f t="shared" si="1197"/>
        <v>78915000</v>
      </c>
      <c r="C6595" t="str">
        <f t="shared" si="1198"/>
        <v>78915001</v>
      </c>
      <c r="D6595">
        <v>89301112</v>
      </c>
      <c r="E6595" t="str">
        <f>"0505186165"</f>
        <v>0505186165</v>
      </c>
      <c r="F6595" s="1">
        <v>45093</v>
      </c>
      <c r="G6595" t="str">
        <f>"09569"</f>
        <v>09569</v>
      </c>
      <c r="H6595">
        <v>1</v>
      </c>
      <c r="I6595">
        <v>0</v>
      </c>
      <c r="J6595">
        <v>0</v>
      </c>
      <c r="K6595" t="str">
        <f t="shared" si="1193"/>
        <v>809</v>
      </c>
      <c r="L6595">
        <v>0</v>
      </c>
    </row>
    <row r="6596" spans="1:12" x14ac:dyDescent="0.25">
      <c r="A6596" t="str">
        <f t="shared" si="1199"/>
        <v>89301000</v>
      </c>
      <c r="B6596" t="str">
        <f t="shared" si="1197"/>
        <v>78915000</v>
      </c>
      <c r="C6596" t="str">
        <f t="shared" si="1198"/>
        <v>78915001</v>
      </c>
      <c r="D6596">
        <v>89301112</v>
      </c>
      <c r="E6596" t="str">
        <f>"0505186165"</f>
        <v>0505186165</v>
      </c>
      <c r="F6596" s="1">
        <v>45093</v>
      </c>
      <c r="G6596" t="str">
        <f>"89713"</f>
        <v>89713</v>
      </c>
      <c r="H6596">
        <v>1</v>
      </c>
      <c r="I6596">
        <v>5411</v>
      </c>
      <c r="J6596">
        <v>0</v>
      </c>
      <c r="K6596" t="str">
        <f t="shared" si="1193"/>
        <v>809</v>
      </c>
      <c r="L6596">
        <v>3517.15</v>
      </c>
    </row>
    <row r="6597" spans="1:12" x14ac:dyDescent="0.25">
      <c r="A6597" t="str">
        <f t="shared" si="1199"/>
        <v>89301000</v>
      </c>
      <c r="B6597" t="str">
        <f t="shared" si="1197"/>
        <v>78915000</v>
      </c>
      <c r="C6597" t="str">
        <f t="shared" si="1198"/>
        <v>78915001</v>
      </c>
      <c r="D6597">
        <v>89301042</v>
      </c>
      <c r="E6597" t="str">
        <f>"376231428"</f>
        <v>376231428</v>
      </c>
      <c r="F6597" s="1">
        <v>45090</v>
      </c>
      <c r="G6597" t="str">
        <f>"89713"</f>
        <v>89713</v>
      </c>
      <c r="H6597">
        <v>1</v>
      </c>
      <c r="I6597">
        <v>5411</v>
      </c>
      <c r="J6597">
        <v>0</v>
      </c>
      <c r="K6597" t="str">
        <f t="shared" si="1193"/>
        <v>809</v>
      </c>
      <c r="L6597">
        <v>3517.15</v>
      </c>
    </row>
    <row r="6598" spans="1:12" x14ac:dyDescent="0.25">
      <c r="A6598" t="str">
        <f t="shared" si="1199"/>
        <v>89301000</v>
      </c>
      <c r="B6598" t="str">
        <f t="shared" si="1197"/>
        <v>78915000</v>
      </c>
      <c r="C6598" t="str">
        <f t="shared" si="1198"/>
        <v>78915001</v>
      </c>
      <c r="D6598">
        <v>89301042</v>
      </c>
      <c r="E6598" t="str">
        <f>"376231428"</f>
        <v>376231428</v>
      </c>
      <c r="F6598" s="1">
        <v>45090</v>
      </c>
      <c r="G6598" t="str">
        <f>"89725"</f>
        <v>89725</v>
      </c>
      <c r="H6598">
        <v>1</v>
      </c>
      <c r="I6598">
        <v>2863</v>
      </c>
      <c r="J6598">
        <v>0</v>
      </c>
      <c r="K6598" t="str">
        <f t="shared" si="1193"/>
        <v>809</v>
      </c>
      <c r="L6598">
        <v>1860.95</v>
      </c>
    </row>
    <row r="6599" spans="1:12" x14ac:dyDescent="0.25">
      <c r="A6599" t="str">
        <f t="shared" si="1199"/>
        <v>89301000</v>
      </c>
      <c r="B6599" t="str">
        <f t="shared" si="1197"/>
        <v>78915000</v>
      </c>
      <c r="C6599" t="str">
        <f t="shared" si="1198"/>
        <v>78915001</v>
      </c>
      <c r="D6599">
        <v>89301074</v>
      </c>
      <c r="E6599" t="str">
        <f>"475428404"</f>
        <v>475428404</v>
      </c>
      <c r="F6599" s="1">
        <v>45085</v>
      </c>
      <c r="G6599" t="str">
        <f>"89713"</f>
        <v>89713</v>
      </c>
      <c r="H6599">
        <v>1</v>
      </c>
      <c r="I6599">
        <v>5411</v>
      </c>
      <c r="J6599">
        <v>0</v>
      </c>
      <c r="K6599" t="str">
        <f t="shared" si="1193"/>
        <v>809</v>
      </c>
      <c r="L6599">
        <v>3517.15</v>
      </c>
    </row>
    <row r="6600" spans="1:12" x14ac:dyDescent="0.25">
      <c r="A6600" t="str">
        <f t="shared" si="1199"/>
        <v>89301000</v>
      </c>
      <c r="B6600" t="str">
        <f t="shared" si="1197"/>
        <v>78915000</v>
      </c>
      <c r="C6600" t="str">
        <f t="shared" si="1198"/>
        <v>78915001</v>
      </c>
      <c r="D6600">
        <v>89301074</v>
      </c>
      <c r="E6600" t="str">
        <f>"475428404"</f>
        <v>475428404</v>
      </c>
      <c r="F6600" s="1">
        <v>45085</v>
      </c>
      <c r="G6600" t="str">
        <f>"89725"</f>
        <v>89725</v>
      </c>
      <c r="H6600">
        <v>1</v>
      </c>
      <c r="I6600">
        <v>2863</v>
      </c>
      <c r="J6600">
        <v>0</v>
      </c>
      <c r="K6600" t="str">
        <f t="shared" ref="K6600:K6663" si="1200">"809"</f>
        <v>809</v>
      </c>
      <c r="L6600">
        <v>1860.95</v>
      </c>
    </row>
    <row r="6601" spans="1:12" x14ac:dyDescent="0.25">
      <c r="A6601" t="str">
        <f t="shared" si="1199"/>
        <v>89301000</v>
      </c>
      <c r="B6601" t="str">
        <f t="shared" si="1197"/>
        <v>78915000</v>
      </c>
      <c r="C6601" t="str">
        <f t="shared" si="1198"/>
        <v>78915001</v>
      </c>
      <c r="D6601">
        <v>89301215</v>
      </c>
      <c r="E6601" t="str">
        <f>"495428108"</f>
        <v>495428108</v>
      </c>
      <c r="F6601" s="1">
        <v>45098</v>
      </c>
      <c r="G6601" t="str">
        <f>"89715"</f>
        <v>89715</v>
      </c>
      <c r="H6601">
        <v>1</v>
      </c>
      <c r="I6601">
        <v>5523</v>
      </c>
      <c r="J6601">
        <v>0</v>
      </c>
      <c r="K6601" t="str">
        <f t="shared" si="1200"/>
        <v>809</v>
      </c>
      <c r="L6601">
        <v>3589.95</v>
      </c>
    </row>
    <row r="6602" spans="1:12" x14ac:dyDescent="0.25">
      <c r="A6602" t="str">
        <f t="shared" si="1199"/>
        <v>89301000</v>
      </c>
      <c r="B6602" t="str">
        <f t="shared" si="1197"/>
        <v>78915000</v>
      </c>
      <c r="C6602" t="str">
        <f t="shared" si="1198"/>
        <v>78915001</v>
      </c>
      <c r="D6602">
        <v>89301215</v>
      </c>
      <c r="E6602" t="str">
        <f>"495428108"</f>
        <v>495428108</v>
      </c>
      <c r="F6602" s="1">
        <v>45098</v>
      </c>
      <c r="G6602" t="str">
        <f>"89725"</f>
        <v>89725</v>
      </c>
      <c r="H6602">
        <v>1</v>
      </c>
      <c r="I6602">
        <v>2863</v>
      </c>
      <c r="J6602">
        <v>0</v>
      </c>
      <c r="K6602" t="str">
        <f t="shared" si="1200"/>
        <v>809</v>
      </c>
      <c r="L6602">
        <v>1860.95</v>
      </c>
    </row>
    <row r="6603" spans="1:12" x14ac:dyDescent="0.25">
      <c r="A6603" t="str">
        <f t="shared" si="1199"/>
        <v>89301000</v>
      </c>
      <c r="B6603" t="str">
        <f t="shared" si="1197"/>
        <v>78915000</v>
      </c>
      <c r="C6603" t="str">
        <f t="shared" si="1198"/>
        <v>78915001</v>
      </c>
      <c r="D6603">
        <v>89301215</v>
      </c>
      <c r="E6603" t="str">
        <f>"495428108"</f>
        <v>495428108</v>
      </c>
      <c r="F6603" s="1">
        <v>45098</v>
      </c>
      <c r="G6603" t="str">
        <f>"0207733"</f>
        <v>0207733</v>
      </c>
      <c r="H6603">
        <v>1</v>
      </c>
      <c r="J6603">
        <v>2590.5300000000002</v>
      </c>
      <c r="K6603" t="str">
        <f t="shared" si="1200"/>
        <v>809</v>
      </c>
      <c r="L6603">
        <v>2590.5300000000002</v>
      </c>
    </row>
    <row r="6604" spans="1:12" x14ac:dyDescent="0.25">
      <c r="A6604" t="str">
        <f t="shared" si="1199"/>
        <v>89301000</v>
      </c>
      <c r="B6604" t="str">
        <f t="shared" si="1197"/>
        <v>78915000</v>
      </c>
      <c r="C6604" t="str">
        <f t="shared" si="1198"/>
        <v>78915001</v>
      </c>
      <c r="D6604">
        <v>89301112</v>
      </c>
      <c r="E6604" t="str">
        <f>"535221069"</f>
        <v>535221069</v>
      </c>
      <c r="F6604" s="1">
        <v>45085</v>
      </c>
      <c r="G6604" t="str">
        <f>"09569"</f>
        <v>09569</v>
      </c>
      <c r="H6604">
        <v>1</v>
      </c>
      <c r="I6604">
        <v>0</v>
      </c>
      <c r="J6604">
        <v>0</v>
      </c>
      <c r="K6604" t="str">
        <f t="shared" si="1200"/>
        <v>809</v>
      </c>
      <c r="L6604">
        <v>0</v>
      </c>
    </row>
    <row r="6605" spans="1:12" x14ac:dyDescent="0.25">
      <c r="A6605" t="str">
        <f t="shared" si="1199"/>
        <v>89301000</v>
      </c>
      <c r="B6605" t="str">
        <f t="shared" si="1197"/>
        <v>78915000</v>
      </c>
      <c r="C6605" t="str">
        <f t="shared" si="1198"/>
        <v>78915001</v>
      </c>
      <c r="D6605">
        <v>89301112</v>
      </c>
      <c r="E6605" t="str">
        <f>"535221069"</f>
        <v>535221069</v>
      </c>
      <c r="F6605" s="1">
        <v>45085</v>
      </c>
      <c r="G6605" t="str">
        <f>"89713"</f>
        <v>89713</v>
      </c>
      <c r="H6605">
        <v>1</v>
      </c>
      <c r="I6605">
        <v>5411</v>
      </c>
      <c r="J6605">
        <v>0</v>
      </c>
      <c r="K6605" t="str">
        <f t="shared" si="1200"/>
        <v>809</v>
      </c>
      <c r="L6605">
        <v>3517.15</v>
      </c>
    </row>
    <row r="6606" spans="1:12" x14ac:dyDescent="0.25">
      <c r="A6606" t="str">
        <f t="shared" si="1199"/>
        <v>89301000</v>
      </c>
      <c r="B6606" t="str">
        <f t="shared" si="1197"/>
        <v>78915000</v>
      </c>
      <c r="C6606" t="str">
        <f t="shared" si="1198"/>
        <v>78915001</v>
      </c>
      <c r="D6606">
        <v>89301062</v>
      </c>
      <c r="E6606" t="str">
        <f>"5701210416"</f>
        <v>5701210416</v>
      </c>
      <c r="F6606" s="1">
        <v>45093</v>
      </c>
      <c r="G6606" t="str">
        <f>"89713"</f>
        <v>89713</v>
      </c>
      <c r="H6606">
        <v>1</v>
      </c>
      <c r="I6606">
        <v>5411</v>
      </c>
      <c r="J6606">
        <v>0</v>
      </c>
      <c r="K6606" t="str">
        <f t="shared" si="1200"/>
        <v>809</v>
      </c>
      <c r="L6606">
        <v>3517.15</v>
      </c>
    </row>
    <row r="6607" spans="1:12" x14ac:dyDescent="0.25">
      <c r="A6607" t="str">
        <f t="shared" si="1199"/>
        <v>89301000</v>
      </c>
      <c r="B6607" t="str">
        <f t="shared" si="1197"/>
        <v>78915000</v>
      </c>
      <c r="C6607" t="str">
        <f t="shared" si="1198"/>
        <v>78915001</v>
      </c>
      <c r="D6607">
        <v>89301062</v>
      </c>
      <c r="E6607" t="str">
        <f>"5701210416"</f>
        <v>5701210416</v>
      </c>
      <c r="F6607" s="1">
        <v>45093</v>
      </c>
      <c r="G6607" t="str">
        <f>"89725"</f>
        <v>89725</v>
      </c>
      <c r="H6607">
        <v>1</v>
      </c>
      <c r="I6607">
        <v>2863</v>
      </c>
      <c r="J6607">
        <v>0</v>
      </c>
      <c r="K6607" t="str">
        <f t="shared" si="1200"/>
        <v>809</v>
      </c>
      <c r="L6607">
        <v>1860.95</v>
      </c>
    </row>
    <row r="6608" spans="1:12" x14ac:dyDescent="0.25">
      <c r="A6608" t="str">
        <f t="shared" si="1199"/>
        <v>89301000</v>
      </c>
      <c r="B6608" t="str">
        <f t="shared" si="1197"/>
        <v>78915000</v>
      </c>
      <c r="C6608" t="str">
        <f t="shared" si="1198"/>
        <v>78915001</v>
      </c>
      <c r="D6608">
        <v>89301312</v>
      </c>
      <c r="E6608" t="str">
        <f>"5801310240"</f>
        <v>5801310240</v>
      </c>
      <c r="F6608" s="1">
        <v>45092</v>
      </c>
      <c r="G6608" t="str">
        <f>"09569"</f>
        <v>09569</v>
      </c>
      <c r="H6608">
        <v>1</v>
      </c>
      <c r="I6608">
        <v>0</v>
      </c>
      <c r="J6608">
        <v>0</v>
      </c>
      <c r="K6608" t="str">
        <f t="shared" si="1200"/>
        <v>809</v>
      </c>
      <c r="L6608">
        <v>0</v>
      </c>
    </row>
    <row r="6609" spans="1:12" x14ac:dyDescent="0.25">
      <c r="A6609" t="str">
        <f t="shared" si="1199"/>
        <v>89301000</v>
      </c>
      <c r="B6609" t="str">
        <f t="shared" si="1197"/>
        <v>78915000</v>
      </c>
      <c r="C6609" t="str">
        <f t="shared" si="1198"/>
        <v>78915001</v>
      </c>
      <c r="D6609">
        <v>89301312</v>
      </c>
      <c r="E6609" t="str">
        <f>"5801310240"</f>
        <v>5801310240</v>
      </c>
      <c r="F6609" s="1">
        <v>45092</v>
      </c>
      <c r="G6609" t="str">
        <f>"89713"</f>
        <v>89713</v>
      </c>
      <c r="H6609">
        <v>1</v>
      </c>
      <c r="I6609">
        <v>5411</v>
      </c>
      <c r="J6609">
        <v>0</v>
      </c>
      <c r="K6609" t="str">
        <f t="shared" si="1200"/>
        <v>809</v>
      </c>
      <c r="L6609">
        <v>3517.15</v>
      </c>
    </row>
    <row r="6610" spans="1:12" x14ac:dyDescent="0.25">
      <c r="A6610" t="str">
        <f t="shared" si="1199"/>
        <v>89301000</v>
      </c>
      <c r="B6610" t="str">
        <f t="shared" si="1197"/>
        <v>78915000</v>
      </c>
      <c r="C6610" t="str">
        <f t="shared" si="1198"/>
        <v>78915001</v>
      </c>
      <c r="D6610">
        <v>89301171</v>
      </c>
      <c r="E6610" t="str">
        <f>"6405170068"</f>
        <v>6405170068</v>
      </c>
      <c r="F6610" s="1">
        <v>45106</v>
      </c>
      <c r="G6610" t="str">
        <f>"89713"</f>
        <v>89713</v>
      </c>
      <c r="H6610">
        <v>1</v>
      </c>
      <c r="I6610">
        <v>5411</v>
      </c>
      <c r="J6610">
        <v>0</v>
      </c>
      <c r="K6610" t="str">
        <f t="shared" si="1200"/>
        <v>809</v>
      </c>
      <c r="L6610">
        <v>3517.15</v>
      </c>
    </row>
    <row r="6611" spans="1:12" x14ac:dyDescent="0.25">
      <c r="A6611" t="str">
        <f t="shared" si="1199"/>
        <v>89301000</v>
      </c>
      <c r="B6611" t="str">
        <f t="shared" si="1197"/>
        <v>78915000</v>
      </c>
      <c r="C6611" t="str">
        <f t="shared" si="1198"/>
        <v>78915001</v>
      </c>
      <c r="D6611">
        <v>89301171</v>
      </c>
      <c r="E6611" t="str">
        <f>"6405170068"</f>
        <v>6405170068</v>
      </c>
      <c r="F6611" s="1">
        <v>45106</v>
      </c>
      <c r="G6611" t="str">
        <f>"89725"</f>
        <v>89725</v>
      </c>
      <c r="H6611">
        <v>1</v>
      </c>
      <c r="I6611">
        <v>2863</v>
      </c>
      <c r="J6611">
        <v>0</v>
      </c>
      <c r="K6611" t="str">
        <f t="shared" si="1200"/>
        <v>809</v>
      </c>
      <c r="L6611">
        <v>1860.95</v>
      </c>
    </row>
    <row r="6612" spans="1:12" x14ac:dyDescent="0.25">
      <c r="A6612" t="str">
        <f t="shared" si="1199"/>
        <v>89301000</v>
      </c>
      <c r="B6612" t="str">
        <f t="shared" si="1197"/>
        <v>78915000</v>
      </c>
      <c r="C6612" t="str">
        <f t="shared" si="1198"/>
        <v>78915001</v>
      </c>
      <c r="D6612">
        <v>89301112</v>
      </c>
      <c r="E6612" t="str">
        <f>"6453270934"</f>
        <v>6453270934</v>
      </c>
      <c r="F6612" s="1">
        <v>45089</v>
      </c>
      <c r="G6612" t="str">
        <f>"09567"</f>
        <v>09567</v>
      </c>
      <c r="H6612">
        <v>1</v>
      </c>
      <c r="I6612">
        <v>0</v>
      </c>
      <c r="J6612">
        <v>0</v>
      </c>
      <c r="K6612" t="str">
        <f t="shared" si="1200"/>
        <v>809</v>
      </c>
      <c r="L6612">
        <v>0</v>
      </c>
    </row>
    <row r="6613" spans="1:12" x14ac:dyDescent="0.25">
      <c r="A6613" t="str">
        <f t="shared" si="1199"/>
        <v>89301000</v>
      </c>
      <c r="B6613" t="str">
        <f t="shared" si="1197"/>
        <v>78915000</v>
      </c>
      <c r="C6613" t="str">
        <f t="shared" si="1198"/>
        <v>78915001</v>
      </c>
      <c r="D6613">
        <v>89301112</v>
      </c>
      <c r="E6613" t="str">
        <f>"6453270934"</f>
        <v>6453270934</v>
      </c>
      <c r="F6613" s="1">
        <v>45089</v>
      </c>
      <c r="G6613" t="str">
        <f>"89713"</f>
        <v>89713</v>
      </c>
      <c r="H6613">
        <v>1</v>
      </c>
      <c r="I6613">
        <v>5411</v>
      </c>
      <c r="J6613">
        <v>0</v>
      </c>
      <c r="K6613" t="str">
        <f t="shared" si="1200"/>
        <v>809</v>
      </c>
      <c r="L6613">
        <v>3517.15</v>
      </c>
    </row>
    <row r="6614" spans="1:12" x14ac:dyDescent="0.25">
      <c r="A6614" t="str">
        <f t="shared" si="1199"/>
        <v>89301000</v>
      </c>
      <c r="B6614" t="str">
        <f t="shared" si="1197"/>
        <v>78915000</v>
      </c>
      <c r="C6614" t="str">
        <f t="shared" si="1198"/>
        <v>78915001</v>
      </c>
      <c r="D6614">
        <v>89301606</v>
      </c>
      <c r="E6614" t="str">
        <f>"6502250491"</f>
        <v>6502250491</v>
      </c>
      <c r="F6614" s="1">
        <v>45107</v>
      </c>
      <c r="G6614" t="str">
        <f>"89713"</f>
        <v>89713</v>
      </c>
      <c r="H6614">
        <v>1</v>
      </c>
      <c r="I6614">
        <v>5411</v>
      </c>
      <c r="J6614">
        <v>0</v>
      </c>
      <c r="K6614" t="str">
        <f t="shared" si="1200"/>
        <v>809</v>
      </c>
      <c r="L6614">
        <v>3517.15</v>
      </c>
    </row>
    <row r="6615" spans="1:12" x14ac:dyDescent="0.25">
      <c r="A6615" t="str">
        <f t="shared" si="1199"/>
        <v>89301000</v>
      </c>
      <c r="B6615" t="str">
        <f t="shared" si="1197"/>
        <v>78915000</v>
      </c>
      <c r="C6615" t="str">
        <f t="shared" si="1198"/>
        <v>78915001</v>
      </c>
      <c r="D6615">
        <v>89301606</v>
      </c>
      <c r="E6615" t="str">
        <f>"6502250491"</f>
        <v>6502250491</v>
      </c>
      <c r="F6615" s="1">
        <v>45107</v>
      </c>
      <c r="G6615" t="str">
        <f>"89725"</f>
        <v>89725</v>
      </c>
      <c r="H6615">
        <v>1</v>
      </c>
      <c r="I6615">
        <v>2863</v>
      </c>
      <c r="J6615">
        <v>0</v>
      </c>
      <c r="K6615" t="str">
        <f t="shared" si="1200"/>
        <v>809</v>
      </c>
      <c r="L6615">
        <v>1860.95</v>
      </c>
    </row>
    <row r="6616" spans="1:12" x14ac:dyDescent="0.25">
      <c r="A6616" t="str">
        <f t="shared" si="1199"/>
        <v>89301000</v>
      </c>
      <c r="B6616" t="str">
        <f t="shared" si="1197"/>
        <v>78915000</v>
      </c>
      <c r="C6616" t="str">
        <f t="shared" si="1198"/>
        <v>78915001</v>
      </c>
      <c r="D6616">
        <v>89301062</v>
      </c>
      <c r="E6616" t="str">
        <f>"6802281530"</f>
        <v>6802281530</v>
      </c>
      <c r="F6616" s="1">
        <v>45083</v>
      </c>
      <c r="G6616" t="str">
        <f>"89713"</f>
        <v>89713</v>
      </c>
      <c r="H6616">
        <v>1</v>
      </c>
      <c r="I6616">
        <v>5411</v>
      </c>
      <c r="J6616">
        <v>0</v>
      </c>
      <c r="K6616" t="str">
        <f t="shared" si="1200"/>
        <v>809</v>
      </c>
      <c r="L6616">
        <v>3517.15</v>
      </c>
    </row>
    <row r="6617" spans="1:12" x14ac:dyDescent="0.25">
      <c r="A6617" t="str">
        <f t="shared" si="1199"/>
        <v>89301000</v>
      </c>
      <c r="B6617" t="str">
        <f t="shared" si="1197"/>
        <v>78915000</v>
      </c>
      <c r="C6617" t="str">
        <f t="shared" si="1198"/>
        <v>78915001</v>
      </c>
      <c r="D6617">
        <v>89301062</v>
      </c>
      <c r="E6617" t="str">
        <f>"6802281530"</f>
        <v>6802281530</v>
      </c>
      <c r="F6617" s="1">
        <v>45083</v>
      </c>
      <c r="G6617" t="str">
        <f>"89725"</f>
        <v>89725</v>
      </c>
      <c r="H6617">
        <v>1</v>
      </c>
      <c r="I6617">
        <v>2863</v>
      </c>
      <c r="J6617">
        <v>0</v>
      </c>
      <c r="K6617" t="str">
        <f t="shared" si="1200"/>
        <v>809</v>
      </c>
      <c r="L6617">
        <v>1860.95</v>
      </c>
    </row>
    <row r="6618" spans="1:12" x14ac:dyDescent="0.25">
      <c r="A6618" t="str">
        <f t="shared" si="1199"/>
        <v>89301000</v>
      </c>
      <c r="B6618" t="str">
        <f t="shared" si="1197"/>
        <v>78915000</v>
      </c>
      <c r="C6618" t="str">
        <f t="shared" si="1198"/>
        <v>78915001</v>
      </c>
      <c r="D6618">
        <v>89301112</v>
      </c>
      <c r="E6618" t="str">
        <f>"6912245329"</f>
        <v>6912245329</v>
      </c>
      <c r="F6618" s="1">
        <v>45092</v>
      </c>
      <c r="G6618" t="str">
        <f>"89713"</f>
        <v>89713</v>
      </c>
      <c r="H6618">
        <v>1</v>
      </c>
      <c r="I6618">
        <v>5411</v>
      </c>
      <c r="J6618">
        <v>0</v>
      </c>
      <c r="K6618" t="str">
        <f t="shared" si="1200"/>
        <v>809</v>
      </c>
      <c r="L6618">
        <v>3517.15</v>
      </c>
    </row>
    <row r="6619" spans="1:12" x14ac:dyDescent="0.25">
      <c r="A6619" t="str">
        <f t="shared" si="1199"/>
        <v>89301000</v>
      </c>
      <c r="B6619" t="str">
        <f t="shared" si="1197"/>
        <v>78915000</v>
      </c>
      <c r="C6619" t="str">
        <f t="shared" si="1198"/>
        <v>78915001</v>
      </c>
      <c r="D6619">
        <v>89301112</v>
      </c>
      <c r="E6619" t="str">
        <f>"6912245329"</f>
        <v>6912245329</v>
      </c>
      <c r="F6619" s="1">
        <v>45092</v>
      </c>
      <c r="G6619" t="str">
        <f>"89725"</f>
        <v>89725</v>
      </c>
      <c r="H6619">
        <v>1</v>
      </c>
      <c r="I6619">
        <v>2863</v>
      </c>
      <c r="J6619">
        <v>0</v>
      </c>
      <c r="K6619" t="str">
        <f t="shared" si="1200"/>
        <v>809</v>
      </c>
      <c r="L6619">
        <v>1860.95</v>
      </c>
    </row>
    <row r="6620" spans="1:12" x14ac:dyDescent="0.25">
      <c r="A6620" t="str">
        <f t="shared" si="1199"/>
        <v>89301000</v>
      </c>
      <c r="B6620" t="str">
        <f t="shared" si="1197"/>
        <v>78915000</v>
      </c>
      <c r="C6620" t="str">
        <f t="shared" si="1198"/>
        <v>78915001</v>
      </c>
      <c r="D6620">
        <v>89301112</v>
      </c>
      <c r="E6620" t="str">
        <f>"6956095322"</f>
        <v>6956095322</v>
      </c>
      <c r="F6620" s="1">
        <v>45078</v>
      </c>
      <c r="G6620" t="str">
        <f>"09569"</f>
        <v>09569</v>
      </c>
      <c r="H6620">
        <v>1</v>
      </c>
      <c r="I6620">
        <v>0</v>
      </c>
      <c r="J6620">
        <v>0</v>
      </c>
      <c r="K6620" t="str">
        <f t="shared" si="1200"/>
        <v>809</v>
      </c>
      <c r="L6620">
        <v>0</v>
      </c>
    </row>
    <row r="6621" spans="1:12" x14ac:dyDescent="0.25">
      <c r="A6621" t="str">
        <f t="shared" si="1199"/>
        <v>89301000</v>
      </c>
      <c r="B6621" t="str">
        <f t="shared" ref="B6621:B6652" si="1201">"78915000"</f>
        <v>78915000</v>
      </c>
      <c r="C6621" t="str">
        <f t="shared" ref="C6621:C6652" si="1202">"78915001"</f>
        <v>78915001</v>
      </c>
      <c r="D6621">
        <v>89301112</v>
      </c>
      <c r="E6621" t="str">
        <f>"6956095322"</f>
        <v>6956095322</v>
      </c>
      <c r="F6621" s="1">
        <v>45078</v>
      </c>
      <c r="G6621" t="str">
        <f>"89713"</f>
        <v>89713</v>
      </c>
      <c r="H6621">
        <v>1</v>
      </c>
      <c r="I6621">
        <v>5411</v>
      </c>
      <c r="J6621">
        <v>0</v>
      </c>
      <c r="K6621" t="str">
        <f t="shared" si="1200"/>
        <v>809</v>
      </c>
      <c r="L6621">
        <v>3517.15</v>
      </c>
    </row>
    <row r="6622" spans="1:12" x14ac:dyDescent="0.25">
      <c r="A6622" t="str">
        <f t="shared" si="1199"/>
        <v>89301000</v>
      </c>
      <c r="B6622" t="str">
        <f t="shared" si="1201"/>
        <v>78915000</v>
      </c>
      <c r="C6622" t="str">
        <f t="shared" si="1202"/>
        <v>78915001</v>
      </c>
      <c r="D6622">
        <v>89301172</v>
      </c>
      <c r="E6622" t="str">
        <f>"7053065316"</f>
        <v>7053065316</v>
      </c>
      <c r="F6622" s="1">
        <v>45101</v>
      </c>
      <c r="G6622" t="str">
        <f>"89713"</f>
        <v>89713</v>
      </c>
      <c r="H6622">
        <v>1</v>
      </c>
      <c r="I6622">
        <v>5411</v>
      </c>
      <c r="J6622">
        <v>0</v>
      </c>
      <c r="K6622" t="str">
        <f t="shared" si="1200"/>
        <v>809</v>
      </c>
      <c r="L6622">
        <v>3517.15</v>
      </c>
    </row>
    <row r="6623" spans="1:12" x14ac:dyDescent="0.25">
      <c r="A6623" t="str">
        <f t="shared" si="1199"/>
        <v>89301000</v>
      </c>
      <c r="B6623" t="str">
        <f t="shared" si="1201"/>
        <v>78915000</v>
      </c>
      <c r="C6623" t="str">
        <f t="shared" si="1202"/>
        <v>78915001</v>
      </c>
      <c r="D6623">
        <v>89301062</v>
      </c>
      <c r="E6623" t="str">
        <f>"7154105706"</f>
        <v>7154105706</v>
      </c>
      <c r="F6623" s="1">
        <v>45089</v>
      </c>
      <c r="G6623" t="str">
        <f>"89713"</f>
        <v>89713</v>
      </c>
      <c r="H6623">
        <v>1</v>
      </c>
      <c r="I6623">
        <v>5411</v>
      </c>
      <c r="J6623">
        <v>0</v>
      </c>
      <c r="K6623" t="str">
        <f t="shared" si="1200"/>
        <v>809</v>
      </c>
      <c r="L6623">
        <v>3517.15</v>
      </c>
    </row>
    <row r="6624" spans="1:12" x14ac:dyDescent="0.25">
      <c r="A6624" t="str">
        <f t="shared" si="1199"/>
        <v>89301000</v>
      </c>
      <c r="B6624" t="str">
        <f t="shared" si="1201"/>
        <v>78915000</v>
      </c>
      <c r="C6624" t="str">
        <f t="shared" si="1202"/>
        <v>78915001</v>
      </c>
      <c r="D6624">
        <v>89301062</v>
      </c>
      <c r="E6624" t="str">
        <f>"7154105706"</f>
        <v>7154105706</v>
      </c>
      <c r="F6624" s="1">
        <v>45089</v>
      </c>
      <c r="G6624" t="str">
        <f>"89725"</f>
        <v>89725</v>
      </c>
      <c r="H6624">
        <v>1</v>
      </c>
      <c r="I6624">
        <v>2863</v>
      </c>
      <c r="J6624">
        <v>0</v>
      </c>
      <c r="K6624" t="str">
        <f t="shared" si="1200"/>
        <v>809</v>
      </c>
      <c r="L6624">
        <v>1860.95</v>
      </c>
    </row>
    <row r="6625" spans="1:12" x14ac:dyDescent="0.25">
      <c r="A6625" t="str">
        <f t="shared" si="1199"/>
        <v>89301000</v>
      </c>
      <c r="B6625" t="str">
        <f t="shared" si="1201"/>
        <v>78915000</v>
      </c>
      <c r="C6625" t="str">
        <f t="shared" si="1202"/>
        <v>78915001</v>
      </c>
      <c r="D6625">
        <v>89301112</v>
      </c>
      <c r="E6625" t="str">
        <f>"7155305685"</f>
        <v>7155305685</v>
      </c>
      <c r="F6625" s="1">
        <v>45103</v>
      </c>
      <c r="G6625" t="str">
        <f>"09567"</f>
        <v>09567</v>
      </c>
      <c r="H6625">
        <v>1</v>
      </c>
      <c r="I6625">
        <v>0</v>
      </c>
      <c r="J6625">
        <v>0</v>
      </c>
      <c r="K6625" t="str">
        <f t="shared" si="1200"/>
        <v>809</v>
      </c>
      <c r="L6625">
        <v>0</v>
      </c>
    </row>
    <row r="6626" spans="1:12" x14ac:dyDescent="0.25">
      <c r="A6626" t="str">
        <f t="shared" si="1199"/>
        <v>89301000</v>
      </c>
      <c r="B6626" t="str">
        <f t="shared" si="1201"/>
        <v>78915000</v>
      </c>
      <c r="C6626" t="str">
        <f t="shared" si="1202"/>
        <v>78915001</v>
      </c>
      <c r="D6626">
        <v>89301112</v>
      </c>
      <c r="E6626" t="str">
        <f>"7155305685"</f>
        <v>7155305685</v>
      </c>
      <c r="F6626" s="1">
        <v>45103</v>
      </c>
      <c r="G6626" t="str">
        <f>"89713"</f>
        <v>89713</v>
      </c>
      <c r="H6626">
        <v>1</v>
      </c>
      <c r="I6626">
        <v>5411</v>
      </c>
      <c r="J6626">
        <v>0</v>
      </c>
      <c r="K6626" t="str">
        <f t="shared" si="1200"/>
        <v>809</v>
      </c>
      <c r="L6626">
        <v>3517.15</v>
      </c>
    </row>
    <row r="6627" spans="1:12" x14ac:dyDescent="0.25">
      <c r="A6627" t="str">
        <f t="shared" si="1199"/>
        <v>89301000</v>
      </c>
      <c r="B6627" t="str">
        <f t="shared" si="1201"/>
        <v>78915000</v>
      </c>
      <c r="C6627" t="str">
        <f t="shared" si="1202"/>
        <v>78915001</v>
      </c>
      <c r="D6627">
        <v>89301172</v>
      </c>
      <c r="E6627" t="str">
        <f>"7157294881"</f>
        <v>7157294881</v>
      </c>
      <c r="F6627" s="1">
        <v>45105</v>
      </c>
      <c r="G6627" t="str">
        <f>"89713"</f>
        <v>89713</v>
      </c>
      <c r="H6627">
        <v>1</v>
      </c>
      <c r="I6627">
        <v>5411</v>
      </c>
      <c r="J6627">
        <v>0</v>
      </c>
      <c r="K6627" t="str">
        <f t="shared" si="1200"/>
        <v>809</v>
      </c>
      <c r="L6627">
        <v>3517.15</v>
      </c>
    </row>
    <row r="6628" spans="1:12" x14ac:dyDescent="0.25">
      <c r="A6628" t="str">
        <f t="shared" si="1199"/>
        <v>89301000</v>
      </c>
      <c r="B6628" t="str">
        <f t="shared" si="1201"/>
        <v>78915000</v>
      </c>
      <c r="C6628" t="str">
        <f t="shared" si="1202"/>
        <v>78915001</v>
      </c>
      <c r="D6628">
        <v>89301172</v>
      </c>
      <c r="E6628" t="str">
        <f>"7157294881"</f>
        <v>7157294881</v>
      </c>
      <c r="F6628" s="1">
        <v>45105</v>
      </c>
      <c r="G6628" t="str">
        <f>"89725"</f>
        <v>89725</v>
      </c>
      <c r="H6628">
        <v>1</v>
      </c>
      <c r="I6628">
        <v>2863</v>
      </c>
      <c r="J6628">
        <v>0</v>
      </c>
      <c r="K6628" t="str">
        <f t="shared" si="1200"/>
        <v>809</v>
      </c>
      <c r="L6628">
        <v>1860.95</v>
      </c>
    </row>
    <row r="6629" spans="1:12" x14ac:dyDescent="0.25">
      <c r="A6629" t="str">
        <f t="shared" si="1199"/>
        <v>89301000</v>
      </c>
      <c r="B6629" t="str">
        <f t="shared" si="1201"/>
        <v>78915000</v>
      </c>
      <c r="C6629" t="str">
        <f t="shared" si="1202"/>
        <v>78915001</v>
      </c>
      <c r="D6629">
        <v>89301062</v>
      </c>
      <c r="E6629" t="str">
        <f>"7351165327"</f>
        <v>7351165327</v>
      </c>
      <c r="F6629" s="1">
        <v>45091</v>
      </c>
      <c r="G6629" t="str">
        <f>"89713"</f>
        <v>89713</v>
      </c>
      <c r="H6629">
        <v>1</v>
      </c>
      <c r="I6629">
        <v>5411</v>
      </c>
      <c r="J6629">
        <v>0</v>
      </c>
      <c r="K6629" t="str">
        <f t="shared" si="1200"/>
        <v>809</v>
      </c>
      <c r="L6629">
        <v>3517.15</v>
      </c>
    </row>
    <row r="6630" spans="1:12" x14ac:dyDescent="0.25">
      <c r="A6630" t="str">
        <f t="shared" si="1199"/>
        <v>89301000</v>
      </c>
      <c r="B6630" t="str">
        <f t="shared" si="1201"/>
        <v>78915000</v>
      </c>
      <c r="C6630" t="str">
        <f t="shared" si="1202"/>
        <v>78915001</v>
      </c>
      <c r="D6630">
        <v>89301062</v>
      </c>
      <c r="E6630" t="str">
        <f>"7351165327"</f>
        <v>7351165327</v>
      </c>
      <c r="F6630" s="1">
        <v>45091</v>
      </c>
      <c r="G6630" t="str">
        <f>"89725"</f>
        <v>89725</v>
      </c>
      <c r="H6630">
        <v>1</v>
      </c>
      <c r="I6630">
        <v>2863</v>
      </c>
      <c r="J6630">
        <v>0</v>
      </c>
      <c r="K6630" t="str">
        <f t="shared" si="1200"/>
        <v>809</v>
      </c>
      <c r="L6630">
        <v>1860.95</v>
      </c>
    </row>
    <row r="6631" spans="1:12" x14ac:dyDescent="0.25">
      <c r="A6631" t="str">
        <f t="shared" si="1199"/>
        <v>89301000</v>
      </c>
      <c r="B6631" t="str">
        <f t="shared" si="1201"/>
        <v>78915000</v>
      </c>
      <c r="C6631" t="str">
        <f t="shared" si="1202"/>
        <v>78915001</v>
      </c>
      <c r="D6631">
        <v>89301312</v>
      </c>
      <c r="E6631" t="str">
        <f>"7562065313"</f>
        <v>7562065313</v>
      </c>
      <c r="F6631" s="1">
        <v>45080</v>
      </c>
      <c r="G6631" t="str">
        <f>"09567"</f>
        <v>09567</v>
      </c>
      <c r="H6631">
        <v>1</v>
      </c>
      <c r="I6631">
        <v>0</v>
      </c>
      <c r="J6631">
        <v>0</v>
      </c>
      <c r="K6631" t="str">
        <f t="shared" si="1200"/>
        <v>809</v>
      </c>
      <c r="L6631">
        <v>0</v>
      </c>
    </row>
    <row r="6632" spans="1:12" x14ac:dyDescent="0.25">
      <c r="A6632" t="str">
        <f t="shared" si="1199"/>
        <v>89301000</v>
      </c>
      <c r="B6632" t="str">
        <f t="shared" si="1201"/>
        <v>78915000</v>
      </c>
      <c r="C6632" t="str">
        <f t="shared" si="1202"/>
        <v>78915001</v>
      </c>
      <c r="D6632">
        <v>89301312</v>
      </c>
      <c r="E6632" t="str">
        <f>"7562065313"</f>
        <v>7562065313</v>
      </c>
      <c r="F6632" s="1">
        <v>45080</v>
      </c>
      <c r="G6632" t="str">
        <f>"89713"</f>
        <v>89713</v>
      </c>
      <c r="H6632">
        <v>1</v>
      </c>
      <c r="I6632">
        <v>5411</v>
      </c>
      <c r="J6632">
        <v>0</v>
      </c>
      <c r="K6632" t="str">
        <f t="shared" si="1200"/>
        <v>809</v>
      </c>
      <c r="L6632">
        <v>3517.15</v>
      </c>
    </row>
    <row r="6633" spans="1:12" x14ac:dyDescent="0.25">
      <c r="A6633" t="str">
        <f t="shared" si="1199"/>
        <v>89301000</v>
      </c>
      <c r="B6633" t="str">
        <f t="shared" si="1201"/>
        <v>78915000</v>
      </c>
      <c r="C6633" t="str">
        <f t="shared" si="1202"/>
        <v>78915001</v>
      </c>
      <c r="D6633">
        <v>89301112</v>
      </c>
      <c r="E6633" t="str">
        <f>"7708285354"</f>
        <v>7708285354</v>
      </c>
      <c r="F6633" s="1">
        <v>45085</v>
      </c>
      <c r="G6633" t="str">
        <f>"09569"</f>
        <v>09569</v>
      </c>
      <c r="H6633">
        <v>1</v>
      </c>
      <c r="I6633">
        <v>0</v>
      </c>
      <c r="J6633">
        <v>0</v>
      </c>
      <c r="K6633" t="str">
        <f t="shared" si="1200"/>
        <v>809</v>
      </c>
      <c r="L6633">
        <v>0</v>
      </c>
    </row>
    <row r="6634" spans="1:12" x14ac:dyDescent="0.25">
      <c r="A6634" t="str">
        <f t="shared" si="1199"/>
        <v>89301000</v>
      </c>
      <c r="B6634" t="str">
        <f t="shared" si="1201"/>
        <v>78915000</v>
      </c>
      <c r="C6634" t="str">
        <f t="shared" si="1202"/>
        <v>78915001</v>
      </c>
      <c r="D6634">
        <v>89301112</v>
      </c>
      <c r="E6634" t="str">
        <f>"7708285354"</f>
        <v>7708285354</v>
      </c>
      <c r="F6634" s="1">
        <v>45085</v>
      </c>
      <c r="G6634" t="str">
        <f>"89713"</f>
        <v>89713</v>
      </c>
      <c r="H6634">
        <v>1</v>
      </c>
      <c r="I6634">
        <v>5411</v>
      </c>
      <c r="J6634">
        <v>0</v>
      </c>
      <c r="K6634" t="str">
        <f t="shared" si="1200"/>
        <v>809</v>
      </c>
      <c r="L6634">
        <v>3517.15</v>
      </c>
    </row>
    <row r="6635" spans="1:12" x14ac:dyDescent="0.25">
      <c r="A6635" t="str">
        <f t="shared" si="1199"/>
        <v>89301000</v>
      </c>
      <c r="B6635" t="str">
        <f t="shared" si="1201"/>
        <v>78915000</v>
      </c>
      <c r="C6635" t="str">
        <f t="shared" si="1202"/>
        <v>78915001</v>
      </c>
      <c r="D6635">
        <v>89301062</v>
      </c>
      <c r="E6635" t="str">
        <f>"7852224479"</f>
        <v>7852224479</v>
      </c>
      <c r="F6635" s="1">
        <v>45107</v>
      </c>
      <c r="G6635" t="str">
        <f>"89713"</f>
        <v>89713</v>
      </c>
      <c r="H6635">
        <v>1</v>
      </c>
      <c r="I6635">
        <v>5411</v>
      </c>
      <c r="J6635">
        <v>0</v>
      </c>
      <c r="K6635" t="str">
        <f t="shared" si="1200"/>
        <v>809</v>
      </c>
      <c r="L6635">
        <v>3517.15</v>
      </c>
    </row>
    <row r="6636" spans="1:12" x14ac:dyDescent="0.25">
      <c r="A6636" t="str">
        <f t="shared" si="1199"/>
        <v>89301000</v>
      </c>
      <c r="B6636" t="str">
        <f t="shared" si="1201"/>
        <v>78915000</v>
      </c>
      <c r="C6636" t="str">
        <f t="shared" si="1202"/>
        <v>78915001</v>
      </c>
      <c r="D6636">
        <v>89301062</v>
      </c>
      <c r="E6636" t="str">
        <f>"7852224479"</f>
        <v>7852224479</v>
      </c>
      <c r="F6636" s="1">
        <v>45107</v>
      </c>
      <c r="G6636" t="str">
        <f>"89725"</f>
        <v>89725</v>
      </c>
      <c r="H6636">
        <v>1</v>
      </c>
      <c r="I6636">
        <v>2863</v>
      </c>
      <c r="J6636">
        <v>0</v>
      </c>
      <c r="K6636" t="str">
        <f t="shared" si="1200"/>
        <v>809</v>
      </c>
      <c r="L6636">
        <v>1860.95</v>
      </c>
    </row>
    <row r="6637" spans="1:12" x14ac:dyDescent="0.25">
      <c r="A6637" t="str">
        <f t="shared" si="1199"/>
        <v>89301000</v>
      </c>
      <c r="B6637" t="str">
        <f t="shared" si="1201"/>
        <v>78915000</v>
      </c>
      <c r="C6637" t="str">
        <f t="shared" si="1202"/>
        <v>78915001</v>
      </c>
      <c r="D6637">
        <v>89301212</v>
      </c>
      <c r="E6637" t="str">
        <f>"8055045768"</f>
        <v>8055045768</v>
      </c>
      <c r="F6637" s="1">
        <v>45098</v>
      </c>
      <c r="G6637" t="str">
        <f>"89715"</f>
        <v>89715</v>
      </c>
      <c r="H6637">
        <v>1</v>
      </c>
      <c r="I6637">
        <v>5523</v>
      </c>
      <c r="J6637">
        <v>0</v>
      </c>
      <c r="K6637" t="str">
        <f t="shared" si="1200"/>
        <v>809</v>
      </c>
      <c r="L6637">
        <v>3589.95</v>
      </c>
    </row>
    <row r="6638" spans="1:12" x14ac:dyDescent="0.25">
      <c r="A6638" t="str">
        <f t="shared" si="1199"/>
        <v>89301000</v>
      </c>
      <c r="B6638" t="str">
        <f t="shared" si="1201"/>
        <v>78915000</v>
      </c>
      <c r="C6638" t="str">
        <f t="shared" si="1202"/>
        <v>78915001</v>
      </c>
      <c r="D6638">
        <v>89301212</v>
      </c>
      <c r="E6638" t="str">
        <f>"8055045768"</f>
        <v>8055045768</v>
      </c>
      <c r="F6638" s="1">
        <v>45098</v>
      </c>
      <c r="G6638" t="str">
        <f>"89725"</f>
        <v>89725</v>
      </c>
      <c r="H6638">
        <v>1</v>
      </c>
      <c r="I6638">
        <v>2863</v>
      </c>
      <c r="J6638">
        <v>0</v>
      </c>
      <c r="K6638" t="str">
        <f t="shared" si="1200"/>
        <v>809</v>
      </c>
      <c r="L6638">
        <v>1860.95</v>
      </c>
    </row>
    <row r="6639" spans="1:12" x14ac:dyDescent="0.25">
      <c r="A6639" t="str">
        <f t="shared" si="1199"/>
        <v>89301000</v>
      </c>
      <c r="B6639" t="str">
        <f t="shared" si="1201"/>
        <v>78915000</v>
      </c>
      <c r="C6639" t="str">
        <f t="shared" si="1202"/>
        <v>78915001</v>
      </c>
      <c r="D6639">
        <v>89301212</v>
      </c>
      <c r="E6639" t="str">
        <f>"8055045768"</f>
        <v>8055045768</v>
      </c>
      <c r="F6639" s="1">
        <v>45098</v>
      </c>
      <c r="G6639" t="str">
        <f>"0207733"</f>
        <v>0207733</v>
      </c>
      <c r="H6639">
        <v>1</v>
      </c>
      <c r="J6639">
        <v>2590.5300000000002</v>
      </c>
      <c r="K6639" t="str">
        <f t="shared" si="1200"/>
        <v>809</v>
      </c>
      <c r="L6639">
        <v>2590.5300000000002</v>
      </c>
    </row>
    <row r="6640" spans="1:12" x14ac:dyDescent="0.25">
      <c r="A6640" t="str">
        <f t="shared" si="1199"/>
        <v>89301000</v>
      </c>
      <c r="B6640" t="str">
        <f t="shared" si="1201"/>
        <v>78915000</v>
      </c>
      <c r="C6640" t="str">
        <f t="shared" si="1202"/>
        <v>78915001</v>
      </c>
      <c r="D6640">
        <v>89301292</v>
      </c>
      <c r="E6640" t="str">
        <f>"8061225755"</f>
        <v>8061225755</v>
      </c>
      <c r="F6640" s="1">
        <v>45091</v>
      </c>
      <c r="G6640" t="str">
        <f>"89715"</f>
        <v>89715</v>
      </c>
      <c r="H6640">
        <v>1</v>
      </c>
      <c r="I6640">
        <v>5523</v>
      </c>
      <c r="J6640">
        <v>0</v>
      </c>
      <c r="K6640" t="str">
        <f t="shared" si="1200"/>
        <v>809</v>
      </c>
      <c r="L6640">
        <v>3589.95</v>
      </c>
    </row>
    <row r="6641" spans="1:12" x14ac:dyDescent="0.25">
      <c r="A6641" t="str">
        <f t="shared" si="1199"/>
        <v>89301000</v>
      </c>
      <c r="B6641" t="str">
        <f t="shared" si="1201"/>
        <v>78915000</v>
      </c>
      <c r="C6641" t="str">
        <f t="shared" si="1202"/>
        <v>78915001</v>
      </c>
      <c r="D6641">
        <v>89301292</v>
      </c>
      <c r="E6641" t="str">
        <f>"8061225755"</f>
        <v>8061225755</v>
      </c>
      <c r="F6641" s="1">
        <v>45091</v>
      </c>
      <c r="G6641" t="str">
        <f>"89725"</f>
        <v>89725</v>
      </c>
      <c r="H6641">
        <v>1</v>
      </c>
      <c r="I6641">
        <v>2863</v>
      </c>
      <c r="J6641">
        <v>0</v>
      </c>
      <c r="K6641" t="str">
        <f t="shared" si="1200"/>
        <v>809</v>
      </c>
      <c r="L6641">
        <v>1860.95</v>
      </c>
    </row>
    <row r="6642" spans="1:12" x14ac:dyDescent="0.25">
      <c r="A6642" t="str">
        <f t="shared" si="1199"/>
        <v>89301000</v>
      </c>
      <c r="B6642" t="str">
        <f t="shared" si="1201"/>
        <v>78915000</v>
      </c>
      <c r="C6642" t="str">
        <f t="shared" si="1202"/>
        <v>78915001</v>
      </c>
      <c r="D6642">
        <v>89301292</v>
      </c>
      <c r="E6642" t="str">
        <f>"8061225755"</f>
        <v>8061225755</v>
      </c>
      <c r="F6642" s="1">
        <v>45091</v>
      </c>
      <c r="G6642" t="str">
        <f>"0207733"</f>
        <v>0207733</v>
      </c>
      <c r="H6642">
        <v>1</v>
      </c>
      <c r="J6642">
        <v>2590.5300000000002</v>
      </c>
      <c r="K6642" t="str">
        <f t="shared" si="1200"/>
        <v>809</v>
      </c>
      <c r="L6642">
        <v>2590.5300000000002</v>
      </c>
    </row>
    <row r="6643" spans="1:12" x14ac:dyDescent="0.25">
      <c r="A6643" t="str">
        <f t="shared" si="1199"/>
        <v>89301000</v>
      </c>
      <c r="B6643" t="str">
        <f t="shared" si="1201"/>
        <v>78915000</v>
      </c>
      <c r="C6643" t="str">
        <f t="shared" si="1202"/>
        <v>78915001</v>
      </c>
      <c r="D6643">
        <v>89301112</v>
      </c>
      <c r="E6643" t="str">
        <f>"8156105331"</f>
        <v>8156105331</v>
      </c>
      <c r="F6643" s="1">
        <v>45078</v>
      </c>
      <c r="G6643" t="str">
        <f>"09567"</f>
        <v>09567</v>
      </c>
      <c r="H6643">
        <v>1</v>
      </c>
      <c r="I6643">
        <v>0</v>
      </c>
      <c r="J6643">
        <v>0</v>
      </c>
      <c r="K6643" t="str">
        <f t="shared" si="1200"/>
        <v>809</v>
      </c>
      <c r="L6643">
        <v>0</v>
      </c>
    </row>
    <row r="6644" spans="1:12" x14ac:dyDescent="0.25">
      <c r="A6644" t="str">
        <f t="shared" si="1199"/>
        <v>89301000</v>
      </c>
      <c r="B6644" t="str">
        <f t="shared" si="1201"/>
        <v>78915000</v>
      </c>
      <c r="C6644" t="str">
        <f t="shared" si="1202"/>
        <v>78915001</v>
      </c>
      <c r="D6644">
        <v>89301112</v>
      </c>
      <c r="E6644" t="str">
        <f>"8156105331"</f>
        <v>8156105331</v>
      </c>
      <c r="F6644" s="1">
        <v>45078</v>
      </c>
      <c r="G6644" t="str">
        <f>"89713"</f>
        <v>89713</v>
      </c>
      <c r="H6644">
        <v>1</v>
      </c>
      <c r="I6644">
        <v>5411</v>
      </c>
      <c r="J6644">
        <v>0</v>
      </c>
      <c r="K6644" t="str">
        <f t="shared" si="1200"/>
        <v>809</v>
      </c>
      <c r="L6644">
        <v>3517.15</v>
      </c>
    </row>
    <row r="6645" spans="1:12" x14ac:dyDescent="0.25">
      <c r="A6645" t="str">
        <f t="shared" si="1199"/>
        <v>89301000</v>
      </c>
      <c r="B6645" t="str">
        <f t="shared" si="1201"/>
        <v>78915000</v>
      </c>
      <c r="C6645" t="str">
        <f t="shared" si="1202"/>
        <v>78915001</v>
      </c>
      <c r="D6645">
        <v>89301312</v>
      </c>
      <c r="E6645" t="str">
        <f>"8208045307"</f>
        <v>8208045307</v>
      </c>
      <c r="F6645" s="1">
        <v>45105</v>
      </c>
      <c r="G6645" t="str">
        <f>"09569"</f>
        <v>09569</v>
      </c>
      <c r="H6645">
        <v>1</v>
      </c>
      <c r="I6645">
        <v>0</v>
      </c>
      <c r="J6645">
        <v>0</v>
      </c>
      <c r="K6645" t="str">
        <f t="shared" si="1200"/>
        <v>809</v>
      </c>
      <c r="L6645">
        <v>0</v>
      </c>
    </row>
    <row r="6646" spans="1:12" x14ac:dyDescent="0.25">
      <c r="A6646" t="str">
        <f t="shared" si="1199"/>
        <v>89301000</v>
      </c>
      <c r="B6646" t="str">
        <f t="shared" si="1201"/>
        <v>78915000</v>
      </c>
      <c r="C6646" t="str">
        <f t="shared" si="1202"/>
        <v>78915001</v>
      </c>
      <c r="D6646">
        <v>89301312</v>
      </c>
      <c r="E6646" t="str">
        <f>"8208045307"</f>
        <v>8208045307</v>
      </c>
      <c r="F6646" s="1">
        <v>45105</v>
      </c>
      <c r="G6646" t="str">
        <f>"89713"</f>
        <v>89713</v>
      </c>
      <c r="H6646">
        <v>1</v>
      </c>
      <c r="I6646">
        <v>5411</v>
      </c>
      <c r="J6646">
        <v>0</v>
      </c>
      <c r="K6646" t="str">
        <f t="shared" si="1200"/>
        <v>809</v>
      </c>
      <c r="L6646">
        <v>3517.15</v>
      </c>
    </row>
    <row r="6647" spans="1:12" x14ac:dyDescent="0.25">
      <c r="A6647" t="str">
        <f t="shared" si="1199"/>
        <v>89301000</v>
      </c>
      <c r="B6647" t="str">
        <f t="shared" si="1201"/>
        <v>78915000</v>
      </c>
      <c r="C6647" t="str">
        <f t="shared" si="1202"/>
        <v>78915001</v>
      </c>
      <c r="D6647">
        <v>89301112</v>
      </c>
      <c r="E6647" t="str">
        <f>"8259305307"</f>
        <v>8259305307</v>
      </c>
      <c r="F6647" s="1">
        <v>45082</v>
      </c>
      <c r="G6647" t="str">
        <f>"09567"</f>
        <v>09567</v>
      </c>
      <c r="H6647">
        <v>1</v>
      </c>
      <c r="I6647">
        <v>0</v>
      </c>
      <c r="J6647">
        <v>0</v>
      </c>
      <c r="K6647" t="str">
        <f t="shared" si="1200"/>
        <v>809</v>
      </c>
      <c r="L6647">
        <v>0</v>
      </c>
    </row>
    <row r="6648" spans="1:12" x14ac:dyDescent="0.25">
      <c r="A6648" t="str">
        <f t="shared" si="1199"/>
        <v>89301000</v>
      </c>
      <c r="B6648" t="str">
        <f t="shared" si="1201"/>
        <v>78915000</v>
      </c>
      <c r="C6648" t="str">
        <f t="shared" si="1202"/>
        <v>78915001</v>
      </c>
      <c r="D6648">
        <v>89301112</v>
      </c>
      <c r="E6648" t="str">
        <f>"8259305307"</f>
        <v>8259305307</v>
      </c>
      <c r="F6648" s="1">
        <v>45082</v>
      </c>
      <c r="G6648" t="str">
        <f>"89713"</f>
        <v>89713</v>
      </c>
      <c r="H6648">
        <v>1</v>
      </c>
      <c r="I6648">
        <v>5411</v>
      </c>
      <c r="J6648">
        <v>0</v>
      </c>
      <c r="K6648" t="str">
        <f t="shared" si="1200"/>
        <v>809</v>
      </c>
      <c r="L6648">
        <v>3517.15</v>
      </c>
    </row>
    <row r="6649" spans="1:12" x14ac:dyDescent="0.25">
      <c r="A6649" t="str">
        <f t="shared" si="1199"/>
        <v>89301000</v>
      </c>
      <c r="B6649" t="str">
        <f t="shared" si="1201"/>
        <v>78915000</v>
      </c>
      <c r="C6649" t="str">
        <f t="shared" si="1202"/>
        <v>78915001</v>
      </c>
      <c r="D6649">
        <v>89301074</v>
      </c>
      <c r="E6649" t="str">
        <f>"8361044472"</f>
        <v>8361044472</v>
      </c>
      <c r="F6649" s="1">
        <v>45082</v>
      </c>
      <c r="G6649" t="str">
        <f>"89713"</f>
        <v>89713</v>
      </c>
      <c r="H6649">
        <v>1</v>
      </c>
      <c r="I6649">
        <v>5411</v>
      </c>
      <c r="J6649">
        <v>0</v>
      </c>
      <c r="K6649" t="str">
        <f t="shared" si="1200"/>
        <v>809</v>
      </c>
      <c r="L6649">
        <v>3517.15</v>
      </c>
    </row>
    <row r="6650" spans="1:12" x14ac:dyDescent="0.25">
      <c r="A6650" t="str">
        <f t="shared" si="1199"/>
        <v>89301000</v>
      </c>
      <c r="B6650" t="str">
        <f t="shared" si="1201"/>
        <v>78915000</v>
      </c>
      <c r="C6650" t="str">
        <f t="shared" si="1202"/>
        <v>78915001</v>
      </c>
      <c r="D6650">
        <v>89301074</v>
      </c>
      <c r="E6650" t="str">
        <f>"8361044472"</f>
        <v>8361044472</v>
      </c>
      <c r="F6650" s="1">
        <v>45082</v>
      </c>
      <c r="G6650" t="str">
        <f>"89725"</f>
        <v>89725</v>
      </c>
      <c r="H6650">
        <v>1</v>
      </c>
      <c r="I6650">
        <v>2863</v>
      </c>
      <c r="J6650">
        <v>0</v>
      </c>
      <c r="K6650" t="str">
        <f t="shared" si="1200"/>
        <v>809</v>
      </c>
      <c r="L6650">
        <v>1860.95</v>
      </c>
    </row>
    <row r="6651" spans="1:12" x14ac:dyDescent="0.25">
      <c r="A6651" t="str">
        <f t="shared" si="1199"/>
        <v>89301000</v>
      </c>
      <c r="B6651" t="str">
        <f t="shared" si="1201"/>
        <v>78915000</v>
      </c>
      <c r="C6651" t="str">
        <f t="shared" si="1202"/>
        <v>78915001</v>
      </c>
      <c r="D6651">
        <v>89301606</v>
      </c>
      <c r="E6651" t="str">
        <f>"8408225309"</f>
        <v>8408225309</v>
      </c>
      <c r="F6651" s="1">
        <v>45104</v>
      </c>
      <c r="G6651" t="str">
        <f>"89713"</f>
        <v>89713</v>
      </c>
      <c r="H6651">
        <v>1</v>
      </c>
      <c r="I6651">
        <v>5411</v>
      </c>
      <c r="J6651">
        <v>0</v>
      </c>
      <c r="K6651" t="str">
        <f t="shared" si="1200"/>
        <v>809</v>
      </c>
      <c r="L6651">
        <v>3517.15</v>
      </c>
    </row>
    <row r="6652" spans="1:12" x14ac:dyDescent="0.25">
      <c r="A6652" t="str">
        <f t="shared" si="1199"/>
        <v>89301000</v>
      </c>
      <c r="B6652" t="str">
        <f t="shared" si="1201"/>
        <v>78915000</v>
      </c>
      <c r="C6652" t="str">
        <f t="shared" si="1202"/>
        <v>78915001</v>
      </c>
      <c r="D6652">
        <v>89301606</v>
      </c>
      <c r="E6652" t="str">
        <f>"8408225309"</f>
        <v>8408225309</v>
      </c>
      <c r="F6652" s="1">
        <v>45104</v>
      </c>
      <c r="G6652" t="str">
        <f>"89725"</f>
        <v>89725</v>
      </c>
      <c r="H6652">
        <v>1</v>
      </c>
      <c r="I6652">
        <v>2863</v>
      </c>
      <c r="J6652">
        <v>0</v>
      </c>
      <c r="K6652" t="str">
        <f t="shared" si="1200"/>
        <v>809</v>
      </c>
      <c r="L6652">
        <v>1860.95</v>
      </c>
    </row>
    <row r="6653" spans="1:12" x14ac:dyDescent="0.25">
      <c r="A6653" t="str">
        <f t="shared" si="1199"/>
        <v>89301000</v>
      </c>
      <c r="B6653" t="str">
        <f t="shared" ref="B6653:B6671" si="1203">"78915000"</f>
        <v>78915000</v>
      </c>
      <c r="C6653" t="str">
        <f t="shared" ref="C6653:C6671" si="1204">"78915001"</f>
        <v>78915001</v>
      </c>
      <c r="D6653">
        <v>89301607</v>
      </c>
      <c r="E6653" t="str">
        <f>"8755205382"</f>
        <v>8755205382</v>
      </c>
      <c r="F6653" s="1">
        <v>45100</v>
      </c>
      <c r="G6653" t="str">
        <f>"09567"</f>
        <v>09567</v>
      </c>
      <c r="H6653">
        <v>1</v>
      </c>
      <c r="I6653">
        <v>0</v>
      </c>
      <c r="J6653">
        <v>0</v>
      </c>
      <c r="K6653" t="str">
        <f t="shared" si="1200"/>
        <v>809</v>
      </c>
      <c r="L6653">
        <v>0</v>
      </c>
    </row>
    <row r="6654" spans="1:12" x14ac:dyDescent="0.25">
      <c r="A6654" t="str">
        <f t="shared" si="1199"/>
        <v>89301000</v>
      </c>
      <c r="B6654" t="str">
        <f t="shared" si="1203"/>
        <v>78915000</v>
      </c>
      <c r="C6654" t="str">
        <f t="shared" si="1204"/>
        <v>78915001</v>
      </c>
      <c r="D6654">
        <v>89301607</v>
      </c>
      <c r="E6654" t="str">
        <f>"8755205382"</f>
        <v>8755205382</v>
      </c>
      <c r="F6654" s="1">
        <v>45100</v>
      </c>
      <c r="G6654" t="str">
        <f>"89713"</f>
        <v>89713</v>
      </c>
      <c r="H6654">
        <v>1</v>
      </c>
      <c r="I6654">
        <v>5411</v>
      </c>
      <c r="J6654">
        <v>0</v>
      </c>
      <c r="K6654" t="str">
        <f t="shared" si="1200"/>
        <v>809</v>
      </c>
      <c r="L6654">
        <v>3517.15</v>
      </c>
    </row>
    <row r="6655" spans="1:12" x14ac:dyDescent="0.25">
      <c r="A6655" t="str">
        <f t="shared" si="1199"/>
        <v>89301000</v>
      </c>
      <c r="B6655" t="str">
        <f t="shared" si="1203"/>
        <v>78915000</v>
      </c>
      <c r="C6655" t="str">
        <f t="shared" si="1204"/>
        <v>78915001</v>
      </c>
      <c r="D6655">
        <v>89301292</v>
      </c>
      <c r="E6655" t="str">
        <f>"8961185706"</f>
        <v>8961185706</v>
      </c>
      <c r="F6655" s="1">
        <v>45091</v>
      </c>
      <c r="G6655" t="str">
        <f>"89715"</f>
        <v>89715</v>
      </c>
      <c r="H6655">
        <v>1</v>
      </c>
      <c r="I6655">
        <v>5523</v>
      </c>
      <c r="J6655">
        <v>0</v>
      </c>
      <c r="K6655" t="str">
        <f t="shared" si="1200"/>
        <v>809</v>
      </c>
      <c r="L6655">
        <v>3589.95</v>
      </c>
    </row>
    <row r="6656" spans="1:12" x14ac:dyDescent="0.25">
      <c r="A6656" t="str">
        <f t="shared" si="1199"/>
        <v>89301000</v>
      </c>
      <c r="B6656" t="str">
        <f t="shared" si="1203"/>
        <v>78915000</v>
      </c>
      <c r="C6656" t="str">
        <f t="shared" si="1204"/>
        <v>78915001</v>
      </c>
      <c r="D6656">
        <v>89301292</v>
      </c>
      <c r="E6656" t="str">
        <f>"8961185706"</f>
        <v>8961185706</v>
      </c>
      <c r="F6656" s="1">
        <v>45091</v>
      </c>
      <c r="G6656" t="str">
        <f>"89725"</f>
        <v>89725</v>
      </c>
      <c r="H6656">
        <v>1</v>
      </c>
      <c r="I6656">
        <v>2863</v>
      </c>
      <c r="J6656">
        <v>0</v>
      </c>
      <c r="K6656" t="str">
        <f t="shared" si="1200"/>
        <v>809</v>
      </c>
      <c r="L6656">
        <v>1860.95</v>
      </c>
    </row>
    <row r="6657" spans="1:12" x14ac:dyDescent="0.25">
      <c r="A6657" t="str">
        <f t="shared" si="1199"/>
        <v>89301000</v>
      </c>
      <c r="B6657" t="str">
        <f t="shared" si="1203"/>
        <v>78915000</v>
      </c>
      <c r="C6657" t="str">
        <f t="shared" si="1204"/>
        <v>78915001</v>
      </c>
      <c r="D6657">
        <v>89301292</v>
      </c>
      <c r="E6657" t="str">
        <f>"8961185706"</f>
        <v>8961185706</v>
      </c>
      <c r="F6657" s="1">
        <v>45091</v>
      </c>
      <c r="G6657" t="str">
        <f>"0207733"</f>
        <v>0207733</v>
      </c>
      <c r="H6657">
        <v>1</v>
      </c>
      <c r="J6657">
        <v>2590.5300000000002</v>
      </c>
      <c r="K6657" t="str">
        <f t="shared" si="1200"/>
        <v>809</v>
      </c>
      <c r="L6657">
        <v>2590.5300000000002</v>
      </c>
    </row>
    <row r="6658" spans="1:12" x14ac:dyDescent="0.25">
      <c r="A6658" t="str">
        <f t="shared" ref="A6658:A6721" si="1205">"89301000"</f>
        <v>89301000</v>
      </c>
      <c r="B6658" t="str">
        <f t="shared" si="1203"/>
        <v>78915000</v>
      </c>
      <c r="C6658" t="str">
        <f t="shared" si="1204"/>
        <v>78915001</v>
      </c>
      <c r="D6658">
        <v>89301112</v>
      </c>
      <c r="E6658" t="str">
        <f>"9004136064"</f>
        <v>9004136064</v>
      </c>
      <c r="F6658" s="1">
        <v>45098</v>
      </c>
      <c r="G6658" t="str">
        <f>"09567"</f>
        <v>09567</v>
      </c>
      <c r="H6658">
        <v>1</v>
      </c>
      <c r="I6658">
        <v>0</v>
      </c>
      <c r="J6658">
        <v>0</v>
      </c>
      <c r="K6658" t="str">
        <f t="shared" si="1200"/>
        <v>809</v>
      </c>
      <c r="L6658">
        <v>0</v>
      </c>
    </row>
    <row r="6659" spans="1:12" x14ac:dyDescent="0.25">
      <c r="A6659" t="str">
        <f t="shared" si="1205"/>
        <v>89301000</v>
      </c>
      <c r="B6659" t="str">
        <f t="shared" si="1203"/>
        <v>78915000</v>
      </c>
      <c r="C6659" t="str">
        <f t="shared" si="1204"/>
        <v>78915001</v>
      </c>
      <c r="D6659">
        <v>89301112</v>
      </c>
      <c r="E6659" t="str">
        <f>"9004136064"</f>
        <v>9004136064</v>
      </c>
      <c r="F6659" s="1">
        <v>45098</v>
      </c>
      <c r="G6659" t="str">
        <f>"89713"</f>
        <v>89713</v>
      </c>
      <c r="H6659">
        <v>1</v>
      </c>
      <c r="I6659">
        <v>5411</v>
      </c>
      <c r="J6659">
        <v>0</v>
      </c>
      <c r="K6659" t="str">
        <f t="shared" si="1200"/>
        <v>809</v>
      </c>
      <c r="L6659">
        <v>3517.15</v>
      </c>
    </row>
    <row r="6660" spans="1:12" x14ac:dyDescent="0.25">
      <c r="A6660" t="str">
        <f t="shared" si="1205"/>
        <v>89301000</v>
      </c>
      <c r="B6660" t="str">
        <f t="shared" si="1203"/>
        <v>78915000</v>
      </c>
      <c r="C6660" t="str">
        <f t="shared" si="1204"/>
        <v>78915001</v>
      </c>
      <c r="D6660">
        <v>89301172</v>
      </c>
      <c r="E6660" t="str">
        <f>"9151144849"</f>
        <v>9151144849</v>
      </c>
      <c r="F6660" s="1">
        <v>45099</v>
      </c>
      <c r="G6660" t="str">
        <f>"89713"</f>
        <v>89713</v>
      </c>
      <c r="H6660">
        <v>1</v>
      </c>
      <c r="I6660">
        <v>5411</v>
      </c>
      <c r="J6660">
        <v>0</v>
      </c>
      <c r="K6660" t="str">
        <f t="shared" si="1200"/>
        <v>809</v>
      </c>
      <c r="L6660">
        <v>3517.15</v>
      </c>
    </row>
    <row r="6661" spans="1:12" x14ac:dyDescent="0.25">
      <c r="A6661" t="str">
        <f t="shared" si="1205"/>
        <v>89301000</v>
      </c>
      <c r="B6661" t="str">
        <f t="shared" si="1203"/>
        <v>78915000</v>
      </c>
      <c r="C6661" t="str">
        <f t="shared" si="1204"/>
        <v>78915001</v>
      </c>
      <c r="D6661">
        <v>89301062</v>
      </c>
      <c r="E6661" t="str">
        <f>"9458225744"</f>
        <v>9458225744</v>
      </c>
      <c r="F6661" s="1">
        <v>45100</v>
      </c>
      <c r="G6661" t="str">
        <f>"89713"</f>
        <v>89713</v>
      </c>
      <c r="H6661">
        <v>1</v>
      </c>
      <c r="I6661">
        <v>5411</v>
      </c>
      <c r="J6661">
        <v>0</v>
      </c>
      <c r="K6661" t="str">
        <f t="shared" si="1200"/>
        <v>809</v>
      </c>
      <c r="L6661">
        <v>3517.15</v>
      </c>
    </row>
    <row r="6662" spans="1:12" x14ac:dyDescent="0.25">
      <c r="A6662" t="str">
        <f t="shared" si="1205"/>
        <v>89301000</v>
      </c>
      <c r="B6662" t="str">
        <f t="shared" si="1203"/>
        <v>78915000</v>
      </c>
      <c r="C6662" t="str">
        <f t="shared" si="1204"/>
        <v>78915001</v>
      </c>
      <c r="D6662">
        <v>89301312</v>
      </c>
      <c r="E6662" t="str">
        <f>"9509115528"</f>
        <v>9509115528</v>
      </c>
      <c r="F6662" s="1">
        <v>45085</v>
      </c>
      <c r="G6662" t="str">
        <f>"09569"</f>
        <v>09569</v>
      </c>
      <c r="H6662">
        <v>1</v>
      </c>
      <c r="I6662">
        <v>0</v>
      </c>
      <c r="J6662">
        <v>0</v>
      </c>
      <c r="K6662" t="str">
        <f t="shared" si="1200"/>
        <v>809</v>
      </c>
      <c r="L6662">
        <v>0</v>
      </c>
    </row>
    <row r="6663" spans="1:12" x14ac:dyDescent="0.25">
      <c r="A6663" t="str">
        <f t="shared" si="1205"/>
        <v>89301000</v>
      </c>
      <c r="B6663" t="str">
        <f t="shared" si="1203"/>
        <v>78915000</v>
      </c>
      <c r="C6663" t="str">
        <f t="shared" si="1204"/>
        <v>78915001</v>
      </c>
      <c r="D6663">
        <v>89301312</v>
      </c>
      <c r="E6663" t="str">
        <f>"9509115528"</f>
        <v>9509115528</v>
      </c>
      <c r="F6663" s="1">
        <v>45085</v>
      </c>
      <c r="G6663" t="str">
        <f>"89713"</f>
        <v>89713</v>
      </c>
      <c r="H6663">
        <v>1</v>
      </c>
      <c r="I6663">
        <v>5411</v>
      </c>
      <c r="J6663">
        <v>0</v>
      </c>
      <c r="K6663" t="str">
        <f t="shared" si="1200"/>
        <v>809</v>
      </c>
      <c r="L6663">
        <v>3517.15</v>
      </c>
    </row>
    <row r="6664" spans="1:12" x14ac:dyDescent="0.25">
      <c r="A6664" t="str">
        <f t="shared" si="1205"/>
        <v>89301000</v>
      </c>
      <c r="B6664" t="str">
        <f t="shared" si="1203"/>
        <v>78915000</v>
      </c>
      <c r="C6664" t="str">
        <f t="shared" si="1204"/>
        <v>78915001</v>
      </c>
      <c r="D6664">
        <v>89301112</v>
      </c>
      <c r="E6664" t="str">
        <f>"9558154034"</f>
        <v>9558154034</v>
      </c>
      <c r="F6664" s="1">
        <v>45097</v>
      </c>
      <c r="G6664" t="str">
        <f>"09567"</f>
        <v>09567</v>
      </c>
      <c r="H6664">
        <v>1</v>
      </c>
      <c r="I6664">
        <v>0</v>
      </c>
      <c r="J6664">
        <v>0</v>
      </c>
      <c r="K6664" t="str">
        <f t="shared" ref="K6664:K6678" si="1206">"809"</f>
        <v>809</v>
      </c>
      <c r="L6664">
        <v>0</v>
      </c>
    </row>
    <row r="6665" spans="1:12" x14ac:dyDescent="0.25">
      <c r="A6665" t="str">
        <f t="shared" si="1205"/>
        <v>89301000</v>
      </c>
      <c r="B6665" t="str">
        <f t="shared" si="1203"/>
        <v>78915000</v>
      </c>
      <c r="C6665" t="str">
        <f t="shared" si="1204"/>
        <v>78915001</v>
      </c>
      <c r="D6665">
        <v>89301112</v>
      </c>
      <c r="E6665" t="str">
        <f>"9558154034"</f>
        <v>9558154034</v>
      </c>
      <c r="F6665" s="1">
        <v>45097</v>
      </c>
      <c r="G6665" t="str">
        <f>"89713"</f>
        <v>89713</v>
      </c>
      <c r="H6665">
        <v>1</v>
      </c>
      <c r="I6665">
        <v>5411</v>
      </c>
      <c r="J6665">
        <v>0</v>
      </c>
      <c r="K6665" t="str">
        <f t="shared" si="1206"/>
        <v>809</v>
      </c>
      <c r="L6665">
        <v>3517.15</v>
      </c>
    </row>
    <row r="6666" spans="1:12" x14ac:dyDescent="0.25">
      <c r="A6666" t="str">
        <f t="shared" si="1205"/>
        <v>89301000</v>
      </c>
      <c r="B6666" t="str">
        <f t="shared" si="1203"/>
        <v>78915000</v>
      </c>
      <c r="C6666" t="str">
        <f t="shared" si="1204"/>
        <v>78915001</v>
      </c>
      <c r="D6666">
        <v>89301112</v>
      </c>
      <c r="E6666" t="str">
        <f>"9607124780"</f>
        <v>9607124780</v>
      </c>
      <c r="F6666" s="1">
        <v>45106</v>
      </c>
      <c r="G6666" t="str">
        <f>"09567"</f>
        <v>09567</v>
      </c>
      <c r="H6666">
        <v>1</v>
      </c>
      <c r="I6666">
        <v>0</v>
      </c>
      <c r="J6666">
        <v>0</v>
      </c>
      <c r="K6666" t="str">
        <f t="shared" si="1206"/>
        <v>809</v>
      </c>
      <c r="L6666">
        <v>0</v>
      </c>
    </row>
    <row r="6667" spans="1:12" x14ac:dyDescent="0.25">
      <c r="A6667" t="str">
        <f t="shared" si="1205"/>
        <v>89301000</v>
      </c>
      <c r="B6667" t="str">
        <f t="shared" si="1203"/>
        <v>78915000</v>
      </c>
      <c r="C6667" t="str">
        <f t="shared" si="1204"/>
        <v>78915001</v>
      </c>
      <c r="D6667">
        <v>89301112</v>
      </c>
      <c r="E6667" t="str">
        <f>"9607124780"</f>
        <v>9607124780</v>
      </c>
      <c r="F6667" s="1">
        <v>45106</v>
      </c>
      <c r="G6667" t="str">
        <f>"89713"</f>
        <v>89713</v>
      </c>
      <c r="H6667">
        <v>1</v>
      </c>
      <c r="I6667">
        <v>5411</v>
      </c>
      <c r="J6667">
        <v>0</v>
      </c>
      <c r="K6667" t="str">
        <f t="shared" si="1206"/>
        <v>809</v>
      </c>
      <c r="L6667">
        <v>3517.15</v>
      </c>
    </row>
    <row r="6668" spans="1:12" x14ac:dyDescent="0.25">
      <c r="A6668" t="str">
        <f t="shared" si="1205"/>
        <v>89301000</v>
      </c>
      <c r="B6668" t="str">
        <f t="shared" si="1203"/>
        <v>78915000</v>
      </c>
      <c r="C6668" t="str">
        <f t="shared" si="1204"/>
        <v>78915001</v>
      </c>
      <c r="D6668">
        <v>89301112</v>
      </c>
      <c r="E6668" t="str">
        <f>"9753065641"</f>
        <v>9753065641</v>
      </c>
      <c r="F6668" s="1">
        <v>45083</v>
      </c>
      <c r="G6668" t="str">
        <f>"09567"</f>
        <v>09567</v>
      </c>
      <c r="H6668">
        <v>1</v>
      </c>
      <c r="I6668">
        <v>0</v>
      </c>
      <c r="J6668">
        <v>0</v>
      </c>
      <c r="K6668" t="str">
        <f t="shared" si="1206"/>
        <v>809</v>
      </c>
      <c r="L6668">
        <v>0</v>
      </c>
    </row>
    <row r="6669" spans="1:12" x14ac:dyDescent="0.25">
      <c r="A6669" t="str">
        <f t="shared" si="1205"/>
        <v>89301000</v>
      </c>
      <c r="B6669" t="str">
        <f t="shared" si="1203"/>
        <v>78915000</v>
      </c>
      <c r="C6669" t="str">
        <f t="shared" si="1204"/>
        <v>78915001</v>
      </c>
      <c r="D6669">
        <v>89301112</v>
      </c>
      <c r="E6669" t="str">
        <f>"9753065641"</f>
        <v>9753065641</v>
      </c>
      <c r="F6669" s="1">
        <v>45083</v>
      </c>
      <c r="G6669" t="str">
        <f>"89713"</f>
        <v>89713</v>
      </c>
      <c r="H6669">
        <v>1</v>
      </c>
      <c r="I6669">
        <v>5411</v>
      </c>
      <c r="J6669">
        <v>0</v>
      </c>
      <c r="K6669" t="str">
        <f t="shared" si="1206"/>
        <v>809</v>
      </c>
      <c r="L6669">
        <v>3517.15</v>
      </c>
    </row>
    <row r="6670" spans="1:12" x14ac:dyDescent="0.25">
      <c r="A6670" t="str">
        <f t="shared" si="1205"/>
        <v>89301000</v>
      </c>
      <c r="B6670" t="str">
        <f t="shared" si="1203"/>
        <v>78915000</v>
      </c>
      <c r="C6670" t="str">
        <f t="shared" si="1204"/>
        <v>78915001</v>
      </c>
      <c r="D6670">
        <v>89301171</v>
      </c>
      <c r="E6670" t="str">
        <f>"9858245749"</f>
        <v>9858245749</v>
      </c>
      <c r="F6670" s="1">
        <v>45100</v>
      </c>
      <c r="G6670" t="str">
        <f>"89713"</f>
        <v>89713</v>
      </c>
      <c r="H6670">
        <v>2</v>
      </c>
      <c r="I6670">
        <v>10822</v>
      </c>
      <c r="J6670">
        <v>0</v>
      </c>
      <c r="K6670" t="str">
        <f t="shared" si="1206"/>
        <v>809</v>
      </c>
      <c r="L6670">
        <v>7034.3</v>
      </c>
    </row>
    <row r="6671" spans="1:12" x14ac:dyDescent="0.25">
      <c r="A6671" t="str">
        <f t="shared" si="1205"/>
        <v>89301000</v>
      </c>
      <c r="B6671" t="str">
        <f t="shared" si="1203"/>
        <v>78915000</v>
      </c>
      <c r="C6671" t="str">
        <f t="shared" si="1204"/>
        <v>78915001</v>
      </c>
      <c r="D6671">
        <v>89301171</v>
      </c>
      <c r="E6671" t="str">
        <f>"9858245749"</f>
        <v>9858245749</v>
      </c>
      <c r="F6671" s="1">
        <v>45100</v>
      </c>
      <c r="G6671" t="str">
        <f>"89725"</f>
        <v>89725</v>
      </c>
      <c r="H6671">
        <v>1</v>
      </c>
      <c r="I6671">
        <v>2863</v>
      </c>
      <c r="J6671">
        <v>0</v>
      </c>
      <c r="K6671" t="str">
        <f t="shared" si="1206"/>
        <v>809</v>
      </c>
      <c r="L6671">
        <v>1860.95</v>
      </c>
    </row>
    <row r="6672" spans="1:12" x14ac:dyDescent="0.25">
      <c r="A6672" t="str">
        <f t="shared" si="1205"/>
        <v>89301000</v>
      </c>
      <c r="B6672" t="str">
        <f t="shared" ref="B6672:B6678" si="1207">"78610000"</f>
        <v>78610000</v>
      </c>
      <c r="C6672" t="str">
        <f t="shared" ref="C6672:C6678" si="1208">"78610001"</f>
        <v>78610001</v>
      </c>
      <c r="D6672">
        <v>89301322</v>
      </c>
      <c r="E6672" t="str">
        <f>"5506112051"</f>
        <v>5506112051</v>
      </c>
      <c r="F6672" s="1">
        <v>45078</v>
      </c>
      <c r="G6672" t="str">
        <f>"89513"</f>
        <v>89513</v>
      </c>
      <c r="H6672">
        <v>1</v>
      </c>
      <c r="I6672">
        <v>378</v>
      </c>
      <c r="J6672">
        <v>0</v>
      </c>
      <c r="K6672" t="str">
        <f t="shared" si="1206"/>
        <v>809</v>
      </c>
      <c r="L6672">
        <v>555.66</v>
      </c>
    </row>
    <row r="6673" spans="1:12" x14ac:dyDescent="0.25">
      <c r="A6673" t="str">
        <f t="shared" si="1205"/>
        <v>89301000</v>
      </c>
      <c r="B6673" t="str">
        <f t="shared" si="1207"/>
        <v>78610000</v>
      </c>
      <c r="C6673" t="str">
        <f t="shared" si="1208"/>
        <v>78610001</v>
      </c>
      <c r="D6673">
        <v>89301322</v>
      </c>
      <c r="E6673" t="str">
        <f>"5506112051"</f>
        <v>5506112051</v>
      </c>
      <c r="F6673" s="1">
        <v>45078</v>
      </c>
      <c r="G6673" t="str">
        <f>"89514"</f>
        <v>89514</v>
      </c>
      <c r="H6673">
        <v>1</v>
      </c>
      <c r="I6673">
        <v>378</v>
      </c>
      <c r="J6673">
        <v>0</v>
      </c>
      <c r="K6673" t="str">
        <f t="shared" si="1206"/>
        <v>809</v>
      </c>
      <c r="L6673">
        <v>555.66</v>
      </c>
    </row>
    <row r="6674" spans="1:12" x14ac:dyDescent="0.25">
      <c r="A6674" t="str">
        <f t="shared" si="1205"/>
        <v>89301000</v>
      </c>
      <c r="B6674" t="str">
        <f t="shared" si="1207"/>
        <v>78610000</v>
      </c>
      <c r="C6674" t="str">
        <f t="shared" si="1208"/>
        <v>78610001</v>
      </c>
      <c r="D6674">
        <v>89301052</v>
      </c>
      <c r="E6674" t="str">
        <f>"6855150071"</f>
        <v>6855150071</v>
      </c>
      <c r="F6674" s="1">
        <v>45097</v>
      </c>
      <c r="G6674" t="str">
        <f>"89517"</f>
        <v>89517</v>
      </c>
      <c r="H6674">
        <v>1</v>
      </c>
      <c r="I6674">
        <v>994</v>
      </c>
      <c r="J6674">
        <v>0</v>
      </c>
      <c r="K6674" t="str">
        <f t="shared" si="1206"/>
        <v>809</v>
      </c>
      <c r="L6674">
        <v>1461.18</v>
      </c>
    </row>
    <row r="6675" spans="1:12" x14ac:dyDescent="0.25">
      <c r="A6675" t="str">
        <f t="shared" si="1205"/>
        <v>89301000</v>
      </c>
      <c r="B6675" t="str">
        <f t="shared" si="1207"/>
        <v>78610000</v>
      </c>
      <c r="C6675" t="str">
        <f t="shared" si="1208"/>
        <v>78610001</v>
      </c>
      <c r="D6675">
        <v>89301052</v>
      </c>
      <c r="E6675" t="str">
        <f>"7509235679"</f>
        <v>7509235679</v>
      </c>
      <c r="F6675" s="1">
        <v>45097</v>
      </c>
      <c r="G6675" t="str">
        <f>"89517"</f>
        <v>89517</v>
      </c>
      <c r="H6675">
        <v>1</v>
      </c>
      <c r="I6675">
        <v>994</v>
      </c>
      <c r="J6675">
        <v>0</v>
      </c>
      <c r="K6675" t="str">
        <f t="shared" si="1206"/>
        <v>809</v>
      </c>
      <c r="L6675">
        <v>1461.18</v>
      </c>
    </row>
    <row r="6676" spans="1:12" x14ac:dyDescent="0.25">
      <c r="A6676" t="str">
        <f t="shared" si="1205"/>
        <v>89301000</v>
      </c>
      <c r="B6676" t="str">
        <f t="shared" si="1207"/>
        <v>78610000</v>
      </c>
      <c r="C6676" t="str">
        <f t="shared" si="1208"/>
        <v>78610001</v>
      </c>
      <c r="D6676">
        <v>89301052</v>
      </c>
      <c r="E6676" t="str">
        <f>"7559075304"</f>
        <v>7559075304</v>
      </c>
      <c r="F6676" s="1">
        <v>45104</v>
      </c>
      <c r="G6676" t="str">
        <f>"89517"</f>
        <v>89517</v>
      </c>
      <c r="H6676">
        <v>1</v>
      </c>
      <c r="I6676">
        <v>994</v>
      </c>
      <c r="J6676">
        <v>0</v>
      </c>
      <c r="K6676" t="str">
        <f t="shared" si="1206"/>
        <v>809</v>
      </c>
      <c r="L6676">
        <v>1461.18</v>
      </c>
    </row>
    <row r="6677" spans="1:12" x14ac:dyDescent="0.25">
      <c r="A6677" t="str">
        <f t="shared" si="1205"/>
        <v>89301000</v>
      </c>
      <c r="B6677" t="str">
        <f t="shared" si="1207"/>
        <v>78610000</v>
      </c>
      <c r="C6677" t="str">
        <f t="shared" si="1208"/>
        <v>78610001</v>
      </c>
      <c r="D6677">
        <v>89301055</v>
      </c>
      <c r="E6677" t="str">
        <f>"7855035782"</f>
        <v>7855035782</v>
      </c>
      <c r="F6677" s="1">
        <v>45097</v>
      </c>
      <c r="G6677" t="str">
        <f>"89517"</f>
        <v>89517</v>
      </c>
      <c r="H6677">
        <v>1</v>
      </c>
      <c r="I6677">
        <v>994</v>
      </c>
      <c r="J6677">
        <v>0</v>
      </c>
      <c r="K6677" t="str">
        <f t="shared" si="1206"/>
        <v>809</v>
      </c>
      <c r="L6677">
        <v>1461.18</v>
      </c>
    </row>
    <row r="6678" spans="1:12" x14ac:dyDescent="0.25">
      <c r="A6678" t="str">
        <f t="shared" si="1205"/>
        <v>89301000</v>
      </c>
      <c r="B6678" t="str">
        <f t="shared" si="1207"/>
        <v>78610000</v>
      </c>
      <c r="C6678" t="str">
        <f t="shared" si="1208"/>
        <v>78610001</v>
      </c>
      <c r="D6678">
        <v>89301055</v>
      </c>
      <c r="E6678" t="str">
        <f>"9653045754"</f>
        <v>9653045754</v>
      </c>
      <c r="F6678" s="1">
        <v>45097</v>
      </c>
      <c r="G6678" t="str">
        <f>"89517"</f>
        <v>89517</v>
      </c>
      <c r="H6678">
        <v>1</v>
      </c>
      <c r="I6678">
        <v>994</v>
      </c>
      <c r="J6678">
        <v>0</v>
      </c>
      <c r="K6678" t="str">
        <f t="shared" si="1206"/>
        <v>809</v>
      </c>
      <c r="L6678">
        <v>1461.18</v>
      </c>
    </row>
    <row r="6679" spans="1:12" x14ac:dyDescent="0.25">
      <c r="A6679" t="str">
        <f t="shared" si="1205"/>
        <v>89301000</v>
      </c>
      <c r="B6679" t="str">
        <f t="shared" ref="B6679:B6701" si="1209">"89445000"</f>
        <v>89445000</v>
      </c>
      <c r="C6679" t="str">
        <f>"89445004"</f>
        <v>89445004</v>
      </c>
      <c r="D6679">
        <v>89301167</v>
      </c>
      <c r="E6679" t="str">
        <f t="shared" ref="E6679:E6698" si="1210">"530103026"</f>
        <v>530103026</v>
      </c>
      <c r="F6679" s="1">
        <v>45078</v>
      </c>
      <c r="G6679" t="str">
        <f>"96167"</f>
        <v>96167</v>
      </c>
      <c r="H6679">
        <v>1</v>
      </c>
      <c r="I6679">
        <v>67</v>
      </c>
      <c r="J6679">
        <v>0</v>
      </c>
      <c r="K6679" t="str">
        <f>"818"</f>
        <v>818</v>
      </c>
      <c r="L6679">
        <v>64.989999999999995</v>
      </c>
    </row>
    <row r="6680" spans="1:12" x14ac:dyDescent="0.25">
      <c r="A6680" t="str">
        <f t="shared" si="1205"/>
        <v>89301000</v>
      </c>
      <c r="B6680" t="str">
        <f t="shared" si="1209"/>
        <v>89445000</v>
      </c>
      <c r="C6680" t="str">
        <f t="shared" ref="C6680:C6701" si="1211">"89445001"</f>
        <v>89445001</v>
      </c>
      <c r="D6680">
        <v>89301167</v>
      </c>
      <c r="E6680" t="str">
        <f t="shared" si="1210"/>
        <v>530103026</v>
      </c>
      <c r="F6680" s="1">
        <v>45078</v>
      </c>
      <c r="G6680" t="str">
        <f>"81593"</f>
        <v>81593</v>
      </c>
      <c r="H6680">
        <v>1</v>
      </c>
      <c r="I6680">
        <v>22</v>
      </c>
      <c r="J6680">
        <v>0</v>
      </c>
      <c r="K6680" t="str">
        <f t="shared" ref="K6680:K6701" si="1212">"801"</f>
        <v>801</v>
      </c>
      <c r="L6680">
        <v>18.48</v>
      </c>
    </row>
    <row r="6681" spans="1:12" x14ac:dyDescent="0.25">
      <c r="A6681" t="str">
        <f t="shared" si="1205"/>
        <v>89301000</v>
      </c>
      <c r="B6681" t="str">
        <f t="shared" si="1209"/>
        <v>89445000</v>
      </c>
      <c r="C6681" t="str">
        <f t="shared" si="1211"/>
        <v>89445001</v>
      </c>
      <c r="D6681">
        <v>89301167</v>
      </c>
      <c r="E6681" t="str">
        <f t="shared" si="1210"/>
        <v>530103026</v>
      </c>
      <c r="F6681" s="1">
        <v>45078</v>
      </c>
      <c r="G6681" t="str">
        <f>"81393"</f>
        <v>81393</v>
      </c>
      <c r="H6681">
        <v>1</v>
      </c>
      <c r="I6681">
        <v>24</v>
      </c>
      <c r="J6681">
        <v>0</v>
      </c>
      <c r="K6681" t="str">
        <f t="shared" si="1212"/>
        <v>801</v>
      </c>
      <c r="L6681">
        <v>20.16</v>
      </c>
    </row>
    <row r="6682" spans="1:12" x14ac:dyDescent="0.25">
      <c r="A6682" t="str">
        <f t="shared" si="1205"/>
        <v>89301000</v>
      </c>
      <c r="B6682" t="str">
        <f t="shared" si="1209"/>
        <v>89445000</v>
      </c>
      <c r="C6682" t="str">
        <f t="shared" si="1211"/>
        <v>89445001</v>
      </c>
      <c r="D6682">
        <v>89301167</v>
      </c>
      <c r="E6682" t="str">
        <f t="shared" si="1210"/>
        <v>530103026</v>
      </c>
      <c r="F6682" s="1">
        <v>45078</v>
      </c>
      <c r="G6682" t="str">
        <f>"81469"</f>
        <v>81469</v>
      </c>
      <c r="H6682">
        <v>1</v>
      </c>
      <c r="I6682">
        <v>16</v>
      </c>
      <c r="J6682">
        <v>0</v>
      </c>
      <c r="K6682" t="str">
        <f t="shared" si="1212"/>
        <v>801</v>
      </c>
      <c r="L6682">
        <v>13.44</v>
      </c>
    </row>
    <row r="6683" spans="1:12" x14ac:dyDescent="0.25">
      <c r="A6683" t="str">
        <f t="shared" si="1205"/>
        <v>89301000</v>
      </c>
      <c r="B6683" t="str">
        <f t="shared" si="1209"/>
        <v>89445000</v>
      </c>
      <c r="C6683" t="str">
        <f t="shared" si="1211"/>
        <v>89445001</v>
      </c>
      <c r="D6683">
        <v>89301167</v>
      </c>
      <c r="E6683" t="str">
        <f t="shared" si="1210"/>
        <v>530103026</v>
      </c>
      <c r="F6683" s="1">
        <v>45078</v>
      </c>
      <c r="G6683" t="str">
        <f>"81621"</f>
        <v>81621</v>
      </c>
      <c r="H6683">
        <v>1</v>
      </c>
      <c r="I6683">
        <v>19</v>
      </c>
      <c r="J6683">
        <v>0</v>
      </c>
      <c r="K6683" t="str">
        <f t="shared" si="1212"/>
        <v>801</v>
      </c>
      <c r="L6683">
        <v>15.96</v>
      </c>
    </row>
    <row r="6684" spans="1:12" x14ac:dyDescent="0.25">
      <c r="A6684" t="str">
        <f t="shared" si="1205"/>
        <v>89301000</v>
      </c>
      <c r="B6684" t="str">
        <f t="shared" si="1209"/>
        <v>89445000</v>
      </c>
      <c r="C6684" t="str">
        <f t="shared" si="1211"/>
        <v>89445001</v>
      </c>
      <c r="D6684">
        <v>89301167</v>
      </c>
      <c r="E6684" t="str">
        <f t="shared" si="1210"/>
        <v>530103026</v>
      </c>
      <c r="F6684" s="1">
        <v>45078</v>
      </c>
      <c r="G6684" t="str">
        <f>"81499"</f>
        <v>81499</v>
      </c>
      <c r="H6684">
        <v>1</v>
      </c>
      <c r="I6684">
        <v>18</v>
      </c>
      <c r="J6684">
        <v>0</v>
      </c>
      <c r="K6684" t="str">
        <f t="shared" si="1212"/>
        <v>801</v>
      </c>
      <c r="L6684">
        <v>15.12</v>
      </c>
    </row>
    <row r="6685" spans="1:12" x14ac:dyDescent="0.25">
      <c r="A6685" t="str">
        <f t="shared" si="1205"/>
        <v>89301000</v>
      </c>
      <c r="B6685" t="str">
        <f t="shared" si="1209"/>
        <v>89445000</v>
      </c>
      <c r="C6685" t="str">
        <f t="shared" si="1211"/>
        <v>89445001</v>
      </c>
      <c r="D6685">
        <v>89301167</v>
      </c>
      <c r="E6685" t="str">
        <f t="shared" si="1210"/>
        <v>530103026</v>
      </c>
      <c r="F6685" s="1">
        <v>45078</v>
      </c>
      <c r="G6685" t="str">
        <f>"81365"</f>
        <v>81365</v>
      </c>
      <c r="H6685">
        <v>1</v>
      </c>
      <c r="I6685">
        <v>16</v>
      </c>
      <c r="J6685">
        <v>0</v>
      </c>
      <c r="K6685" t="str">
        <f t="shared" si="1212"/>
        <v>801</v>
      </c>
      <c r="L6685">
        <v>13.44</v>
      </c>
    </row>
    <row r="6686" spans="1:12" x14ac:dyDescent="0.25">
      <c r="A6686" t="str">
        <f t="shared" si="1205"/>
        <v>89301000</v>
      </c>
      <c r="B6686" t="str">
        <f t="shared" si="1209"/>
        <v>89445000</v>
      </c>
      <c r="C6686" t="str">
        <f t="shared" si="1211"/>
        <v>89445001</v>
      </c>
      <c r="D6686">
        <v>89301167</v>
      </c>
      <c r="E6686" t="str">
        <f t="shared" si="1210"/>
        <v>530103026</v>
      </c>
      <c r="F6686" s="1">
        <v>45078</v>
      </c>
      <c r="G6686" t="str">
        <f>"81329"</f>
        <v>81329</v>
      </c>
      <c r="H6686">
        <v>1</v>
      </c>
      <c r="I6686">
        <v>17</v>
      </c>
      <c r="J6686">
        <v>0</v>
      </c>
      <c r="K6686" t="str">
        <f t="shared" si="1212"/>
        <v>801</v>
      </c>
      <c r="L6686">
        <v>14.28</v>
      </c>
    </row>
    <row r="6687" spans="1:12" x14ac:dyDescent="0.25">
      <c r="A6687" t="str">
        <f t="shared" si="1205"/>
        <v>89301000</v>
      </c>
      <c r="B6687" t="str">
        <f t="shared" si="1209"/>
        <v>89445000</v>
      </c>
      <c r="C6687" t="str">
        <f t="shared" si="1211"/>
        <v>89445001</v>
      </c>
      <c r="D6687">
        <v>89301167</v>
      </c>
      <c r="E6687" t="str">
        <f t="shared" si="1210"/>
        <v>530103026</v>
      </c>
      <c r="F6687" s="1">
        <v>45078</v>
      </c>
      <c r="G6687" t="str">
        <f>"81361"</f>
        <v>81361</v>
      </c>
      <c r="H6687">
        <v>1</v>
      </c>
      <c r="I6687">
        <v>17</v>
      </c>
      <c r="J6687">
        <v>0</v>
      </c>
      <c r="K6687" t="str">
        <f t="shared" si="1212"/>
        <v>801</v>
      </c>
      <c r="L6687">
        <v>14.28</v>
      </c>
    </row>
    <row r="6688" spans="1:12" x14ac:dyDescent="0.25">
      <c r="A6688" t="str">
        <f t="shared" si="1205"/>
        <v>89301000</v>
      </c>
      <c r="B6688" t="str">
        <f t="shared" si="1209"/>
        <v>89445000</v>
      </c>
      <c r="C6688" t="str">
        <f t="shared" si="1211"/>
        <v>89445001</v>
      </c>
      <c r="D6688">
        <v>89301167</v>
      </c>
      <c r="E6688" t="str">
        <f t="shared" si="1210"/>
        <v>530103026</v>
      </c>
      <c r="F6688" s="1">
        <v>45078</v>
      </c>
      <c r="G6688" t="str">
        <f>"81337"</f>
        <v>81337</v>
      </c>
      <c r="H6688">
        <v>1</v>
      </c>
      <c r="I6688">
        <v>20</v>
      </c>
      <c r="J6688">
        <v>0</v>
      </c>
      <c r="K6688" t="str">
        <f t="shared" si="1212"/>
        <v>801</v>
      </c>
      <c r="L6688">
        <v>16.8</v>
      </c>
    </row>
    <row r="6689" spans="1:12" x14ac:dyDescent="0.25">
      <c r="A6689" t="str">
        <f t="shared" si="1205"/>
        <v>89301000</v>
      </c>
      <c r="B6689" t="str">
        <f t="shared" si="1209"/>
        <v>89445000</v>
      </c>
      <c r="C6689" t="str">
        <f t="shared" si="1211"/>
        <v>89445001</v>
      </c>
      <c r="D6689">
        <v>89301167</v>
      </c>
      <c r="E6689" t="str">
        <f t="shared" si="1210"/>
        <v>530103026</v>
      </c>
      <c r="F6689" s="1">
        <v>45078</v>
      </c>
      <c r="G6689" t="str">
        <f>"81357"</f>
        <v>81357</v>
      </c>
      <c r="H6689">
        <v>1</v>
      </c>
      <c r="I6689">
        <v>20</v>
      </c>
      <c r="J6689">
        <v>0</v>
      </c>
      <c r="K6689" t="str">
        <f t="shared" si="1212"/>
        <v>801</v>
      </c>
      <c r="L6689">
        <v>16.8</v>
      </c>
    </row>
    <row r="6690" spans="1:12" x14ac:dyDescent="0.25">
      <c r="A6690" t="str">
        <f t="shared" si="1205"/>
        <v>89301000</v>
      </c>
      <c r="B6690" t="str">
        <f t="shared" si="1209"/>
        <v>89445000</v>
      </c>
      <c r="C6690" t="str">
        <f t="shared" si="1211"/>
        <v>89445001</v>
      </c>
      <c r="D6690">
        <v>89301167</v>
      </c>
      <c r="E6690" t="str">
        <f t="shared" si="1210"/>
        <v>530103026</v>
      </c>
      <c r="F6690" s="1">
        <v>45078</v>
      </c>
      <c r="G6690" t="str">
        <f>"81421"</f>
        <v>81421</v>
      </c>
      <c r="H6690">
        <v>1</v>
      </c>
      <c r="I6690">
        <v>19</v>
      </c>
      <c r="J6690">
        <v>0</v>
      </c>
      <c r="K6690" t="str">
        <f t="shared" si="1212"/>
        <v>801</v>
      </c>
      <c r="L6690">
        <v>15.96</v>
      </c>
    </row>
    <row r="6691" spans="1:12" x14ac:dyDescent="0.25">
      <c r="A6691" t="str">
        <f t="shared" si="1205"/>
        <v>89301000</v>
      </c>
      <c r="B6691" t="str">
        <f t="shared" si="1209"/>
        <v>89445000</v>
      </c>
      <c r="C6691" t="str">
        <f t="shared" si="1211"/>
        <v>89445001</v>
      </c>
      <c r="D6691">
        <v>89301167</v>
      </c>
      <c r="E6691" t="str">
        <f t="shared" si="1210"/>
        <v>530103026</v>
      </c>
      <c r="F6691" s="1">
        <v>45078</v>
      </c>
      <c r="G6691" t="str">
        <f>"81435"</f>
        <v>81435</v>
      </c>
      <c r="H6691">
        <v>1</v>
      </c>
      <c r="I6691">
        <v>22</v>
      </c>
      <c r="J6691">
        <v>0</v>
      </c>
      <c r="K6691" t="str">
        <f t="shared" si="1212"/>
        <v>801</v>
      </c>
      <c r="L6691">
        <v>18.48</v>
      </c>
    </row>
    <row r="6692" spans="1:12" x14ac:dyDescent="0.25">
      <c r="A6692" t="str">
        <f t="shared" si="1205"/>
        <v>89301000</v>
      </c>
      <c r="B6692" t="str">
        <f t="shared" si="1209"/>
        <v>89445000</v>
      </c>
      <c r="C6692" t="str">
        <f t="shared" si="1211"/>
        <v>89445001</v>
      </c>
      <c r="D6692">
        <v>89301167</v>
      </c>
      <c r="E6692" t="str">
        <f t="shared" si="1210"/>
        <v>530103026</v>
      </c>
      <c r="F6692" s="1">
        <v>45078</v>
      </c>
      <c r="G6692" t="str">
        <f>"81383"</f>
        <v>81383</v>
      </c>
      <c r="H6692">
        <v>1</v>
      </c>
      <c r="I6692">
        <v>24</v>
      </c>
      <c r="J6692">
        <v>0</v>
      </c>
      <c r="K6692" t="str">
        <f t="shared" si="1212"/>
        <v>801</v>
      </c>
      <c r="L6692">
        <v>20.16</v>
      </c>
    </row>
    <row r="6693" spans="1:12" x14ac:dyDescent="0.25">
      <c r="A6693" t="str">
        <f t="shared" si="1205"/>
        <v>89301000</v>
      </c>
      <c r="B6693" t="str">
        <f t="shared" si="1209"/>
        <v>89445000</v>
      </c>
      <c r="C6693" t="str">
        <f t="shared" si="1211"/>
        <v>89445001</v>
      </c>
      <c r="D6693">
        <v>89301167</v>
      </c>
      <c r="E6693" t="str">
        <f t="shared" si="1210"/>
        <v>530103026</v>
      </c>
      <c r="F6693" s="1">
        <v>45078</v>
      </c>
      <c r="G6693" t="str">
        <f>"81625"</f>
        <v>81625</v>
      </c>
      <c r="H6693">
        <v>1</v>
      </c>
      <c r="I6693">
        <v>21</v>
      </c>
      <c r="J6693">
        <v>0</v>
      </c>
      <c r="K6693" t="str">
        <f t="shared" si="1212"/>
        <v>801</v>
      </c>
      <c r="L6693">
        <v>17.64</v>
      </c>
    </row>
    <row r="6694" spans="1:12" x14ac:dyDescent="0.25">
      <c r="A6694" t="str">
        <f t="shared" si="1205"/>
        <v>89301000</v>
      </c>
      <c r="B6694" t="str">
        <f t="shared" si="1209"/>
        <v>89445000</v>
      </c>
      <c r="C6694" t="str">
        <f t="shared" si="1211"/>
        <v>89445001</v>
      </c>
      <c r="D6694">
        <v>89301167</v>
      </c>
      <c r="E6694" t="str">
        <f t="shared" si="1210"/>
        <v>530103026</v>
      </c>
      <c r="F6694" s="1">
        <v>45078</v>
      </c>
      <c r="G6694" t="str">
        <f>"81439"</f>
        <v>81439</v>
      </c>
      <c r="H6694">
        <v>1</v>
      </c>
      <c r="I6694">
        <v>16</v>
      </c>
      <c r="J6694">
        <v>0</v>
      </c>
      <c r="K6694" t="str">
        <f t="shared" si="1212"/>
        <v>801</v>
      </c>
      <c r="L6694">
        <v>13.44</v>
      </c>
    </row>
    <row r="6695" spans="1:12" x14ac:dyDescent="0.25">
      <c r="A6695" t="str">
        <f t="shared" si="1205"/>
        <v>89301000</v>
      </c>
      <c r="B6695" t="str">
        <f t="shared" si="1209"/>
        <v>89445000</v>
      </c>
      <c r="C6695" t="str">
        <f t="shared" si="1211"/>
        <v>89445001</v>
      </c>
      <c r="D6695">
        <v>89301167</v>
      </c>
      <c r="E6695" t="str">
        <f t="shared" si="1210"/>
        <v>530103026</v>
      </c>
      <c r="F6695" s="1">
        <v>45078</v>
      </c>
      <c r="G6695" t="str">
        <f>"91153"</f>
        <v>91153</v>
      </c>
      <c r="H6695">
        <v>1</v>
      </c>
      <c r="I6695">
        <v>153</v>
      </c>
      <c r="J6695">
        <v>0</v>
      </c>
      <c r="K6695" t="str">
        <f t="shared" si="1212"/>
        <v>801</v>
      </c>
      <c r="L6695">
        <v>128.52000000000001</v>
      </c>
    </row>
    <row r="6696" spans="1:12" x14ac:dyDescent="0.25">
      <c r="A6696" t="str">
        <f t="shared" si="1205"/>
        <v>89301000</v>
      </c>
      <c r="B6696" t="str">
        <f t="shared" si="1209"/>
        <v>89445000</v>
      </c>
      <c r="C6696" t="str">
        <f t="shared" si="1211"/>
        <v>89445001</v>
      </c>
      <c r="D6696">
        <v>89301167</v>
      </c>
      <c r="E6696" t="str">
        <f t="shared" si="1210"/>
        <v>530103026</v>
      </c>
      <c r="F6696" s="1">
        <v>45078</v>
      </c>
      <c r="G6696" t="str">
        <f>"09111"</f>
        <v>09111</v>
      </c>
      <c r="H6696">
        <v>1</v>
      </c>
      <c r="I6696">
        <v>36</v>
      </c>
      <c r="J6696">
        <v>0</v>
      </c>
      <c r="K6696" t="str">
        <f t="shared" si="1212"/>
        <v>801</v>
      </c>
      <c r="L6696">
        <v>45.36</v>
      </c>
    </row>
    <row r="6697" spans="1:12" x14ac:dyDescent="0.25">
      <c r="A6697" t="str">
        <f t="shared" si="1205"/>
        <v>89301000</v>
      </c>
      <c r="B6697" t="str">
        <f t="shared" si="1209"/>
        <v>89445000</v>
      </c>
      <c r="C6697" t="str">
        <f t="shared" si="1211"/>
        <v>89445001</v>
      </c>
      <c r="D6697">
        <v>89301167</v>
      </c>
      <c r="E6697" t="str">
        <f t="shared" si="1210"/>
        <v>530103026</v>
      </c>
      <c r="F6697" s="1">
        <v>45078</v>
      </c>
      <c r="G6697" t="str">
        <f>"09119"</f>
        <v>09119</v>
      </c>
      <c r="H6697">
        <v>1</v>
      </c>
      <c r="I6697">
        <v>43</v>
      </c>
      <c r="J6697">
        <v>0</v>
      </c>
      <c r="K6697" t="str">
        <f t="shared" si="1212"/>
        <v>801</v>
      </c>
      <c r="L6697">
        <v>54.18</v>
      </c>
    </row>
    <row r="6698" spans="1:12" x14ac:dyDescent="0.25">
      <c r="A6698" t="str">
        <f t="shared" si="1205"/>
        <v>89301000</v>
      </c>
      <c r="B6698" t="str">
        <f t="shared" si="1209"/>
        <v>89445000</v>
      </c>
      <c r="C6698" t="str">
        <f t="shared" si="1211"/>
        <v>89445001</v>
      </c>
      <c r="D6698">
        <v>89301167</v>
      </c>
      <c r="E6698" t="str">
        <f t="shared" si="1210"/>
        <v>530103026</v>
      </c>
      <c r="F6698" s="1">
        <v>45078</v>
      </c>
      <c r="G6698" t="str">
        <f>"97111"</f>
        <v>97111</v>
      </c>
      <c r="H6698">
        <v>2</v>
      </c>
      <c r="I6698">
        <v>38</v>
      </c>
      <c r="J6698">
        <v>0</v>
      </c>
      <c r="K6698" t="str">
        <f t="shared" si="1212"/>
        <v>801</v>
      </c>
      <c r="L6698">
        <v>47.88</v>
      </c>
    </row>
    <row r="6699" spans="1:12" x14ac:dyDescent="0.25">
      <c r="A6699" t="str">
        <f t="shared" si="1205"/>
        <v>89301000</v>
      </c>
      <c r="B6699" t="str">
        <f t="shared" si="1209"/>
        <v>89445000</v>
      </c>
      <c r="C6699" t="str">
        <f t="shared" si="1211"/>
        <v>89445001</v>
      </c>
      <c r="D6699">
        <v>89301082</v>
      </c>
      <c r="E6699" t="str">
        <f>"8661194916"</f>
        <v>8661194916</v>
      </c>
      <c r="F6699" s="1">
        <v>45084</v>
      </c>
      <c r="G6699" t="str">
        <f>"09119"</f>
        <v>09119</v>
      </c>
      <c r="H6699">
        <v>1</v>
      </c>
      <c r="I6699">
        <v>43</v>
      </c>
      <c r="J6699">
        <v>0</v>
      </c>
      <c r="K6699" t="str">
        <f t="shared" si="1212"/>
        <v>801</v>
      </c>
      <c r="L6699">
        <v>54.18</v>
      </c>
    </row>
    <row r="6700" spans="1:12" x14ac:dyDescent="0.25">
      <c r="A6700" t="str">
        <f t="shared" si="1205"/>
        <v>89301000</v>
      </c>
      <c r="B6700" t="str">
        <f t="shared" si="1209"/>
        <v>89445000</v>
      </c>
      <c r="C6700" t="str">
        <f t="shared" si="1211"/>
        <v>89445001</v>
      </c>
      <c r="D6700">
        <v>89301082</v>
      </c>
      <c r="E6700" t="str">
        <f>"8661194916"</f>
        <v>8661194916</v>
      </c>
      <c r="F6700" s="1">
        <v>45084</v>
      </c>
      <c r="G6700" t="str">
        <f>"93159"</f>
        <v>93159</v>
      </c>
      <c r="H6700">
        <v>1</v>
      </c>
      <c r="I6700">
        <v>197</v>
      </c>
      <c r="J6700">
        <v>0</v>
      </c>
      <c r="K6700" t="str">
        <f t="shared" si="1212"/>
        <v>801</v>
      </c>
      <c r="L6700">
        <v>165.48</v>
      </c>
    </row>
    <row r="6701" spans="1:12" x14ac:dyDescent="0.25">
      <c r="A6701" t="str">
        <f t="shared" si="1205"/>
        <v>89301000</v>
      </c>
      <c r="B6701" t="str">
        <f t="shared" si="1209"/>
        <v>89445000</v>
      </c>
      <c r="C6701" t="str">
        <f t="shared" si="1211"/>
        <v>89445001</v>
      </c>
      <c r="D6701">
        <v>89301082</v>
      </c>
      <c r="E6701" t="str">
        <f>"8661194916"</f>
        <v>8661194916</v>
      </c>
      <c r="F6701" s="1">
        <v>45084</v>
      </c>
      <c r="G6701" t="str">
        <f>"97111"</f>
        <v>97111</v>
      </c>
      <c r="H6701">
        <v>1</v>
      </c>
      <c r="I6701">
        <v>19</v>
      </c>
      <c r="J6701">
        <v>0</v>
      </c>
      <c r="K6701" t="str">
        <f t="shared" si="1212"/>
        <v>801</v>
      </c>
      <c r="L6701">
        <v>23.94</v>
      </c>
    </row>
    <row r="6702" spans="1:12" x14ac:dyDescent="0.25">
      <c r="A6702" t="str">
        <f t="shared" si="1205"/>
        <v>89301000</v>
      </c>
      <c r="B6702" t="str">
        <f>"93507000"</f>
        <v>93507000</v>
      </c>
      <c r="C6702" t="str">
        <f>"93507001"</f>
        <v>93507001</v>
      </c>
      <c r="D6702">
        <v>89301212</v>
      </c>
      <c r="E6702" t="str">
        <f>"6108161246"</f>
        <v>6108161246</v>
      </c>
      <c r="F6702" s="1">
        <v>45106</v>
      </c>
      <c r="G6702" t="str">
        <f>"09139"</f>
        <v>09139</v>
      </c>
      <c r="H6702">
        <v>1</v>
      </c>
      <c r="I6702">
        <v>356</v>
      </c>
      <c r="J6702">
        <v>0</v>
      </c>
      <c r="K6702" t="str">
        <f t="shared" ref="K6702:K6733" si="1213">"809"</f>
        <v>809</v>
      </c>
      <c r="L6702">
        <v>523.32000000000005</v>
      </c>
    </row>
    <row r="6703" spans="1:12" x14ac:dyDescent="0.25">
      <c r="A6703" t="str">
        <f t="shared" si="1205"/>
        <v>89301000</v>
      </c>
      <c r="B6703" t="str">
        <f t="shared" ref="B6703:B6734" si="1214">"78051000"</f>
        <v>78051000</v>
      </c>
      <c r="C6703" t="str">
        <f t="shared" ref="C6703:C6734" si="1215">"78051004"</f>
        <v>78051004</v>
      </c>
      <c r="D6703">
        <v>89301062</v>
      </c>
      <c r="E6703" t="str">
        <f>"6510141110"</f>
        <v>6510141110</v>
      </c>
      <c r="F6703" s="1">
        <v>45083</v>
      </c>
      <c r="G6703" t="str">
        <f>"89311"</f>
        <v>89311</v>
      </c>
      <c r="H6703">
        <v>1</v>
      </c>
      <c r="I6703">
        <v>970</v>
      </c>
      <c r="J6703">
        <v>0</v>
      </c>
      <c r="K6703" t="str">
        <f t="shared" si="1213"/>
        <v>809</v>
      </c>
      <c r="L6703">
        <v>1425.9</v>
      </c>
    </row>
    <row r="6704" spans="1:12" x14ac:dyDescent="0.25">
      <c r="A6704" t="str">
        <f t="shared" si="1205"/>
        <v>89301000</v>
      </c>
      <c r="B6704" t="str">
        <f t="shared" si="1214"/>
        <v>78051000</v>
      </c>
      <c r="C6704" t="str">
        <f t="shared" si="1215"/>
        <v>78051004</v>
      </c>
      <c r="D6704">
        <v>89301062</v>
      </c>
      <c r="E6704" t="str">
        <f>"6510141110"</f>
        <v>6510141110</v>
      </c>
      <c r="F6704" s="1">
        <v>45083</v>
      </c>
      <c r="G6704" t="str">
        <f>"0090044"</f>
        <v>0090044</v>
      </c>
      <c r="H6704">
        <v>1</v>
      </c>
      <c r="J6704">
        <v>16.8</v>
      </c>
      <c r="K6704" t="str">
        <f t="shared" si="1213"/>
        <v>809</v>
      </c>
      <c r="L6704">
        <v>16.8</v>
      </c>
    </row>
    <row r="6705" spans="1:12" x14ac:dyDescent="0.25">
      <c r="A6705" t="str">
        <f t="shared" si="1205"/>
        <v>89301000</v>
      </c>
      <c r="B6705" t="str">
        <f t="shared" si="1214"/>
        <v>78051000</v>
      </c>
      <c r="C6705" t="str">
        <f t="shared" si="1215"/>
        <v>78051004</v>
      </c>
      <c r="D6705">
        <v>89301062</v>
      </c>
      <c r="E6705" t="str">
        <f>"6510141110"</f>
        <v>6510141110</v>
      </c>
      <c r="F6705" s="1">
        <v>45083</v>
      </c>
      <c r="G6705" t="str">
        <f>"0225891"</f>
        <v>0225891</v>
      </c>
      <c r="H6705">
        <v>0.2</v>
      </c>
      <c r="J6705">
        <v>73.540000000000006</v>
      </c>
      <c r="K6705" t="str">
        <f t="shared" si="1213"/>
        <v>809</v>
      </c>
      <c r="L6705">
        <v>73.540000000000006</v>
      </c>
    </row>
    <row r="6706" spans="1:12" x14ac:dyDescent="0.25">
      <c r="A6706" t="str">
        <f t="shared" si="1205"/>
        <v>89301000</v>
      </c>
      <c r="B6706" t="str">
        <f t="shared" si="1214"/>
        <v>78051000</v>
      </c>
      <c r="C6706" t="str">
        <f t="shared" si="1215"/>
        <v>78051004</v>
      </c>
      <c r="D6706">
        <v>89301062</v>
      </c>
      <c r="E6706" t="str">
        <f>"6510141110"</f>
        <v>6510141110</v>
      </c>
      <c r="F6706" s="1">
        <v>45083</v>
      </c>
      <c r="G6706" t="str">
        <f>"0096251"</f>
        <v>0096251</v>
      </c>
      <c r="H6706">
        <v>0.17</v>
      </c>
      <c r="J6706">
        <v>198.83</v>
      </c>
      <c r="K6706" t="str">
        <f t="shared" si="1213"/>
        <v>809</v>
      </c>
      <c r="L6706">
        <v>198.83</v>
      </c>
    </row>
    <row r="6707" spans="1:12" x14ac:dyDescent="0.25">
      <c r="A6707" t="str">
        <f t="shared" si="1205"/>
        <v>89301000</v>
      </c>
      <c r="B6707" t="str">
        <f t="shared" si="1214"/>
        <v>78051000</v>
      </c>
      <c r="C6707" t="str">
        <f t="shared" si="1215"/>
        <v>78051004</v>
      </c>
      <c r="D6707">
        <v>89301062</v>
      </c>
      <c r="E6707" t="str">
        <f>"6510141110"</f>
        <v>6510141110</v>
      </c>
      <c r="F6707" s="1">
        <v>45083</v>
      </c>
      <c r="G6707" t="str">
        <f>"0098943"</f>
        <v>0098943</v>
      </c>
      <c r="H6707">
        <v>1</v>
      </c>
      <c r="J6707">
        <v>293.81</v>
      </c>
      <c r="K6707" t="str">
        <f t="shared" si="1213"/>
        <v>809</v>
      </c>
      <c r="L6707">
        <v>293.81</v>
      </c>
    </row>
    <row r="6708" spans="1:12" x14ac:dyDescent="0.25">
      <c r="A6708" t="str">
        <f t="shared" si="1205"/>
        <v>89301000</v>
      </c>
      <c r="B6708" t="str">
        <f t="shared" si="1214"/>
        <v>78051000</v>
      </c>
      <c r="C6708" t="str">
        <f t="shared" si="1215"/>
        <v>78051004</v>
      </c>
      <c r="D6708">
        <v>89301062</v>
      </c>
      <c r="E6708" t="str">
        <f>"460208443"</f>
        <v>460208443</v>
      </c>
      <c r="F6708" s="1">
        <v>45083</v>
      </c>
      <c r="G6708" t="str">
        <f>"89311"</f>
        <v>89311</v>
      </c>
      <c r="H6708">
        <v>1</v>
      </c>
      <c r="I6708">
        <v>970</v>
      </c>
      <c r="J6708">
        <v>0</v>
      </c>
      <c r="K6708" t="str">
        <f t="shared" si="1213"/>
        <v>809</v>
      </c>
      <c r="L6708">
        <v>1425.9</v>
      </c>
    </row>
    <row r="6709" spans="1:12" x14ac:dyDescent="0.25">
      <c r="A6709" t="str">
        <f t="shared" si="1205"/>
        <v>89301000</v>
      </c>
      <c r="B6709" t="str">
        <f t="shared" si="1214"/>
        <v>78051000</v>
      </c>
      <c r="C6709" t="str">
        <f t="shared" si="1215"/>
        <v>78051004</v>
      </c>
      <c r="D6709">
        <v>89301062</v>
      </c>
      <c r="E6709" t="str">
        <f>"460208443"</f>
        <v>460208443</v>
      </c>
      <c r="F6709" s="1">
        <v>45083</v>
      </c>
      <c r="G6709" t="str">
        <f>"0090044"</f>
        <v>0090044</v>
      </c>
      <c r="H6709">
        <v>1</v>
      </c>
      <c r="J6709">
        <v>16.8</v>
      </c>
      <c r="K6709" t="str">
        <f t="shared" si="1213"/>
        <v>809</v>
      </c>
      <c r="L6709">
        <v>16.8</v>
      </c>
    </row>
    <row r="6710" spans="1:12" x14ac:dyDescent="0.25">
      <c r="A6710" t="str">
        <f t="shared" si="1205"/>
        <v>89301000</v>
      </c>
      <c r="B6710" t="str">
        <f t="shared" si="1214"/>
        <v>78051000</v>
      </c>
      <c r="C6710" t="str">
        <f t="shared" si="1215"/>
        <v>78051004</v>
      </c>
      <c r="D6710">
        <v>89301062</v>
      </c>
      <c r="E6710" t="str">
        <f>"460208443"</f>
        <v>460208443</v>
      </c>
      <c r="F6710" s="1">
        <v>45083</v>
      </c>
      <c r="G6710" t="str">
        <f>"0225891"</f>
        <v>0225891</v>
      </c>
      <c r="H6710">
        <v>0.2</v>
      </c>
      <c r="J6710">
        <v>73.540000000000006</v>
      </c>
      <c r="K6710" t="str">
        <f t="shared" si="1213"/>
        <v>809</v>
      </c>
      <c r="L6710">
        <v>73.540000000000006</v>
      </c>
    </row>
    <row r="6711" spans="1:12" x14ac:dyDescent="0.25">
      <c r="A6711" t="str">
        <f t="shared" si="1205"/>
        <v>89301000</v>
      </c>
      <c r="B6711" t="str">
        <f t="shared" si="1214"/>
        <v>78051000</v>
      </c>
      <c r="C6711" t="str">
        <f t="shared" si="1215"/>
        <v>78051004</v>
      </c>
      <c r="D6711">
        <v>89301062</v>
      </c>
      <c r="E6711" t="str">
        <f>"460208443"</f>
        <v>460208443</v>
      </c>
      <c r="F6711" s="1">
        <v>45083</v>
      </c>
      <c r="G6711" t="str">
        <f>"0096251"</f>
        <v>0096251</v>
      </c>
      <c r="H6711">
        <v>0.17</v>
      </c>
      <c r="J6711">
        <v>198.83</v>
      </c>
      <c r="K6711" t="str">
        <f t="shared" si="1213"/>
        <v>809</v>
      </c>
      <c r="L6711">
        <v>198.83</v>
      </c>
    </row>
    <row r="6712" spans="1:12" x14ac:dyDescent="0.25">
      <c r="A6712" t="str">
        <f t="shared" si="1205"/>
        <v>89301000</v>
      </c>
      <c r="B6712" t="str">
        <f t="shared" si="1214"/>
        <v>78051000</v>
      </c>
      <c r="C6712" t="str">
        <f t="shared" si="1215"/>
        <v>78051004</v>
      </c>
      <c r="D6712">
        <v>89301062</v>
      </c>
      <c r="E6712" t="str">
        <f>"460208443"</f>
        <v>460208443</v>
      </c>
      <c r="F6712" s="1">
        <v>45083</v>
      </c>
      <c r="G6712" t="str">
        <f>"0098943"</f>
        <v>0098943</v>
      </c>
      <c r="H6712">
        <v>1</v>
      </c>
      <c r="J6712">
        <v>293.81</v>
      </c>
      <c r="K6712" t="str">
        <f t="shared" si="1213"/>
        <v>809</v>
      </c>
      <c r="L6712">
        <v>293.81</v>
      </c>
    </row>
    <row r="6713" spans="1:12" x14ac:dyDescent="0.25">
      <c r="A6713" t="str">
        <f t="shared" si="1205"/>
        <v>89301000</v>
      </c>
      <c r="B6713" t="str">
        <f t="shared" si="1214"/>
        <v>78051000</v>
      </c>
      <c r="C6713" t="str">
        <f t="shared" si="1215"/>
        <v>78051004</v>
      </c>
      <c r="D6713">
        <v>89301062</v>
      </c>
      <c r="E6713" t="str">
        <f>"0156154845"</f>
        <v>0156154845</v>
      </c>
      <c r="F6713" s="1">
        <v>45091</v>
      </c>
      <c r="G6713" t="str">
        <f>"89311"</f>
        <v>89311</v>
      </c>
      <c r="H6713">
        <v>1</v>
      </c>
      <c r="I6713">
        <v>970</v>
      </c>
      <c r="J6713">
        <v>0</v>
      </c>
      <c r="K6713" t="str">
        <f t="shared" si="1213"/>
        <v>809</v>
      </c>
      <c r="L6713">
        <v>1425.9</v>
      </c>
    </row>
    <row r="6714" spans="1:12" x14ac:dyDescent="0.25">
      <c r="A6714" t="str">
        <f t="shared" si="1205"/>
        <v>89301000</v>
      </c>
      <c r="B6714" t="str">
        <f t="shared" si="1214"/>
        <v>78051000</v>
      </c>
      <c r="C6714" t="str">
        <f t="shared" si="1215"/>
        <v>78051004</v>
      </c>
      <c r="D6714">
        <v>89301062</v>
      </c>
      <c r="E6714" t="str">
        <f>"0156154845"</f>
        <v>0156154845</v>
      </c>
      <c r="F6714" s="1">
        <v>45091</v>
      </c>
      <c r="G6714" t="str">
        <f>"0090044"</f>
        <v>0090044</v>
      </c>
      <c r="H6714">
        <v>1</v>
      </c>
      <c r="J6714">
        <v>16.8</v>
      </c>
      <c r="K6714" t="str">
        <f t="shared" si="1213"/>
        <v>809</v>
      </c>
      <c r="L6714">
        <v>16.8</v>
      </c>
    </row>
    <row r="6715" spans="1:12" x14ac:dyDescent="0.25">
      <c r="A6715" t="str">
        <f t="shared" si="1205"/>
        <v>89301000</v>
      </c>
      <c r="B6715" t="str">
        <f t="shared" si="1214"/>
        <v>78051000</v>
      </c>
      <c r="C6715" t="str">
        <f t="shared" si="1215"/>
        <v>78051004</v>
      </c>
      <c r="D6715">
        <v>89301062</v>
      </c>
      <c r="E6715" t="str">
        <f>"0156154845"</f>
        <v>0156154845</v>
      </c>
      <c r="F6715" s="1">
        <v>45091</v>
      </c>
      <c r="G6715" t="str">
        <f>"0225891"</f>
        <v>0225891</v>
      </c>
      <c r="H6715">
        <v>0.2</v>
      </c>
      <c r="J6715">
        <v>73.540000000000006</v>
      </c>
      <c r="K6715" t="str">
        <f t="shared" si="1213"/>
        <v>809</v>
      </c>
      <c r="L6715">
        <v>73.540000000000006</v>
      </c>
    </row>
    <row r="6716" spans="1:12" x14ac:dyDescent="0.25">
      <c r="A6716" t="str">
        <f t="shared" si="1205"/>
        <v>89301000</v>
      </c>
      <c r="B6716" t="str">
        <f t="shared" si="1214"/>
        <v>78051000</v>
      </c>
      <c r="C6716" t="str">
        <f t="shared" si="1215"/>
        <v>78051004</v>
      </c>
      <c r="D6716">
        <v>89301062</v>
      </c>
      <c r="E6716" t="str">
        <f>"0156154845"</f>
        <v>0156154845</v>
      </c>
      <c r="F6716" s="1">
        <v>45091</v>
      </c>
      <c r="G6716" t="str">
        <f>"0096251"</f>
        <v>0096251</v>
      </c>
      <c r="H6716">
        <v>0.17</v>
      </c>
      <c r="J6716">
        <v>198.83</v>
      </c>
      <c r="K6716" t="str">
        <f t="shared" si="1213"/>
        <v>809</v>
      </c>
      <c r="L6716">
        <v>198.83</v>
      </c>
    </row>
    <row r="6717" spans="1:12" x14ac:dyDescent="0.25">
      <c r="A6717" t="str">
        <f t="shared" si="1205"/>
        <v>89301000</v>
      </c>
      <c r="B6717" t="str">
        <f t="shared" si="1214"/>
        <v>78051000</v>
      </c>
      <c r="C6717" t="str">
        <f t="shared" si="1215"/>
        <v>78051004</v>
      </c>
      <c r="D6717">
        <v>89301062</v>
      </c>
      <c r="E6717" t="str">
        <f>"0156154845"</f>
        <v>0156154845</v>
      </c>
      <c r="F6717" s="1">
        <v>45091</v>
      </c>
      <c r="G6717" t="str">
        <f>"0098943"</f>
        <v>0098943</v>
      </c>
      <c r="H6717">
        <v>1</v>
      </c>
      <c r="J6717">
        <v>293.81</v>
      </c>
      <c r="K6717" t="str">
        <f t="shared" si="1213"/>
        <v>809</v>
      </c>
      <c r="L6717">
        <v>293.81</v>
      </c>
    </row>
    <row r="6718" spans="1:12" x14ac:dyDescent="0.25">
      <c r="A6718" t="str">
        <f t="shared" si="1205"/>
        <v>89301000</v>
      </c>
      <c r="B6718" t="str">
        <f t="shared" si="1214"/>
        <v>78051000</v>
      </c>
      <c r="C6718" t="str">
        <f t="shared" si="1215"/>
        <v>78051004</v>
      </c>
      <c r="D6718">
        <v>89301062</v>
      </c>
      <c r="E6718" t="str">
        <f>"7112224460"</f>
        <v>7112224460</v>
      </c>
      <c r="F6718" s="1">
        <v>45091</v>
      </c>
      <c r="G6718" t="str">
        <f>"89311"</f>
        <v>89311</v>
      </c>
      <c r="H6718">
        <v>1</v>
      </c>
      <c r="I6718">
        <v>970</v>
      </c>
      <c r="J6718">
        <v>0</v>
      </c>
      <c r="K6718" t="str">
        <f t="shared" si="1213"/>
        <v>809</v>
      </c>
      <c r="L6718">
        <v>1425.9</v>
      </c>
    </row>
    <row r="6719" spans="1:12" x14ac:dyDescent="0.25">
      <c r="A6719" t="str">
        <f t="shared" si="1205"/>
        <v>89301000</v>
      </c>
      <c r="B6719" t="str">
        <f t="shared" si="1214"/>
        <v>78051000</v>
      </c>
      <c r="C6719" t="str">
        <f t="shared" si="1215"/>
        <v>78051004</v>
      </c>
      <c r="D6719">
        <v>89301062</v>
      </c>
      <c r="E6719" t="str">
        <f>"7112224460"</f>
        <v>7112224460</v>
      </c>
      <c r="F6719" s="1">
        <v>45091</v>
      </c>
      <c r="G6719" t="str">
        <f>"0090044"</f>
        <v>0090044</v>
      </c>
      <c r="H6719">
        <v>1</v>
      </c>
      <c r="J6719">
        <v>16.8</v>
      </c>
      <c r="K6719" t="str">
        <f t="shared" si="1213"/>
        <v>809</v>
      </c>
      <c r="L6719">
        <v>16.8</v>
      </c>
    </row>
    <row r="6720" spans="1:12" x14ac:dyDescent="0.25">
      <c r="A6720" t="str">
        <f t="shared" si="1205"/>
        <v>89301000</v>
      </c>
      <c r="B6720" t="str">
        <f t="shared" si="1214"/>
        <v>78051000</v>
      </c>
      <c r="C6720" t="str">
        <f t="shared" si="1215"/>
        <v>78051004</v>
      </c>
      <c r="D6720">
        <v>89301062</v>
      </c>
      <c r="E6720" t="str">
        <f>"7112224460"</f>
        <v>7112224460</v>
      </c>
      <c r="F6720" s="1">
        <v>45091</v>
      </c>
      <c r="G6720" t="str">
        <f>"0225891"</f>
        <v>0225891</v>
      </c>
      <c r="H6720">
        <v>0.2</v>
      </c>
      <c r="J6720">
        <v>73.540000000000006</v>
      </c>
      <c r="K6720" t="str">
        <f t="shared" si="1213"/>
        <v>809</v>
      </c>
      <c r="L6720">
        <v>73.540000000000006</v>
      </c>
    </row>
    <row r="6721" spans="1:12" x14ac:dyDescent="0.25">
      <c r="A6721" t="str">
        <f t="shared" si="1205"/>
        <v>89301000</v>
      </c>
      <c r="B6721" t="str">
        <f t="shared" si="1214"/>
        <v>78051000</v>
      </c>
      <c r="C6721" t="str">
        <f t="shared" si="1215"/>
        <v>78051004</v>
      </c>
      <c r="D6721">
        <v>89301062</v>
      </c>
      <c r="E6721" t="str">
        <f>"7112224460"</f>
        <v>7112224460</v>
      </c>
      <c r="F6721" s="1">
        <v>45091</v>
      </c>
      <c r="G6721" t="str">
        <f>"0096251"</f>
        <v>0096251</v>
      </c>
      <c r="H6721">
        <v>0.17</v>
      </c>
      <c r="J6721">
        <v>198.83</v>
      </c>
      <c r="K6721" t="str">
        <f t="shared" si="1213"/>
        <v>809</v>
      </c>
      <c r="L6721">
        <v>198.83</v>
      </c>
    </row>
    <row r="6722" spans="1:12" x14ac:dyDescent="0.25">
      <c r="A6722" t="str">
        <f t="shared" ref="A6722:A6785" si="1216">"89301000"</f>
        <v>89301000</v>
      </c>
      <c r="B6722" t="str">
        <f t="shared" si="1214"/>
        <v>78051000</v>
      </c>
      <c r="C6722" t="str">
        <f t="shared" si="1215"/>
        <v>78051004</v>
      </c>
      <c r="D6722">
        <v>89301062</v>
      </c>
      <c r="E6722" t="str">
        <f>"7112224460"</f>
        <v>7112224460</v>
      </c>
      <c r="F6722" s="1">
        <v>45091</v>
      </c>
      <c r="G6722" t="str">
        <f>"0098943"</f>
        <v>0098943</v>
      </c>
      <c r="H6722">
        <v>1</v>
      </c>
      <c r="J6722">
        <v>293.81</v>
      </c>
      <c r="K6722" t="str">
        <f t="shared" si="1213"/>
        <v>809</v>
      </c>
      <c r="L6722">
        <v>293.81</v>
      </c>
    </row>
    <row r="6723" spans="1:12" x14ac:dyDescent="0.25">
      <c r="A6723" t="str">
        <f t="shared" si="1216"/>
        <v>89301000</v>
      </c>
      <c r="B6723" t="str">
        <f t="shared" si="1214"/>
        <v>78051000</v>
      </c>
      <c r="C6723" t="str">
        <f t="shared" si="1215"/>
        <v>78051004</v>
      </c>
      <c r="D6723">
        <v>89301062</v>
      </c>
      <c r="E6723" t="str">
        <f>"7859053488"</f>
        <v>7859053488</v>
      </c>
      <c r="F6723" s="1">
        <v>45098</v>
      </c>
      <c r="G6723" t="str">
        <f>"89311"</f>
        <v>89311</v>
      </c>
      <c r="H6723">
        <v>1</v>
      </c>
      <c r="I6723">
        <v>970</v>
      </c>
      <c r="J6723">
        <v>0</v>
      </c>
      <c r="K6723" t="str">
        <f t="shared" si="1213"/>
        <v>809</v>
      </c>
      <c r="L6723">
        <v>1425.9</v>
      </c>
    </row>
    <row r="6724" spans="1:12" x14ac:dyDescent="0.25">
      <c r="A6724" t="str">
        <f t="shared" si="1216"/>
        <v>89301000</v>
      </c>
      <c r="B6724" t="str">
        <f t="shared" si="1214"/>
        <v>78051000</v>
      </c>
      <c r="C6724" t="str">
        <f t="shared" si="1215"/>
        <v>78051004</v>
      </c>
      <c r="D6724">
        <v>89301062</v>
      </c>
      <c r="E6724" t="str">
        <f>"7859053488"</f>
        <v>7859053488</v>
      </c>
      <c r="F6724" s="1">
        <v>45098</v>
      </c>
      <c r="G6724" t="str">
        <f>"0090044"</f>
        <v>0090044</v>
      </c>
      <c r="H6724">
        <v>1</v>
      </c>
      <c r="J6724">
        <v>16.8</v>
      </c>
      <c r="K6724" t="str">
        <f t="shared" si="1213"/>
        <v>809</v>
      </c>
      <c r="L6724">
        <v>16.8</v>
      </c>
    </row>
    <row r="6725" spans="1:12" x14ac:dyDescent="0.25">
      <c r="A6725" t="str">
        <f t="shared" si="1216"/>
        <v>89301000</v>
      </c>
      <c r="B6725" t="str">
        <f t="shared" si="1214"/>
        <v>78051000</v>
      </c>
      <c r="C6725" t="str">
        <f t="shared" si="1215"/>
        <v>78051004</v>
      </c>
      <c r="D6725">
        <v>89301062</v>
      </c>
      <c r="E6725" t="str">
        <f>"7859053488"</f>
        <v>7859053488</v>
      </c>
      <c r="F6725" s="1">
        <v>45098</v>
      </c>
      <c r="G6725" t="str">
        <f>"0225891"</f>
        <v>0225891</v>
      </c>
      <c r="H6725">
        <v>0.2</v>
      </c>
      <c r="J6725">
        <v>73.540000000000006</v>
      </c>
      <c r="K6725" t="str">
        <f t="shared" si="1213"/>
        <v>809</v>
      </c>
      <c r="L6725">
        <v>73.540000000000006</v>
      </c>
    </row>
    <row r="6726" spans="1:12" x14ac:dyDescent="0.25">
      <c r="A6726" t="str">
        <f t="shared" si="1216"/>
        <v>89301000</v>
      </c>
      <c r="B6726" t="str">
        <f t="shared" si="1214"/>
        <v>78051000</v>
      </c>
      <c r="C6726" t="str">
        <f t="shared" si="1215"/>
        <v>78051004</v>
      </c>
      <c r="D6726">
        <v>89301062</v>
      </c>
      <c r="E6726" t="str">
        <f>"7859053488"</f>
        <v>7859053488</v>
      </c>
      <c r="F6726" s="1">
        <v>45098</v>
      </c>
      <c r="G6726" t="str">
        <f>"0096251"</f>
        <v>0096251</v>
      </c>
      <c r="H6726">
        <v>0.17</v>
      </c>
      <c r="J6726">
        <v>198.83</v>
      </c>
      <c r="K6726" t="str">
        <f t="shared" si="1213"/>
        <v>809</v>
      </c>
      <c r="L6726">
        <v>198.83</v>
      </c>
    </row>
    <row r="6727" spans="1:12" x14ac:dyDescent="0.25">
      <c r="A6727" t="str">
        <f t="shared" si="1216"/>
        <v>89301000</v>
      </c>
      <c r="B6727" t="str">
        <f t="shared" si="1214"/>
        <v>78051000</v>
      </c>
      <c r="C6727" t="str">
        <f t="shared" si="1215"/>
        <v>78051004</v>
      </c>
      <c r="D6727">
        <v>89301062</v>
      </c>
      <c r="E6727" t="str">
        <f>"7859053488"</f>
        <v>7859053488</v>
      </c>
      <c r="F6727" s="1">
        <v>45098</v>
      </c>
      <c r="G6727" t="str">
        <f>"0098943"</f>
        <v>0098943</v>
      </c>
      <c r="H6727">
        <v>1</v>
      </c>
      <c r="J6727">
        <v>293.81</v>
      </c>
      <c r="K6727" t="str">
        <f t="shared" si="1213"/>
        <v>809</v>
      </c>
      <c r="L6727">
        <v>293.81</v>
      </c>
    </row>
    <row r="6728" spans="1:12" x14ac:dyDescent="0.25">
      <c r="A6728" t="str">
        <f t="shared" si="1216"/>
        <v>89301000</v>
      </c>
      <c r="B6728" t="str">
        <f t="shared" si="1214"/>
        <v>78051000</v>
      </c>
      <c r="C6728" t="str">
        <f t="shared" si="1215"/>
        <v>78051004</v>
      </c>
      <c r="D6728">
        <v>89301062</v>
      </c>
      <c r="E6728" t="str">
        <f>"7853145311"</f>
        <v>7853145311</v>
      </c>
      <c r="F6728" s="1">
        <v>45098</v>
      </c>
      <c r="G6728" t="str">
        <f>"89311"</f>
        <v>89311</v>
      </c>
      <c r="H6728">
        <v>1</v>
      </c>
      <c r="I6728">
        <v>970</v>
      </c>
      <c r="J6728">
        <v>0</v>
      </c>
      <c r="K6728" t="str">
        <f t="shared" si="1213"/>
        <v>809</v>
      </c>
      <c r="L6728">
        <v>1425.9</v>
      </c>
    </row>
    <row r="6729" spans="1:12" x14ac:dyDescent="0.25">
      <c r="A6729" t="str">
        <f t="shared" si="1216"/>
        <v>89301000</v>
      </c>
      <c r="B6729" t="str">
        <f t="shared" si="1214"/>
        <v>78051000</v>
      </c>
      <c r="C6729" t="str">
        <f t="shared" si="1215"/>
        <v>78051004</v>
      </c>
      <c r="D6729">
        <v>89301062</v>
      </c>
      <c r="E6729" t="str">
        <f>"7853145311"</f>
        <v>7853145311</v>
      </c>
      <c r="F6729" s="1">
        <v>45098</v>
      </c>
      <c r="G6729" t="str">
        <f>"0090044"</f>
        <v>0090044</v>
      </c>
      <c r="H6729">
        <v>1</v>
      </c>
      <c r="J6729">
        <v>16.8</v>
      </c>
      <c r="K6729" t="str">
        <f t="shared" si="1213"/>
        <v>809</v>
      </c>
      <c r="L6729">
        <v>16.8</v>
      </c>
    </row>
    <row r="6730" spans="1:12" x14ac:dyDescent="0.25">
      <c r="A6730" t="str">
        <f t="shared" si="1216"/>
        <v>89301000</v>
      </c>
      <c r="B6730" t="str">
        <f t="shared" si="1214"/>
        <v>78051000</v>
      </c>
      <c r="C6730" t="str">
        <f t="shared" si="1215"/>
        <v>78051004</v>
      </c>
      <c r="D6730">
        <v>89301062</v>
      </c>
      <c r="E6730" t="str">
        <f>"7853145311"</f>
        <v>7853145311</v>
      </c>
      <c r="F6730" s="1">
        <v>45098</v>
      </c>
      <c r="G6730" t="str">
        <f>"0225891"</f>
        <v>0225891</v>
      </c>
      <c r="H6730">
        <v>0.2</v>
      </c>
      <c r="J6730">
        <v>73.540000000000006</v>
      </c>
      <c r="K6730" t="str">
        <f t="shared" si="1213"/>
        <v>809</v>
      </c>
      <c r="L6730">
        <v>73.540000000000006</v>
      </c>
    </row>
    <row r="6731" spans="1:12" x14ac:dyDescent="0.25">
      <c r="A6731" t="str">
        <f t="shared" si="1216"/>
        <v>89301000</v>
      </c>
      <c r="B6731" t="str">
        <f t="shared" si="1214"/>
        <v>78051000</v>
      </c>
      <c r="C6731" t="str">
        <f t="shared" si="1215"/>
        <v>78051004</v>
      </c>
      <c r="D6731">
        <v>89301062</v>
      </c>
      <c r="E6731" t="str">
        <f>"7853145311"</f>
        <v>7853145311</v>
      </c>
      <c r="F6731" s="1">
        <v>45098</v>
      </c>
      <c r="G6731" t="str">
        <f>"0096251"</f>
        <v>0096251</v>
      </c>
      <c r="H6731">
        <v>0.17</v>
      </c>
      <c r="J6731">
        <v>198.83</v>
      </c>
      <c r="K6731" t="str">
        <f t="shared" si="1213"/>
        <v>809</v>
      </c>
      <c r="L6731">
        <v>198.83</v>
      </c>
    </row>
    <row r="6732" spans="1:12" x14ac:dyDescent="0.25">
      <c r="A6732" t="str">
        <f t="shared" si="1216"/>
        <v>89301000</v>
      </c>
      <c r="B6732" t="str">
        <f t="shared" si="1214"/>
        <v>78051000</v>
      </c>
      <c r="C6732" t="str">
        <f t="shared" si="1215"/>
        <v>78051004</v>
      </c>
      <c r="D6732">
        <v>89301062</v>
      </c>
      <c r="E6732" t="str">
        <f>"7853145311"</f>
        <v>7853145311</v>
      </c>
      <c r="F6732" s="1">
        <v>45098</v>
      </c>
      <c r="G6732" t="str">
        <f>"0098943"</f>
        <v>0098943</v>
      </c>
      <c r="H6732">
        <v>1</v>
      </c>
      <c r="J6732">
        <v>293.81</v>
      </c>
      <c r="K6732" t="str">
        <f t="shared" si="1213"/>
        <v>809</v>
      </c>
      <c r="L6732">
        <v>293.81</v>
      </c>
    </row>
    <row r="6733" spans="1:12" x14ac:dyDescent="0.25">
      <c r="A6733" t="str">
        <f t="shared" si="1216"/>
        <v>89301000</v>
      </c>
      <c r="B6733" t="str">
        <f t="shared" si="1214"/>
        <v>78051000</v>
      </c>
      <c r="C6733" t="str">
        <f t="shared" si="1215"/>
        <v>78051004</v>
      </c>
      <c r="D6733">
        <v>89301062</v>
      </c>
      <c r="E6733" t="str">
        <f>"6052121361"</f>
        <v>6052121361</v>
      </c>
      <c r="F6733" s="1">
        <v>45098</v>
      </c>
      <c r="G6733" t="str">
        <f>"89311"</f>
        <v>89311</v>
      </c>
      <c r="H6733">
        <v>1</v>
      </c>
      <c r="I6733">
        <v>970</v>
      </c>
      <c r="J6733">
        <v>0</v>
      </c>
      <c r="K6733" t="str">
        <f t="shared" si="1213"/>
        <v>809</v>
      </c>
      <c r="L6733">
        <v>1425.9</v>
      </c>
    </row>
    <row r="6734" spans="1:12" x14ac:dyDescent="0.25">
      <c r="A6734" t="str">
        <f t="shared" si="1216"/>
        <v>89301000</v>
      </c>
      <c r="B6734" t="str">
        <f t="shared" si="1214"/>
        <v>78051000</v>
      </c>
      <c r="C6734" t="str">
        <f t="shared" si="1215"/>
        <v>78051004</v>
      </c>
      <c r="D6734">
        <v>89301062</v>
      </c>
      <c r="E6734" t="str">
        <f>"6052121361"</f>
        <v>6052121361</v>
      </c>
      <c r="F6734" s="1">
        <v>45098</v>
      </c>
      <c r="G6734" t="str">
        <f>"0090044"</f>
        <v>0090044</v>
      </c>
      <c r="H6734">
        <v>1</v>
      </c>
      <c r="J6734">
        <v>16.8</v>
      </c>
      <c r="K6734" t="str">
        <f t="shared" ref="K6734:K6763" si="1217">"809"</f>
        <v>809</v>
      </c>
      <c r="L6734">
        <v>16.8</v>
      </c>
    </row>
    <row r="6735" spans="1:12" x14ac:dyDescent="0.25">
      <c r="A6735" t="str">
        <f t="shared" si="1216"/>
        <v>89301000</v>
      </c>
      <c r="B6735" t="str">
        <f t="shared" ref="B6735:B6766" si="1218">"78051000"</f>
        <v>78051000</v>
      </c>
      <c r="C6735" t="str">
        <f t="shared" ref="C6735:C6763" si="1219">"78051004"</f>
        <v>78051004</v>
      </c>
      <c r="D6735">
        <v>89301062</v>
      </c>
      <c r="E6735" t="str">
        <f>"6052121361"</f>
        <v>6052121361</v>
      </c>
      <c r="F6735" s="1">
        <v>45098</v>
      </c>
      <c r="G6735" t="str">
        <f>"0225891"</f>
        <v>0225891</v>
      </c>
      <c r="H6735">
        <v>0.2</v>
      </c>
      <c r="J6735">
        <v>73.540000000000006</v>
      </c>
      <c r="K6735" t="str">
        <f t="shared" si="1217"/>
        <v>809</v>
      </c>
      <c r="L6735">
        <v>73.540000000000006</v>
      </c>
    </row>
    <row r="6736" spans="1:12" x14ac:dyDescent="0.25">
      <c r="A6736" t="str">
        <f t="shared" si="1216"/>
        <v>89301000</v>
      </c>
      <c r="B6736" t="str">
        <f t="shared" si="1218"/>
        <v>78051000</v>
      </c>
      <c r="C6736" t="str">
        <f t="shared" si="1219"/>
        <v>78051004</v>
      </c>
      <c r="D6736">
        <v>89301062</v>
      </c>
      <c r="E6736" t="str">
        <f>"6052121361"</f>
        <v>6052121361</v>
      </c>
      <c r="F6736" s="1">
        <v>45098</v>
      </c>
      <c r="G6736" t="str">
        <f>"0096251"</f>
        <v>0096251</v>
      </c>
      <c r="H6736">
        <v>0.17</v>
      </c>
      <c r="J6736">
        <v>198.83</v>
      </c>
      <c r="K6736" t="str">
        <f t="shared" si="1217"/>
        <v>809</v>
      </c>
      <c r="L6736">
        <v>198.83</v>
      </c>
    </row>
    <row r="6737" spans="1:12" x14ac:dyDescent="0.25">
      <c r="A6737" t="str">
        <f t="shared" si="1216"/>
        <v>89301000</v>
      </c>
      <c r="B6737" t="str">
        <f t="shared" si="1218"/>
        <v>78051000</v>
      </c>
      <c r="C6737" t="str">
        <f t="shared" si="1219"/>
        <v>78051004</v>
      </c>
      <c r="D6737">
        <v>89301062</v>
      </c>
      <c r="E6737" t="str">
        <f>"6052121361"</f>
        <v>6052121361</v>
      </c>
      <c r="F6737" s="1">
        <v>45098</v>
      </c>
      <c r="G6737" t="str">
        <f>"0098943"</f>
        <v>0098943</v>
      </c>
      <c r="H6737">
        <v>1</v>
      </c>
      <c r="J6737">
        <v>293.81</v>
      </c>
      <c r="K6737" t="str">
        <f t="shared" si="1217"/>
        <v>809</v>
      </c>
      <c r="L6737">
        <v>293.81</v>
      </c>
    </row>
    <row r="6738" spans="1:12" x14ac:dyDescent="0.25">
      <c r="A6738" t="str">
        <f t="shared" si="1216"/>
        <v>89301000</v>
      </c>
      <c r="B6738" t="str">
        <f t="shared" si="1218"/>
        <v>78051000</v>
      </c>
      <c r="C6738" t="str">
        <f t="shared" si="1219"/>
        <v>78051004</v>
      </c>
      <c r="D6738">
        <v>89301731</v>
      </c>
      <c r="E6738" t="str">
        <f>"525809120"</f>
        <v>525809120</v>
      </c>
      <c r="F6738" s="1">
        <v>45100</v>
      </c>
      <c r="G6738" t="str">
        <f>"89312"</f>
        <v>89312</v>
      </c>
      <c r="H6738">
        <v>3</v>
      </c>
      <c r="I6738">
        <v>936</v>
      </c>
      <c r="J6738">
        <v>0</v>
      </c>
      <c r="K6738" t="str">
        <f t="shared" si="1217"/>
        <v>809</v>
      </c>
      <c r="L6738">
        <v>1020.24</v>
      </c>
    </row>
    <row r="6739" spans="1:12" x14ac:dyDescent="0.25">
      <c r="A6739" t="str">
        <f t="shared" si="1216"/>
        <v>89301000</v>
      </c>
      <c r="B6739" t="str">
        <f t="shared" si="1218"/>
        <v>78051000</v>
      </c>
      <c r="C6739" t="str">
        <f t="shared" si="1219"/>
        <v>78051004</v>
      </c>
      <c r="D6739">
        <v>89301062</v>
      </c>
      <c r="E6739" t="str">
        <f>"7658145682"</f>
        <v>7658145682</v>
      </c>
      <c r="F6739" s="1">
        <v>45105</v>
      </c>
      <c r="G6739" t="str">
        <f>"89311"</f>
        <v>89311</v>
      </c>
      <c r="H6739">
        <v>1</v>
      </c>
      <c r="I6739">
        <v>970</v>
      </c>
      <c r="J6739">
        <v>0</v>
      </c>
      <c r="K6739" t="str">
        <f t="shared" si="1217"/>
        <v>809</v>
      </c>
      <c r="L6739">
        <v>1425.9</v>
      </c>
    </row>
    <row r="6740" spans="1:12" x14ac:dyDescent="0.25">
      <c r="A6740" t="str">
        <f t="shared" si="1216"/>
        <v>89301000</v>
      </c>
      <c r="B6740" t="str">
        <f t="shared" si="1218"/>
        <v>78051000</v>
      </c>
      <c r="C6740" t="str">
        <f t="shared" si="1219"/>
        <v>78051004</v>
      </c>
      <c r="D6740">
        <v>89301062</v>
      </c>
      <c r="E6740" t="str">
        <f>"7658145682"</f>
        <v>7658145682</v>
      </c>
      <c r="F6740" s="1">
        <v>45105</v>
      </c>
      <c r="G6740" t="str">
        <f>"0090044"</f>
        <v>0090044</v>
      </c>
      <c r="H6740">
        <v>1</v>
      </c>
      <c r="J6740">
        <v>16.8</v>
      </c>
      <c r="K6740" t="str">
        <f t="shared" si="1217"/>
        <v>809</v>
      </c>
      <c r="L6740">
        <v>16.8</v>
      </c>
    </row>
    <row r="6741" spans="1:12" x14ac:dyDescent="0.25">
      <c r="A6741" t="str">
        <f t="shared" si="1216"/>
        <v>89301000</v>
      </c>
      <c r="B6741" t="str">
        <f t="shared" si="1218"/>
        <v>78051000</v>
      </c>
      <c r="C6741" t="str">
        <f t="shared" si="1219"/>
        <v>78051004</v>
      </c>
      <c r="D6741">
        <v>89301062</v>
      </c>
      <c r="E6741" t="str">
        <f>"7658145682"</f>
        <v>7658145682</v>
      </c>
      <c r="F6741" s="1">
        <v>45105</v>
      </c>
      <c r="G6741" t="str">
        <f>"0225891"</f>
        <v>0225891</v>
      </c>
      <c r="H6741">
        <v>0.2</v>
      </c>
      <c r="J6741">
        <v>73.540000000000006</v>
      </c>
      <c r="K6741" t="str">
        <f t="shared" si="1217"/>
        <v>809</v>
      </c>
      <c r="L6741">
        <v>73.540000000000006</v>
      </c>
    </row>
    <row r="6742" spans="1:12" x14ac:dyDescent="0.25">
      <c r="A6742" t="str">
        <f t="shared" si="1216"/>
        <v>89301000</v>
      </c>
      <c r="B6742" t="str">
        <f t="shared" si="1218"/>
        <v>78051000</v>
      </c>
      <c r="C6742" t="str">
        <f t="shared" si="1219"/>
        <v>78051004</v>
      </c>
      <c r="D6742">
        <v>89301062</v>
      </c>
      <c r="E6742" t="str">
        <f>"7658145682"</f>
        <v>7658145682</v>
      </c>
      <c r="F6742" s="1">
        <v>45105</v>
      </c>
      <c r="G6742" t="str">
        <f>"0096251"</f>
        <v>0096251</v>
      </c>
      <c r="H6742">
        <v>0.17</v>
      </c>
      <c r="J6742">
        <v>198.83</v>
      </c>
      <c r="K6742" t="str">
        <f t="shared" si="1217"/>
        <v>809</v>
      </c>
      <c r="L6742">
        <v>198.83</v>
      </c>
    </row>
    <row r="6743" spans="1:12" x14ac:dyDescent="0.25">
      <c r="A6743" t="str">
        <f t="shared" si="1216"/>
        <v>89301000</v>
      </c>
      <c r="B6743" t="str">
        <f t="shared" si="1218"/>
        <v>78051000</v>
      </c>
      <c r="C6743" t="str">
        <f t="shared" si="1219"/>
        <v>78051004</v>
      </c>
      <c r="D6743">
        <v>89301062</v>
      </c>
      <c r="E6743" t="str">
        <f>"7658145682"</f>
        <v>7658145682</v>
      </c>
      <c r="F6743" s="1">
        <v>45105</v>
      </c>
      <c r="G6743" t="str">
        <f>"0098943"</f>
        <v>0098943</v>
      </c>
      <c r="H6743">
        <v>1</v>
      </c>
      <c r="J6743">
        <v>293.81</v>
      </c>
      <c r="K6743" t="str">
        <f t="shared" si="1217"/>
        <v>809</v>
      </c>
      <c r="L6743">
        <v>293.81</v>
      </c>
    </row>
    <row r="6744" spans="1:12" x14ac:dyDescent="0.25">
      <c r="A6744" t="str">
        <f t="shared" si="1216"/>
        <v>89301000</v>
      </c>
      <c r="B6744" t="str">
        <f t="shared" si="1218"/>
        <v>78051000</v>
      </c>
      <c r="C6744" t="str">
        <f t="shared" si="1219"/>
        <v>78051004</v>
      </c>
      <c r="D6744">
        <v>89301062</v>
      </c>
      <c r="E6744" t="str">
        <f>"7102225317"</f>
        <v>7102225317</v>
      </c>
      <c r="F6744" s="1">
        <v>45105</v>
      </c>
      <c r="G6744" t="str">
        <f>"89311"</f>
        <v>89311</v>
      </c>
      <c r="H6744">
        <v>1</v>
      </c>
      <c r="I6744">
        <v>970</v>
      </c>
      <c r="J6744">
        <v>0</v>
      </c>
      <c r="K6744" t="str">
        <f t="shared" si="1217"/>
        <v>809</v>
      </c>
      <c r="L6744">
        <v>1425.9</v>
      </c>
    </row>
    <row r="6745" spans="1:12" x14ac:dyDescent="0.25">
      <c r="A6745" t="str">
        <f t="shared" si="1216"/>
        <v>89301000</v>
      </c>
      <c r="B6745" t="str">
        <f t="shared" si="1218"/>
        <v>78051000</v>
      </c>
      <c r="C6745" t="str">
        <f t="shared" si="1219"/>
        <v>78051004</v>
      </c>
      <c r="D6745">
        <v>89301062</v>
      </c>
      <c r="E6745" t="str">
        <f>"7102225317"</f>
        <v>7102225317</v>
      </c>
      <c r="F6745" s="1">
        <v>45105</v>
      </c>
      <c r="G6745" t="str">
        <f>"0090044"</f>
        <v>0090044</v>
      </c>
      <c r="H6745">
        <v>1</v>
      </c>
      <c r="J6745">
        <v>16.8</v>
      </c>
      <c r="K6745" t="str">
        <f t="shared" si="1217"/>
        <v>809</v>
      </c>
      <c r="L6745">
        <v>16.8</v>
      </c>
    </row>
    <row r="6746" spans="1:12" x14ac:dyDescent="0.25">
      <c r="A6746" t="str">
        <f t="shared" si="1216"/>
        <v>89301000</v>
      </c>
      <c r="B6746" t="str">
        <f t="shared" si="1218"/>
        <v>78051000</v>
      </c>
      <c r="C6746" t="str">
        <f t="shared" si="1219"/>
        <v>78051004</v>
      </c>
      <c r="D6746">
        <v>89301062</v>
      </c>
      <c r="E6746" t="str">
        <f>"7102225317"</f>
        <v>7102225317</v>
      </c>
      <c r="F6746" s="1">
        <v>45105</v>
      </c>
      <c r="G6746" t="str">
        <f>"0225891"</f>
        <v>0225891</v>
      </c>
      <c r="H6746">
        <v>0.2</v>
      </c>
      <c r="J6746">
        <v>73.540000000000006</v>
      </c>
      <c r="K6746" t="str">
        <f t="shared" si="1217"/>
        <v>809</v>
      </c>
      <c r="L6746">
        <v>73.540000000000006</v>
      </c>
    </row>
    <row r="6747" spans="1:12" x14ac:dyDescent="0.25">
      <c r="A6747" t="str">
        <f t="shared" si="1216"/>
        <v>89301000</v>
      </c>
      <c r="B6747" t="str">
        <f t="shared" si="1218"/>
        <v>78051000</v>
      </c>
      <c r="C6747" t="str">
        <f t="shared" si="1219"/>
        <v>78051004</v>
      </c>
      <c r="D6747">
        <v>89301062</v>
      </c>
      <c r="E6747" t="str">
        <f>"7102225317"</f>
        <v>7102225317</v>
      </c>
      <c r="F6747" s="1">
        <v>45105</v>
      </c>
      <c r="G6747" t="str">
        <f>"0096251"</f>
        <v>0096251</v>
      </c>
      <c r="H6747">
        <v>0.17</v>
      </c>
      <c r="J6747">
        <v>198.83</v>
      </c>
      <c r="K6747" t="str">
        <f t="shared" si="1217"/>
        <v>809</v>
      </c>
      <c r="L6747">
        <v>198.83</v>
      </c>
    </row>
    <row r="6748" spans="1:12" x14ac:dyDescent="0.25">
      <c r="A6748" t="str">
        <f t="shared" si="1216"/>
        <v>89301000</v>
      </c>
      <c r="B6748" t="str">
        <f t="shared" si="1218"/>
        <v>78051000</v>
      </c>
      <c r="C6748" t="str">
        <f t="shared" si="1219"/>
        <v>78051004</v>
      </c>
      <c r="D6748">
        <v>89301062</v>
      </c>
      <c r="E6748" t="str">
        <f>"7102225317"</f>
        <v>7102225317</v>
      </c>
      <c r="F6748" s="1">
        <v>45105</v>
      </c>
      <c r="G6748" t="str">
        <f>"0098943"</f>
        <v>0098943</v>
      </c>
      <c r="H6748">
        <v>1</v>
      </c>
      <c r="J6748">
        <v>293.81</v>
      </c>
      <c r="K6748" t="str">
        <f t="shared" si="1217"/>
        <v>809</v>
      </c>
      <c r="L6748">
        <v>293.81</v>
      </c>
    </row>
    <row r="6749" spans="1:12" x14ac:dyDescent="0.25">
      <c r="A6749" t="str">
        <f t="shared" si="1216"/>
        <v>89301000</v>
      </c>
      <c r="B6749" t="str">
        <f t="shared" si="1218"/>
        <v>78051000</v>
      </c>
      <c r="C6749" t="str">
        <f t="shared" si="1219"/>
        <v>78051004</v>
      </c>
      <c r="D6749">
        <v>89301062</v>
      </c>
      <c r="E6749" t="str">
        <f>"7353135680"</f>
        <v>7353135680</v>
      </c>
      <c r="F6749" s="1">
        <v>45105</v>
      </c>
      <c r="G6749" t="str">
        <f>"89311"</f>
        <v>89311</v>
      </c>
      <c r="H6749">
        <v>1</v>
      </c>
      <c r="I6749">
        <v>970</v>
      </c>
      <c r="J6749">
        <v>0</v>
      </c>
      <c r="K6749" t="str">
        <f t="shared" si="1217"/>
        <v>809</v>
      </c>
      <c r="L6749">
        <v>1425.9</v>
      </c>
    </row>
    <row r="6750" spans="1:12" x14ac:dyDescent="0.25">
      <c r="A6750" t="str">
        <f t="shared" si="1216"/>
        <v>89301000</v>
      </c>
      <c r="B6750" t="str">
        <f t="shared" si="1218"/>
        <v>78051000</v>
      </c>
      <c r="C6750" t="str">
        <f t="shared" si="1219"/>
        <v>78051004</v>
      </c>
      <c r="D6750">
        <v>89301062</v>
      </c>
      <c r="E6750" t="str">
        <f>"7353135680"</f>
        <v>7353135680</v>
      </c>
      <c r="F6750" s="1">
        <v>45105</v>
      </c>
      <c r="G6750" t="str">
        <f>"0090044"</f>
        <v>0090044</v>
      </c>
      <c r="H6750">
        <v>1</v>
      </c>
      <c r="J6750">
        <v>16.8</v>
      </c>
      <c r="K6750" t="str">
        <f t="shared" si="1217"/>
        <v>809</v>
      </c>
      <c r="L6750">
        <v>16.8</v>
      </c>
    </row>
    <row r="6751" spans="1:12" x14ac:dyDescent="0.25">
      <c r="A6751" t="str">
        <f t="shared" si="1216"/>
        <v>89301000</v>
      </c>
      <c r="B6751" t="str">
        <f t="shared" si="1218"/>
        <v>78051000</v>
      </c>
      <c r="C6751" t="str">
        <f t="shared" si="1219"/>
        <v>78051004</v>
      </c>
      <c r="D6751">
        <v>89301062</v>
      </c>
      <c r="E6751" t="str">
        <f>"7353135680"</f>
        <v>7353135680</v>
      </c>
      <c r="F6751" s="1">
        <v>45105</v>
      </c>
      <c r="G6751" t="str">
        <f>"0225891"</f>
        <v>0225891</v>
      </c>
      <c r="H6751">
        <v>0.2</v>
      </c>
      <c r="J6751">
        <v>73.540000000000006</v>
      </c>
      <c r="K6751" t="str">
        <f t="shared" si="1217"/>
        <v>809</v>
      </c>
      <c r="L6751">
        <v>73.540000000000006</v>
      </c>
    </row>
    <row r="6752" spans="1:12" x14ac:dyDescent="0.25">
      <c r="A6752" t="str">
        <f t="shared" si="1216"/>
        <v>89301000</v>
      </c>
      <c r="B6752" t="str">
        <f t="shared" si="1218"/>
        <v>78051000</v>
      </c>
      <c r="C6752" t="str">
        <f t="shared" si="1219"/>
        <v>78051004</v>
      </c>
      <c r="D6752">
        <v>89301062</v>
      </c>
      <c r="E6752" t="str">
        <f>"7353135680"</f>
        <v>7353135680</v>
      </c>
      <c r="F6752" s="1">
        <v>45105</v>
      </c>
      <c r="G6752" t="str">
        <f>"0096251"</f>
        <v>0096251</v>
      </c>
      <c r="H6752">
        <v>0.17</v>
      </c>
      <c r="J6752">
        <v>198.83</v>
      </c>
      <c r="K6752" t="str">
        <f t="shared" si="1217"/>
        <v>809</v>
      </c>
      <c r="L6752">
        <v>198.83</v>
      </c>
    </row>
    <row r="6753" spans="1:12" x14ac:dyDescent="0.25">
      <c r="A6753" t="str">
        <f t="shared" si="1216"/>
        <v>89301000</v>
      </c>
      <c r="B6753" t="str">
        <f t="shared" si="1218"/>
        <v>78051000</v>
      </c>
      <c r="C6753" t="str">
        <f t="shared" si="1219"/>
        <v>78051004</v>
      </c>
      <c r="D6753">
        <v>89301062</v>
      </c>
      <c r="E6753" t="str">
        <f>"7353135680"</f>
        <v>7353135680</v>
      </c>
      <c r="F6753" s="1">
        <v>45105</v>
      </c>
      <c r="G6753" t="str">
        <f>"0098943"</f>
        <v>0098943</v>
      </c>
      <c r="H6753">
        <v>1</v>
      </c>
      <c r="J6753">
        <v>293.81</v>
      </c>
      <c r="K6753" t="str">
        <f t="shared" si="1217"/>
        <v>809</v>
      </c>
      <c r="L6753">
        <v>293.81</v>
      </c>
    </row>
    <row r="6754" spans="1:12" x14ac:dyDescent="0.25">
      <c r="A6754" t="str">
        <f t="shared" si="1216"/>
        <v>89301000</v>
      </c>
      <c r="B6754" t="str">
        <f t="shared" si="1218"/>
        <v>78051000</v>
      </c>
      <c r="C6754" t="str">
        <f t="shared" si="1219"/>
        <v>78051004</v>
      </c>
      <c r="D6754">
        <v>89301062</v>
      </c>
      <c r="E6754" t="str">
        <f>"6605180417"</f>
        <v>6605180417</v>
      </c>
      <c r="F6754" s="1">
        <v>45105</v>
      </c>
      <c r="G6754" t="str">
        <f>"89311"</f>
        <v>89311</v>
      </c>
      <c r="H6754">
        <v>1</v>
      </c>
      <c r="I6754">
        <v>970</v>
      </c>
      <c r="J6754">
        <v>0</v>
      </c>
      <c r="K6754" t="str">
        <f t="shared" si="1217"/>
        <v>809</v>
      </c>
      <c r="L6754">
        <v>1425.9</v>
      </c>
    </row>
    <row r="6755" spans="1:12" x14ac:dyDescent="0.25">
      <c r="A6755" t="str">
        <f t="shared" si="1216"/>
        <v>89301000</v>
      </c>
      <c r="B6755" t="str">
        <f t="shared" si="1218"/>
        <v>78051000</v>
      </c>
      <c r="C6755" t="str">
        <f t="shared" si="1219"/>
        <v>78051004</v>
      </c>
      <c r="D6755">
        <v>89301062</v>
      </c>
      <c r="E6755" t="str">
        <f>"6605180417"</f>
        <v>6605180417</v>
      </c>
      <c r="F6755" s="1">
        <v>45105</v>
      </c>
      <c r="G6755" t="str">
        <f>"0090044"</f>
        <v>0090044</v>
      </c>
      <c r="H6755">
        <v>1</v>
      </c>
      <c r="J6755">
        <v>16.8</v>
      </c>
      <c r="K6755" t="str">
        <f t="shared" si="1217"/>
        <v>809</v>
      </c>
      <c r="L6755">
        <v>16.8</v>
      </c>
    </row>
    <row r="6756" spans="1:12" x14ac:dyDescent="0.25">
      <c r="A6756" t="str">
        <f t="shared" si="1216"/>
        <v>89301000</v>
      </c>
      <c r="B6756" t="str">
        <f t="shared" si="1218"/>
        <v>78051000</v>
      </c>
      <c r="C6756" t="str">
        <f t="shared" si="1219"/>
        <v>78051004</v>
      </c>
      <c r="D6756">
        <v>89301062</v>
      </c>
      <c r="E6756" t="str">
        <f>"6605180417"</f>
        <v>6605180417</v>
      </c>
      <c r="F6756" s="1">
        <v>45105</v>
      </c>
      <c r="G6756" t="str">
        <f>"0225891"</f>
        <v>0225891</v>
      </c>
      <c r="H6756">
        <v>0.2</v>
      </c>
      <c r="J6756">
        <v>73.540000000000006</v>
      </c>
      <c r="K6756" t="str">
        <f t="shared" si="1217"/>
        <v>809</v>
      </c>
      <c r="L6756">
        <v>73.540000000000006</v>
      </c>
    </row>
    <row r="6757" spans="1:12" x14ac:dyDescent="0.25">
      <c r="A6757" t="str">
        <f t="shared" si="1216"/>
        <v>89301000</v>
      </c>
      <c r="B6757" t="str">
        <f t="shared" si="1218"/>
        <v>78051000</v>
      </c>
      <c r="C6757" t="str">
        <f t="shared" si="1219"/>
        <v>78051004</v>
      </c>
      <c r="D6757">
        <v>89301062</v>
      </c>
      <c r="E6757" t="str">
        <f>"6605180417"</f>
        <v>6605180417</v>
      </c>
      <c r="F6757" s="1">
        <v>45105</v>
      </c>
      <c r="G6757" t="str">
        <f>"0096251"</f>
        <v>0096251</v>
      </c>
      <c r="H6757">
        <v>0.17</v>
      </c>
      <c r="J6757">
        <v>198.83</v>
      </c>
      <c r="K6757" t="str">
        <f t="shared" si="1217"/>
        <v>809</v>
      </c>
      <c r="L6757">
        <v>198.83</v>
      </c>
    </row>
    <row r="6758" spans="1:12" x14ac:dyDescent="0.25">
      <c r="A6758" t="str">
        <f t="shared" si="1216"/>
        <v>89301000</v>
      </c>
      <c r="B6758" t="str">
        <f t="shared" si="1218"/>
        <v>78051000</v>
      </c>
      <c r="C6758" t="str">
        <f t="shared" si="1219"/>
        <v>78051004</v>
      </c>
      <c r="D6758">
        <v>89301062</v>
      </c>
      <c r="E6758" t="str">
        <f>"6605180417"</f>
        <v>6605180417</v>
      </c>
      <c r="F6758" s="1">
        <v>45105</v>
      </c>
      <c r="G6758" t="str">
        <f>"0098943"</f>
        <v>0098943</v>
      </c>
      <c r="H6758">
        <v>1</v>
      </c>
      <c r="J6758">
        <v>293.81</v>
      </c>
      <c r="K6758" t="str">
        <f t="shared" si="1217"/>
        <v>809</v>
      </c>
      <c r="L6758">
        <v>293.81</v>
      </c>
    </row>
    <row r="6759" spans="1:12" x14ac:dyDescent="0.25">
      <c r="A6759" t="str">
        <f t="shared" si="1216"/>
        <v>89301000</v>
      </c>
      <c r="B6759" t="str">
        <f t="shared" si="1218"/>
        <v>78051000</v>
      </c>
      <c r="C6759" t="str">
        <f t="shared" si="1219"/>
        <v>78051004</v>
      </c>
      <c r="D6759">
        <v>89301062</v>
      </c>
      <c r="E6759" t="str">
        <f>"7305154681"</f>
        <v>7305154681</v>
      </c>
      <c r="F6759" s="1">
        <v>45105</v>
      </c>
      <c r="G6759" t="str">
        <f>"89311"</f>
        <v>89311</v>
      </c>
      <c r="H6759">
        <v>1</v>
      </c>
      <c r="I6759">
        <v>970</v>
      </c>
      <c r="J6759">
        <v>0</v>
      </c>
      <c r="K6759" t="str">
        <f t="shared" si="1217"/>
        <v>809</v>
      </c>
      <c r="L6759">
        <v>1425.9</v>
      </c>
    </row>
    <row r="6760" spans="1:12" x14ac:dyDescent="0.25">
      <c r="A6760" t="str">
        <f t="shared" si="1216"/>
        <v>89301000</v>
      </c>
      <c r="B6760" t="str">
        <f t="shared" si="1218"/>
        <v>78051000</v>
      </c>
      <c r="C6760" t="str">
        <f t="shared" si="1219"/>
        <v>78051004</v>
      </c>
      <c r="D6760">
        <v>89301062</v>
      </c>
      <c r="E6760" t="str">
        <f>"7305154681"</f>
        <v>7305154681</v>
      </c>
      <c r="F6760" s="1">
        <v>45105</v>
      </c>
      <c r="G6760" t="str">
        <f>"0090044"</f>
        <v>0090044</v>
      </c>
      <c r="H6760">
        <v>1</v>
      </c>
      <c r="J6760">
        <v>16.8</v>
      </c>
      <c r="K6760" t="str">
        <f t="shared" si="1217"/>
        <v>809</v>
      </c>
      <c r="L6760">
        <v>16.8</v>
      </c>
    </row>
    <row r="6761" spans="1:12" x14ac:dyDescent="0.25">
      <c r="A6761" t="str">
        <f t="shared" si="1216"/>
        <v>89301000</v>
      </c>
      <c r="B6761" t="str">
        <f t="shared" si="1218"/>
        <v>78051000</v>
      </c>
      <c r="C6761" t="str">
        <f t="shared" si="1219"/>
        <v>78051004</v>
      </c>
      <c r="D6761">
        <v>89301062</v>
      </c>
      <c r="E6761" t="str">
        <f>"7305154681"</f>
        <v>7305154681</v>
      </c>
      <c r="F6761" s="1">
        <v>45105</v>
      </c>
      <c r="G6761" t="str">
        <f>"0225891"</f>
        <v>0225891</v>
      </c>
      <c r="H6761">
        <v>0.2</v>
      </c>
      <c r="J6761">
        <v>73.540000000000006</v>
      </c>
      <c r="K6761" t="str">
        <f t="shared" si="1217"/>
        <v>809</v>
      </c>
      <c r="L6761">
        <v>73.540000000000006</v>
      </c>
    </row>
    <row r="6762" spans="1:12" x14ac:dyDescent="0.25">
      <c r="A6762" t="str">
        <f t="shared" si="1216"/>
        <v>89301000</v>
      </c>
      <c r="B6762" t="str">
        <f t="shared" si="1218"/>
        <v>78051000</v>
      </c>
      <c r="C6762" t="str">
        <f t="shared" si="1219"/>
        <v>78051004</v>
      </c>
      <c r="D6762">
        <v>89301062</v>
      </c>
      <c r="E6762" t="str">
        <f>"7305154681"</f>
        <v>7305154681</v>
      </c>
      <c r="F6762" s="1">
        <v>45105</v>
      </c>
      <c r="G6762" t="str">
        <f>"0096251"</f>
        <v>0096251</v>
      </c>
      <c r="H6762">
        <v>0.17</v>
      </c>
      <c r="J6762">
        <v>198.83</v>
      </c>
      <c r="K6762" t="str">
        <f t="shared" si="1217"/>
        <v>809</v>
      </c>
      <c r="L6762">
        <v>198.83</v>
      </c>
    </row>
    <row r="6763" spans="1:12" x14ac:dyDescent="0.25">
      <c r="A6763" t="str">
        <f t="shared" si="1216"/>
        <v>89301000</v>
      </c>
      <c r="B6763" t="str">
        <f t="shared" si="1218"/>
        <v>78051000</v>
      </c>
      <c r="C6763" t="str">
        <f t="shared" si="1219"/>
        <v>78051004</v>
      </c>
      <c r="D6763">
        <v>89301062</v>
      </c>
      <c r="E6763" t="str">
        <f>"7305154681"</f>
        <v>7305154681</v>
      </c>
      <c r="F6763" s="1">
        <v>45105</v>
      </c>
      <c r="G6763" t="str">
        <f>"0098943"</f>
        <v>0098943</v>
      </c>
      <c r="H6763">
        <v>1</v>
      </c>
      <c r="J6763">
        <v>293.81</v>
      </c>
      <c r="K6763" t="str">
        <f t="shared" si="1217"/>
        <v>809</v>
      </c>
      <c r="L6763">
        <v>293.81</v>
      </c>
    </row>
    <row r="6764" spans="1:12" x14ac:dyDescent="0.25">
      <c r="A6764" t="str">
        <f t="shared" si="1216"/>
        <v>89301000</v>
      </c>
      <c r="B6764" t="str">
        <f t="shared" si="1218"/>
        <v>78051000</v>
      </c>
      <c r="C6764" t="str">
        <f t="shared" ref="C6764:C6775" si="1220">"78051017"</f>
        <v>78051017</v>
      </c>
      <c r="D6764">
        <v>89301062</v>
      </c>
      <c r="E6764" t="str">
        <f>"6510141110"</f>
        <v>6510141110</v>
      </c>
      <c r="F6764" s="1">
        <v>45083</v>
      </c>
      <c r="G6764" t="str">
        <f t="shared" ref="G6764:G6775" si="1221">"89615"</f>
        <v>89615</v>
      </c>
      <c r="H6764">
        <v>1</v>
      </c>
      <c r="I6764">
        <v>2199</v>
      </c>
      <c r="J6764">
        <v>0</v>
      </c>
      <c r="K6764" t="str">
        <f t="shared" ref="K6764:K6775" si="1222">"810"</f>
        <v>810</v>
      </c>
      <c r="L6764">
        <v>1429.35</v>
      </c>
    </row>
    <row r="6765" spans="1:12" x14ac:dyDescent="0.25">
      <c r="A6765" t="str">
        <f t="shared" si="1216"/>
        <v>89301000</v>
      </c>
      <c r="B6765" t="str">
        <f t="shared" si="1218"/>
        <v>78051000</v>
      </c>
      <c r="C6765" t="str">
        <f t="shared" si="1220"/>
        <v>78051017</v>
      </c>
      <c r="D6765">
        <v>89301062</v>
      </c>
      <c r="E6765" t="str">
        <f>"460208443"</f>
        <v>460208443</v>
      </c>
      <c r="F6765" s="1">
        <v>45083</v>
      </c>
      <c r="G6765" t="str">
        <f t="shared" si="1221"/>
        <v>89615</v>
      </c>
      <c r="H6765">
        <v>1</v>
      </c>
      <c r="I6765">
        <v>2199</v>
      </c>
      <c r="J6765">
        <v>0</v>
      </c>
      <c r="K6765" t="str">
        <f t="shared" si="1222"/>
        <v>810</v>
      </c>
      <c r="L6765">
        <v>1429.35</v>
      </c>
    </row>
    <row r="6766" spans="1:12" x14ac:dyDescent="0.25">
      <c r="A6766" t="str">
        <f t="shared" si="1216"/>
        <v>89301000</v>
      </c>
      <c r="B6766" t="str">
        <f t="shared" si="1218"/>
        <v>78051000</v>
      </c>
      <c r="C6766" t="str">
        <f t="shared" si="1220"/>
        <v>78051017</v>
      </c>
      <c r="D6766">
        <v>89301062</v>
      </c>
      <c r="E6766" t="str">
        <f>"0156154845"</f>
        <v>0156154845</v>
      </c>
      <c r="F6766" s="1">
        <v>45091</v>
      </c>
      <c r="G6766" t="str">
        <f t="shared" si="1221"/>
        <v>89615</v>
      </c>
      <c r="H6766">
        <v>1</v>
      </c>
      <c r="I6766">
        <v>2199</v>
      </c>
      <c r="J6766">
        <v>0</v>
      </c>
      <c r="K6766" t="str">
        <f t="shared" si="1222"/>
        <v>810</v>
      </c>
      <c r="L6766">
        <v>1429.35</v>
      </c>
    </row>
    <row r="6767" spans="1:12" x14ac:dyDescent="0.25">
      <c r="A6767" t="str">
        <f t="shared" si="1216"/>
        <v>89301000</v>
      </c>
      <c r="B6767" t="str">
        <f t="shared" ref="B6767:B6775" si="1223">"78051000"</f>
        <v>78051000</v>
      </c>
      <c r="C6767" t="str">
        <f t="shared" si="1220"/>
        <v>78051017</v>
      </c>
      <c r="D6767">
        <v>89301062</v>
      </c>
      <c r="E6767" t="str">
        <f>"7112224460"</f>
        <v>7112224460</v>
      </c>
      <c r="F6767" s="1">
        <v>45091</v>
      </c>
      <c r="G6767" t="str">
        <f t="shared" si="1221"/>
        <v>89615</v>
      </c>
      <c r="H6767">
        <v>1</v>
      </c>
      <c r="I6767">
        <v>2199</v>
      </c>
      <c r="J6767">
        <v>0</v>
      </c>
      <c r="K6767" t="str">
        <f t="shared" si="1222"/>
        <v>810</v>
      </c>
      <c r="L6767">
        <v>1429.35</v>
      </c>
    </row>
    <row r="6768" spans="1:12" x14ac:dyDescent="0.25">
      <c r="A6768" t="str">
        <f t="shared" si="1216"/>
        <v>89301000</v>
      </c>
      <c r="B6768" t="str">
        <f t="shared" si="1223"/>
        <v>78051000</v>
      </c>
      <c r="C6768" t="str">
        <f t="shared" si="1220"/>
        <v>78051017</v>
      </c>
      <c r="D6768">
        <v>89301062</v>
      </c>
      <c r="E6768" t="str">
        <f>"7859053488"</f>
        <v>7859053488</v>
      </c>
      <c r="F6768" s="1">
        <v>45098</v>
      </c>
      <c r="G6768" t="str">
        <f t="shared" si="1221"/>
        <v>89615</v>
      </c>
      <c r="H6768">
        <v>1</v>
      </c>
      <c r="I6768">
        <v>2199</v>
      </c>
      <c r="J6768">
        <v>0</v>
      </c>
      <c r="K6768" t="str">
        <f t="shared" si="1222"/>
        <v>810</v>
      </c>
      <c r="L6768">
        <v>1429.35</v>
      </c>
    </row>
    <row r="6769" spans="1:12" x14ac:dyDescent="0.25">
      <c r="A6769" t="str">
        <f t="shared" si="1216"/>
        <v>89301000</v>
      </c>
      <c r="B6769" t="str">
        <f t="shared" si="1223"/>
        <v>78051000</v>
      </c>
      <c r="C6769" t="str">
        <f t="shared" si="1220"/>
        <v>78051017</v>
      </c>
      <c r="D6769">
        <v>89301062</v>
      </c>
      <c r="E6769" t="str">
        <f>"7853145311"</f>
        <v>7853145311</v>
      </c>
      <c r="F6769" s="1">
        <v>45098</v>
      </c>
      <c r="G6769" t="str">
        <f t="shared" si="1221"/>
        <v>89615</v>
      </c>
      <c r="H6769">
        <v>1</v>
      </c>
      <c r="I6769">
        <v>2199</v>
      </c>
      <c r="J6769">
        <v>0</v>
      </c>
      <c r="K6769" t="str">
        <f t="shared" si="1222"/>
        <v>810</v>
      </c>
      <c r="L6769">
        <v>1429.35</v>
      </c>
    </row>
    <row r="6770" spans="1:12" x14ac:dyDescent="0.25">
      <c r="A6770" t="str">
        <f t="shared" si="1216"/>
        <v>89301000</v>
      </c>
      <c r="B6770" t="str">
        <f t="shared" si="1223"/>
        <v>78051000</v>
      </c>
      <c r="C6770" t="str">
        <f t="shared" si="1220"/>
        <v>78051017</v>
      </c>
      <c r="D6770">
        <v>89301062</v>
      </c>
      <c r="E6770" t="str">
        <f>"6052121361"</f>
        <v>6052121361</v>
      </c>
      <c r="F6770" s="1">
        <v>45098</v>
      </c>
      <c r="G6770" t="str">
        <f t="shared" si="1221"/>
        <v>89615</v>
      </c>
      <c r="H6770">
        <v>1</v>
      </c>
      <c r="I6770">
        <v>2199</v>
      </c>
      <c r="J6770">
        <v>0</v>
      </c>
      <c r="K6770" t="str">
        <f t="shared" si="1222"/>
        <v>810</v>
      </c>
      <c r="L6770">
        <v>1429.35</v>
      </c>
    </row>
    <row r="6771" spans="1:12" x14ac:dyDescent="0.25">
      <c r="A6771" t="str">
        <f t="shared" si="1216"/>
        <v>89301000</v>
      </c>
      <c r="B6771" t="str">
        <f t="shared" si="1223"/>
        <v>78051000</v>
      </c>
      <c r="C6771" t="str">
        <f t="shared" si="1220"/>
        <v>78051017</v>
      </c>
      <c r="D6771">
        <v>89301062</v>
      </c>
      <c r="E6771" t="str">
        <f>"7658145682"</f>
        <v>7658145682</v>
      </c>
      <c r="F6771" s="1">
        <v>45105</v>
      </c>
      <c r="G6771" t="str">
        <f t="shared" si="1221"/>
        <v>89615</v>
      </c>
      <c r="H6771">
        <v>1</v>
      </c>
      <c r="I6771">
        <v>2199</v>
      </c>
      <c r="J6771">
        <v>0</v>
      </c>
      <c r="K6771" t="str">
        <f t="shared" si="1222"/>
        <v>810</v>
      </c>
      <c r="L6771">
        <v>1429.35</v>
      </c>
    </row>
    <row r="6772" spans="1:12" x14ac:dyDescent="0.25">
      <c r="A6772" t="str">
        <f t="shared" si="1216"/>
        <v>89301000</v>
      </c>
      <c r="B6772" t="str">
        <f t="shared" si="1223"/>
        <v>78051000</v>
      </c>
      <c r="C6772" t="str">
        <f t="shared" si="1220"/>
        <v>78051017</v>
      </c>
      <c r="D6772">
        <v>89301062</v>
      </c>
      <c r="E6772" t="str">
        <f>"7102225317"</f>
        <v>7102225317</v>
      </c>
      <c r="F6772" s="1">
        <v>45105</v>
      </c>
      <c r="G6772" t="str">
        <f t="shared" si="1221"/>
        <v>89615</v>
      </c>
      <c r="H6772">
        <v>1</v>
      </c>
      <c r="I6772">
        <v>2199</v>
      </c>
      <c r="J6772">
        <v>0</v>
      </c>
      <c r="K6772" t="str">
        <f t="shared" si="1222"/>
        <v>810</v>
      </c>
      <c r="L6772">
        <v>1429.35</v>
      </c>
    </row>
    <row r="6773" spans="1:12" x14ac:dyDescent="0.25">
      <c r="A6773" t="str">
        <f t="shared" si="1216"/>
        <v>89301000</v>
      </c>
      <c r="B6773" t="str">
        <f t="shared" si="1223"/>
        <v>78051000</v>
      </c>
      <c r="C6773" t="str">
        <f t="shared" si="1220"/>
        <v>78051017</v>
      </c>
      <c r="D6773">
        <v>89301062</v>
      </c>
      <c r="E6773" t="str">
        <f>"7353135680"</f>
        <v>7353135680</v>
      </c>
      <c r="F6773" s="1">
        <v>45105</v>
      </c>
      <c r="G6773" t="str">
        <f t="shared" si="1221"/>
        <v>89615</v>
      </c>
      <c r="H6773">
        <v>1</v>
      </c>
      <c r="I6773">
        <v>2199</v>
      </c>
      <c r="J6773">
        <v>0</v>
      </c>
      <c r="K6773" t="str">
        <f t="shared" si="1222"/>
        <v>810</v>
      </c>
      <c r="L6773">
        <v>1429.35</v>
      </c>
    </row>
    <row r="6774" spans="1:12" x14ac:dyDescent="0.25">
      <c r="A6774" t="str">
        <f t="shared" si="1216"/>
        <v>89301000</v>
      </c>
      <c r="B6774" t="str">
        <f t="shared" si="1223"/>
        <v>78051000</v>
      </c>
      <c r="C6774" t="str">
        <f t="shared" si="1220"/>
        <v>78051017</v>
      </c>
      <c r="D6774">
        <v>89301062</v>
      </c>
      <c r="E6774" t="str">
        <f>"6605180417"</f>
        <v>6605180417</v>
      </c>
      <c r="F6774" s="1">
        <v>45105</v>
      </c>
      <c r="G6774" t="str">
        <f t="shared" si="1221"/>
        <v>89615</v>
      </c>
      <c r="H6774">
        <v>1</v>
      </c>
      <c r="I6774">
        <v>2199</v>
      </c>
      <c r="J6774">
        <v>0</v>
      </c>
      <c r="K6774" t="str">
        <f t="shared" si="1222"/>
        <v>810</v>
      </c>
      <c r="L6774">
        <v>1429.35</v>
      </c>
    </row>
    <row r="6775" spans="1:12" x14ac:dyDescent="0.25">
      <c r="A6775" t="str">
        <f t="shared" si="1216"/>
        <v>89301000</v>
      </c>
      <c r="B6775" t="str">
        <f t="shared" si="1223"/>
        <v>78051000</v>
      </c>
      <c r="C6775" t="str">
        <f t="shared" si="1220"/>
        <v>78051017</v>
      </c>
      <c r="D6775">
        <v>89301062</v>
      </c>
      <c r="E6775" t="str">
        <f>"7305154681"</f>
        <v>7305154681</v>
      </c>
      <c r="F6775" s="1">
        <v>45105</v>
      </c>
      <c r="G6775" t="str">
        <f t="shared" si="1221"/>
        <v>89615</v>
      </c>
      <c r="H6775">
        <v>1</v>
      </c>
      <c r="I6775">
        <v>2199</v>
      </c>
      <c r="J6775">
        <v>0</v>
      </c>
      <c r="K6775" t="str">
        <f t="shared" si="1222"/>
        <v>810</v>
      </c>
      <c r="L6775">
        <v>1429.35</v>
      </c>
    </row>
    <row r="6776" spans="1:12" x14ac:dyDescent="0.25">
      <c r="A6776" t="str">
        <f t="shared" si="1216"/>
        <v>89301000</v>
      </c>
      <c r="B6776" t="str">
        <f t="shared" ref="B6776:B6806" si="1224">"91997900"</f>
        <v>91997900</v>
      </c>
      <c r="C6776" t="str">
        <f t="shared" ref="C6776:C6796" si="1225">"91997901"</f>
        <v>91997901</v>
      </c>
      <c r="D6776">
        <v>89301022</v>
      </c>
      <c r="E6776" t="str">
        <f t="shared" ref="E6776:E6793" si="1226">"430417746"</f>
        <v>430417746</v>
      </c>
      <c r="F6776" s="1">
        <v>45041</v>
      </c>
      <c r="G6776" t="str">
        <f>"81337"</f>
        <v>81337</v>
      </c>
      <c r="H6776">
        <v>1</v>
      </c>
      <c r="I6776">
        <v>20</v>
      </c>
      <c r="J6776">
        <v>0</v>
      </c>
      <c r="K6776" t="str">
        <f t="shared" ref="K6776:K6796" si="1227">"801"</f>
        <v>801</v>
      </c>
      <c r="L6776">
        <v>16.8</v>
      </c>
    </row>
    <row r="6777" spans="1:12" x14ac:dyDescent="0.25">
      <c r="A6777" t="str">
        <f t="shared" si="1216"/>
        <v>89301000</v>
      </c>
      <c r="B6777" t="str">
        <f t="shared" si="1224"/>
        <v>91997900</v>
      </c>
      <c r="C6777" t="str">
        <f t="shared" si="1225"/>
        <v>91997901</v>
      </c>
      <c r="D6777">
        <v>89301022</v>
      </c>
      <c r="E6777" t="str">
        <f t="shared" si="1226"/>
        <v>430417746</v>
      </c>
      <c r="F6777" s="1">
        <v>45041</v>
      </c>
      <c r="G6777" t="str">
        <f>"81357"</f>
        <v>81357</v>
      </c>
      <c r="H6777">
        <v>1</v>
      </c>
      <c r="I6777">
        <v>20</v>
      </c>
      <c r="J6777">
        <v>0</v>
      </c>
      <c r="K6777" t="str">
        <f t="shared" si="1227"/>
        <v>801</v>
      </c>
      <c r="L6777">
        <v>16.8</v>
      </c>
    </row>
    <row r="6778" spans="1:12" x14ac:dyDescent="0.25">
      <c r="A6778" t="str">
        <f t="shared" si="1216"/>
        <v>89301000</v>
      </c>
      <c r="B6778" t="str">
        <f t="shared" si="1224"/>
        <v>91997900</v>
      </c>
      <c r="C6778" t="str">
        <f t="shared" si="1225"/>
        <v>91997901</v>
      </c>
      <c r="D6778">
        <v>89301022</v>
      </c>
      <c r="E6778" t="str">
        <f t="shared" si="1226"/>
        <v>430417746</v>
      </c>
      <c r="F6778" s="1">
        <v>45041</v>
      </c>
      <c r="G6778" t="str">
        <f>"81361"</f>
        <v>81361</v>
      </c>
      <c r="H6778">
        <v>1</v>
      </c>
      <c r="I6778">
        <v>17</v>
      </c>
      <c r="J6778">
        <v>0</v>
      </c>
      <c r="K6778" t="str">
        <f t="shared" si="1227"/>
        <v>801</v>
      </c>
      <c r="L6778">
        <v>14.28</v>
      </c>
    </row>
    <row r="6779" spans="1:12" x14ac:dyDescent="0.25">
      <c r="A6779" t="str">
        <f t="shared" si="1216"/>
        <v>89301000</v>
      </c>
      <c r="B6779" t="str">
        <f t="shared" si="1224"/>
        <v>91997900</v>
      </c>
      <c r="C6779" t="str">
        <f t="shared" si="1225"/>
        <v>91997901</v>
      </c>
      <c r="D6779">
        <v>89301022</v>
      </c>
      <c r="E6779" t="str">
        <f t="shared" si="1226"/>
        <v>430417746</v>
      </c>
      <c r="F6779" s="1">
        <v>45041</v>
      </c>
      <c r="G6779" t="str">
        <f>"81363"</f>
        <v>81363</v>
      </c>
      <c r="H6779">
        <v>1</v>
      </c>
      <c r="I6779">
        <v>17</v>
      </c>
      <c r="J6779">
        <v>0</v>
      </c>
      <c r="K6779" t="str">
        <f t="shared" si="1227"/>
        <v>801</v>
      </c>
      <c r="L6779">
        <v>14.28</v>
      </c>
    </row>
    <row r="6780" spans="1:12" x14ac:dyDescent="0.25">
      <c r="A6780" t="str">
        <f t="shared" si="1216"/>
        <v>89301000</v>
      </c>
      <c r="B6780" t="str">
        <f t="shared" si="1224"/>
        <v>91997900</v>
      </c>
      <c r="C6780" t="str">
        <f t="shared" si="1225"/>
        <v>91997901</v>
      </c>
      <c r="D6780">
        <v>89301022</v>
      </c>
      <c r="E6780" t="str">
        <f t="shared" si="1226"/>
        <v>430417746</v>
      </c>
      <c r="F6780" s="1">
        <v>45041</v>
      </c>
      <c r="G6780" t="str">
        <f>"81393"</f>
        <v>81393</v>
      </c>
      <c r="H6780">
        <v>1</v>
      </c>
      <c r="I6780">
        <v>24</v>
      </c>
      <c r="J6780">
        <v>0</v>
      </c>
      <c r="K6780" t="str">
        <f t="shared" si="1227"/>
        <v>801</v>
      </c>
      <c r="L6780">
        <v>20.16</v>
      </c>
    </row>
    <row r="6781" spans="1:12" x14ac:dyDescent="0.25">
      <c r="A6781" t="str">
        <f t="shared" si="1216"/>
        <v>89301000</v>
      </c>
      <c r="B6781" t="str">
        <f t="shared" si="1224"/>
        <v>91997900</v>
      </c>
      <c r="C6781" t="str">
        <f t="shared" si="1225"/>
        <v>91997901</v>
      </c>
      <c r="D6781">
        <v>89301022</v>
      </c>
      <c r="E6781" t="str">
        <f t="shared" si="1226"/>
        <v>430417746</v>
      </c>
      <c r="F6781" s="1">
        <v>45041</v>
      </c>
      <c r="G6781" t="str">
        <f>"81421"</f>
        <v>81421</v>
      </c>
      <c r="H6781">
        <v>1</v>
      </c>
      <c r="I6781">
        <v>19</v>
      </c>
      <c r="J6781">
        <v>0</v>
      </c>
      <c r="K6781" t="str">
        <f t="shared" si="1227"/>
        <v>801</v>
      </c>
      <c r="L6781">
        <v>15.96</v>
      </c>
    </row>
    <row r="6782" spans="1:12" x14ac:dyDescent="0.25">
      <c r="A6782" t="str">
        <f t="shared" si="1216"/>
        <v>89301000</v>
      </c>
      <c r="B6782" t="str">
        <f t="shared" si="1224"/>
        <v>91997900</v>
      </c>
      <c r="C6782" t="str">
        <f t="shared" si="1225"/>
        <v>91997901</v>
      </c>
      <c r="D6782">
        <v>89301022</v>
      </c>
      <c r="E6782" t="str">
        <f t="shared" si="1226"/>
        <v>430417746</v>
      </c>
      <c r="F6782" s="1">
        <v>45041</v>
      </c>
      <c r="G6782" t="str">
        <f>"81523"</f>
        <v>81523</v>
      </c>
      <c r="H6782">
        <v>1</v>
      </c>
      <c r="I6782">
        <v>23</v>
      </c>
      <c r="J6782">
        <v>0</v>
      </c>
      <c r="K6782" t="str">
        <f t="shared" si="1227"/>
        <v>801</v>
      </c>
      <c r="L6782">
        <v>19.32</v>
      </c>
    </row>
    <row r="6783" spans="1:12" x14ac:dyDescent="0.25">
      <c r="A6783" t="str">
        <f t="shared" si="1216"/>
        <v>89301000</v>
      </c>
      <c r="B6783" t="str">
        <f t="shared" si="1224"/>
        <v>91997900</v>
      </c>
      <c r="C6783" t="str">
        <f t="shared" si="1225"/>
        <v>91997901</v>
      </c>
      <c r="D6783">
        <v>89301022</v>
      </c>
      <c r="E6783" t="str">
        <f t="shared" si="1226"/>
        <v>430417746</v>
      </c>
      <c r="F6783" s="1">
        <v>45041</v>
      </c>
      <c r="G6783" t="str">
        <f>"81527"</f>
        <v>81527</v>
      </c>
      <c r="H6783">
        <v>1</v>
      </c>
      <c r="I6783">
        <v>62</v>
      </c>
      <c r="J6783">
        <v>0</v>
      </c>
      <c r="K6783" t="str">
        <f t="shared" si="1227"/>
        <v>801</v>
      </c>
      <c r="L6783">
        <v>52.08</v>
      </c>
    </row>
    <row r="6784" spans="1:12" x14ac:dyDescent="0.25">
      <c r="A6784" t="str">
        <f t="shared" si="1216"/>
        <v>89301000</v>
      </c>
      <c r="B6784" t="str">
        <f t="shared" si="1224"/>
        <v>91997900</v>
      </c>
      <c r="C6784" t="str">
        <f t="shared" si="1225"/>
        <v>91997901</v>
      </c>
      <c r="D6784">
        <v>89301022</v>
      </c>
      <c r="E6784" t="str">
        <f t="shared" si="1226"/>
        <v>430417746</v>
      </c>
      <c r="F6784" s="1">
        <v>45041</v>
      </c>
      <c r="G6784" t="str">
        <f>"81593"</f>
        <v>81593</v>
      </c>
      <c r="H6784">
        <v>1</v>
      </c>
      <c r="I6784">
        <v>22</v>
      </c>
      <c r="J6784">
        <v>0</v>
      </c>
      <c r="K6784" t="str">
        <f t="shared" si="1227"/>
        <v>801</v>
      </c>
      <c r="L6784">
        <v>18.48</v>
      </c>
    </row>
    <row r="6785" spans="1:12" x14ac:dyDescent="0.25">
      <c r="A6785" t="str">
        <f t="shared" si="1216"/>
        <v>89301000</v>
      </c>
      <c r="B6785" t="str">
        <f t="shared" si="1224"/>
        <v>91997900</v>
      </c>
      <c r="C6785" t="str">
        <f t="shared" si="1225"/>
        <v>91997901</v>
      </c>
      <c r="D6785">
        <v>89301022</v>
      </c>
      <c r="E6785" t="str">
        <f t="shared" si="1226"/>
        <v>430417746</v>
      </c>
      <c r="F6785" s="1">
        <v>45041</v>
      </c>
      <c r="G6785" t="str">
        <f>"81611"</f>
        <v>81611</v>
      </c>
      <c r="H6785">
        <v>1</v>
      </c>
      <c r="I6785">
        <v>30</v>
      </c>
      <c r="J6785">
        <v>0</v>
      </c>
      <c r="K6785" t="str">
        <f t="shared" si="1227"/>
        <v>801</v>
      </c>
      <c r="L6785">
        <v>25.2</v>
      </c>
    </row>
    <row r="6786" spans="1:12" x14ac:dyDescent="0.25">
      <c r="A6786" t="str">
        <f t="shared" ref="A6786:A6849" si="1228">"89301000"</f>
        <v>89301000</v>
      </c>
      <c r="B6786" t="str">
        <f t="shared" si="1224"/>
        <v>91997900</v>
      </c>
      <c r="C6786" t="str">
        <f t="shared" si="1225"/>
        <v>91997901</v>
      </c>
      <c r="D6786">
        <v>89301022</v>
      </c>
      <c r="E6786" t="str">
        <f t="shared" si="1226"/>
        <v>430417746</v>
      </c>
      <c r="F6786" s="1">
        <v>45041</v>
      </c>
      <c r="G6786" t="str">
        <f>"81621"</f>
        <v>81621</v>
      </c>
      <c r="H6786">
        <v>1</v>
      </c>
      <c r="I6786">
        <v>19</v>
      </c>
      <c r="J6786">
        <v>0</v>
      </c>
      <c r="K6786" t="str">
        <f t="shared" si="1227"/>
        <v>801</v>
      </c>
      <c r="L6786">
        <v>15.96</v>
      </c>
    </row>
    <row r="6787" spans="1:12" x14ac:dyDescent="0.25">
      <c r="A6787" t="str">
        <f t="shared" si="1228"/>
        <v>89301000</v>
      </c>
      <c r="B6787" t="str">
        <f t="shared" si="1224"/>
        <v>91997900</v>
      </c>
      <c r="C6787" t="str">
        <f t="shared" si="1225"/>
        <v>91997901</v>
      </c>
      <c r="D6787">
        <v>89301022</v>
      </c>
      <c r="E6787" t="str">
        <f t="shared" si="1226"/>
        <v>430417746</v>
      </c>
      <c r="F6787" s="1">
        <v>45041</v>
      </c>
      <c r="G6787" t="str">
        <f>"97111"</f>
        <v>97111</v>
      </c>
      <c r="H6787">
        <v>2</v>
      </c>
      <c r="I6787">
        <v>38</v>
      </c>
      <c r="J6787">
        <v>0</v>
      </c>
      <c r="K6787" t="str">
        <f t="shared" si="1227"/>
        <v>801</v>
      </c>
      <c r="L6787">
        <v>47.88</v>
      </c>
    </row>
    <row r="6788" spans="1:12" x14ac:dyDescent="0.25">
      <c r="A6788" t="str">
        <f t="shared" si="1228"/>
        <v>89301000</v>
      </c>
      <c r="B6788" t="str">
        <f t="shared" si="1224"/>
        <v>91997900</v>
      </c>
      <c r="C6788" t="str">
        <f t="shared" si="1225"/>
        <v>91997901</v>
      </c>
      <c r="D6788">
        <v>89301022</v>
      </c>
      <c r="E6788" t="str">
        <f t="shared" si="1226"/>
        <v>430417746</v>
      </c>
      <c r="F6788" s="1">
        <v>45041</v>
      </c>
      <c r="G6788" t="str">
        <f>"81435"</f>
        <v>81435</v>
      </c>
      <c r="H6788">
        <v>1</v>
      </c>
      <c r="I6788">
        <v>22</v>
      </c>
      <c r="J6788">
        <v>0</v>
      </c>
      <c r="K6788" t="str">
        <f t="shared" si="1227"/>
        <v>801</v>
      </c>
      <c r="L6788">
        <v>18.48</v>
      </c>
    </row>
    <row r="6789" spans="1:12" x14ac:dyDescent="0.25">
      <c r="A6789" t="str">
        <f t="shared" si="1228"/>
        <v>89301000</v>
      </c>
      <c r="B6789" t="str">
        <f t="shared" si="1224"/>
        <v>91997900</v>
      </c>
      <c r="C6789" t="str">
        <f t="shared" si="1225"/>
        <v>91997901</v>
      </c>
      <c r="D6789">
        <v>89301022</v>
      </c>
      <c r="E6789" t="str">
        <f t="shared" si="1226"/>
        <v>430417746</v>
      </c>
      <c r="F6789" s="1">
        <v>45041</v>
      </c>
      <c r="G6789" t="str">
        <f>"81439"</f>
        <v>81439</v>
      </c>
      <c r="H6789">
        <v>1</v>
      </c>
      <c r="I6789">
        <v>16</v>
      </c>
      <c r="J6789">
        <v>0</v>
      </c>
      <c r="K6789" t="str">
        <f t="shared" si="1227"/>
        <v>801</v>
      </c>
      <c r="L6789">
        <v>13.44</v>
      </c>
    </row>
    <row r="6790" spans="1:12" x14ac:dyDescent="0.25">
      <c r="A6790" t="str">
        <f t="shared" si="1228"/>
        <v>89301000</v>
      </c>
      <c r="B6790" t="str">
        <f t="shared" si="1224"/>
        <v>91997900</v>
      </c>
      <c r="C6790" t="str">
        <f t="shared" si="1225"/>
        <v>91997901</v>
      </c>
      <c r="D6790">
        <v>89301022</v>
      </c>
      <c r="E6790" t="str">
        <f t="shared" si="1226"/>
        <v>430417746</v>
      </c>
      <c r="F6790" s="1">
        <v>45041</v>
      </c>
      <c r="G6790" t="str">
        <f>"81469"</f>
        <v>81469</v>
      </c>
      <c r="H6790">
        <v>1</v>
      </c>
      <c r="I6790">
        <v>16</v>
      </c>
      <c r="J6790">
        <v>0</v>
      </c>
      <c r="K6790" t="str">
        <f t="shared" si="1227"/>
        <v>801</v>
      </c>
      <c r="L6790">
        <v>13.44</v>
      </c>
    </row>
    <row r="6791" spans="1:12" x14ac:dyDescent="0.25">
      <c r="A6791" t="str">
        <f t="shared" si="1228"/>
        <v>89301000</v>
      </c>
      <c r="B6791" t="str">
        <f t="shared" si="1224"/>
        <v>91997900</v>
      </c>
      <c r="C6791" t="str">
        <f t="shared" si="1225"/>
        <v>91997901</v>
      </c>
      <c r="D6791">
        <v>89301022</v>
      </c>
      <c r="E6791" t="str">
        <f t="shared" si="1226"/>
        <v>430417746</v>
      </c>
      <c r="F6791" s="1">
        <v>45041</v>
      </c>
      <c r="G6791" t="str">
        <f>"81471"</f>
        <v>81471</v>
      </c>
      <c r="H6791">
        <v>1</v>
      </c>
      <c r="I6791">
        <v>24</v>
      </c>
      <c r="J6791">
        <v>0</v>
      </c>
      <c r="K6791" t="str">
        <f t="shared" si="1227"/>
        <v>801</v>
      </c>
      <c r="L6791">
        <v>20.16</v>
      </c>
    </row>
    <row r="6792" spans="1:12" x14ac:dyDescent="0.25">
      <c r="A6792" t="str">
        <f t="shared" si="1228"/>
        <v>89301000</v>
      </c>
      <c r="B6792" t="str">
        <f t="shared" si="1224"/>
        <v>91997900</v>
      </c>
      <c r="C6792" t="str">
        <f t="shared" si="1225"/>
        <v>91997901</v>
      </c>
      <c r="D6792">
        <v>89301022</v>
      </c>
      <c r="E6792" t="str">
        <f t="shared" si="1226"/>
        <v>430417746</v>
      </c>
      <c r="F6792" s="1">
        <v>45041</v>
      </c>
      <c r="G6792" t="str">
        <f>"81473"</f>
        <v>81473</v>
      </c>
      <c r="H6792">
        <v>1</v>
      </c>
      <c r="I6792">
        <v>52</v>
      </c>
      <c r="J6792">
        <v>0</v>
      </c>
      <c r="K6792" t="str">
        <f t="shared" si="1227"/>
        <v>801</v>
      </c>
      <c r="L6792">
        <v>43.68</v>
      </c>
    </row>
    <row r="6793" spans="1:12" x14ac:dyDescent="0.25">
      <c r="A6793" t="str">
        <f t="shared" si="1228"/>
        <v>89301000</v>
      </c>
      <c r="B6793" t="str">
        <f t="shared" si="1224"/>
        <v>91997900</v>
      </c>
      <c r="C6793" t="str">
        <f t="shared" si="1225"/>
        <v>91997901</v>
      </c>
      <c r="D6793">
        <v>89301022</v>
      </c>
      <c r="E6793" t="str">
        <f t="shared" si="1226"/>
        <v>430417746</v>
      </c>
      <c r="F6793" s="1">
        <v>45041</v>
      </c>
      <c r="G6793" t="str">
        <f>"81499"</f>
        <v>81499</v>
      </c>
      <c r="H6793">
        <v>1</v>
      </c>
      <c r="I6793">
        <v>18</v>
      </c>
      <c r="J6793">
        <v>0</v>
      </c>
      <c r="K6793" t="str">
        <f t="shared" si="1227"/>
        <v>801</v>
      </c>
      <c r="L6793">
        <v>15.12</v>
      </c>
    </row>
    <row r="6794" spans="1:12" x14ac:dyDescent="0.25">
      <c r="A6794" t="str">
        <f t="shared" si="1228"/>
        <v>89301000</v>
      </c>
      <c r="B6794" t="str">
        <f t="shared" si="1224"/>
        <v>91997900</v>
      </c>
      <c r="C6794" t="str">
        <f t="shared" si="1225"/>
        <v>91997901</v>
      </c>
      <c r="D6794">
        <v>89301108</v>
      </c>
      <c r="E6794" t="str">
        <f>"0905076590"</f>
        <v>0905076590</v>
      </c>
      <c r="F6794" s="1">
        <v>45107</v>
      </c>
      <c r="G6794" t="str">
        <f>"81631"</f>
        <v>81631</v>
      </c>
      <c r="H6794">
        <v>1</v>
      </c>
      <c r="I6794">
        <v>299</v>
      </c>
      <c r="J6794">
        <v>0</v>
      </c>
      <c r="K6794" t="str">
        <f t="shared" si="1227"/>
        <v>801</v>
      </c>
      <c r="L6794">
        <v>251.16</v>
      </c>
    </row>
    <row r="6795" spans="1:12" x14ac:dyDescent="0.25">
      <c r="A6795" t="str">
        <f t="shared" si="1228"/>
        <v>89301000</v>
      </c>
      <c r="B6795" t="str">
        <f t="shared" si="1224"/>
        <v>91997900</v>
      </c>
      <c r="C6795" t="str">
        <f t="shared" si="1225"/>
        <v>91997901</v>
      </c>
      <c r="D6795">
        <v>89301108</v>
      </c>
      <c r="E6795" t="str">
        <f>"0905076590"</f>
        <v>0905076590</v>
      </c>
      <c r="F6795" s="1">
        <v>45107</v>
      </c>
      <c r="G6795" t="str">
        <f>"92157"</f>
        <v>92157</v>
      </c>
      <c r="H6795">
        <v>1</v>
      </c>
      <c r="I6795">
        <v>1778</v>
      </c>
      <c r="J6795">
        <v>0</v>
      </c>
      <c r="K6795" t="str">
        <f t="shared" si="1227"/>
        <v>801</v>
      </c>
      <c r="L6795">
        <v>1493.52</v>
      </c>
    </row>
    <row r="6796" spans="1:12" x14ac:dyDescent="0.25">
      <c r="A6796" t="str">
        <f t="shared" si="1228"/>
        <v>89301000</v>
      </c>
      <c r="B6796" t="str">
        <f t="shared" si="1224"/>
        <v>91997900</v>
      </c>
      <c r="C6796" t="str">
        <f t="shared" si="1225"/>
        <v>91997901</v>
      </c>
      <c r="D6796">
        <v>89301108</v>
      </c>
      <c r="E6796" t="str">
        <f>"0905076590"</f>
        <v>0905076590</v>
      </c>
      <c r="F6796" s="1">
        <v>45104</v>
      </c>
      <c r="G6796" t="str">
        <f>"97111"</f>
        <v>97111</v>
      </c>
      <c r="H6796">
        <v>1</v>
      </c>
      <c r="I6796">
        <v>19</v>
      </c>
      <c r="J6796">
        <v>0</v>
      </c>
      <c r="K6796" t="str">
        <f t="shared" si="1227"/>
        <v>801</v>
      </c>
      <c r="L6796">
        <v>23.94</v>
      </c>
    </row>
    <row r="6797" spans="1:12" x14ac:dyDescent="0.25">
      <c r="A6797" t="str">
        <f t="shared" si="1228"/>
        <v>89301000</v>
      </c>
      <c r="B6797" t="str">
        <f t="shared" si="1224"/>
        <v>91997900</v>
      </c>
      <c r="C6797" t="str">
        <f>"91997902"</f>
        <v>91997902</v>
      </c>
      <c r="D6797">
        <v>89301022</v>
      </c>
      <c r="E6797" t="str">
        <f>"430417746"</f>
        <v>430417746</v>
      </c>
      <c r="F6797" s="1">
        <v>45041</v>
      </c>
      <c r="G6797" t="str">
        <f>"91153"</f>
        <v>91153</v>
      </c>
      <c r="H6797">
        <v>1</v>
      </c>
      <c r="I6797">
        <v>153</v>
      </c>
      <c r="J6797">
        <v>0</v>
      </c>
      <c r="K6797" t="str">
        <f>"813"</f>
        <v>813</v>
      </c>
      <c r="L6797">
        <v>128.52000000000001</v>
      </c>
    </row>
    <row r="6798" spans="1:12" x14ac:dyDescent="0.25">
      <c r="A6798" t="str">
        <f t="shared" si="1228"/>
        <v>89301000</v>
      </c>
      <c r="B6798" t="str">
        <f t="shared" si="1224"/>
        <v>91997900</v>
      </c>
      <c r="C6798" t="str">
        <f>"91997903"</f>
        <v>91997903</v>
      </c>
      <c r="D6798">
        <v>89301022</v>
      </c>
      <c r="E6798" t="str">
        <f>"430417746"</f>
        <v>430417746</v>
      </c>
      <c r="F6798" s="1">
        <v>45041</v>
      </c>
      <c r="G6798" t="str">
        <f>"96167"</f>
        <v>96167</v>
      </c>
      <c r="H6798">
        <v>1</v>
      </c>
      <c r="I6798">
        <v>67</v>
      </c>
      <c r="J6798">
        <v>0</v>
      </c>
      <c r="K6798" t="str">
        <f>"818"</f>
        <v>818</v>
      </c>
      <c r="L6798">
        <v>64.989999999999995</v>
      </c>
    </row>
    <row r="6799" spans="1:12" x14ac:dyDescent="0.25">
      <c r="A6799" t="str">
        <f t="shared" si="1228"/>
        <v>89301000</v>
      </c>
      <c r="B6799" t="str">
        <f t="shared" si="1224"/>
        <v>91997900</v>
      </c>
      <c r="C6799" t="str">
        <f>"91997903"</f>
        <v>91997903</v>
      </c>
      <c r="D6799">
        <v>89301022</v>
      </c>
      <c r="E6799" t="str">
        <f>"430417746"</f>
        <v>430417746</v>
      </c>
      <c r="F6799" s="1">
        <v>45041</v>
      </c>
      <c r="G6799" t="str">
        <f>"96621"</f>
        <v>96621</v>
      </c>
      <c r="H6799">
        <v>1</v>
      </c>
      <c r="I6799">
        <v>79</v>
      </c>
      <c r="J6799">
        <v>0</v>
      </c>
      <c r="K6799" t="str">
        <f>"818"</f>
        <v>818</v>
      </c>
      <c r="L6799">
        <v>76.63</v>
      </c>
    </row>
    <row r="6800" spans="1:12" x14ac:dyDescent="0.25">
      <c r="A6800" t="str">
        <f t="shared" si="1228"/>
        <v>89301000</v>
      </c>
      <c r="B6800" t="str">
        <f t="shared" si="1224"/>
        <v>91997900</v>
      </c>
      <c r="C6800" t="str">
        <f>"91997903"</f>
        <v>91997903</v>
      </c>
      <c r="D6800">
        <v>89301022</v>
      </c>
      <c r="E6800" t="str">
        <f>"430417746"</f>
        <v>430417746</v>
      </c>
      <c r="F6800" s="1">
        <v>45041</v>
      </c>
      <c r="G6800" t="str">
        <f>"96623"</f>
        <v>96623</v>
      </c>
      <c r="H6800">
        <v>1</v>
      </c>
      <c r="I6800">
        <v>86</v>
      </c>
      <c r="J6800">
        <v>0</v>
      </c>
      <c r="K6800" t="str">
        <f>"818"</f>
        <v>818</v>
      </c>
      <c r="L6800">
        <v>83.42</v>
      </c>
    </row>
    <row r="6801" spans="1:12" x14ac:dyDescent="0.25">
      <c r="A6801" t="str">
        <f t="shared" si="1228"/>
        <v>89301000</v>
      </c>
      <c r="B6801" t="str">
        <f t="shared" si="1224"/>
        <v>91997900</v>
      </c>
      <c r="C6801" t="str">
        <f t="shared" ref="C6801:C6806" si="1229">"91997901"</f>
        <v>91997901</v>
      </c>
      <c r="D6801">
        <v>89301702</v>
      </c>
      <c r="E6801" t="str">
        <f>"1912190302"</f>
        <v>1912190302</v>
      </c>
      <c r="F6801" s="1">
        <v>45107</v>
      </c>
      <c r="G6801" t="str">
        <f>"81631"</f>
        <v>81631</v>
      </c>
      <c r="H6801">
        <v>1</v>
      </c>
      <c r="I6801">
        <v>299</v>
      </c>
      <c r="J6801">
        <v>0</v>
      </c>
      <c r="K6801" t="str">
        <f t="shared" ref="K6801:K6806" si="1230">"801"</f>
        <v>801</v>
      </c>
      <c r="L6801">
        <v>251.16</v>
      </c>
    </row>
    <row r="6802" spans="1:12" x14ac:dyDescent="0.25">
      <c r="A6802" t="str">
        <f t="shared" si="1228"/>
        <v>89301000</v>
      </c>
      <c r="B6802" t="str">
        <f t="shared" si="1224"/>
        <v>91997900</v>
      </c>
      <c r="C6802" t="str">
        <f t="shared" si="1229"/>
        <v>91997901</v>
      </c>
      <c r="D6802">
        <v>89301702</v>
      </c>
      <c r="E6802" t="str">
        <f>"1912190302"</f>
        <v>1912190302</v>
      </c>
      <c r="F6802" s="1">
        <v>45107</v>
      </c>
      <c r="G6802" t="str">
        <f>"92157"</f>
        <v>92157</v>
      </c>
      <c r="H6802">
        <v>1</v>
      </c>
      <c r="I6802">
        <v>1778</v>
      </c>
      <c r="J6802">
        <v>0</v>
      </c>
      <c r="K6802" t="str">
        <f t="shared" si="1230"/>
        <v>801</v>
      </c>
      <c r="L6802">
        <v>1493.52</v>
      </c>
    </row>
    <row r="6803" spans="1:12" x14ac:dyDescent="0.25">
      <c r="A6803" t="str">
        <f t="shared" si="1228"/>
        <v>89301000</v>
      </c>
      <c r="B6803" t="str">
        <f t="shared" si="1224"/>
        <v>91997900</v>
      </c>
      <c r="C6803" t="str">
        <f t="shared" si="1229"/>
        <v>91997901</v>
      </c>
      <c r="D6803">
        <v>89301702</v>
      </c>
      <c r="E6803" t="str">
        <f>"1912190302"</f>
        <v>1912190302</v>
      </c>
      <c r="F6803" s="1">
        <v>45104</v>
      </c>
      <c r="G6803" t="str">
        <f>"97111"</f>
        <v>97111</v>
      </c>
      <c r="H6803">
        <v>1</v>
      </c>
      <c r="I6803">
        <v>19</v>
      </c>
      <c r="J6803">
        <v>0</v>
      </c>
      <c r="K6803" t="str">
        <f t="shared" si="1230"/>
        <v>801</v>
      </c>
      <c r="L6803">
        <v>23.94</v>
      </c>
    </row>
    <row r="6804" spans="1:12" x14ac:dyDescent="0.25">
      <c r="A6804" t="str">
        <f t="shared" si="1228"/>
        <v>89301000</v>
      </c>
      <c r="B6804" t="str">
        <f t="shared" si="1224"/>
        <v>91997900</v>
      </c>
      <c r="C6804" t="str">
        <f t="shared" si="1229"/>
        <v>91997901</v>
      </c>
      <c r="D6804">
        <v>89301167</v>
      </c>
      <c r="E6804" t="str">
        <f>"470127462"</f>
        <v>470127462</v>
      </c>
      <c r="F6804" s="1">
        <v>45097</v>
      </c>
      <c r="G6804" t="str">
        <f>"93227"</f>
        <v>93227</v>
      </c>
      <c r="H6804">
        <v>1</v>
      </c>
      <c r="I6804">
        <v>949</v>
      </c>
      <c r="J6804">
        <v>0</v>
      </c>
      <c r="K6804" t="str">
        <f t="shared" si="1230"/>
        <v>801</v>
      </c>
      <c r="L6804">
        <v>797.16</v>
      </c>
    </row>
    <row r="6805" spans="1:12" x14ac:dyDescent="0.25">
      <c r="A6805" t="str">
        <f t="shared" si="1228"/>
        <v>89301000</v>
      </c>
      <c r="B6805" t="str">
        <f t="shared" si="1224"/>
        <v>91997900</v>
      </c>
      <c r="C6805" t="str">
        <f t="shared" si="1229"/>
        <v>91997901</v>
      </c>
      <c r="D6805">
        <v>89301167</v>
      </c>
      <c r="E6805" t="str">
        <f>"470127462"</f>
        <v>470127462</v>
      </c>
      <c r="F6805" s="1">
        <v>45097</v>
      </c>
      <c r="G6805" t="str">
        <f>"93265"</f>
        <v>93265</v>
      </c>
      <c r="H6805">
        <v>1</v>
      </c>
      <c r="I6805">
        <v>657</v>
      </c>
      <c r="J6805">
        <v>0</v>
      </c>
      <c r="K6805" t="str">
        <f t="shared" si="1230"/>
        <v>801</v>
      </c>
      <c r="L6805">
        <v>551.88</v>
      </c>
    </row>
    <row r="6806" spans="1:12" x14ac:dyDescent="0.25">
      <c r="A6806" t="str">
        <f t="shared" si="1228"/>
        <v>89301000</v>
      </c>
      <c r="B6806" t="str">
        <f t="shared" si="1224"/>
        <v>91997900</v>
      </c>
      <c r="C6806" t="str">
        <f t="shared" si="1229"/>
        <v>91997901</v>
      </c>
      <c r="D6806">
        <v>89301167</v>
      </c>
      <c r="E6806" t="str">
        <f>"470127462"</f>
        <v>470127462</v>
      </c>
      <c r="F6806" s="1">
        <v>45097</v>
      </c>
      <c r="G6806" t="str">
        <f>"97111"</f>
        <v>97111</v>
      </c>
      <c r="H6806">
        <v>1</v>
      </c>
      <c r="I6806">
        <v>19</v>
      </c>
      <c r="J6806">
        <v>0</v>
      </c>
      <c r="K6806" t="str">
        <f t="shared" si="1230"/>
        <v>801</v>
      </c>
      <c r="L6806">
        <v>23.94</v>
      </c>
    </row>
    <row r="6807" spans="1:12" x14ac:dyDescent="0.25">
      <c r="A6807" t="str">
        <f t="shared" si="1228"/>
        <v>89301000</v>
      </c>
      <c r="B6807" t="str">
        <f>"92327000"</f>
        <v>92327000</v>
      </c>
      <c r="C6807" t="str">
        <f>"92327000"</f>
        <v>92327000</v>
      </c>
      <c r="D6807">
        <v>89301212</v>
      </c>
      <c r="E6807" t="str">
        <f>"8654016151"</f>
        <v>8654016151</v>
      </c>
      <c r="F6807" s="1">
        <v>45089</v>
      </c>
      <c r="G6807" t="str">
        <f>"89513"</f>
        <v>89513</v>
      </c>
      <c r="H6807">
        <v>1</v>
      </c>
      <c r="I6807">
        <v>378</v>
      </c>
      <c r="J6807">
        <v>0</v>
      </c>
      <c r="K6807" t="str">
        <f>"809"</f>
        <v>809</v>
      </c>
      <c r="L6807">
        <v>555.66</v>
      </c>
    </row>
    <row r="6808" spans="1:12" x14ac:dyDescent="0.25">
      <c r="A6808" t="str">
        <f t="shared" si="1228"/>
        <v>89301000</v>
      </c>
      <c r="B6808" t="str">
        <f>"92327000"</f>
        <v>92327000</v>
      </c>
      <c r="C6808" t="str">
        <f>"92327000"</f>
        <v>92327000</v>
      </c>
      <c r="D6808">
        <v>89301212</v>
      </c>
      <c r="E6808" t="str">
        <f>"8654016151"</f>
        <v>8654016151</v>
      </c>
      <c r="F6808" s="1">
        <v>45089</v>
      </c>
      <c r="G6808" t="str">
        <f>"89514"</f>
        <v>89514</v>
      </c>
      <c r="H6808">
        <v>1</v>
      </c>
      <c r="I6808">
        <v>378</v>
      </c>
      <c r="J6808">
        <v>0</v>
      </c>
      <c r="K6808" t="str">
        <f>"809"</f>
        <v>809</v>
      </c>
      <c r="L6808">
        <v>555.66</v>
      </c>
    </row>
    <row r="6809" spans="1:12" x14ac:dyDescent="0.25">
      <c r="A6809" t="str">
        <f t="shared" si="1228"/>
        <v>89301000</v>
      </c>
      <c r="B6809" t="str">
        <f t="shared" ref="B6809:C6811" si="1231">"77293000"</f>
        <v>77293000</v>
      </c>
      <c r="C6809" t="str">
        <f t="shared" si="1231"/>
        <v>77293000</v>
      </c>
      <c r="D6809">
        <v>89301082</v>
      </c>
      <c r="E6809" t="str">
        <f>"9753276071"</f>
        <v>9753276071</v>
      </c>
      <c r="F6809" s="1">
        <v>45084</v>
      </c>
      <c r="G6809" t="str">
        <f>"93159"</f>
        <v>93159</v>
      </c>
      <c r="H6809">
        <v>1</v>
      </c>
      <c r="I6809">
        <v>197</v>
      </c>
      <c r="J6809">
        <v>0</v>
      </c>
      <c r="K6809" t="str">
        <f t="shared" ref="K6809:K6831" si="1232">"801"</f>
        <v>801</v>
      </c>
      <c r="L6809">
        <v>165.48</v>
      </c>
    </row>
    <row r="6810" spans="1:12" x14ac:dyDescent="0.25">
      <c r="A6810" t="str">
        <f t="shared" si="1228"/>
        <v>89301000</v>
      </c>
      <c r="B6810" t="str">
        <f t="shared" si="1231"/>
        <v>77293000</v>
      </c>
      <c r="C6810" t="str">
        <f t="shared" si="1231"/>
        <v>77293000</v>
      </c>
      <c r="D6810">
        <v>89301082</v>
      </c>
      <c r="E6810" t="str">
        <f>"9753276071"</f>
        <v>9753276071</v>
      </c>
      <c r="F6810" s="1">
        <v>45084</v>
      </c>
      <c r="G6810" t="str">
        <f>"97111"</f>
        <v>97111</v>
      </c>
      <c r="H6810">
        <v>1</v>
      </c>
      <c r="I6810">
        <v>19</v>
      </c>
      <c r="J6810">
        <v>0</v>
      </c>
      <c r="K6810" t="str">
        <f t="shared" si="1232"/>
        <v>801</v>
      </c>
      <c r="L6810">
        <v>23.94</v>
      </c>
    </row>
    <row r="6811" spans="1:12" x14ac:dyDescent="0.25">
      <c r="A6811" t="str">
        <f t="shared" si="1228"/>
        <v>89301000</v>
      </c>
      <c r="B6811" t="str">
        <f t="shared" si="1231"/>
        <v>77293000</v>
      </c>
      <c r="C6811" t="str">
        <f t="shared" si="1231"/>
        <v>77293000</v>
      </c>
      <c r="D6811">
        <v>89301082</v>
      </c>
      <c r="E6811" t="str">
        <f>"9753276071"</f>
        <v>9753276071</v>
      </c>
      <c r="F6811" s="1">
        <v>45084</v>
      </c>
      <c r="G6811" t="str">
        <f>"09119"</f>
        <v>09119</v>
      </c>
      <c r="H6811">
        <v>1</v>
      </c>
      <c r="I6811">
        <v>43</v>
      </c>
      <c r="J6811">
        <v>0</v>
      </c>
      <c r="K6811" t="str">
        <f t="shared" si="1232"/>
        <v>801</v>
      </c>
      <c r="L6811">
        <v>54.18</v>
      </c>
    </row>
    <row r="6812" spans="1:12" x14ac:dyDescent="0.25">
      <c r="A6812" t="str">
        <f t="shared" si="1228"/>
        <v>89301000</v>
      </c>
      <c r="B6812" t="str">
        <f>"72875000"</f>
        <v>72875000</v>
      </c>
      <c r="C6812" t="str">
        <f>"72875010"</f>
        <v>72875010</v>
      </c>
      <c r="D6812">
        <v>89301167</v>
      </c>
      <c r="E6812" t="str">
        <f>"5957040397"</f>
        <v>5957040397</v>
      </c>
      <c r="F6812" s="1">
        <v>45091</v>
      </c>
      <c r="G6812" t="str">
        <f>"93221"</f>
        <v>93221</v>
      </c>
      <c r="H6812">
        <v>1</v>
      </c>
      <c r="I6812">
        <v>190</v>
      </c>
      <c r="J6812">
        <v>0</v>
      </c>
      <c r="K6812" t="str">
        <f t="shared" si="1232"/>
        <v>801</v>
      </c>
      <c r="L6812">
        <v>159.6</v>
      </c>
    </row>
    <row r="6813" spans="1:12" x14ac:dyDescent="0.25">
      <c r="A6813" t="str">
        <f t="shared" si="1228"/>
        <v>89301000</v>
      </c>
      <c r="B6813" t="str">
        <f t="shared" ref="B6813:B6832" si="1233">"93501000"</f>
        <v>93501000</v>
      </c>
      <c r="C6813" t="str">
        <f t="shared" ref="C6813:C6831" si="1234">"93501001"</f>
        <v>93501001</v>
      </c>
      <c r="D6813">
        <v>89301167</v>
      </c>
      <c r="E6813" t="str">
        <f t="shared" ref="E6813:E6832" si="1235">"470127462"</f>
        <v>470127462</v>
      </c>
      <c r="F6813" s="1">
        <v>45097</v>
      </c>
      <c r="G6813" t="str">
        <f>"09119"</f>
        <v>09119</v>
      </c>
      <c r="H6813">
        <v>1</v>
      </c>
      <c r="I6813">
        <v>43</v>
      </c>
      <c r="J6813">
        <v>0</v>
      </c>
      <c r="K6813" t="str">
        <f t="shared" si="1232"/>
        <v>801</v>
      </c>
      <c r="L6813">
        <v>54.18</v>
      </c>
    </row>
    <row r="6814" spans="1:12" x14ac:dyDescent="0.25">
      <c r="A6814" t="str">
        <f t="shared" si="1228"/>
        <v>89301000</v>
      </c>
      <c r="B6814" t="str">
        <f t="shared" si="1233"/>
        <v>93501000</v>
      </c>
      <c r="C6814" t="str">
        <f t="shared" si="1234"/>
        <v>93501001</v>
      </c>
      <c r="D6814">
        <v>89301167</v>
      </c>
      <c r="E6814" t="str">
        <f t="shared" si="1235"/>
        <v>470127462</v>
      </c>
      <c r="F6814" s="1">
        <v>45097</v>
      </c>
      <c r="G6814" t="str">
        <f>"81329"</f>
        <v>81329</v>
      </c>
      <c r="H6814">
        <v>1</v>
      </c>
      <c r="I6814">
        <v>17</v>
      </c>
      <c r="J6814">
        <v>0</v>
      </c>
      <c r="K6814" t="str">
        <f t="shared" si="1232"/>
        <v>801</v>
      </c>
      <c r="L6814">
        <v>14.28</v>
      </c>
    </row>
    <row r="6815" spans="1:12" x14ac:dyDescent="0.25">
      <c r="A6815" t="str">
        <f t="shared" si="1228"/>
        <v>89301000</v>
      </c>
      <c r="B6815" t="str">
        <f t="shared" si="1233"/>
        <v>93501000</v>
      </c>
      <c r="C6815" t="str">
        <f t="shared" si="1234"/>
        <v>93501001</v>
      </c>
      <c r="D6815">
        <v>89301167</v>
      </c>
      <c r="E6815" t="str">
        <f t="shared" si="1235"/>
        <v>470127462</v>
      </c>
      <c r="F6815" s="1">
        <v>45097</v>
      </c>
      <c r="G6815" t="str">
        <f>"81337"</f>
        <v>81337</v>
      </c>
      <c r="H6815">
        <v>1</v>
      </c>
      <c r="I6815">
        <v>20</v>
      </c>
      <c r="J6815">
        <v>0</v>
      </c>
      <c r="K6815" t="str">
        <f t="shared" si="1232"/>
        <v>801</v>
      </c>
      <c r="L6815">
        <v>16.8</v>
      </c>
    </row>
    <row r="6816" spans="1:12" x14ac:dyDescent="0.25">
      <c r="A6816" t="str">
        <f t="shared" si="1228"/>
        <v>89301000</v>
      </c>
      <c r="B6816" t="str">
        <f t="shared" si="1233"/>
        <v>93501000</v>
      </c>
      <c r="C6816" t="str">
        <f t="shared" si="1234"/>
        <v>93501001</v>
      </c>
      <c r="D6816">
        <v>89301167</v>
      </c>
      <c r="E6816" t="str">
        <f t="shared" si="1235"/>
        <v>470127462</v>
      </c>
      <c r="F6816" s="1">
        <v>45097</v>
      </c>
      <c r="G6816" t="str">
        <f>"81357"</f>
        <v>81357</v>
      </c>
      <c r="H6816">
        <v>1</v>
      </c>
      <c r="I6816">
        <v>20</v>
      </c>
      <c r="J6816">
        <v>0</v>
      </c>
      <c r="K6816" t="str">
        <f t="shared" si="1232"/>
        <v>801</v>
      </c>
      <c r="L6816">
        <v>16.8</v>
      </c>
    </row>
    <row r="6817" spans="1:12" x14ac:dyDescent="0.25">
      <c r="A6817" t="str">
        <f t="shared" si="1228"/>
        <v>89301000</v>
      </c>
      <c r="B6817" t="str">
        <f t="shared" si="1233"/>
        <v>93501000</v>
      </c>
      <c r="C6817" t="str">
        <f t="shared" si="1234"/>
        <v>93501001</v>
      </c>
      <c r="D6817">
        <v>89301167</v>
      </c>
      <c r="E6817" t="str">
        <f t="shared" si="1235"/>
        <v>470127462</v>
      </c>
      <c r="F6817" s="1">
        <v>45097</v>
      </c>
      <c r="G6817" t="str">
        <f>"81361"</f>
        <v>81361</v>
      </c>
      <c r="H6817">
        <v>1</v>
      </c>
      <c r="I6817">
        <v>17</v>
      </c>
      <c r="J6817">
        <v>0</v>
      </c>
      <c r="K6817" t="str">
        <f t="shared" si="1232"/>
        <v>801</v>
      </c>
      <c r="L6817">
        <v>14.28</v>
      </c>
    </row>
    <row r="6818" spans="1:12" x14ac:dyDescent="0.25">
      <c r="A6818" t="str">
        <f t="shared" si="1228"/>
        <v>89301000</v>
      </c>
      <c r="B6818" t="str">
        <f t="shared" si="1233"/>
        <v>93501000</v>
      </c>
      <c r="C6818" t="str">
        <f t="shared" si="1234"/>
        <v>93501001</v>
      </c>
      <c r="D6818">
        <v>89301167</v>
      </c>
      <c r="E6818" t="str">
        <f t="shared" si="1235"/>
        <v>470127462</v>
      </c>
      <c r="F6818" s="1">
        <v>45097</v>
      </c>
      <c r="G6818" t="str">
        <f>"81365"</f>
        <v>81365</v>
      </c>
      <c r="H6818">
        <v>1</v>
      </c>
      <c r="I6818">
        <v>16</v>
      </c>
      <c r="J6818">
        <v>0</v>
      </c>
      <c r="K6818" t="str">
        <f t="shared" si="1232"/>
        <v>801</v>
      </c>
      <c r="L6818">
        <v>13.44</v>
      </c>
    </row>
    <row r="6819" spans="1:12" x14ac:dyDescent="0.25">
      <c r="A6819" t="str">
        <f t="shared" si="1228"/>
        <v>89301000</v>
      </c>
      <c r="B6819" t="str">
        <f t="shared" si="1233"/>
        <v>93501000</v>
      </c>
      <c r="C6819" t="str">
        <f t="shared" si="1234"/>
        <v>93501001</v>
      </c>
      <c r="D6819">
        <v>89301167</v>
      </c>
      <c r="E6819" t="str">
        <f t="shared" si="1235"/>
        <v>470127462</v>
      </c>
      <c r="F6819" s="1">
        <v>45097</v>
      </c>
      <c r="G6819" t="str">
        <f>"81383"</f>
        <v>81383</v>
      </c>
      <c r="H6819">
        <v>1</v>
      </c>
      <c r="I6819">
        <v>24</v>
      </c>
      <c r="J6819">
        <v>0</v>
      </c>
      <c r="K6819" t="str">
        <f t="shared" si="1232"/>
        <v>801</v>
      </c>
      <c r="L6819">
        <v>20.16</v>
      </c>
    </row>
    <row r="6820" spans="1:12" x14ac:dyDescent="0.25">
      <c r="A6820" t="str">
        <f t="shared" si="1228"/>
        <v>89301000</v>
      </c>
      <c r="B6820" t="str">
        <f t="shared" si="1233"/>
        <v>93501000</v>
      </c>
      <c r="C6820" t="str">
        <f t="shared" si="1234"/>
        <v>93501001</v>
      </c>
      <c r="D6820">
        <v>89301167</v>
      </c>
      <c r="E6820" t="str">
        <f t="shared" si="1235"/>
        <v>470127462</v>
      </c>
      <c r="F6820" s="1">
        <v>45097</v>
      </c>
      <c r="G6820" t="str">
        <f>"81393"</f>
        <v>81393</v>
      </c>
      <c r="H6820">
        <v>1</v>
      </c>
      <c r="I6820">
        <v>24</v>
      </c>
      <c r="J6820">
        <v>0</v>
      </c>
      <c r="K6820" t="str">
        <f t="shared" si="1232"/>
        <v>801</v>
      </c>
      <c r="L6820">
        <v>20.16</v>
      </c>
    </row>
    <row r="6821" spans="1:12" x14ac:dyDescent="0.25">
      <c r="A6821" t="str">
        <f t="shared" si="1228"/>
        <v>89301000</v>
      </c>
      <c r="B6821" t="str">
        <f t="shared" si="1233"/>
        <v>93501000</v>
      </c>
      <c r="C6821" t="str">
        <f t="shared" si="1234"/>
        <v>93501001</v>
      </c>
      <c r="D6821">
        <v>89301167</v>
      </c>
      <c r="E6821" t="str">
        <f t="shared" si="1235"/>
        <v>470127462</v>
      </c>
      <c r="F6821" s="1">
        <v>45097</v>
      </c>
      <c r="G6821" t="str">
        <f>"81421"</f>
        <v>81421</v>
      </c>
      <c r="H6821">
        <v>1</v>
      </c>
      <c r="I6821">
        <v>19</v>
      </c>
      <c r="J6821">
        <v>0</v>
      </c>
      <c r="K6821" t="str">
        <f t="shared" si="1232"/>
        <v>801</v>
      </c>
      <c r="L6821">
        <v>15.96</v>
      </c>
    </row>
    <row r="6822" spans="1:12" x14ac:dyDescent="0.25">
      <c r="A6822" t="str">
        <f t="shared" si="1228"/>
        <v>89301000</v>
      </c>
      <c r="B6822" t="str">
        <f t="shared" si="1233"/>
        <v>93501000</v>
      </c>
      <c r="C6822" t="str">
        <f t="shared" si="1234"/>
        <v>93501001</v>
      </c>
      <c r="D6822">
        <v>89301167</v>
      </c>
      <c r="E6822" t="str">
        <f t="shared" si="1235"/>
        <v>470127462</v>
      </c>
      <c r="F6822" s="1">
        <v>45097</v>
      </c>
      <c r="G6822" t="str">
        <f>"81435"</f>
        <v>81435</v>
      </c>
      <c r="H6822">
        <v>1</v>
      </c>
      <c r="I6822">
        <v>22</v>
      </c>
      <c r="J6822">
        <v>0</v>
      </c>
      <c r="K6822" t="str">
        <f t="shared" si="1232"/>
        <v>801</v>
      </c>
      <c r="L6822">
        <v>18.48</v>
      </c>
    </row>
    <row r="6823" spans="1:12" x14ac:dyDescent="0.25">
      <c r="A6823" t="str">
        <f t="shared" si="1228"/>
        <v>89301000</v>
      </c>
      <c r="B6823" t="str">
        <f t="shared" si="1233"/>
        <v>93501000</v>
      </c>
      <c r="C6823" t="str">
        <f t="shared" si="1234"/>
        <v>93501001</v>
      </c>
      <c r="D6823">
        <v>89301167</v>
      </c>
      <c r="E6823" t="str">
        <f t="shared" si="1235"/>
        <v>470127462</v>
      </c>
      <c r="F6823" s="1">
        <v>45097</v>
      </c>
      <c r="G6823" t="str">
        <f>"81439"</f>
        <v>81439</v>
      </c>
      <c r="H6823">
        <v>1</v>
      </c>
      <c r="I6823">
        <v>16</v>
      </c>
      <c r="J6823">
        <v>0</v>
      </c>
      <c r="K6823" t="str">
        <f t="shared" si="1232"/>
        <v>801</v>
      </c>
      <c r="L6823">
        <v>13.44</v>
      </c>
    </row>
    <row r="6824" spans="1:12" x14ac:dyDescent="0.25">
      <c r="A6824" t="str">
        <f t="shared" si="1228"/>
        <v>89301000</v>
      </c>
      <c r="B6824" t="str">
        <f t="shared" si="1233"/>
        <v>93501000</v>
      </c>
      <c r="C6824" t="str">
        <f t="shared" si="1234"/>
        <v>93501001</v>
      </c>
      <c r="D6824">
        <v>89301167</v>
      </c>
      <c r="E6824" t="str">
        <f t="shared" si="1235"/>
        <v>470127462</v>
      </c>
      <c r="F6824" s="1">
        <v>45097</v>
      </c>
      <c r="G6824" t="str">
        <f>"81469"</f>
        <v>81469</v>
      </c>
      <c r="H6824">
        <v>1</v>
      </c>
      <c r="I6824">
        <v>16</v>
      </c>
      <c r="J6824">
        <v>0</v>
      </c>
      <c r="K6824" t="str">
        <f t="shared" si="1232"/>
        <v>801</v>
      </c>
      <c r="L6824">
        <v>13.44</v>
      </c>
    </row>
    <row r="6825" spans="1:12" x14ac:dyDescent="0.25">
      <c r="A6825" t="str">
        <f t="shared" si="1228"/>
        <v>89301000</v>
      </c>
      <c r="B6825" t="str">
        <f t="shared" si="1233"/>
        <v>93501000</v>
      </c>
      <c r="C6825" t="str">
        <f t="shared" si="1234"/>
        <v>93501001</v>
      </c>
      <c r="D6825">
        <v>89301167</v>
      </c>
      <c r="E6825" t="str">
        <f t="shared" si="1235"/>
        <v>470127462</v>
      </c>
      <c r="F6825" s="1">
        <v>45097</v>
      </c>
      <c r="G6825" t="str">
        <f>"81499"</f>
        <v>81499</v>
      </c>
      <c r="H6825">
        <v>1</v>
      </c>
      <c r="I6825">
        <v>18</v>
      </c>
      <c r="J6825">
        <v>0</v>
      </c>
      <c r="K6825" t="str">
        <f t="shared" si="1232"/>
        <v>801</v>
      </c>
      <c r="L6825">
        <v>15.12</v>
      </c>
    </row>
    <row r="6826" spans="1:12" x14ac:dyDescent="0.25">
      <c r="A6826" t="str">
        <f t="shared" si="1228"/>
        <v>89301000</v>
      </c>
      <c r="B6826" t="str">
        <f t="shared" si="1233"/>
        <v>93501000</v>
      </c>
      <c r="C6826" t="str">
        <f t="shared" si="1234"/>
        <v>93501001</v>
      </c>
      <c r="D6826">
        <v>89301167</v>
      </c>
      <c r="E6826" t="str">
        <f t="shared" si="1235"/>
        <v>470127462</v>
      </c>
      <c r="F6826" s="1">
        <v>45097</v>
      </c>
      <c r="G6826" t="str">
        <f>"81523"</f>
        <v>81523</v>
      </c>
      <c r="H6826">
        <v>1</v>
      </c>
      <c r="I6826">
        <v>23</v>
      </c>
      <c r="J6826">
        <v>0</v>
      </c>
      <c r="K6826" t="str">
        <f t="shared" si="1232"/>
        <v>801</v>
      </c>
      <c r="L6826">
        <v>19.32</v>
      </c>
    </row>
    <row r="6827" spans="1:12" x14ac:dyDescent="0.25">
      <c r="A6827" t="str">
        <f t="shared" si="1228"/>
        <v>89301000</v>
      </c>
      <c r="B6827" t="str">
        <f t="shared" si="1233"/>
        <v>93501000</v>
      </c>
      <c r="C6827" t="str">
        <f t="shared" si="1234"/>
        <v>93501001</v>
      </c>
      <c r="D6827">
        <v>89301167</v>
      </c>
      <c r="E6827" t="str">
        <f t="shared" si="1235"/>
        <v>470127462</v>
      </c>
      <c r="F6827" s="1">
        <v>45097</v>
      </c>
      <c r="G6827" t="str">
        <f>"81593"</f>
        <v>81593</v>
      </c>
      <c r="H6827">
        <v>1</v>
      </c>
      <c r="I6827">
        <v>22</v>
      </c>
      <c r="J6827">
        <v>0</v>
      </c>
      <c r="K6827" t="str">
        <f t="shared" si="1232"/>
        <v>801</v>
      </c>
      <c r="L6827">
        <v>18.48</v>
      </c>
    </row>
    <row r="6828" spans="1:12" x14ac:dyDescent="0.25">
      <c r="A6828" t="str">
        <f t="shared" si="1228"/>
        <v>89301000</v>
      </c>
      <c r="B6828" t="str">
        <f t="shared" si="1233"/>
        <v>93501000</v>
      </c>
      <c r="C6828" t="str">
        <f t="shared" si="1234"/>
        <v>93501001</v>
      </c>
      <c r="D6828">
        <v>89301167</v>
      </c>
      <c r="E6828" t="str">
        <f t="shared" si="1235"/>
        <v>470127462</v>
      </c>
      <c r="F6828" s="1">
        <v>45097</v>
      </c>
      <c r="G6828" t="str">
        <f>"81621"</f>
        <v>81621</v>
      </c>
      <c r="H6828">
        <v>1</v>
      </c>
      <c r="I6828">
        <v>19</v>
      </c>
      <c r="J6828">
        <v>0</v>
      </c>
      <c r="K6828" t="str">
        <f t="shared" si="1232"/>
        <v>801</v>
      </c>
      <c r="L6828">
        <v>15.96</v>
      </c>
    </row>
    <row r="6829" spans="1:12" x14ac:dyDescent="0.25">
      <c r="A6829" t="str">
        <f t="shared" si="1228"/>
        <v>89301000</v>
      </c>
      <c r="B6829" t="str">
        <f t="shared" si="1233"/>
        <v>93501000</v>
      </c>
      <c r="C6829" t="str">
        <f t="shared" si="1234"/>
        <v>93501001</v>
      </c>
      <c r="D6829">
        <v>89301167</v>
      </c>
      <c r="E6829" t="str">
        <f t="shared" si="1235"/>
        <v>470127462</v>
      </c>
      <c r="F6829" s="1">
        <v>45097</v>
      </c>
      <c r="G6829" t="str">
        <f>"81625"</f>
        <v>81625</v>
      </c>
      <c r="H6829">
        <v>1</v>
      </c>
      <c r="I6829">
        <v>21</v>
      </c>
      <c r="J6829">
        <v>0</v>
      </c>
      <c r="K6829" t="str">
        <f t="shared" si="1232"/>
        <v>801</v>
      </c>
      <c r="L6829">
        <v>17.64</v>
      </c>
    </row>
    <row r="6830" spans="1:12" x14ac:dyDescent="0.25">
      <c r="A6830" t="str">
        <f t="shared" si="1228"/>
        <v>89301000</v>
      </c>
      <c r="B6830" t="str">
        <f t="shared" si="1233"/>
        <v>93501000</v>
      </c>
      <c r="C6830" t="str">
        <f t="shared" si="1234"/>
        <v>93501001</v>
      </c>
      <c r="D6830">
        <v>89301167</v>
      </c>
      <c r="E6830" t="str">
        <f t="shared" si="1235"/>
        <v>470127462</v>
      </c>
      <c r="F6830" s="1">
        <v>45097</v>
      </c>
      <c r="G6830" t="str">
        <f>"91153"</f>
        <v>91153</v>
      </c>
      <c r="H6830">
        <v>1</v>
      </c>
      <c r="I6830">
        <v>153</v>
      </c>
      <c r="J6830">
        <v>0</v>
      </c>
      <c r="K6830" t="str">
        <f t="shared" si="1232"/>
        <v>801</v>
      </c>
      <c r="L6830">
        <v>128.52000000000001</v>
      </c>
    </row>
    <row r="6831" spans="1:12" x14ac:dyDescent="0.25">
      <c r="A6831" t="str">
        <f t="shared" si="1228"/>
        <v>89301000</v>
      </c>
      <c r="B6831" t="str">
        <f t="shared" si="1233"/>
        <v>93501000</v>
      </c>
      <c r="C6831" t="str">
        <f t="shared" si="1234"/>
        <v>93501001</v>
      </c>
      <c r="D6831">
        <v>89301167</v>
      </c>
      <c r="E6831" t="str">
        <f t="shared" si="1235"/>
        <v>470127462</v>
      </c>
      <c r="F6831" s="1">
        <v>45097</v>
      </c>
      <c r="G6831" t="str">
        <f>"97111"</f>
        <v>97111</v>
      </c>
      <c r="H6831">
        <v>1</v>
      </c>
      <c r="I6831">
        <v>19</v>
      </c>
      <c r="J6831">
        <v>0</v>
      </c>
      <c r="K6831" t="str">
        <f t="shared" si="1232"/>
        <v>801</v>
      </c>
      <c r="L6831">
        <v>23.94</v>
      </c>
    </row>
    <row r="6832" spans="1:12" x14ac:dyDescent="0.25">
      <c r="A6832" t="str">
        <f t="shared" si="1228"/>
        <v>89301000</v>
      </c>
      <c r="B6832" t="str">
        <f t="shared" si="1233"/>
        <v>93501000</v>
      </c>
      <c r="C6832" t="str">
        <f>"93501005"</f>
        <v>93501005</v>
      </c>
      <c r="D6832">
        <v>89301167</v>
      </c>
      <c r="E6832" t="str">
        <f t="shared" si="1235"/>
        <v>470127462</v>
      </c>
      <c r="F6832" s="1">
        <v>45097</v>
      </c>
      <c r="G6832" t="str">
        <f>"96167"</f>
        <v>96167</v>
      </c>
      <c r="H6832">
        <v>1</v>
      </c>
      <c r="I6832">
        <v>67</v>
      </c>
      <c r="J6832">
        <v>0</v>
      </c>
      <c r="K6832" t="str">
        <f>"818"</f>
        <v>818</v>
      </c>
      <c r="L6832">
        <v>64.989999999999995</v>
      </c>
    </row>
    <row r="6833" spans="1:12" x14ac:dyDescent="0.25">
      <c r="A6833" t="str">
        <f t="shared" si="1228"/>
        <v>89301000</v>
      </c>
      <c r="B6833" t="str">
        <f t="shared" ref="B6833:B6868" si="1236">"91866000"</f>
        <v>91866000</v>
      </c>
      <c r="C6833" t="str">
        <f t="shared" ref="C6833:C6867" si="1237">"91866313"</f>
        <v>91866313</v>
      </c>
      <c r="D6833">
        <v>89301704</v>
      </c>
      <c r="E6833" t="str">
        <f>"0951155260"</f>
        <v>0951155260</v>
      </c>
      <c r="F6833" s="1">
        <v>45078</v>
      </c>
      <c r="G6833" t="str">
        <f>"82087"</f>
        <v>82087</v>
      </c>
      <c r="H6833">
        <v>1</v>
      </c>
      <c r="I6833">
        <v>53</v>
      </c>
      <c r="J6833">
        <v>0</v>
      </c>
      <c r="K6833" t="str">
        <f t="shared" ref="K6833:K6867" si="1238">"802"</f>
        <v>802</v>
      </c>
      <c r="L6833">
        <v>51.41</v>
      </c>
    </row>
    <row r="6834" spans="1:12" x14ac:dyDescent="0.25">
      <c r="A6834" t="str">
        <f t="shared" si="1228"/>
        <v>89301000</v>
      </c>
      <c r="B6834" t="str">
        <f t="shared" si="1236"/>
        <v>91866000</v>
      </c>
      <c r="C6834" t="str">
        <f t="shared" si="1237"/>
        <v>91866313</v>
      </c>
      <c r="D6834">
        <v>89301704</v>
      </c>
      <c r="E6834" t="str">
        <f>"0951155260"</f>
        <v>0951155260</v>
      </c>
      <c r="F6834" s="1">
        <v>45078</v>
      </c>
      <c r="G6834" t="str">
        <f>"82087"</f>
        <v>82087</v>
      </c>
      <c r="H6834">
        <v>1</v>
      </c>
      <c r="I6834">
        <v>53</v>
      </c>
      <c r="J6834">
        <v>0</v>
      </c>
      <c r="K6834" t="str">
        <f t="shared" si="1238"/>
        <v>802</v>
      </c>
      <c r="L6834">
        <v>51.41</v>
      </c>
    </row>
    <row r="6835" spans="1:12" x14ac:dyDescent="0.25">
      <c r="A6835" t="str">
        <f t="shared" si="1228"/>
        <v>89301000</v>
      </c>
      <c r="B6835" t="str">
        <f t="shared" si="1236"/>
        <v>91866000</v>
      </c>
      <c r="C6835" t="str">
        <f t="shared" si="1237"/>
        <v>91866313</v>
      </c>
      <c r="D6835">
        <v>89301101</v>
      </c>
      <c r="E6835" t="str">
        <f>"0508076151"</f>
        <v>0508076151</v>
      </c>
      <c r="F6835" s="1">
        <v>45078</v>
      </c>
      <c r="G6835" t="str">
        <f>"82117"</f>
        <v>82117</v>
      </c>
      <c r="H6835">
        <v>1</v>
      </c>
      <c r="I6835">
        <v>529</v>
      </c>
      <c r="J6835">
        <v>0</v>
      </c>
      <c r="K6835" t="str">
        <f t="shared" si="1238"/>
        <v>802</v>
      </c>
      <c r="L6835">
        <v>513.13</v>
      </c>
    </row>
    <row r="6836" spans="1:12" x14ac:dyDescent="0.25">
      <c r="A6836" t="str">
        <f t="shared" si="1228"/>
        <v>89301000</v>
      </c>
      <c r="B6836" t="str">
        <f t="shared" si="1236"/>
        <v>91866000</v>
      </c>
      <c r="C6836" t="str">
        <f t="shared" si="1237"/>
        <v>91866313</v>
      </c>
      <c r="D6836">
        <v>89301101</v>
      </c>
      <c r="E6836" t="str">
        <f>"0508076151"</f>
        <v>0508076151</v>
      </c>
      <c r="F6836" s="1">
        <v>45078</v>
      </c>
      <c r="G6836" t="str">
        <f>"82079"</f>
        <v>82079</v>
      </c>
      <c r="H6836">
        <v>1</v>
      </c>
      <c r="I6836">
        <v>333</v>
      </c>
      <c r="J6836">
        <v>0</v>
      </c>
      <c r="K6836" t="str">
        <f t="shared" si="1238"/>
        <v>802</v>
      </c>
      <c r="L6836">
        <v>323.01</v>
      </c>
    </row>
    <row r="6837" spans="1:12" x14ac:dyDescent="0.25">
      <c r="A6837" t="str">
        <f t="shared" si="1228"/>
        <v>89301000</v>
      </c>
      <c r="B6837" t="str">
        <f t="shared" si="1236"/>
        <v>91866000</v>
      </c>
      <c r="C6837" t="str">
        <f t="shared" si="1237"/>
        <v>91866313</v>
      </c>
      <c r="D6837">
        <v>89301081</v>
      </c>
      <c r="E6837" t="str">
        <f t="shared" ref="E6837:E6842" si="1239">"460508178"</f>
        <v>460508178</v>
      </c>
      <c r="F6837" s="1">
        <v>45090</v>
      </c>
      <c r="G6837" t="str">
        <f t="shared" ref="G6837:G6842" si="1240">"82121"</f>
        <v>82121</v>
      </c>
      <c r="H6837">
        <v>1</v>
      </c>
      <c r="I6837">
        <v>811</v>
      </c>
      <c r="J6837">
        <v>0</v>
      </c>
      <c r="K6837" t="str">
        <f t="shared" si="1238"/>
        <v>802</v>
      </c>
      <c r="L6837">
        <v>786.67</v>
      </c>
    </row>
    <row r="6838" spans="1:12" x14ac:dyDescent="0.25">
      <c r="A6838" t="str">
        <f t="shared" si="1228"/>
        <v>89301000</v>
      </c>
      <c r="B6838" t="str">
        <f t="shared" si="1236"/>
        <v>91866000</v>
      </c>
      <c r="C6838" t="str">
        <f t="shared" si="1237"/>
        <v>91866313</v>
      </c>
      <c r="D6838">
        <v>89301081</v>
      </c>
      <c r="E6838" t="str">
        <f t="shared" si="1239"/>
        <v>460508178</v>
      </c>
      <c r="F6838" s="1">
        <v>45090</v>
      </c>
      <c r="G6838" t="str">
        <f t="shared" si="1240"/>
        <v>82121</v>
      </c>
      <c r="H6838">
        <v>1</v>
      </c>
      <c r="I6838">
        <v>811</v>
      </c>
      <c r="J6838">
        <v>0</v>
      </c>
      <c r="K6838" t="str">
        <f t="shared" si="1238"/>
        <v>802</v>
      </c>
      <c r="L6838">
        <v>786.67</v>
      </c>
    </row>
    <row r="6839" spans="1:12" x14ac:dyDescent="0.25">
      <c r="A6839" t="str">
        <f t="shared" si="1228"/>
        <v>89301000</v>
      </c>
      <c r="B6839" t="str">
        <f t="shared" si="1236"/>
        <v>91866000</v>
      </c>
      <c r="C6839" t="str">
        <f t="shared" si="1237"/>
        <v>91866313</v>
      </c>
      <c r="D6839">
        <v>89301081</v>
      </c>
      <c r="E6839" t="str">
        <f t="shared" si="1239"/>
        <v>460508178</v>
      </c>
      <c r="F6839" s="1">
        <v>45090</v>
      </c>
      <c r="G6839" t="str">
        <f t="shared" si="1240"/>
        <v>82121</v>
      </c>
      <c r="H6839">
        <v>1</v>
      </c>
      <c r="I6839">
        <v>811</v>
      </c>
      <c r="J6839">
        <v>0</v>
      </c>
      <c r="K6839" t="str">
        <f t="shared" si="1238"/>
        <v>802</v>
      </c>
      <c r="L6839">
        <v>786.67</v>
      </c>
    </row>
    <row r="6840" spans="1:12" x14ac:dyDescent="0.25">
      <c r="A6840" t="str">
        <f t="shared" si="1228"/>
        <v>89301000</v>
      </c>
      <c r="B6840" t="str">
        <f t="shared" si="1236"/>
        <v>91866000</v>
      </c>
      <c r="C6840" t="str">
        <f t="shared" si="1237"/>
        <v>91866313</v>
      </c>
      <c r="D6840">
        <v>89301081</v>
      </c>
      <c r="E6840" t="str">
        <f t="shared" si="1239"/>
        <v>460508178</v>
      </c>
      <c r="F6840" s="1">
        <v>45090</v>
      </c>
      <c r="G6840" t="str">
        <f t="shared" si="1240"/>
        <v>82121</v>
      </c>
      <c r="H6840">
        <v>1</v>
      </c>
      <c r="I6840">
        <v>811</v>
      </c>
      <c r="J6840">
        <v>0</v>
      </c>
      <c r="K6840" t="str">
        <f t="shared" si="1238"/>
        <v>802</v>
      </c>
      <c r="L6840">
        <v>786.67</v>
      </c>
    </row>
    <row r="6841" spans="1:12" x14ac:dyDescent="0.25">
      <c r="A6841" t="str">
        <f t="shared" si="1228"/>
        <v>89301000</v>
      </c>
      <c r="B6841" t="str">
        <f t="shared" si="1236"/>
        <v>91866000</v>
      </c>
      <c r="C6841" t="str">
        <f t="shared" si="1237"/>
        <v>91866313</v>
      </c>
      <c r="D6841">
        <v>89301081</v>
      </c>
      <c r="E6841" t="str">
        <f t="shared" si="1239"/>
        <v>460508178</v>
      </c>
      <c r="F6841" s="1">
        <v>45090</v>
      </c>
      <c r="G6841" t="str">
        <f t="shared" si="1240"/>
        <v>82121</v>
      </c>
      <c r="H6841">
        <v>1</v>
      </c>
      <c r="I6841">
        <v>811</v>
      </c>
      <c r="J6841">
        <v>0</v>
      </c>
      <c r="K6841" t="str">
        <f t="shared" si="1238"/>
        <v>802</v>
      </c>
      <c r="L6841">
        <v>786.67</v>
      </c>
    </row>
    <row r="6842" spans="1:12" x14ac:dyDescent="0.25">
      <c r="A6842" t="str">
        <f t="shared" si="1228"/>
        <v>89301000</v>
      </c>
      <c r="B6842" t="str">
        <f t="shared" si="1236"/>
        <v>91866000</v>
      </c>
      <c r="C6842" t="str">
        <f t="shared" si="1237"/>
        <v>91866313</v>
      </c>
      <c r="D6842">
        <v>89301081</v>
      </c>
      <c r="E6842" t="str">
        <f t="shared" si="1239"/>
        <v>460508178</v>
      </c>
      <c r="F6842" s="1">
        <v>45090</v>
      </c>
      <c r="G6842" t="str">
        <f t="shared" si="1240"/>
        <v>82121</v>
      </c>
      <c r="H6842">
        <v>1</v>
      </c>
      <c r="I6842">
        <v>811</v>
      </c>
      <c r="J6842">
        <v>0</v>
      </c>
      <c r="K6842" t="str">
        <f t="shared" si="1238"/>
        <v>802</v>
      </c>
      <c r="L6842">
        <v>786.67</v>
      </c>
    </row>
    <row r="6843" spans="1:12" x14ac:dyDescent="0.25">
      <c r="A6843" t="str">
        <f t="shared" si="1228"/>
        <v>89301000</v>
      </c>
      <c r="B6843" t="str">
        <f t="shared" si="1236"/>
        <v>91866000</v>
      </c>
      <c r="C6843" t="str">
        <f t="shared" si="1237"/>
        <v>91866313</v>
      </c>
      <c r="D6843">
        <v>89301704</v>
      </c>
      <c r="E6843" t="str">
        <f t="shared" ref="E6843:E6848" si="1241">"1503200237"</f>
        <v>1503200237</v>
      </c>
      <c r="F6843" s="1">
        <v>45088</v>
      </c>
      <c r="G6843" t="str">
        <f t="shared" ref="G6843:G6854" si="1242">"82087"</f>
        <v>82087</v>
      </c>
      <c r="H6843">
        <v>1</v>
      </c>
      <c r="I6843">
        <v>53</v>
      </c>
      <c r="J6843">
        <v>0</v>
      </c>
      <c r="K6843" t="str">
        <f t="shared" si="1238"/>
        <v>802</v>
      </c>
      <c r="L6843">
        <v>51.41</v>
      </c>
    </row>
    <row r="6844" spans="1:12" x14ac:dyDescent="0.25">
      <c r="A6844" t="str">
        <f t="shared" si="1228"/>
        <v>89301000</v>
      </c>
      <c r="B6844" t="str">
        <f t="shared" si="1236"/>
        <v>91866000</v>
      </c>
      <c r="C6844" t="str">
        <f t="shared" si="1237"/>
        <v>91866313</v>
      </c>
      <c r="D6844">
        <v>89301704</v>
      </c>
      <c r="E6844" t="str">
        <f t="shared" si="1241"/>
        <v>1503200237</v>
      </c>
      <c r="F6844" s="1">
        <v>45087</v>
      </c>
      <c r="G6844" t="str">
        <f t="shared" si="1242"/>
        <v>82087</v>
      </c>
      <c r="H6844">
        <v>1</v>
      </c>
      <c r="I6844">
        <v>53</v>
      </c>
      <c r="J6844">
        <v>0</v>
      </c>
      <c r="K6844" t="str">
        <f t="shared" si="1238"/>
        <v>802</v>
      </c>
      <c r="L6844">
        <v>51.41</v>
      </c>
    </row>
    <row r="6845" spans="1:12" x14ac:dyDescent="0.25">
      <c r="A6845" t="str">
        <f t="shared" si="1228"/>
        <v>89301000</v>
      </c>
      <c r="B6845" t="str">
        <f t="shared" si="1236"/>
        <v>91866000</v>
      </c>
      <c r="C6845" t="str">
        <f t="shared" si="1237"/>
        <v>91866313</v>
      </c>
      <c r="D6845">
        <v>89301704</v>
      </c>
      <c r="E6845" t="str">
        <f t="shared" si="1241"/>
        <v>1503200237</v>
      </c>
      <c r="F6845" s="1">
        <v>45086</v>
      </c>
      <c r="G6845" t="str">
        <f t="shared" si="1242"/>
        <v>82087</v>
      </c>
      <c r="H6845">
        <v>1</v>
      </c>
      <c r="I6845">
        <v>53</v>
      </c>
      <c r="J6845">
        <v>0</v>
      </c>
      <c r="K6845" t="str">
        <f t="shared" si="1238"/>
        <v>802</v>
      </c>
      <c r="L6845">
        <v>51.41</v>
      </c>
    </row>
    <row r="6846" spans="1:12" x14ac:dyDescent="0.25">
      <c r="A6846" t="str">
        <f t="shared" si="1228"/>
        <v>89301000</v>
      </c>
      <c r="B6846" t="str">
        <f t="shared" si="1236"/>
        <v>91866000</v>
      </c>
      <c r="C6846" t="str">
        <f t="shared" si="1237"/>
        <v>91866313</v>
      </c>
      <c r="D6846">
        <v>89301704</v>
      </c>
      <c r="E6846" t="str">
        <f t="shared" si="1241"/>
        <v>1503200237</v>
      </c>
      <c r="F6846" s="1">
        <v>45088</v>
      </c>
      <c r="G6846" t="str">
        <f t="shared" si="1242"/>
        <v>82087</v>
      </c>
      <c r="H6846">
        <v>1</v>
      </c>
      <c r="I6846">
        <v>53</v>
      </c>
      <c r="J6846">
        <v>0</v>
      </c>
      <c r="K6846" t="str">
        <f t="shared" si="1238"/>
        <v>802</v>
      </c>
      <c r="L6846">
        <v>51.41</v>
      </c>
    </row>
    <row r="6847" spans="1:12" x14ac:dyDescent="0.25">
      <c r="A6847" t="str">
        <f t="shared" si="1228"/>
        <v>89301000</v>
      </c>
      <c r="B6847" t="str">
        <f t="shared" si="1236"/>
        <v>91866000</v>
      </c>
      <c r="C6847" t="str">
        <f t="shared" si="1237"/>
        <v>91866313</v>
      </c>
      <c r="D6847">
        <v>89301704</v>
      </c>
      <c r="E6847" t="str">
        <f t="shared" si="1241"/>
        <v>1503200237</v>
      </c>
      <c r="F6847" s="1">
        <v>45087</v>
      </c>
      <c r="G6847" t="str">
        <f t="shared" si="1242"/>
        <v>82087</v>
      </c>
      <c r="H6847">
        <v>1</v>
      </c>
      <c r="I6847">
        <v>53</v>
      </c>
      <c r="J6847">
        <v>0</v>
      </c>
      <c r="K6847" t="str">
        <f t="shared" si="1238"/>
        <v>802</v>
      </c>
      <c r="L6847">
        <v>51.41</v>
      </c>
    </row>
    <row r="6848" spans="1:12" x14ac:dyDescent="0.25">
      <c r="A6848" t="str">
        <f t="shared" si="1228"/>
        <v>89301000</v>
      </c>
      <c r="B6848" t="str">
        <f t="shared" si="1236"/>
        <v>91866000</v>
      </c>
      <c r="C6848" t="str">
        <f t="shared" si="1237"/>
        <v>91866313</v>
      </c>
      <c r="D6848">
        <v>89301704</v>
      </c>
      <c r="E6848" t="str">
        <f t="shared" si="1241"/>
        <v>1503200237</v>
      </c>
      <c r="F6848" s="1">
        <v>45086</v>
      </c>
      <c r="G6848" t="str">
        <f t="shared" si="1242"/>
        <v>82087</v>
      </c>
      <c r="H6848">
        <v>1</v>
      </c>
      <c r="I6848">
        <v>53</v>
      </c>
      <c r="J6848">
        <v>0</v>
      </c>
      <c r="K6848" t="str">
        <f t="shared" si="1238"/>
        <v>802</v>
      </c>
      <c r="L6848">
        <v>51.41</v>
      </c>
    </row>
    <row r="6849" spans="1:12" x14ac:dyDescent="0.25">
      <c r="A6849" t="str">
        <f t="shared" si="1228"/>
        <v>89301000</v>
      </c>
      <c r="B6849" t="str">
        <f t="shared" si="1236"/>
        <v>91866000</v>
      </c>
      <c r="C6849" t="str">
        <f t="shared" si="1237"/>
        <v>91866313</v>
      </c>
      <c r="D6849">
        <v>89301704</v>
      </c>
      <c r="E6849" t="str">
        <f t="shared" ref="E6849:E6854" si="1243">"0954115283"</f>
        <v>0954115283</v>
      </c>
      <c r="F6849" s="1">
        <v>45086</v>
      </c>
      <c r="G6849" t="str">
        <f t="shared" si="1242"/>
        <v>82087</v>
      </c>
      <c r="H6849">
        <v>1</v>
      </c>
      <c r="I6849">
        <v>53</v>
      </c>
      <c r="J6849">
        <v>0</v>
      </c>
      <c r="K6849" t="str">
        <f t="shared" si="1238"/>
        <v>802</v>
      </c>
      <c r="L6849">
        <v>51.41</v>
      </c>
    </row>
    <row r="6850" spans="1:12" x14ac:dyDescent="0.25">
      <c r="A6850" t="str">
        <f t="shared" ref="A6850:A6913" si="1244">"89301000"</f>
        <v>89301000</v>
      </c>
      <c r="B6850" t="str">
        <f t="shared" si="1236"/>
        <v>91866000</v>
      </c>
      <c r="C6850" t="str">
        <f t="shared" si="1237"/>
        <v>91866313</v>
      </c>
      <c r="D6850">
        <v>89301704</v>
      </c>
      <c r="E6850" t="str">
        <f t="shared" si="1243"/>
        <v>0954115283</v>
      </c>
      <c r="F6850" s="1">
        <v>45087</v>
      </c>
      <c r="G6850" t="str">
        <f t="shared" si="1242"/>
        <v>82087</v>
      </c>
      <c r="H6850">
        <v>1</v>
      </c>
      <c r="I6850">
        <v>53</v>
      </c>
      <c r="J6850">
        <v>0</v>
      </c>
      <c r="K6850" t="str">
        <f t="shared" si="1238"/>
        <v>802</v>
      </c>
      <c r="L6850">
        <v>51.41</v>
      </c>
    </row>
    <row r="6851" spans="1:12" x14ac:dyDescent="0.25">
      <c r="A6851" t="str">
        <f t="shared" si="1244"/>
        <v>89301000</v>
      </c>
      <c r="B6851" t="str">
        <f t="shared" si="1236"/>
        <v>91866000</v>
      </c>
      <c r="C6851" t="str">
        <f t="shared" si="1237"/>
        <v>91866313</v>
      </c>
      <c r="D6851">
        <v>89301704</v>
      </c>
      <c r="E6851" t="str">
        <f t="shared" si="1243"/>
        <v>0954115283</v>
      </c>
      <c r="F6851" s="1">
        <v>45088</v>
      </c>
      <c r="G6851" t="str">
        <f t="shared" si="1242"/>
        <v>82087</v>
      </c>
      <c r="H6851">
        <v>1</v>
      </c>
      <c r="I6851">
        <v>53</v>
      </c>
      <c r="J6851">
        <v>0</v>
      </c>
      <c r="K6851" t="str">
        <f t="shared" si="1238"/>
        <v>802</v>
      </c>
      <c r="L6851">
        <v>51.41</v>
      </c>
    </row>
    <row r="6852" spans="1:12" x14ac:dyDescent="0.25">
      <c r="A6852" t="str">
        <f t="shared" si="1244"/>
        <v>89301000</v>
      </c>
      <c r="B6852" t="str">
        <f t="shared" si="1236"/>
        <v>91866000</v>
      </c>
      <c r="C6852" t="str">
        <f t="shared" si="1237"/>
        <v>91866313</v>
      </c>
      <c r="D6852">
        <v>89301704</v>
      </c>
      <c r="E6852" t="str">
        <f t="shared" si="1243"/>
        <v>0954115283</v>
      </c>
      <c r="F6852" s="1">
        <v>45087</v>
      </c>
      <c r="G6852" t="str">
        <f t="shared" si="1242"/>
        <v>82087</v>
      </c>
      <c r="H6852">
        <v>1</v>
      </c>
      <c r="I6852">
        <v>53</v>
      </c>
      <c r="J6852">
        <v>0</v>
      </c>
      <c r="K6852" t="str">
        <f t="shared" si="1238"/>
        <v>802</v>
      </c>
      <c r="L6852">
        <v>51.41</v>
      </c>
    </row>
    <row r="6853" spans="1:12" x14ac:dyDescent="0.25">
      <c r="A6853" t="str">
        <f t="shared" si="1244"/>
        <v>89301000</v>
      </c>
      <c r="B6853" t="str">
        <f t="shared" si="1236"/>
        <v>91866000</v>
      </c>
      <c r="C6853" t="str">
        <f t="shared" si="1237"/>
        <v>91866313</v>
      </c>
      <c r="D6853">
        <v>89301704</v>
      </c>
      <c r="E6853" t="str">
        <f t="shared" si="1243"/>
        <v>0954115283</v>
      </c>
      <c r="F6853" s="1">
        <v>45088</v>
      </c>
      <c r="G6853" t="str">
        <f t="shared" si="1242"/>
        <v>82087</v>
      </c>
      <c r="H6853">
        <v>1</v>
      </c>
      <c r="I6853">
        <v>53</v>
      </c>
      <c r="J6853">
        <v>0</v>
      </c>
      <c r="K6853" t="str">
        <f t="shared" si="1238"/>
        <v>802</v>
      </c>
      <c r="L6853">
        <v>51.41</v>
      </c>
    </row>
    <row r="6854" spans="1:12" x14ac:dyDescent="0.25">
      <c r="A6854" t="str">
        <f t="shared" si="1244"/>
        <v>89301000</v>
      </c>
      <c r="B6854" t="str">
        <f t="shared" si="1236"/>
        <v>91866000</v>
      </c>
      <c r="C6854" t="str">
        <f t="shared" si="1237"/>
        <v>91866313</v>
      </c>
      <c r="D6854">
        <v>89301704</v>
      </c>
      <c r="E6854" t="str">
        <f t="shared" si="1243"/>
        <v>0954115283</v>
      </c>
      <c r="F6854" s="1">
        <v>45086</v>
      </c>
      <c r="G6854" t="str">
        <f t="shared" si="1242"/>
        <v>82087</v>
      </c>
      <c r="H6854">
        <v>1</v>
      </c>
      <c r="I6854">
        <v>53</v>
      </c>
      <c r="J6854">
        <v>0</v>
      </c>
      <c r="K6854" t="str">
        <f t="shared" si="1238"/>
        <v>802</v>
      </c>
      <c r="L6854">
        <v>51.41</v>
      </c>
    </row>
    <row r="6855" spans="1:12" x14ac:dyDescent="0.25">
      <c r="A6855" t="str">
        <f t="shared" si="1244"/>
        <v>89301000</v>
      </c>
      <c r="B6855" t="str">
        <f t="shared" si="1236"/>
        <v>91866000</v>
      </c>
      <c r="C6855" t="str">
        <f t="shared" si="1237"/>
        <v>91866313</v>
      </c>
      <c r="D6855">
        <v>89301161</v>
      </c>
      <c r="E6855" t="str">
        <f>"430726426"</f>
        <v>430726426</v>
      </c>
      <c r="F6855" s="1">
        <v>45105</v>
      </c>
      <c r="G6855" t="str">
        <f>"82035"</f>
        <v>82035</v>
      </c>
      <c r="H6855">
        <v>1</v>
      </c>
      <c r="I6855">
        <v>549</v>
      </c>
      <c r="J6855">
        <v>0</v>
      </c>
      <c r="K6855" t="str">
        <f t="shared" si="1238"/>
        <v>802</v>
      </c>
      <c r="L6855">
        <v>532.53</v>
      </c>
    </row>
    <row r="6856" spans="1:12" x14ac:dyDescent="0.25">
      <c r="A6856" t="str">
        <f t="shared" si="1244"/>
        <v>89301000</v>
      </c>
      <c r="B6856" t="str">
        <f t="shared" si="1236"/>
        <v>91866000</v>
      </c>
      <c r="C6856" t="str">
        <f t="shared" si="1237"/>
        <v>91866313</v>
      </c>
      <c r="D6856">
        <v>89301161</v>
      </c>
      <c r="E6856" t="str">
        <f>"430726426"</f>
        <v>430726426</v>
      </c>
      <c r="F6856" s="1">
        <v>45106</v>
      </c>
      <c r="G6856" t="str">
        <f>"82035"</f>
        <v>82035</v>
      </c>
      <c r="H6856">
        <v>1</v>
      </c>
      <c r="I6856">
        <v>549</v>
      </c>
      <c r="J6856">
        <v>0</v>
      </c>
      <c r="K6856" t="str">
        <f t="shared" si="1238"/>
        <v>802</v>
      </c>
      <c r="L6856">
        <v>532.53</v>
      </c>
    </row>
    <row r="6857" spans="1:12" x14ac:dyDescent="0.25">
      <c r="A6857" t="str">
        <f t="shared" si="1244"/>
        <v>89301000</v>
      </c>
      <c r="B6857" t="str">
        <f t="shared" si="1236"/>
        <v>91866000</v>
      </c>
      <c r="C6857" t="str">
        <f t="shared" si="1237"/>
        <v>91866313</v>
      </c>
      <c r="D6857">
        <v>89301704</v>
      </c>
      <c r="E6857" t="str">
        <f t="shared" ref="E6857:E6862" si="1245">"1057270665"</f>
        <v>1057270665</v>
      </c>
      <c r="F6857" s="1">
        <v>45101</v>
      </c>
      <c r="G6857" t="str">
        <f t="shared" ref="G6857:G6862" si="1246">"82087"</f>
        <v>82087</v>
      </c>
      <c r="H6857">
        <v>1</v>
      </c>
      <c r="I6857">
        <v>53</v>
      </c>
      <c r="J6857">
        <v>0</v>
      </c>
      <c r="K6857" t="str">
        <f t="shared" si="1238"/>
        <v>802</v>
      </c>
      <c r="L6857">
        <v>51.41</v>
      </c>
    </row>
    <row r="6858" spans="1:12" x14ac:dyDescent="0.25">
      <c r="A6858" t="str">
        <f t="shared" si="1244"/>
        <v>89301000</v>
      </c>
      <c r="B6858" t="str">
        <f t="shared" si="1236"/>
        <v>91866000</v>
      </c>
      <c r="C6858" t="str">
        <f t="shared" si="1237"/>
        <v>91866313</v>
      </c>
      <c r="D6858">
        <v>89301704</v>
      </c>
      <c r="E6858" t="str">
        <f t="shared" si="1245"/>
        <v>1057270665</v>
      </c>
      <c r="F6858" s="1">
        <v>45100</v>
      </c>
      <c r="G6858" t="str">
        <f t="shared" si="1246"/>
        <v>82087</v>
      </c>
      <c r="H6858">
        <v>1</v>
      </c>
      <c r="I6858">
        <v>53</v>
      </c>
      <c r="J6858">
        <v>0</v>
      </c>
      <c r="K6858" t="str">
        <f t="shared" si="1238"/>
        <v>802</v>
      </c>
      <c r="L6858">
        <v>51.41</v>
      </c>
    </row>
    <row r="6859" spans="1:12" x14ac:dyDescent="0.25">
      <c r="A6859" t="str">
        <f t="shared" si="1244"/>
        <v>89301000</v>
      </c>
      <c r="B6859" t="str">
        <f t="shared" si="1236"/>
        <v>91866000</v>
      </c>
      <c r="C6859" t="str">
        <f t="shared" si="1237"/>
        <v>91866313</v>
      </c>
      <c r="D6859">
        <v>89301704</v>
      </c>
      <c r="E6859" t="str">
        <f t="shared" si="1245"/>
        <v>1057270665</v>
      </c>
      <c r="F6859" s="1">
        <v>45099</v>
      </c>
      <c r="G6859" t="str">
        <f t="shared" si="1246"/>
        <v>82087</v>
      </c>
      <c r="H6859">
        <v>1</v>
      </c>
      <c r="I6859">
        <v>53</v>
      </c>
      <c r="J6859">
        <v>0</v>
      </c>
      <c r="K6859" t="str">
        <f t="shared" si="1238"/>
        <v>802</v>
      </c>
      <c r="L6859">
        <v>51.41</v>
      </c>
    </row>
    <row r="6860" spans="1:12" x14ac:dyDescent="0.25">
      <c r="A6860" t="str">
        <f t="shared" si="1244"/>
        <v>89301000</v>
      </c>
      <c r="B6860" t="str">
        <f t="shared" si="1236"/>
        <v>91866000</v>
      </c>
      <c r="C6860" t="str">
        <f t="shared" si="1237"/>
        <v>91866313</v>
      </c>
      <c r="D6860">
        <v>89301704</v>
      </c>
      <c r="E6860" t="str">
        <f t="shared" si="1245"/>
        <v>1057270665</v>
      </c>
      <c r="F6860" s="1">
        <v>45099</v>
      </c>
      <c r="G6860" t="str">
        <f t="shared" si="1246"/>
        <v>82087</v>
      </c>
      <c r="H6860">
        <v>1</v>
      </c>
      <c r="I6860">
        <v>53</v>
      </c>
      <c r="J6860">
        <v>0</v>
      </c>
      <c r="K6860" t="str">
        <f t="shared" si="1238"/>
        <v>802</v>
      </c>
      <c r="L6860">
        <v>51.41</v>
      </c>
    </row>
    <row r="6861" spans="1:12" x14ac:dyDescent="0.25">
      <c r="A6861" t="str">
        <f t="shared" si="1244"/>
        <v>89301000</v>
      </c>
      <c r="B6861" t="str">
        <f t="shared" si="1236"/>
        <v>91866000</v>
      </c>
      <c r="C6861" t="str">
        <f t="shared" si="1237"/>
        <v>91866313</v>
      </c>
      <c r="D6861">
        <v>89301704</v>
      </c>
      <c r="E6861" t="str">
        <f t="shared" si="1245"/>
        <v>1057270665</v>
      </c>
      <c r="F6861" s="1">
        <v>45101</v>
      </c>
      <c r="G6861" t="str">
        <f t="shared" si="1246"/>
        <v>82087</v>
      </c>
      <c r="H6861">
        <v>1</v>
      </c>
      <c r="I6861">
        <v>53</v>
      </c>
      <c r="J6861">
        <v>0</v>
      </c>
      <c r="K6861" t="str">
        <f t="shared" si="1238"/>
        <v>802</v>
      </c>
      <c r="L6861">
        <v>51.41</v>
      </c>
    </row>
    <row r="6862" spans="1:12" x14ac:dyDescent="0.25">
      <c r="A6862" t="str">
        <f t="shared" si="1244"/>
        <v>89301000</v>
      </c>
      <c r="B6862" t="str">
        <f t="shared" si="1236"/>
        <v>91866000</v>
      </c>
      <c r="C6862" t="str">
        <f t="shared" si="1237"/>
        <v>91866313</v>
      </c>
      <c r="D6862">
        <v>89301704</v>
      </c>
      <c r="E6862" t="str">
        <f t="shared" si="1245"/>
        <v>1057270665</v>
      </c>
      <c r="F6862" s="1">
        <v>45100</v>
      </c>
      <c r="G6862" t="str">
        <f t="shared" si="1246"/>
        <v>82087</v>
      </c>
      <c r="H6862">
        <v>1</v>
      </c>
      <c r="I6862">
        <v>53</v>
      </c>
      <c r="J6862">
        <v>0</v>
      </c>
      <c r="K6862" t="str">
        <f t="shared" si="1238"/>
        <v>802</v>
      </c>
      <c r="L6862">
        <v>51.41</v>
      </c>
    </row>
    <row r="6863" spans="1:12" x14ac:dyDescent="0.25">
      <c r="A6863" t="str">
        <f t="shared" si="1244"/>
        <v>89301000</v>
      </c>
      <c r="B6863" t="str">
        <f t="shared" si="1236"/>
        <v>91866000</v>
      </c>
      <c r="C6863" t="str">
        <f t="shared" si="1237"/>
        <v>91866313</v>
      </c>
      <c r="D6863">
        <v>89301081</v>
      </c>
      <c r="E6863" t="str">
        <f>"9962055741"</f>
        <v>9962055741</v>
      </c>
      <c r="F6863" s="1">
        <v>45098</v>
      </c>
      <c r="G6863" t="str">
        <f>"82079"</f>
        <v>82079</v>
      </c>
      <c r="H6863">
        <v>1</v>
      </c>
      <c r="I6863">
        <v>333</v>
      </c>
      <c r="J6863">
        <v>0</v>
      </c>
      <c r="K6863" t="str">
        <f t="shared" si="1238"/>
        <v>802</v>
      </c>
      <c r="L6863">
        <v>323.01</v>
      </c>
    </row>
    <row r="6864" spans="1:12" x14ac:dyDescent="0.25">
      <c r="A6864" t="str">
        <f t="shared" si="1244"/>
        <v>89301000</v>
      </c>
      <c r="B6864" t="str">
        <f t="shared" si="1236"/>
        <v>91866000</v>
      </c>
      <c r="C6864" t="str">
        <f t="shared" si="1237"/>
        <v>91866313</v>
      </c>
      <c r="D6864">
        <v>89301081</v>
      </c>
      <c r="E6864" t="str">
        <f>"9962055741"</f>
        <v>9962055741</v>
      </c>
      <c r="F6864" s="1">
        <v>45098</v>
      </c>
      <c r="G6864" t="str">
        <f>"82079"</f>
        <v>82079</v>
      </c>
      <c r="H6864">
        <v>2</v>
      </c>
      <c r="I6864">
        <v>666</v>
      </c>
      <c r="J6864">
        <v>0</v>
      </c>
      <c r="K6864" t="str">
        <f t="shared" si="1238"/>
        <v>802</v>
      </c>
      <c r="L6864">
        <v>646.02</v>
      </c>
    </row>
    <row r="6865" spans="1:12" x14ac:dyDescent="0.25">
      <c r="A6865" t="str">
        <f t="shared" si="1244"/>
        <v>89301000</v>
      </c>
      <c r="B6865" t="str">
        <f t="shared" si="1236"/>
        <v>91866000</v>
      </c>
      <c r="C6865" t="str">
        <f t="shared" si="1237"/>
        <v>91866313</v>
      </c>
      <c r="D6865">
        <v>89301081</v>
      </c>
      <c r="E6865" t="str">
        <f>"9962055741"</f>
        <v>9962055741</v>
      </c>
      <c r="F6865" s="1">
        <v>45098</v>
      </c>
      <c r="G6865" t="str">
        <f>"82079"</f>
        <v>82079</v>
      </c>
      <c r="H6865">
        <v>1</v>
      </c>
      <c r="I6865">
        <v>333</v>
      </c>
      <c r="J6865">
        <v>0</v>
      </c>
      <c r="K6865" t="str">
        <f t="shared" si="1238"/>
        <v>802</v>
      </c>
      <c r="L6865">
        <v>323.01</v>
      </c>
    </row>
    <row r="6866" spans="1:12" x14ac:dyDescent="0.25">
      <c r="A6866" t="str">
        <f t="shared" si="1244"/>
        <v>89301000</v>
      </c>
      <c r="B6866" t="str">
        <f t="shared" si="1236"/>
        <v>91866000</v>
      </c>
      <c r="C6866" t="str">
        <f t="shared" si="1237"/>
        <v>91866313</v>
      </c>
      <c r="D6866">
        <v>89301101</v>
      </c>
      <c r="E6866" t="str">
        <f>"0603066068"</f>
        <v>0603066068</v>
      </c>
      <c r="F6866" s="1">
        <v>45106</v>
      </c>
      <c r="G6866" t="str">
        <f>"82147"</f>
        <v>82147</v>
      </c>
      <c r="H6866">
        <v>3</v>
      </c>
      <c r="I6866">
        <v>720</v>
      </c>
      <c r="J6866">
        <v>0</v>
      </c>
      <c r="K6866" t="str">
        <f t="shared" si="1238"/>
        <v>802</v>
      </c>
      <c r="L6866">
        <v>698.4</v>
      </c>
    </row>
    <row r="6867" spans="1:12" x14ac:dyDescent="0.25">
      <c r="A6867" t="str">
        <f t="shared" si="1244"/>
        <v>89301000</v>
      </c>
      <c r="B6867" t="str">
        <f t="shared" si="1236"/>
        <v>91866000</v>
      </c>
      <c r="C6867" t="str">
        <f t="shared" si="1237"/>
        <v>91866313</v>
      </c>
      <c r="D6867">
        <v>89301101</v>
      </c>
      <c r="E6867" t="str">
        <f>"0603066068"</f>
        <v>0603066068</v>
      </c>
      <c r="F6867" s="1">
        <v>45106</v>
      </c>
      <c r="G6867" t="str">
        <f>"82147"</f>
        <v>82147</v>
      </c>
      <c r="H6867">
        <v>9</v>
      </c>
      <c r="I6867">
        <v>2160</v>
      </c>
      <c r="J6867">
        <v>0</v>
      </c>
      <c r="K6867" t="str">
        <f t="shared" si="1238"/>
        <v>802</v>
      </c>
      <c r="L6867">
        <v>2095.1999999999998</v>
      </c>
    </row>
    <row r="6868" spans="1:12" x14ac:dyDescent="0.25">
      <c r="A6868" t="str">
        <f t="shared" si="1244"/>
        <v>89301000</v>
      </c>
      <c r="B6868" t="str">
        <f t="shared" si="1236"/>
        <v>91866000</v>
      </c>
      <c r="C6868" t="str">
        <f>"91866321"</f>
        <v>91866321</v>
      </c>
      <c r="D6868">
        <v>89301102</v>
      </c>
      <c r="E6868" t="str">
        <f>"2253210729"</f>
        <v>2253210729</v>
      </c>
      <c r="F6868" s="1">
        <v>45098</v>
      </c>
      <c r="G6868" t="str">
        <f>"91135"</f>
        <v>91135</v>
      </c>
      <c r="H6868">
        <v>1</v>
      </c>
      <c r="I6868">
        <v>267</v>
      </c>
      <c r="J6868">
        <v>0</v>
      </c>
      <c r="K6868" t="str">
        <f>"813"</f>
        <v>813</v>
      </c>
      <c r="L6868">
        <v>224.28</v>
      </c>
    </row>
    <row r="6869" spans="1:12" x14ac:dyDescent="0.25">
      <c r="A6869" t="str">
        <f t="shared" si="1244"/>
        <v>89301000</v>
      </c>
      <c r="B6869" t="str">
        <f t="shared" ref="B6869:B6890" si="1247">"75311000"</f>
        <v>75311000</v>
      </c>
      <c r="C6869" t="str">
        <f t="shared" ref="C6869:C6889" si="1248">"75311715"</f>
        <v>75311715</v>
      </c>
      <c r="D6869">
        <v>89301167</v>
      </c>
      <c r="E6869" t="str">
        <f t="shared" ref="E6869:E6890" si="1249">"5957040397"</f>
        <v>5957040397</v>
      </c>
      <c r="F6869" s="1">
        <v>45091</v>
      </c>
      <c r="G6869" t="str">
        <f>"97111"</f>
        <v>97111</v>
      </c>
      <c r="H6869">
        <v>1</v>
      </c>
      <c r="I6869">
        <v>19</v>
      </c>
      <c r="J6869">
        <v>0</v>
      </c>
      <c r="K6869" t="str">
        <f t="shared" ref="K6869:K6889" si="1250">"801"</f>
        <v>801</v>
      </c>
      <c r="L6869">
        <v>23.94</v>
      </c>
    </row>
    <row r="6870" spans="1:12" x14ac:dyDescent="0.25">
      <c r="A6870" t="str">
        <f t="shared" si="1244"/>
        <v>89301000</v>
      </c>
      <c r="B6870" t="str">
        <f t="shared" si="1247"/>
        <v>75311000</v>
      </c>
      <c r="C6870" t="str">
        <f t="shared" si="1248"/>
        <v>75311715</v>
      </c>
      <c r="D6870">
        <v>89301167</v>
      </c>
      <c r="E6870" t="str">
        <f t="shared" si="1249"/>
        <v>5957040397</v>
      </c>
      <c r="F6870" s="1">
        <v>45091</v>
      </c>
      <c r="G6870" t="str">
        <f>"81593"</f>
        <v>81593</v>
      </c>
      <c r="H6870">
        <v>1</v>
      </c>
      <c r="I6870">
        <v>22</v>
      </c>
      <c r="J6870">
        <v>0</v>
      </c>
      <c r="K6870" t="str">
        <f t="shared" si="1250"/>
        <v>801</v>
      </c>
      <c r="L6870">
        <v>18.48</v>
      </c>
    </row>
    <row r="6871" spans="1:12" x14ac:dyDescent="0.25">
      <c r="A6871" t="str">
        <f t="shared" si="1244"/>
        <v>89301000</v>
      </c>
      <c r="B6871" t="str">
        <f t="shared" si="1247"/>
        <v>75311000</v>
      </c>
      <c r="C6871" t="str">
        <f t="shared" si="1248"/>
        <v>75311715</v>
      </c>
      <c r="D6871">
        <v>89301167</v>
      </c>
      <c r="E6871" t="str">
        <f t="shared" si="1249"/>
        <v>5957040397</v>
      </c>
      <c r="F6871" s="1">
        <v>45091</v>
      </c>
      <c r="G6871" t="str">
        <f>"81393"</f>
        <v>81393</v>
      </c>
      <c r="H6871">
        <v>1</v>
      </c>
      <c r="I6871">
        <v>24</v>
      </c>
      <c r="J6871">
        <v>0</v>
      </c>
      <c r="K6871" t="str">
        <f t="shared" si="1250"/>
        <v>801</v>
      </c>
      <c r="L6871">
        <v>20.16</v>
      </c>
    </row>
    <row r="6872" spans="1:12" x14ac:dyDescent="0.25">
      <c r="A6872" t="str">
        <f t="shared" si="1244"/>
        <v>89301000</v>
      </c>
      <c r="B6872" t="str">
        <f t="shared" si="1247"/>
        <v>75311000</v>
      </c>
      <c r="C6872" t="str">
        <f t="shared" si="1248"/>
        <v>75311715</v>
      </c>
      <c r="D6872">
        <v>89301167</v>
      </c>
      <c r="E6872" t="str">
        <f t="shared" si="1249"/>
        <v>5957040397</v>
      </c>
      <c r="F6872" s="1">
        <v>45091</v>
      </c>
      <c r="G6872" t="str">
        <f>"81469"</f>
        <v>81469</v>
      </c>
      <c r="H6872">
        <v>1</v>
      </c>
      <c r="I6872">
        <v>16</v>
      </c>
      <c r="J6872">
        <v>0</v>
      </c>
      <c r="K6872" t="str">
        <f t="shared" si="1250"/>
        <v>801</v>
      </c>
      <c r="L6872">
        <v>13.44</v>
      </c>
    </row>
    <row r="6873" spans="1:12" x14ac:dyDescent="0.25">
      <c r="A6873" t="str">
        <f t="shared" si="1244"/>
        <v>89301000</v>
      </c>
      <c r="B6873" t="str">
        <f t="shared" si="1247"/>
        <v>75311000</v>
      </c>
      <c r="C6873" t="str">
        <f t="shared" si="1248"/>
        <v>75311715</v>
      </c>
      <c r="D6873">
        <v>89301167</v>
      </c>
      <c r="E6873" t="str">
        <f t="shared" si="1249"/>
        <v>5957040397</v>
      </c>
      <c r="F6873" s="1">
        <v>45091</v>
      </c>
      <c r="G6873" t="str">
        <f>"81329"</f>
        <v>81329</v>
      </c>
      <c r="H6873">
        <v>1</v>
      </c>
      <c r="I6873">
        <v>17</v>
      </c>
      <c r="J6873">
        <v>0</v>
      </c>
      <c r="K6873" t="str">
        <f t="shared" si="1250"/>
        <v>801</v>
      </c>
      <c r="L6873">
        <v>14.28</v>
      </c>
    </row>
    <row r="6874" spans="1:12" x14ac:dyDescent="0.25">
      <c r="A6874" t="str">
        <f t="shared" si="1244"/>
        <v>89301000</v>
      </c>
      <c r="B6874" t="str">
        <f t="shared" si="1247"/>
        <v>75311000</v>
      </c>
      <c r="C6874" t="str">
        <f t="shared" si="1248"/>
        <v>75311715</v>
      </c>
      <c r="D6874">
        <v>89301167</v>
      </c>
      <c r="E6874" t="str">
        <f t="shared" si="1249"/>
        <v>5957040397</v>
      </c>
      <c r="F6874" s="1">
        <v>45091</v>
      </c>
      <c r="G6874" t="str">
        <f>"81625"</f>
        <v>81625</v>
      </c>
      <c r="H6874">
        <v>1</v>
      </c>
      <c r="I6874">
        <v>21</v>
      </c>
      <c r="J6874">
        <v>0</v>
      </c>
      <c r="K6874" t="str">
        <f t="shared" si="1250"/>
        <v>801</v>
      </c>
      <c r="L6874">
        <v>17.64</v>
      </c>
    </row>
    <row r="6875" spans="1:12" x14ac:dyDescent="0.25">
      <c r="A6875" t="str">
        <f t="shared" si="1244"/>
        <v>89301000</v>
      </c>
      <c r="B6875" t="str">
        <f t="shared" si="1247"/>
        <v>75311000</v>
      </c>
      <c r="C6875" t="str">
        <f t="shared" si="1248"/>
        <v>75311715</v>
      </c>
      <c r="D6875">
        <v>89301167</v>
      </c>
      <c r="E6875" t="str">
        <f t="shared" si="1249"/>
        <v>5957040397</v>
      </c>
      <c r="F6875" s="1">
        <v>45091</v>
      </c>
      <c r="G6875" t="str">
        <f>"81439"</f>
        <v>81439</v>
      </c>
      <c r="H6875">
        <v>1</v>
      </c>
      <c r="I6875">
        <v>16</v>
      </c>
      <c r="J6875">
        <v>0</v>
      </c>
      <c r="K6875" t="str">
        <f t="shared" si="1250"/>
        <v>801</v>
      </c>
      <c r="L6875">
        <v>13.44</v>
      </c>
    </row>
    <row r="6876" spans="1:12" x14ac:dyDescent="0.25">
      <c r="A6876" t="str">
        <f t="shared" si="1244"/>
        <v>89301000</v>
      </c>
      <c r="B6876" t="str">
        <f t="shared" si="1247"/>
        <v>75311000</v>
      </c>
      <c r="C6876" t="str">
        <f t="shared" si="1248"/>
        <v>75311715</v>
      </c>
      <c r="D6876">
        <v>89301167</v>
      </c>
      <c r="E6876" t="str">
        <f t="shared" si="1249"/>
        <v>5957040397</v>
      </c>
      <c r="F6876" s="1">
        <v>45091</v>
      </c>
      <c r="G6876" t="str">
        <f>"81365"</f>
        <v>81365</v>
      </c>
      <c r="H6876">
        <v>1</v>
      </c>
      <c r="I6876">
        <v>16</v>
      </c>
      <c r="J6876">
        <v>0</v>
      </c>
      <c r="K6876" t="str">
        <f t="shared" si="1250"/>
        <v>801</v>
      </c>
      <c r="L6876">
        <v>13.44</v>
      </c>
    </row>
    <row r="6877" spans="1:12" x14ac:dyDescent="0.25">
      <c r="A6877" t="str">
        <f t="shared" si="1244"/>
        <v>89301000</v>
      </c>
      <c r="B6877" t="str">
        <f t="shared" si="1247"/>
        <v>75311000</v>
      </c>
      <c r="C6877" t="str">
        <f t="shared" si="1248"/>
        <v>75311715</v>
      </c>
      <c r="D6877">
        <v>89301167</v>
      </c>
      <c r="E6877" t="str">
        <f t="shared" si="1249"/>
        <v>5957040397</v>
      </c>
      <c r="F6877" s="1">
        <v>45091</v>
      </c>
      <c r="G6877" t="str">
        <f>"81361"</f>
        <v>81361</v>
      </c>
      <c r="H6877">
        <v>1</v>
      </c>
      <c r="I6877">
        <v>17</v>
      </c>
      <c r="J6877">
        <v>0</v>
      </c>
      <c r="K6877" t="str">
        <f t="shared" si="1250"/>
        <v>801</v>
      </c>
      <c r="L6877">
        <v>14.28</v>
      </c>
    </row>
    <row r="6878" spans="1:12" x14ac:dyDescent="0.25">
      <c r="A6878" t="str">
        <f t="shared" si="1244"/>
        <v>89301000</v>
      </c>
      <c r="B6878" t="str">
        <f t="shared" si="1247"/>
        <v>75311000</v>
      </c>
      <c r="C6878" t="str">
        <f t="shared" si="1248"/>
        <v>75311715</v>
      </c>
      <c r="D6878">
        <v>89301167</v>
      </c>
      <c r="E6878" t="str">
        <f t="shared" si="1249"/>
        <v>5957040397</v>
      </c>
      <c r="F6878" s="1">
        <v>45091</v>
      </c>
      <c r="G6878" t="str">
        <f>"81421"</f>
        <v>81421</v>
      </c>
      <c r="H6878">
        <v>1</v>
      </c>
      <c r="I6878">
        <v>19</v>
      </c>
      <c r="J6878">
        <v>0</v>
      </c>
      <c r="K6878" t="str">
        <f t="shared" si="1250"/>
        <v>801</v>
      </c>
      <c r="L6878">
        <v>15.96</v>
      </c>
    </row>
    <row r="6879" spans="1:12" x14ac:dyDescent="0.25">
      <c r="A6879" t="str">
        <f t="shared" si="1244"/>
        <v>89301000</v>
      </c>
      <c r="B6879" t="str">
        <f t="shared" si="1247"/>
        <v>75311000</v>
      </c>
      <c r="C6879" t="str">
        <f t="shared" si="1248"/>
        <v>75311715</v>
      </c>
      <c r="D6879">
        <v>89301167</v>
      </c>
      <c r="E6879" t="str">
        <f t="shared" si="1249"/>
        <v>5957040397</v>
      </c>
      <c r="F6879" s="1">
        <v>45091</v>
      </c>
      <c r="G6879" t="str">
        <f>"91153"</f>
        <v>91153</v>
      </c>
      <c r="H6879">
        <v>1</v>
      </c>
      <c r="I6879">
        <v>153</v>
      </c>
      <c r="J6879">
        <v>0</v>
      </c>
      <c r="K6879" t="str">
        <f t="shared" si="1250"/>
        <v>801</v>
      </c>
      <c r="L6879">
        <v>128.52000000000001</v>
      </c>
    </row>
    <row r="6880" spans="1:12" x14ac:dyDescent="0.25">
      <c r="A6880" t="str">
        <f t="shared" si="1244"/>
        <v>89301000</v>
      </c>
      <c r="B6880" t="str">
        <f t="shared" si="1247"/>
        <v>75311000</v>
      </c>
      <c r="C6880" t="str">
        <f t="shared" si="1248"/>
        <v>75311715</v>
      </c>
      <c r="D6880">
        <v>89301167</v>
      </c>
      <c r="E6880" t="str">
        <f t="shared" si="1249"/>
        <v>5957040397</v>
      </c>
      <c r="F6880" s="1">
        <v>45091</v>
      </c>
      <c r="G6880" t="str">
        <f>"81621"</f>
        <v>81621</v>
      </c>
      <c r="H6880">
        <v>1</v>
      </c>
      <c r="I6880">
        <v>19</v>
      </c>
      <c r="J6880">
        <v>0</v>
      </c>
      <c r="K6880" t="str">
        <f t="shared" si="1250"/>
        <v>801</v>
      </c>
      <c r="L6880">
        <v>15.96</v>
      </c>
    </row>
    <row r="6881" spans="1:12" x14ac:dyDescent="0.25">
      <c r="A6881" t="str">
        <f t="shared" si="1244"/>
        <v>89301000</v>
      </c>
      <c r="B6881" t="str">
        <f t="shared" si="1247"/>
        <v>75311000</v>
      </c>
      <c r="C6881" t="str">
        <f t="shared" si="1248"/>
        <v>75311715</v>
      </c>
      <c r="D6881">
        <v>89301167</v>
      </c>
      <c r="E6881" t="str">
        <f t="shared" si="1249"/>
        <v>5957040397</v>
      </c>
      <c r="F6881" s="1">
        <v>45091</v>
      </c>
      <c r="G6881" t="str">
        <f>"81383"</f>
        <v>81383</v>
      </c>
      <c r="H6881">
        <v>1</v>
      </c>
      <c r="I6881">
        <v>24</v>
      </c>
      <c r="J6881">
        <v>0</v>
      </c>
      <c r="K6881" t="str">
        <f t="shared" si="1250"/>
        <v>801</v>
      </c>
      <c r="L6881">
        <v>20.16</v>
      </c>
    </row>
    <row r="6882" spans="1:12" x14ac:dyDescent="0.25">
      <c r="A6882" t="str">
        <f t="shared" si="1244"/>
        <v>89301000</v>
      </c>
      <c r="B6882" t="str">
        <f t="shared" si="1247"/>
        <v>75311000</v>
      </c>
      <c r="C6882" t="str">
        <f t="shared" si="1248"/>
        <v>75311715</v>
      </c>
      <c r="D6882">
        <v>89301167</v>
      </c>
      <c r="E6882" t="str">
        <f t="shared" si="1249"/>
        <v>5957040397</v>
      </c>
      <c r="F6882" s="1">
        <v>45091</v>
      </c>
      <c r="G6882" t="str">
        <f>"81337"</f>
        <v>81337</v>
      </c>
      <c r="H6882">
        <v>1</v>
      </c>
      <c r="I6882">
        <v>20</v>
      </c>
      <c r="J6882">
        <v>0</v>
      </c>
      <c r="K6882" t="str">
        <f t="shared" si="1250"/>
        <v>801</v>
      </c>
      <c r="L6882">
        <v>16.8</v>
      </c>
    </row>
    <row r="6883" spans="1:12" x14ac:dyDescent="0.25">
      <c r="A6883" t="str">
        <f t="shared" si="1244"/>
        <v>89301000</v>
      </c>
      <c r="B6883" t="str">
        <f t="shared" si="1247"/>
        <v>75311000</v>
      </c>
      <c r="C6883" t="str">
        <f t="shared" si="1248"/>
        <v>75311715</v>
      </c>
      <c r="D6883">
        <v>89301167</v>
      </c>
      <c r="E6883" t="str">
        <f t="shared" si="1249"/>
        <v>5957040397</v>
      </c>
      <c r="F6883" s="1">
        <v>45091</v>
      </c>
      <c r="G6883" t="str">
        <f>"81357"</f>
        <v>81357</v>
      </c>
      <c r="H6883">
        <v>1</v>
      </c>
      <c r="I6883">
        <v>20</v>
      </c>
      <c r="J6883">
        <v>0</v>
      </c>
      <c r="K6883" t="str">
        <f t="shared" si="1250"/>
        <v>801</v>
      </c>
      <c r="L6883">
        <v>16.8</v>
      </c>
    </row>
    <row r="6884" spans="1:12" x14ac:dyDescent="0.25">
      <c r="A6884" t="str">
        <f t="shared" si="1244"/>
        <v>89301000</v>
      </c>
      <c r="B6884" t="str">
        <f t="shared" si="1247"/>
        <v>75311000</v>
      </c>
      <c r="C6884" t="str">
        <f t="shared" si="1248"/>
        <v>75311715</v>
      </c>
      <c r="D6884">
        <v>89301167</v>
      </c>
      <c r="E6884" t="str">
        <f t="shared" si="1249"/>
        <v>5957040397</v>
      </c>
      <c r="F6884" s="1">
        <v>45091</v>
      </c>
      <c r="G6884" t="str">
        <f>"81523"</f>
        <v>81523</v>
      </c>
      <c r="H6884">
        <v>1</v>
      </c>
      <c r="I6884">
        <v>23</v>
      </c>
      <c r="J6884">
        <v>0</v>
      </c>
      <c r="K6884" t="str">
        <f t="shared" si="1250"/>
        <v>801</v>
      </c>
      <c r="L6884">
        <v>19.32</v>
      </c>
    </row>
    <row r="6885" spans="1:12" x14ac:dyDescent="0.25">
      <c r="A6885" t="str">
        <f t="shared" si="1244"/>
        <v>89301000</v>
      </c>
      <c r="B6885" t="str">
        <f t="shared" si="1247"/>
        <v>75311000</v>
      </c>
      <c r="C6885" t="str">
        <f t="shared" si="1248"/>
        <v>75311715</v>
      </c>
      <c r="D6885">
        <v>89301167</v>
      </c>
      <c r="E6885" t="str">
        <f t="shared" si="1249"/>
        <v>5957040397</v>
      </c>
      <c r="F6885" s="1">
        <v>45091</v>
      </c>
      <c r="G6885" t="str">
        <f>"81435"</f>
        <v>81435</v>
      </c>
      <c r="H6885">
        <v>1</v>
      </c>
      <c r="I6885">
        <v>22</v>
      </c>
      <c r="J6885">
        <v>0</v>
      </c>
      <c r="K6885" t="str">
        <f t="shared" si="1250"/>
        <v>801</v>
      </c>
      <c r="L6885">
        <v>18.48</v>
      </c>
    </row>
    <row r="6886" spans="1:12" x14ac:dyDescent="0.25">
      <c r="A6886" t="str">
        <f t="shared" si="1244"/>
        <v>89301000</v>
      </c>
      <c r="B6886" t="str">
        <f t="shared" si="1247"/>
        <v>75311000</v>
      </c>
      <c r="C6886" t="str">
        <f t="shared" si="1248"/>
        <v>75311715</v>
      </c>
      <c r="D6886">
        <v>89301167</v>
      </c>
      <c r="E6886" t="str">
        <f t="shared" si="1249"/>
        <v>5957040397</v>
      </c>
      <c r="F6886" s="1">
        <v>45091</v>
      </c>
      <c r="G6886" t="str">
        <f>"81499"</f>
        <v>81499</v>
      </c>
      <c r="H6886">
        <v>1</v>
      </c>
      <c r="I6886">
        <v>18</v>
      </c>
      <c r="J6886">
        <v>0</v>
      </c>
      <c r="K6886" t="str">
        <f t="shared" si="1250"/>
        <v>801</v>
      </c>
      <c r="L6886">
        <v>15.12</v>
      </c>
    </row>
    <row r="6887" spans="1:12" x14ac:dyDescent="0.25">
      <c r="A6887" t="str">
        <f t="shared" si="1244"/>
        <v>89301000</v>
      </c>
      <c r="B6887" t="str">
        <f t="shared" si="1247"/>
        <v>75311000</v>
      </c>
      <c r="C6887" t="str">
        <f t="shared" si="1248"/>
        <v>75311715</v>
      </c>
      <c r="D6887">
        <v>89301167</v>
      </c>
      <c r="E6887" t="str">
        <f t="shared" si="1249"/>
        <v>5957040397</v>
      </c>
      <c r="F6887" s="1">
        <v>45091</v>
      </c>
      <c r="G6887" t="str">
        <f>"81511"</f>
        <v>81511</v>
      </c>
      <c r="H6887">
        <v>1</v>
      </c>
      <c r="I6887">
        <v>10</v>
      </c>
      <c r="J6887">
        <v>0</v>
      </c>
      <c r="K6887" t="str">
        <f t="shared" si="1250"/>
        <v>801</v>
      </c>
      <c r="L6887">
        <v>8.4</v>
      </c>
    </row>
    <row r="6888" spans="1:12" x14ac:dyDescent="0.25">
      <c r="A6888" t="str">
        <f t="shared" si="1244"/>
        <v>89301000</v>
      </c>
      <c r="B6888" t="str">
        <f t="shared" si="1247"/>
        <v>75311000</v>
      </c>
      <c r="C6888" t="str">
        <f t="shared" si="1248"/>
        <v>75311715</v>
      </c>
      <c r="D6888">
        <v>89301167</v>
      </c>
      <c r="E6888" t="str">
        <f t="shared" si="1249"/>
        <v>5957040397</v>
      </c>
      <c r="F6888" s="1">
        <v>45091</v>
      </c>
      <c r="G6888" t="str">
        <f>"93189"</f>
        <v>93189</v>
      </c>
      <c r="H6888">
        <v>1</v>
      </c>
      <c r="I6888">
        <v>191</v>
      </c>
      <c r="J6888">
        <v>0</v>
      </c>
      <c r="K6888" t="str">
        <f t="shared" si="1250"/>
        <v>801</v>
      </c>
      <c r="L6888">
        <v>160.44</v>
      </c>
    </row>
    <row r="6889" spans="1:12" x14ac:dyDescent="0.25">
      <c r="A6889" t="str">
        <f t="shared" si="1244"/>
        <v>89301000</v>
      </c>
      <c r="B6889" t="str">
        <f t="shared" si="1247"/>
        <v>75311000</v>
      </c>
      <c r="C6889" t="str">
        <f t="shared" si="1248"/>
        <v>75311715</v>
      </c>
      <c r="D6889">
        <v>89301167</v>
      </c>
      <c r="E6889" t="str">
        <f t="shared" si="1249"/>
        <v>5957040397</v>
      </c>
      <c r="F6889" s="1">
        <v>45091</v>
      </c>
      <c r="G6889" t="str">
        <f>"93195"</f>
        <v>93195</v>
      </c>
      <c r="H6889">
        <v>1</v>
      </c>
      <c r="I6889">
        <v>183</v>
      </c>
      <c r="J6889">
        <v>0</v>
      </c>
      <c r="K6889" t="str">
        <f t="shared" si="1250"/>
        <v>801</v>
      </c>
      <c r="L6889">
        <v>153.72</v>
      </c>
    </row>
    <row r="6890" spans="1:12" x14ac:dyDescent="0.25">
      <c r="A6890" t="str">
        <f t="shared" si="1244"/>
        <v>89301000</v>
      </c>
      <c r="B6890" t="str">
        <f t="shared" si="1247"/>
        <v>75311000</v>
      </c>
      <c r="C6890" t="str">
        <f>"75311001"</f>
        <v>75311001</v>
      </c>
      <c r="D6890">
        <v>89301167</v>
      </c>
      <c r="E6890" t="str">
        <f t="shared" si="1249"/>
        <v>5957040397</v>
      </c>
      <c r="F6890" s="1">
        <v>45091</v>
      </c>
      <c r="G6890" t="str">
        <f>"96167"</f>
        <v>96167</v>
      </c>
      <c r="H6890">
        <v>1</v>
      </c>
      <c r="I6890">
        <v>67</v>
      </c>
      <c r="J6890">
        <v>0</v>
      </c>
      <c r="K6890" t="str">
        <f>"818"</f>
        <v>818</v>
      </c>
      <c r="L6890">
        <v>64.989999999999995</v>
      </c>
    </row>
    <row r="6891" spans="1:12" x14ac:dyDescent="0.25">
      <c r="A6891" t="str">
        <f t="shared" si="1244"/>
        <v>89301000</v>
      </c>
      <c r="B6891" t="str">
        <f t="shared" ref="B6891:C6910" si="1251">"89063000"</f>
        <v>89063000</v>
      </c>
      <c r="C6891" t="str">
        <f t="shared" si="1251"/>
        <v>89063000</v>
      </c>
      <c r="D6891">
        <v>89301212</v>
      </c>
      <c r="E6891" t="str">
        <f>"7355195331"</f>
        <v>7355195331</v>
      </c>
      <c r="F6891" s="1">
        <v>45079</v>
      </c>
      <c r="G6891" t="str">
        <f t="shared" ref="G6891:G6922" si="1252">"89312"</f>
        <v>89312</v>
      </c>
      <c r="H6891">
        <v>3</v>
      </c>
      <c r="I6891">
        <v>936</v>
      </c>
      <c r="J6891">
        <v>0</v>
      </c>
      <c r="K6891" t="str">
        <f t="shared" ref="K6891:K6954" si="1253">"809"</f>
        <v>809</v>
      </c>
      <c r="L6891">
        <v>1020.24</v>
      </c>
    </row>
    <row r="6892" spans="1:12" x14ac:dyDescent="0.25">
      <c r="A6892" t="str">
        <f t="shared" si="1244"/>
        <v>89301000</v>
      </c>
      <c r="B6892" t="str">
        <f t="shared" si="1251"/>
        <v>89063000</v>
      </c>
      <c r="C6892" t="str">
        <f t="shared" si="1251"/>
        <v>89063000</v>
      </c>
      <c r="D6892">
        <v>89301212</v>
      </c>
      <c r="E6892" t="str">
        <f>"406116044"</f>
        <v>406116044</v>
      </c>
      <c r="F6892" s="1">
        <v>45082</v>
      </c>
      <c r="G6892" t="str">
        <f t="shared" si="1252"/>
        <v>89312</v>
      </c>
      <c r="H6892">
        <v>3</v>
      </c>
      <c r="I6892">
        <v>936</v>
      </c>
      <c r="J6892">
        <v>0</v>
      </c>
      <c r="K6892" t="str">
        <f t="shared" si="1253"/>
        <v>809</v>
      </c>
      <c r="L6892">
        <v>1020.24</v>
      </c>
    </row>
    <row r="6893" spans="1:12" x14ac:dyDescent="0.25">
      <c r="A6893" t="str">
        <f t="shared" si="1244"/>
        <v>89301000</v>
      </c>
      <c r="B6893" t="str">
        <f t="shared" si="1251"/>
        <v>89063000</v>
      </c>
      <c r="C6893" t="str">
        <f t="shared" si="1251"/>
        <v>89063000</v>
      </c>
      <c r="D6893">
        <v>89301036</v>
      </c>
      <c r="E6893" t="str">
        <f>"7562264457"</f>
        <v>7562264457</v>
      </c>
      <c r="F6893" s="1">
        <v>45082</v>
      </c>
      <c r="G6893" t="str">
        <f t="shared" si="1252"/>
        <v>89312</v>
      </c>
      <c r="H6893">
        <v>3</v>
      </c>
      <c r="I6893">
        <v>936</v>
      </c>
      <c r="J6893">
        <v>0</v>
      </c>
      <c r="K6893" t="str">
        <f t="shared" si="1253"/>
        <v>809</v>
      </c>
      <c r="L6893">
        <v>1020.24</v>
      </c>
    </row>
    <row r="6894" spans="1:12" x14ac:dyDescent="0.25">
      <c r="A6894" t="str">
        <f t="shared" si="1244"/>
        <v>89301000</v>
      </c>
      <c r="B6894" t="str">
        <f t="shared" si="1251"/>
        <v>89063000</v>
      </c>
      <c r="C6894" t="str">
        <f t="shared" si="1251"/>
        <v>89063000</v>
      </c>
      <c r="D6894">
        <v>89301037</v>
      </c>
      <c r="E6894" t="str">
        <f>"7655314480"</f>
        <v>7655314480</v>
      </c>
      <c r="F6894" s="1">
        <v>45082</v>
      </c>
      <c r="G6894" t="str">
        <f t="shared" si="1252"/>
        <v>89312</v>
      </c>
      <c r="H6894">
        <v>3</v>
      </c>
      <c r="I6894">
        <v>936</v>
      </c>
      <c r="J6894">
        <v>0</v>
      </c>
      <c r="K6894" t="str">
        <f t="shared" si="1253"/>
        <v>809</v>
      </c>
      <c r="L6894">
        <v>1020.24</v>
      </c>
    </row>
    <row r="6895" spans="1:12" x14ac:dyDescent="0.25">
      <c r="A6895" t="str">
        <f t="shared" si="1244"/>
        <v>89301000</v>
      </c>
      <c r="B6895" t="str">
        <f t="shared" si="1251"/>
        <v>89063000</v>
      </c>
      <c r="C6895" t="str">
        <f t="shared" si="1251"/>
        <v>89063000</v>
      </c>
      <c r="D6895">
        <v>89301037</v>
      </c>
      <c r="E6895" t="str">
        <f>"5853150347"</f>
        <v>5853150347</v>
      </c>
      <c r="F6895" s="1">
        <v>45083</v>
      </c>
      <c r="G6895" t="str">
        <f t="shared" si="1252"/>
        <v>89312</v>
      </c>
      <c r="H6895">
        <v>3</v>
      </c>
      <c r="I6895">
        <v>936</v>
      </c>
      <c r="J6895">
        <v>0</v>
      </c>
      <c r="K6895" t="str">
        <f t="shared" si="1253"/>
        <v>809</v>
      </c>
      <c r="L6895">
        <v>1020.24</v>
      </c>
    </row>
    <row r="6896" spans="1:12" x14ac:dyDescent="0.25">
      <c r="A6896" t="str">
        <f t="shared" si="1244"/>
        <v>89301000</v>
      </c>
      <c r="B6896" t="str">
        <f t="shared" si="1251"/>
        <v>89063000</v>
      </c>
      <c r="C6896" t="str">
        <f t="shared" si="1251"/>
        <v>89063000</v>
      </c>
      <c r="D6896">
        <v>89301302</v>
      </c>
      <c r="E6896" t="str">
        <f>"475703467"</f>
        <v>475703467</v>
      </c>
      <c r="F6896" s="1">
        <v>45083</v>
      </c>
      <c r="G6896" t="str">
        <f t="shared" si="1252"/>
        <v>89312</v>
      </c>
      <c r="H6896">
        <v>3</v>
      </c>
      <c r="I6896">
        <v>936</v>
      </c>
      <c r="J6896">
        <v>0</v>
      </c>
      <c r="K6896" t="str">
        <f t="shared" si="1253"/>
        <v>809</v>
      </c>
      <c r="L6896">
        <v>1020.24</v>
      </c>
    </row>
    <row r="6897" spans="1:12" x14ac:dyDescent="0.25">
      <c r="A6897" t="str">
        <f t="shared" si="1244"/>
        <v>89301000</v>
      </c>
      <c r="B6897" t="str">
        <f t="shared" si="1251"/>
        <v>89063000</v>
      </c>
      <c r="C6897" t="str">
        <f t="shared" si="1251"/>
        <v>89063000</v>
      </c>
      <c r="D6897">
        <v>89301036</v>
      </c>
      <c r="E6897" t="str">
        <f>"6809160798"</f>
        <v>6809160798</v>
      </c>
      <c r="F6897" s="1">
        <v>45083</v>
      </c>
      <c r="G6897" t="str">
        <f t="shared" si="1252"/>
        <v>89312</v>
      </c>
      <c r="H6897">
        <v>3</v>
      </c>
      <c r="I6897">
        <v>936</v>
      </c>
      <c r="J6897">
        <v>0</v>
      </c>
      <c r="K6897" t="str">
        <f t="shared" si="1253"/>
        <v>809</v>
      </c>
      <c r="L6897">
        <v>1020.24</v>
      </c>
    </row>
    <row r="6898" spans="1:12" x14ac:dyDescent="0.25">
      <c r="A6898" t="str">
        <f t="shared" si="1244"/>
        <v>89301000</v>
      </c>
      <c r="B6898" t="str">
        <f t="shared" si="1251"/>
        <v>89063000</v>
      </c>
      <c r="C6898" t="str">
        <f t="shared" si="1251"/>
        <v>89063000</v>
      </c>
      <c r="D6898">
        <v>89301109</v>
      </c>
      <c r="E6898" t="str">
        <f>"1512280275"</f>
        <v>1512280275</v>
      </c>
      <c r="F6898" s="1">
        <v>45083</v>
      </c>
      <c r="G6898" t="str">
        <f t="shared" si="1252"/>
        <v>89312</v>
      </c>
      <c r="H6898">
        <v>1</v>
      </c>
      <c r="I6898">
        <v>312</v>
      </c>
      <c r="J6898">
        <v>0</v>
      </c>
      <c r="K6898" t="str">
        <f t="shared" si="1253"/>
        <v>809</v>
      </c>
      <c r="L6898">
        <v>340.08</v>
      </c>
    </row>
    <row r="6899" spans="1:12" x14ac:dyDescent="0.25">
      <c r="A6899" t="str">
        <f t="shared" si="1244"/>
        <v>89301000</v>
      </c>
      <c r="B6899" t="str">
        <f t="shared" si="1251"/>
        <v>89063000</v>
      </c>
      <c r="C6899" t="str">
        <f t="shared" si="1251"/>
        <v>89063000</v>
      </c>
      <c r="D6899">
        <v>89301037</v>
      </c>
      <c r="E6899" t="str">
        <f>"495922163"</f>
        <v>495922163</v>
      </c>
      <c r="F6899" s="1">
        <v>45083</v>
      </c>
      <c r="G6899" t="str">
        <f t="shared" si="1252"/>
        <v>89312</v>
      </c>
      <c r="H6899">
        <v>3</v>
      </c>
      <c r="I6899">
        <v>936</v>
      </c>
      <c r="J6899">
        <v>0</v>
      </c>
      <c r="K6899" t="str">
        <f t="shared" si="1253"/>
        <v>809</v>
      </c>
      <c r="L6899">
        <v>1020.24</v>
      </c>
    </row>
    <row r="6900" spans="1:12" x14ac:dyDescent="0.25">
      <c r="A6900" t="str">
        <f t="shared" si="1244"/>
        <v>89301000</v>
      </c>
      <c r="B6900" t="str">
        <f t="shared" si="1251"/>
        <v>89063000</v>
      </c>
      <c r="C6900" t="str">
        <f t="shared" si="1251"/>
        <v>89063000</v>
      </c>
      <c r="D6900">
        <v>89301037</v>
      </c>
      <c r="E6900" t="str">
        <f>"6955095378"</f>
        <v>6955095378</v>
      </c>
      <c r="F6900" s="1">
        <v>45084</v>
      </c>
      <c r="G6900" t="str">
        <f t="shared" si="1252"/>
        <v>89312</v>
      </c>
      <c r="H6900">
        <v>3</v>
      </c>
      <c r="I6900">
        <v>936</v>
      </c>
      <c r="J6900">
        <v>0</v>
      </c>
      <c r="K6900" t="str">
        <f t="shared" si="1253"/>
        <v>809</v>
      </c>
      <c r="L6900">
        <v>1020.24</v>
      </c>
    </row>
    <row r="6901" spans="1:12" x14ac:dyDescent="0.25">
      <c r="A6901" t="str">
        <f t="shared" si="1244"/>
        <v>89301000</v>
      </c>
      <c r="B6901" t="str">
        <f t="shared" si="1251"/>
        <v>89063000</v>
      </c>
      <c r="C6901" t="str">
        <f t="shared" si="1251"/>
        <v>89063000</v>
      </c>
      <c r="D6901">
        <v>89301037</v>
      </c>
      <c r="E6901" t="str">
        <f>"516016224"</f>
        <v>516016224</v>
      </c>
      <c r="F6901" s="1">
        <v>45084</v>
      </c>
      <c r="G6901" t="str">
        <f t="shared" si="1252"/>
        <v>89312</v>
      </c>
      <c r="H6901">
        <v>3</v>
      </c>
      <c r="I6901">
        <v>936</v>
      </c>
      <c r="J6901">
        <v>0</v>
      </c>
      <c r="K6901" t="str">
        <f t="shared" si="1253"/>
        <v>809</v>
      </c>
      <c r="L6901">
        <v>1020.24</v>
      </c>
    </row>
    <row r="6902" spans="1:12" x14ac:dyDescent="0.25">
      <c r="A6902" t="str">
        <f t="shared" si="1244"/>
        <v>89301000</v>
      </c>
      <c r="B6902" t="str">
        <f t="shared" si="1251"/>
        <v>89063000</v>
      </c>
      <c r="C6902" t="str">
        <f t="shared" si="1251"/>
        <v>89063000</v>
      </c>
      <c r="D6902">
        <v>89301036</v>
      </c>
      <c r="E6902" t="str">
        <f>"5460273093"</f>
        <v>5460273093</v>
      </c>
      <c r="F6902" s="1">
        <v>45084</v>
      </c>
      <c r="G6902" t="str">
        <f t="shared" si="1252"/>
        <v>89312</v>
      </c>
      <c r="H6902">
        <v>3</v>
      </c>
      <c r="I6902">
        <v>936</v>
      </c>
      <c r="J6902">
        <v>0</v>
      </c>
      <c r="K6902" t="str">
        <f t="shared" si="1253"/>
        <v>809</v>
      </c>
      <c r="L6902">
        <v>1020.24</v>
      </c>
    </row>
    <row r="6903" spans="1:12" x14ac:dyDescent="0.25">
      <c r="A6903" t="str">
        <f t="shared" si="1244"/>
        <v>89301000</v>
      </c>
      <c r="B6903" t="str">
        <f t="shared" si="1251"/>
        <v>89063000</v>
      </c>
      <c r="C6903" t="str">
        <f t="shared" si="1251"/>
        <v>89063000</v>
      </c>
      <c r="D6903">
        <v>89301212</v>
      </c>
      <c r="E6903" t="str">
        <f>"6156050538"</f>
        <v>6156050538</v>
      </c>
      <c r="F6903" s="1">
        <v>45085</v>
      </c>
      <c r="G6903" t="str">
        <f t="shared" si="1252"/>
        <v>89312</v>
      </c>
      <c r="H6903">
        <v>3</v>
      </c>
      <c r="I6903">
        <v>936</v>
      </c>
      <c r="J6903">
        <v>0</v>
      </c>
      <c r="K6903" t="str">
        <f t="shared" si="1253"/>
        <v>809</v>
      </c>
      <c r="L6903">
        <v>1020.24</v>
      </c>
    </row>
    <row r="6904" spans="1:12" x14ac:dyDescent="0.25">
      <c r="A6904" t="str">
        <f t="shared" si="1244"/>
        <v>89301000</v>
      </c>
      <c r="B6904" t="str">
        <f t="shared" si="1251"/>
        <v>89063000</v>
      </c>
      <c r="C6904" t="str">
        <f t="shared" si="1251"/>
        <v>89063000</v>
      </c>
      <c r="D6904">
        <v>89301036</v>
      </c>
      <c r="E6904" t="str">
        <f>"6255300381"</f>
        <v>6255300381</v>
      </c>
      <c r="F6904" s="1">
        <v>45085</v>
      </c>
      <c r="G6904" t="str">
        <f t="shared" si="1252"/>
        <v>89312</v>
      </c>
      <c r="H6904">
        <v>3</v>
      </c>
      <c r="I6904">
        <v>936</v>
      </c>
      <c r="J6904">
        <v>0</v>
      </c>
      <c r="K6904" t="str">
        <f t="shared" si="1253"/>
        <v>809</v>
      </c>
      <c r="L6904">
        <v>1020.24</v>
      </c>
    </row>
    <row r="6905" spans="1:12" x14ac:dyDescent="0.25">
      <c r="A6905" t="str">
        <f t="shared" si="1244"/>
        <v>89301000</v>
      </c>
      <c r="B6905" t="str">
        <f t="shared" si="1251"/>
        <v>89063000</v>
      </c>
      <c r="C6905" t="str">
        <f t="shared" si="1251"/>
        <v>89063000</v>
      </c>
      <c r="D6905">
        <v>89301037</v>
      </c>
      <c r="E6905" t="str">
        <f>"6012191284"</f>
        <v>6012191284</v>
      </c>
      <c r="F6905" s="1">
        <v>45085</v>
      </c>
      <c r="G6905" t="str">
        <f t="shared" si="1252"/>
        <v>89312</v>
      </c>
      <c r="H6905">
        <v>3</v>
      </c>
      <c r="I6905">
        <v>936</v>
      </c>
      <c r="J6905">
        <v>0</v>
      </c>
      <c r="K6905" t="str">
        <f t="shared" si="1253"/>
        <v>809</v>
      </c>
      <c r="L6905">
        <v>1020.24</v>
      </c>
    </row>
    <row r="6906" spans="1:12" x14ac:dyDescent="0.25">
      <c r="A6906" t="str">
        <f t="shared" si="1244"/>
        <v>89301000</v>
      </c>
      <c r="B6906" t="str">
        <f t="shared" si="1251"/>
        <v>89063000</v>
      </c>
      <c r="C6906" t="str">
        <f t="shared" si="1251"/>
        <v>89063000</v>
      </c>
      <c r="D6906">
        <v>89301037</v>
      </c>
      <c r="E6906" t="str">
        <f>"6254227419"</f>
        <v>6254227419</v>
      </c>
      <c r="F6906" s="1">
        <v>45086</v>
      </c>
      <c r="G6906" t="str">
        <f t="shared" si="1252"/>
        <v>89312</v>
      </c>
      <c r="H6906">
        <v>3</v>
      </c>
      <c r="I6906">
        <v>936</v>
      </c>
      <c r="J6906">
        <v>0</v>
      </c>
      <c r="K6906" t="str">
        <f t="shared" si="1253"/>
        <v>809</v>
      </c>
      <c r="L6906">
        <v>1020.24</v>
      </c>
    </row>
    <row r="6907" spans="1:12" x14ac:dyDescent="0.25">
      <c r="A6907" t="str">
        <f t="shared" si="1244"/>
        <v>89301000</v>
      </c>
      <c r="B6907" t="str">
        <f t="shared" si="1251"/>
        <v>89063000</v>
      </c>
      <c r="C6907" t="str">
        <f t="shared" si="1251"/>
        <v>89063000</v>
      </c>
      <c r="D6907">
        <v>89301037</v>
      </c>
      <c r="E6907" t="str">
        <f>"5453093613"</f>
        <v>5453093613</v>
      </c>
      <c r="F6907" s="1">
        <v>45086</v>
      </c>
      <c r="G6907" t="str">
        <f t="shared" si="1252"/>
        <v>89312</v>
      </c>
      <c r="H6907">
        <v>3</v>
      </c>
      <c r="I6907">
        <v>936</v>
      </c>
      <c r="J6907">
        <v>0</v>
      </c>
      <c r="K6907" t="str">
        <f t="shared" si="1253"/>
        <v>809</v>
      </c>
      <c r="L6907">
        <v>1020.24</v>
      </c>
    </row>
    <row r="6908" spans="1:12" x14ac:dyDescent="0.25">
      <c r="A6908" t="str">
        <f t="shared" si="1244"/>
        <v>89301000</v>
      </c>
      <c r="B6908" t="str">
        <f t="shared" si="1251"/>
        <v>89063000</v>
      </c>
      <c r="C6908" t="str">
        <f t="shared" si="1251"/>
        <v>89063000</v>
      </c>
      <c r="D6908">
        <v>89301037</v>
      </c>
      <c r="E6908" t="str">
        <f>"515309124"</f>
        <v>515309124</v>
      </c>
      <c r="F6908" s="1">
        <v>45089</v>
      </c>
      <c r="G6908" t="str">
        <f t="shared" si="1252"/>
        <v>89312</v>
      </c>
      <c r="H6908">
        <v>3</v>
      </c>
      <c r="I6908">
        <v>936</v>
      </c>
      <c r="J6908">
        <v>0</v>
      </c>
      <c r="K6908" t="str">
        <f t="shared" si="1253"/>
        <v>809</v>
      </c>
      <c r="L6908">
        <v>1020.24</v>
      </c>
    </row>
    <row r="6909" spans="1:12" x14ac:dyDescent="0.25">
      <c r="A6909" t="str">
        <f t="shared" si="1244"/>
        <v>89301000</v>
      </c>
      <c r="B6909" t="str">
        <f t="shared" si="1251"/>
        <v>89063000</v>
      </c>
      <c r="C6909" t="str">
        <f t="shared" si="1251"/>
        <v>89063000</v>
      </c>
      <c r="D6909">
        <v>89301037</v>
      </c>
      <c r="E6909" t="str">
        <f>"485112401"</f>
        <v>485112401</v>
      </c>
      <c r="F6909" s="1">
        <v>45089</v>
      </c>
      <c r="G6909" t="str">
        <f t="shared" si="1252"/>
        <v>89312</v>
      </c>
      <c r="H6909">
        <v>3</v>
      </c>
      <c r="I6909">
        <v>936</v>
      </c>
      <c r="J6909">
        <v>0</v>
      </c>
      <c r="K6909" t="str">
        <f t="shared" si="1253"/>
        <v>809</v>
      </c>
      <c r="L6909">
        <v>1020.24</v>
      </c>
    </row>
    <row r="6910" spans="1:12" x14ac:dyDescent="0.25">
      <c r="A6910" t="str">
        <f t="shared" si="1244"/>
        <v>89301000</v>
      </c>
      <c r="B6910" t="str">
        <f t="shared" si="1251"/>
        <v>89063000</v>
      </c>
      <c r="C6910" t="str">
        <f t="shared" si="1251"/>
        <v>89063000</v>
      </c>
      <c r="D6910">
        <v>89301037</v>
      </c>
      <c r="E6910" t="str">
        <f>"455902418"</f>
        <v>455902418</v>
      </c>
      <c r="F6910" s="1">
        <v>45089</v>
      </c>
      <c r="G6910" t="str">
        <f t="shared" si="1252"/>
        <v>89312</v>
      </c>
      <c r="H6910">
        <v>3</v>
      </c>
      <c r="I6910">
        <v>936</v>
      </c>
      <c r="J6910">
        <v>0</v>
      </c>
      <c r="K6910" t="str">
        <f t="shared" si="1253"/>
        <v>809</v>
      </c>
      <c r="L6910">
        <v>1020.24</v>
      </c>
    </row>
    <row r="6911" spans="1:12" x14ac:dyDescent="0.25">
      <c r="A6911" t="str">
        <f t="shared" si="1244"/>
        <v>89301000</v>
      </c>
      <c r="B6911" t="str">
        <f t="shared" ref="B6911:C6930" si="1254">"89063000"</f>
        <v>89063000</v>
      </c>
      <c r="C6911" t="str">
        <f t="shared" si="1254"/>
        <v>89063000</v>
      </c>
      <c r="D6911">
        <v>89301037</v>
      </c>
      <c r="E6911" t="str">
        <f>"496011078"</f>
        <v>496011078</v>
      </c>
      <c r="F6911" s="1">
        <v>45089</v>
      </c>
      <c r="G6911" t="str">
        <f t="shared" si="1252"/>
        <v>89312</v>
      </c>
      <c r="H6911">
        <v>3</v>
      </c>
      <c r="I6911">
        <v>936</v>
      </c>
      <c r="J6911">
        <v>0</v>
      </c>
      <c r="K6911" t="str">
        <f t="shared" si="1253"/>
        <v>809</v>
      </c>
      <c r="L6911">
        <v>1020.24</v>
      </c>
    </row>
    <row r="6912" spans="1:12" x14ac:dyDescent="0.25">
      <c r="A6912" t="str">
        <f t="shared" si="1244"/>
        <v>89301000</v>
      </c>
      <c r="B6912" t="str">
        <f t="shared" si="1254"/>
        <v>89063000</v>
      </c>
      <c r="C6912" t="str">
        <f t="shared" si="1254"/>
        <v>89063000</v>
      </c>
      <c r="D6912">
        <v>89301037</v>
      </c>
      <c r="E6912" t="str">
        <f>"495202058"</f>
        <v>495202058</v>
      </c>
      <c r="F6912" s="1">
        <v>45089</v>
      </c>
      <c r="G6912" t="str">
        <f t="shared" si="1252"/>
        <v>89312</v>
      </c>
      <c r="H6912">
        <v>3</v>
      </c>
      <c r="I6912">
        <v>936</v>
      </c>
      <c r="J6912">
        <v>0</v>
      </c>
      <c r="K6912" t="str">
        <f t="shared" si="1253"/>
        <v>809</v>
      </c>
      <c r="L6912">
        <v>1020.24</v>
      </c>
    </row>
    <row r="6913" spans="1:12" x14ac:dyDescent="0.25">
      <c r="A6913" t="str">
        <f t="shared" si="1244"/>
        <v>89301000</v>
      </c>
      <c r="B6913" t="str">
        <f t="shared" si="1254"/>
        <v>89063000</v>
      </c>
      <c r="C6913" t="str">
        <f t="shared" si="1254"/>
        <v>89063000</v>
      </c>
      <c r="D6913">
        <v>89301037</v>
      </c>
      <c r="E6913" t="str">
        <f>"5762210322"</f>
        <v>5762210322</v>
      </c>
      <c r="F6913" s="1">
        <v>45089</v>
      </c>
      <c r="G6913" t="str">
        <f t="shared" si="1252"/>
        <v>89312</v>
      </c>
      <c r="H6913">
        <v>3</v>
      </c>
      <c r="I6913">
        <v>936</v>
      </c>
      <c r="J6913">
        <v>0</v>
      </c>
      <c r="K6913" t="str">
        <f t="shared" si="1253"/>
        <v>809</v>
      </c>
      <c r="L6913">
        <v>1020.24</v>
      </c>
    </row>
    <row r="6914" spans="1:12" x14ac:dyDescent="0.25">
      <c r="A6914" t="str">
        <f t="shared" ref="A6914:A6977" si="1255">"89301000"</f>
        <v>89301000</v>
      </c>
      <c r="B6914" t="str">
        <f t="shared" si="1254"/>
        <v>89063000</v>
      </c>
      <c r="C6914" t="str">
        <f t="shared" si="1254"/>
        <v>89063000</v>
      </c>
      <c r="D6914">
        <v>89301037</v>
      </c>
      <c r="E6914" t="str">
        <f>"6354220620"</f>
        <v>6354220620</v>
      </c>
      <c r="F6914" s="1">
        <v>45089</v>
      </c>
      <c r="G6914" t="str">
        <f t="shared" si="1252"/>
        <v>89312</v>
      </c>
      <c r="H6914">
        <v>3</v>
      </c>
      <c r="I6914">
        <v>936</v>
      </c>
      <c r="J6914">
        <v>0</v>
      </c>
      <c r="K6914" t="str">
        <f t="shared" si="1253"/>
        <v>809</v>
      </c>
      <c r="L6914">
        <v>1020.24</v>
      </c>
    </row>
    <row r="6915" spans="1:12" x14ac:dyDescent="0.25">
      <c r="A6915" t="str">
        <f t="shared" si="1255"/>
        <v>89301000</v>
      </c>
      <c r="B6915" t="str">
        <f t="shared" si="1254"/>
        <v>89063000</v>
      </c>
      <c r="C6915" t="str">
        <f t="shared" si="1254"/>
        <v>89063000</v>
      </c>
      <c r="D6915">
        <v>89301212</v>
      </c>
      <c r="E6915" t="str">
        <f>"7752055729"</f>
        <v>7752055729</v>
      </c>
      <c r="F6915" s="1">
        <v>45089</v>
      </c>
      <c r="G6915" t="str">
        <f t="shared" si="1252"/>
        <v>89312</v>
      </c>
      <c r="H6915">
        <v>3</v>
      </c>
      <c r="I6915">
        <v>936</v>
      </c>
      <c r="J6915">
        <v>0</v>
      </c>
      <c r="K6915" t="str">
        <f t="shared" si="1253"/>
        <v>809</v>
      </c>
      <c r="L6915">
        <v>1020.24</v>
      </c>
    </row>
    <row r="6916" spans="1:12" x14ac:dyDescent="0.25">
      <c r="A6916" t="str">
        <f t="shared" si="1255"/>
        <v>89301000</v>
      </c>
      <c r="B6916" t="str">
        <f t="shared" si="1254"/>
        <v>89063000</v>
      </c>
      <c r="C6916" t="str">
        <f t="shared" si="1254"/>
        <v>89063000</v>
      </c>
      <c r="D6916">
        <v>89301702</v>
      </c>
      <c r="E6916" t="str">
        <f>"1505171151"</f>
        <v>1505171151</v>
      </c>
      <c r="F6916" s="1">
        <v>45089</v>
      </c>
      <c r="G6916" t="str">
        <f t="shared" si="1252"/>
        <v>89312</v>
      </c>
      <c r="H6916">
        <v>1</v>
      </c>
      <c r="I6916">
        <v>312</v>
      </c>
      <c r="J6916">
        <v>0</v>
      </c>
      <c r="K6916" t="str">
        <f t="shared" si="1253"/>
        <v>809</v>
      </c>
      <c r="L6916">
        <v>340.08</v>
      </c>
    </row>
    <row r="6917" spans="1:12" x14ac:dyDescent="0.25">
      <c r="A6917" t="str">
        <f t="shared" si="1255"/>
        <v>89301000</v>
      </c>
      <c r="B6917" t="str">
        <f t="shared" si="1254"/>
        <v>89063000</v>
      </c>
      <c r="C6917" t="str">
        <f t="shared" si="1254"/>
        <v>89063000</v>
      </c>
      <c r="D6917">
        <v>89301037</v>
      </c>
      <c r="E6917" t="str">
        <f>"8756145772"</f>
        <v>8756145772</v>
      </c>
      <c r="F6917" s="1">
        <v>45090</v>
      </c>
      <c r="G6917" t="str">
        <f t="shared" si="1252"/>
        <v>89312</v>
      </c>
      <c r="H6917">
        <v>3</v>
      </c>
      <c r="I6917">
        <v>936</v>
      </c>
      <c r="J6917">
        <v>0</v>
      </c>
      <c r="K6917" t="str">
        <f t="shared" si="1253"/>
        <v>809</v>
      </c>
      <c r="L6917">
        <v>1020.24</v>
      </c>
    </row>
    <row r="6918" spans="1:12" x14ac:dyDescent="0.25">
      <c r="A6918" t="str">
        <f t="shared" si="1255"/>
        <v>89301000</v>
      </c>
      <c r="B6918" t="str">
        <f t="shared" si="1254"/>
        <v>89063000</v>
      </c>
      <c r="C6918" t="str">
        <f t="shared" si="1254"/>
        <v>89063000</v>
      </c>
      <c r="D6918">
        <v>89301037</v>
      </c>
      <c r="E6918" t="str">
        <f>"7357154860"</f>
        <v>7357154860</v>
      </c>
      <c r="F6918" s="1">
        <v>45091</v>
      </c>
      <c r="G6918" t="str">
        <f t="shared" si="1252"/>
        <v>89312</v>
      </c>
      <c r="H6918">
        <v>3</v>
      </c>
      <c r="I6918">
        <v>936</v>
      </c>
      <c r="J6918">
        <v>0</v>
      </c>
      <c r="K6918" t="str">
        <f t="shared" si="1253"/>
        <v>809</v>
      </c>
      <c r="L6918">
        <v>1020.24</v>
      </c>
    </row>
    <row r="6919" spans="1:12" x14ac:dyDescent="0.25">
      <c r="A6919" t="str">
        <f t="shared" si="1255"/>
        <v>89301000</v>
      </c>
      <c r="B6919" t="str">
        <f t="shared" si="1254"/>
        <v>89063000</v>
      </c>
      <c r="C6919" t="str">
        <f t="shared" si="1254"/>
        <v>89063000</v>
      </c>
      <c r="D6919">
        <v>89301037</v>
      </c>
      <c r="E6919" t="str">
        <f>"7352185357"</f>
        <v>7352185357</v>
      </c>
      <c r="F6919" s="1">
        <v>45092</v>
      </c>
      <c r="G6919" t="str">
        <f t="shared" si="1252"/>
        <v>89312</v>
      </c>
      <c r="H6919">
        <v>3</v>
      </c>
      <c r="I6919">
        <v>936</v>
      </c>
      <c r="J6919">
        <v>0</v>
      </c>
      <c r="K6919" t="str">
        <f t="shared" si="1253"/>
        <v>809</v>
      </c>
      <c r="L6919">
        <v>1020.24</v>
      </c>
    </row>
    <row r="6920" spans="1:12" x14ac:dyDescent="0.25">
      <c r="A6920" t="str">
        <f t="shared" si="1255"/>
        <v>89301000</v>
      </c>
      <c r="B6920" t="str">
        <f t="shared" si="1254"/>
        <v>89063000</v>
      </c>
      <c r="C6920" t="str">
        <f t="shared" si="1254"/>
        <v>89063000</v>
      </c>
      <c r="D6920">
        <v>89301212</v>
      </c>
      <c r="E6920" t="str">
        <f>"8561305368"</f>
        <v>8561305368</v>
      </c>
      <c r="F6920" s="1">
        <v>45092</v>
      </c>
      <c r="G6920" t="str">
        <f t="shared" si="1252"/>
        <v>89312</v>
      </c>
      <c r="H6920">
        <v>3</v>
      </c>
      <c r="I6920">
        <v>936</v>
      </c>
      <c r="J6920">
        <v>0</v>
      </c>
      <c r="K6920" t="str">
        <f t="shared" si="1253"/>
        <v>809</v>
      </c>
      <c r="L6920">
        <v>1020.24</v>
      </c>
    </row>
    <row r="6921" spans="1:12" x14ac:dyDescent="0.25">
      <c r="A6921" t="str">
        <f t="shared" si="1255"/>
        <v>89301000</v>
      </c>
      <c r="B6921" t="str">
        <f t="shared" si="1254"/>
        <v>89063000</v>
      </c>
      <c r="C6921" t="str">
        <f t="shared" si="1254"/>
        <v>89063000</v>
      </c>
      <c r="D6921">
        <v>89301036</v>
      </c>
      <c r="E6921" t="str">
        <f>"6254080052"</f>
        <v>6254080052</v>
      </c>
      <c r="F6921" s="1">
        <v>45092</v>
      </c>
      <c r="G6921" t="str">
        <f t="shared" si="1252"/>
        <v>89312</v>
      </c>
      <c r="H6921">
        <v>3</v>
      </c>
      <c r="I6921">
        <v>936</v>
      </c>
      <c r="J6921">
        <v>0</v>
      </c>
      <c r="K6921" t="str">
        <f t="shared" si="1253"/>
        <v>809</v>
      </c>
      <c r="L6921">
        <v>1020.24</v>
      </c>
    </row>
    <row r="6922" spans="1:12" x14ac:dyDescent="0.25">
      <c r="A6922" t="str">
        <f t="shared" si="1255"/>
        <v>89301000</v>
      </c>
      <c r="B6922" t="str">
        <f t="shared" si="1254"/>
        <v>89063000</v>
      </c>
      <c r="C6922" t="str">
        <f t="shared" si="1254"/>
        <v>89063000</v>
      </c>
      <c r="D6922">
        <v>89301037</v>
      </c>
      <c r="E6922" t="str">
        <f>"7458225324"</f>
        <v>7458225324</v>
      </c>
      <c r="F6922" s="1">
        <v>45093</v>
      </c>
      <c r="G6922" t="str">
        <f t="shared" si="1252"/>
        <v>89312</v>
      </c>
      <c r="H6922">
        <v>3</v>
      </c>
      <c r="I6922">
        <v>936</v>
      </c>
      <c r="J6922">
        <v>0</v>
      </c>
      <c r="K6922" t="str">
        <f t="shared" si="1253"/>
        <v>809</v>
      </c>
      <c r="L6922">
        <v>1020.24</v>
      </c>
    </row>
    <row r="6923" spans="1:12" x14ac:dyDescent="0.25">
      <c r="A6923" t="str">
        <f t="shared" si="1255"/>
        <v>89301000</v>
      </c>
      <c r="B6923" t="str">
        <f t="shared" si="1254"/>
        <v>89063000</v>
      </c>
      <c r="C6923" t="str">
        <f t="shared" si="1254"/>
        <v>89063000</v>
      </c>
      <c r="D6923">
        <v>89301037</v>
      </c>
      <c r="E6923" t="str">
        <f>"406217441"</f>
        <v>406217441</v>
      </c>
      <c r="F6923" s="1">
        <v>45093</v>
      </c>
      <c r="G6923" t="str">
        <f t="shared" ref="G6923:G6954" si="1256">"89312"</f>
        <v>89312</v>
      </c>
      <c r="H6923">
        <v>3</v>
      </c>
      <c r="I6923">
        <v>936</v>
      </c>
      <c r="J6923">
        <v>0</v>
      </c>
      <c r="K6923" t="str">
        <f t="shared" si="1253"/>
        <v>809</v>
      </c>
      <c r="L6923">
        <v>1020.24</v>
      </c>
    </row>
    <row r="6924" spans="1:12" x14ac:dyDescent="0.25">
      <c r="A6924" t="str">
        <f t="shared" si="1255"/>
        <v>89301000</v>
      </c>
      <c r="B6924" t="str">
        <f t="shared" si="1254"/>
        <v>89063000</v>
      </c>
      <c r="C6924" t="str">
        <f t="shared" si="1254"/>
        <v>89063000</v>
      </c>
      <c r="D6924">
        <v>89301102</v>
      </c>
      <c r="E6924" t="str">
        <f>"0759043230"</f>
        <v>0759043230</v>
      </c>
      <c r="F6924" s="1">
        <v>45096</v>
      </c>
      <c r="G6924" t="str">
        <f t="shared" si="1256"/>
        <v>89312</v>
      </c>
      <c r="H6924">
        <v>1</v>
      </c>
      <c r="I6924">
        <v>312</v>
      </c>
      <c r="J6924">
        <v>0</v>
      </c>
      <c r="K6924" t="str">
        <f t="shared" si="1253"/>
        <v>809</v>
      </c>
      <c r="L6924">
        <v>340.08</v>
      </c>
    </row>
    <row r="6925" spans="1:12" x14ac:dyDescent="0.25">
      <c r="A6925" t="str">
        <f t="shared" si="1255"/>
        <v>89301000</v>
      </c>
      <c r="B6925" t="str">
        <f t="shared" si="1254"/>
        <v>89063000</v>
      </c>
      <c r="C6925" t="str">
        <f t="shared" si="1254"/>
        <v>89063000</v>
      </c>
      <c r="D6925">
        <v>89301036</v>
      </c>
      <c r="E6925" t="str">
        <f>"6711210550"</f>
        <v>6711210550</v>
      </c>
      <c r="F6925" s="1">
        <v>45096</v>
      </c>
      <c r="G6925" t="str">
        <f t="shared" si="1256"/>
        <v>89312</v>
      </c>
      <c r="H6925">
        <v>3</v>
      </c>
      <c r="I6925">
        <v>936</v>
      </c>
      <c r="J6925">
        <v>0</v>
      </c>
      <c r="K6925" t="str">
        <f t="shared" si="1253"/>
        <v>809</v>
      </c>
      <c r="L6925">
        <v>1020.24</v>
      </c>
    </row>
    <row r="6926" spans="1:12" x14ac:dyDescent="0.25">
      <c r="A6926" t="str">
        <f t="shared" si="1255"/>
        <v>89301000</v>
      </c>
      <c r="B6926" t="str">
        <f t="shared" si="1254"/>
        <v>89063000</v>
      </c>
      <c r="C6926" t="str">
        <f t="shared" si="1254"/>
        <v>89063000</v>
      </c>
      <c r="D6926">
        <v>89301102</v>
      </c>
      <c r="E6926" t="str">
        <f>"0661265264"</f>
        <v>0661265264</v>
      </c>
      <c r="F6926" s="1">
        <v>45096</v>
      </c>
      <c r="G6926" t="str">
        <f t="shared" si="1256"/>
        <v>89312</v>
      </c>
      <c r="H6926">
        <v>1</v>
      </c>
      <c r="I6926">
        <v>312</v>
      </c>
      <c r="J6926">
        <v>0</v>
      </c>
      <c r="K6926" t="str">
        <f t="shared" si="1253"/>
        <v>809</v>
      </c>
      <c r="L6926">
        <v>340.08</v>
      </c>
    </row>
    <row r="6927" spans="1:12" x14ac:dyDescent="0.25">
      <c r="A6927" t="str">
        <f t="shared" si="1255"/>
        <v>89301000</v>
      </c>
      <c r="B6927" t="str">
        <f t="shared" si="1254"/>
        <v>89063000</v>
      </c>
      <c r="C6927" t="str">
        <f t="shared" si="1254"/>
        <v>89063000</v>
      </c>
      <c r="D6927">
        <v>89301037</v>
      </c>
      <c r="E6927" t="str">
        <f>"6055221887"</f>
        <v>6055221887</v>
      </c>
      <c r="F6927" s="1">
        <v>45097</v>
      </c>
      <c r="G6927" t="str">
        <f t="shared" si="1256"/>
        <v>89312</v>
      </c>
      <c r="H6927">
        <v>3</v>
      </c>
      <c r="I6927">
        <v>936</v>
      </c>
      <c r="J6927">
        <v>0</v>
      </c>
      <c r="K6927" t="str">
        <f t="shared" si="1253"/>
        <v>809</v>
      </c>
      <c r="L6927">
        <v>1020.24</v>
      </c>
    </row>
    <row r="6928" spans="1:12" x14ac:dyDescent="0.25">
      <c r="A6928" t="str">
        <f t="shared" si="1255"/>
        <v>89301000</v>
      </c>
      <c r="B6928" t="str">
        <f t="shared" si="1254"/>
        <v>89063000</v>
      </c>
      <c r="C6928" t="str">
        <f t="shared" si="1254"/>
        <v>89063000</v>
      </c>
      <c r="D6928">
        <v>89301037</v>
      </c>
      <c r="E6928" t="str">
        <f>"5454232311"</f>
        <v>5454232311</v>
      </c>
      <c r="F6928" s="1">
        <v>45097</v>
      </c>
      <c r="G6928" t="str">
        <f t="shared" si="1256"/>
        <v>89312</v>
      </c>
      <c r="H6928">
        <v>3</v>
      </c>
      <c r="I6928">
        <v>936</v>
      </c>
      <c r="J6928">
        <v>0</v>
      </c>
      <c r="K6928" t="str">
        <f t="shared" si="1253"/>
        <v>809</v>
      </c>
      <c r="L6928">
        <v>1020.24</v>
      </c>
    </row>
    <row r="6929" spans="1:12" x14ac:dyDescent="0.25">
      <c r="A6929" t="str">
        <f t="shared" si="1255"/>
        <v>89301000</v>
      </c>
      <c r="B6929" t="str">
        <f t="shared" si="1254"/>
        <v>89063000</v>
      </c>
      <c r="C6929" t="str">
        <f t="shared" si="1254"/>
        <v>89063000</v>
      </c>
      <c r="D6929">
        <v>89301037</v>
      </c>
      <c r="E6929" t="str">
        <f>"535312003"</f>
        <v>535312003</v>
      </c>
      <c r="F6929" s="1">
        <v>45097</v>
      </c>
      <c r="G6929" t="str">
        <f t="shared" si="1256"/>
        <v>89312</v>
      </c>
      <c r="H6929">
        <v>3</v>
      </c>
      <c r="I6929">
        <v>936</v>
      </c>
      <c r="J6929">
        <v>0</v>
      </c>
      <c r="K6929" t="str">
        <f t="shared" si="1253"/>
        <v>809</v>
      </c>
      <c r="L6929">
        <v>1020.24</v>
      </c>
    </row>
    <row r="6930" spans="1:12" x14ac:dyDescent="0.25">
      <c r="A6930" t="str">
        <f t="shared" si="1255"/>
        <v>89301000</v>
      </c>
      <c r="B6930" t="str">
        <f t="shared" si="1254"/>
        <v>89063000</v>
      </c>
      <c r="C6930" t="str">
        <f t="shared" si="1254"/>
        <v>89063000</v>
      </c>
      <c r="D6930">
        <v>89301162</v>
      </c>
      <c r="E6930" t="str">
        <f>"7701315798"</f>
        <v>7701315798</v>
      </c>
      <c r="F6930" s="1">
        <v>45097</v>
      </c>
      <c r="G6930" t="str">
        <f t="shared" si="1256"/>
        <v>89312</v>
      </c>
      <c r="H6930">
        <v>3</v>
      </c>
      <c r="I6930">
        <v>936</v>
      </c>
      <c r="J6930">
        <v>0</v>
      </c>
      <c r="K6930" t="str">
        <f t="shared" si="1253"/>
        <v>809</v>
      </c>
      <c r="L6930">
        <v>1020.24</v>
      </c>
    </row>
    <row r="6931" spans="1:12" x14ac:dyDescent="0.25">
      <c r="A6931" t="str">
        <f t="shared" si="1255"/>
        <v>89301000</v>
      </c>
      <c r="B6931" t="str">
        <f t="shared" ref="B6931:C6950" si="1257">"89063000"</f>
        <v>89063000</v>
      </c>
      <c r="C6931" t="str">
        <f t="shared" si="1257"/>
        <v>89063000</v>
      </c>
      <c r="D6931">
        <v>89301702</v>
      </c>
      <c r="E6931" t="str">
        <f>"1258180066"</f>
        <v>1258180066</v>
      </c>
      <c r="F6931" s="1">
        <v>45097</v>
      </c>
      <c r="G6931" t="str">
        <f t="shared" si="1256"/>
        <v>89312</v>
      </c>
      <c r="H6931">
        <v>1</v>
      </c>
      <c r="I6931">
        <v>312</v>
      </c>
      <c r="J6931">
        <v>0</v>
      </c>
      <c r="K6931" t="str">
        <f t="shared" si="1253"/>
        <v>809</v>
      </c>
      <c r="L6931">
        <v>340.08</v>
      </c>
    </row>
    <row r="6932" spans="1:12" x14ac:dyDescent="0.25">
      <c r="A6932" t="str">
        <f t="shared" si="1255"/>
        <v>89301000</v>
      </c>
      <c r="B6932" t="str">
        <f t="shared" si="1257"/>
        <v>89063000</v>
      </c>
      <c r="C6932" t="str">
        <f t="shared" si="1257"/>
        <v>89063000</v>
      </c>
      <c r="D6932">
        <v>89301212</v>
      </c>
      <c r="E6932" t="str">
        <f>"465928409"</f>
        <v>465928409</v>
      </c>
      <c r="F6932" s="1">
        <v>45097</v>
      </c>
      <c r="G6932" t="str">
        <f t="shared" si="1256"/>
        <v>89312</v>
      </c>
      <c r="H6932">
        <v>3</v>
      </c>
      <c r="I6932">
        <v>936</v>
      </c>
      <c r="J6932">
        <v>0</v>
      </c>
      <c r="K6932" t="str">
        <f t="shared" si="1253"/>
        <v>809</v>
      </c>
      <c r="L6932">
        <v>1020.24</v>
      </c>
    </row>
    <row r="6933" spans="1:12" x14ac:dyDescent="0.25">
      <c r="A6933" t="str">
        <f t="shared" si="1255"/>
        <v>89301000</v>
      </c>
      <c r="B6933" t="str">
        <f t="shared" si="1257"/>
        <v>89063000</v>
      </c>
      <c r="C6933" t="str">
        <f t="shared" si="1257"/>
        <v>89063000</v>
      </c>
      <c r="D6933">
        <v>89301702</v>
      </c>
      <c r="E6933" t="str">
        <f>"0952133248"</f>
        <v>0952133248</v>
      </c>
      <c r="F6933" s="1">
        <v>45097</v>
      </c>
      <c r="G6933" t="str">
        <f t="shared" si="1256"/>
        <v>89312</v>
      </c>
      <c r="H6933">
        <v>1</v>
      </c>
      <c r="I6933">
        <v>312</v>
      </c>
      <c r="J6933">
        <v>0</v>
      </c>
      <c r="K6933" t="str">
        <f t="shared" si="1253"/>
        <v>809</v>
      </c>
      <c r="L6933">
        <v>340.08</v>
      </c>
    </row>
    <row r="6934" spans="1:12" x14ac:dyDescent="0.25">
      <c r="A6934" t="str">
        <f t="shared" si="1255"/>
        <v>89301000</v>
      </c>
      <c r="B6934" t="str">
        <f t="shared" si="1257"/>
        <v>89063000</v>
      </c>
      <c r="C6934" t="str">
        <f t="shared" si="1257"/>
        <v>89063000</v>
      </c>
      <c r="D6934">
        <v>89301102</v>
      </c>
      <c r="E6934" t="str">
        <f>"1710131863"</f>
        <v>1710131863</v>
      </c>
      <c r="F6934" s="1">
        <v>45097</v>
      </c>
      <c r="G6934" t="str">
        <f t="shared" si="1256"/>
        <v>89312</v>
      </c>
      <c r="H6934">
        <v>1</v>
      </c>
      <c r="I6934">
        <v>312</v>
      </c>
      <c r="J6934">
        <v>0</v>
      </c>
      <c r="K6934" t="str">
        <f t="shared" si="1253"/>
        <v>809</v>
      </c>
      <c r="L6934">
        <v>340.08</v>
      </c>
    </row>
    <row r="6935" spans="1:12" x14ac:dyDescent="0.25">
      <c r="A6935" t="str">
        <f t="shared" si="1255"/>
        <v>89301000</v>
      </c>
      <c r="B6935" t="str">
        <f t="shared" si="1257"/>
        <v>89063000</v>
      </c>
      <c r="C6935" t="str">
        <f t="shared" si="1257"/>
        <v>89063000</v>
      </c>
      <c r="D6935">
        <v>89301037</v>
      </c>
      <c r="E6935" t="str">
        <f>"6960215339"</f>
        <v>6960215339</v>
      </c>
      <c r="F6935" s="1">
        <v>45097</v>
      </c>
      <c r="G6935" t="str">
        <f t="shared" si="1256"/>
        <v>89312</v>
      </c>
      <c r="H6935">
        <v>3</v>
      </c>
      <c r="I6935">
        <v>936</v>
      </c>
      <c r="J6935">
        <v>0</v>
      </c>
      <c r="K6935" t="str">
        <f t="shared" si="1253"/>
        <v>809</v>
      </c>
      <c r="L6935">
        <v>1020.24</v>
      </c>
    </row>
    <row r="6936" spans="1:12" x14ac:dyDescent="0.25">
      <c r="A6936" t="str">
        <f t="shared" si="1255"/>
        <v>89301000</v>
      </c>
      <c r="B6936" t="str">
        <f t="shared" si="1257"/>
        <v>89063000</v>
      </c>
      <c r="C6936" t="str">
        <f t="shared" si="1257"/>
        <v>89063000</v>
      </c>
      <c r="D6936">
        <v>89301037</v>
      </c>
      <c r="E6936" t="str">
        <f>"5956021082"</f>
        <v>5956021082</v>
      </c>
      <c r="F6936" s="1">
        <v>45097</v>
      </c>
      <c r="G6936" t="str">
        <f t="shared" si="1256"/>
        <v>89312</v>
      </c>
      <c r="H6936">
        <v>3</v>
      </c>
      <c r="I6936">
        <v>936</v>
      </c>
      <c r="J6936">
        <v>0</v>
      </c>
      <c r="K6936" t="str">
        <f t="shared" si="1253"/>
        <v>809</v>
      </c>
      <c r="L6936">
        <v>1020.24</v>
      </c>
    </row>
    <row r="6937" spans="1:12" x14ac:dyDescent="0.25">
      <c r="A6937" t="str">
        <f t="shared" si="1255"/>
        <v>89301000</v>
      </c>
      <c r="B6937" t="str">
        <f t="shared" si="1257"/>
        <v>89063000</v>
      </c>
      <c r="C6937" t="str">
        <f t="shared" si="1257"/>
        <v>89063000</v>
      </c>
      <c r="D6937">
        <v>89301037</v>
      </c>
      <c r="E6937" t="str">
        <f>"6153171035"</f>
        <v>6153171035</v>
      </c>
      <c r="F6937" s="1">
        <v>45098</v>
      </c>
      <c r="G6937" t="str">
        <f t="shared" si="1256"/>
        <v>89312</v>
      </c>
      <c r="H6937">
        <v>3</v>
      </c>
      <c r="I6937">
        <v>936</v>
      </c>
      <c r="J6937">
        <v>0</v>
      </c>
      <c r="K6937" t="str">
        <f t="shared" si="1253"/>
        <v>809</v>
      </c>
      <c r="L6937">
        <v>1020.24</v>
      </c>
    </row>
    <row r="6938" spans="1:12" x14ac:dyDescent="0.25">
      <c r="A6938" t="str">
        <f t="shared" si="1255"/>
        <v>89301000</v>
      </c>
      <c r="B6938" t="str">
        <f t="shared" si="1257"/>
        <v>89063000</v>
      </c>
      <c r="C6938" t="str">
        <f t="shared" si="1257"/>
        <v>89063000</v>
      </c>
      <c r="D6938">
        <v>89301037</v>
      </c>
      <c r="E6938" t="str">
        <f>"486211407"</f>
        <v>486211407</v>
      </c>
      <c r="F6938" s="1">
        <v>45098</v>
      </c>
      <c r="G6938" t="str">
        <f t="shared" si="1256"/>
        <v>89312</v>
      </c>
      <c r="H6938">
        <v>3</v>
      </c>
      <c r="I6938">
        <v>936</v>
      </c>
      <c r="J6938">
        <v>0</v>
      </c>
      <c r="K6938" t="str">
        <f t="shared" si="1253"/>
        <v>809</v>
      </c>
      <c r="L6938">
        <v>1020.24</v>
      </c>
    </row>
    <row r="6939" spans="1:12" x14ac:dyDescent="0.25">
      <c r="A6939" t="str">
        <f t="shared" si="1255"/>
        <v>89301000</v>
      </c>
      <c r="B6939" t="str">
        <f t="shared" si="1257"/>
        <v>89063000</v>
      </c>
      <c r="C6939" t="str">
        <f t="shared" si="1257"/>
        <v>89063000</v>
      </c>
      <c r="D6939">
        <v>89301212</v>
      </c>
      <c r="E6939" t="str">
        <f>"526009140"</f>
        <v>526009140</v>
      </c>
      <c r="F6939" s="1">
        <v>45098</v>
      </c>
      <c r="G6939" t="str">
        <f t="shared" si="1256"/>
        <v>89312</v>
      </c>
      <c r="H6939">
        <v>3</v>
      </c>
      <c r="I6939">
        <v>936</v>
      </c>
      <c r="J6939">
        <v>0</v>
      </c>
      <c r="K6939" t="str">
        <f t="shared" si="1253"/>
        <v>809</v>
      </c>
      <c r="L6939">
        <v>1020.24</v>
      </c>
    </row>
    <row r="6940" spans="1:12" x14ac:dyDescent="0.25">
      <c r="A6940" t="str">
        <f t="shared" si="1255"/>
        <v>89301000</v>
      </c>
      <c r="B6940" t="str">
        <f t="shared" si="1257"/>
        <v>89063000</v>
      </c>
      <c r="C6940" t="str">
        <f t="shared" si="1257"/>
        <v>89063000</v>
      </c>
      <c r="D6940">
        <v>89301212</v>
      </c>
      <c r="E6940" t="str">
        <f>"485528417"</f>
        <v>485528417</v>
      </c>
      <c r="F6940" s="1">
        <v>45098</v>
      </c>
      <c r="G6940" t="str">
        <f t="shared" si="1256"/>
        <v>89312</v>
      </c>
      <c r="H6940">
        <v>3</v>
      </c>
      <c r="I6940">
        <v>936</v>
      </c>
      <c r="J6940">
        <v>0</v>
      </c>
      <c r="K6940" t="str">
        <f t="shared" si="1253"/>
        <v>809</v>
      </c>
      <c r="L6940">
        <v>1020.24</v>
      </c>
    </row>
    <row r="6941" spans="1:12" x14ac:dyDescent="0.25">
      <c r="A6941" t="str">
        <f t="shared" si="1255"/>
        <v>89301000</v>
      </c>
      <c r="B6941" t="str">
        <f t="shared" si="1257"/>
        <v>89063000</v>
      </c>
      <c r="C6941" t="str">
        <f t="shared" si="1257"/>
        <v>89063000</v>
      </c>
      <c r="D6941">
        <v>89301036</v>
      </c>
      <c r="E6941" t="str">
        <f>"436006425"</f>
        <v>436006425</v>
      </c>
      <c r="F6941" s="1">
        <v>45098</v>
      </c>
      <c r="G6941" t="str">
        <f t="shared" si="1256"/>
        <v>89312</v>
      </c>
      <c r="H6941">
        <v>3</v>
      </c>
      <c r="I6941">
        <v>936</v>
      </c>
      <c r="J6941">
        <v>0</v>
      </c>
      <c r="K6941" t="str">
        <f t="shared" si="1253"/>
        <v>809</v>
      </c>
      <c r="L6941">
        <v>1020.24</v>
      </c>
    </row>
    <row r="6942" spans="1:12" x14ac:dyDescent="0.25">
      <c r="A6942" t="str">
        <f t="shared" si="1255"/>
        <v>89301000</v>
      </c>
      <c r="B6942" t="str">
        <f t="shared" si="1257"/>
        <v>89063000</v>
      </c>
      <c r="C6942" t="str">
        <f t="shared" si="1257"/>
        <v>89063000</v>
      </c>
      <c r="D6942">
        <v>89301037</v>
      </c>
      <c r="E6942" t="str">
        <f>"7757134264"</f>
        <v>7757134264</v>
      </c>
      <c r="F6942" s="1">
        <v>45099</v>
      </c>
      <c r="G6942" t="str">
        <f t="shared" si="1256"/>
        <v>89312</v>
      </c>
      <c r="H6942">
        <v>3</v>
      </c>
      <c r="I6942">
        <v>936</v>
      </c>
      <c r="J6942">
        <v>0</v>
      </c>
      <c r="K6942" t="str">
        <f t="shared" si="1253"/>
        <v>809</v>
      </c>
      <c r="L6942">
        <v>1020.24</v>
      </c>
    </row>
    <row r="6943" spans="1:12" x14ac:dyDescent="0.25">
      <c r="A6943" t="str">
        <f t="shared" si="1255"/>
        <v>89301000</v>
      </c>
      <c r="B6943" t="str">
        <f t="shared" si="1257"/>
        <v>89063000</v>
      </c>
      <c r="C6943" t="str">
        <f t="shared" si="1257"/>
        <v>89063000</v>
      </c>
      <c r="D6943">
        <v>89301039</v>
      </c>
      <c r="E6943" t="str">
        <f>"9609204022"</f>
        <v>9609204022</v>
      </c>
      <c r="F6943" s="1">
        <v>45099</v>
      </c>
      <c r="G6943" t="str">
        <f t="shared" si="1256"/>
        <v>89312</v>
      </c>
      <c r="H6943">
        <v>3</v>
      </c>
      <c r="I6943">
        <v>936</v>
      </c>
      <c r="J6943">
        <v>0</v>
      </c>
      <c r="K6943" t="str">
        <f t="shared" si="1253"/>
        <v>809</v>
      </c>
      <c r="L6943">
        <v>1020.24</v>
      </c>
    </row>
    <row r="6944" spans="1:12" x14ac:dyDescent="0.25">
      <c r="A6944" t="str">
        <f t="shared" si="1255"/>
        <v>89301000</v>
      </c>
      <c r="B6944" t="str">
        <f t="shared" si="1257"/>
        <v>89063000</v>
      </c>
      <c r="C6944" t="str">
        <f t="shared" si="1257"/>
        <v>89063000</v>
      </c>
      <c r="D6944">
        <v>89301037</v>
      </c>
      <c r="E6944" t="str">
        <f>"460508178"</f>
        <v>460508178</v>
      </c>
      <c r="F6944" s="1">
        <v>45100</v>
      </c>
      <c r="G6944" t="str">
        <f t="shared" si="1256"/>
        <v>89312</v>
      </c>
      <c r="H6944">
        <v>3</v>
      </c>
      <c r="I6944">
        <v>936</v>
      </c>
      <c r="J6944">
        <v>0</v>
      </c>
      <c r="K6944" t="str">
        <f t="shared" si="1253"/>
        <v>809</v>
      </c>
      <c r="L6944">
        <v>1020.24</v>
      </c>
    </row>
    <row r="6945" spans="1:12" x14ac:dyDescent="0.25">
      <c r="A6945" t="str">
        <f t="shared" si="1255"/>
        <v>89301000</v>
      </c>
      <c r="B6945" t="str">
        <f t="shared" si="1257"/>
        <v>89063000</v>
      </c>
      <c r="C6945" t="str">
        <f t="shared" si="1257"/>
        <v>89063000</v>
      </c>
      <c r="D6945">
        <v>89301037</v>
      </c>
      <c r="E6945" t="str">
        <f>"8357215383"</f>
        <v>8357215383</v>
      </c>
      <c r="F6945" s="1">
        <v>45104</v>
      </c>
      <c r="G6945" t="str">
        <f t="shared" si="1256"/>
        <v>89312</v>
      </c>
      <c r="H6945">
        <v>3</v>
      </c>
      <c r="I6945">
        <v>936</v>
      </c>
      <c r="J6945">
        <v>0</v>
      </c>
      <c r="K6945" t="str">
        <f t="shared" si="1253"/>
        <v>809</v>
      </c>
      <c r="L6945">
        <v>1020.24</v>
      </c>
    </row>
    <row r="6946" spans="1:12" x14ac:dyDescent="0.25">
      <c r="A6946" t="str">
        <f t="shared" si="1255"/>
        <v>89301000</v>
      </c>
      <c r="B6946" t="str">
        <f t="shared" si="1257"/>
        <v>89063000</v>
      </c>
      <c r="C6946" t="str">
        <f t="shared" si="1257"/>
        <v>89063000</v>
      </c>
      <c r="D6946">
        <v>89301037</v>
      </c>
      <c r="E6946" t="str">
        <f>"7057105319"</f>
        <v>7057105319</v>
      </c>
      <c r="F6946" s="1">
        <v>45100</v>
      </c>
      <c r="G6946" t="str">
        <f t="shared" si="1256"/>
        <v>89312</v>
      </c>
      <c r="H6946">
        <v>3</v>
      </c>
      <c r="I6946">
        <v>936</v>
      </c>
      <c r="J6946">
        <v>0</v>
      </c>
      <c r="K6946" t="str">
        <f t="shared" si="1253"/>
        <v>809</v>
      </c>
      <c r="L6946">
        <v>1020.24</v>
      </c>
    </row>
    <row r="6947" spans="1:12" x14ac:dyDescent="0.25">
      <c r="A6947" t="str">
        <f t="shared" si="1255"/>
        <v>89301000</v>
      </c>
      <c r="B6947" t="str">
        <f t="shared" si="1257"/>
        <v>89063000</v>
      </c>
      <c r="C6947" t="str">
        <f t="shared" si="1257"/>
        <v>89063000</v>
      </c>
      <c r="D6947">
        <v>89301212</v>
      </c>
      <c r="E6947" t="str">
        <f>"7555265366"</f>
        <v>7555265366</v>
      </c>
      <c r="F6947" s="1">
        <v>45103</v>
      </c>
      <c r="G6947" t="str">
        <f t="shared" si="1256"/>
        <v>89312</v>
      </c>
      <c r="H6947">
        <v>3</v>
      </c>
      <c r="I6947">
        <v>936</v>
      </c>
      <c r="J6947">
        <v>0</v>
      </c>
      <c r="K6947" t="str">
        <f t="shared" si="1253"/>
        <v>809</v>
      </c>
      <c r="L6947">
        <v>1020.24</v>
      </c>
    </row>
    <row r="6948" spans="1:12" x14ac:dyDescent="0.25">
      <c r="A6948" t="str">
        <f t="shared" si="1255"/>
        <v>89301000</v>
      </c>
      <c r="B6948" t="str">
        <f t="shared" si="1257"/>
        <v>89063000</v>
      </c>
      <c r="C6948" t="str">
        <f t="shared" si="1257"/>
        <v>89063000</v>
      </c>
      <c r="D6948">
        <v>89301036</v>
      </c>
      <c r="E6948" t="str">
        <f>"8658124915"</f>
        <v>8658124915</v>
      </c>
      <c r="F6948" s="1">
        <v>45104</v>
      </c>
      <c r="G6948" t="str">
        <f t="shared" si="1256"/>
        <v>89312</v>
      </c>
      <c r="H6948">
        <v>3</v>
      </c>
      <c r="I6948">
        <v>936</v>
      </c>
      <c r="J6948">
        <v>0</v>
      </c>
      <c r="K6948" t="str">
        <f t="shared" si="1253"/>
        <v>809</v>
      </c>
      <c r="L6948">
        <v>1020.24</v>
      </c>
    </row>
    <row r="6949" spans="1:12" x14ac:dyDescent="0.25">
      <c r="A6949" t="str">
        <f t="shared" si="1255"/>
        <v>89301000</v>
      </c>
      <c r="B6949" t="str">
        <f t="shared" si="1257"/>
        <v>89063000</v>
      </c>
      <c r="C6949" t="str">
        <f t="shared" si="1257"/>
        <v>89063000</v>
      </c>
      <c r="D6949">
        <v>89301037</v>
      </c>
      <c r="E6949" t="str">
        <f>"5706240463"</f>
        <v>5706240463</v>
      </c>
      <c r="F6949" s="1">
        <v>45104</v>
      </c>
      <c r="G6949" t="str">
        <f t="shared" si="1256"/>
        <v>89312</v>
      </c>
      <c r="H6949">
        <v>3</v>
      </c>
      <c r="I6949">
        <v>936</v>
      </c>
      <c r="J6949">
        <v>0</v>
      </c>
      <c r="K6949" t="str">
        <f t="shared" si="1253"/>
        <v>809</v>
      </c>
      <c r="L6949">
        <v>1020.24</v>
      </c>
    </row>
    <row r="6950" spans="1:12" x14ac:dyDescent="0.25">
      <c r="A6950" t="str">
        <f t="shared" si="1255"/>
        <v>89301000</v>
      </c>
      <c r="B6950" t="str">
        <f t="shared" si="1257"/>
        <v>89063000</v>
      </c>
      <c r="C6950" t="str">
        <f t="shared" si="1257"/>
        <v>89063000</v>
      </c>
      <c r="D6950">
        <v>89301037</v>
      </c>
      <c r="E6950" t="str">
        <f>"7259215337"</f>
        <v>7259215337</v>
      </c>
      <c r="F6950" s="1">
        <v>45104</v>
      </c>
      <c r="G6950" t="str">
        <f t="shared" si="1256"/>
        <v>89312</v>
      </c>
      <c r="H6950">
        <v>3</v>
      </c>
      <c r="I6950">
        <v>936</v>
      </c>
      <c r="J6950">
        <v>0</v>
      </c>
      <c r="K6950" t="str">
        <f t="shared" si="1253"/>
        <v>809</v>
      </c>
      <c r="L6950">
        <v>1020.24</v>
      </c>
    </row>
    <row r="6951" spans="1:12" x14ac:dyDescent="0.25">
      <c r="A6951" t="str">
        <f t="shared" si="1255"/>
        <v>89301000</v>
      </c>
      <c r="B6951" t="str">
        <f t="shared" ref="B6951:C6963" si="1258">"89063000"</f>
        <v>89063000</v>
      </c>
      <c r="C6951" t="str">
        <f t="shared" si="1258"/>
        <v>89063000</v>
      </c>
      <c r="D6951">
        <v>89301322</v>
      </c>
      <c r="E6951" t="str">
        <f>"5501222661"</f>
        <v>5501222661</v>
      </c>
      <c r="F6951" s="1">
        <v>45105</v>
      </c>
      <c r="G6951" t="str">
        <f t="shared" si="1256"/>
        <v>89312</v>
      </c>
      <c r="H6951">
        <v>3</v>
      </c>
      <c r="I6951">
        <v>936</v>
      </c>
      <c r="J6951">
        <v>0</v>
      </c>
      <c r="K6951" t="str">
        <f t="shared" si="1253"/>
        <v>809</v>
      </c>
      <c r="L6951">
        <v>1020.24</v>
      </c>
    </row>
    <row r="6952" spans="1:12" x14ac:dyDescent="0.25">
      <c r="A6952" t="str">
        <f t="shared" si="1255"/>
        <v>89301000</v>
      </c>
      <c r="B6952" t="str">
        <f t="shared" si="1258"/>
        <v>89063000</v>
      </c>
      <c r="C6952" t="str">
        <f t="shared" si="1258"/>
        <v>89063000</v>
      </c>
      <c r="D6952">
        <v>89301037</v>
      </c>
      <c r="E6952" t="str">
        <f>"6452071428"</f>
        <v>6452071428</v>
      </c>
      <c r="F6952" s="1">
        <v>45105</v>
      </c>
      <c r="G6952" t="str">
        <f t="shared" si="1256"/>
        <v>89312</v>
      </c>
      <c r="H6952">
        <v>3</v>
      </c>
      <c r="I6952">
        <v>936</v>
      </c>
      <c r="J6952">
        <v>0</v>
      </c>
      <c r="K6952" t="str">
        <f t="shared" si="1253"/>
        <v>809</v>
      </c>
      <c r="L6952">
        <v>1020.24</v>
      </c>
    </row>
    <row r="6953" spans="1:12" x14ac:dyDescent="0.25">
      <c r="A6953" t="str">
        <f t="shared" si="1255"/>
        <v>89301000</v>
      </c>
      <c r="B6953" t="str">
        <f t="shared" si="1258"/>
        <v>89063000</v>
      </c>
      <c r="C6953" t="str">
        <f t="shared" si="1258"/>
        <v>89063000</v>
      </c>
      <c r="D6953">
        <v>89301037</v>
      </c>
      <c r="E6953" t="str">
        <f>"5756130391"</f>
        <v>5756130391</v>
      </c>
      <c r="F6953" s="1">
        <v>45105</v>
      </c>
      <c r="G6953" t="str">
        <f t="shared" si="1256"/>
        <v>89312</v>
      </c>
      <c r="H6953">
        <v>3</v>
      </c>
      <c r="I6953">
        <v>936</v>
      </c>
      <c r="J6953">
        <v>0</v>
      </c>
      <c r="K6953" t="str">
        <f t="shared" si="1253"/>
        <v>809</v>
      </c>
      <c r="L6953">
        <v>1020.24</v>
      </c>
    </row>
    <row r="6954" spans="1:12" x14ac:dyDescent="0.25">
      <c r="A6954" t="str">
        <f t="shared" si="1255"/>
        <v>89301000</v>
      </c>
      <c r="B6954" t="str">
        <f t="shared" si="1258"/>
        <v>89063000</v>
      </c>
      <c r="C6954" t="str">
        <f t="shared" si="1258"/>
        <v>89063000</v>
      </c>
      <c r="D6954">
        <v>89301037</v>
      </c>
      <c r="E6954" t="str">
        <f>"455505412"</f>
        <v>455505412</v>
      </c>
      <c r="F6954" s="1">
        <v>45105</v>
      </c>
      <c r="G6954" t="str">
        <f t="shared" si="1256"/>
        <v>89312</v>
      </c>
      <c r="H6954">
        <v>3</v>
      </c>
      <c r="I6954">
        <v>936</v>
      </c>
      <c r="J6954">
        <v>0</v>
      </c>
      <c r="K6954" t="str">
        <f t="shared" si="1253"/>
        <v>809</v>
      </c>
      <c r="L6954">
        <v>1020.24</v>
      </c>
    </row>
    <row r="6955" spans="1:12" x14ac:dyDescent="0.25">
      <c r="A6955" t="str">
        <f t="shared" si="1255"/>
        <v>89301000</v>
      </c>
      <c r="B6955" t="str">
        <f t="shared" si="1258"/>
        <v>89063000</v>
      </c>
      <c r="C6955" t="str">
        <f t="shared" si="1258"/>
        <v>89063000</v>
      </c>
      <c r="D6955">
        <v>89301037</v>
      </c>
      <c r="E6955" t="str">
        <f>"6055010412"</f>
        <v>6055010412</v>
      </c>
      <c r="F6955" s="1">
        <v>45106</v>
      </c>
      <c r="G6955" t="str">
        <f t="shared" ref="G6955:G6963" si="1259">"89312"</f>
        <v>89312</v>
      </c>
      <c r="H6955">
        <v>3</v>
      </c>
      <c r="I6955">
        <v>936</v>
      </c>
      <c r="J6955">
        <v>0</v>
      </c>
      <c r="K6955" t="str">
        <f t="shared" ref="K6955:K7018" si="1260">"809"</f>
        <v>809</v>
      </c>
      <c r="L6955">
        <v>1020.24</v>
      </c>
    </row>
    <row r="6956" spans="1:12" x14ac:dyDescent="0.25">
      <c r="A6956" t="str">
        <f t="shared" si="1255"/>
        <v>89301000</v>
      </c>
      <c r="B6956" t="str">
        <f t="shared" si="1258"/>
        <v>89063000</v>
      </c>
      <c r="C6956" t="str">
        <f t="shared" si="1258"/>
        <v>89063000</v>
      </c>
      <c r="D6956">
        <v>89301212</v>
      </c>
      <c r="E6956" t="str">
        <f>"515119038"</f>
        <v>515119038</v>
      </c>
      <c r="F6956" s="1">
        <v>45106</v>
      </c>
      <c r="G6956" t="str">
        <f t="shared" si="1259"/>
        <v>89312</v>
      </c>
      <c r="H6956">
        <v>3</v>
      </c>
      <c r="I6956">
        <v>936</v>
      </c>
      <c r="J6956">
        <v>0</v>
      </c>
      <c r="K6956" t="str">
        <f t="shared" si="1260"/>
        <v>809</v>
      </c>
      <c r="L6956">
        <v>1020.24</v>
      </c>
    </row>
    <row r="6957" spans="1:12" x14ac:dyDescent="0.25">
      <c r="A6957" t="str">
        <f t="shared" si="1255"/>
        <v>89301000</v>
      </c>
      <c r="B6957" t="str">
        <f t="shared" si="1258"/>
        <v>89063000</v>
      </c>
      <c r="C6957" t="str">
        <f t="shared" si="1258"/>
        <v>89063000</v>
      </c>
      <c r="D6957">
        <v>89301037</v>
      </c>
      <c r="E6957" t="str">
        <f>"6660301945"</f>
        <v>6660301945</v>
      </c>
      <c r="F6957" s="1">
        <v>45106</v>
      </c>
      <c r="G6957" t="str">
        <f t="shared" si="1259"/>
        <v>89312</v>
      </c>
      <c r="H6957">
        <v>3</v>
      </c>
      <c r="I6957">
        <v>936</v>
      </c>
      <c r="J6957">
        <v>0</v>
      </c>
      <c r="K6957" t="str">
        <f t="shared" si="1260"/>
        <v>809</v>
      </c>
      <c r="L6957">
        <v>1020.24</v>
      </c>
    </row>
    <row r="6958" spans="1:12" x14ac:dyDescent="0.25">
      <c r="A6958" t="str">
        <f t="shared" si="1255"/>
        <v>89301000</v>
      </c>
      <c r="B6958" t="str">
        <f t="shared" si="1258"/>
        <v>89063000</v>
      </c>
      <c r="C6958" t="str">
        <f t="shared" si="1258"/>
        <v>89063000</v>
      </c>
      <c r="D6958">
        <v>89301037</v>
      </c>
      <c r="E6958" t="str">
        <f>"5662170602"</f>
        <v>5662170602</v>
      </c>
      <c r="F6958" s="1">
        <v>45106</v>
      </c>
      <c r="G6958" t="str">
        <f t="shared" si="1259"/>
        <v>89312</v>
      </c>
      <c r="H6958">
        <v>3</v>
      </c>
      <c r="I6958">
        <v>936</v>
      </c>
      <c r="J6958">
        <v>0</v>
      </c>
      <c r="K6958" t="str">
        <f t="shared" si="1260"/>
        <v>809</v>
      </c>
      <c r="L6958">
        <v>1020.24</v>
      </c>
    </row>
    <row r="6959" spans="1:12" x14ac:dyDescent="0.25">
      <c r="A6959" t="str">
        <f t="shared" si="1255"/>
        <v>89301000</v>
      </c>
      <c r="B6959" t="str">
        <f t="shared" si="1258"/>
        <v>89063000</v>
      </c>
      <c r="C6959" t="str">
        <f t="shared" si="1258"/>
        <v>89063000</v>
      </c>
      <c r="D6959">
        <v>89301037</v>
      </c>
      <c r="E6959" t="str">
        <f>"476027433"</f>
        <v>476027433</v>
      </c>
      <c r="F6959" s="1">
        <v>45106</v>
      </c>
      <c r="G6959" t="str">
        <f t="shared" si="1259"/>
        <v>89312</v>
      </c>
      <c r="H6959">
        <v>3</v>
      </c>
      <c r="I6959">
        <v>936</v>
      </c>
      <c r="J6959">
        <v>0</v>
      </c>
      <c r="K6959" t="str">
        <f t="shared" si="1260"/>
        <v>809</v>
      </c>
      <c r="L6959">
        <v>1020.24</v>
      </c>
    </row>
    <row r="6960" spans="1:12" x14ac:dyDescent="0.25">
      <c r="A6960" t="str">
        <f t="shared" si="1255"/>
        <v>89301000</v>
      </c>
      <c r="B6960" t="str">
        <f t="shared" si="1258"/>
        <v>89063000</v>
      </c>
      <c r="C6960" t="str">
        <f t="shared" si="1258"/>
        <v>89063000</v>
      </c>
      <c r="D6960">
        <v>89301037</v>
      </c>
      <c r="E6960" t="str">
        <f>"7253299372"</f>
        <v>7253299372</v>
      </c>
      <c r="F6960" s="1">
        <v>45107</v>
      </c>
      <c r="G6960" t="str">
        <f t="shared" si="1259"/>
        <v>89312</v>
      </c>
      <c r="H6960">
        <v>3</v>
      </c>
      <c r="I6960">
        <v>936</v>
      </c>
      <c r="J6960">
        <v>0</v>
      </c>
      <c r="K6960" t="str">
        <f t="shared" si="1260"/>
        <v>809</v>
      </c>
      <c r="L6960">
        <v>1020.24</v>
      </c>
    </row>
    <row r="6961" spans="1:12" x14ac:dyDescent="0.25">
      <c r="A6961" t="str">
        <f t="shared" si="1255"/>
        <v>89301000</v>
      </c>
      <c r="B6961" t="str">
        <f t="shared" si="1258"/>
        <v>89063000</v>
      </c>
      <c r="C6961" t="str">
        <f t="shared" si="1258"/>
        <v>89063000</v>
      </c>
      <c r="D6961">
        <v>89301037</v>
      </c>
      <c r="E6961" t="str">
        <f>"436003452"</f>
        <v>436003452</v>
      </c>
      <c r="F6961" s="1">
        <v>45107</v>
      </c>
      <c r="G6961" t="str">
        <f t="shared" si="1259"/>
        <v>89312</v>
      </c>
      <c r="H6961">
        <v>3</v>
      </c>
      <c r="I6961">
        <v>936</v>
      </c>
      <c r="J6961">
        <v>0</v>
      </c>
      <c r="K6961" t="str">
        <f t="shared" si="1260"/>
        <v>809</v>
      </c>
      <c r="L6961">
        <v>1020.24</v>
      </c>
    </row>
    <row r="6962" spans="1:12" x14ac:dyDescent="0.25">
      <c r="A6962" t="str">
        <f t="shared" si="1255"/>
        <v>89301000</v>
      </c>
      <c r="B6962" t="str">
        <f t="shared" si="1258"/>
        <v>89063000</v>
      </c>
      <c r="C6962" t="str">
        <f t="shared" si="1258"/>
        <v>89063000</v>
      </c>
      <c r="D6962">
        <v>89301037</v>
      </c>
      <c r="E6962" t="str">
        <f>"535927374"</f>
        <v>535927374</v>
      </c>
      <c r="F6962" s="1">
        <v>45107</v>
      </c>
      <c r="G6962" t="str">
        <f t="shared" si="1259"/>
        <v>89312</v>
      </c>
      <c r="H6962">
        <v>3</v>
      </c>
      <c r="I6962">
        <v>936</v>
      </c>
      <c r="J6962">
        <v>0</v>
      </c>
      <c r="K6962" t="str">
        <f t="shared" si="1260"/>
        <v>809</v>
      </c>
      <c r="L6962">
        <v>1020.24</v>
      </c>
    </row>
    <row r="6963" spans="1:12" x14ac:dyDescent="0.25">
      <c r="A6963" t="str">
        <f t="shared" si="1255"/>
        <v>89301000</v>
      </c>
      <c r="B6963" t="str">
        <f t="shared" si="1258"/>
        <v>89063000</v>
      </c>
      <c r="C6963" t="str">
        <f t="shared" si="1258"/>
        <v>89063000</v>
      </c>
      <c r="D6963">
        <v>89301037</v>
      </c>
      <c r="E6963" t="str">
        <f>"6651182054"</f>
        <v>6651182054</v>
      </c>
      <c r="F6963" s="1">
        <v>45107</v>
      </c>
      <c r="G6963" t="str">
        <f t="shared" si="1259"/>
        <v>89312</v>
      </c>
      <c r="H6963">
        <v>3</v>
      </c>
      <c r="I6963">
        <v>936</v>
      </c>
      <c r="J6963">
        <v>0</v>
      </c>
      <c r="K6963" t="str">
        <f t="shared" si="1260"/>
        <v>809</v>
      </c>
      <c r="L6963">
        <v>1020.24</v>
      </c>
    </row>
    <row r="6964" spans="1:12" x14ac:dyDescent="0.25">
      <c r="A6964" t="str">
        <f t="shared" si="1255"/>
        <v>89301000</v>
      </c>
      <c r="B6964" t="str">
        <f>"89511000"</f>
        <v>89511000</v>
      </c>
      <c r="C6964" t="str">
        <f>"89511001"</f>
        <v>89511001</v>
      </c>
      <c r="D6964">
        <v>89301042</v>
      </c>
      <c r="E6964" t="str">
        <f>"475514432"</f>
        <v>475514432</v>
      </c>
      <c r="F6964" s="1">
        <v>45091</v>
      </c>
      <c r="G6964" t="str">
        <f>"89513"</f>
        <v>89513</v>
      </c>
      <c r="H6964">
        <v>1</v>
      </c>
      <c r="I6964">
        <v>378</v>
      </c>
      <c r="J6964">
        <v>0</v>
      </c>
      <c r="K6964" t="str">
        <f t="shared" si="1260"/>
        <v>809</v>
      </c>
      <c r="L6964">
        <v>555.66</v>
      </c>
    </row>
    <row r="6965" spans="1:12" x14ac:dyDescent="0.25">
      <c r="A6965" t="str">
        <f t="shared" si="1255"/>
        <v>89301000</v>
      </c>
      <c r="B6965" t="str">
        <f>"89511000"</f>
        <v>89511000</v>
      </c>
      <c r="C6965" t="str">
        <f>"89511001"</f>
        <v>89511001</v>
      </c>
      <c r="D6965">
        <v>89301042</v>
      </c>
      <c r="E6965" t="str">
        <f>"475514432"</f>
        <v>475514432</v>
      </c>
      <c r="F6965" s="1">
        <v>45091</v>
      </c>
      <c r="G6965" t="str">
        <f>"89514"</f>
        <v>89514</v>
      </c>
      <c r="H6965">
        <v>1</v>
      </c>
      <c r="I6965">
        <v>378</v>
      </c>
      <c r="J6965">
        <v>0</v>
      </c>
      <c r="K6965" t="str">
        <f t="shared" si="1260"/>
        <v>809</v>
      </c>
      <c r="L6965">
        <v>555.66</v>
      </c>
    </row>
    <row r="6966" spans="1:12" x14ac:dyDescent="0.25">
      <c r="A6966" t="str">
        <f t="shared" si="1255"/>
        <v>89301000</v>
      </c>
      <c r="B6966" t="str">
        <f>"89511000"</f>
        <v>89511000</v>
      </c>
      <c r="C6966" t="str">
        <f>"89511001"</f>
        <v>89511001</v>
      </c>
      <c r="D6966">
        <v>89301274</v>
      </c>
      <c r="E6966" t="str">
        <f>"5451141608"</f>
        <v>5451141608</v>
      </c>
      <c r="F6966" s="1">
        <v>45098</v>
      </c>
      <c r="G6966" t="str">
        <f>"89513"</f>
        <v>89513</v>
      </c>
      <c r="H6966">
        <v>1</v>
      </c>
      <c r="I6966">
        <v>378</v>
      </c>
      <c r="J6966">
        <v>0</v>
      </c>
      <c r="K6966" t="str">
        <f t="shared" si="1260"/>
        <v>809</v>
      </c>
      <c r="L6966">
        <v>555.66</v>
      </c>
    </row>
    <row r="6967" spans="1:12" x14ac:dyDescent="0.25">
      <c r="A6967" t="str">
        <f t="shared" si="1255"/>
        <v>89301000</v>
      </c>
      <c r="B6967" t="str">
        <f>"89511000"</f>
        <v>89511000</v>
      </c>
      <c r="C6967" t="str">
        <f>"89511001"</f>
        <v>89511001</v>
      </c>
      <c r="D6967">
        <v>89301274</v>
      </c>
      <c r="E6967" t="str">
        <f>"5451141608"</f>
        <v>5451141608</v>
      </c>
      <c r="F6967" s="1">
        <v>45098</v>
      </c>
      <c r="G6967" t="str">
        <f>"89514"</f>
        <v>89514</v>
      </c>
      <c r="H6967">
        <v>1</v>
      </c>
      <c r="I6967">
        <v>378</v>
      </c>
      <c r="J6967">
        <v>0</v>
      </c>
      <c r="K6967" t="str">
        <f t="shared" si="1260"/>
        <v>809</v>
      </c>
      <c r="L6967">
        <v>555.66</v>
      </c>
    </row>
    <row r="6968" spans="1:12" x14ac:dyDescent="0.25">
      <c r="A6968" t="str">
        <f t="shared" si="1255"/>
        <v>89301000</v>
      </c>
      <c r="B6968" t="str">
        <f t="shared" ref="B6968:B6999" si="1261">"89383000"</f>
        <v>89383000</v>
      </c>
      <c r="C6968" t="str">
        <f t="shared" ref="C6968:C6999" si="1262">"89383002"</f>
        <v>89383002</v>
      </c>
      <c r="D6968">
        <v>89301212</v>
      </c>
      <c r="E6968" t="str">
        <f>"7762205363"</f>
        <v>7762205363</v>
      </c>
      <c r="F6968" s="1">
        <v>45078</v>
      </c>
      <c r="G6968" t="str">
        <f>"89512"</f>
        <v>89512</v>
      </c>
      <c r="H6968">
        <v>1</v>
      </c>
      <c r="I6968">
        <v>283</v>
      </c>
      <c r="J6968">
        <v>0</v>
      </c>
      <c r="K6968" t="str">
        <f t="shared" si="1260"/>
        <v>809</v>
      </c>
      <c r="L6968">
        <v>416.01</v>
      </c>
    </row>
    <row r="6969" spans="1:12" x14ac:dyDescent="0.25">
      <c r="A6969" t="str">
        <f t="shared" si="1255"/>
        <v>89301000</v>
      </c>
      <c r="B6969" t="str">
        <f t="shared" si="1261"/>
        <v>89383000</v>
      </c>
      <c r="C6969" t="str">
        <f t="shared" si="1262"/>
        <v>89383002</v>
      </c>
      <c r="D6969">
        <v>89301212</v>
      </c>
      <c r="E6969" t="str">
        <f>"6161230823"</f>
        <v>6161230823</v>
      </c>
      <c r="F6969" s="1">
        <v>45079</v>
      </c>
      <c r="G6969" t="str">
        <f>"89513"</f>
        <v>89513</v>
      </c>
      <c r="H6969">
        <v>1</v>
      </c>
      <c r="I6969">
        <v>378</v>
      </c>
      <c r="J6969">
        <v>0</v>
      </c>
      <c r="K6969" t="str">
        <f t="shared" si="1260"/>
        <v>809</v>
      </c>
      <c r="L6969">
        <v>555.66</v>
      </c>
    </row>
    <row r="6970" spans="1:12" x14ac:dyDescent="0.25">
      <c r="A6970" t="str">
        <f t="shared" si="1255"/>
        <v>89301000</v>
      </c>
      <c r="B6970" t="str">
        <f t="shared" si="1261"/>
        <v>89383000</v>
      </c>
      <c r="C6970" t="str">
        <f t="shared" si="1262"/>
        <v>89383002</v>
      </c>
      <c r="D6970">
        <v>89301212</v>
      </c>
      <c r="E6970" t="str">
        <f>"6161230823"</f>
        <v>6161230823</v>
      </c>
      <c r="F6970" s="1">
        <v>45079</v>
      </c>
      <c r="G6970" t="str">
        <f>"89514"</f>
        <v>89514</v>
      </c>
      <c r="H6970">
        <v>1</v>
      </c>
      <c r="I6970">
        <v>378</v>
      </c>
      <c r="J6970">
        <v>0</v>
      </c>
      <c r="K6970" t="str">
        <f t="shared" si="1260"/>
        <v>809</v>
      </c>
      <c r="L6970">
        <v>555.66</v>
      </c>
    </row>
    <row r="6971" spans="1:12" x14ac:dyDescent="0.25">
      <c r="A6971" t="str">
        <f t="shared" si="1255"/>
        <v>89301000</v>
      </c>
      <c r="B6971" t="str">
        <f t="shared" si="1261"/>
        <v>89383000</v>
      </c>
      <c r="C6971" t="str">
        <f t="shared" si="1262"/>
        <v>89383002</v>
      </c>
      <c r="D6971">
        <v>89301212</v>
      </c>
      <c r="E6971" t="str">
        <f>"6161230823"</f>
        <v>6161230823</v>
      </c>
      <c r="F6971" s="1">
        <v>45079</v>
      </c>
      <c r="G6971" t="str">
        <f>"89512"</f>
        <v>89512</v>
      </c>
      <c r="H6971">
        <v>1</v>
      </c>
      <c r="I6971">
        <v>283</v>
      </c>
      <c r="J6971">
        <v>0</v>
      </c>
      <c r="K6971" t="str">
        <f t="shared" si="1260"/>
        <v>809</v>
      </c>
      <c r="L6971">
        <v>416.01</v>
      </c>
    </row>
    <row r="6972" spans="1:12" x14ac:dyDescent="0.25">
      <c r="A6972" t="str">
        <f t="shared" si="1255"/>
        <v>89301000</v>
      </c>
      <c r="B6972" t="str">
        <f t="shared" si="1261"/>
        <v>89383000</v>
      </c>
      <c r="C6972" t="str">
        <f t="shared" si="1262"/>
        <v>89383002</v>
      </c>
      <c r="D6972">
        <v>89301212</v>
      </c>
      <c r="E6972" t="str">
        <f>"8055045768"</f>
        <v>8055045768</v>
      </c>
      <c r="F6972" s="1">
        <v>45079</v>
      </c>
      <c r="G6972" t="str">
        <f>"89180"</f>
        <v>89180</v>
      </c>
      <c r="H6972">
        <v>1</v>
      </c>
      <c r="I6972">
        <v>381</v>
      </c>
      <c r="J6972">
        <v>0</v>
      </c>
      <c r="K6972" t="str">
        <f t="shared" si="1260"/>
        <v>809</v>
      </c>
      <c r="L6972">
        <v>560.07000000000005</v>
      </c>
    </row>
    <row r="6973" spans="1:12" x14ac:dyDescent="0.25">
      <c r="A6973" t="str">
        <f t="shared" si="1255"/>
        <v>89301000</v>
      </c>
      <c r="B6973" t="str">
        <f t="shared" si="1261"/>
        <v>89383000</v>
      </c>
      <c r="C6973" t="str">
        <f t="shared" si="1262"/>
        <v>89383002</v>
      </c>
      <c r="D6973">
        <v>89301212</v>
      </c>
      <c r="E6973" t="str">
        <f>"8055045768"</f>
        <v>8055045768</v>
      </c>
      <c r="F6973" s="1">
        <v>45079</v>
      </c>
      <c r="G6973" t="str">
        <f>"89512"</f>
        <v>89512</v>
      </c>
      <c r="H6973">
        <v>1</v>
      </c>
      <c r="I6973">
        <v>283</v>
      </c>
      <c r="J6973">
        <v>0</v>
      </c>
      <c r="K6973" t="str">
        <f t="shared" si="1260"/>
        <v>809</v>
      </c>
      <c r="L6973">
        <v>416.01</v>
      </c>
    </row>
    <row r="6974" spans="1:12" x14ac:dyDescent="0.25">
      <c r="A6974" t="str">
        <f t="shared" si="1255"/>
        <v>89301000</v>
      </c>
      <c r="B6974" t="str">
        <f t="shared" si="1261"/>
        <v>89383000</v>
      </c>
      <c r="C6974" t="str">
        <f t="shared" si="1262"/>
        <v>89383002</v>
      </c>
      <c r="D6974">
        <v>89301212</v>
      </c>
      <c r="E6974" t="str">
        <f>"6357030691"</f>
        <v>6357030691</v>
      </c>
      <c r="F6974" s="1">
        <v>45079</v>
      </c>
      <c r="G6974" t="str">
        <f>"89180"</f>
        <v>89180</v>
      </c>
      <c r="H6974">
        <v>2</v>
      </c>
      <c r="I6974">
        <v>762</v>
      </c>
      <c r="J6974">
        <v>0</v>
      </c>
      <c r="K6974" t="str">
        <f t="shared" si="1260"/>
        <v>809</v>
      </c>
      <c r="L6974">
        <v>1120.1400000000001</v>
      </c>
    </row>
    <row r="6975" spans="1:12" x14ac:dyDescent="0.25">
      <c r="A6975" t="str">
        <f t="shared" si="1255"/>
        <v>89301000</v>
      </c>
      <c r="B6975" t="str">
        <f t="shared" si="1261"/>
        <v>89383000</v>
      </c>
      <c r="C6975" t="str">
        <f t="shared" si="1262"/>
        <v>89383002</v>
      </c>
      <c r="D6975">
        <v>89301212</v>
      </c>
      <c r="E6975" t="str">
        <f>"6357030691"</f>
        <v>6357030691</v>
      </c>
      <c r="F6975" s="1">
        <v>45079</v>
      </c>
      <c r="G6975" t="str">
        <f>"89512"</f>
        <v>89512</v>
      </c>
      <c r="H6975">
        <v>1</v>
      </c>
      <c r="I6975">
        <v>283</v>
      </c>
      <c r="J6975">
        <v>0</v>
      </c>
      <c r="K6975" t="str">
        <f t="shared" si="1260"/>
        <v>809</v>
      </c>
      <c r="L6975">
        <v>416.01</v>
      </c>
    </row>
    <row r="6976" spans="1:12" x14ac:dyDescent="0.25">
      <c r="A6976" t="str">
        <f t="shared" si="1255"/>
        <v>89301000</v>
      </c>
      <c r="B6976" t="str">
        <f t="shared" si="1261"/>
        <v>89383000</v>
      </c>
      <c r="C6976" t="str">
        <f t="shared" si="1262"/>
        <v>89383002</v>
      </c>
      <c r="D6976">
        <v>89301212</v>
      </c>
      <c r="E6976" t="str">
        <f>"475221403"</f>
        <v>475221403</v>
      </c>
      <c r="F6976" s="1">
        <v>45082</v>
      </c>
      <c r="G6976" t="str">
        <f>"89180"</f>
        <v>89180</v>
      </c>
      <c r="H6976">
        <v>2</v>
      </c>
      <c r="I6976">
        <v>762</v>
      </c>
      <c r="J6976">
        <v>0</v>
      </c>
      <c r="K6976" t="str">
        <f t="shared" si="1260"/>
        <v>809</v>
      </c>
      <c r="L6976">
        <v>1120.1400000000001</v>
      </c>
    </row>
    <row r="6977" spans="1:12" x14ac:dyDescent="0.25">
      <c r="A6977" t="str">
        <f t="shared" si="1255"/>
        <v>89301000</v>
      </c>
      <c r="B6977" t="str">
        <f t="shared" si="1261"/>
        <v>89383000</v>
      </c>
      <c r="C6977" t="str">
        <f t="shared" si="1262"/>
        <v>89383002</v>
      </c>
      <c r="D6977">
        <v>89301212</v>
      </c>
      <c r="E6977" t="str">
        <f>"475221403"</f>
        <v>475221403</v>
      </c>
      <c r="F6977" s="1">
        <v>45082</v>
      </c>
      <c r="G6977" t="str">
        <f>"89512"</f>
        <v>89512</v>
      </c>
      <c r="H6977">
        <v>1</v>
      </c>
      <c r="I6977">
        <v>283</v>
      </c>
      <c r="J6977">
        <v>0</v>
      </c>
      <c r="K6977" t="str">
        <f t="shared" si="1260"/>
        <v>809</v>
      </c>
      <c r="L6977">
        <v>416.01</v>
      </c>
    </row>
    <row r="6978" spans="1:12" x14ac:dyDescent="0.25">
      <c r="A6978" t="str">
        <f t="shared" ref="A6978:A7041" si="1263">"89301000"</f>
        <v>89301000</v>
      </c>
      <c r="B6978" t="str">
        <f t="shared" si="1261"/>
        <v>89383000</v>
      </c>
      <c r="C6978" t="str">
        <f t="shared" si="1262"/>
        <v>89383002</v>
      </c>
      <c r="D6978">
        <v>89301212</v>
      </c>
      <c r="E6978" t="str">
        <f>"475221403"</f>
        <v>475221403</v>
      </c>
      <c r="F6978" s="1">
        <v>45082</v>
      </c>
      <c r="G6978" t="str">
        <f>"89514"</f>
        <v>89514</v>
      </c>
      <c r="H6978">
        <v>1</v>
      </c>
      <c r="I6978">
        <v>378</v>
      </c>
      <c r="J6978">
        <v>0</v>
      </c>
      <c r="K6978" t="str">
        <f t="shared" si="1260"/>
        <v>809</v>
      </c>
      <c r="L6978">
        <v>555.66</v>
      </c>
    </row>
    <row r="6979" spans="1:12" x14ac:dyDescent="0.25">
      <c r="A6979" t="str">
        <f t="shared" si="1263"/>
        <v>89301000</v>
      </c>
      <c r="B6979" t="str">
        <f t="shared" si="1261"/>
        <v>89383000</v>
      </c>
      <c r="C6979" t="str">
        <f t="shared" si="1262"/>
        <v>89383002</v>
      </c>
      <c r="D6979">
        <v>89301212</v>
      </c>
      <c r="E6979" t="str">
        <f>"475221403"</f>
        <v>475221403</v>
      </c>
      <c r="F6979" s="1">
        <v>45082</v>
      </c>
      <c r="G6979" t="str">
        <f>"89513"</f>
        <v>89513</v>
      </c>
      <c r="H6979">
        <v>1</v>
      </c>
      <c r="I6979">
        <v>378</v>
      </c>
      <c r="J6979">
        <v>0</v>
      </c>
      <c r="K6979" t="str">
        <f t="shared" si="1260"/>
        <v>809</v>
      </c>
      <c r="L6979">
        <v>555.66</v>
      </c>
    </row>
    <row r="6980" spans="1:12" x14ac:dyDescent="0.25">
      <c r="A6980" t="str">
        <f t="shared" si="1263"/>
        <v>89301000</v>
      </c>
      <c r="B6980" t="str">
        <f t="shared" si="1261"/>
        <v>89383000</v>
      </c>
      <c r="C6980" t="str">
        <f t="shared" si="1262"/>
        <v>89383002</v>
      </c>
      <c r="D6980">
        <v>89301212</v>
      </c>
      <c r="E6980" t="str">
        <f>"495223283"</f>
        <v>495223283</v>
      </c>
      <c r="F6980" s="1">
        <v>45082</v>
      </c>
      <c r="G6980" t="str">
        <f>"89512"</f>
        <v>89512</v>
      </c>
      <c r="H6980">
        <v>1</v>
      </c>
      <c r="I6980">
        <v>283</v>
      </c>
      <c r="J6980">
        <v>0</v>
      </c>
      <c r="K6980" t="str">
        <f t="shared" si="1260"/>
        <v>809</v>
      </c>
      <c r="L6980">
        <v>416.01</v>
      </c>
    </row>
    <row r="6981" spans="1:12" x14ac:dyDescent="0.25">
      <c r="A6981" t="str">
        <f t="shared" si="1263"/>
        <v>89301000</v>
      </c>
      <c r="B6981" t="str">
        <f t="shared" si="1261"/>
        <v>89383000</v>
      </c>
      <c r="C6981" t="str">
        <f t="shared" si="1262"/>
        <v>89383002</v>
      </c>
      <c r="D6981">
        <v>89301212</v>
      </c>
      <c r="E6981" t="str">
        <f>"495223283"</f>
        <v>495223283</v>
      </c>
      <c r="F6981" s="1">
        <v>45082</v>
      </c>
      <c r="G6981" t="str">
        <f>"89180"</f>
        <v>89180</v>
      </c>
      <c r="H6981">
        <v>2</v>
      </c>
      <c r="I6981">
        <v>762</v>
      </c>
      <c r="J6981">
        <v>0</v>
      </c>
      <c r="K6981" t="str">
        <f t="shared" si="1260"/>
        <v>809</v>
      </c>
      <c r="L6981">
        <v>1120.1400000000001</v>
      </c>
    </row>
    <row r="6982" spans="1:12" x14ac:dyDescent="0.25">
      <c r="A6982" t="str">
        <f t="shared" si="1263"/>
        <v>89301000</v>
      </c>
      <c r="B6982" t="str">
        <f t="shared" si="1261"/>
        <v>89383000</v>
      </c>
      <c r="C6982" t="str">
        <f t="shared" si="1262"/>
        <v>89383002</v>
      </c>
      <c r="D6982">
        <v>89301212</v>
      </c>
      <c r="E6982" t="str">
        <f t="shared" ref="E6982:E6987" si="1264">"8152075349"</f>
        <v>8152075349</v>
      </c>
      <c r="F6982" s="1">
        <v>45083</v>
      </c>
      <c r="G6982" t="str">
        <f>"89313"</f>
        <v>89313</v>
      </c>
      <c r="H6982">
        <v>1</v>
      </c>
      <c r="I6982">
        <v>420</v>
      </c>
      <c r="J6982">
        <v>0</v>
      </c>
      <c r="K6982" t="str">
        <f t="shared" si="1260"/>
        <v>809</v>
      </c>
      <c r="L6982">
        <v>617.4</v>
      </c>
    </row>
    <row r="6983" spans="1:12" x14ac:dyDescent="0.25">
      <c r="A6983" t="str">
        <f t="shared" si="1263"/>
        <v>89301000</v>
      </c>
      <c r="B6983" t="str">
        <f t="shared" si="1261"/>
        <v>89383000</v>
      </c>
      <c r="C6983" t="str">
        <f t="shared" si="1262"/>
        <v>89383002</v>
      </c>
      <c r="D6983">
        <v>89301212</v>
      </c>
      <c r="E6983" t="str">
        <f t="shared" si="1264"/>
        <v>8152075349</v>
      </c>
      <c r="F6983" s="1">
        <v>45083</v>
      </c>
      <c r="G6983" t="str">
        <f>"09233"</f>
        <v>09233</v>
      </c>
      <c r="H6983">
        <v>1</v>
      </c>
      <c r="I6983">
        <v>102</v>
      </c>
      <c r="J6983">
        <v>0</v>
      </c>
      <c r="K6983" t="str">
        <f t="shared" si="1260"/>
        <v>809</v>
      </c>
      <c r="L6983">
        <v>149.94</v>
      </c>
    </row>
    <row r="6984" spans="1:12" x14ac:dyDescent="0.25">
      <c r="A6984" t="str">
        <f t="shared" si="1263"/>
        <v>89301000</v>
      </c>
      <c r="B6984" t="str">
        <f t="shared" si="1261"/>
        <v>89383000</v>
      </c>
      <c r="C6984" t="str">
        <f t="shared" si="1262"/>
        <v>89383002</v>
      </c>
      <c r="D6984">
        <v>89301212</v>
      </c>
      <c r="E6984" t="str">
        <f t="shared" si="1264"/>
        <v>8152075349</v>
      </c>
      <c r="F6984" s="1">
        <v>45083</v>
      </c>
      <c r="G6984" t="str">
        <f>"89512"</f>
        <v>89512</v>
      </c>
      <c r="H6984">
        <v>1</v>
      </c>
      <c r="I6984">
        <v>283</v>
      </c>
      <c r="J6984">
        <v>0</v>
      </c>
      <c r="K6984" t="str">
        <f t="shared" si="1260"/>
        <v>809</v>
      </c>
      <c r="L6984">
        <v>416.01</v>
      </c>
    </row>
    <row r="6985" spans="1:12" x14ac:dyDescent="0.25">
      <c r="A6985" t="str">
        <f t="shared" si="1263"/>
        <v>89301000</v>
      </c>
      <c r="B6985" t="str">
        <f t="shared" si="1261"/>
        <v>89383000</v>
      </c>
      <c r="C6985" t="str">
        <f t="shared" si="1262"/>
        <v>89383002</v>
      </c>
      <c r="D6985">
        <v>89301212</v>
      </c>
      <c r="E6985" t="str">
        <f t="shared" si="1264"/>
        <v>8152075349</v>
      </c>
      <c r="F6985" s="1">
        <v>45083</v>
      </c>
      <c r="G6985" t="str">
        <f>"89180"</f>
        <v>89180</v>
      </c>
      <c r="H6985">
        <v>1</v>
      </c>
      <c r="I6985">
        <v>381</v>
      </c>
      <c r="J6985">
        <v>0</v>
      </c>
      <c r="K6985" t="str">
        <f t="shared" si="1260"/>
        <v>809</v>
      </c>
      <c r="L6985">
        <v>560.07000000000005</v>
      </c>
    </row>
    <row r="6986" spans="1:12" x14ac:dyDescent="0.25">
      <c r="A6986" t="str">
        <f t="shared" si="1263"/>
        <v>89301000</v>
      </c>
      <c r="B6986" t="str">
        <f t="shared" si="1261"/>
        <v>89383000</v>
      </c>
      <c r="C6986" t="str">
        <f t="shared" si="1262"/>
        <v>89383002</v>
      </c>
      <c r="D6986">
        <v>89301212</v>
      </c>
      <c r="E6986" t="str">
        <f t="shared" si="1264"/>
        <v>8152075349</v>
      </c>
      <c r="F6986" s="1">
        <v>45083</v>
      </c>
      <c r="G6986" t="str">
        <f>"0093109"</f>
        <v>0093109</v>
      </c>
      <c r="H6986">
        <v>0.1</v>
      </c>
      <c r="J6986">
        <v>27.1</v>
      </c>
      <c r="K6986" t="str">
        <f t="shared" si="1260"/>
        <v>809</v>
      </c>
      <c r="L6986">
        <v>27.1</v>
      </c>
    </row>
    <row r="6987" spans="1:12" x14ac:dyDescent="0.25">
      <c r="A6987" t="str">
        <f t="shared" si="1263"/>
        <v>89301000</v>
      </c>
      <c r="B6987" t="str">
        <f t="shared" si="1261"/>
        <v>89383000</v>
      </c>
      <c r="C6987" t="str">
        <f t="shared" si="1262"/>
        <v>89383002</v>
      </c>
      <c r="D6987">
        <v>89301212</v>
      </c>
      <c r="E6987" t="str">
        <f t="shared" si="1264"/>
        <v>8152075349</v>
      </c>
      <c r="F6987" s="1">
        <v>45083</v>
      </c>
      <c r="G6987" t="str">
        <f>"0142906"</f>
        <v>0142906</v>
      </c>
      <c r="H6987">
        <v>1</v>
      </c>
      <c r="J6987">
        <v>6990</v>
      </c>
      <c r="K6987" t="str">
        <f t="shared" si="1260"/>
        <v>809</v>
      </c>
      <c r="L6987">
        <v>6990</v>
      </c>
    </row>
    <row r="6988" spans="1:12" x14ac:dyDescent="0.25">
      <c r="A6988" t="str">
        <f t="shared" si="1263"/>
        <v>89301000</v>
      </c>
      <c r="B6988" t="str">
        <f t="shared" si="1261"/>
        <v>89383000</v>
      </c>
      <c r="C6988" t="str">
        <f t="shared" si="1262"/>
        <v>89383002</v>
      </c>
      <c r="D6988">
        <v>89301045</v>
      </c>
      <c r="E6988" t="str">
        <f>"8560095819"</f>
        <v>8560095819</v>
      </c>
      <c r="F6988" s="1">
        <v>45083</v>
      </c>
      <c r="G6988" t="str">
        <f>"89512"</f>
        <v>89512</v>
      </c>
      <c r="H6988">
        <v>1</v>
      </c>
      <c r="I6988">
        <v>283</v>
      </c>
      <c r="J6988">
        <v>0</v>
      </c>
      <c r="K6988" t="str">
        <f t="shared" si="1260"/>
        <v>809</v>
      </c>
      <c r="L6988">
        <v>416.01</v>
      </c>
    </row>
    <row r="6989" spans="1:12" x14ac:dyDescent="0.25">
      <c r="A6989" t="str">
        <f t="shared" si="1263"/>
        <v>89301000</v>
      </c>
      <c r="B6989" t="str">
        <f t="shared" si="1261"/>
        <v>89383000</v>
      </c>
      <c r="C6989" t="str">
        <f t="shared" si="1262"/>
        <v>89383002</v>
      </c>
      <c r="D6989">
        <v>89301045</v>
      </c>
      <c r="E6989" t="str">
        <f>"8560095819"</f>
        <v>8560095819</v>
      </c>
      <c r="F6989" s="1">
        <v>45083</v>
      </c>
      <c r="G6989" t="str">
        <f>"89313"</f>
        <v>89313</v>
      </c>
      <c r="H6989">
        <v>1</v>
      </c>
      <c r="I6989">
        <v>420</v>
      </c>
      <c r="J6989">
        <v>0</v>
      </c>
      <c r="K6989" t="str">
        <f t="shared" si="1260"/>
        <v>809</v>
      </c>
      <c r="L6989">
        <v>617.4</v>
      </c>
    </row>
    <row r="6990" spans="1:12" x14ac:dyDescent="0.25">
      <c r="A6990" t="str">
        <f t="shared" si="1263"/>
        <v>89301000</v>
      </c>
      <c r="B6990" t="str">
        <f t="shared" si="1261"/>
        <v>89383000</v>
      </c>
      <c r="C6990" t="str">
        <f t="shared" si="1262"/>
        <v>89383002</v>
      </c>
      <c r="D6990">
        <v>89301045</v>
      </c>
      <c r="E6990" t="str">
        <f>"8560095819"</f>
        <v>8560095819</v>
      </c>
      <c r="F6990" s="1">
        <v>45083</v>
      </c>
      <c r="G6990" t="str">
        <f>"89515"</f>
        <v>89515</v>
      </c>
      <c r="H6990">
        <v>1</v>
      </c>
      <c r="I6990">
        <v>347</v>
      </c>
      <c r="J6990">
        <v>0</v>
      </c>
      <c r="K6990" t="str">
        <f t="shared" si="1260"/>
        <v>809</v>
      </c>
      <c r="L6990">
        <v>510.09</v>
      </c>
    </row>
    <row r="6991" spans="1:12" x14ac:dyDescent="0.25">
      <c r="A6991" t="str">
        <f t="shared" si="1263"/>
        <v>89301000</v>
      </c>
      <c r="B6991" t="str">
        <f t="shared" si="1261"/>
        <v>89383000</v>
      </c>
      <c r="C6991" t="str">
        <f t="shared" si="1262"/>
        <v>89383002</v>
      </c>
      <c r="D6991">
        <v>89301045</v>
      </c>
      <c r="E6991" t="str">
        <f>"8560095819"</f>
        <v>8560095819</v>
      </c>
      <c r="F6991" s="1">
        <v>45083</v>
      </c>
      <c r="G6991" t="str">
        <f>"0093109"</f>
        <v>0093109</v>
      </c>
      <c r="H6991">
        <v>0.02</v>
      </c>
      <c r="J6991">
        <v>5.42</v>
      </c>
      <c r="K6991" t="str">
        <f t="shared" si="1260"/>
        <v>809</v>
      </c>
      <c r="L6991">
        <v>5.42</v>
      </c>
    </row>
    <row r="6992" spans="1:12" x14ac:dyDescent="0.25">
      <c r="A6992" t="str">
        <f t="shared" si="1263"/>
        <v>89301000</v>
      </c>
      <c r="B6992" t="str">
        <f t="shared" si="1261"/>
        <v>89383000</v>
      </c>
      <c r="C6992" t="str">
        <f t="shared" si="1262"/>
        <v>89383002</v>
      </c>
      <c r="D6992">
        <v>89301045</v>
      </c>
      <c r="E6992" t="str">
        <f>"8560095819"</f>
        <v>8560095819</v>
      </c>
      <c r="F6992" s="1">
        <v>45083</v>
      </c>
      <c r="G6992" t="str">
        <f>"0142908"</f>
        <v>0142908</v>
      </c>
      <c r="H6992">
        <v>1</v>
      </c>
      <c r="J6992">
        <v>910</v>
      </c>
      <c r="K6992" t="str">
        <f t="shared" si="1260"/>
        <v>809</v>
      </c>
      <c r="L6992">
        <v>910</v>
      </c>
    </row>
    <row r="6993" spans="1:12" x14ac:dyDescent="0.25">
      <c r="A6993" t="str">
        <f t="shared" si="1263"/>
        <v>89301000</v>
      </c>
      <c r="B6993" t="str">
        <f t="shared" si="1261"/>
        <v>89383000</v>
      </c>
      <c r="C6993" t="str">
        <f t="shared" si="1262"/>
        <v>89383002</v>
      </c>
      <c r="D6993">
        <v>89301212</v>
      </c>
      <c r="E6993" t="str">
        <f>"8253114474"</f>
        <v>8253114474</v>
      </c>
      <c r="F6993" s="1">
        <v>45084</v>
      </c>
      <c r="G6993" t="str">
        <f>"89512"</f>
        <v>89512</v>
      </c>
      <c r="H6993">
        <v>1</v>
      </c>
      <c r="I6993">
        <v>283</v>
      </c>
      <c r="J6993">
        <v>0</v>
      </c>
      <c r="K6993" t="str">
        <f t="shared" si="1260"/>
        <v>809</v>
      </c>
      <c r="L6993">
        <v>416.01</v>
      </c>
    </row>
    <row r="6994" spans="1:12" x14ac:dyDescent="0.25">
      <c r="A6994" t="str">
        <f t="shared" si="1263"/>
        <v>89301000</v>
      </c>
      <c r="B6994" t="str">
        <f t="shared" si="1261"/>
        <v>89383000</v>
      </c>
      <c r="C6994" t="str">
        <f t="shared" si="1262"/>
        <v>89383002</v>
      </c>
      <c r="D6994">
        <v>89301212</v>
      </c>
      <c r="E6994" t="str">
        <f>"7562115308"</f>
        <v>7562115308</v>
      </c>
      <c r="F6994" s="1">
        <v>45083</v>
      </c>
      <c r="G6994" t="str">
        <f>"89512"</f>
        <v>89512</v>
      </c>
      <c r="H6994">
        <v>1</v>
      </c>
      <c r="I6994">
        <v>283</v>
      </c>
      <c r="J6994">
        <v>0</v>
      </c>
      <c r="K6994" t="str">
        <f t="shared" si="1260"/>
        <v>809</v>
      </c>
      <c r="L6994">
        <v>416.01</v>
      </c>
    </row>
    <row r="6995" spans="1:12" x14ac:dyDescent="0.25">
      <c r="A6995" t="str">
        <f t="shared" si="1263"/>
        <v>89301000</v>
      </c>
      <c r="B6995" t="str">
        <f t="shared" si="1261"/>
        <v>89383000</v>
      </c>
      <c r="C6995" t="str">
        <f t="shared" si="1262"/>
        <v>89383002</v>
      </c>
      <c r="D6995">
        <v>89301212</v>
      </c>
      <c r="E6995" t="str">
        <f>"7562115308"</f>
        <v>7562115308</v>
      </c>
      <c r="F6995" s="1">
        <v>45083</v>
      </c>
      <c r="G6995" t="str">
        <f>"89311"</f>
        <v>89311</v>
      </c>
      <c r="H6995">
        <v>1</v>
      </c>
      <c r="I6995">
        <v>970</v>
      </c>
      <c r="J6995">
        <v>0</v>
      </c>
      <c r="K6995" t="str">
        <f t="shared" si="1260"/>
        <v>809</v>
      </c>
      <c r="L6995">
        <v>1425.9</v>
      </c>
    </row>
    <row r="6996" spans="1:12" x14ac:dyDescent="0.25">
      <c r="A6996" t="str">
        <f t="shared" si="1263"/>
        <v>89301000</v>
      </c>
      <c r="B6996" t="str">
        <f t="shared" si="1261"/>
        <v>89383000</v>
      </c>
      <c r="C6996" t="str">
        <f t="shared" si="1262"/>
        <v>89383002</v>
      </c>
      <c r="D6996">
        <v>89301212</v>
      </c>
      <c r="E6996" t="str">
        <f>"6754070609"</f>
        <v>6754070609</v>
      </c>
      <c r="F6996" s="1">
        <v>45085</v>
      </c>
      <c r="G6996" t="str">
        <f>"89180"</f>
        <v>89180</v>
      </c>
      <c r="H6996">
        <v>2</v>
      </c>
      <c r="I6996">
        <v>762</v>
      </c>
      <c r="J6996">
        <v>0</v>
      </c>
      <c r="K6996" t="str">
        <f t="shared" si="1260"/>
        <v>809</v>
      </c>
      <c r="L6996">
        <v>1120.1400000000001</v>
      </c>
    </row>
    <row r="6997" spans="1:12" x14ac:dyDescent="0.25">
      <c r="A6997" t="str">
        <f t="shared" si="1263"/>
        <v>89301000</v>
      </c>
      <c r="B6997" t="str">
        <f t="shared" si="1261"/>
        <v>89383000</v>
      </c>
      <c r="C6997" t="str">
        <f t="shared" si="1262"/>
        <v>89383002</v>
      </c>
      <c r="D6997">
        <v>89301212</v>
      </c>
      <c r="E6997" t="str">
        <f>"6754070609"</f>
        <v>6754070609</v>
      </c>
      <c r="F6997" s="1">
        <v>45085</v>
      </c>
      <c r="G6997" t="str">
        <f>"89512"</f>
        <v>89512</v>
      </c>
      <c r="H6997">
        <v>1</v>
      </c>
      <c r="I6997">
        <v>283</v>
      </c>
      <c r="J6997">
        <v>0</v>
      </c>
      <c r="K6997" t="str">
        <f t="shared" si="1260"/>
        <v>809</v>
      </c>
      <c r="L6997">
        <v>416.01</v>
      </c>
    </row>
    <row r="6998" spans="1:12" x14ac:dyDescent="0.25">
      <c r="A6998" t="str">
        <f t="shared" si="1263"/>
        <v>89301000</v>
      </c>
      <c r="B6998" t="str">
        <f t="shared" si="1261"/>
        <v>89383000</v>
      </c>
      <c r="C6998" t="str">
        <f t="shared" si="1262"/>
        <v>89383002</v>
      </c>
      <c r="D6998">
        <v>89301212</v>
      </c>
      <c r="E6998" t="str">
        <f>"6754070609"</f>
        <v>6754070609</v>
      </c>
      <c r="F6998" s="1">
        <v>45085</v>
      </c>
      <c r="G6998" t="str">
        <f>"89513"</f>
        <v>89513</v>
      </c>
      <c r="H6998">
        <v>1</v>
      </c>
      <c r="I6998">
        <v>378</v>
      </c>
      <c r="J6998">
        <v>0</v>
      </c>
      <c r="K6998" t="str">
        <f t="shared" si="1260"/>
        <v>809</v>
      </c>
      <c r="L6998">
        <v>555.66</v>
      </c>
    </row>
    <row r="6999" spans="1:12" x14ac:dyDescent="0.25">
      <c r="A6999" t="str">
        <f t="shared" si="1263"/>
        <v>89301000</v>
      </c>
      <c r="B6999" t="str">
        <f t="shared" si="1261"/>
        <v>89383000</v>
      </c>
      <c r="C6999" t="str">
        <f t="shared" si="1262"/>
        <v>89383002</v>
      </c>
      <c r="D6999">
        <v>89301212</v>
      </c>
      <c r="E6999" t="str">
        <f>"6754070609"</f>
        <v>6754070609</v>
      </c>
      <c r="F6999" s="1">
        <v>45085</v>
      </c>
      <c r="G6999" t="str">
        <f>"89514"</f>
        <v>89514</v>
      </c>
      <c r="H6999">
        <v>1</v>
      </c>
      <c r="I6999">
        <v>378</v>
      </c>
      <c r="J6999">
        <v>0</v>
      </c>
      <c r="K6999" t="str">
        <f t="shared" si="1260"/>
        <v>809</v>
      </c>
      <c r="L6999">
        <v>555.66</v>
      </c>
    </row>
    <row r="7000" spans="1:12" x14ac:dyDescent="0.25">
      <c r="A7000" t="str">
        <f t="shared" si="1263"/>
        <v>89301000</v>
      </c>
      <c r="B7000" t="str">
        <f t="shared" ref="B7000:B7031" si="1265">"89383000"</f>
        <v>89383000</v>
      </c>
      <c r="C7000" t="str">
        <f t="shared" ref="C7000:C7031" si="1266">"89383002"</f>
        <v>89383002</v>
      </c>
      <c r="D7000">
        <v>89301215</v>
      </c>
      <c r="E7000" t="str">
        <f>"7161075394"</f>
        <v>7161075394</v>
      </c>
      <c r="F7000" s="1">
        <v>45085</v>
      </c>
      <c r="G7000" t="str">
        <f>"89512"</f>
        <v>89512</v>
      </c>
      <c r="H7000">
        <v>1</v>
      </c>
      <c r="I7000">
        <v>283</v>
      </c>
      <c r="J7000">
        <v>0</v>
      </c>
      <c r="K7000" t="str">
        <f t="shared" si="1260"/>
        <v>809</v>
      </c>
      <c r="L7000">
        <v>416.01</v>
      </c>
    </row>
    <row r="7001" spans="1:12" x14ac:dyDescent="0.25">
      <c r="A7001" t="str">
        <f t="shared" si="1263"/>
        <v>89301000</v>
      </c>
      <c r="B7001" t="str">
        <f t="shared" si="1265"/>
        <v>89383000</v>
      </c>
      <c r="C7001" t="str">
        <f t="shared" si="1266"/>
        <v>89383002</v>
      </c>
      <c r="D7001">
        <v>89301212</v>
      </c>
      <c r="E7001" t="str">
        <f>"6854110274"</f>
        <v>6854110274</v>
      </c>
      <c r="F7001" s="1">
        <v>45086</v>
      </c>
      <c r="G7001" t="str">
        <f>"89512"</f>
        <v>89512</v>
      </c>
      <c r="H7001">
        <v>1</v>
      </c>
      <c r="I7001">
        <v>283</v>
      </c>
      <c r="J7001">
        <v>0</v>
      </c>
      <c r="K7001" t="str">
        <f t="shared" si="1260"/>
        <v>809</v>
      </c>
      <c r="L7001">
        <v>416.01</v>
      </c>
    </row>
    <row r="7002" spans="1:12" x14ac:dyDescent="0.25">
      <c r="A7002" t="str">
        <f t="shared" si="1263"/>
        <v>89301000</v>
      </c>
      <c r="B7002" t="str">
        <f t="shared" si="1265"/>
        <v>89383000</v>
      </c>
      <c r="C7002" t="str">
        <f t="shared" si="1266"/>
        <v>89383002</v>
      </c>
      <c r="D7002">
        <v>89301212</v>
      </c>
      <c r="E7002" t="str">
        <f>"6854110274"</f>
        <v>6854110274</v>
      </c>
      <c r="F7002" s="1">
        <v>45086</v>
      </c>
      <c r="G7002" t="str">
        <f>"89513"</f>
        <v>89513</v>
      </c>
      <c r="H7002">
        <v>1</v>
      </c>
      <c r="I7002">
        <v>378</v>
      </c>
      <c r="J7002">
        <v>0</v>
      </c>
      <c r="K7002" t="str">
        <f t="shared" si="1260"/>
        <v>809</v>
      </c>
      <c r="L7002">
        <v>555.66</v>
      </c>
    </row>
    <row r="7003" spans="1:12" x14ac:dyDescent="0.25">
      <c r="A7003" t="str">
        <f t="shared" si="1263"/>
        <v>89301000</v>
      </c>
      <c r="B7003" t="str">
        <f t="shared" si="1265"/>
        <v>89383000</v>
      </c>
      <c r="C7003" t="str">
        <f t="shared" si="1266"/>
        <v>89383002</v>
      </c>
      <c r="D7003">
        <v>89301212</v>
      </c>
      <c r="E7003" t="str">
        <f>"6854110274"</f>
        <v>6854110274</v>
      </c>
      <c r="F7003" s="1">
        <v>45086</v>
      </c>
      <c r="G7003" t="str">
        <f>"89514"</f>
        <v>89514</v>
      </c>
      <c r="H7003">
        <v>1</v>
      </c>
      <c r="I7003">
        <v>378</v>
      </c>
      <c r="J7003">
        <v>0</v>
      </c>
      <c r="K7003" t="str">
        <f t="shared" si="1260"/>
        <v>809</v>
      </c>
      <c r="L7003">
        <v>555.66</v>
      </c>
    </row>
    <row r="7004" spans="1:12" x14ac:dyDescent="0.25">
      <c r="A7004" t="str">
        <f t="shared" si="1263"/>
        <v>89301000</v>
      </c>
      <c r="B7004" t="str">
        <f t="shared" si="1265"/>
        <v>89383000</v>
      </c>
      <c r="C7004" t="str">
        <f t="shared" si="1266"/>
        <v>89383002</v>
      </c>
      <c r="D7004">
        <v>89301212</v>
      </c>
      <c r="E7004" t="str">
        <f>"8962196078"</f>
        <v>8962196078</v>
      </c>
      <c r="F7004" s="1">
        <v>45086</v>
      </c>
      <c r="G7004" t="str">
        <f>"89180"</f>
        <v>89180</v>
      </c>
      <c r="H7004">
        <v>2</v>
      </c>
      <c r="I7004">
        <v>762</v>
      </c>
      <c r="J7004">
        <v>0</v>
      </c>
      <c r="K7004" t="str">
        <f t="shared" si="1260"/>
        <v>809</v>
      </c>
      <c r="L7004">
        <v>1120.1400000000001</v>
      </c>
    </row>
    <row r="7005" spans="1:12" x14ac:dyDescent="0.25">
      <c r="A7005" t="str">
        <f t="shared" si="1263"/>
        <v>89301000</v>
      </c>
      <c r="B7005" t="str">
        <f t="shared" si="1265"/>
        <v>89383000</v>
      </c>
      <c r="C7005" t="str">
        <f t="shared" si="1266"/>
        <v>89383002</v>
      </c>
      <c r="D7005">
        <v>89301212</v>
      </c>
      <c r="E7005" t="str">
        <f>"8962196078"</f>
        <v>8962196078</v>
      </c>
      <c r="F7005" s="1">
        <v>45086</v>
      </c>
      <c r="G7005" t="str">
        <f>"89512"</f>
        <v>89512</v>
      </c>
      <c r="H7005">
        <v>1</v>
      </c>
      <c r="I7005">
        <v>283</v>
      </c>
      <c r="J7005">
        <v>0</v>
      </c>
      <c r="K7005" t="str">
        <f t="shared" si="1260"/>
        <v>809</v>
      </c>
      <c r="L7005">
        <v>416.01</v>
      </c>
    </row>
    <row r="7006" spans="1:12" x14ac:dyDescent="0.25">
      <c r="A7006" t="str">
        <f t="shared" si="1263"/>
        <v>89301000</v>
      </c>
      <c r="B7006" t="str">
        <f t="shared" si="1265"/>
        <v>89383000</v>
      </c>
      <c r="C7006" t="str">
        <f t="shared" si="1266"/>
        <v>89383002</v>
      </c>
      <c r="D7006">
        <v>89301212</v>
      </c>
      <c r="E7006" t="str">
        <f>"8962196078"</f>
        <v>8962196078</v>
      </c>
      <c r="F7006" s="1">
        <v>45086</v>
      </c>
      <c r="G7006" t="str">
        <f>"89513"</f>
        <v>89513</v>
      </c>
      <c r="H7006">
        <v>1</v>
      </c>
      <c r="I7006">
        <v>378</v>
      </c>
      <c r="J7006">
        <v>0</v>
      </c>
      <c r="K7006" t="str">
        <f t="shared" si="1260"/>
        <v>809</v>
      </c>
      <c r="L7006">
        <v>555.66</v>
      </c>
    </row>
    <row r="7007" spans="1:12" x14ac:dyDescent="0.25">
      <c r="A7007" t="str">
        <f t="shared" si="1263"/>
        <v>89301000</v>
      </c>
      <c r="B7007" t="str">
        <f t="shared" si="1265"/>
        <v>89383000</v>
      </c>
      <c r="C7007" t="str">
        <f t="shared" si="1266"/>
        <v>89383002</v>
      </c>
      <c r="D7007">
        <v>89301212</v>
      </c>
      <c r="E7007" t="str">
        <f>"8962196078"</f>
        <v>8962196078</v>
      </c>
      <c r="F7007" s="1">
        <v>45086</v>
      </c>
      <c r="G7007" t="str">
        <f>"89514"</f>
        <v>89514</v>
      </c>
      <c r="H7007">
        <v>1</v>
      </c>
      <c r="I7007">
        <v>378</v>
      </c>
      <c r="J7007">
        <v>0</v>
      </c>
      <c r="K7007" t="str">
        <f t="shared" si="1260"/>
        <v>809</v>
      </c>
      <c r="L7007">
        <v>555.66</v>
      </c>
    </row>
    <row r="7008" spans="1:12" x14ac:dyDescent="0.25">
      <c r="A7008" t="str">
        <f t="shared" si="1263"/>
        <v>89301000</v>
      </c>
      <c r="B7008" t="str">
        <f t="shared" si="1265"/>
        <v>89383000</v>
      </c>
      <c r="C7008" t="str">
        <f t="shared" si="1266"/>
        <v>89383002</v>
      </c>
      <c r="D7008">
        <v>89301212</v>
      </c>
      <c r="E7008" t="str">
        <f>"7153095345"</f>
        <v>7153095345</v>
      </c>
      <c r="F7008" s="1">
        <v>45086</v>
      </c>
      <c r="G7008" t="str">
        <f>"89513"</f>
        <v>89513</v>
      </c>
      <c r="H7008">
        <v>1</v>
      </c>
      <c r="I7008">
        <v>378</v>
      </c>
      <c r="J7008">
        <v>0</v>
      </c>
      <c r="K7008" t="str">
        <f t="shared" si="1260"/>
        <v>809</v>
      </c>
      <c r="L7008">
        <v>555.66</v>
      </c>
    </row>
    <row r="7009" spans="1:12" x14ac:dyDescent="0.25">
      <c r="A7009" t="str">
        <f t="shared" si="1263"/>
        <v>89301000</v>
      </c>
      <c r="B7009" t="str">
        <f t="shared" si="1265"/>
        <v>89383000</v>
      </c>
      <c r="C7009" t="str">
        <f t="shared" si="1266"/>
        <v>89383002</v>
      </c>
      <c r="D7009">
        <v>89301212</v>
      </c>
      <c r="E7009" t="str">
        <f>"7153095345"</f>
        <v>7153095345</v>
      </c>
      <c r="F7009" s="1">
        <v>45086</v>
      </c>
      <c r="G7009" t="str">
        <f>"89514"</f>
        <v>89514</v>
      </c>
      <c r="H7009">
        <v>1</v>
      </c>
      <c r="I7009">
        <v>378</v>
      </c>
      <c r="J7009">
        <v>0</v>
      </c>
      <c r="K7009" t="str">
        <f t="shared" si="1260"/>
        <v>809</v>
      </c>
      <c r="L7009">
        <v>555.66</v>
      </c>
    </row>
    <row r="7010" spans="1:12" x14ac:dyDescent="0.25">
      <c r="A7010" t="str">
        <f t="shared" si="1263"/>
        <v>89301000</v>
      </c>
      <c r="B7010" t="str">
        <f t="shared" si="1265"/>
        <v>89383000</v>
      </c>
      <c r="C7010" t="str">
        <f t="shared" si="1266"/>
        <v>89383002</v>
      </c>
      <c r="D7010">
        <v>89301212</v>
      </c>
      <c r="E7010" t="str">
        <f>"7252125683"</f>
        <v>7252125683</v>
      </c>
      <c r="F7010" s="1">
        <v>45086</v>
      </c>
      <c r="G7010" t="str">
        <f>"89180"</f>
        <v>89180</v>
      </c>
      <c r="H7010">
        <v>1</v>
      </c>
      <c r="I7010">
        <v>381</v>
      </c>
      <c r="J7010">
        <v>0</v>
      </c>
      <c r="K7010" t="str">
        <f t="shared" si="1260"/>
        <v>809</v>
      </c>
      <c r="L7010">
        <v>560.07000000000005</v>
      </c>
    </row>
    <row r="7011" spans="1:12" x14ac:dyDescent="0.25">
      <c r="A7011" t="str">
        <f t="shared" si="1263"/>
        <v>89301000</v>
      </c>
      <c r="B7011" t="str">
        <f t="shared" si="1265"/>
        <v>89383000</v>
      </c>
      <c r="C7011" t="str">
        <f t="shared" si="1266"/>
        <v>89383002</v>
      </c>
      <c r="D7011">
        <v>89301212</v>
      </c>
      <c r="E7011" t="str">
        <f>"7252125683"</f>
        <v>7252125683</v>
      </c>
      <c r="F7011" s="1">
        <v>45086</v>
      </c>
      <c r="G7011" t="str">
        <f>"89512"</f>
        <v>89512</v>
      </c>
      <c r="H7011">
        <v>1</v>
      </c>
      <c r="I7011">
        <v>283</v>
      </c>
      <c r="J7011">
        <v>0</v>
      </c>
      <c r="K7011" t="str">
        <f t="shared" si="1260"/>
        <v>809</v>
      </c>
      <c r="L7011">
        <v>416.01</v>
      </c>
    </row>
    <row r="7012" spans="1:12" x14ac:dyDescent="0.25">
      <c r="A7012" t="str">
        <f t="shared" si="1263"/>
        <v>89301000</v>
      </c>
      <c r="B7012" t="str">
        <f t="shared" si="1265"/>
        <v>89383000</v>
      </c>
      <c r="C7012" t="str">
        <f t="shared" si="1266"/>
        <v>89383002</v>
      </c>
      <c r="D7012">
        <v>89301212</v>
      </c>
      <c r="E7012" t="str">
        <f>"7559045714"</f>
        <v>7559045714</v>
      </c>
      <c r="F7012" s="1">
        <v>45089</v>
      </c>
      <c r="G7012" t="str">
        <f>"89180"</f>
        <v>89180</v>
      </c>
      <c r="H7012">
        <v>1</v>
      </c>
      <c r="I7012">
        <v>381</v>
      </c>
      <c r="J7012">
        <v>0</v>
      </c>
      <c r="K7012" t="str">
        <f t="shared" si="1260"/>
        <v>809</v>
      </c>
      <c r="L7012">
        <v>560.07000000000005</v>
      </c>
    </row>
    <row r="7013" spans="1:12" x14ac:dyDescent="0.25">
      <c r="A7013" t="str">
        <f t="shared" si="1263"/>
        <v>89301000</v>
      </c>
      <c r="B7013" t="str">
        <f t="shared" si="1265"/>
        <v>89383000</v>
      </c>
      <c r="C7013" t="str">
        <f t="shared" si="1266"/>
        <v>89383002</v>
      </c>
      <c r="D7013">
        <v>89301212</v>
      </c>
      <c r="E7013" t="str">
        <f>"7559045714"</f>
        <v>7559045714</v>
      </c>
      <c r="F7013" s="1">
        <v>45089</v>
      </c>
      <c r="G7013" t="str">
        <f>"89512"</f>
        <v>89512</v>
      </c>
      <c r="H7013">
        <v>1</v>
      </c>
      <c r="I7013">
        <v>283</v>
      </c>
      <c r="J7013">
        <v>0</v>
      </c>
      <c r="K7013" t="str">
        <f t="shared" si="1260"/>
        <v>809</v>
      </c>
      <c r="L7013">
        <v>416.01</v>
      </c>
    </row>
    <row r="7014" spans="1:12" x14ac:dyDescent="0.25">
      <c r="A7014" t="str">
        <f t="shared" si="1263"/>
        <v>89301000</v>
      </c>
      <c r="B7014" t="str">
        <f t="shared" si="1265"/>
        <v>89383000</v>
      </c>
      <c r="C7014" t="str">
        <f t="shared" si="1266"/>
        <v>89383002</v>
      </c>
      <c r="D7014">
        <v>89301212</v>
      </c>
      <c r="E7014" t="str">
        <f>"7559045714"</f>
        <v>7559045714</v>
      </c>
      <c r="F7014" s="1">
        <v>45089</v>
      </c>
      <c r="G7014" t="str">
        <f>"89513"</f>
        <v>89513</v>
      </c>
      <c r="H7014">
        <v>1</v>
      </c>
      <c r="I7014">
        <v>378</v>
      </c>
      <c r="J7014">
        <v>0</v>
      </c>
      <c r="K7014" t="str">
        <f t="shared" si="1260"/>
        <v>809</v>
      </c>
      <c r="L7014">
        <v>555.66</v>
      </c>
    </row>
    <row r="7015" spans="1:12" x14ac:dyDescent="0.25">
      <c r="A7015" t="str">
        <f t="shared" si="1263"/>
        <v>89301000</v>
      </c>
      <c r="B7015" t="str">
        <f t="shared" si="1265"/>
        <v>89383000</v>
      </c>
      <c r="C7015" t="str">
        <f t="shared" si="1266"/>
        <v>89383002</v>
      </c>
      <c r="D7015">
        <v>89301212</v>
      </c>
      <c r="E7015" t="str">
        <f>"7559045714"</f>
        <v>7559045714</v>
      </c>
      <c r="F7015" s="1">
        <v>45089</v>
      </c>
      <c r="G7015" t="str">
        <f>"89514"</f>
        <v>89514</v>
      </c>
      <c r="H7015">
        <v>1</v>
      </c>
      <c r="I7015">
        <v>378</v>
      </c>
      <c r="J7015">
        <v>0</v>
      </c>
      <c r="K7015" t="str">
        <f t="shared" si="1260"/>
        <v>809</v>
      </c>
      <c r="L7015">
        <v>555.66</v>
      </c>
    </row>
    <row r="7016" spans="1:12" x14ac:dyDescent="0.25">
      <c r="A7016" t="str">
        <f t="shared" si="1263"/>
        <v>89301000</v>
      </c>
      <c r="B7016" t="str">
        <f t="shared" si="1265"/>
        <v>89383000</v>
      </c>
      <c r="C7016" t="str">
        <f t="shared" si="1266"/>
        <v>89383002</v>
      </c>
      <c r="D7016">
        <v>89301212</v>
      </c>
      <c r="E7016" t="str">
        <f>"6851230067"</f>
        <v>6851230067</v>
      </c>
      <c r="F7016" s="1">
        <v>45089</v>
      </c>
      <c r="G7016" t="str">
        <f>"89513"</f>
        <v>89513</v>
      </c>
      <c r="H7016">
        <v>1</v>
      </c>
      <c r="I7016">
        <v>378</v>
      </c>
      <c r="J7016">
        <v>0</v>
      </c>
      <c r="K7016" t="str">
        <f t="shared" si="1260"/>
        <v>809</v>
      </c>
      <c r="L7016">
        <v>555.66</v>
      </c>
    </row>
    <row r="7017" spans="1:12" x14ac:dyDescent="0.25">
      <c r="A7017" t="str">
        <f t="shared" si="1263"/>
        <v>89301000</v>
      </c>
      <c r="B7017" t="str">
        <f t="shared" si="1265"/>
        <v>89383000</v>
      </c>
      <c r="C7017" t="str">
        <f t="shared" si="1266"/>
        <v>89383002</v>
      </c>
      <c r="D7017">
        <v>89301212</v>
      </c>
      <c r="E7017" t="str">
        <f>"6851230067"</f>
        <v>6851230067</v>
      </c>
      <c r="F7017" s="1">
        <v>45089</v>
      </c>
      <c r="G7017" t="str">
        <f>"89514"</f>
        <v>89514</v>
      </c>
      <c r="H7017">
        <v>1</v>
      </c>
      <c r="I7017">
        <v>378</v>
      </c>
      <c r="J7017">
        <v>0</v>
      </c>
      <c r="K7017" t="str">
        <f t="shared" si="1260"/>
        <v>809</v>
      </c>
      <c r="L7017">
        <v>555.66</v>
      </c>
    </row>
    <row r="7018" spans="1:12" x14ac:dyDescent="0.25">
      <c r="A7018" t="str">
        <f t="shared" si="1263"/>
        <v>89301000</v>
      </c>
      <c r="B7018" t="str">
        <f t="shared" si="1265"/>
        <v>89383000</v>
      </c>
      <c r="C7018" t="str">
        <f t="shared" si="1266"/>
        <v>89383002</v>
      </c>
      <c r="D7018">
        <v>89301212</v>
      </c>
      <c r="E7018" t="str">
        <f>"5459073125"</f>
        <v>5459073125</v>
      </c>
      <c r="F7018" s="1">
        <v>45089</v>
      </c>
      <c r="G7018" t="str">
        <f>"89512"</f>
        <v>89512</v>
      </c>
      <c r="H7018">
        <v>1</v>
      </c>
      <c r="I7018">
        <v>283</v>
      </c>
      <c r="J7018">
        <v>0</v>
      </c>
      <c r="K7018" t="str">
        <f t="shared" si="1260"/>
        <v>809</v>
      </c>
      <c r="L7018">
        <v>416.01</v>
      </c>
    </row>
    <row r="7019" spans="1:12" x14ac:dyDescent="0.25">
      <c r="A7019" t="str">
        <f t="shared" si="1263"/>
        <v>89301000</v>
      </c>
      <c r="B7019" t="str">
        <f t="shared" si="1265"/>
        <v>89383000</v>
      </c>
      <c r="C7019" t="str">
        <f t="shared" si="1266"/>
        <v>89383002</v>
      </c>
      <c r="D7019">
        <v>89301045</v>
      </c>
      <c r="E7019" t="str">
        <f>"5552100708"</f>
        <v>5552100708</v>
      </c>
      <c r="F7019" s="1">
        <v>45089</v>
      </c>
      <c r="G7019" t="str">
        <f>"89512"</f>
        <v>89512</v>
      </c>
      <c r="H7019">
        <v>1</v>
      </c>
      <c r="I7019">
        <v>283</v>
      </c>
      <c r="J7019">
        <v>0</v>
      </c>
      <c r="K7019" t="str">
        <f t="shared" ref="K7019:K7082" si="1267">"809"</f>
        <v>809</v>
      </c>
      <c r="L7019">
        <v>416.01</v>
      </c>
    </row>
    <row r="7020" spans="1:12" x14ac:dyDescent="0.25">
      <c r="A7020" t="str">
        <f t="shared" si="1263"/>
        <v>89301000</v>
      </c>
      <c r="B7020" t="str">
        <f t="shared" si="1265"/>
        <v>89383000</v>
      </c>
      <c r="C7020" t="str">
        <f t="shared" si="1266"/>
        <v>89383002</v>
      </c>
      <c r="D7020">
        <v>89301215</v>
      </c>
      <c r="E7020" t="str">
        <f>"8552125758"</f>
        <v>8552125758</v>
      </c>
      <c r="F7020" s="1">
        <v>45089</v>
      </c>
      <c r="G7020" t="str">
        <f>"89512"</f>
        <v>89512</v>
      </c>
      <c r="H7020">
        <v>1</v>
      </c>
      <c r="I7020">
        <v>283</v>
      </c>
      <c r="J7020">
        <v>0</v>
      </c>
      <c r="K7020" t="str">
        <f t="shared" si="1267"/>
        <v>809</v>
      </c>
      <c r="L7020">
        <v>416.01</v>
      </c>
    </row>
    <row r="7021" spans="1:12" x14ac:dyDescent="0.25">
      <c r="A7021" t="str">
        <f t="shared" si="1263"/>
        <v>89301000</v>
      </c>
      <c r="B7021" t="str">
        <f t="shared" si="1265"/>
        <v>89383000</v>
      </c>
      <c r="C7021" t="str">
        <f t="shared" si="1266"/>
        <v>89383002</v>
      </c>
      <c r="D7021">
        <v>89301212</v>
      </c>
      <c r="E7021" t="str">
        <f>"8551285798"</f>
        <v>8551285798</v>
      </c>
      <c r="F7021" s="1">
        <v>45089</v>
      </c>
      <c r="G7021" t="str">
        <f>"89512"</f>
        <v>89512</v>
      </c>
      <c r="H7021">
        <v>1</v>
      </c>
      <c r="I7021">
        <v>283</v>
      </c>
      <c r="J7021">
        <v>0</v>
      </c>
      <c r="K7021" t="str">
        <f t="shared" si="1267"/>
        <v>809</v>
      </c>
      <c r="L7021">
        <v>416.01</v>
      </c>
    </row>
    <row r="7022" spans="1:12" x14ac:dyDescent="0.25">
      <c r="A7022" t="str">
        <f t="shared" si="1263"/>
        <v>89301000</v>
      </c>
      <c r="B7022" t="str">
        <f t="shared" si="1265"/>
        <v>89383000</v>
      </c>
      <c r="C7022" t="str">
        <f t="shared" si="1266"/>
        <v>89383002</v>
      </c>
      <c r="D7022">
        <v>89301045</v>
      </c>
      <c r="E7022" t="str">
        <f>"8560095819"</f>
        <v>8560095819</v>
      </c>
      <c r="F7022" s="1">
        <v>45089</v>
      </c>
      <c r="G7022" t="str">
        <f>"89813"</f>
        <v>89813</v>
      </c>
      <c r="H7022">
        <v>1</v>
      </c>
      <c r="I7022">
        <v>135</v>
      </c>
      <c r="J7022">
        <v>0</v>
      </c>
      <c r="K7022" t="str">
        <f t="shared" si="1267"/>
        <v>809</v>
      </c>
      <c r="L7022">
        <v>198.45</v>
      </c>
    </row>
    <row r="7023" spans="1:12" x14ac:dyDescent="0.25">
      <c r="A7023" t="str">
        <f t="shared" si="1263"/>
        <v>89301000</v>
      </c>
      <c r="B7023" t="str">
        <f t="shared" si="1265"/>
        <v>89383000</v>
      </c>
      <c r="C7023" t="str">
        <f t="shared" si="1266"/>
        <v>89383002</v>
      </c>
      <c r="D7023">
        <v>89301212</v>
      </c>
      <c r="E7023" t="str">
        <f>"6252150014"</f>
        <v>6252150014</v>
      </c>
      <c r="F7023" s="1">
        <v>45090</v>
      </c>
      <c r="G7023" t="str">
        <f>"89180"</f>
        <v>89180</v>
      </c>
      <c r="H7023">
        <v>1</v>
      </c>
      <c r="I7023">
        <v>381</v>
      </c>
      <c r="J7023">
        <v>0</v>
      </c>
      <c r="K7023" t="str">
        <f t="shared" si="1267"/>
        <v>809</v>
      </c>
      <c r="L7023">
        <v>560.07000000000005</v>
      </c>
    </row>
    <row r="7024" spans="1:12" x14ac:dyDescent="0.25">
      <c r="A7024" t="str">
        <f t="shared" si="1263"/>
        <v>89301000</v>
      </c>
      <c r="B7024" t="str">
        <f t="shared" si="1265"/>
        <v>89383000</v>
      </c>
      <c r="C7024" t="str">
        <f t="shared" si="1266"/>
        <v>89383002</v>
      </c>
      <c r="D7024">
        <v>89301212</v>
      </c>
      <c r="E7024" t="str">
        <f>"6252150014"</f>
        <v>6252150014</v>
      </c>
      <c r="F7024" s="1">
        <v>45090</v>
      </c>
      <c r="G7024" t="str">
        <f>"89512"</f>
        <v>89512</v>
      </c>
      <c r="H7024">
        <v>1</v>
      </c>
      <c r="I7024">
        <v>283</v>
      </c>
      <c r="J7024">
        <v>0</v>
      </c>
      <c r="K7024" t="str">
        <f t="shared" si="1267"/>
        <v>809</v>
      </c>
      <c r="L7024">
        <v>416.01</v>
      </c>
    </row>
    <row r="7025" spans="1:12" x14ac:dyDescent="0.25">
      <c r="A7025" t="str">
        <f t="shared" si="1263"/>
        <v>89301000</v>
      </c>
      <c r="B7025" t="str">
        <f t="shared" si="1265"/>
        <v>89383000</v>
      </c>
      <c r="C7025" t="str">
        <f t="shared" si="1266"/>
        <v>89383002</v>
      </c>
      <c r="D7025">
        <v>89301212</v>
      </c>
      <c r="E7025" t="str">
        <f>"6252150014"</f>
        <v>6252150014</v>
      </c>
      <c r="F7025" s="1">
        <v>45090</v>
      </c>
      <c r="G7025" t="str">
        <f>"89513"</f>
        <v>89513</v>
      </c>
      <c r="H7025">
        <v>1</v>
      </c>
      <c r="I7025">
        <v>378</v>
      </c>
      <c r="J7025">
        <v>0</v>
      </c>
      <c r="K7025" t="str">
        <f t="shared" si="1267"/>
        <v>809</v>
      </c>
      <c r="L7025">
        <v>555.66</v>
      </c>
    </row>
    <row r="7026" spans="1:12" x14ac:dyDescent="0.25">
      <c r="A7026" t="str">
        <f t="shared" si="1263"/>
        <v>89301000</v>
      </c>
      <c r="B7026" t="str">
        <f t="shared" si="1265"/>
        <v>89383000</v>
      </c>
      <c r="C7026" t="str">
        <f t="shared" si="1266"/>
        <v>89383002</v>
      </c>
      <c r="D7026">
        <v>89301212</v>
      </c>
      <c r="E7026" t="str">
        <f>"6252150014"</f>
        <v>6252150014</v>
      </c>
      <c r="F7026" s="1">
        <v>45090</v>
      </c>
      <c r="G7026" t="str">
        <f>"89514"</f>
        <v>89514</v>
      </c>
      <c r="H7026">
        <v>1</v>
      </c>
      <c r="I7026">
        <v>378</v>
      </c>
      <c r="J7026">
        <v>0</v>
      </c>
      <c r="K7026" t="str">
        <f t="shared" si="1267"/>
        <v>809</v>
      </c>
      <c r="L7026">
        <v>555.66</v>
      </c>
    </row>
    <row r="7027" spans="1:12" x14ac:dyDescent="0.25">
      <c r="A7027" t="str">
        <f t="shared" si="1263"/>
        <v>89301000</v>
      </c>
      <c r="B7027" t="str">
        <f t="shared" si="1265"/>
        <v>89383000</v>
      </c>
      <c r="C7027" t="str">
        <f t="shared" si="1266"/>
        <v>89383002</v>
      </c>
      <c r="D7027">
        <v>89301212</v>
      </c>
      <c r="E7027" t="str">
        <f>"7358145344"</f>
        <v>7358145344</v>
      </c>
      <c r="F7027" s="1">
        <v>45090</v>
      </c>
      <c r="G7027" t="str">
        <f>"89180"</f>
        <v>89180</v>
      </c>
      <c r="H7027">
        <v>2</v>
      </c>
      <c r="I7027">
        <v>762</v>
      </c>
      <c r="J7027">
        <v>0</v>
      </c>
      <c r="K7027" t="str">
        <f t="shared" si="1267"/>
        <v>809</v>
      </c>
      <c r="L7027">
        <v>1120.1400000000001</v>
      </c>
    </row>
    <row r="7028" spans="1:12" x14ac:dyDescent="0.25">
      <c r="A7028" t="str">
        <f t="shared" si="1263"/>
        <v>89301000</v>
      </c>
      <c r="B7028" t="str">
        <f t="shared" si="1265"/>
        <v>89383000</v>
      </c>
      <c r="C7028" t="str">
        <f t="shared" si="1266"/>
        <v>89383002</v>
      </c>
      <c r="D7028">
        <v>89301212</v>
      </c>
      <c r="E7028" t="str">
        <f>"7358145344"</f>
        <v>7358145344</v>
      </c>
      <c r="F7028" s="1">
        <v>45090</v>
      </c>
      <c r="G7028" t="str">
        <f>"89512"</f>
        <v>89512</v>
      </c>
      <c r="H7028">
        <v>1</v>
      </c>
      <c r="I7028">
        <v>283</v>
      </c>
      <c r="J7028">
        <v>0</v>
      </c>
      <c r="K7028" t="str">
        <f t="shared" si="1267"/>
        <v>809</v>
      </c>
      <c r="L7028">
        <v>416.01</v>
      </c>
    </row>
    <row r="7029" spans="1:12" x14ac:dyDescent="0.25">
      <c r="A7029" t="str">
        <f t="shared" si="1263"/>
        <v>89301000</v>
      </c>
      <c r="B7029" t="str">
        <f t="shared" si="1265"/>
        <v>89383000</v>
      </c>
      <c r="C7029" t="str">
        <f t="shared" si="1266"/>
        <v>89383002</v>
      </c>
      <c r="D7029">
        <v>89301212</v>
      </c>
      <c r="E7029" t="str">
        <f>"7358145344"</f>
        <v>7358145344</v>
      </c>
      <c r="F7029" s="1">
        <v>45090</v>
      </c>
      <c r="G7029" t="str">
        <f>"89513"</f>
        <v>89513</v>
      </c>
      <c r="H7029">
        <v>1</v>
      </c>
      <c r="I7029">
        <v>378</v>
      </c>
      <c r="J7029">
        <v>0</v>
      </c>
      <c r="K7029" t="str">
        <f t="shared" si="1267"/>
        <v>809</v>
      </c>
      <c r="L7029">
        <v>555.66</v>
      </c>
    </row>
    <row r="7030" spans="1:12" x14ac:dyDescent="0.25">
      <c r="A7030" t="str">
        <f t="shared" si="1263"/>
        <v>89301000</v>
      </c>
      <c r="B7030" t="str">
        <f t="shared" si="1265"/>
        <v>89383000</v>
      </c>
      <c r="C7030" t="str">
        <f t="shared" si="1266"/>
        <v>89383002</v>
      </c>
      <c r="D7030">
        <v>89301212</v>
      </c>
      <c r="E7030" t="str">
        <f>"7358145344"</f>
        <v>7358145344</v>
      </c>
      <c r="F7030" s="1">
        <v>45090</v>
      </c>
      <c r="G7030" t="str">
        <f>"89514"</f>
        <v>89514</v>
      </c>
      <c r="H7030">
        <v>1</v>
      </c>
      <c r="I7030">
        <v>378</v>
      </c>
      <c r="J7030">
        <v>0</v>
      </c>
      <c r="K7030" t="str">
        <f t="shared" si="1267"/>
        <v>809</v>
      </c>
      <c r="L7030">
        <v>555.66</v>
      </c>
    </row>
    <row r="7031" spans="1:12" x14ac:dyDescent="0.25">
      <c r="A7031" t="str">
        <f t="shared" si="1263"/>
        <v>89301000</v>
      </c>
      <c r="B7031" t="str">
        <f t="shared" si="1265"/>
        <v>89383000</v>
      </c>
      <c r="C7031" t="str">
        <f t="shared" si="1266"/>
        <v>89383002</v>
      </c>
      <c r="D7031">
        <v>89301212</v>
      </c>
      <c r="E7031" t="str">
        <f>"6252280067"</f>
        <v>6252280067</v>
      </c>
      <c r="F7031" s="1">
        <v>45090</v>
      </c>
      <c r="G7031" t="str">
        <f>"89513"</f>
        <v>89513</v>
      </c>
      <c r="H7031">
        <v>1</v>
      </c>
      <c r="I7031">
        <v>378</v>
      </c>
      <c r="J7031">
        <v>0</v>
      </c>
      <c r="K7031" t="str">
        <f t="shared" si="1267"/>
        <v>809</v>
      </c>
      <c r="L7031">
        <v>555.66</v>
      </c>
    </row>
    <row r="7032" spans="1:12" x14ac:dyDescent="0.25">
      <c r="A7032" t="str">
        <f t="shared" si="1263"/>
        <v>89301000</v>
      </c>
      <c r="B7032" t="str">
        <f t="shared" ref="B7032:B7063" si="1268">"89383000"</f>
        <v>89383000</v>
      </c>
      <c r="C7032" t="str">
        <f t="shared" ref="C7032:C7063" si="1269">"89383002"</f>
        <v>89383002</v>
      </c>
      <c r="D7032">
        <v>89301212</v>
      </c>
      <c r="E7032" t="str">
        <f>"6252280067"</f>
        <v>6252280067</v>
      </c>
      <c r="F7032" s="1">
        <v>45090</v>
      </c>
      <c r="G7032" t="str">
        <f>"89514"</f>
        <v>89514</v>
      </c>
      <c r="H7032">
        <v>1</v>
      </c>
      <c r="I7032">
        <v>378</v>
      </c>
      <c r="J7032">
        <v>0</v>
      </c>
      <c r="K7032" t="str">
        <f t="shared" si="1267"/>
        <v>809</v>
      </c>
      <c r="L7032">
        <v>555.66</v>
      </c>
    </row>
    <row r="7033" spans="1:12" x14ac:dyDescent="0.25">
      <c r="A7033" t="str">
        <f t="shared" si="1263"/>
        <v>89301000</v>
      </c>
      <c r="B7033" t="str">
        <f t="shared" si="1268"/>
        <v>89383000</v>
      </c>
      <c r="C7033" t="str">
        <f t="shared" si="1269"/>
        <v>89383002</v>
      </c>
      <c r="D7033">
        <v>89301212</v>
      </c>
      <c r="E7033" t="str">
        <f>"7756215357"</f>
        <v>7756215357</v>
      </c>
      <c r="F7033" s="1">
        <v>45090</v>
      </c>
      <c r="G7033" t="str">
        <f>"89512"</f>
        <v>89512</v>
      </c>
      <c r="H7033">
        <v>1</v>
      </c>
      <c r="I7033">
        <v>283</v>
      </c>
      <c r="J7033">
        <v>0</v>
      </c>
      <c r="K7033" t="str">
        <f t="shared" si="1267"/>
        <v>809</v>
      </c>
      <c r="L7033">
        <v>416.01</v>
      </c>
    </row>
    <row r="7034" spans="1:12" x14ac:dyDescent="0.25">
      <c r="A7034" t="str">
        <f t="shared" si="1263"/>
        <v>89301000</v>
      </c>
      <c r="B7034" t="str">
        <f t="shared" si="1268"/>
        <v>89383000</v>
      </c>
      <c r="C7034" t="str">
        <f t="shared" si="1269"/>
        <v>89383002</v>
      </c>
      <c r="D7034">
        <v>89301212</v>
      </c>
      <c r="E7034" t="str">
        <f>"7756215357"</f>
        <v>7756215357</v>
      </c>
      <c r="F7034" s="1">
        <v>45090</v>
      </c>
      <c r="G7034" t="str">
        <f>"89513"</f>
        <v>89513</v>
      </c>
      <c r="H7034">
        <v>1</v>
      </c>
      <c r="I7034">
        <v>378</v>
      </c>
      <c r="J7034">
        <v>0</v>
      </c>
      <c r="K7034" t="str">
        <f t="shared" si="1267"/>
        <v>809</v>
      </c>
      <c r="L7034">
        <v>555.66</v>
      </c>
    </row>
    <row r="7035" spans="1:12" x14ac:dyDescent="0.25">
      <c r="A7035" t="str">
        <f t="shared" si="1263"/>
        <v>89301000</v>
      </c>
      <c r="B7035" t="str">
        <f t="shared" si="1268"/>
        <v>89383000</v>
      </c>
      <c r="C7035" t="str">
        <f t="shared" si="1269"/>
        <v>89383002</v>
      </c>
      <c r="D7035">
        <v>89301212</v>
      </c>
      <c r="E7035" t="str">
        <f>"7756215357"</f>
        <v>7756215357</v>
      </c>
      <c r="F7035" s="1">
        <v>45090</v>
      </c>
      <c r="G7035" t="str">
        <f>"89514"</f>
        <v>89514</v>
      </c>
      <c r="H7035">
        <v>1</v>
      </c>
      <c r="I7035">
        <v>378</v>
      </c>
      <c r="J7035">
        <v>0</v>
      </c>
      <c r="K7035" t="str">
        <f t="shared" si="1267"/>
        <v>809</v>
      </c>
      <c r="L7035">
        <v>555.66</v>
      </c>
    </row>
    <row r="7036" spans="1:12" x14ac:dyDescent="0.25">
      <c r="A7036" t="str">
        <f t="shared" si="1263"/>
        <v>89301000</v>
      </c>
      <c r="B7036" t="str">
        <f t="shared" si="1268"/>
        <v>89383000</v>
      </c>
      <c r="C7036" t="str">
        <f t="shared" si="1269"/>
        <v>89383002</v>
      </c>
      <c r="D7036">
        <v>89301212</v>
      </c>
      <c r="E7036" t="str">
        <f>"6551030948"</f>
        <v>6551030948</v>
      </c>
      <c r="F7036" s="1">
        <v>45090</v>
      </c>
      <c r="G7036" t="str">
        <f>"89512"</f>
        <v>89512</v>
      </c>
      <c r="H7036">
        <v>1</v>
      </c>
      <c r="I7036">
        <v>283</v>
      </c>
      <c r="J7036">
        <v>0</v>
      </c>
      <c r="K7036" t="str">
        <f t="shared" si="1267"/>
        <v>809</v>
      </c>
      <c r="L7036">
        <v>416.01</v>
      </c>
    </row>
    <row r="7037" spans="1:12" x14ac:dyDescent="0.25">
      <c r="A7037" t="str">
        <f t="shared" si="1263"/>
        <v>89301000</v>
      </c>
      <c r="B7037" t="str">
        <f t="shared" si="1268"/>
        <v>89383000</v>
      </c>
      <c r="C7037" t="str">
        <f t="shared" si="1269"/>
        <v>89383002</v>
      </c>
      <c r="D7037">
        <v>89301042</v>
      </c>
      <c r="E7037" t="str">
        <f>"9457314856"</f>
        <v>9457314856</v>
      </c>
      <c r="F7037" s="1">
        <v>45090</v>
      </c>
      <c r="G7037" t="str">
        <f>"89512"</f>
        <v>89512</v>
      </c>
      <c r="H7037">
        <v>1</v>
      </c>
      <c r="I7037">
        <v>283</v>
      </c>
      <c r="J7037">
        <v>0</v>
      </c>
      <c r="K7037" t="str">
        <f t="shared" si="1267"/>
        <v>809</v>
      </c>
      <c r="L7037">
        <v>416.01</v>
      </c>
    </row>
    <row r="7038" spans="1:12" x14ac:dyDescent="0.25">
      <c r="A7038" t="str">
        <f t="shared" si="1263"/>
        <v>89301000</v>
      </c>
      <c r="B7038" t="str">
        <f t="shared" si="1268"/>
        <v>89383000</v>
      </c>
      <c r="C7038" t="str">
        <f t="shared" si="1269"/>
        <v>89383002</v>
      </c>
      <c r="D7038">
        <v>89301215</v>
      </c>
      <c r="E7038" t="str">
        <f>"7161075394"</f>
        <v>7161075394</v>
      </c>
      <c r="F7038" s="1">
        <v>45091</v>
      </c>
      <c r="G7038" t="str">
        <f>"89512"</f>
        <v>89512</v>
      </c>
      <c r="H7038">
        <v>1</v>
      </c>
      <c r="I7038">
        <v>283</v>
      </c>
      <c r="J7038">
        <v>0</v>
      </c>
      <c r="K7038" t="str">
        <f t="shared" si="1267"/>
        <v>809</v>
      </c>
      <c r="L7038">
        <v>416.01</v>
      </c>
    </row>
    <row r="7039" spans="1:12" x14ac:dyDescent="0.25">
      <c r="A7039" t="str">
        <f t="shared" si="1263"/>
        <v>89301000</v>
      </c>
      <c r="B7039" t="str">
        <f t="shared" si="1268"/>
        <v>89383000</v>
      </c>
      <c r="C7039" t="str">
        <f t="shared" si="1269"/>
        <v>89383002</v>
      </c>
      <c r="D7039">
        <v>89301215</v>
      </c>
      <c r="E7039" t="str">
        <f>"7161075394"</f>
        <v>7161075394</v>
      </c>
      <c r="F7039" s="1">
        <v>45091</v>
      </c>
      <c r="G7039" t="str">
        <f>"89311"</f>
        <v>89311</v>
      </c>
      <c r="H7039">
        <v>1</v>
      </c>
      <c r="I7039">
        <v>970</v>
      </c>
      <c r="J7039">
        <v>0</v>
      </c>
      <c r="K7039" t="str">
        <f t="shared" si="1267"/>
        <v>809</v>
      </c>
      <c r="L7039">
        <v>1425.9</v>
      </c>
    </row>
    <row r="7040" spans="1:12" x14ac:dyDescent="0.25">
      <c r="A7040" t="str">
        <f t="shared" si="1263"/>
        <v>89301000</v>
      </c>
      <c r="B7040" t="str">
        <f t="shared" si="1268"/>
        <v>89383000</v>
      </c>
      <c r="C7040" t="str">
        <f t="shared" si="1269"/>
        <v>89383002</v>
      </c>
      <c r="D7040">
        <v>89301045</v>
      </c>
      <c r="E7040" t="str">
        <f>"8756255365"</f>
        <v>8756255365</v>
      </c>
      <c r="F7040" s="1">
        <v>45091</v>
      </c>
      <c r="G7040" t="str">
        <f>"89512"</f>
        <v>89512</v>
      </c>
      <c r="H7040">
        <v>1</v>
      </c>
      <c r="I7040">
        <v>283</v>
      </c>
      <c r="J7040">
        <v>0</v>
      </c>
      <c r="K7040" t="str">
        <f t="shared" si="1267"/>
        <v>809</v>
      </c>
      <c r="L7040">
        <v>416.01</v>
      </c>
    </row>
    <row r="7041" spans="1:12" x14ac:dyDescent="0.25">
      <c r="A7041" t="str">
        <f t="shared" si="1263"/>
        <v>89301000</v>
      </c>
      <c r="B7041" t="str">
        <f t="shared" si="1268"/>
        <v>89383000</v>
      </c>
      <c r="C7041" t="str">
        <f t="shared" si="1269"/>
        <v>89383002</v>
      </c>
      <c r="D7041">
        <v>89301212</v>
      </c>
      <c r="E7041" t="str">
        <f>"8251145342"</f>
        <v>8251145342</v>
      </c>
      <c r="F7041" s="1">
        <v>45096</v>
      </c>
      <c r="G7041" t="str">
        <f>"89180"</f>
        <v>89180</v>
      </c>
      <c r="H7041">
        <v>1</v>
      </c>
      <c r="I7041">
        <v>381</v>
      </c>
      <c r="J7041">
        <v>0</v>
      </c>
      <c r="K7041" t="str">
        <f t="shared" si="1267"/>
        <v>809</v>
      </c>
      <c r="L7041">
        <v>560.07000000000005</v>
      </c>
    </row>
    <row r="7042" spans="1:12" x14ac:dyDescent="0.25">
      <c r="A7042" t="str">
        <f t="shared" ref="A7042:A7105" si="1270">"89301000"</f>
        <v>89301000</v>
      </c>
      <c r="B7042" t="str">
        <f t="shared" si="1268"/>
        <v>89383000</v>
      </c>
      <c r="C7042" t="str">
        <f t="shared" si="1269"/>
        <v>89383002</v>
      </c>
      <c r="D7042">
        <v>89301212</v>
      </c>
      <c r="E7042" t="str">
        <f>"8251145342"</f>
        <v>8251145342</v>
      </c>
      <c r="F7042" s="1">
        <v>45096</v>
      </c>
      <c r="G7042" t="str">
        <f>"89512"</f>
        <v>89512</v>
      </c>
      <c r="H7042">
        <v>1</v>
      </c>
      <c r="I7042">
        <v>283</v>
      </c>
      <c r="J7042">
        <v>0</v>
      </c>
      <c r="K7042" t="str">
        <f t="shared" si="1267"/>
        <v>809</v>
      </c>
      <c r="L7042">
        <v>416.01</v>
      </c>
    </row>
    <row r="7043" spans="1:12" x14ac:dyDescent="0.25">
      <c r="A7043" t="str">
        <f t="shared" si="1270"/>
        <v>89301000</v>
      </c>
      <c r="B7043" t="str">
        <f t="shared" si="1268"/>
        <v>89383000</v>
      </c>
      <c r="C7043" t="str">
        <f t="shared" si="1269"/>
        <v>89383002</v>
      </c>
      <c r="D7043">
        <v>89301212</v>
      </c>
      <c r="E7043" t="str">
        <f>"8251145342"</f>
        <v>8251145342</v>
      </c>
      <c r="F7043" s="1">
        <v>45096</v>
      </c>
      <c r="G7043" t="str">
        <f>"89513"</f>
        <v>89513</v>
      </c>
      <c r="H7043">
        <v>1</v>
      </c>
      <c r="I7043">
        <v>378</v>
      </c>
      <c r="J7043">
        <v>0</v>
      </c>
      <c r="K7043" t="str">
        <f t="shared" si="1267"/>
        <v>809</v>
      </c>
      <c r="L7043">
        <v>555.66</v>
      </c>
    </row>
    <row r="7044" spans="1:12" x14ac:dyDescent="0.25">
      <c r="A7044" t="str">
        <f t="shared" si="1270"/>
        <v>89301000</v>
      </c>
      <c r="B7044" t="str">
        <f t="shared" si="1268"/>
        <v>89383000</v>
      </c>
      <c r="C7044" t="str">
        <f t="shared" si="1269"/>
        <v>89383002</v>
      </c>
      <c r="D7044">
        <v>89301212</v>
      </c>
      <c r="E7044" t="str">
        <f>"8251145342"</f>
        <v>8251145342</v>
      </c>
      <c r="F7044" s="1">
        <v>45096</v>
      </c>
      <c r="G7044" t="str">
        <f>"89514"</f>
        <v>89514</v>
      </c>
      <c r="H7044">
        <v>1</v>
      </c>
      <c r="I7044">
        <v>378</v>
      </c>
      <c r="J7044">
        <v>0</v>
      </c>
      <c r="K7044" t="str">
        <f t="shared" si="1267"/>
        <v>809</v>
      </c>
      <c r="L7044">
        <v>555.66</v>
      </c>
    </row>
    <row r="7045" spans="1:12" x14ac:dyDescent="0.25">
      <c r="A7045" t="str">
        <f t="shared" si="1270"/>
        <v>89301000</v>
      </c>
      <c r="B7045" t="str">
        <f t="shared" si="1268"/>
        <v>89383000</v>
      </c>
      <c r="C7045" t="str">
        <f t="shared" si="1269"/>
        <v>89383002</v>
      </c>
      <c r="D7045">
        <v>89301212</v>
      </c>
      <c r="E7045" t="str">
        <f>"6551030948"</f>
        <v>6551030948</v>
      </c>
      <c r="F7045" s="1">
        <v>45091</v>
      </c>
      <c r="G7045" t="str">
        <f>"89512"</f>
        <v>89512</v>
      </c>
      <c r="H7045">
        <v>1</v>
      </c>
      <c r="I7045">
        <v>283</v>
      </c>
      <c r="J7045">
        <v>0</v>
      </c>
      <c r="K7045" t="str">
        <f t="shared" si="1267"/>
        <v>809</v>
      </c>
      <c r="L7045">
        <v>416.01</v>
      </c>
    </row>
    <row r="7046" spans="1:12" x14ac:dyDescent="0.25">
      <c r="A7046" t="str">
        <f t="shared" si="1270"/>
        <v>89301000</v>
      </c>
      <c r="B7046" t="str">
        <f t="shared" si="1268"/>
        <v>89383000</v>
      </c>
      <c r="C7046" t="str">
        <f t="shared" si="1269"/>
        <v>89383002</v>
      </c>
      <c r="D7046">
        <v>89301212</v>
      </c>
      <c r="E7046" t="str">
        <f>"6551030948"</f>
        <v>6551030948</v>
      </c>
      <c r="F7046" s="1">
        <v>45091</v>
      </c>
      <c r="G7046" t="str">
        <f>"89311"</f>
        <v>89311</v>
      </c>
      <c r="H7046">
        <v>1</v>
      </c>
      <c r="I7046">
        <v>970</v>
      </c>
      <c r="J7046">
        <v>0</v>
      </c>
      <c r="K7046" t="str">
        <f t="shared" si="1267"/>
        <v>809</v>
      </c>
      <c r="L7046">
        <v>1425.9</v>
      </c>
    </row>
    <row r="7047" spans="1:12" x14ac:dyDescent="0.25">
      <c r="A7047" t="str">
        <f t="shared" si="1270"/>
        <v>89301000</v>
      </c>
      <c r="B7047" t="str">
        <f t="shared" si="1268"/>
        <v>89383000</v>
      </c>
      <c r="C7047" t="str">
        <f t="shared" si="1269"/>
        <v>89383002</v>
      </c>
      <c r="D7047">
        <v>89301088</v>
      </c>
      <c r="E7047" t="str">
        <f>"8352105344"</f>
        <v>8352105344</v>
      </c>
      <c r="F7047" s="1">
        <v>45096</v>
      </c>
      <c r="G7047" t="str">
        <f>"89512"</f>
        <v>89512</v>
      </c>
      <c r="H7047">
        <v>1</v>
      </c>
      <c r="I7047">
        <v>283</v>
      </c>
      <c r="J7047">
        <v>0</v>
      </c>
      <c r="K7047" t="str">
        <f t="shared" si="1267"/>
        <v>809</v>
      </c>
      <c r="L7047">
        <v>416.01</v>
      </c>
    </row>
    <row r="7048" spans="1:12" x14ac:dyDescent="0.25">
      <c r="A7048" t="str">
        <f t="shared" si="1270"/>
        <v>89301000</v>
      </c>
      <c r="B7048" t="str">
        <f t="shared" si="1268"/>
        <v>89383000</v>
      </c>
      <c r="C7048" t="str">
        <f t="shared" si="1269"/>
        <v>89383002</v>
      </c>
      <c r="D7048">
        <v>89301212</v>
      </c>
      <c r="E7048" t="str">
        <f t="shared" ref="E7048:E7053" si="1271">"445922459"</f>
        <v>445922459</v>
      </c>
      <c r="F7048" s="1">
        <v>45090</v>
      </c>
      <c r="G7048" t="str">
        <f>"89813"</f>
        <v>89813</v>
      </c>
      <c r="H7048">
        <v>1</v>
      </c>
      <c r="I7048">
        <v>135</v>
      </c>
      <c r="J7048">
        <v>0</v>
      </c>
      <c r="K7048" t="str">
        <f t="shared" si="1267"/>
        <v>809</v>
      </c>
      <c r="L7048">
        <v>198.45</v>
      </c>
    </row>
    <row r="7049" spans="1:12" x14ac:dyDescent="0.25">
      <c r="A7049" t="str">
        <f t="shared" si="1270"/>
        <v>89301000</v>
      </c>
      <c r="B7049" t="str">
        <f t="shared" si="1268"/>
        <v>89383000</v>
      </c>
      <c r="C7049" t="str">
        <f t="shared" si="1269"/>
        <v>89383002</v>
      </c>
      <c r="D7049">
        <v>89301212</v>
      </c>
      <c r="E7049" t="str">
        <f t="shared" si="1271"/>
        <v>445922459</v>
      </c>
      <c r="F7049" s="1">
        <v>45090</v>
      </c>
      <c r="G7049" t="str">
        <f>"89341"</f>
        <v>89341</v>
      </c>
      <c r="H7049">
        <v>1</v>
      </c>
      <c r="I7049">
        <v>5471</v>
      </c>
      <c r="J7049">
        <v>0</v>
      </c>
      <c r="K7049" t="str">
        <f t="shared" si="1267"/>
        <v>809</v>
      </c>
      <c r="L7049">
        <v>8042.37</v>
      </c>
    </row>
    <row r="7050" spans="1:12" x14ac:dyDescent="0.25">
      <c r="A7050" t="str">
        <f t="shared" si="1270"/>
        <v>89301000</v>
      </c>
      <c r="B7050" t="str">
        <f t="shared" si="1268"/>
        <v>89383000</v>
      </c>
      <c r="C7050" t="str">
        <f t="shared" si="1269"/>
        <v>89383002</v>
      </c>
      <c r="D7050">
        <v>89301212</v>
      </c>
      <c r="E7050" t="str">
        <f t="shared" si="1271"/>
        <v>445922459</v>
      </c>
      <c r="F7050" s="1">
        <v>45090</v>
      </c>
      <c r="G7050" t="str">
        <f>"0093109"</f>
        <v>0093109</v>
      </c>
      <c r="H7050">
        <v>0.2</v>
      </c>
      <c r="J7050">
        <v>54.2</v>
      </c>
      <c r="K7050" t="str">
        <f t="shared" si="1267"/>
        <v>809</v>
      </c>
      <c r="L7050">
        <v>54.2</v>
      </c>
    </row>
    <row r="7051" spans="1:12" x14ac:dyDescent="0.25">
      <c r="A7051" t="str">
        <f t="shared" si="1270"/>
        <v>89301000</v>
      </c>
      <c r="B7051" t="str">
        <f t="shared" si="1268"/>
        <v>89383000</v>
      </c>
      <c r="C7051" t="str">
        <f t="shared" si="1269"/>
        <v>89383002</v>
      </c>
      <c r="D7051">
        <v>89301212</v>
      </c>
      <c r="E7051" t="str">
        <f t="shared" si="1271"/>
        <v>445922459</v>
      </c>
      <c r="F7051" s="1">
        <v>45090</v>
      </c>
      <c r="G7051" t="str">
        <f>"0006707"</f>
        <v>0006707</v>
      </c>
      <c r="H7051">
        <v>1</v>
      </c>
      <c r="J7051">
        <v>10565.84</v>
      </c>
      <c r="K7051" t="str">
        <f t="shared" si="1267"/>
        <v>809</v>
      </c>
      <c r="L7051">
        <v>10565.84</v>
      </c>
    </row>
    <row r="7052" spans="1:12" x14ac:dyDescent="0.25">
      <c r="A7052" t="str">
        <f t="shared" si="1270"/>
        <v>89301000</v>
      </c>
      <c r="B7052" t="str">
        <f t="shared" si="1268"/>
        <v>89383000</v>
      </c>
      <c r="C7052" t="str">
        <f t="shared" si="1269"/>
        <v>89383002</v>
      </c>
      <c r="D7052">
        <v>89301212</v>
      </c>
      <c r="E7052" t="str">
        <f t="shared" si="1271"/>
        <v>445922459</v>
      </c>
      <c r="F7052" s="1">
        <v>45090</v>
      </c>
      <c r="G7052" t="str">
        <f>"0030303"</f>
        <v>0030303</v>
      </c>
      <c r="H7052">
        <v>1</v>
      </c>
      <c r="J7052">
        <v>3827.52</v>
      </c>
      <c r="K7052" t="str">
        <f t="shared" si="1267"/>
        <v>809</v>
      </c>
      <c r="L7052">
        <v>3827.52</v>
      </c>
    </row>
    <row r="7053" spans="1:12" x14ac:dyDescent="0.25">
      <c r="A7053" t="str">
        <f t="shared" si="1270"/>
        <v>89301000</v>
      </c>
      <c r="B7053" t="str">
        <f t="shared" si="1268"/>
        <v>89383000</v>
      </c>
      <c r="C7053" t="str">
        <f t="shared" si="1269"/>
        <v>89383002</v>
      </c>
      <c r="D7053">
        <v>89301212</v>
      </c>
      <c r="E7053" t="str">
        <f t="shared" si="1271"/>
        <v>445922459</v>
      </c>
      <c r="F7053" s="1">
        <v>45090</v>
      </c>
      <c r="G7053" t="str">
        <f>"0082502"</f>
        <v>0082502</v>
      </c>
      <c r="H7053">
        <v>1</v>
      </c>
      <c r="J7053">
        <v>2260.1999999999998</v>
      </c>
      <c r="K7053" t="str">
        <f t="shared" si="1267"/>
        <v>809</v>
      </c>
      <c r="L7053">
        <v>2260.1999999999998</v>
      </c>
    </row>
    <row r="7054" spans="1:12" x14ac:dyDescent="0.25">
      <c r="A7054" t="str">
        <f t="shared" si="1270"/>
        <v>89301000</v>
      </c>
      <c r="B7054" t="str">
        <f t="shared" si="1268"/>
        <v>89383000</v>
      </c>
      <c r="C7054" t="str">
        <f t="shared" si="1269"/>
        <v>89383002</v>
      </c>
      <c r="D7054">
        <v>89301215</v>
      </c>
      <c r="E7054" t="str">
        <f>"495428108"</f>
        <v>495428108</v>
      </c>
      <c r="F7054" s="1">
        <v>45096</v>
      </c>
      <c r="G7054" t="str">
        <f>"89513"</f>
        <v>89513</v>
      </c>
      <c r="H7054">
        <v>1</v>
      </c>
      <c r="I7054">
        <v>378</v>
      </c>
      <c r="J7054">
        <v>0</v>
      </c>
      <c r="K7054" t="str">
        <f t="shared" si="1267"/>
        <v>809</v>
      </c>
      <c r="L7054">
        <v>555.66</v>
      </c>
    </row>
    <row r="7055" spans="1:12" x14ac:dyDescent="0.25">
      <c r="A7055" t="str">
        <f t="shared" si="1270"/>
        <v>89301000</v>
      </c>
      <c r="B7055" t="str">
        <f t="shared" si="1268"/>
        <v>89383000</v>
      </c>
      <c r="C7055" t="str">
        <f t="shared" si="1269"/>
        <v>89383002</v>
      </c>
      <c r="D7055">
        <v>89301215</v>
      </c>
      <c r="E7055" t="str">
        <f>"495428108"</f>
        <v>495428108</v>
      </c>
      <c r="F7055" s="1">
        <v>45096</v>
      </c>
      <c r="G7055" t="str">
        <f>"89514"</f>
        <v>89514</v>
      </c>
      <c r="H7055">
        <v>1</v>
      </c>
      <c r="I7055">
        <v>378</v>
      </c>
      <c r="J7055">
        <v>0</v>
      </c>
      <c r="K7055" t="str">
        <f t="shared" si="1267"/>
        <v>809</v>
      </c>
      <c r="L7055">
        <v>555.66</v>
      </c>
    </row>
    <row r="7056" spans="1:12" x14ac:dyDescent="0.25">
      <c r="A7056" t="str">
        <f t="shared" si="1270"/>
        <v>89301000</v>
      </c>
      <c r="B7056" t="str">
        <f t="shared" si="1268"/>
        <v>89383000</v>
      </c>
      <c r="C7056" t="str">
        <f t="shared" si="1269"/>
        <v>89383002</v>
      </c>
      <c r="D7056">
        <v>89301212</v>
      </c>
      <c r="E7056" t="str">
        <f>"6659100217"</f>
        <v>6659100217</v>
      </c>
      <c r="F7056" s="1">
        <v>45097</v>
      </c>
      <c r="G7056" t="str">
        <f>"89180"</f>
        <v>89180</v>
      </c>
      <c r="H7056">
        <v>2</v>
      </c>
      <c r="I7056">
        <v>762</v>
      </c>
      <c r="J7056">
        <v>0</v>
      </c>
      <c r="K7056" t="str">
        <f t="shared" si="1267"/>
        <v>809</v>
      </c>
      <c r="L7056">
        <v>1120.1400000000001</v>
      </c>
    </row>
    <row r="7057" spans="1:12" x14ac:dyDescent="0.25">
      <c r="A7057" t="str">
        <f t="shared" si="1270"/>
        <v>89301000</v>
      </c>
      <c r="B7057" t="str">
        <f t="shared" si="1268"/>
        <v>89383000</v>
      </c>
      <c r="C7057" t="str">
        <f t="shared" si="1269"/>
        <v>89383002</v>
      </c>
      <c r="D7057">
        <v>89301212</v>
      </c>
      <c r="E7057" t="str">
        <f>"6659100217"</f>
        <v>6659100217</v>
      </c>
      <c r="F7057" s="1">
        <v>45097</v>
      </c>
      <c r="G7057" t="str">
        <f>"89512"</f>
        <v>89512</v>
      </c>
      <c r="H7057">
        <v>1</v>
      </c>
      <c r="I7057">
        <v>283</v>
      </c>
      <c r="J7057">
        <v>0</v>
      </c>
      <c r="K7057" t="str">
        <f t="shared" si="1267"/>
        <v>809</v>
      </c>
      <c r="L7057">
        <v>416.01</v>
      </c>
    </row>
    <row r="7058" spans="1:12" x14ac:dyDescent="0.25">
      <c r="A7058" t="str">
        <f t="shared" si="1270"/>
        <v>89301000</v>
      </c>
      <c r="B7058" t="str">
        <f t="shared" si="1268"/>
        <v>89383000</v>
      </c>
      <c r="C7058" t="str">
        <f t="shared" si="1269"/>
        <v>89383002</v>
      </c>
      <c r="D7058">
        <v>89301212</v>
      </c>
      <c r="E7058" t="str">
        <f>"7562065313"</f>
        <v>7562065313</v>
      </c>
      <c r="F7058" s="1">
        <v>45098</v>
      </c>
      <c r="G7058" t="str">
        <f>"89513"</f>
        <v>89513</v>
      </c>
      <c r="H7058">
        <v>1</v>
      </c>
      <c r="I7058">
        <v>378</v>
      </c>
      <c r="J7058">
        <v>0</v>
      </c>
      <c r="K7058" t="str">
        <f t="shared" si="1267"/>
        <v>809</v>
      </c>
      <c r="L7058">
        <v>555.66</v>
      </c>
    </row>
    <row r="7059" spans="1:12" x14ac:dyDescent="0.25">
      <c r="A7059" t="str">
        <f t="shared" si="1270"/>
        <v>89301000</v>
      </c>
      <c r="B7059" t="str">
        <f t="shared" si="1268"/>
        <v>89383000</v>
      </c>
      <c r="C7059" t="str">
        <f t="shared" si="1269"/>
        <v>89383002</v>
      </c>
      <c r="D7059">
        <v>89301212</v>
      </c>
      <c r="E7059" t="str">
        <f>"7562065313"</f>
        <v>7562065313</v>
      </c>
      <c r="F7059" s="1">
        <v>45098</v>
      </c>
      <c r="G7059" t="str">
        <f>"89514"</f>
        <v>89514</v>
      </c>
      <c r="H7059">
        <v>1</v>
      </c>
      <c r="I7059">
        <v>378</v>
      </c>
      <c r="J7059">
        <v>0</v>
      </c>
      <c r="K7059" t="str">
        <f t="shared" si="1267"/>
        <v>809</v>
      </c>
      <c r="L7059">
        <v>555.66</v>
      </c>
    </row>
    <row r="7060" spans="1:12" x14ac:dyDescent="0.25">
      <c r="A7060" t="str">
        <f t="shared" si="1270"/>
        <v>89301000</v>
      </c>
      <c r="B7060" t="str">
        <f t="shared" si="1268"/>
        <v>89383000</v>
      </c>
      <c r="C7060" t="str">
        <f t="shared" si="1269"/>
        <v>89383002</v>
      </c>
      <c r="D7060">
        <v>89301212</v>
      </c>
      <c r="E7060" t="str">
        <f>"7855023616"</f>
        <v>7855023616</v>
      </c>
      <c r="F7060" s="1">
        <v>45098</v>
      </c>
      <c r="G7060" t="str">
        <f>"89512"</f>
        <v>89512</v>
      </c>
      <c r="H7060">
        <v>1</v>
      </c>
      <c r="I7060">
        <v>283</v>
      </c>
      <c r="J7060">
        <v>0</v>
      </c>
      <c r="K7060" t="str">
        <f t="shared" si="1267"/>
        <v>809</v>
      </c>
      <c r="L7060">
        <v>416.01</v>
      </c>
    </row>
    <row r="7061" spans="1:12" x14ac:dyDescent="0.25">
      <c r="A7061" t="str">
        <f t="shared" si="1270"/>
        <v>89301000</v>
      </c>
      <c r="B7061" t="str">
        <f t="shared" si="1268"/>
        <v>89383000</v>
      </c>
      <c r="C7061" t="str">
        <f t="shared" si="1269"/>
        <v>89383002</v>
      </c>
      <c r="D7061">
        <v>89301212</v>
      </c>
      <c r="E7061" t="str">
        <f>"7855023616"</f>
        <v>7855023616</v>
      </c>
      <c r="F7061" s="1">
        <v>45098</v>
      </c>
      <c r="G7061" t="str">
        <f>"89311"</f>
        <v>89311</v>
      </c>
      <c r="H7061">
        <v>1</v>
      </c>
      <c r="I7061">
        <v>970</v>
      </c>
      <c r="J7061">
        <v>0</v>
      </c>
      <c r="K7061" t="str">
        <f t="shared" si="1267"/>
        <v>809</v>
      </c>
      <c r="L7061">
        <v>1425.9</v>
      </c>
    </row>
    <row r="7062" spans="1:12" x14ac:dyDescent="0.25">
      <c r="A7062" t="str">
        <f t="shared" si="1270"/>
        <v>89301000</v>
      </c>
      <c r="B7062" t="str">
        <f t="shared" si="1268"/>
        <v>89383000</v>
      </c>
      <c r="C7062" t="str">
        <f t="shared" si="1269"/>
        <v>89383002</v>
      </c>
      <c r="D7062">
        <v>89301212</v>
      </c>
      <c r="E7062" t="str">
        <f>"446023422"</f>
        <v>446023422</v>
      </c>
      <c r="F7062" s="1">
        <v>45098</v>
      </c>
      <c r="G7062" t="str">
        <f>"89513"</f>
        <v>89513</v>
      </c>
      <c r="H7062">
        <v>1</v>
      </c>
      <c r="I7062">
        <v>378</v>
      </c>
      <c r="J7062">
        <v>0</v>
      </c>
      <c r="K7062" t="str">
        <f t="shared" si="1267"/>
        <v>809</v>
      </c>
      <c r="L7062">
        <v>555.66</v>
      </c>
    </row>
    <row r="7063" spans="1:12" x14ac:dyDescent="0.25">
      <c r="A7063" t="str">
        <f t="shared" si="1270"/>
        <v>89301000</v>
      </c>
      <c r="B7063" t="str">
        <f t="shared" si="1268"/>
        <v>89383000</v>
      </c>
      <c r="C7063" t="str">
        <f t="shared" si="1269"/>
        <v>89383002</v>
      </c>
      <c r="D7063">
        <v>89301212</v>
      </c>
      <c r="E7063" t="str">
        <f>"446023422"</f>
        <v>446023422</v>
      </c>
      <c r="F7063" s="1">
        <v>45098</v>
      </c>
      <c r="G7063" t="str">
        <f>"89514"</f>
        <v>89514</v>
      </c>
      <c r="H7063">
        <v>1</v>
      </c>
      <c r="I7063">
        <v>378</v>
      </c>
      <c r="J7063">
        <v>0</v>
      </c>
      <c r="K7063" t="str">
        <f t="shared" si="1267"/>
        <v>809</v>
      </c>
      <c r="L7063">
        <v>555.66</v>
      </c>
    </row>
    <row r="7064" spans="1:12" x14ac:dyDescent="0.25">
      <c r="A7064" t="str">
        <f t="shared" si="1270"/>
        <v>89301000</v>
      </c>
      <c r="B7064" t="str">
        <f t="shared" ref="B7064:B7092" si="1272">"89383000"</f>
        <v>89383000</v>
      </c>
      <c r="C7064" t="str">
        <f t="shared" ref="C7064:C7092" si="1273">"89383002"</f>
        <v>89383002</v>
      </c>
      <c r="D7064">
        <v>89301045</v>
      </c>
      <c r="E7064" t="str">
        <f t="shared" ref="E7064:E7069" si="1274">"8957195775"</f>
        <v>8957195775</v>
      </c>
      <c r="F7064" s="1">
        <v>45098</v>
      </c>
      <c r="G7064" t="str">
        <f>"89813"</f>
        <v>89813</v>
      </c>
      <c r="H7064">
        <v>1</v>
      </c>
      <c r="I7064">
        <v>135</v>
      </c>
      <c r="J7064">
        <v>0</v>
      </c>
      <c r="K7064" t="str">
        <f t="shared" si="1267"/>
        <v>809</v>
      </c>
      <c r="L7064">
        <v>198.45</v>
      </c>
    </row>
    <row r="7065" spans="1:12" x14ac:dyDescent="0.25">
      <c r="A7065" t="str">
        <f t="shared" si="1270"/>
        <v>89301000</v>
      </c>
      <c r="B7065" t="str">
        <f t="shared" si="1272"/>
        <v>89383000</v>
      </c>
      <c r="C7065" t="str">
        <f t="shared" si="1273"/>
        <v>89383002</v>
      </c>
      <c r="D7065">
        <v>89301045</v>
      </c>
      <c r="E7065" t="str">
        <f t="shared" si="1274"/>
        <v>8957195775</v>
      </c>
      <c r="F7065" s="1">
        <v>45098</v>
      </c>
      <c r="G7065" t="str">
        <f>"89313"</f>
        <v>89313</v>
      </c>
      <c r="H7065">
        <v>1</v>
      </c>
      <c r="I7065">
        <v>420</v>
      </c>
      <c r="J7065">
        <v>0</v>
      </c>
      <c r="K7065" t="str">
        <f t="shared" si="1267"/>
        <v>809</v>
      </c>
      <c r="L7065">
        <v>617.4</v>
      </c>
    </row>
    <row r="7066" spans="1:12" x14ac:dyDescent="0.25">
      <c r="A7066" t="str">
        <f t="shared" si="1270"/>
        <v>89301000</v>
      </c>
      <c r="B7066" t="str">
        <f t="shared" si="1272"/>
        <v>89383000</v>
      </c>
      <c r="C7066" t="str">
        <f t="shared" si="1273"/>
        <v>89383002</v>
      </c>
      <c r="D7066">
        <v>89301045</v>
      </c>
      <c r="E7066" t="str">
        <f t="shared" si="1274"/>
        <v>8957195775</v>
      </c>
      <c r="F7066" s="1">
        <v>45098</v>
      </c>
      <c r="G7066" t="str">
        <f>"09233"</f>
        <v>09233</v>
      </c>
      <c r="H7066">
        <v>1</v>
      </c>
      <c r="I7066">
        <v>102</v>
      </c>
      <c r="J7066">
        <v>0</v>
      </c>
      <c r="K7066" t="str">
        <f t="shared" si="1267"/>
        <v>809</v>
      </c>
      <c r="L7066">
        <v>149.94</v>
      </c>
    </row>
    <row r="7067" spans="1:12" x14ac:dyDescent="0.25">
      <c r="A7067" t="str">
        <f t="shared" si="1270"/>
        <v>89301000</v>
      </c>
      <c r="B7067" t="str">
        <f t="shared" si="1272"/>
        <v>89383000</v>
      </c>
      <c r="C7067" t="str">
        <f t="shared" si="1273"/>
        <v>89383002</v>
      </c>
      <c r="D7067">
        <v>89301045</v>
      </c>
      <c r="E7067" t="str">
        <f t="shared" si="1274"/>
        <v>8957195775</v>
      </c>
      <c r="F7067" s="1">
        <v>45098</v>
      </c>
      <c r="G7067" t="str">
        <f>"89512"</f>
        <v>89512</v>
      </c>
      <c r="H7067">
        <v>1</v>
      </c>
      <c r="I7067">
        <v>283</v>
      </c>
      <c r="J7067">
        <v>0</v>
      </c>
      <c r="K7067" t="str">
        <f t="shared" si="1267"/>
        <v>809</v>
      </c>
      <c r="L7067">
        <v>416.01</v>
      </c>
    </row>
    <row r="7068" spans="1:12" x14ac:dyDescent="0.25">
      <c r="A7068" t="str">
        <f t="shared" si="1270"/>
        <v>89301000</v>
      </c>
      <c r="B7068" t="str">
        <f t="shared" si="1272"/>
        <v>89383000</v>
      </c>
      <c r="C7068" t="str">
        <f t="shared" si="1273"/>
        <v>89383002</v>
      </c>
      <c r="D7068">
        <v>89301045</v>
      </c>
      <c r="E7068" t="str">
        <f t="shared" si="1274"/>
        <v>8957195775</v>
      </c>
      <c r="F7068" s="1">
        <v>45098</v>
      </c>
      <c r="G7068" t="str">
        <f>"0093109"</f>
        <v>0093109</v>
      </c>
      <c r="H7068">
        <v>0.1</v>
      </c>
      <c r="J7068">
        <v>27.1</v>
      </c>
      <c r="K7068" t="str">
        <f t="shared" si="1267"/>
        <v>809</v>
      </c>
      <c r="L7068">
        <v>27.1</v>
      </c>
    </row>
    <row r="7069" spans="1:12" x14ac:dyDescent="0.25">
      <c r="A7069" t="str">
        <f t="shared" si="1270"/>
        <v>89301000</v>
      </c>
      <c r="B7069" t="str">
        <f t="shared" si="1272"/>
        <v>89383000</v>
      </c>
      <c r="C7069" t="str">
        <f t="shared" si="1273"/>
        <v>89383002</v>
      </c>
      <c r="D7069">
        <v>89301045</v>
      </c>
      <c r="E7069" t="str">
        <f t="shared" si="1274"/>
        <v>8957195775</v>
      </c>
      <c r="F7069" s="1">
        <v>45098</v>
      </c>
      <c r="G7069" t="str">
        <f>"0142908"</f>
        <v>0142908</v>
      </c>
      <c r="H7069">
        <v>1</v>
      </c>
      <c r="J7069">
        <v>910</v>
      </c>
      <c r="K7069" t="str">
        <f t="shared" si="1267"/>
        <v>809</v>
      </c>
      <c r="L7069">
        <v>910</v>
      </c>
    </row>
    <row r="7070" spans="1:12" x14ac:dyDescent="0.25">
      <c r="A7070" t="str">
        <f t="shared" si="1270"/>
        <v>89301000</v>
      </c>
      <c r="B7070" t="str">
        <f t="shared" si="1272"/>
        <v>89383000</v>
      </c>
      <c r="C7070" t="str">
        <f t="shared" si="1273"/>
        <v>89383002</v>
      </c>
      <c r="D7070">
        <v>89301212</v>
      </c>
      <c r="E7070" t="str">
        <f>"7456265355"</f>
        <v>7456265355</v>
      </c>
      <c r="F7070" s="1">
        <v>45098</v>
      </c>
      <c r="G7070" t="str">
        <f>"89512"</f>
        <v>89512</v>
      </c>
      <c r="H7070">
        <v>1</v>
      </c>
      <c r="I7070">
        <v>283</v>
      </c>
      <c r="J7070">
        <v>0</v>
      </c>
      <c r="K7070" t="str">
        <f t="shared" si="1267"/>
        <v>809</v>
      </c>
      <c r="L7070">
        <v>416.01</v>
      </c>
    </row>
    <row r="7071" spans="1:12" x14ac:dyDescent="0.25">
      <c r="A7071" t="str">
        <f t="shared" si="1270"/>
        <v>89301000</v>
      </c>
      <c r="B7071" t="str">
        <f t="shared" si="1272"/>
        <v>89383000</v>
      </c>
      <c r="C7071" t="str">
        <f t="shared" si="1273"/>
        <v>89383002</v>
      </c>
      <c r="D7071">
        <v>89301212</v>
      </c>
      <c r="E7071" t="str">
        <f>"7456265355"</f>
        <v>7456265355</v>
      </c>
      <c r="F7071" s="1">
        <v>45098</v>
      </c>
      <c r="G7071" t="str">
        <f>"89513"</f>
        <v>89513</v>
      </c>
      <c r="H7071">
        <v>1</v>
      </c>
      <c r="I7071">
        <v>378</v>
      </c>
      <c r="J7071">
        <v>0</v>
      </c>
      <c r="K7071" t="str">
        <f t="shared" si="1267"/>
        <v>809</v>
      </c>
      <c r="L7071">
        <v>555.66</v>
      </c>
    </row>
    <row r="7072" spans="1:12" x14ac:dyDescent="0.25">
      <c r="A7072" t="str">
        <f t="shared" si="1270"/>
        <v>89301000</v>
      </c>
      <c r="B7072" t="str">
        <f t="shared" si="1272"/>
        <v>89383000</v>
      </c>
      <c r="C7072" t="str">
        <f t="shared" si="1273"/>
        <v>89383002</v>
      </c>
      <c r="D7072">
        <v>89301212</v>
      </c>
      <c r="E7072" t="str">
        <f>"7456265355"</f>
        <v>7456265355</v>
      </c>
      <c r="F7072" s="1">
        <v>45098</v>
      </c>
      <c r="G7072" t="str">
        <f>"89514"</f>
        <v>89514</v>
      </c>
      <c r="H7072">
        <v>1</v>
      </c>
      <c r="I7072">
        <v>378</v>
      </c>
      <c r="J7072">
        <v>0</v>
      </c>
      <c r="K7072" t="str">
        <f t="shared" si="1267"/>
        <v>809</v>
      </c>
      <c r="L7072">
        <v>555.66</v>
      </c>
    </row>
    <row r="7073" spans="1:12" x14ac:dyDescent="0.25">
      <c r="A7073" t="str">
        <f t="shared" si="1270"/>
        <v>89301000</v>
      </c>
      <c r="B7073" t="str">
        <f t="shared" si="1272"/>
        <v>89383000</v>
      </c>
      <c r="C7073" t="str">
        <f t="shared" si="1273"/>
        <v>89383002</v>
      </c>
      <c r="D7073">
        <v>89301212</v>
      </c>
      <c r="E7073" t="str">
        <f>"7962115326"</f>
        <v>7962115326</v>
      </c>
      <c r="F7073" s="1">
        <v>45099</v>
      </c>
      <c r="G7073" t="str">
        <f>"89512"</f>
        <v>89512</v>
      </c>
      <c r="H7073">
        <v>1</v>
      </c>
      <c r="I7073">
        <v>283</v>
      </c>
      <c r="J7073">
        <v>0</v>
      </c>
      <c r="K7073" t="str">
        <f t="shared" si="1267"/>
        <v>809</v>
      </c>
      <c r="L7073">
        <v>416.01</v>
      </c>
    </row>
    <row r="7074" spans="1:12" x14ac:dyDescent="0.25">
      <c r="A7074" t="str">
        <f t="shared" si="1270"/>
        <v>89301000</v>
      </c>
      <c r="B7074" t="str">
        <f t="shared" si="1272"/>
        <v>89383000</v>
      </c>
      <c r="C7074" t="str">
        <f t="shared" si="1273"/>
        <v>89383002</v>
      </c>
      <c r="D7074">
        <v>89301212</v>
      </c>
      <c r="E7074" t="str">
        <f>"505620157"</f>
        <v>505620157</v>
      </c>
      <c r="F7074" s="1">
        <v>45099</v>
      </c>
      <c r="G7074" t="str">
        <f>"89180"</f>
        <v>89180</v>
      </c>
      <c r="H7074">
        <v>1</v>
      </c>
      <c r="I7074">
        <v>381</v>
      </c>
      <c r="J7074">
        <v>0</v>
      </c>
      <c r="K7074" t="str">
        <f t="shared" si="1267"/>
        <v>809</v>
      </c>
      <c r="L7074">
        <v>560.07000000000005</v>
      </c>
    </row>
    <row r="7075" spans="1:12" x14ac:dyDescent="0.25">
      <c r="A7075" t="str">
        <f t="shared" si="1270"/>
        <v>89301000</v>
      </c>
      <c r="B7075" t="str">
        <f t="shared" si="1272"/>
        <v>89383000</v>
      </c>
      <c r="C7075" t="str">
        <f t="shared" si="1273"/>
        <v>89383002</v>
      </c>
      <c r="D7075">
        <v>89301212</v>
      </c>
      <c r="E7075" t="str">
        <f>"505620157"</f>
        <v>505620157</v>
      </c>
      <c r="F7075" s="1">
        <v>45099</v>
      </c>
      <c r="G7075" t="str">
        <f>"89512"</f>
        <v>89512</v>
      </c>
      <c r="H7075">
        <v>1</v>
      </c>
      <c r="I7075">
        <v>283</v>
      </c>
      <c r="J7075">
        <v>0</v>
      </c>
      <c r="K7075" t="str">
        <f t="shared" si="1267"/>
        <v>809</v>
      </c>
      <c r="L7075">
        <v>416.01</v>
      </c>
    </row>
    <row r="7076" spans="1:12" x14ac:dyDescent="0.25">
      <c r="A7076" t="str">
        <f t="shared" si="1270"/>
        <v>89301000</v>
      </c>
      <c r="B7076" t="str">
        <f t="shared" si="1272"/>
        <v>89383000</v>
      </c>
      <c r="C7076" t="str">
        <f t="shared" si="1273"/>
        <v>89383002</v>
      </c>
      <c r="D7076">
        <v>89301212</v>
      </c>
      <c r="E7076" t="str">
        <f>"515105047"</f>
        <v>515105047</v>
      </c>
      <c r="F7076" s="1">
        <v>45104</v>
      </c>
      <c r="G7076" t="str">
        <f>"89513"</f>
        <v>89513</v>
      </c>
      <c r="H7076">
        <v>1</v>
      </c>
      <c r="I7076">
        <v>378</v>
      </c>
      <c r="J7076">
        <v>0</v>
      </c>
      <c r="K7076" t="str">
        <f t="shared" si="1267"/>
        <v>809</v>
      </c>
      <c r="L7076">
        <v>555.66</v>
      </c>
    </row>
    <row r="7077" spans="1:12" x14ac:dyDescent="0.25">
      <c r="A7077" t="str">
        <f t="shared" si="1270"/>
        <v>89301000</v>
      </c>
      <c r="B7077" t="str">
        <f t="shared" si="1272"/>
        <v>89383000</v>
      </c>
      <c r="C7077" t="str">
        <f t="shared" si="1273"/>
        <v>89383002</v>
      </c>
      <c r="D7077">
        <v>89301212</v>
      </c>
      <c r="E7077" t="str">
        <f>"515105047"</f>
        <v>515105047</v>
      </c>
      <c r="F7077" s="1">
        <v>45104</v>
      </c>
      <c r="G7077" t="str">
        <f>"89514"</f>
        <v>89514</v>
      </c>
      <c r="H7077">
        <v>1</v>
      </c>
      <c r="I7077">
        <v>378</v>
      </c>
      <c r="J7077">
        <v>0</v>
      </c>
      <c r="K7077" t="str">
        <f t="shared" si="1267"/>
        <v>809</v>
      </c>
      <c r="L7077">
        <v>555.66</v>
      </c>
    </row>
    <row r="7078" spans="1:12" x14ac:dyDescent="0.25">
      <c r="A7078" t="str">
        <f t="shared" si="1270"/>
        <v>89301000</v>
      </c>
      <c r="B7078" t="str">
        <f t="shared" si="1272"/>
        <v>89383000</v>
      </c>
      <c r="C7078" t="str">
        <f t="shared" si="1273"/>
        <v>89383002</v>
      </c>
      <c r="D7078">
        <v>89301212</v>
      </c>
      <c r="E7078" t="str">
        <f>"7652245799"</f>
        <v>7652245799</v>
      </c>
      <c r="F7078" s="1">
        <v>45104</v>
      </c>
      <c r="G7078" t="str">
        <f>"89512"</f>
        <v>89512</v>
      </c>
      <c r="H7078">
        <v>1</v>
      </c>
      <c r="I7078">
        <v>283</v>
      </c>
      <c r="J7078">
        <v>0</v>
      </c>
      <c r="K7078" t="str">
        <f t="shared" si="1267"/>
        <v>809</v>
      </c>
      <c r="L7078">
        <v>416.01</v>
      </c>
    </row>
    <row r="7079" spans="1:12" x14ac:dyDescent="0.25">
      <c r="A7079" t="str">
        <f t="shared" si="1270"/>
        <v>89301000</v>
      </c>
      <c r="B7079" t="str">
        <f t="shared" si="1272"/>
        <v>89383000</v>
      </c>
      <c r="C7079" t="str">
        <f t="shared" si="1273"/>
        <v>89383002</v>
      </c>
      <c r="D7079">
        <v>89301212</v>
      </c>
      <c r="E7079" t="str">
        <f>"7462194861"</f>
        <v>7462194861</v>
      </c>
      <c r="F7079" s="1">
        <v>45105</v>
      </c>
      <c r="G7079" t="str">
        <f>"89512"</f>
        <v>89512</v>
      </c>
      <c r="H7079">
        <v>1</v>
      </c>
      <c r="I7079">
        <v>283</v>
      </c>
      <c r="J7079">
        <v>0</v>
      </c>
      <c r="K7079" t="str">
        <f t="shared" si="1267"/>
        <v>809</v>
      </c>
      <c r="L7079">
        <v>416.01</v>
      </c>
    </row>
    <row r="7080" spans="1:12" x14ac:dyDescent="0.25">
      <c r="A7080" t="str">
        <f t="shared" si="1270"/>
        <v>89301000</v>
      </c>
      <c r="B7080" t="str">
        <f t="shared" si="1272"/>
        <v>89383000</v>
      </c>
      <c r="C7080" t="str">
        <f t="shared" si="1273"/>
        <v>89383002</v>
      </c>
      <c r="D7080">
        <v>89301212</v>
      </c>
      <c r="E7080" t="str">
        <f>"5761230178"</f>
        <v>5761230178</v>
      </c>
      <c r="F7080" s="1">
        <v>45105</v>
      </c>
      <c r="G7080" t="str">
        <f>"89513"</f>
        <v>89513</v>
      </c>
      <c r="H7080">
        <v>1</v>
      </c>
      <c r="I7080">
        <v>378</v>
      </c>
      <c r="J7080">
        <v>0</v>
      </c>
      <c r="K7080" t="str">
        <f t="shared" si="1267"/>
        <v>809</v>
      </c>
      <c r="L7080">
        <v>555.66</v>
      </c>
    </row>
    <row r="7081" spans="1:12" x14ac:dyDescent="0.25">
      <c r="A7081" t="str">
        <f t="shared" si="1270"/>
        <v>89301000</v>
      </c>
      <c r="B7081" t="str">
        <f t="shared" si="1272"/>
        <v>89383000</v>
      </c>
      <c r="C7081" t="str">
        <f t="shared" si="1273"/>
        <v>89383002</v>
      </c>
      <c r="D7081">
        <v>89301212</v>
      </c>
      <c r="E7081" t="str">
        <f>"5761230178"</f>
        <v>5761230178</v>
      </c>
      <c r="F7081" s="1">
        <v>45105</v>
      </c>
      <c r="G7081" t="str">
        <f>"89514"</f>
        <v>89514</v>
      </c>
      <c r="H7081">
        <v>1</v>
      </c>
      <c r="I7081">
        <v>378</v>
      </c>
      <c r="J7081">
        <v>0</v>
      </c>
      <c r="K7081" t="str">
        <f t="shared" si="1267"/>
        <v>809</v>
      </c>
      <c r="L7081">
        <v>555.66</v>
      </c>
    </row>
    <row r="7082" spans="1:12" x14ac:dyDescent="0.25">
      <c r="A7082" t="str">
        <f t="shared" si="1270"/>
        <v>89301000</v>
      </c>
      <c r="B7082" t="str">
        <f t="shared" si="1272"/>
        <v>89383000</v>
      </c>
      <c r="C7082" t="str">
        <f t="shared" si="1273"/>
        <v>89383002</v>
      </c>
      <c r="D7082">
        <v>89301212</v>
      </c>
      <c r="E7082" t="str">
        <f>"7162085315"</f>
        <v>7162085315</v>
      </c>
      <c r="F7082" s="1">
        <v>45105</v>
      </c>
      <c r="G7082" t="str">
        <f>"89180"</f>
        <v>89180</v>
      </c>
      <c r="H7082">
        <v>2</v>
      </c>
      <c r="I7082">
        <v>762</v>
      </c>
      <c r="J7082">
        <v>0</v>
      </c>
      <c r="K7082" t="str">
        <f t="shared" si="1267"/>
        <v>809</v>
      </c>
      <c r="L7082">
        <v>1120.1400000000001</v>
      </c>
    </row>
    <row r="7083" spans="1:12" x14ac:dyDescent="0.25">
      <c r="A7083" t="str">
        <f t="shared" si="1270"/>
        <v>89301000</v>
      </c>
      <c r="B7083" t="str">
        <f t="shared" si="1272"/>
        <v>89383000</v>
      </c>
      <c r="C7083" t="str">
        <f t="shared" si="1273"/>
        <v>89383002</v>
      </c>
      <c r="D7083">
        <v>89301212</v>
      </c>
      <c r="E7083" t="str">
        <f>"7162085315"</f>
        <v>7162085315</v>
      </c>
      <c r="F7083" s="1">
        <v>45105</v>
      </c>
      <c r="G7083" t="str">
        <f>"89512"</f>
        <v>89512</v>
      </c>
      <c r="H7083">
        <v>1</v>
      </c>
      <c r="I7083">
        <v>283</v>
      </c>
      <c r="J7083">
        <v>0</v>
      </c>
      <c r="K7083" t="str">
        <f t="shared" ref="K7083:K7092" si="1275">"809"</f>
        <v>809</v>
      </c>
      <c r="L7083">
        <v>416.01</v>
      </c>
    </row>
    <row r="7084" spans="1:12" x14ac:dyDescent="0.25">
      <c r="A7084" t="str">
        <f t="shared" si="1270"/>
        <v>89301000</v>
      </c>
      <c r="B7084" t="str">
        <f t="shared" si="1272"/>
        <v>89383000</v>
      </c>
      <c r="C7084" t="str">
        <f t="shared" si="1273"/>
        <v>89383002</v>
      </c>
      <c r="D7084">
        <v>89301212</v>
      </c>
      <c r="E7084" t="str">
        <f>"7651292264"</f>
        <v>7651292264</v>
      </c>
      <c r="F7084" s="1">
        <v>45105</v>
      </c>
      <c r="G7084" t="str">
        <f>"89313"</f>
        <v>89313</v>
      </c>
      <c r="H7084">
        <v>1</v>
      </c>
      <c r="I7084">
        <v>420</v>
      </c>
      <c r="J7084">
        <v>0</v>
      </c>
      <c r="K7084" t="str">
        <f t="shared" si="1275"/>
        <v>809</v>
      </c>
      <c r="L7084">
        <v>617.4</v>
      </c>
    </row>
    <row r="7085" spans="1:12" x14ac:dyDescent="0.25">
      <c r="A7085" t="str">
        <f t="shared" si="1270"/>
        <v>89301000</v>
      </c>
      <c r="B7085" t="str">
        <f t="shared" si="1272"/>
        <v>89383000</v>
      </c>
      <c r="C7085" t="str">
        <f t="shared" si="1273"/>
        <v>89383002</v>
      </c>
      <c r="D7085">
        <v>89301212</v>
      </c>
      <c r="E7085" t="str">
        <f>"7651292264"</f>
        <v>7651292264</v>
      </c>
      <c r="F7085" s="1">
        <v>45105</v>
      </c>
      <c r="G7085" t="str">
        <f>"89515"</f>
        <v>89515</v>
      </c>
      <c r="H7085">
        <v>1</v>
      </c>
      <c r="I7085">
        <v>347</v>
      </c>
      <c r="J7085">
        <v>0</v>
      </c>
      <c r="K7085" t="str">
        <f t="shared" si="1275"/>
        <v>809</v>
      </c>
      <c r="L7085">
        <v>510.09</v>
      </c>
    </row>
    <row r="7086" spans="1:12" x14ac:dyDescent="0.25">
      <c r="A7086" t="str">
        <f t="shared" si="1270"/>
        <v>89301000</v>
      </c>
      <c r="B7086" t="str">
        <f t="shared" si="1272"/>
        <v>89383000</v>
      </c>
      <c r="C7086" t="str">
        <f t="shared" si="1273"/>
        <v>89383002</v>
      </c>
      <c r="D7086">
        <v>89301212</v>
      </c>
      <c r="E7086" t="str">
        <f>"7651292264"</f>
        <v>7651292264</v>
      </c>
      <c r="F7086" s="1">
        <v>45105</v>
      </c>
      <c r="G7086" t="str">
        <f>"89512"</f>
        <v>89512</v>
      </c>
      <c r="H7086">
        <v>1</v>
      </c>
      <c r="I7086">
        <v>283</v>
      </c>
      <c r="J7086">
        <v>0</v>
      </c>
      <c r="K7086" t="str">
        <f t="shared" si="1275"/>
        <v>809</v>
      </c>
      <c r="L7086">
        <v>416.01</v>
      </c>
    </row>
    <row r="7087" spans="1:12" x14ac:dyDescent="0.25">
      <c r="A7087" t="str">
        <f t="shared" si="1270"/>
        <v>89301000</v>
      </c>
      <c r="B7087" t="str">
        <f t="shared" si="1272"/>
        <v>89383000</v>
      </c>
      <c r="C7087" t="str">
        <f t="shared" si="1273"/>
        <v>89383002</v>
      </c>
      <c r="D7087">
        <v>89301212</v>
      </c>
      <c r="E7087" t="str">
        <f>"7651292264"</f>
        <v>7651292264</v>
      </c>
      <c r="F7087" s="1">
        <v>45105</v>
      </c>
      <c r="G7087" t="str">
        <f>"0093109"</f>
        <v>0093109</v>
      </c>
      <c r="H7087">
        <v>0.02</v>
      </c>
      <c r="J7087">
        <v>5.42</v>
      </c>
      <c r="K7087" t="str">
        <f t="shared" si="1275"/>
        <v>809</v>
      </c>
      <c r="L7087">
        <v>5.42</v>
      </c>
    </row>
    <row r="7088" spans="1:12" x14ac:dyDescent="0.25">
      <c r="A7088" t="str">
        <f t="shared" si="1270"/>
        <v>89301000</v>
      </c>
      <c r="B7088" t="str">
        <f t="shared" si="1272"/>
        <v>89383000</v>
      </c>
      <c r="C7088" t="str">
        <f t="shared" si="1273"/>
        <v>89383002</v>
      </c>
      <c r="D7088">
        <v>89301212</v>
      </c>
      <c r="E7088" t="str">
        <f>"7651292264"</f>
        <v>7651292264</v>
      </c>
      <c r="F7088" s="1">
        <v>45105</v>
      </c>
      <c r="G7088" t="str">
        <f>"0142908"</f>
        <v>0142908</v>
      </c>
      <c r="H7088">
        <v>1</v>
      </c>
      <c r="J7088">
        <v>910</v>
      </c>
      <c r="K7088" t="str">
        <f t="shared" si="1275"/>
        <v>809</v>
      </c>
      <c r="L7088">
        <v>910</v>
      </c>
    </row>
    <row r="7089" spans="1:12" x14ac:dyDescent="0.25">
      <c r="A7089" t="str">
        <f t="shared" si="1270"/>
        <v>89301000</v>
      </c>
      <c r="B7089" t="str">
        <f t="shared" si="1272"/>
        <v>89383000</v>
      </c>
      <c r="C7089" t="str">
        <f t="shared" si="1273"/>
        <v>89383002</v>
      </c>
      <c r="D7089">
        <v>89301212</v>
      </c>
      <c r="E7089" t="str">
        <f>"8554095814"</f>
        <v>8554095814</v>
      </c>
      <c r="F7089" s="1">
        <v>45106</v>
      </c>
      <c r="G7089" t="str">
        <f>"89512"</f>
        <v>89512</v>
      </c>
      <c r="H7089">
        <v>1</v>
      </c>
      <c r="I7089">
        <v>283</v>
      </c>
      <c r="J7089">
        <v>0</v>
      </c>
      <c r="K7089" t="str">
        <f t="shared" si="1275"/>
        <v>809</v>
      </c>
      <c r="L7089">
        <v>416.01</v>
      </c>
    </row>
    <row r="7090" spans="1:12" x14ac:dyDescent="0.25">
      <c r="A7090" t="str">
        <f t="shared" si="1270"/>
        <v>89301000</v>
      </c>
      <c r="B7090" t="str">
        <f t="shared" si="1272"/>
        <v>89383000</v>
      </c>
      <c r="C7090" t="str">
        <f t="shared" si="1273"/>
        <v>89383002</v>
      </c>
      <c r="D7090">
        <v>89301212</v>
      </c>
      <c r="E7090" t="str">
        <f>"8055045768"</f>
        <v>8055045768</v>
      </c>
      <c r="F7090" s="1">
        <v>45106</v>
      </c>
      <c r="G7090" t="str">
        <f>"89813"</f>
        <v>89813</v>
      </c>
      <c r="H7090">
        <v>1</v>
      </c>
      <c r="I7090">
        <v>135</v>
      </c>
      <c r="J7090">
        <v>0</v>
      </c>
      <c r="K7090" t="str">
        <f t="shared" si="1275"/>
        <v>809</v>
      </c>
      <c r="L7090">
        <v>198.45</v>
      </c>
    </row>
    <row r="7091" spans="1:12" x14ac:dyDescent="0.25">
      <c r="A7091" t="str">
        <f t="shared" si="1270"/>
        <v>89301000</v>
      </c>
      <c r="B7091" t="str">
        <f t="shared" si="1272"/>
        <v>89383000</v>
      </c>
      <c r="C7091" t="str">
        <f t="shared" si="1273"/>
        <v>89383002</v>
      </c>
      <c r="D7091">
        <v>89301215</v>
      </c>
      <c r="E7091" t="str">
        <f>"496117287"</f>
        <v>496117287</v>
      </c>
      <c r="F7091" s="1">
        <v>45107</v>
      </c>
      <c r="G7091" t="str">
        <f>"89513"</f>
        <v>89513</v>
      </c>
      <c r="H7091">
        <v>1</v>
      </c>
      <c r="I7091">
        <v>378</v>
      </c>
      <c r="J7091">
        <v>0</v>
      </c>
      <c r="K7091" t="str">
        <f t="shared" si="1275"/>
        <v>809</v>
      </c>
      <c r="L7091">
        <v>555.66</v>
      </c>
    </row>
    <row r="7092" spans="1:12" x14ac:dyDescent="0.25">
      <c r="A7092" t="str">
        <f t="shared" si="1270"/>
        <v>89301000</v>
      </c>
      <c r="B7092" t="str">
        <f t="shared" si="1272"/>
        <v>89383000</v>
      </c>
      <c r="C7092" t="str">
        <f t="shared" si="1273"/>
        <v>89383002</v>
      </c>
      <c r="D7092">
        <v>89301215</v>
      </c>
      <c r="E7092" t="str">
        <f>"496117287"</f>
        <v>496117287</v>
      </c>
      <c r="F7092" s="1">
        <v>45107</v>
      </c>
      <c r="G7092" t="str">
        <f>"89514"</f>
        <v>89514</v>
      </c>
      <c r="H7092">
        <v>1</v>
      </c>
      <c r="I7092">
        <v>378</v>
      </c>
      <c r="J7092">
        <v>0</v>
      </c>
      <c r="K7092" t="str">
        <f t="shared" si="1275"/>
        <v>809</v>
      </c>
      <c r="L7092">
        <v>555.66</v>
      </c>
    </row>
    <row r="7093" spans="1:12" x14ac:dyDescent="0.25">
      <c r="A7093" t="str">
        <f t="shared" si="1270"/>
        <v>89301000</v>
      </c>
      <c r="B7093" t="str">
        <f t="shared" ref="B7093:B7113" si="1276">"85200000"</f>
        <v>85200000</v>
      </c>
      <c r="C7093" t="str">
        <f t="shared" ref="C7093:C7113" si="1277">"85200332"</f>
        <v>85200332</v>
      </c>
      <c r="D7093">
        <v>89301167</v>
      </c>
      <c r="E7093" t="str">
        <f t="shared" ref="E7093:E7113" si="1278">"6056171154"</f>
        <v>6056171154</v>
      </c>
      <c r="F7093" s="1">
        <v>45079</v>
      </c>
      <c r="G7093" t="str">
        <f>"81249"</f>
        <v>81249</v>
      </c>
      <c r="H7093">
        <v>1</v>
      </c>
      <c r="I7093">
        <v>334</v>
      </c>
      <c r="J7093">
        <v>0</v>
      </c>
      <c r="K7093" t="str">
        <f t="shared" ref="K7093:K7113" si="1279">"801"</f>
        <v>801</v>
      </c>
      <c r="L7093">
        <v>280.56</v>
      </c>
    </row>
    <row r="7094" spans="1:12" x14ac:dyDescent="0.25">
      <c r="A7094" t="str">
        <f t="shared" si="1270"/>
        <v>89301000</v>
      </c>
      <c r="B7094" t="str">
        <f t="shared" si="1276"/>
        <v>85200000</v>
      </c>
      <c r="C7094" t="str">
        <f t="shared" si="1277"/>
        <v>85200332</v>
      </c>
      <c r="D7094">
        <v>89301167</v>
      </c>
      <c r="E7094" t="str">
        <f t="shared" si="1278"/>
        <v>6056171154</v>
      </c>
      <c r="F7094" s="1">
        <v>45079</v>
      </c>
      <c r="G7094" t="str">
        <f>"81329"</f>
        <v>81329</v>
      </c>
      <c r="H7094">
        <v>1</v>
      </c>
      <c r="I7094">
        <v>17</v>
      </c>
      <c r="J7094">
        <v>0</v>
      </c>
      <c r="K7094" t="str">
        <f t="shared" si="1279"/>
        <v>801</v>
      </c>
      <c r="L7094">
        <v>14.28</v>
      </c>
    </row>
    <row r="7095" spans="1:12" x14ac:dyDescent="0.25">
      <c r="A7095" t="str">
        <f t="shared" si="1270"/>
        <v>89301000</v>
      </c>
      <c r="B7095" t="str">
        <f t="shared" si="1276"/>
        <v>85200000</v>
      </c>
      <c r="C7095" t="str">
        <f t="shared" si="1277"/>
        <v>85200332</v>
      </c>
      <c r="D7095">
        <v>89301167</v>
      </c>
      <c r="E7095" t="str">
        <f t="shared" si="1278"/>
        <v>6056171154</v>
      </c>
      <c r="F7095" s="1">
        <v>45079</v>
      </c>
      <c r="G7095" t="str">
        <f>"81337"</f>
        <v>81337</v>
      </c>
      <c r="H7095">
        <v>1</v>
      </c>
      <c r="I7095">
        <v>20</v>
      </c>
      <c r="J7095">
        <v>0</v>
      </c>
      <c r="K7095" t="str">
        <f t="shared" si="1279"/>
        <v>801</v>
      </c>
      <c r="L7095">
        <v>16.8</v>
      </c>
    </row>
    <row r="7096" spans="1:12" x14ac:dyDescent="0.25">
      <c r="A7096" t="str">
        <f t="shared" si="1270"/>
        <v>89301000</v>
      </c>
      <c r="B7096" t="str">
        <f t="shared" si="1276"/>
        <v>85200000</v>
      </c>
      <c r="C7096" t="str">
        <f t="shared" si="1277"/>
        <v>85200332</v>
      </c>
      <c r="D7096">
        <v>89301167</v>
      </c>
      <c r="E7096" t="str">
        <f t="shared" si="1278"/>
        <v>6056171154</v>
      </c>
      <c r="F7096" s="1">
        <v>45079</v>
      </c>
      <c r="G7096" t="str">
        <f>"81357"</f>
        <v>81357</v>
      </c>
      <c r="H7096">
        <v>1</v>
      </c>
      <c r="I7096">
        <v>20</v>
      </c>
      <c r="J7096">
        <v>0</v>
      </c>
      <c r="K7096" t="str">
        <f t="shared" si="1279"/>
        <v>801</v>
      </c>
      <c r="L7096">
        <v>16.8</v>
      </c>
    </row>
    <row r="7097" spans="1:12" x14ac:dyDescent="0.25">
      <c r="A7097" t="str">
        <f t="shared" si="1270"/>
        <v>89301000</v>
      </c>
      <c r="B7097" t="str">
        <f t="shared" si="1276"/>
        <v>85200000</v>
      </c>
      <c r="C7097" t="str">
        <f t="shared" si="1277"/>
        <v>85200332</v>
      </c>
      <c r="D7097">
        <v>89301167</v>
      </c>
      <c r="E7097" t="str">
        <f t="shared" si="1278"/>
        <v>6056171154</v>
      </c>
      <c r="F7097" s="1">
        <v>45079</v>
      </c>
      <c r="G7097" t="str">
        <f>"81361"</f>
        <v>81361</v>
      </c>
      <c r="H7097">
        <v>1</v>
      </c>
      <c r="I7097">
        <v>17</v>
      </c>
      <c r="J7097">
        <v>0</v>
      </c>
      <c r="K7097" t="str">
        <f t="shared" si="1279"/>
        <v>801</v>
      </c>
      <c r="L7097">
        <v>14.28</v>
      </c>
    </row>
    <row r="7098" spans="1:12" x14ac:dyDescent="0.25">
      <c r="A7098" t="str">
        <f t="shared" si="1270"/>
        <v>89301000</v>
      </c>
      <c r="B7098" t="str">
        <f t="shared" si="1276"/>
        <v>85200000</v>
      </c>
      <c r="C7098" t="str">
        <f t="shared" si="1277"/>
        <v>85200332</v>
      </c>
      <c r="D7098">
        <v>89301167</v>
      </c>
      <c r="E7098" t="str">
        <f t="shared" si="1278"/>
        <v>6056171154</v>
      </c>
      <c r="F7098" s="1">
        <v>45079</v>
      </c>
      <c r="G7098" t="str">
        <f>"81383"</f>
        <v>81383</v>
      </c>
      <c r="H7098">
        <v>1</v>
      </c>
      <c r="I7098">
        <v>24</v>
      </c>
      <c r="J7098">
        <v>0</v>
      </c>
      <c r="K7098" t="str">
        <f t="shared" si="1279"/>
        <v>801</v>
      </c>
      <c r="L7098">
        <v>20.16</v>
      </c>
    </row>
    <row r="7099" spans="1:12" x14ac:dyDescent="0.25">
      <c r="A7099" t="str">
        <f t="shared" si="1270"/>
        <v>89301000</v>
      </c>
      <c r="B7099" t="str">
        <f t="shared" si="1276"/>
        <v>85200000</v>
      </c>
      <c r="C7099" t="str">
        <f t="shared" si="1277"/>
        <v>85200332</v>
      </c>
      <c r="D7099">
        <v>89301167</v>
      </c>
      <c r="E7099" t="str">
        <f t="shared" si="1278"/>
        <v>6056171154</v>
      </c>
      <c r="F7099" s="1">
        <v>45079</v>
      </c>
      <c r="G7099" t="str">
        <f>"81393"</f>
        <v>81393</v>
      </c>
      <c r="H7099">
        <v>1</v>
      </c>
      <c r="I7099">
        <v>24</v>
      </c>
      <c r="J7099">
        <v>0</v>
      </c>
      <c r="K7099" t="str">
        <f t="shared" si="1279"/>
        <v>801</v>
      </c>
      <c r="L7099">
        <v>20.16</v>
      </c>
    </row>
    <row r="7100" spans="1:12" x14ac:dyDescent="0.25">
      <c r="A7100" t="str">
        <f t="shared" si="1270"/>
        <v>89301000</v>
      </c>
      <c r="B7100" t="str">
        <f t="shared" si="1276"/>
        <v>85200000</v>
      </c>
      <c r="C7100" t="str">
        <f t="shared" si="1277"/>
        <v>85200332</v>
      </c>
      <c r="D7100">
        <v>89301167</v>
      </c>
      <c r="E7100" t="str">
        <f t="shared" si="1278"/>
        <v>6056171154</v>
      </c>
      <c r="F7100" s="1">
        <v>45079</v>
      </c>
      <c r="G7100" t="str">
        <f>"81421"</f>
        <v>81421</v>
      </c>
      <c r="H7100">
        <v>1</v>
      </c>
      <c r="I7100">
        <v>19</v>
      </c>
      <c r="J7100">
        <v>0</v>
      </c>
      <c r="K7100" t="str">
        <f t="shared" si="1279"/>
        <v>801</v>
      </c>
      <c r="L7100">
        <v>15.96</v>
      </c>
    </row>
    <row r="7101" spans="1:12" x14ac:dyDescent="0.25">
      <c r="A7101" t="str">
        <f t="shared" si="1270"/>
        <v>89301000</v>
      </c>
      <c r="B7101" t="str">
        <f t="shared" si="1276"/>
        <v>85200000</v>
      </c>
      <c r="C7101" t="str">
        <f t="shared" si="1277"/>
        <v>85200332</v>
      </c>
      <c r="D7101">
        <v>89301167</v>
      </c>
      <c r="E7101" t="str">
        <f t="shared" si="1278"/>
        <v>6056171154</v>
      </c>
      <c r="F7101" s="1">
        <v>45079</v>
      </c>
      <c r="G7101" t="str">
        <f>"81435"</f>
        <v>81435</v>
      </c>
      <c r="H7101">
        <v>1</v>
      </c>
      <c r="I7101">
        <v>22</v>
      </c>
      <c r="J7101">
        <v>0</v>
      </c>
      <c r="K7101" t="str">
        <f t="shared" si="1279"/>
        <v>801</v>
      </c>
      <c r="L7101">
        <v>18.48</v>
      </c>
    </row>
    <row r="7102" spans="1:12" x14ac:dyDescent="0.25">
      <c r="A7102" t="str">
        <f t="shared" si="1270"/>
        <v>89301000</v>
      </c>
      <c r="B7102" t="str">
        <f t="shared" si="1276"/>
        <v>85200000</v>
      </c>
      <c r="C7102" t="str">
        <f t="shared" si="1277"/>
        <v>85200332</v>
      </c>
      <c r="D7102">
        <v>89301167</v>
      </c>
      <c r="E7102" t="str">
        <f t="shared" si="1278"/>
        <v>6056171154</v>
      </c>
      <c r="F7102" s="1">
        <v>45079</v>
      </c>
      <c r="G7102" t="str">
        <f>"81439"</f>
        <v>81439</v>
      </c>
      <c r="H7102">
        <v>1</v>
      </c>
      <c r="I7102">
        <v>16</v>
      </c>
      <c r="J7102">
        <v>0</v>
      </c>
      <c r="K7102" t="str">
        <f t="shared" si="1279"/>
        <v>801</v>
      </c>
      <c r="L7102">
        <v>13.44</v>
      </c>
    </row>
    <row r="7103" spans="1:12" x14ac:dyDescent="0.25">
      <c r="A7103" t="str">
        <f t="shared" si="1270"/>
        <v>89301000</v>
      </c>
      <c r="B7103" t="str">
        <f t="shared" si="1276"/>
        <v>85200000</v>
      </c>
      <c r="C7103" t="str">
        <f t="shared" si="1277"/>
        <v>85200332</v>
      </c>
      <c r="D7103">
        <v>89301167</v>
      </c>
      <c r="E7103" t="str">
        <f t="shared" si="1278"/>
        <v>6056171154</v>
      </c>
      <c r="F7103" s="1">
        <v>45079</v>
      </c>
      <c r="G7103" t="str">
        <f>"81469"</f>
        <v>81469</v>
      </c>
      <c r="H7103">
        <v>1</v>
      </c>
      <c r="I7103">
        <v>16</v>
      </c>
      <c r="J7103">
        <v>0</v>
      </c>
      <c r="K7103" t="str">
        <f t="shared" si="1279"/>
        <v>801</v>
      </c>
      <c r="L7103">
        <v>13.44</v>
      </c>
    </row>
    <row r="7104" spans="1:12" x14ac:dyDescent="0.25">
      <c r="A7104" t="str">
        <f t="shared" si="1270"/>
        <v>89301000</v>
      </c>
      <c r="B7104" t="str">
        <f t="shared" si="1276"/>
        <v>85200000</v>
      </c>
      <c r="C7104" t="str">
        <f t="shared" si="1277"/>
        <v>85200332</v>
      </c>
      <c r="D7104">
        <v>89301167</v>
      </c>
      <c r="E7104" t="str">
        <f t="shared" si="1278"/>
        <v>6056171154</v>
      </c>
      <c r="F7104" s="1">
        <v>45079</v>
      </c>
      <c r="G7104" t="str">
        <f>"81499"</f>
        <v>81499</v>
      </c>
      <c r="H7104">
        <v>1</v>
      </c>
      <c r="I7104">
        <v>18</v>
      </c>
      <c r="J7104">
        <v>0</v>
      </c>
      <c r="K7104" t="str">
        <f t="shared" si="1279"/>
        <v>801</v>
      </c>
      <c r="L7104">
        <v>15.12</v>
      </c>
    </row>
    <row r="7105" spans="1:12" x14ac:dyDescent="0.25">
      <c r="A7105" t="str">
        <f t="shared" si="1270"/>
        <v>89301000</v>
      </c>
      <c r="B7105" t="str">
        <f t="shared" si="1276"/>
        <v>85200000</v>
      </c>
      <c r="C7105" t="str">
        <f t="shared" si="1277"/>
        <v>85200332</v>
      </c>
      <c r="D7105">
        <v>89301167</v>
      </c>
      <c r="E7105" t="str">
        <f t="shared" si="1278"/>
        <v>6056171154</v>
      </c>
      <c r="F7105" s="1">
        <v>45079</v>
      </c>
      <c r="G7105" t="str">
        <f>"81523"</f>
        <v>81523</v>
      </c>
      <c r="H7105">
        <v>1</v>
      </c>
      <c r="I7105">
        <v>23</v>
      </c>
      <c r="J7105">
        <v>0</v>
      </c>
      <c r="K7105" t="str">
        <f t="shared" si="1279"/>
        <v>801</v>
      </c>
      <c r="L7105">
        <v>19.32</v>
      </c>
    </row>
    <row r="7106" spans="1:12" x14ac:dyDescent="0.25">
      <c r="A7106" t="str">
        <f t="shared" ref="A7106:A7169" si="1280">"89301000"</f>
        <v>89301000</v>
      </c>
      <c r="B7106" t="str">
        <f t="shared" si="1276"/>
        <v>85200000</v>
      </c>
      <c r="C7106" t="str">
        <f t="shared" si="1277"/>
        <v>85200332</v>
      </c>
      <c r="D7106">
        <v>89301167</v>
      </c>
      <c r="E7106" t="str">
        <f t="shared" si="1278"/>
        <v>6056171154</v>
      </c>
      <c r="F7106" s="1">
        <v>45079</v>
      </c>
      <c r="G7106" t="str">
        <f>"81593"</f>
        <v>81593</v>
      </c>
      <c r="H7106">
        <v>1</v>
      </c>
      <c r="I7106">
        <v>22</v>
      </c>
      <c r="J7106">
        <v>0</v>
      </c>
      <c r="K7106" t="str">
        <f t="shared" si="1279"/>
        <v>801</v>
      </c>
      <c r="L7106">
        <v>18.48</v>
      </c>
    </row>
    <row r="7107" spans="1:12" x14ac:dyDescent="0.25">
      <c r="A7107" t="str">
        <f t="shared" si="1280"/>
        <v>89301000</v>
      </c>
      <c r="B7107" t="str">
        <f t="shared" si="1276"/>
        <v>85200000</v>
      </c>
      <c r="C7107" t="str">
        <f t="shared" si="1277"/>
        <v>85200332</v>
      </c>
      <c r="D7107">
        <v>89301167</v>
      </c>
      <c r="E7107" t="str">
        <f t="shared" si="1278"/>
        <v>6056171154</v>
      </c>
      <c r="F7107" s="1">
        <v>45079</v>
      </c>
      <c r="G7107" t="str">
        <f>"81621"</f>
        <v>81621</v>
      </c>
      <c r="H7107">
        <v>1</v>
      </c>
      <c r="I7107">
        <v>19</v>
      </c>
      <c r="J7107">
        <v>0</v>
      </c>
      <c r="K7107" t="str">
        <f t="shared" si="1279"/>
        <v>801</v>
      </c>
      <c r="L7107">
        <v>15.96</v>
      </c>
    </row>
    <row r="7108" spans="1:12" x14ac:dyDescent="0.25">
      <c r="A7108" t="str">
        <f t="shared" si="1280"/>
        <v>89301000</v>
      </c>
      <c r="B7108" t="str">
        <f t="shared" si="1276"/>
        <v>85200000</v>
      </c>
      <c r="C7108" t="str">
        <f t="shared" si="1277"/>
        <v>85200332</v>
      </c>
      <c r="D7108">
        <v>89301167</v>
      </c>
      <c r="E7108" t="str">
        <f t="shared" si="1278"/>
        <v>6056171154</v>
      </c>
      <c r="F7108" s="1">
        <v>45079</v>
      </c>
      <c r="G7108" t="str">
        <f>"81625"</f>
        <v>81625</v>
      </c>
      <c r="H7108">
        <v>1</v>
      </c>
      <c r="I7108">
        <v>21</v>
      </c>
      <c r="J7108">
        <v>0</v>
      </c>
      <c r="K7108" t="str">
        <f t="shared" si="1279"/>
        <v>801</v>
      </c>
      <c r="L7108">
        <v>17.64</v>
      </c>
    </row>
    <row r="7109" spans="1:12" x14ac:dyDescent="0.25">
      <c r="A7109" t="str">
        <f t="shared" si="1280"/>
        <v>89301000</v>
      </c>
      <c r="B7109" t="str">
        <f t="shared" si="1276"/>
        <v>85200000</v>
      </c>
      <c r="C7109" t="str">
        <f t="shared" si="1277"/>
        <v>85200332</v>
      </c>
      <c r="D7109">
        <v>89301167</v>
      </c>
      <c r="E7109" t="str">
        <f t="shared" si="1278"/>
        <v>6056171154</v>
      </c>
      <c r="F7109" s="1">
        <v>45079</v>
      </c>
      <c r="G7109" t="str">
        <f>"91153"</f>
        <v>91153</v>
      </c>
      <c r="H7109">
        <v>1</v>
      </c>
      <c r="I7109">
        <v>153</v>
      </c>
      <c r="J7109">
        <v>0</v>
      </c>
      <c r="K7109" t="str">
        <f t="shared" si="1279"/>
        <v>801</v>
      </c>
      <c r="L7109">
        <v>128.52000000000001</v>
      </c>
    </row>
    <row r="7110" spans="1:12" x14ac:dyDescent="0.25">
      <c r="A7110" t="str">
        <f t="shared" si="1280"/>
        <v>89301000</v>
      </c>
      <c r="B7110" t="str">
        <f t="shared" si="1276"/>
        <v>85200000</v>
      </c>
      <c r="C7110" t="str">
        <f t="shared" si="1277"/>
        <v>85200332</v>
      </c>
      <c r="D7110">
        <v>89301167</v>
      </c>
      <c r="E7110" t="str">
        <f t="shared" si="1278"/>
        <v>6056171154</v>
      </c>
      <c r="F7110" s="1">
        <v>45079</v>
      </c>
      <c r="G7110" t="str">
        <f>"93189"</f>
        <v>93189</v>
      </c>
      <c r="H7110">
        <v>1</v>
      </c>
      <c r="I7110">
        <v>191</v>
      </c>
      <c r="J7110">
        <v>0</v>
      </c>
      <c r="K7110" t="str">
        <f t="shared" si="1279"/>
        <v>801</v>
      </c>
      <c r="L7110">
        <v>160.44</v>
      </c>
    </row>
    <row r="7111" spans="1:12" x14ac:dyDescent="0.25">
      <c r="A7111" t="str">
        <f t="shared" si="1280"/>
        <v>89301000</v>
      </c>
      <c r="B7111" t="str">
        <f t="shared" si="1276"/>
        <v>85200000</v>
      </c>
      <c r="C7111" t="str">
        <f t="shared" si="1277"/>
        <v>85200332</v>
      </c>
      <c r="D7111">
        <v>89301167</v>
      </c>
      <c r="E7111" t="str">
        <f t="shared" si="1278"/>
        <v>6056171154</v>
      </c>
      <c r="F7111" s="1">
        <v>45079</v>
      </c>
      <c r="G7111" t="str">
        <f>"93195"</f>
        <v>93195</v>
      </c>
      <c r="H7111">
        <v>1</v>
      </c>
      <c r="I7111">
        <v>183</v>
      </c>
      <c r="J7111">
        <v>0</v>
      </c>
      <c r="K7111" t="str">
        <f t="shared" si="1279"/>
        <v>801</v>
      </c>
      <c r="L7111">
        <v>153.72</v>
      </c>
    </row>
    <row r="7112" spans="1:12" x14ac:dyDescent="0.25">
      <c r="A7112" t="str">
        <f t="shared" si="1280"/>
        <v>89301000</v>
      </c>
      <c r="B7112" t="str">
        <f t="shared" si="1276"/>
        <v>85200000</v>
      </c>
      <c r="C7112" t="str">
        <f t="shared" si="1277"/>
        <v>85200332</v>
      </c>
      <c r="D7112">
        <v>89301167</v>
      </c>
      <c r="E7112" t="str">
        <f t="shared" si="1278"/>
        <v>6056171154</v>
      </c>
      <c r="F7112" s="1">
        <v>45079</v>
      </c>
      <c r="G7112" t="str">
        <f>"96167"</f>
        <v>96167</v>
      </c>
      <c r="H7112">
        <v>1</v>
      </c>
      <c r="I7112">
        <v>67</v>
      </c>
      <c r="J7112">
        <v>0</v>
      </c>
      <c r="K7112" t="str">
        <f t="shared" si="1279"/>
        <v>801</v>
      </c>
      <c r="L7112">
        <v>56.28</v>
      </c>
    </row>
    <row r="7113" spans="1:12" x14ac:dyDescent="0.25">
      <c r="A7113" t="str">
        <f t="shared" si="1280"/>
        <v>89301000</v>
      </c>
      <c r="B7113" t="str">
        <f t="shared" si="1276"/>
        <v>85200000</v>
      </c>
      <c r="C7113" t="str">
        <f t="shared" si="1277"/>
        <v>85200332</v>
      </c>
      <c r="D7113">
        <v>89301167</v>
      </c>
      <c r="E7113" t="str">
        <f t="shared" si="1278"/>
        <v>6056171154</v>
      </c>
      <c r="F7113" s="1">
        <v>45079</v>
      </c>
      <c r="G7113" t="str">
        <f>"97111"</f>
        <v>97111</v>
      </c>
      <c r="H7113">
        <v>1</v>
      </c>
      <c r="I7113">
        <v>19</v>
      </c>
      <c r="J7113">
        <v>0</v>
      </c>
      <c r="K7113" t="str">
        <f t="shared" si="1279"/>
        <v>801</v>
      </c>
      <c r="L7113">
        <v>23.94</v>
      </c>
    </row>
    <row r="7114" spans="1:12" x14ac:dyDescent="0.25">
      <c r="A7114" t="str">
        <f t="shared" si="1280"/>
        <v>89301000</v>
      </c>
      <c r="B7114" t="str">
        <f t="shared" ref="B7114:B7145" si="1281">"10510000"</f>
        <v>10510000</v>
      </c>
      <c r="C7114" t="str">
        <f t="shared" ref="C7114:C7145" si="1282">"10510001"</f>
        <v>10510001</v>
      </c>
      <c r="D7114">
        <v>89301355</v>
      </c>
      <c r="E7114" t="str">
        <f t="shared" ref="E7114:E7119" si="1283">"7351294467"</f>
        <v>7351294467</v>
      </c>
      <c r="F7114" s="1">
        <v>45083</v>
      </c>
      <c r="G7114" t="str">
        <f>"82111"</f>
        <v>82111</v>
      </c>
      <c r="H7114">
        <v>1</v>
      </c>
      <c r="I7114">
        <v>37</v>
      </c>
      <c r="J7114">
        <v>0</v>
      </c>
      <c r="K7114" t="str">
        <f t="shared" ref="K7114:K7145" si="1284">"802"</f>
        <v>802</v>
      </c>
      <c r="L7114">
        <v>35.89</v>
      </c>
    </row>
    <row r="7115" spans="1:12" x14ac:dyDescent="0.25">
      <c r="A7115" t="str">
        <f t="shared" si="1280"/>
        <v>89301000</v>
      </c>
      <c r="B7115" t="str">
        <f t="shared" si="1281"/>
        <v>10510000</v>
      </c>
      <c r="C7115" t="str">
        <f t="shared" si="1282"/>
        <v>10510001</v>
      </c>
      <c r="D7115">
        <v>89301355</v>
      </c>
      <c r="E7115" t="str">
        <f t="shared" si="1283"/>
        <v>7351294467</v>
      </c>
      <c r="F7115" s="1">
        <v>45079</v>
      </c>
      <c r="G7115" t="str">
        <f>"82111"</f>
        <v>82111</v>
      </c>
      <c r="H7115">
        <v>1</v>
      </c>
      <c r="I7115">
        <v>37</v>
      </c>
      <c r="J7115">
        <v>0</v>
      </c>
      <c r="K7115" t="str">
        <f t="shared" si="1284"/>
        <v>802</v>
      </c>
      <c r="L7115">
        <v>35.89</v>
      </c>
    </row>
    <row r="7116" spans="1:12" x14ac:dyDescent="0.25">
      <c r="A7116" t="str">
        <f t="shared" si="1280"/>
        <v>89301000</v>
      </c>
      <c r="B7116" t="str">
        <f t="shared" si="1281"/>
        <v>10510000</v>
      </c>
      <c r="C7116" t="str">
        <f t="shared" si="1282"/>
        <v>10510001</v>
      </c>
      <c r="D7116">
        <v>89301355</v>
      </c>
      <c r="E7116" t="str">
        <f t="shared" si="1283"/>
        <v>7351294467</v>
      </c>
      <c r="F7116" s="1">
        <v>45082</v>
      </c>
      <c r="G7116" t="str">
        <f>"82145"</f>
        <v>82145</v>
      </c>
      <c r="H7116">
        <v>1</v>
      </c>
      <c r="I7116">
        <v>59</v>
      </c>
      <c r="J7116">
        <v>0</v>
      </c>
      <c r="K7116" t="str">
        <f t="shared" si="1284"/>
        <v>802</v>
      </c>
      <c r="L7116">
        <v>57.23</v>
      </c>
    </row>
    <row r="7117" spans="1:12" x14ac:dyDescent="0.25">
      <c r="A7117" t="str">
        <f t="shared" si="1280"/>
        <v>89301000</v>
      </c>
      <c r="B7117" t="str">
        <f t="shared" si="1281"/>
        <v>10510000</v>
      </c>
      <c r="C7117" t="str">
        <f t="shared" si="1282"/>
        <v>10510001</v>
      </c>
      <c r="D7117">
        <v>89301355</v>
      </c>
      <c r="E7117" t="str">
        <f t="shared" si="1283"/>
        <v>7351294467</v>
      </c>
      <c r="F7117" s="1">
        <v>45082</v>
      </c>
      <c r="G7117" t="str">
        <f>"82079"</f>
        <v>82079</v>
      </c>
      <c r="H7117">
        <v>1</v>
      </c>
      <c r="I7117">
        <v>333</v>
      </c>
      <c r="J7117">
        <v>0</v>
      </c>
      <c r="K7117" t="str">
        <f t="shared" si="1284"/>
        <v>802</v>
      </c>
      <c r="L7117">
        <v>323.01</v>
      </c>
    </row>
    <row r="7118" spans="1:12" x14ac:dyDescent="0.25">
      <c r="A7118" t="str">
        <f t="shared" si="1280"/>
        <v>89301000</v>
      </c>
      <c r="B7118" t="str">
        <f t="shared" si="1281"/>
        <v>10510000</v>
      </c>
      <c r="C7118" t="str">
        <f t="shared" si="1282"/>
        <v>10510001</v>
      </c>
      <c r="D7118">
        <v>89301355</v>
      </c>
      <c r="E7118" t="str">
        <f t="shared" si="1283"/>
        <v>7351294467</v>
      </c>
      <c r="F7118" s="1">
        <v>45083</v>
      </c>
      <c r="G7118" t="str">
        <f>"82075"</f>
        <v>82075</v>
      </c>
      <c r="H7118">
        <v>1</v>
      </c>
      <c r="I7118">
        <v>488</v>
      </c>
      <c r="J7118">
        <v>0</v>
      </c>
      <c r="K7118" t="str">
        <f t="shared" si="1284"/>
        <v>802</v>
      </c>
      <c r="L7118">
        <v>473.36</v>
      </c>
    </row>
    <row r="7119" spans="1:12" x14ac:dyDescent="0.25">
      <c r="A7119" t="str">
        <f t="shared" si="1280"/>
        <v>89301000</v>
      </c>
      <c r="B7119" t="str">
        <f t="shared" si="1281"/>
        <v>10510000</v>
      </c>
      <c r="C7119" t="str">
        <f t="shared" si="1282"/>
        <v>10510001</v>
      </c>
      <c r="D7119">
        <v>89301355</v>
      </c>
      <c r="E7119" t="str">
        <f t="shared" si="1283"/>
        <v>7351294467</v>
      </c>
      <c r="F7119" s="1">
        <v>45082</v>
      </c>
      <c r="G7119" t="str">
        <f>"82113"</f>
        <v>82113</v>
      </c>
      <c r="H7119">
        <v>1</v>
      </c>
      <c r="I7119">
        <v>363</v>
      </c>
      <c r="J7119">
        <v>0</v>
      </c>
      <c r="K7119" t="str">
        <f t="shared" si="1284"/>
        <v>802</v>
      </c>
      <c r="L7119">
        <v>352.11</v>
      </c>
    </row>
    <row r="7120" spans="1:12" x14ac:dyDescent="0.25">
      <c r="A7120" t="str">
        <f t="shared" si="1280"/>
        <v>89301000</v>
      </c>
      <c r="B7120" t="str">
        <f t="shared" si="1281"/>
        <v>10510000</v>
      </c>
      <c r="C7120" t="str">
        <f t="shared" si="1282"/>
        <v>10510001</v>
      </c>
      <c r="D7120">
        <v>89301202</v>
      </c>
      <c r="E7120" t="str">
        <f>"2303180275"</f>
        <v>2303180275</v>
      </c>
      <c r="F7120" s="1">
        <v>45105</v>
      </c>
      <c r="G7120" t="str">
        <f>"82113"</f>
        <v>82113</v>
      </c>
      <c r="H7120">
        <v>1</v>
      </c>
      <c r="I7120">
        <v>363</v>
      </c>
      <c r="J7120">
        <v>0</v>
      </c>
      <c r="K7120" t="str">
        <f t="shared" si="1284"/>
        <v>802</v>
      </c>
      <c r="L7120">
        <v>352.11</v>
      </c>
    </row>
    <row r="7121" spans="1:12" x14ac:dyDescent="0.25">
      <c r="A7121" t="str">
        <f t="shared" si="1280"/>
        <v>89301000</v>
      </c>
      <c r="B7121" t="str">
        <f t="shared" si="1281"/>
        <v>10510000</v>
      </c>
      <c r="C7121" t="str">
        <f t="shared" si="1282"/>
        <v>10510001</v>
      </c>
      <c r="D7121">
        <v>89301202</v>
      </c>
      <c r="E7121" t="str">
        <f>"2303180275"</f>
        <v>2303180275</v>
      </c>
      <c r="F7121" s="1">
        <v>45104</v>
      </c>
      <c r="G7121" t="str">
        <f>"97111"</f>
        <v>97111</v>
      </c>
      <c r="H7121">
        <v>1</v>
      </c>
      <c r="I7121">
        <v>19</v>
      </c>
      <c r="J7121">
        <v>0</v>
      </c>
      <c r="K7121" t="str">
        <f t="shared" si="1284"/>
        <v>802</v>
      </c>
      <c r="L7121">
        <v>23.94</v>
      </c>
    </row>
    <row r="7122" spans="1:12" x14ac:dyDescent="0.25">
      <c r="A7122" t="str">
        <f t="shared" si="1280"/>
        <v>89301000</v>
      </c>
      <c r="B7122" t="str">
        <f t="shared" si="1281"/>
        <v>10510000</v>
      </c>
      <c r="C7122" t="str">
        <f t="shared" si="1282"/>
        <v>10510001</v>
      </c>
      <c r="D7122">
        <v>89301202</v>
      </c>
      <c r="E7122" t="str">
        <f>"2303180275"</f>
        <v>2303180275</v>
      </c>
      <c r="F7122" s="1">
        <v>45105</v>
      </c>
      <c r="G7122" t="str">
        <f>"82111"</f>
        <v>82111</v>
      </c>
      <c r="H7122">
        <v>1</v>
      </c>
      <c r="I7122">
        <v>37</v>
      </c>
      <c r="J7122">
        <v>0</v>
      </c>
      <c r="K7122" t="str">
        <f t="shared" si="1284"/>
        <v>802</v>
      </c>
      <c r="L7122">
        <v>35.89</v>
      </c>
    </row>
    <row r="7123" spans="1:12" x14ac:dyDescent="0.25">
      <c r="A7123" t="str">
        <f t="shared" si="1280"/>
        <v>89301000</v>
      </c>
      <c r="B7123" t="str">
        <f t="shared" si="1281"/>
        <v>10510000</v>
      </c>
      <c r="C7123" t="str">
        <f t="shared" si="1282"/>
        <v>10510001</v>
      </c>
      <c r="D7123">
        <v>89301202</v>
      </c>
      <c r="E7123" t="str">
        <f>"2303180275"</f>
        <v>2303180275</v>
      </c>
      <c r="F7123" s="1">
        <v>45105</v>
      </c>
      <c r="G7123" t="str">
        <f>"82079"</f>
        <v>82079</v>
      </c>
      <c r="H7123">
        <v>1</v>
      </c>
      <c r="I7123">
        <v>333</v>
      </c>
      <c r="J7123">
        <v>0</v>
      </c>
      <c r="K7123" t="str">
        <f t="shared" si="1284"/>
        <v>802</v>
      </c>
      <c r="L7123">
        <v>323.01</v>
      </c>
    </row>
    <row r="7124" spans="1:12" x14ac:dyDescent="0.25">
      <c r="A7124" t="str">
        <f t="shared" si="1280"/>
        <v>89301000</v>
      </c>
      <c r="B7124" t="str">
        <f t="shared" si="1281"/>
        <v>10510000</v>
      </c>
      <c r="C7124" t="str">
        <f t="shared" si="1282"/>
        <v>10510001</v>
      </c>
      <c r="D7124">
        <v>89301202</v>
      </c>
      <c r="E7124" t="str">
        <f>"2303180275"</f>
        <v>2303180275</v>
      </c>
      <c r="F7124" s="1">
        <v>45105</v>
      </c>
      <c r="G7124" t="str">
        <f>"82145"</f>
        <v>82145</v>
      </c>
      <c r="H7124">
        <v>6</v>
      </c>
      <c r="I7124">
        <v>354</v>
      </c>
      <c r="J7124">
        <v>0</v>
      </c>
      <c r="K7124" t="str">
        <f t="shared" si="1284"/>
        <v>802</v>
      </c>
      <c r="L7124">
        <v>343.38</v>
      </c>
    </row>
    <row r="7125" spans="1:12" x14ac:dyDescent="0.25">
      <c r="A7125" t="str">
        <f t="shared" si="1280"/>
        <v>89301000</v>
      </c>
      <c r="B7125" t="str">
        <f t="shared" si="1281"/>
        <v>10510000</v>
      </c>
      <c r="C7125" t="str">
        <f t="shared" si="1282"/>
        <v>10510001</v>
      </c>
      <c r="D7125">
        <v>89301037</v>
      </c>
      <c r="E7125" t="str">
        <f>"6304282435"</f>
        <v>6304282435</v>
      </c>
      <c r="F7125" s="1">
        <v>45083</v>
      </c>
      <c r="G7125" t="str">
        <f>"82040"</f>
        <v>82040</v>
      </c>
      <c r="H7125">
        <v>1</v>
      </c>
      <c r="I7125">
        <v>938</v>
      </c>
      <c r="J7125">
        <v>0</v>
      </c>
      <c r="K7125" t="str">
        <f t="shared" si="1284"/>
        <v>802</v>
      </c>
      <c r="L7125">
        <v>909.86</v>
      </c>
    </row>
    <row r="7126" spans="1:12" x14ac:dyDescent="0.25">
      <c r="A7126" t="str">
        <f t="shared" si="1280"/>
        <v>89301000</v>
      </c>
      <c r="B7126" t="str">
        <f t="shared" si="1281"/>
        <v>10510000</v>
      </c>
      <c r="C7126" t="str">
        <f t="shared" si="1282"/>
        <v>10510001</v>
      </c>
      <c r="D7126">
        <v>89301037</v>
      </c>
      <c r="E7126" t="str">
        <f>"6304282435"</f>
        <v>6304282435</v>
      </c>
      <c r="F7126" s="1">
        <v>45083</v>
      </c>
      <c r="G7126" t="str">
        <f>"82041"</f>
        <v>82041</v>
      </c>
      <c r="H7126">
        <v>1</v>
      </c>
      <c r="I7126">
        <v>1096</v>
      </c>
      <c r="J7126">
        <v>0</v>
      </c>
      <c r="K7126" t="str">
        <f t="shared" si="1284"/>
        <v>802</v>
      </c>
      <c r="L7126">
        <v>1063.1199999999999</v>
      </c>
    </row>
    <row r="7127" spans="1:12" x14ac:dyDescent="0.25">
      <c r="A7127" t="str">
        <f t="shared" si="1280"/>
        <v>89301000</v>
      </c>
      <c r="B7127" t="str">
        <f t="shared" si="1281"/>
        <v>10510000</v>
      </c>
      <c r="C7127" t="str">
        <f t="shared" si="1282"/>
        <v>10510001</v>
      </c>
      <c r="D7127">
        <v>89301013</v>
      </c>
      <c r="E7127" t="str">
        <f>"386119709"</f>
        <v>386119709</v>
      </c>
      <c r="F7127" s="1">
        <v>45093</v>
      </c>
      <c r="G7127" t="str">
        <f>"82077"</f>
        <v>82077</v>
      </c>
      <c r="H7127">
        <v>2</v>
      </c>
      <c r="I7127">
        <v>702</v>
      </c>
      <c r="J7127">
        <v>0</v>
      </c>
      <c r="K7127" t="str">
        <f t="shared" si="1284"/>
        <v>802</v>
      </c>
      <c r="L7127">
        <v>680.94</v>
      </c>
    </row>
    <row r="7128" spans="1:12" x14ac:dyDescent="0.25">
      <c r="A7128" t="str">
        <f t="shared" si="1280"/>
        <v>89301000</v>
      </c>
      <c r="B7128" t="str">
        <f t="shared" si="1281"/>
        <v>10510000</v>
      </c>
      <c r="C7128" t="str">
        <f t="shared" si="1282"/>
        <v>10510001</v>
      </c>
      <c r="D7128">
        <v>89301013</v>
      </c>
      <c r="E7128" t="str">
        <f>"386119709"</f>
        <v>386119709</v>
      </c>
      <c r="F7128" s="1">
        <v>45093</v>
      </c>
      <c r="G7128" t="str">
        <f>"82077"</f>
        <v>82077</v>
      </c>
      <c r="H7128">
        <v>2</v>
      </c>
      <c r="I7128">
        <v>702</v>
      </c>
      <c r="J7128">
        <v>0</v>
      </c>
      <c r="K7128" t="str">
        <f t="shared" si="1284"/>
        <v>802</v>
      </c>
      <c r="L7128">
        <v>680.94</v>
      </c>
    </row>
    <row r="7129" spans="1:12" x14ac:dyDescent="0.25">
      <c r="A7129" t="str">
        <f t="shared" si="1280"/>
        <v>89301000</v>
      </c>
      <c r="B7129" t="str">
        <f t="shared" si="1281"/>
        <v>10510000</v>
      </c>
      <c r="C7129" t="str">
        <f t="shared" si="1282"/>
        <v>10510001</v>
      </c>
      <c r="D7129">
        <v>89301013</v>
      </c>
      <c r="E7129" t="str">
        <f>"386119709"</f>
        <v>386119709</v>
      </c>
      <c r="F7129" s="1">
        <v>45090</v>
      </c>
      <c r="G7129" t="str">
        <f>"82077"</f>
        <v>82077</v>
      </c>
      <c r="H7129">
        <v>1</v>
      </c>
      <c r="I7129">
        <v>351</v>
      </c>
      <c r="J7129">
        <v>0</v>
      </c>
      <c r="K7129" t="str">
        <f t="shared" si="1284"/>
        <v>802</v>
      </c>
      <c r="L7129">
        <v>340.47</v>
      </c>
    </row>
    <row r="7130" spans="1:12" x14ac:dyDescent="0.25">
      <c r="A7130" t="str">
        <f t="shared" si="1280"/>
        <v>89301000</v>
      </c>
      <c r="B7130" t="str">
        <f t="shared" si="1281"/>
        <v>10510000</v>
      </c>
      <c r="C7130" t="str">
        <f t="shared" si="1282"/>
        <v>10510001</v>
      </c>
      <c r="D7130">
        <v>89301013</v>
      </c>
      <c r="E7130" t="str">
        <f>"386119709"</f>
        <v>386119709</v>
      </c>
      <c r="F7130" s="1">
        <v>45090</v>
      </c>
      <c r="G7130" t="str">
        <f>"82137"</f>
        <v>82137</v>
      </c>
      <c r="H7130">
        <v>1</v>
      </c>
      <c r="I7130">
        <v>1606</v>
      </c>
      <c r="J7130">
        <v>0</v>
      </c>
      <c r="K7130" t="str">
        <f t="shared" si="1284"/>
        <v>802</v>
      </c>
      <c r="L7130">
        <v>1557.82</v>
      </c>
    </row>
    <row r="7131" spans="1:12" x14ac:dyDescent="0.25">
      <c r="A7131" t="str">
        <f t="shared" si="1280"/>
        <v>89301000</v>
      </c>
      <c r="B7131" t="str">
        <f t="shared" si="1281"/>
        <v>10510000</v>
      </c>
      <c r="C7131" t="str">
        <f t="shared" si="1282"/>
        <v>10510001</v>
      </c>
      <c r="D7131">
        <v>89301355</v>
      </c>
      <c r="E7131" t="str">
        <f>"0257086214"</f>
        <v>0257086214</v>
      </c>
      <c r="F7131" s="1">
        <v>45100</v>
      </c>
      <c r="G7131" t="str">
        <f>"82077"</f>
        <v>82077</v>
      </c>
      <c r="H7131">
        <v>2</v>
      </c>
      <c r="I7131">
        <v>702</v>
      </c>
      <c r="J7131">
        <v>0</v>
      </c>
      <c r="K7131" t="str">
        <f t="shared" si="1284"/>
        <v>802</v>
      </c>
      <c r="L7131">
        <v>680.94</v>
      </c>
    </row>
    <row r="7132" spans="1:12" x14ac:dyDescent="0.25">
      <c r="A7132" t="str">
        <f t="shared" si="1280"/>
        <v>89301000</v>
      </c>
      <c r="B7132" t="str">
        <f t="shared" si="1281"/>
        <v>10510000</v>
      </c>
      <c r="C7132" t="str">
        <f t="shared" si="1282"/>
        <v>10510001</v>
      </c>
      <c r="D7132">
        <v>89301355</v>
      </c>
      <c r="E7132" t="str">
        <f>"0257086214"</f>
        <v>0257086214</v>
      </c>
      <c r="F7132" s="1">
        <v>45100</v>
      </c>
      <c r="G7132" t="str">
        <f>"82077"</f>
        <v>82077</v>
      </c>
      <c r="H7132">
        <v>2</v>
      </c>
      <c r="I7132">
        <v>702</v>
      </c>
      <c r="J7132">
        <v>0</v>
      </c>
      <c r="K7132" t="str">
        <f t="shared" si="1284"/>
        <v>802</v>
      </c>
      <c r="L7132">
        <v>680.94</v>
      </c>
    </row>
    <row r="7133" spans="1:12" x14ac:dyDescent="0.25">
      <c r="A7133" t="str">
        <f t="shared" si="1280"/>
        <v>89301000</v>
      </c>
      <c r="B7133" t="str">
        <f t="shared" si="1281"/>
        <v>10510000</v>
      </c>
      <c r="C7133" t="str">
        <f t="shared" si="1282"/>
        <v>10510001</v>
      </c>
      <c r="D7133">
        <v>89301355</v>
      </c>
      <c r="E7133" t="str">
        <f>"0257086214"</f>
        <v>0257086214</v>
      </c>
      <c r="F7133" s="1">
        <v>45097</v>
      </c>
      <c r="G7133" t="str">
        <f>"82077"</f>
        <v>82077</v>
      </c>
      <c r="H7133">
        <v>1</v>
      </c>
      <c r="I7133">
        <v>351</v>
      </c>
      <c r="J7133">
        <v>0</v>
      </c>
      <c r="K7133" t="str">
        <f t="shared" si="1284"/>
        <v>802</v>
      </c>
      <c r="L7133">
        <v>340.47</v>
      </c>
    </row>
    <row r="7134" spans="1:12" x14ac:dyDescent="0.25">
      <c r="A7134" t="str">
        <f t="shared" si="1280"/>
        <v>89301000</v>
      </c>
      <c r="B7134" t="str">
        <f t="shared" si="1281"/>
        <v>10510000</v>
      </c>
      <c r="C7134" t="str">
        <f t="shared" si="1282"/>
        <v>10510001</v>
      </c>
      <c r="D7134">
        <v>89301355</v>
      </c>
      <c r="E7134" t="str">
        <f>"0257086214"</f>
        <v>0257086214</v>
      </c>
      <c r="F7134" s="1">
        <v>45098</v>
      </c>
      <c r="G7134" t="str">
        <f>"82137"</f>
        <v>82137</v>
      </c>
      <c r="H7134">
        <v>1</v>
      </c>
      <c r="I7134">
        <v>1606</v>
      </c>
      <c r="J7134">
        <v>0</v>
      </c>
      <c r="K7134" t="str">
        <f t="shared" si="1284"/>
        <v>802</v>
      </c>
      <c r="L7134">
        <v>1557.82</v>
      </c>
    </row>
    <row r="7135" spans="1:12" x14ac:dyDescent="0.25">
      <c r="A7135" t="str">
        <f t="shared" si="1280"/>
        <v>89301000</v>
      </c>
      <c r="B7135" t="str">
        <f t="shared" si="1281"/>
        <v>10510000</v>
      </c>
      <c r="C7135" t="str">
        <f t="shared" si="1282"/>
        <v>10510001</v>
      </c>
      <c r="D7135">
        <v>89301202</v>
      </c>
      <c r="E7135" t="str">
        <f>"9906215737"</f>
        <v>9906215737</v>
      </c>
      <c r="F7135" s="1">
        <v>45093</v>
      </c>
      <c r="G7135" t="str">
        <f>"82077"</f>
        <v>82077</v>
      </c>
      <c r="H7135">
        <v>1</v>
      </c>
      <c r="I7135">
        <v>351</v>
      </c>
      <c r="J7135">
        <v>0</v>
      </c>
      <c r="K7135" t="str">
        <f t="shared" si="1284"/>
        <v>802</v>
      </c>
      <c r="L7135">
        <v>340.47</v>
      </c>
    </row>
    <row r="7136" spans="1:12" x14ac:dyDescent="0.25">
      <c r="A7136" t="str">
        <f t="shared" si="1280"/>
        <v>89301000</v>
      </c>
      <c r="B7136" t="str">
        <f t="shared" si="1281"/>
        <v>10510000</v>
      </c>
      <c r="C7136" t="str">
        <f t="shared" si="1282"/>
        <v>10510001</v>
      </c>
      <c r="D7136">
        <v>89301202</v>
      </c>
      <c r="E7136" t="str">
        <f>"9906215737"</f>
        <v>9906215737</v>
      </c>
      <c r="F7136" s="1">
        <v>45096</v>
      </c>
      <c r="G7136" t="str">
        <f>"82077"</f>
        <v>82077</v>
      </c>
      <c r="H7136">
        <v>1</v>
      </c>
      <c r="I7136">
        <v>351</v>
      </c>
      <c r="J7136">
        <v>0</v>
      </c>
      <c r="K7136" t="str">
        <f t="shared" si="1284"/>
        <v>802</v>
      </c>
      <c r="L7136">
        <v>340.47</v>
      </c>
    </row>
    <row r="7137" spans="1:12" x14ac:dyDescent="0.25">
      <c r="A7137" t="str">
        <f t="shared" si="1280"/>
        <v>89301000</v>
      </c>
      <c r="B7137" t="str">
        <f t="shared" si="1281"/>
        <v>10510000</v>
      </c>
      <c r="C7137" t="str">
        <f t="shared" si="1282"/>
        <v>10510001</v>
      </c>
      <c r="D7137">
        <v>89301322</v>
      </c>
      <c r="E7137" t="str">
        <f>"7753045366"</f>
        <v>7753045366</v>
      </c>
      <c r="F7137" s="1">
        <v>45103</v>
      </c>
      <c r="G7137" t="str">
        <f>"82077"</f>
        <v>82077</v>
      </c>
      <c r="H7137">
        <v>1</v>
      </c>
      <c r="I7137">
        <v>351</v>
      </c>
      <c r="J7137">
        <v>0</v>
      </c>
      <c r="K7137" t="str">
        <f t="shared" si="1284"/>
        <v>802</v>
      </c>
      <c r="L7137">
        <v>340.47</v>
      </c>
    </row>
    <row r="7138" spans="1:12" x14ac:dyDescent="0.25">
      <c r="A7138" t="str">
        <f t="shared" si="1280"/>
        <v>89301000</v>
      </c>
      <c r="B7138" t="str">
        <f t="shared" si="1281"/>
        <v>10510000</v>
      </c>
      <c r="C7138" t="str">
        <f t="shared" si="1282"/>
        <v>10510001</v>
      </c>
      <c r="D7138">
        <v>89301322</v>
      </c>
      <c r="E7138" t="str">
        <f>"7753045366"</f>
        <v>7753045366</v>
      </c>
      <c r="F7138" s="1">
        <v>45103</v>
      </c>
      <c r="G7138" t="str">
        <f>"82077"</f>
        <v>82077</v>
      </c>
      <c r="H7138">
        <v>1</v>
      </c>
      <c r="I7138">
        <v>351</v>
      </c>
      <c r="J7138">
        <v>0</v>
      </c>
      <c r="K7138" t="str">
        <f t="shared" si="1284"/>
        <v>802</v>
      </c>
      <c r="L7138">
        <v>340.47</v>
      </c>
    </row>
    <row r="7139" spans="1:12" x14ac:dyDescent="0.25">
      <c r="A7139" t="str">
        <f t="shared" si="1280"/>
        <v>89301000</v>
      </c>
      <c r="B7139" t="str">
        <f t="shared" si="1281"/>
        <v>10510000</v>
      </c>
      <c r="C7139" t="str">
        <f t="shared" si="1282"/>
        <v>10510001</v>
      </c>
      <c r="D7139">
        <v>89301172</v>
      </c>
      <c r="E7139" t="str">
        <f>"6611010868"</f>
        <v>6611010868</v>
      </c>
      <c r="F7139" s="1">
        <v>45083</v>
      </c>
      <c r="G7139" t="str">
        <f>"82034"</f>
        <v>82034</v>
      </c>
      <c r="H7139">
        <v>1</v>
      </c>
      <c r="I7139">
        <v>354</v>
      </c>
      <c r="J7139">
        <v>0</v>
      </c>
      <c r="K7139" t="str">
        <f t="shared" si="1284"/>
        <v>802</v>
      </c>
      <c r="L7139">
        <v>343.38</v>
      </c>
    </row>
    <row r="7140" spans="1:12" x14ac:dyDescent="0.25">
      <c r="A7140" t="str">
        <f t="shared" si="1280"/>
        <v>89301000</v>
      </c>
      <c r="B7140" t="str">
        <f t="shared" si="1281"/>
        <v>10510000</v>
      </c>
      <c r="C7140" t="str">
        <f t="shared" si="1282"/>
        <v>10510001</v>
      </c>
      <c r="D7140">
        <v>89301172</v>
      </c>
      <c r="E7140" t="str">
        <f>"6611010868"</f>
        <v>6611010868</v>
      </c>
      <c r="F7140" s="1">
        <v>45083</v>
      </c>
      <c r="G7140" t="str">
        <f>"82041"</f>
        <v>82041</v>
      </c>
      <c r="H7140">
        <v>1</v>
      </c>
      <c r="I7140">
        <v>1096</v>
      </c>
      <c r="J7140">
        <v>0</v>
      </c>
      <c r="K7140" t="str">
        <f t="shared" si="1284"/>
        <v>802</v>
      </c>
      <c r="L7140">
        <v>1063.1199999999999</v>
      </c>
    </row>
    <row r="7141" spans="1:12" x14ac:dyDescent="0.25">
      <c r="A7141" t="str">
        <f t="shared" si="1280"/>
        <v>89301000</v>
      </c>
      <c r="B7141" t="str">
        <f t="shared" si="1281"/>
        <v>10510000</v>
      </c>
      <c r="C7141" t="str">
        <f t="shared" si="1282"/>
        <v>10510001</v>
      </c>
      <c r="D7141">
        <v>89301172</v>
      </c>
      <c r="E7141" t="str">
        <f>"6611010868"</f>
        <v>6611010868</v>
      </c>
      <c r="F7141" s="1">
        <v>45083</v>
      </c>
      <c r="G7141" t="str">
        <f>"82041"</f>
        <v>82041</v>
      </c>
      <c r="H7141">
        <v>1</v>
      </c>
      <c r="I7141">
        <v>1096</v>
      </c>
      <c r="J7141">
        <v>0</v>
      </c>
      <c r="K7141" t="str">
        <f t="shared" si="1284"/>
        <v>802</v>
      </c>
      <c r="L7141">
        <v>1063.1199999999999</v>
      </c>
    </row>
    <row r="7142" spans="1:12" x14ac:dyDescent="0.25">
      <c r="A7142" t="str">
        <f t="shared" si="1280"/>
        <v>89301000</v>
      </c>
      <c r="B7142" t="str">
        <f t="shared" si="1281"/>
        <v>10510000</v>
      </c>
      <c r="C7142" t="str">
        <f t="shared" si="1282"/>
        <v>10510001</v>
      </c>
      <c r="D7142">
        <v>89301171</v>
      </c>
      <c r="E7142" t="str">
        <f>"0358135723"</f>
        <v>0358135723</v>
      </c>
      <c r="F7142" s="1">
        <v>45083</v>
      </c>
      <c r="G7142" t="str">
        <f>"82034"</f>
        <v>82034</v>
      </c>
      <c r="H7142">
        <v>1</v>
      </c>
      <c r="I7142">
        <v>354</v>
      </c>
      <c r="J7142">
        <v>0</v>
      </c>
      <c r="K7142" t="str">
        <f t="shared" si="1284"/>
        <v>802</v>
      </c>
      <c r="L7142">
        <v>343.38</v>
      </c>
    </row>
    <row r="7143" spans="1:12" x14ac:dyDescent="0.25">
      <c r="A7143" t="str">
        <f t="shared" si="1280"/>
        <v>89301000</v>
      </c>
      <c r="B7143" t="str">
        <f t="shared" si="1281"/>
        <v>10510000</v>
      </c>
      <c r="C7143" t="str">
        <f t="shared" si="1282"/>
        <v>10510001</v>
      </c>
      <c r="D7143">
        <v>89301171</v>
      </c>
      <c r="E7143" t="str">
        <f>"0358135723"</f>
        <v>0358135723</v>
      </c>
      <c r="F7143" s="1">
        <v>45083</v>
      </c>
      <c r="G7143" t="str">
        <f>"82041"</f>
        <v>82041</v>
      </c>
      <c r="H7143">
        <v>1</v>
      </c>
      <c r="I7143">
        <v>1096</v>
      </c>
      <c r="J7143">
        <v>0</v>
      </c>
      <c r="K7143" t="str">
        <f t="shared" si="1284"/>
        <v>802</v>
      </c>
      <c r="L7143">
        <v>1063.1199999999999</v>
      </c>
    </row>
    <row r="7144" spans="1:12" x14ac:dyDescent="0.25">
      <c r="A7144" t="str">
        <f t="shared" si="1280"/>
        <v>89301000</v>
      </c>
      <c r="B7144" t="str">
        <f t="shared" si="1281"/>
        <v>10510000</v>
      </c>
      <c r="C7144" t="str">
        <f t="shared" si="1282"/>
        <v>10510001</v>
      </c>
      <c r="D7144">
        <v>89301171</v>
      </c>
      <c r="E7144" t="str">
        <f>"0358135723"</f>
        <v>0358135723</v>
      </c>
      <c r="F7144" s="1">
        <v>45083</v>
      </c>
      <c r="G7144" t="str">
        <f>"82041"</f>
        <v>82041</v>
      </c>
      <c r="H7144">
        <v>1</v>
      </c>
      <c r="I7144">
        <v>1096</v>
      </c>
      <c r="J7144">
        <v>0</v>
      </c>
      <c r="K7144" t="str">
        <f t="shared" si="1284"/>
        <v>802</v>
      </c>
      <c r="L7144">
        <v>1063.1199999999999</v>
      </c>
    </row>
    <row r="7145" spans="1:12" x14ac:dyDescent="0.25">
      <c r="A7145" t="str">
        <f t="shared" si="1280"/>
        <v>89301000</v>
      </c>
      <c r="B7145" t="str">
        <f t="shared" si="1281"/>
        <v>10510000</v>
      </c>
      <c r="C7145" t="str">
        <f t="shared" si="1282"/>
        <v>10510001</v>
      </c>
      <c r="D7145">
        <v>89301172</v>
      </c>
      <c r="E7145" t="str">
        <f>"9207085734"</f>
        <v>9207085734</v>
      </c>
      <c r="F7145" s="1">
        <v>45089</v>
      </c>
      <c r="G7145" t="str">
        <f>"82034"</f>
        <v>82034</v>
      </c>
      <c r="H7145">
        <v>1</v>
      </c>
      <c r="I7145">
        <v>354</v>
      </c>
      <c r="J7145">
        <v>0</v>
      </c>
      <c r="K7145" t="str">
        <f t="shared" si="1284"/>
        <v>802</v>
      </c>
      <c r="L7145">
        <v>343.38</v>
      </c>
    </row>
    <row r="7146" spans="1:12" x14ac:dyDescent="0.25">
      <c r="A7146" t="str">
        <f t="shared" si="1280"/>
        <v>89301000</v>
      </c>
      <c r="B7146" t="str">
        <f t="shared" ref="B7146:B7162" si="1285">"10510000"</f>
        <v>10510000</v>
      </c>
      <c r="C7146" t="str">
        <f t="shared" ref="C7146:C7162" si="1286">"10510001"</f>
        <v>10510001</v>
      </c>
      <c r="D7146">
        <v>89301172</v>
      </c>
      <c r="E7146" t="str">
        <f>"9207085734"</f>
        <v>9207085734</v>
      </c>
      <c r="F7146" s="1">
        <v>45089</v>
      </c>
      <c r="G7146" t="str">
        <f>"82041"</f>
        <v>82041</v>
      </c>
      <c r="H7146">
        <v>1</v>
      </c>
      <c r="I7146">
        <v>1096</v>
      </c>
      <c r="J7146">
        <v>0</v>
      </c>
      <c r="K7146" t="str">
        <f t="shared" ref="K7146:K7162" si="1287">"802"</f>
        <v>802</v>
      </c>
      <c r="L7146">
        <v>1063.1199999999999</v>
      </c>
    </row>
    <row r="7147" spans="1:12" x14ac:dyDescent="0.25">
      <c r="A7147" t="str">
        <f t="shared" si="1280"/>
        <v>89301000</v>
      </c>
      <c r="B7147" t="str">
        <f t="shared" si="1285"/>
        <v>10510000</v>
      </c>
      <c r="C7147" t="str">
        <f t="shared" si="1286"/>
        <v>10510001</v>
      </c>
      <c r="D7147">
        <v>89301172</v>
      </c>
      <c r="E7147" t="str">
        <f>"9207085734"</f>
        <v>9207085734</v>
      </c>
      <c r="F7147" s="1">
        <v>45089</v>
      </c>
      <c r="G7147" t="str">
        <f>"82041"</f>
        <v>82041</v>
      </c>
      <c r="H7147">
        <v>1</v>
      </c>
      <c r="I7147">
        <v>1096</v>
      </c>
      <c r="J7147">
        <v>0</v>
      </c>
      <c r="K7147" t="str">
        <f t="shared" si="1287"/>
        <v>802</v>
      </c>
      <c r="L7147">
        <v>1063.1199999999999</v>
      </c>
    </row>
    <row r="7148" spans="1:12" x14ac:dyDescent="0.25">
      <c r="A7148" t="str">
        <f t="shared" si="1280"/>
        <v>89301000</v>
      </c>
      <c r="B7148" t="str">
        <f t="shared" si="1285"/>
        <v>10510000</v>
      </c>
      <c r="C7148" t="str">
        <f t="shared" si="1286"/>
        <v>10510001</v>
      </c>
      <c r="D7148">
        <v>89301172</v>
      </c>
      <c r="E7148" t="str">
        <f>"8008165682"</f>
        <v>8008165682</v>
      </c>
      <c r="F7148" s="1">
        <v>45092</v>
      </c>
      <c r="G7148" t="str">
        <f>"82041"</f>
        <v>82041</v>
      </c>
      <c r="H7148">
        <v>1</v>
      </c>
      <c r="I7148">
        <v>1096</v>
      </c>
      <c r="J7148">
        <v>0</v>
      </c>
      <c r="K7148" t="str">
        <f t="shared" si="1287"/>
        <v>802</v>
      </c>
      <c r="L7148">
        <v>1063.1199999999999</v>
      </c>
    </row>
    <row r="7149" spans="1:12" x14ac:dyDescent="0.25">
      <c r="A7149" t="str">
        <f t="shared" si="1280"/>
        <v>89301000</v>
      </c>
      <c r="B7149" t="str">
        <f t="shared" si="1285"/>
        <v>10510000</v>
      </c>
      <c r="C7149" t="str">
        <f t="shared" si="1286"/>
        <v>10510001</v>
      </c>
      <c r="D7149">
        <v>89301172</v>
      </c>
      <c r="E7149" t="str">
        <f>"8008165682"</f>
        <v>8008165682</v>
      </c>
      <c r="F7149" s="1">
        <v>45092</v>
      </c>
      <c r="G7149" t="str">
        <f>"82041"</f>
        <v>82041</v>
      </c>
      <c r="H7149">
        <v>1</v>
      </c>
      <c r="I7149">
        <v>1096</v>
      </c>
      <c r="J7149">
        <v>0</v>
      </c>
      <c r="K7149" t="str">
        <f t="shared" si="1287"/>
        <v>802</v>
      </c>
      <c r="L7149">
        <v>1063.1199999999999</v>
      </c>
    </row>
    <row r="7150" spans="1:12" x14ac:dyDescent="0.25">
      <c r="A7150" t="str">
        <f t="shared" si="1280"/>
        <v>89301000</v>
      </c>
      <c r="B7150" t="str">
        <f t="shared" si="1285"/>
        <v>10510000</v>
      </c>
      <c r="C7150" t="str">
        <f t="shared" si="1286"/>
        <v>10510001</v>
      </c>
      <c r="D7150">
        <v>89301172</v>
      </c>
      <c r="E7150" t="str">
        <f>"8008165682"</f>
        <v>8008165682</v>
      </c>
      <c r="F7150" s="1">
        <v>45092</v>
      </c>
      <c r="G7150" t="str">
        <f>"82034"</f>
        <v>82034</v>
      </c>
      <c r="H7150">
        <v>1</v>
      </c>
      <c r="I7150">
        <v>354</v>
      </c>
      <c r="J7150">
        <v>0</v>
      </c>
      <c r="K7150" t="str">
        <f t="shared" si="1287"/>
        <v>802</v>
      </c>
      <c r="L7150">
        <v>343.38</v>
      </c>
    </row>
    <row r="7151" spans="1:12" x14ac:dyDescent="0.25">
      <c r="A7151" t="str">
        <f t="shared" si="1280"/>
        <v>89301000</v>
      </c>
      <c r="B7151" t="str">
        <f t="shared" si="1285"/>
        <v>10510000</v>
      </c>
      <c r="C7151" t="str">
        <f t="shared" si="1286"/>
        <v>10510001</v>
      </c>
      <c r="D7151">
        <v>89301171</v>
      </c>
      <c r="E7151" t="str">
        <f>"8953076154"</f>
        <v>8953076154</v>
      </c>
      <c r="F7151" s="1">
        <v>45092</v>
      </c>
      <c r="G7151" t="str">
        <f>"82034"</f>
        <v>82034</v>
      </c>
      <c r="H7151">
        <v>1</v>
      </c>
      <c r="I7151">
        <v>354</v>
      </c>
      <c r="J7151">
        <v>0</v>
      </c>
      <c r="K7151" t="str">
        <f t="shared" si="1287"/>
        <v>802</v>
      </c>
      <c r="L7151">
        <v>343.38</v>
      </c>
    </row>
    <row r="7152" spans="1:12" x14ac:dyDescent="0.25">
      <c r="A7152" t="str">
        <f t="shared" si="1280"/>
        <v>89301000</v>
      </c>
      <c r="B7152" t="str">
        <f t="shared" si="1285"/>
        <v>10510000</v>
      </c>
      <c r="C7152" t="str">
        <f t="shared" si="1286"/>
        <v>10510001</v>
      </c>
      <c r="D7152">
        <v>89301171</v>
      </c>
      <c r="E7152" t="str">
        <f>"8953076154"</f>
        <v>8953076154</v>
      </c>
      <c r="F7152" s="1">
        <v>45092</v>
      </c>
      <c r="G7152" t="str">
        <f>"82041"</f>
        <v>82041</v>
      </c>
      <c r="H7152">
        <v>1</v>
      </c>
      <c r="I7152">
        <v>1096</v>
      </c>
      <c r="J7152">
        <v>0</v>
      </c>
      <c r="K7152" t="str">
        <f t="shared" si="1287"/>
        <v>802</v>
      </c>
      <c r="L7152">
        <v>1063.1199999999999</v>
      </c>
    </row>
    <row r="7153" spans="1:12" x14ac:dyDescent="0.25">
      <c r="A7153" t="str">
        <f t="shared" si="1280"/>
        <v>89301000</v>
      </c>
      <c r="B7153" t="str">
        <f t="shared" si="1285"/>
        <v>10510000</v>
      </c>
      <c r="C7153" t="str">
        <f t="shared" si="1286"/>
        <v>10510001</v>
      </c>
      <c r="D7153">
        <v>89301171</v>
      </c>
      <c r="E7153" t="str">
        <f>"8953076154"</f>
        <v>8953076154</v>
      </c>
      <c r="F7153" s="1">
        <v>45092</v>
      </c>
      <c r="G7153" t="str">
        <f>"82041"</f>
        <v>82041</v>
      </c>
      <c r="H7153">
        <v>1</v>
      </c>
      <c r="I7153">
        <v>1096</v>
      </c>
      <c r="J7153">
        <v>0</v>
      </c>
      <c r="K7153" t="str">
        <f t="shared" si="1287"/>
        <v>802</v>
      </c>
      <c r="L7153">
        <v>1063.1199999999999</v>
      </c>
    </row>
    <row r="7154" spans="1:12" x14ac:dyDescent="0.25">
      <c r="A7154" t="str">
        <f t="shared" si="1280"/>
        <v>89301000</v>
      </c>
      <c r="B7154" t="str">
        <f t="shared" si="1285"/>
        <v>10510000</v>
      </c>
      <c r="C7154" t="str">
        <f t="shared" si="1286"/>
        <v>10510001</v>
      </c>
      <c r="D7154">
        <v>89301171</v>
      </c>
      <c r="E7154" t="str">
        <f>"6054272070"</f>
        <v>6054272070</v>
      </c>
      <c r="F7154" s="1">
        <v>45098</v>
      </c>
      <c r="G7154" t="str">
        <f>"82034"</f>
        <v>82034</v>
      </c>
      <c r="H7154">
        <v>1</v>
      </c>
      <c r="I7154">
        <v>354</v>
      </c>
      <c r="J7154">
        <v>0</v>
      </c>
      <c r="K7154" t="str">
        <f t="shared" si="1287"/>
        <v>802</v>
      </c>
      <c r="L7154">
        <v>343.38</v>
      </c>
    </row>
    <row r="7155" spans="1:12" x14ac:dyDescent="0.25">
      <c r="A7155" t="str">
        <f t="shared" si="1280"/>
        <v>89301000</v>
      </c>
      <c r="B7155" t="str">
        <f t="shared" si="1285"/>
        <v>10510000</v>
      </c>
      <c r="C7155" t="str">
        <f t="shared" si="1286"/>
        <v>10510001</v>
      </c>
      <c r="D7155">
        <v>89301171</v>
      </c>
      <c r="E7155" t="str">
        <f>"6054272070"</f>
        <v>6054272070</v>
      </c>
      <c r="F7155" s="1">
        <v>45098</v>
      </c>
      <c r="G7155" t="str">
        <f>"82041"</f>
        <v>82041</v>
      </c>
      <c r="H7155">
        <v>1</v>
      </c>
      <c r="I7155">
        <v>1096</v>
      </c>
      <c r="J7155">
        <v>0</v>
      </c>
      <c r="K7155" t="str">
        <f t="shared" si="1287"/>
        <v>802</v>
      </c>
      <c r="L7155">
        <v>1063.1199999999999</v>
      </c>
    </row>
    <row r="7156" spans="1:12" x14ac:dyDescent="0.25">
      <c r="A7156" t="str">
        <f t="shared" si="1280"/>
        <v>89301000</v>
      </c>
      <c r="B7156" t="str">
        <f t="shared" si="1285"/>
        <v>10510000</v>
      </c>
      <c r="C7156" t="str">
        <f t="shared" si="1286"/>
        <v>10510001</v>
      </c>
      <c r="D7156">
        <v>89301171</v>
      </c>
      <c r="E7156" t="str">
        <f>"6054272070"</f>
        <v>6054272070</v>
      </c>
      <c r="F7156" s="1">
        <v>45098</v>
      </c>
      <c r="G7156" t="str">
        <f>"82041"</f>
        <v>82041</v>
      </c>
      <c r="H7156">
        <v>1</v>
      </c>
      <c r="I7156">
        <v>1096</v>
      </c>
      <c r="J7156">
        <v>0</v>
      </c>
      <c r="K7156" t="str">
        <f t="shared" si="1287"/>
        <v>802</v>
      </c>
      <c r="L7156">
        <v>1063.1199999999999</v>
      </c>
    </row>
    <row r="7157" spans="1:12" x14ac:dyDescent="0.25">
      <c r="A7157" t="str">
        <f t="shared" si="1280"/>
        <v>89301000</v>
      </c>
      <c r="B7157" t="str">
        <f t="shared" si="1285"/>
        <v>10510000</v>
      </c>
      <c r="C7157" t="str">
        <f t="shared" si="1286"/>
        <v>10510001</v>
      </c>
      <c r="D7157">
        <v>89301172</v>
      </c>
      <c r="E7157" t="str">
        <f>"6308146790"</f>
        <v>6308146790</v>
      </c>
      <c r="F7157" s="1">
        <v>45098</v>
      </c>
      <c r="G7157" t="str">
        <f>"82034"</f>
        <v>82034</v>
      </c>
      <c r="H7157">
        <v>1</v>
      </c>
      <c r="I7157">
        <v>354</v>
      </c>
      <c r="J7157">
        <v>0</v>
      </c>
      <c r="K7157" t="str">
        <f t="shared" si="1287"/>
        <v>802</v>
      </c>
      <c r="L7157">
        <v>343.38</v>
      </c>
    </row>
    <row r="7158" spans="1:12" x14ac:dyDescent="0.25">
      <c r="A7158" t="str">
        <f t="shared" si="1280"/>
        <v>89301000</v>
      </c>
      <c r="B7158" t="str">
        <f t="shared" si="1285"/>
        <v>10510000</v>
      </c>
      <c r="C7158" t="str">
        <f t="shared" si="1286"/>
        <v>10510001</v>
      </c>
      <c r="D7158">
        <v>89301172</v>
      </c>
      <c r="E7158" t="str">
        <f>"6308146790"</f>
        <v>6308146790</v>
      </c>
      <c r="F7158" s="1">
        <v>45098</v>
      </c>
      <c r="G7158" t="str">
        <f>"82041"</f>
        <v>82041</v>
      </c>
      <c r="H7158">
        <v>1</v>
      </c>
      <c r="I7158">
        <v>1096</v>
      </c>
      <c r="J7158">
        <v>0</v>
      </c>
      <c r="K7158" t="str">
        <f t="shared" si="1287"/>
        <v>802</v>
      </c>
      <c r="L7158">
        <v>1063.1199999999999</v>
      </c>
    </row>
    <row r="7159" spans="1:12" x14ac:dyDescent="0.25">
      <c r="A7159" t="str">
        <f t="shared" si="1280"/>
        <v>89301000</v>
      </c>
      <c r="B7159" t="str">
        <f t="shared" si="1285"/>
        <v>10510000</v>
      </c>
      <c r="C7159" t="str">
        <f t="shared" si="1286"/>
        <v>10510001</v>
      </c>
      <c r="D7159">
        <v>89301172</v>
      </c>
      <c r="E7159" t="str">
        <f>"6308146790"</f>
        <v>6308146790</v>
      </c>
      <c r="F7159" s="1">
        <v>45098</v>
      </c>
      <c r="G7159" t="str">
        <f>"82041"</f>
        <v>82041</v>
      </c>
      <c r="H7159">
        <v>1</v>
      </c>
      <c r="I7159">
        <v>1096</v>
      </c>
      <c r="J7159">
        <v>0</v>
      </c>
      <c r="K7159" t="str">
        <f t="shared" si="1287"/>
        <v>802</v>
      </c>
      <c r="L7159">
        <v>1063.1199999999999</v>
      </c>
    </row>
    <row r="7160" spans="1:12" x14ac:dyDescent="0.25">
      <c r="A7160" t="str">
        <f t="shared" si="1280"/>
        <v>89301000</v>
      </c>
      <c r="B7160" t="str">
        <f t="shared" si="1285"/>
        <v>10510000</v>
      </c>
      <c r="C7160" t="str">
        <f t="shared" si="1286"/>
        <v>10510001</v>
      </c>
      <c r="D7160">
        <v>89301171</v>
      </c>
      <c r="E7160" t="str">
        <f>"7562165622"</f>
        <v>7562165622</v>
      </c>
      <c r="F7160" s="1">
        <v>45103</v>
      </c>
      <c r="G7160" t="str">
        <f>"82034"</f>
        <v>82034</v>
      </c>
      <c r="H7160">
        <v>1</v>
      </c>
      <c r="I7160">
        <v>354</v>
      </c>
      <c r="J7160">
        <v>0</v>
      </c>
      <c r="K7160" t="str">
        <f t="shared" si="1287"/>
        <v>802</v>
      </c>
      <c r="L7160">
        <v>343.38</v>
      </c>
    </row>
    <row r="7161" spans="1:12" x14ac:dyDescent="0.25">
      <c r="A7161" t="str">
        <f t="shared" si="1280"/>
        <v>89301000</v>
      </c>
      <c r="B7161" t="str">
        <f t="shared" si="1285"/>
        <v>10510000</v>
      </c>
      <c r="C7161" t="str">
        <f t="shared" si="1286"/>
        <v>10510001</v>
      </c>
      <c r="D7161">
        <v>89301171</v>
      </c>
      <c r="E7161" t="str">
        <f>"7562165622"</f>
        <v>7562165622</v>
      </c>
      <c r="F7161" s="1">
        <v>45103</v>
      </c>
      <c r="G7161" t="str">
        <f>"82041"</f>
        <v>82041</v>
      </c>
      <c r="H7161">
        <v>1</v>
      </c>
      <c r="I7161">
        <v>1096</v>
      </c>
      <c r="J7161">
        <v>0</v>
      </c>
      <c r="K7161" t="str">
        <f t="shared" si="1287"/>
        <v>802</v>
      </c>
      <c r="L7161">
        <v>1063.1199999999999</v>
      </c>
    </row>
    <row r="7162" spans="1:12" x14ac:dyDescent="0.25">
      <c r="A7162" t="str">
        <f t="shared" si="1280"/>
        <v>89301000</v>
      </c>
      <c r="B7162" t="str">
        <f t="shared" si="1285"/>
        <v>10510000</v>
      </c>
      <c r="C7162" t="str">
        <f t="shared" si="1286"/>
        <v>10510001</v>
      </c>
      <c r="D7162">
        <v>89301171</v>
      </c>
      <c r="E7162" t="str">
        <f>"7562165622"</f>
        <v>7562165622</v>
      </c>
      <c r="F7162" s="1">
        <v>45103</v>
      </c>
      <c r="G7162" t="str">
        <f>"82041"</f>
        <v>82041</v>
      </c>
      <c r="H7162">
        <v>1</v>
      </c>
      <c r="I7162">
        <v>1096</v>
      </c>
      <c r="J7162">
        <v>0</v>
      </c>
      <c r="K7162" t="str">
        <f t="shared" si="1287"/>
        <v>802</v>
      </c>
      <c r="L7162">
        <v>1063.1199999999999</v>
      </c>
    </row>
    <row r="7163" spans="1:12" x14ac:dyDescent="0.25">
      <c r="A7163" t="str">
        <f t="shared" si="1280"/>
        <v>89301000</v>
      </c>
      <c r="B7163" t="str">
        <f t="shared" ref="B7163:C7182" si="1288">"91970116"</f>
        <v>91970116</v>
      </c>
      <c r="C7163" t="str">
        <f t="shared" si="1288"/>
        <v>91970116</v>
      </c>
      <c r="D7163">
        <v>89301167</v>
      </c>
      <c r="E7163" t="str">
        <f t="shared" ref="E7163:E7187" si="1289">"530220073"</f>
        <v>530220073</v>
      </c>
      <c r="F7163" s="1">
        <v>45100</v>
      </c>
      <c r="G7163" t="str">
        <f>"97111"</f>
        <v>97111</v>
      </c>
      <c r="H7163">
        <v>1</v>
      </c>
      <c r="I7163">
        <v>19</v>
      </c>
      <c r="J7163">
        <v>0</v>
      </c>
      <c r="K7163" t="str">
        <f t="shared" ref="K7163:K7182" si="1290">"801"</f>
        <v>801</v>
      </c>
      <c r="L7163">
        <v>23.94</v>
      </c>
    </row>
    <row r="7164" spans="1:12" x14ac:dyDescent="0.25">
      <c r="A7164" t="str">
        <f t="shared" si="1280"/>
        <v>89301000</v>
      </c>
      <c r="B7164" t="str">
        <f t="shared" si="1288"/>
        <v>91970116</v>
      </c>
      <c r="C7164" t="str">
        <f t="shared" si="1288"/>
        <v>91970116</v>
      </c>
      <c r="D7164">
        <v>89301167</v>
      </c>
      <c r="E7164" t="str">
        <f t="shared" si="1289"/>
        <v>530220073</v>
      </c>
      <c r="F7164" s="1">
        <v>45100</v>
      </c>
      <c r="G7164" t="str">
        <f>"81625"</f>
        <v>81625</v>
      </c>
      <c r="H7164">
        <v>1</v>
      </c>
      <c r="I7164">
        <v>21</v>
      </c>
      <c r="J7164">
        <v>0</v>
      </c>
      <c r="K7164" t="str">
        <f t="shared" si="1290"/>
        <v>801</v>
      </c>
      <c r="L7164">
        <v>17.64</v>
      </c>
    </row>
    <row r="7165" spans="1:12" x14ac:dyDescent="0.25">
      <c r="A7165" t="str">
        <f t="shared" si="1280"/>
        <v>89301000</v>
      </c>
      <c r="B7165" t="str">
        <f t="shared" si="1288"/>
        <v>91970116</v>
      </c>
      <c r="C7165" t="str">
        <f t="shared" si="1288"/>
        <v>91970116</v>
      </c>
      <c r="D7165">
        <v>89301167</v>
      </c>
      <c r="E7165" t="str">
        <f t="shared" si="1289"/>
        <v>530220073</v>
      </c>
      <c r="F7165" s="1">
        <v>45100</v>
      </c>
      <c r="G7165" t="str">
        <f>"81621"</f>
        <v>81621</v>
      </c>
      <c r="H7165">
        <v>1</v>
      </c>
      <c r="I7165">
        <v>19</v>
      </c>
      <c r="J7165">
        <v>0</v>
      </c>
      <c r="K7165" t="str">
        <f t="shared" si="1290"/>
        <v>801</v>
      </c>
      <c r="L7165">
        <v>15.96</v>
      </c>
    </row>
    <row r="7166" spans="1:12" x14ac:dyDescent="0.25">
      <c r="A7166" t="str">
        <f t="shared" si="1280"/>
        <v>89301000</v>
      </c>
      <c r="B7166" t="str">
        <f t="shared" si="1288"/>
        <v>91970116</v>
      </c>
      <c r="C7166" t="str">
        <f t="shared" si="1288"/>
        <v>91970116</v>
      </c>
      <c r="D7166">
        <v>89301167</v>
      </c>
      <c r="E7166" t="str">
        <f t="shared" si="1289"/>
        <v>530220073</v>
      </c>
      <c r="F7166" s="1">
        <v>45100</v>
      </c>
      <c r="G7166" t="str">
        <f>"81499"</f>
        <v>81499</v>
      </c>
      <c r="H7166">
        <v>1</v>
      </c>
      <c r="I7166">
        <v>18</v>
      </c>
      <c r="J7166">
        <v>0</v>
      </c>
      <c r="K7166" t="str">
        <f t="shared" si="1290"/>
        <v>801</v>
      </c>
      <c r="L7166">
        <v>15.12</v>
      </c>
    </row>
    <row r="7167" spans="1:12" x14ac:dyDescent="0.25">
      <c r="A7167" t="str">
        <f t="shared" si="1280"/>
        <v>89301000</v>
      </c>
      <c r="B7167" t="str">
        <f t="shared" si="1288"/>
        <v>91970116</v>
      </c>
      <c r="C7167" t="str">
        <f t="shared" si="1288"/>
        <v>91970116</v>
      </c>
      <c r="D7167">
        <v>89301167</v>
      </c>
      <c r="E7167" t="str">
        <f t="shared" si="1289"/>
        <v>530220073</v>
      </c>
      <c r="F7167" s="1">
        <v>45100</v>
      </c>
      <c r="G7167" t="str">
        <f>"81523"</f>
        <v>81523</v>
      </c>
      <c r="H7167">
        <v>1</v>
      </c>
      <c r="I7167">
        <v>23</v>
      </c>
      <c r="J7167">
        <v>0</v>
      </c>
      <c r="K7167" t="str">
        <f t="shared" si="1290"/>
        <v>801</v>
      </c>
      <c r="L7167">
        <v>19.32</v>
      </c>
    </row>
    <row r="7168" spans="1:12" x14ac:dyDescent="0.25">
      <c r="A7168" t="str">
        <f t="shared" si="1280"/>
        <v>89301000</v>
      </c>
      <c r="B7168" t="str">
        <f t="shared" si="1288"/>
        <v>91970116</v>
      </c>
      <c r="C7168" t="str">
        <f t="shared" si="1288"/>
        <v>91970116</v>
      </c>
      <c r="D7168">
        <v>89301167</v>
      </c>
      <c r="E7168" t="str">
        <f t="shared" si="1289"/>
        <v>530220073</v>
      </c>
      <c r="F7168" s="1">
        <v>45100</v>
      </c>
      <c r="G7168" t="str">
        <f>"81329"</f>
        <v>81329</v>
      </c>
      <c r="H7168">
        <v>1</v>
      </c>
      <c r="I7168">
        <v>17</v>
      </c>
      <c r="J7168">
        <v>0</v>
      </c>
      <c r="K7168" t="str">
        <f t="shared" si="1290"/>
        <v>801</v>
      </c>
      <c r="L7168">
        <v>14.28</v>
      </c>
    </row>
    <row r="7169" spans="1:12" x14ac:dyDescent="0.25">
      <c r="A7169" t="str">
        <f t="shared" si="1280"/>
        <v>89301000</v>
      </c>
      <c r="B7169" t="str">
        <f t="shared" si="1288"/>
        <v>91970116</v>
      </c>
      <c r="C7169" t="str">
        <f t="shared" si="1288"/>
        <v>91970116</v>
      </c>
      <c r="D7169">
        <v>89301167</v>
      </c>
      <c r="E7169" t="str">
        <f t="shared" si="1289"/>
        <v>530220073</v>
      </c>
      <c r="F7169" s="1">
        <v>45100</v>
      </c>
      <c r="G7169" t="str">
        <f>"81361"</f>
        <v>81361</v>
      </c>
      <c r="H7169">
        <v>1</v>
      </c>
      <c r="I7169">
        <v>17</v>
      </c>
      <c r="J7169">
        <v>0</v>
      </c>
      <c r="K7169" t="str">
        <f t="shared" si="1290"/>
        <v>801</v>
      </c>
      <c r="L7169">
        <v>14.28</v>
      </c>
    </row>
    <row r="7170" spans="1:12" x14ac:dyDescent="0.25">
      <c r="A7170" t="str">
        <f t="shared" ref="A7170:A7233" si="1291">"89301000"</f>
        <v>89301000</v>
      </c>
      <c r="B7170" t="str">
        <f t="shared" si="1288"/>
        <v>91970116</v>
      </c>
      <c r="C7170" t="str">
        <f t="shared" si="1288"/>
        <v>91970116</v>
      </c>
      <c r="D7170">
        <v>89301167</v>
      </c>
      <c r="E7170" t="str">
        <f t="shared" si="1289"/>
        <v>530220073</v>
      </c>
      <c r="F7170" s="1">
        <v>45100</v>
      </c>
      <c r="G7170" t="str">
        <f>"81337"</f>
        <v>81337</v>
      </c>
      <c r="H7170">
        <v>1</v>
      </c>
      <c r="I7170">
        <v>20</v>
      </c>
      <c r="J7170">
        <v>0</v>
      </c>
      <c r="K7170" t="str">
        <f t="shared" si="1290"/>
        <v>801</v>
      </c>
      <c r="L7170">
        <v>16.8</v>
      </c>
    </row>
    <row r="7171" spans="1:12" x14ac:dyDescent="0.25">
      <c r="A7171" t="str">
        <f t="shared" si="1291"/>
        <v>89301000</v>
      </c>
      <c r="B7171" t="str">
        <f t="shared" si="1288"/>
        <v>91970116</v>
      </c>
      <c r="C7171" t="str">
        <f t="shared" si="1288"/>
        <v>91970116</v>
      </c>
      <c r="D7171">
        <v>89301167</v>
      </c>
      <c r="E7171" t="str">
        <f t="shared" si="1289"/>
        <v>530220073</v>
      </c>
      <c r="F7171" s="1">
        <v>45100</v>
      </c>
      <c r="G7171" t="str">
        <f>"81357"</f>
        <v>81357</v>
      </c>
      <c r="H7171">
        <v>1</v>
      </c>
      <c r="I7171">
        <v>20</v>
      </c>
      <c r="J7171">
        <v>0</v>
      </c>
      <c r="K7171" t="str">
        <f t="shared" si="1290"/>
        <v>801</v>
      </c>
      <c r="L7171">
        <v>16.8</v>
      </c>
    </row>
    <row r="7172" spans="1:12" x14ac:dyDescent="0.25">
      <c r="A7172" t="str">
        <f t="shared" si="1291"/>
        <v>89301000</v>
      </c>
      <c r="B7172" t="str">
        <f t="shared" si="1288"/>
        <v>91970116</v>
      </c>
      <c r="C7172" t="str">
        <f t="shared" si="1288"/>
        <v>91970116</v>
      </c>
      <c r="D7172">
        <v>89301167</v>
      </c>
      <c r="E7172" t="str">
        <f t="shared" si="1289"/>
        <v>530220073</v>
      </c>
      <c r="F7172" s="1">
        <v>45100</v>
      </c>
      <c r="G7172" t="str">
        <f>"81421"</f>
        <v>81421</v>
      </c>
      <c r="H7172">
        <v>1</v>
      </c>
      <c r="I7172">
        <v>19</v>
      </c>
      <c r="J7172">
        <v>0</v>
      </c>
      <c r="K7172" t="str">
        <f t="shared" si="1290"/>
        <v>801</v>
      </c>
      <c r="L7172">
        <v>15.96</v>
      </c>
    </row>
    <row r="7173" spans="1:12" x14ac:dyDescent="0.25">
      <c r="A7173" t="str">
        <f t="shared" si="1291"/>
        <v>89301000</v>
      </c>
      <c r="B7173" t="str">
        <f t="shared" si="1288"/>
        <v>91970116</v>
      </c>
      <c r="C7173" t="str">
        <f t="shared" si="1288"/>
        <v>91970116</v>
      </c>
      <c r="D7173">
        <v>89301167</v>
      </c>
      <c r="E7173" t="str">
        <f t="shared" si="1289"/>
        <v>530220073</v>
      </c>
      <c r="F7173" s="1">
        <v>45100</v>
      </c>
      <c r="G7173" t="str">
        <f>"81435"</f>
        <v>81435</v>
      </c>
      <c r="H7173">
        <v>1</v>
      </c>
      <c r="I7173">
        <v>22</v>
      </c>
      <c r="J7173">
        <v>0</v>
      </c>
      <c r="K7173" t="str">
        <f t="shared" si="1290"/>
        <v>801</v>
      </c>
      <c r="L7173">
        <v>18.48</v>
      </c>
    </row>
    <row r="7174" spans="1:12" x14ac:dyDescent="0.25">
      <c r="A7174" t="str">
        <f t="shared" si="1291"/>
        <v>89301000</v>
      </c>
      <c r="B7174" t="str">
        <f t="shared" si="1288"/>
        <v>91970116</v>
      </c>
      <c r="C7174" t="str">
        <f t="shared" si="1288"/>
        <v>91970116</v>
      </c>
      <c r="D7174">
        <v>89301167</v>
      </c>
      <c r="E7174" t="str">
        <f t="shared" si="1289"/>
        <v>530220073</v>
      </c>
      <c r="F7174" s="1">
        <v>45100</v>
      </c>
      <c r="G7174" t="str">
        <f>"81439"</f>
        <v>81439</v>
      </c>
      <c r="H7174">
        <v>1</v>
      </c>
      <c r="I7174">
        <v>16</v>
      </c>
      <c r="J7174">
        <v>0</v>
      </c>
      <c r="K7174" t="str">
        <f t="shared" si="1290"/>
        <v>801</v>
      </c>
      <c r="L7174">
        <v>13.44</v>
      </c>
    </row>
    <row r="7175" spans="1:12" x14ac:dyDescent="0.25">
      <c r="A7175" t="str">
        <f t="shared" si="1291"/>
        <v>89301000</v>
      </c>
      <c r="B7175" t="str">
        <f t="shared" si="1288"/>
        <v>91970116</v>
      </c>
      <c r="C7175" t="str">
        <f t="shared" si="1288"/>
        <v>91970116</v>
      </c>
      <c r="D7175">
        <v>89301167</v>
      </c>
      <c r="E7175" t="str">
        <f t="shared" si="1289"/>
        <v>530220073</v>
      </c>
      <c r="F7175" s="1">
        <v>45100</v>
      </c>
      <c r="G7175" t="str">
        <f>"81471"</f>
        <v>81471</v>
      </c>
      <c r="H7175">
        <v>1</v>
      </c>
      <c r="I7175">
        <v>24</v>
      </c>
      <c r="J7175">
        <v>0</v>
      </c>
      <c r="K7175" t="str">
        <f t="shared" si="1290"/>
        <v>801</v>
      </c>
      <c r="L7175">
        <v>20.16</v>
      </c>
    </row>
    <row r="7176" spans="1:12" x14ac:dyDescent="0.25">
      <c r="A7176" t="str">
        <f t="shared" si="1291"/>
        <v>89301000</v>
      </c>
      <c r="B7176" t="str">
        <f t="shared" si="1288"/>
        <v>91970116</v>
      </c>
      <c r="C7176" t="str">
        <f t="shared" si="1288"/>
        <v>91970116</v>
      </c>
      <c r="D7176">
        <v>89301167</v>
      </c>
      <c r="E7176" t="str">
        <f t="shared" si="1289"/>
        <v>530220073</v>
      </c>
      <c r="F7176" s="1">
        <v>45100</v>
      </c>
      <c r="G7176" t="str">
        <f>"81611"</f>
        <v>81611</v>
      </c>
      <c r="H7176">
        <v>1</v>
      </c>
      <c r="I7176">
        <v>30</v>
      </c>
      <c r="J7176">
        <v>0</v>
      </c>
      <c r="K7176" t="str">
        <f t="shared" si="1290"/>
        <v>801</v>
      </c>
      <c r="L7176">
        <v>25.2</v>
      </c>
    </row>
    <row r="7177" spans="1:12" x14ac:dyDescent="0.25">
      <c r="A7177" t="str">
        <f t="shared" si="1291"/>
        <v>89301000</v>
      </c>
      <c r="B7177" t="str">
        <f t="shared" si="1288"/>
        <v>91970116</v>
      </c>
      <c r="C7177" t="str">
        <f t="shared" si="1288"/>
        <v>91970116</v>
      </c>
      <c r="D7177">
        <v>89301167</v>
      </c>
      <c r="E7177" t="str">
        <f t="shared" si="1289"/>
        <v>530220073</v>
      </c>
      <c r="F7177" s="1">
        <v>45100</v>
      </c>
      <c r="G7177" t="str">
        <f>"91153"</f>
        <v>91153</v>
      </c>
      <c r="H7177">
        <v>1</v>
      </c>
      <c r="I7177">
        <v>153</v>
      </c>
      <c r="J7177">
        <v>0</v>
      </c>
      <c r="K7177" t="str">
        <f t="shared" si="1290"/>
        <v>801</v>
      </c>
      <c r="L7177">
        <v>128.52000000000001</v>
      </c>
    </row>
    <row r="7178" spans="1:12" x14ac:dyDescent="0.25">
      <c r="A7178" t="str">
        <f t="shared" si="1291"/>
        <v>89301000</v>
      </c>
      <c r="B7178" t="str">
        <f t="shared" si="1288"/>
        <v>91970116</v>
      </c>
      <c r="C7178" t="str">
        <f t="shared" si="1288"/>
        <v>91970116</v>
      </c>
      <c r="D7178">
        <v>89301167</v>
      </c>
      <c r="E7178" t="str">
        <f t="shared" si="1289"/>
        <v>530220073</v>
      </c>
      <c r="F7178" s="1">
        <v>45100</v>
      </c>
      <c r="G7178" t="str">
        <f>"81511"</f>
        <v>81511</v>
      </c>
      <c r="H7178">
        <v>1</v>
      </c>
      <c r="I7178">
        <v>10</v>
      </c>
      <c r="J7178">
        <v>0</v>
      </c>
      <c r="K7178" t="str">
        <f t="shared" si="1290"/>
        <v>801</v>
      </c>
      <c r="L7178">
        <v>8.4</v>
      </c>
    </row>
    <row r="7179" spans="1:12" x14ac:dyDescent="0.25">
      <c r="A7179" t="str">
        <f t="shared" si="1291"/>
        <v>89301000</v>
      </c>
      <c r="B7179" t="str">
        <f t="shared" si="1288"/>
        <v>91970116</v>
      </c>
      <c r="C7179" t="str">
        <f t="shared" si="1288"/>
        <v>91970116</v>
      </c>
      <c r="D7179">
        <v>89301167</v>
      </c>
      <c r="E7179" t="str">
        <f t="shared" si="1289"/>
        <v>530220073</v>
      </c>
      <c r="F7179" s="1">
        <v>45100</v>
      </c>
      <c r="G7179" t="str">
        <f>"81593"</f>
        <v>81593</v>
      </c>
      <c r="H7179">
        <v>1</v>
      </c>
      <c r="I7179">
        <v>22</v>
      </c>
      <c r="J7179">
        <v>0</v>
      </c>
      <c r="K7179" t="str">
        <f t="shared" si="1290"/>
        <v>801</v>
      </c>
      <c r="L7179">
        <v>18.48</v>
      </c>
    </row>
    <row r="7180" spans="1:12" x14ac:dyDescent="0.25">
      <c r="A7180" t="str">
        <f t="shared" si="1291"/>
        <v>89301000</v>
      </c>
      <c r="B7180" t="str">
        <f t="shared" si="1288"/>
        <v>91970116</v>
      </c>
      <c r="C7180" t="str">
        <f t="shared" si="1288"/>
        <v>91970116</v>
      </c>
      <c r="D7180">
        <v>89301167</v>
      </c>
      <c r="E7180" t="str">
        <f t="shared" si="1289"/>
        <v>530220073</v>
      </c>
      <c r="F7180" s="1">
        <v>45100</v>
      </c>
      <c r="G7180" t="str">
        <f>"81393"</f>
        <v>81393</v>
      </c>
      <c r="H7180">
        <v>1</v>
      </c>
      <c r="I7180">
        <v>24</v>
      </c>
      <c r="J7180">
        <v>0</v>
      </c>
      <c r="K7180" t="str">
        <f t="shared" si="1290"/>
        <v>801</v>
      </c>
      <c r="L7180">
        <v>20.16</v>
      </c>
    </row>
    <row r="7181" spans="1:12" x14ac:dyDescent="0.25">
      <c r="A7181" t="str">
        <f t="shared" si="1291"/>
        <v>89301000</v>
      </c>
      <c r="B7181" t="str">
        <f t="shared" si="1288"/>
        <v>91970116</v>
      </c>
      <c r="C7181" t="str">
        <f t="shared" si="1288"/>
        <v>91970116</v>
      </c>
      <c r="D7181">
        <v>89301167</v>
      </c>
      <c r="E7181" t="str">
        <f t="shared" si="1289"/>
        <v>530220073</v>
      </c>
      <c r="F7181" s="1">
        <v>45100</v>
      </c>
      <c r="G7181" t="str">
        <f>"81469"</f>
        <v>81469</v>
      </c>
      <c r="H7181">
        <v>1</v>
      </c>
      <c r="I7181">
        <v>16</v>
      </c>
      <c r="J7181">
        <v>0</v>
      </c>
      <c r="K7181" t="str">
        <f t="shared" si="1290"/>
        <v>801</v>
      </c>
      <c r="L7181">
        <v>13.44</v>
      </c>
    </row>
    <row r="7182" spans="1:12" x14ac:dyDescent="0.25">
      <c r="A7182" t="str">
        <f t="shared" si="1291"/>
        <v>89301000</v>
      </c>
      <c r="B7182" t="str">
        <f t="shared" si="1288"/>
        <v>91970116</v>
      </c>
      <c r="C7182" t="str">
        <f t="shared" si="1288"/>
        <v>91970116</v>
      </c>
      <c r="D7182">
        <v>89301167</v>
      </c>
      <c r="E7182" t="str">
        <f t="shared" si="1289"/>
        <v>530220073</v>
      </c>
      <c r="F7182" s="1">
        <v>45100</v>
      </c>
      <c r="G7182" t="str">
        <f>"81249"</f>
        <v>81249</v>
      </c>
      <c r="H7182">
        <v>1</v>
      </c>
      <c r="I7182">
        <v>334</v>
      </c>
      <c r="J7182">
        <v>0</v>
      </c>
      <c r="K7182" t="str">
        <f t="shared" si="1290"/>
        <v>801</v>
      </c>
      <c r="L7182">
        <v>280.56</v>
      </c>
    </row>
    <row r="7183" spans="1:12" x14ac:dyDescent="0.25">
      <c r="A7183" t="str">
        <f t="shared" si="1291"/>
        <v>89301000</v>
      </c>
      <c r="B7183" t="str">
        <f>"91970116"</f>
        <v>91970116</v>
      </c>
      <c r="C7183" t="str">
        <f>"91970115"</f>
        <v>91970115</v>
      </c>
      <c r="D7183">
        <v>89301167</v>
      </c>
      <c r="E7183" t="str">
        <f t="shared" si="1289"/>
        <v>530220073</v>
      </c>
      <c r="F7183" s="1">
        <v>45100</v>
      </c>
      <c r="G7183" t="str">
        <f>"09119"</f>
        <v>09119</v>
      </c>
      <c r="H7183">
        <v>1</v>
      </c>
      <c r="I7183">
        <v>43</v>
      </c>
      <c r="J7183">
        <v>0</v>
      </c>
      <c r="K7183" t="str">
        <f>"818"</f>
        <v>818</v>
      </c>
      <c r="L7183">
        <v>54.18</v>
      </c>
    </row>
    <row r="7184" spans="1:12" x14ac:dyDescent="0.25">
      <c r="A7184" t="str">
        <f t="shared" si="1291"/>
        <v>89301000</v>
      </c>
      <c r="B7184" t="str">
        <f>"91970116"</f>
        <v>91970116</v>
      </c>
      <c r="C7184" t="str">
        <f>"91970115"</f>
        <v>91970115</v>
      </c>
      <c r="D7184">
        <v>89301167</v>
      </c>
      <c r="E7184" t="str">
        <f t="shared" si="1289"/>
        <v>530220073</v>
      </c>
      <c r="F7184" s="1">
        <v>45100</v>
      </c>
      <c r="G7184" t="str">
        <f>"96163"</f>
        <v>96163</v>
      </c>
      <c r="H7184">
        <v>1</v>
      </c>
      <c r="I7184">
        <v>28</v>
      </c>
      <c r="J7184">
        <v>0</v>
      </c>
      <c r="K7184" t="str">
        <f>"818"</f>
        <v>818</v>
      </c>
      <c r="L7184">
        <v>27.16</v>
      </c>
    </row>
    <row r="7185" spans="1:12" x14ac:dyDescent="0.25">
      <c r="A7185" t="str">
        <f t="shared" si="1291"/>
        <v>89301000</v>
      </c>
      <c r="B7185" t="str">
        <f>"91970116"</f>
        <v>91970116</v>
      </c>
      <c r="C7185" t="str">
        <f>"91970115"</f>
        <v>91970115</v>
      </c>
      <c r="D7185">
        <v>89301167</v>
      </c>
      <c r="E7185" t="str">
        <f t="shared" si="1289"/>
        <v>530220073</v>
      </c>
      <c r="F7185" s="1">
        <v>45100</v>
      </c>
      <c r="G7185" t="str">
        <f>"96315"</f>
        <v>96315</v>
      </c>
      <c r="H7185">
        <v>1</v>
      </c>
      <c r="I7185">
        <v>30</v>
      </c>
      <c r="J7185">
        <v>0</v>
      </c>
      <c r="K7185" t="str">
        <f>"818"</f>
        <v>818</v>
      </c>
      <c r="L7185">
        <v>29.1</v>
      </c>
    </row>
    <row r="7186" spans="1:12" x14ac:dyDescent="0.25">
      <c r="A7186" t="str">
        <f t="shared" si="1291"/>
        <v>89301000</v>
      </c>
      <c r="B7186" t="str">
        <f>"91970116"</f>
        <v>91970116</v>
      </c>
      <c r="C7186" t="str">
        <f>"91970115"</f>
        <v>91970115</v>
      </c>
      <c r="D7186">
        <v>89301167</v>
      </c>
      <c r="E7186" t="str">
        <f t="shared" si="1289"/>
        <v>530220073</v>
      </c>
      <c r="F7186" s="1">
        <v>45100</v>
      </c>
      <c r="G7186" t="str">
        <f>"96711"</f>
        <v>96711</v>
      </c>
      <c r="H7186">
        <v>1</v>
      </c>
      <c r="I7186">
        <v>28</v>
      </c>
      <c r="J7186">
        <v>0</v>
      </c>
      <c r="K7186" t="str">
        <f>"818"</f>
        <v>818</v>
      </c>
      <c r="L7186">
        <v>27.16</v>
      </c>
    </row>
    <row r="7187" spans="1:12" x14ac:dyDescent="0.25">
      <c r="A7187" t="str">
        <f t="shared" si="1291"/>
        <v>89301000</v>
      </c>
      <c r="B7187" t="str">
        <f>"91970116"</f>
        <v>91970116</v>
      </c>
      <c r="C7187" t="str">
        <f>"91970115"</f>
        <v>91970115</v>
      </c>
      <c r="D7187">
        <v>89301167</v>
      </c>
      <c r="E7187" t="str">
        <f t="shared" si="1289"/>
        <v>530220073</v>
      </c>
      <c r="F7187" s="1">
        <v>45100</v>
      </c>
      <c r="G7187" t="str">
        <f>"96713"</f>
        <v>96713</v>
      </c>
      <c r="H7187">
        <v>1</v>
      </c>
      <c r="I7187">
        <v>14</v>
      </c>
      <c r="J7187">
        <v>0</v>
      </c>
      <c r="K7187" t="str">
        <f>"818"</f>
        <v>818</v>
      </c>
      <c r="L7187">
        <v>13.58</v>
      </c>
    </row>
    <row r="7188" spans="1:12" x14ac:dyDescent="0.25">
      <c r="A7188" t="str">
        <f t="shared" si="1291"/>
        <v>89301000</v>
      </c>
      <c r="B7188" t="str">
        <f>"02384000"</f>
        <v>02384000</v>
      </c>
      <c r="C7188" t="str">
        <f>"02384007"</f>
        <v>02384007</v>
      </c>
      <c r="D7188">
        <v>89301212</v>
      </c>
      <c r="E7188" t="str">
        <f>"8659135771"</f>
        <v>8659135771</v>
      </c>
      <c r="F7188" s="1">
        <v>45106</v>
      </c>
      <c r="G7188" t="str">
        <f>"89131"</f>
        <v>89131</v>
      </c>
      <c r="H7188">
        <v>1</v>
      </c>
      <c r="I7188">
        <v>190</v>
      </c>
      <c r="J7188">
        <v>0</v>
      </c>
      <c r="K7188" t="str">
        <f t="shared" ref="K7188:K7193" si="1292">"809"</f>
        <v>809</v>
      </c>
      <c r="L7188">
        <v>279.3</v>
      </c>
    </row>
    <row r="7189" spans="1:12" x14ac:dyDescent="0.25">
      <c r="A7189" t="str">
        <f t="shared" si="1291"/>
        <v>89301000</v>
      </c>
      <c r="B7189" t="str">
        <f>"02384000"</f>
        <v>02384000</v>
      </c>
      <c r="C7189" t="str">
        <f>"02384007"</f>
        <v>02384007</v>
      </c>
      <c r="D7189">
        <v>89301037</v>
      </c>
      <c r="E7189" t="str">
        <f>"5956282002"</f>
        <v>5956282002</v>
      </c>
      <c r="F7189" s="1">
        <v>45104</v>
      </c>
      <c r="G7189" t="str">
        <f>"89312"</f>
        <v>89312</v>
      </c>
      <c r="H7189">
        <v>1</v>
      </c>
      <c r="I7189">
        <v>312</v>
      </c>
      <c r="J7189">
        <v>0</v>
      </c>
      <c r="K7189" t="str">
        <f t="shared" si="1292"/>
        <v>809</v>
      </c>
      <c r="L7189">
        <v>340.08</v>
      </c>
    </row>
    <row r="7190" spans="1:12" x14ac:dyDescent="0.25">
      <c r="A7190" t="str">
        <f t="shared" si="1291"/>
        <v>89301000</v>
      </c>
      <c r="B7190" t="str">
        <f>"02384000"</f>
        <v>02384000</v>
      </c>
      <c r="C7190" t="str">
        <f>"02384007"</f>
        <v>02384007</v>
      </c>
      <c r="D7190">
        <v>89301037</v>
      </c>
      <c r="E7190" t="str">
        <f>"5956282002"</f>
        <v>5956282002</v>
      </c>
      <c r="F7190" s="1">
        <v>45104</v>
      </c>
      <c r="G7190" t="str">
        <f>"89312"</f>
        <v>89312</v>
      </c>
      <c r="H7190">
        <v>2</v>
      </c>
      <c r="I7190">
        <v>624</v>
      </c>
      <c r="J7190">
        <v>0</v>
      </c>
      <c r="K7190" t="str">
        <f t="shared" si="1292"/>
        <v>809</v>
      </c>
      <c r="L7190">
        <v>680.16</v>
      </c>
    </row>
    <row r="7191" spans="1:12" x14ac:dyDescent="0.25">
      <c r="A7191" t="str">
        <f t="shared" si="1291"/>
        <v>89301000</v>
      </c>
      <c r="B7191" t="str">
        <f t="shared" ref="B7191:C7193" si="1293">"89345401"</f>
        <v>89345401</v>
      </c>
      <c r="C7191" t="str">
        <f t="shared" si="1293"/>
        <v>89345401</v>
      </c>
      <c r="D7191">
        <v>89301152</v>
      </c>
      <c r="E7191" t="str">
        <f>"9061135699"</f>
        <v>9061135699</v>
      </c>
      <c r="F7191" s="1">
        <v>45098</v>
      </c>
      <c r="G7191" t="str">
        <f>"89131"</f>
        <v>89131</v>
      </c>
      <c r="H7191">
        <v>1</v>
      </c>
      <c r="I7191">
        <v>190</v>
      </c>
      <c r="J7191">
        <v>0</v>
      </c>
      <c r="K7191" t="str">
        <f t="shared" si="1292"/>
        <v>809</v>
      </c>
      <c r="L7191">
        <v>279.3</v>
      </c>
    </row>
    <row r="7192" spans="1:12" x14ac:dyDescent="0.25">
      <c r="A7192" t="str">
        <f t="shared" si="1291"/>
        <v>89301000</v>
      </c>
      <c r="B7192" t="str">
        <f t="shared" si="1293"/>
        <v>89345401</v>
      </c>
      <c r="C7192" t="str">
        <f t="shared" si="1293"/>
        <v>89345401</v>
      </c>
      <c r="D7192">
        <v>89301212</v>
      </c>
      <c r="E7192" t="str">
        <f>"535909054"</f>
        <v>535909054</v>
      </c>
      <c r="F7192" s="1">
        <v>45099</v>
      </c>
      <c r="G7192" t="str">
        <f>"89513"</f>
        <v>89513</v>
      </c>
      <c r="H7192">
        <v>1</v>
      </c>
      <c r="I7192">
        <v>378</v>
      </c>
      <c r="J7192">
        <v>0</v>
      </c>
      <c r="K7192" t="str">
        <f t="shared" si="1292"/>
        <v>809</v>
      </c>
      <c r="L7192">
        <v>555.66</v>
      </c>
    </row>
    <row r="7193" spans="1:12" x14ac:dyDescent="0.25">
      <c r="A7193" t="str">
        <f t="shared" si="1291"/>
        <v>89301000</v>
      </c>
      <c r="B7193" t="str">
        <f t="shared" si="1293"/>
        <v>89345401</v>
      </c>
      <c r="C7193" t="str">
        <f t="shared" si="1293"/>
        <v>89345401</v>
      </c>
      <c r="D7193">
        <v>89301212</v>
      </c>
      <c r="E7193" t="str">
        <f>"535909054"</f>
        <v>535909054</v>
      </c>
      <c r="F7193" s="1">
        <v>45099</v>
      </c>
      <c r="G7193" t="str">
        <f>"89514"</f>
        <v>89514</v>
      </c>
      <c r="H7193">
        <v>1</v>
      </c>
      <c r="I7193">
        <v>378</v>
      </c>
      <c r="J7193">
        <v>0</v>
      </c>
      <c r="K7193" t="str">
        <f t="shared" si="1292"/>
        <v>809</v>
      </c>
      <c r="L7193">
        <v>555.66</v>
      </c>
    </row>
    <row r="7194" spans="1:12" x14ac:dyDescent="0.25">
      <c r="A7194" t="str">
        <f t="shared" si="1291"/>
        <v>89301000</v>
      </c>
      <c r="B7194" t="str">
        <f>"42428000"</f>
        <v>42428000</v>
      </c>
      <c r="C7194" t="str">
        <f>"42428000"</f>
        <v>42428000</v>
      </c>
      <c r="D7194">
        <v>89301167</v>
      </c>
      <c r="E7194" t="str">
        <f>"511221028"</f>
        <v>511221028</v>
      </c>
      <c r="F7194" s="1">
        <v>45083</v>
      </c>
      <c r="G7194" t="str">
        <f>"93131"</f>
        <v>93131</v>
      </c>
      <c r="H7194">
        <v>1</v>
      </c>
      <c r="I7194">
        <v>197</v>
      </c>
      <c r="J7194">
        <v>0</v>
      </c>
      <c r="K7194" t="str">
        <f>"801"</f>
        <v>801</v>
      </c>
      <c r="L7194">
        <v>165.48</v>
      </c>
    </row>
    <row r="7195" spans="1:12" x14ac:dyDescent="0.25">
      <c r="A7195" t="str">
        <f t="shared" si="1291"/>
        <v>89301000</v>
      </c>
      <c r="B7195" t="str">
        <f>"42428000"</f>
        <v>42428000</v>
      </c>
      <c r="C7195" t="str">
        <f>"42428000"</f>
        <v>42428000</v>
      </c>
      <c r="D7195">
        <v>89301167</v>
      </c>
      <c r="E7195" t="str">
        <f>"511221028"</f>
        <v>511221028</v>
      </c>
      <c r="F7195" s="1">
        <v>45083</v>
      </c>
      <c r="G7195" t="str">
        <f>"97111"</f>
        <v>97111</v>
      </c>
      <c r="H7195">
        <v>1</v>
      </c>
      <c r="I7195">
        <v>19</v>
      </c>
      <c r="J7195">
        <v>0</v>
      </c>
      <c r="K7195" t="str">
        <f>"801"</f>
        <v>801</v>
      </c>
      <c r="L7195">
        <v>23.94</v>
      </c>
    </row>
    <row r="7196" spans="1:12" x14ac:dyDescent="0.25">
      <c r="A7196" t="str">
        <f t="shared" si="1291"/>
        <v>89301000</v>
      </c>
      <c r="B7196" t="str">
        <f>"89632000"</f>
        <v>89632000</v>
      </c>
      <c r="C7196" t="str">
        <f>"89632000"</f>
        <v>89632000</v>
      </c>
      <c r="D7196">
        <v>89301212</v>
      </c>
      <c r="E7196" t="str">
        <f>"7752285321"</f>
        <v>7752285321</v>
      </c>
      <c r="F7196" s="1">
        <v>45089</v>
      </c>
      <c r="G7196" t="str">
        <f>"89513"</f>
        <v>89513</v>
      </c>
      <c r="H7196">
        <v>1</v>
      </c>
      <c r="I7196">
        <v>378</v>
      </c>
      <c r="J7196">
        <v>0</v>
      </c>
      <c r="K7196" t="str">
        <f>"809"</f>
        <v>809</v>
      </c>
      <c r="L7196">
        <v>555.66</v>
      </c>
    </row>
    <row r="7197" spans="1:12" x14ac:dyDescent="0.25">
      <c r="A7197" t="str">
        <f t="shared" si="1291"/>
        <v>89301000</v>
      </c>
      <c r="B7197" t="str">
        <f>"89632000"</f>
        <v>89632000</v>
      </c>
      <c r="C7197" t="str">
        <f>"89632000"</f>
        <v>89632000</v>
      </c>
      <c r="D7197">
        <v>89301212</v>
      </c>
      <c r="E7197" t="str">
        <f>"7752285321"</f>
        <v>7752285321</v>
      </c>
      <c r="F7197" s="1">
        <v>45089</v>
      </c>
      <c r="G7197" t="str">
        <f>"89514"</f>
        <v>89514</v>
      </c>
      <c r="H7197">
        <v>1</v>
      </c>
      <c r="I7197">
        <v>378</v>
      </c>
      <c r="J7197">
        <v>0</v>
      </c>
      <c r="K7197" t="str">
        <f>"809"</f>
        <v>809</v>
      </c>
      <c r="L7197">
        <v>555.66</v>
      </c>
    </row>
    <row r="7198" spans="1:12" x14ac:dyDescent="0.25">
      <c r="A7198" t="str">
        <f t="shared" si="1291"/>
        <v>89301000</v>
      </c>
      <c r="B7198" t="str">
        <f t="shared" ref="B7198:B7241" si="1294">"95202000"</f>
        <v>95202000</v>
      </c>
      <c r="C7198" t="str">
        <f>"95202818"</f>
        <v>95202818</v>
      </c>
      <c r="D7198">
        <v>89301167</v>
      </c>
      <c r="E7198" t="str">
        <f>"521204004"</f>
        <v>521204004</v>
      </c>
      <c r="F7198" s="1">
        <v>45089</v>
      </c>
      <c r="G7198" t="str">
        <f>"96167"</f>
        <v>96167</v>
      </c>
      <c r="H7198">
        <v>1</v>
      </c>
      <c r="I7198">
        <v>67</v>
      </c>
      <c r="J7198">
        <v>0</v>
      </c>
      <c r="K7198" t="str">
        <f>"818"</f>
        <v>818</v>
      </c>
      <c r="L7198">
        <v>64.989999999999995</v>
      </c>
    </row>
    <row r="7199" spans="1:12" x14ac:dyDescent="0.25">
      <c r="A7199" t="str">
        <f t="shared" si="1291"/>
        <v>89301000</v>
      </c>
      <c r="B7199" t="str">
        <f t="shared" si="1294"/>
        <v>95202000</v>
      </c>
      <c r="C7199" t="str">
        <f>"95202818"</f>
        <v>95202818</v>
      </c>
      <c r="D7199">
        <v>89301167</v>
      </c>
      <c r="E7199" t="str">
        <f>"6109280386"</f>
        <v>6109280386</v>
      </c>
      <c r="F7199" s="1">
        <v>45105</v>
      </c>
      <c r="G7199" t="str">
        <f>"96167"</f>
        <v>96167</v>
      </c>
      <c r="H7199">
        <v>1</v>
      </c>
      <c r="I7199">
        <v>67</v>
      </c>
      <c r="J7199">
        <v>0</v>
      </c>
      <c r="K7199" t="str">
        <f>"818"</f>
        <v>818</v>
      </c>
      <c r="L7199">
        <v>64.989999999999995</v>
      </c>
    </row>
    <row r="7200" spans="1:12" x14ac:dyDescent="0.25">
      <c r="A7200" t="str">
        <f t="shared" si="1291"/>
        <v>89301000</v>
      </c>
      <c r="B7200" t="str">
        <f t="shared" si="1294"/>
        <v>95202000</v>
      </c>
      <c r="C7200" t="str">
        <f t="shared" ref="C7200:C7208" si="1295">"95202511"</f>
        <v>95202511</v>
      </c>
      <c r="D7200">
        <v>89301212</v>
      </c>
      <c r="E7200" t="str">
        <f>"526009140"</f>
        <v>526009140</v>
      </c>
      <c r="F7200" s="1">
        <v>45096</v>
      </c>
      <c r="G7200" t="str">
        <f>"89513"</f>
        <v>89513</v>
      </c>
      <c r="H7200">
        <v>1</v>
      </c>
      <c r="I7200">
        <v>378</v>
      </c>
      <c r="J7200">
        <v>0</v>
      </c>
      <c r="K7200" t="str">
        <f t="shared" ref="K7200:K7208" si="1296">"809"</f>
        <v>809</v>
      </c>
      <c r="L7200">
        <v>555.66</v>
      </c>
    </row>
    <row r="7201" spans="1:12" x14ac:dyDescent="0.25">
      <c r="A7201" t="str">
        <f t="shared" si="1291"/>
        <v>89301000</v>
      </c>
      <c r="B7201" t="str">
        <f t="shared" si="1294"/>
        <v>95202000</v>
      </c>
      <c r="C7201" t="str">
        <f t="shared" si="1295"/>
        <v>95202511</v>
      </c>
      <c r="D7201">
        <v>89301212</v>
      </c>
      <c r="E7201" t="str">
        <f>"526009140"</f>
        <v>526009140</v>
      </c>
      <c r="F7201" s="1">
        <v>45096</v>
      </c>
      <c r="G7201" t="str">
        <f>"89514"</f>
        <v>89514</v>
      </c>
      <c r="H7201">
        <v>1</v>
      </c>
      <c r="I7201">
        <v>378</v>
      </c>
      <c r="J7201">
        <v>0</v>
      </c>
      <c r="K7201" t="str">
        <f t="shared" si="1296"/>
        <v>809</v>
      </c>
      <c r="L7201">
        <v>555.66</v>
      </c>
    </row>
    <row r="7202" spans="1:12" x14ac:dyDescent="0.25">
      <c r="A7202" t="str">
        <f t="shared" si="1291"/>
        <v>89301000</v>
      </c>
      <c r="B7202" t="str">
        <f t="shared" si="1294"/>
        <v>95202000</v>
      </c>
      <c r="C7202" t="str">
        <f t="shared" si="1295"/>
        <v>95202511</v>
      </c>
      <c r="D7202">
        <v>89301212</v>
      </c>
      <c r="E7202" t="str">
        <f t="shared" ref="E7202:E7208" si="1297">"525615342"</f>
        <v>525615342</v>
      </c>
      <c r="F7202" s="1">
        <v>45090</v>
      </c>
      <c r="G7202" t="str">
        <f>"89611"</f>
        <v>89611</v>
      </c>
      <c r="H7202">
        <v>2</v>
      </c>
      <c r="I7202">
        <v>4524</v>
      </c>
      <c r="J7202">
        <v>0</v>
      </c>
      <c r="K7202" t="str">
        <f t="shared" si="1296"/>
        <v>809</v>
      </c>
      <c r="L7202">
        <v>2940.6</v>
      </c>
    </row>
    <row r="7203" spans="1:12" x14ac:dyDescent="0.25">
      <c r="A7203" t="str">
        <f t="shared" si="1291"/>
        <v>89301000</v>
      </c>
      <c r="B7203" t="str">
        <f t="shared" si="1294"/>
        <v>95202000</v>
      </c>
      <c r="C7203" t="str">
        <f t="shared" si="1295"/>
        <v>95202511</v>
      </c>
      <c r="D7203">
        <v>89301212</v>
      </c>
      <c r="E7203" t="str">
        <f t="shared" si="1297"/>
        <v>525615342</v>
      </c>
      <c r="F7203" s="1">
        <v>45090</v>
      </c>
      <c r="G7203" t="str">
        <f>"0022077"</f>
        <v>0022077</v>
      </c>
      <c r="H7203">
        <v>0.5</v>
      </c>
      <c r="J7203">
        <v>1004.83</v>
      </c>
      <c r="K7203" t="str">
        <f t="shared" si="1296"/>
        <v>809</v>
      </c>
      <c r="L7203">
        <v>1004.83</v>
      </c>
    </row>
    <row r="7204" spans="1:12" x14ac:dyDescent="0.25">
      <c r="A7204" t="str">
        <f t="shared" si="1291"/>
        <v>89301000</v>
      </c>
      <c r="B7204" t="str">
        <f t="shared" si="1294"/>
        <v>95202000</v>
      </c>
      <c r="C7204" t="str">
        <f t="shared" si="1295"/>
        <v>95202511</v>
      </c>
      <c r="D7204">
        <v>89301212</v>
      </c>
      <c r="E7204" t="str">
        <f t="shared" si="1297"/>
        <v>525615342</v>
      </c>
      <c r="F7204" s="1">
        <v>45090</v>
      </c>
      <c r="G7204" t="str">
        <f>"0234018"</f>
        <v>0234018</v>
      </c>
      <c r="H7204">
        <v>0.01</v>
      </c>
      <c r="J7204">
        <v>2.44</v>
      </c>
      <c r="K7204" t="str">
        <f t="shared" si="1296"/>
        <v>809</v>
      </c>
      <c r="L7204">
        <v>2.44</v>
      </c>
    </row>
    <row r="7205" spans="1:12" x14ac:dyDescent="0.25">
      <c r="A7205" t="str">
        <f t="shared" si="1291"/>
        <v>89301000</v>
      </c>
      <c r="B7205" t="str">
        <f t="shared" si="1294"/>
        <v>95202000</v>
      </c>
      <c r="C7205" t="str">
        <f t="shared" si="1295"/>
        <v>95202511</v>
      </c>
      <c r="D7205">
        <v>89301212</v>
      </c>
      <c r="E7205" t="str">
        <f t="shared" si="1297"/>
        <v>525615342</v>
      </c>
      <c r="F7205" s="1">
        <v>45093</v>
      </c>
      <c r="G7205" t="str">
        <f>"89611"</f>
        <v>89611</v>
      </c>
      <c r="H7205">
        <v>1</v>
      </c>
      <c r="I7205">
        <v>2262</v>
      </c>
      <c r="J7205">
        <v>0</v>
      </c>
      <c r="K7205" t="str">
        <f t="shared" si="1296"/>
        <v>809</v>
      </c>
      <c r="L7205">
        <v>1470.3</v>
      </c>
    </row>
    <row r="7206" spans="1:12" x14ac:dyDescent="0.25">
      <c r="A7206" t="str">
        <f t="shared" si="1291"/>
        <v>89301000</v>
      </c>
      <c r="B7206" t="str">
        <f t="shared" si="1294"/>
        <v>95202000</v>
      </c>
      <c r="C7206" t="str">
        <f t="shared" si="1295"/>
        <v>95202511</v>
      </c>
      <c r="D7206">
        <v>89301212</v>
      </c>
      <c r="E7206" t="str">
        <f t="shared" si="1297"/>
        <v>525615342</v>
      </c>
      <c r="F7206" s="1">
        <v>45093</v>
      </c>
      <c r="G7206" t="str">
        <f>"09572"</f>
        <v>09572</v>
      </c>
      <c r="H7206">
        <v>1</v>
      </c>
      <c r="I7206">
        <v>0</v>
      </c>
      <c r="J7206">
        <v>0</v>
      </c>
      <c r="K7206" t="str">
        <f t="shared" si="1296"/>
        <v>809</v>
      </c>
      <c r="L7206">
        <v>0</v>
      </c>
    </row>
    <row r="7207" spans="1:12" x14ac:dyDescent="0.25">
      <c r="A7207" t="str">
        <f t="shared" si="1291"/>
        <v>89301000</v>
      </c>
      <c r="B7207" t="str">
        <f t="shared" si="1294"/>
        <v>95202000</v>
      </c>
      <c r="C7207" t="str">
        <f t="shared" si="1295"/>
        <v>95202511</v>
      </c>
      <c r="D7207">
        <v>89301212</v>
      </c>
      <c r="E7207" t="str">
        <f t="shared" si="1297"/>
        <v>525615342</v>
      </c>
      <c r="F7207" s="1">
        <v>45093</v>
      </c>
      <c r="G7207" t="str">
        <f>"0022077"</f>
        <v>0022077</v>
      </c>
      <c r="H7207">
        <v>0.4</v>
      </c>
      <c r="J7207">
        <v>803.86</v>
      </c>
      <c r="K7207" t="str">
        <f t="shared" si="1296"/>
        <v>809</v>
      </c>
      <c r="L7207">
        <v>803.86</v>
      </c>
    </row>
    <row r="7208" spans="1:12" x14ac:dyDescent="0.25">
      <c r="A7208" t="str">
        <f t="shared" si="1291"/>
        <v>89301000</v>
      </c>
      <c r="B7208" t="str">
        <f t="shared" si="1294"/>
        <v>95202000</v>
      </c>
      <c r="C7208" t="str">
        <f t="shared" si="1295"/>
        <v>95202511</v>
      </c>
      <c r="D7208">
        <v>89301212</v>
      </c>
      <c r="E7208" t="str">
        <f t="shared" si="1297"/>
        <v>525615342</v>
      </c>
      <c r="F7208" s="1">
        <v>45093</v>
      </c>
      <c r="G7208" t="str">
        <f>"0234018"</f>
        <v>0234018</v>
      </c>
      <c r="H7208">
        <v>0.01</v>
      </c>
      <c r="J7208">
        <v>2.44</v>
      </c>
      <c r="K7208" t="str">
        <f t="shared" si="1296"/>
        <v>809</v>
      </c>
      <c r="L7208">
        <v>2.44</v>
      </c>
    </row>
    <row r="7209" spans="1:12" x14ac:dyDescent="0.25">
      <c r="A7209" t="str">
        <f t="shared" si="1291"/>
        <v>89301000</v>
      </c>
      <c r="B7209" t="str">
        <f t="shared" si="1294"/>
        <v>95202000</v>
      </c>
      <c r="C7209" t="str">
        <f t="shared" ref="C7209:C7241" si="1298">"95202096"</f>
        <v>95202096</v>
      </c>
      <c r="D7209">
        <v>89301167</v>
      </c>
      <c r="E7209" t="str">
        <f t="shared" ref="E7209:E7225" si="1299">"521204004"</f>
        <v>521204004</v>
      </c>
      <c r="F7209" s="1">
        <v>45089</v>
      </c>
      <c r="G7209" t="str">
        <f>"81329"</f>
        <v>81329</v>
      </c>
      <c r="H7209">
        <v>1</v>
      </c>
      <c r="I7209">
        <v>17</v>
      </c>
      <c r="J7209">
        <v>0</v>
      </c>
      <c r="K7209" t="str">
        <f t="shared" ref="K7209:K7241" si="1300">"801"</f>
        <v>801</v>
      </c>
      <c r="L7209">
        <v>14.28</v>
      </c>
    </row>
    <row r="7210" spans="1:12" x14ac:dyDescent="0.25">
      <c r="A7210" t="str">
        <f t="shared" si="1291"/>
        <v>89301000</v>
      </c>
      <c r="B7210" t="str">
        <f t="shared" si="1294"/>
        <v>95202000</v>
      </c>
      <c r="C7210" t="str">
        <f t="shared" si="1298"/>
        <v>95202096</v>
      </c>
      <c r="D7210">
        <v>89301167</v>
      </c>
      <c r="E7210" t="str">
        <f t="shared" si="1299"/>
        <v>521204004</v>
      </c>
      <c r="F7210" s="1">
        <v>45089</v>
      </c>
      <c r="G7210" t="str">
        <f>"81337"</f>
        <v>81337</v>
      </c>
      <c r="H7210">
        <v>1</v>
      </c>
      <c r="I7210">
        <v>20</v>
      </c>
      <c r="J7210">
        <v>0</v>
      </c>
      <c r="K7210" t="str">
        <f t="shared" si="1300"/>
        <v>801</v>
      </c>
      <c r="L7210">
        <v>16.8</v>
      </c>
    </row>
    <row r="7211" spans="1:12" x14ac:dyDescent="0.25">
      <c r="A7211" t="str">
        <f t="shared" si="1291"/>
        <v>89301000</v>
      </c>
      <c r="B7211" t="str">
        <f t="shared" si="1294"/>
        <v>95202000</v>
      </c>
      <c r="C7211" t="str">
        <f t="shared" si="1298"/>
        <v>95202096</v>
      </c>
      <c r="D7211">
        <v>89301167</v>
      </c>
      <c r="E7211" t="str">
        <f t="shared" si="1299"/>
        <v>521204004</v>
      </c>
      <c r="F7211" s="1">
        <v>45089</v>
      </c>
      <c r="G7211" t="str">
        <f>"81357"</f>
        <v>81357</v>
      </c>
      <c r="H7211">
        <v>1</v>
      </c>
      <c r="I7211">
        <v>20</v>
      </c>
      <c r="J7211">
        <v>0</v>
      </c>
      <c r="K7211" t="str">
        <f t="shared" si="1300"/>
        <v>801</v>
      </c>
      <c r="L7211">
        <v>16.8</v>
      </c>
    </row>
    <row r="7212" spans="1:12" x14ac:dyDescent="0.25">
      <c r="A7212" t="str">
        <f t="shared" si="1291"/>
        <v>89301000</v>
      </c>
      <c r="B7212" t="str">
        <f t="shared" si="1294"/>
        <v>95202000</v>
      </c>
      <c r="C7212" t="str">
        <f t="shared" si="1298"/>
        <v>95202096</v>
      </c>
      <c r="D7212">
        <v>89301167</v>
      </c>
      <c r="E7212" t="str">
        <f t="shared" si="1299"/>
        <v>521204004</v>
      </c>
      <c r="F7212" s="1">
        <v>45089</v>
      </c>
      <c r="G7212" t="str">
        <f>"81361"</f>
        <v>81361</v>
      </c>
      <c r="H7212">
        <v>1</v>
      </c>
      <c r="I7212">
        <v>17</v>
      </c>
      <c r="J7212">
        <v>0</v>
      </c>
      <c r="K7212" t="str">
        <f t="shared" si="1300"/>
        <v>801</v>
      </c>
      <c r="L7212">
        <v>14.28</v>
      </c>
    </row>
    <row r="7213" spans="1:12" x14ac:dyDescent="0.25">
      <c r="A7213" t="str">
        <f t="shared" si="1291"/>
        <v>89301000</v>
      </c>
      <c r="B7213" t="str">
        <f t="shared" si="1294"/>
        <v>95202000</v>
      </c>
      <c r="C7213" t="str">
        <f t="shared" si="1298"/>
        <v>95202096</v>
      </c>
      <c r="D7213">
        <v>89301167</v>
      </c>
      <c r="E7213" t="str">
        <f t="shared" si="1299"/>
        <v>521204004</v>
      </c>
      <c r="F7213" s="1">
        <v>45089</v>
      </c>
      <c r="G7213" t="str">
        <f>"81365"</f>
        <v>81365</v>
      </c>
      <c r="H7213">
        <v>1</v>
      </c>
      <c r="I7213">
        <v>16</v>
      </c>
      <c r="J7213">
        <v>0</v>
      </c>
      <c r="K7213" t="str">
        <f t="shared" si="1300"/>
        <v>801</v>
      </c>
      <c r="L7213">
        <v>13.44</v>
      </c>
    </row>
    <row r="7214" spans="1:12" x14ac:dyDescent="0.25">
      <c r="A7214" t="str">
        <f t="shared" si="1291"/>
        <v>89301000</v>
      </c>
      <c r="B7214" t="str">
        <f t="shared" si="1294"/>
        <v>95202000</v>
      </c>
      <c r="C7214" t="str">
        <f t="shared" si="1298"/>
        <v>95202096</v>
      </c>
      <c r="D7214">
        <v>89301167</v>
      </c>
      <c r="E7214" t="str">
        <f t="shared" si="1299"/>
        <v>521204004</v>
      </c>
      <c r="F7214" s="1">
        <v>45089</v>
      </c>
      <c r="G7214" t="str">
        <f>"81383"</f>
        <v>81383</v>
      </c>
      <c r="H7214">
        <v>1</v>
      </c>
      <c r="I7214">
        <v>24</v>
      </c>
      <c r="J7214">
        <v>0</v>
      </c>
      <c r="K7214" t="str">
        <f t="shared" si="1300"/>
        <v>801</v>
      </c>
      <c r="L7214">
        <v>20.16</v>
      </c>
    </row>
    <row r="7215" spans="1:12" x14ac:dyDescent="0.25">
      <c r="A7215" t="str">
        <f t="shared" si="1291"/>
        <v>89301000</v>
      </c>
      <c r="B7215" t="str">
        <f t="shared" si="1294"/>
        <v>95202000</v>
      </c>
      <c r="C7215" t="str">
        <f t="shared" si="1298"/>
        <v>95202096</v>
      </c>
      <c r="D7215">
        <v>89301167</v>
      </c>
      <c r="E7215" t="str">
        <f t="shared" si="1299"/>
        <v>521204004</v>
      </c>
      <c r="F7215" s="1">
        <v>45089</v>
      </c>
      <c r="G7215" t="str">
        <f>"81393"</f>
        <v>81393</v>
      </c>
      <c r="H7215">
        <v>1</v>
      </c>
      <c r="I7215">
        <v>24</v>
      </c>
      <c r="J7215">
        <v>0</v>
      </c>
      <c r="K7215" t="str">
        <f t="shared" si="1300"/>
        <v>801</v>
      </c>
      <c r="L7215">
        <v>20.16</v>
      </c>
    </row>
    <row r="7216" spans="1:12" x14ac:dyDescent="0.25">
      <c r="A7216" t="str">
        <f t="shared" si="1291"/>
        <v>89301000</v>
      </c>
      <c r="B7216" t="str">
        <f t="shared" si="1294"/>
        <v>95202000</v>
      </c>
      <c r="C7216" t="str">
        <f t="shared" si="1298"/>
        <v>95202096</v>
      </c>
      <c r="D7216">
        <v>89301167</v>
      </c>
      <c r="E7216" t="str">
        <f t="shared" si="1299"/>
        <v>521204004</v>
      </c>
      <c r="F7216" s="1">
        <v>45089</v>
      </c>
      <c r="G7216" t="str">
        <f>"81421"</f>
        <v>81421</v>
      </c>
      <c r="H7216">
        <v>1</v>
      </c>
      <c r="I7216">
        <v>19</v>
      </c>
      <c r="J7216">
        <v>0</v>
      </c>
      <c r="K7216" t="str">
        <f t="shared" si="1300"/>
        <v>801</v>
      </c>
      <c r="L7216">
        <v>15.96</v>
      </c>
    </row>
    <row r="7217" spans="1:12" x14ac:dyDescent="0.25">
      <c r="A7217" t="str">
        <f t="shared" si="1291"/>
        <v>89301000</v>
      </c>
      <c r="B7217" t="str">
        <f t="shared" si="1294"/>
        <v>95202000</v>
      </c>
      <c r="C7217" t="str">
        <f t="shared" si="1298"/>
        <v>95202096</v>
      </c>
      <c r="D7217">
        <v>89301167</v>
      </c>
      <c r="E7217" t="str">
        <f t="shared" si="1299"/>
        <v>521204004</v>
      </c>
      <c r="F7217" s="1">
        <v>45089</v>
      </c>
      <c r="G7217" t="str">
        <f>"81435"</f>
        <v>81435</v>
      </c>
      <c r="H7217">
        <v>1</v>
      </c>
      <c r="I7217">
        <v>22</v>
      </c>
      <c r="J7217">
        <v>0</v>
      </c>
      <c r="K7217" t="str">
        <f t="shared" si="1300"/>
        <v>801</v>
      </c>
      <c r="L7217">
        <v>18.48</v>
      </c>
    </row>
    <row r="7218" spans="1:12" x14ac:dyDescent="0.25">
      <c r="A7218" t="str">
        <f t="shared" si="1291"/>
        <v>89301000</v>
      </c>
      <c r="B7218" t="str">
        <f t="shared" si="1294"/>
        <v>95202000</v>
      </c>
      <c r="C7218" t="str">
        <f t="shared" si="1298"/>
        <v>95202096</v>
      </c>
      <c r="D7218">
        <v>89301167</v>
      </c>
      <c r="E7218" t="str">
        <f t="shared" si="1299"/>
        <v>521204004</v>
      </c>
      <c r="F7218" s="1">
        <v>45089</v>
      </c>
      <c r="G7218" t="str">
        <f>"81439"</f>
        <v>81439</v>
      </c>
      <c r="H7218">
        <v>1</v>
      </c>
      <c r="I7218">
        <v>16</v>
      </c>
      <c r="J7218">
        <v>0</v>
      </c>
      <c r="K7218" t="str">
        <f t="shared" si="1300"/>
        <v>801</v>
      </c>
      <c r="L7218">
        <v>13.44</v>
      </c>
    </row>
    <row r="7219" spans="1:12" x14ac:dyDescent="0.25">
      <c r="A7219" t="str">
        <f t="shared" si="1291"/>
        <v>89301000</v>
      </c>
      <c r="B7219" t="str">
        <f t="shared" si="1294"/>
        <v>95202000</v>
      </c>
      <c r="C7219" t="str">
        <f t="shared" si="1298"/>
        <v>95202096</v>
      </c>
      <c r="D7219">
        <v>89301167</v>
      </c>
      <c r="E7219" t="str">
        <f t="shared" si="1299"/>
        <v>521204004</v>
      </c>
      <c r="F7219" s="1">
        <v>45089</v>
      </c>
      <c r="G7219" t="str">
        <f>"81469"</f>
        <v>81469</v>
      </c>
      <c r="H7219">
        <v>1</v>
      </c>
      <c r="I7219">
        <v>16</v>
      </c>
      <c r="J7219">
        <v>0</v>
      </c>
      <c r="K7219" t="str">
        <f t="shared" si="1300"/>
        <v>801</v>
      </c>
      <c r="L7219">
        <v>13.44</v>
      </c>
    </row>
    <row r="7220" spans="1:12" x14ac:dyDescent="0.25">
      <c r="A7220" t="str">
        <f t="shared" si="1291"/>
        <v>89301000</v>
      </c>
      <c r="B7220" t="str">
        <f t="shared" si="1294"/>
        <v>95202000</v>
      </c>
      <c r="C7220" t="str">
        <f t="shared" si="1298"/>
        <v>95202096</v>
      </c>
      <c r="D7220">
        <v>89301167</v>
      </c>
      <c r="E7220" t="str">
        <f t="shared" si="1299"/>
        <v>521204004</v>
      </c>
      <c r="F7220" s="1">
        <v>45089</v>
      </c>
      <c r="G7220" t="str">
        <f>"81499"</f>
        <v>81499</v>
      </c>
      <c r="H7220">
        <v>1</v>
      </c>
      <c r="I7220">
        <v>18</v>
      </c>
      <c r="J7220">
        <v>0</v>
      </c>
      <c r="K7220" t="str">
        <f t="shared" si="1300"/>
        <v>801</v>
      </c>
      <c r="L7220">
        <v>15.12</v>
      </c>
    </row>
    <row r="7221" spans="1:12" x14ac:dyDescent="0.25">
      <c r="A7221" t="str">
        <f t="shared" si="1291"/>
        <v>89301000</v>
      </c>
      <c r="B7221" t="str">
        <f t="shared" si="1294"/>
        <v>95202000</v>
      </c>
      <c r="C7221" t="str">
        <f t="shared" si="1298"/>
        <v>95202096</v>
      </c>
      <c r="D7221">
        <v>89301167</v>
      </c>
      <c r="E7221" t="str">
        <f t="shared" si="1299"/>
        <v>521204004</v>
      </c>
      <c r="F7221" s="1">
        <v>45089</v>
      </c>
      <c r="G7221" t="str">
        <f>"81593"</f>
        <v>81593</v>
      </c>
      <c r="H7221">
        <v>1</v>
      </c>
      <c r="I7221">
        <v>22</v>
      </c>
      <c r="J7221">
        <v>0</v>
      </c>
      <c r="K7221" t="str">
        <f t="shared" si="1300"/>
        <v>801</v>
      </c>
      <c r="L7221">
        <v>18.48</v>
      </c>
    </row>
    <row r="7222" spans="1:12" x14ac:dyDescent="0.25">
      <c r="A7222" t="str">
        <f t="shared" si="1291"/>
        <v>89301000</v>
      </c>
      <c r="B7222" t="str">
        <f t="shared" si="1294"/>
        <v>95202000</v>
      </c>
      <c r="C7222" t="str">
        <f t="shared" si="1298"/>
        <v>95202096</v>
      </c>
      <c r="D7222">
        <v>89301167</v>
      </c>
      <c r="E7222" t="str">
        <f t="shared" si="1299"/>
        <v>521204004</v>
      </c>
      <c r="F7222" s="1">
        <v>45089</v>
      </c>
      <c r="G7222" t="str">
        <f>"81621"</f>
        <v>81621</v>
      </c>
      <c r="H7222">
        <v>1</v>
      </c>
      <c r="I7222">
        <v>19</v>
      </c>
      <c r="J7222">
        <v>0</v>
      </c>
      <c r="K7222" t="str">
        <f t="shared" si="1300"/>
        <v>801</v>
      </c>
      <c r="L7222">
        <v>15.96</v>
      </c>
    </row>
    <row r="7223" spans="1:12" x14ac:dyDescent="0.25">
      <c r="A7223" t="str">
        <f t="shared" si="1291"/>
        <v>89301000</v>
      </c>
      <c r="B7223" t="str">
        <f t="shared" si="1294"/>
        <v>95202000</v>
      </c>
      <c r="C7223" t="str">
        <f t="shared" si="1298"/>
        <v>95202096</v>
      </c>
      <c r="D7223">
        <v>89301167</v>
      </c>
      <c r="E7223" t="str">
        <f t="shared" si="1299"/>
        <v>521204004</v>
      </c>
      <c r="F7223" s="1">
        <v>45089</v>
      </c>
      <c r="G7223" t="str">
        <f>"81625"</f>
        <v>81625</v>
      </c>
      <c r="H7223">
        <v>1</v>
      </c>
      <c r="I7223">
        <v>21</v>
      </c>
      <c r="J7223">
        <v>0</v>
      </c>
      <c r="K7223" t="str">
        <f t="shared" si="1300"/>
        <v>801</v>
      </c>
      <c r="L7223">
        <v>17.64</v>
      </c>
    </row>
    <row r="7224" spans="1:12" x14ac:dyDescent="0.25">
      <c r="A7224" t="str">
        <f t="shared" si="1291"/>
        <v>89301000</v>
      </c>
      <c r="B7224" t="str">
        <f t="shared" si="1294"/>
        <v>95202000</v>
      </c>
      <c r="C7224" t="str">
        <f t="shared" si="1298"/>
        <v>95202096</v>
      </c>
      <c r="D7224">
        <v>89301167</v>
      </c>
      <c r="E7224" t="str">
        <f t="shared" si="1299"/>
        <v>521204004</v>
      </c>
      <c r="F7224" s="1">
        <v>45089</v>
      </c>
      <c r="G7224" t="str">
        <f>"91153"</f>
        <v>91153</v>
      </c>
      <c r="H7224">
        <v>1</v>
      </c>
      <c r="I7224">
        <v>153</v>
      </c>
      <c r="J7224">
        <v>0</v>
      </c>
      <c r="K7224" t="str">
        <f t="shared" si="1300"/>
        <v>801</v>
      </c>
      <c r="L7224">
        <v>128.52000000000001</v>
      </c>
    </row>
    <row r="7225" spans="1:12" x14ac:dyDescent="0.25">
      <c r="A7225" t="str">
        <f t="shared" si="1291"/>
        <v>89301000</v>
      </c>
      <c r="B7225" t="str">
        <f t="shared" si="1294"/>
        <v>95202000</v>
      </c>
      <c r="C7225" t="str">
        <f t="shared" si="1298"/>
        <v>95202096</v>
      </c>
      <c r="D7225">
        <v>89301167</v>
      </c>
      <c r="E7225" t="str">
        <f t="shared" si="1299"/>
        <v>521204004</v>
      </c>
      <c r="F7225" s="1">
        <v>45089</v>
      </c>
      <c r="G7225" t="str">
        <f>"97111"</f>
        <v>97111</v>
      </c>
      <c r="H7225">
        <v>1</v>
      </c>
      <c r="I7225">
        <v>19</v>
      </c>
      <c r="J7225">
        <v>0</v>
      </c>
      <c r="K7225" t="str">
        <f t="shared" si="1300"/>
        <v>801</v>
      </c>
      <c r="L7225">
        <v>23.94</v>
      </c>
    </row>
    <row r="7226" spans="1:12" x14ac:dyDescent="0.25">
      <c r="A7226" t="str">
        <f t="shared" si="1291"/>
        <v>89301000</v>
      </c>
      <c r="B7226" t="str">
        <f t="shared" si="1294"/>
        <v>95202000</v>
      </c>
      <c r="C7226" t="str">
        <f t="shared" si="1298"/>
        <v>95202096</v>
      </c>
      <c r="D7226">
        <v>89301167</v>
      </c>
      <c r="E7226" t="str">
        <f t="shared" ref="E7226:E7241" si="1301">"6109280386"</f>
        <v>6109280386</v>
      </c>
      <c r="F7226" s="1">
        <v>45105</v>
      </c>
      <c r="G7226" t="str">
        <f>"81329"</f>
        <v>81329</v>
      </c>
      <c r="H7226">
        <v>1</v>
      </c>
      <c r="I7226">
        <v>17</v>
      </c>
      <c r="J7226">
        <v>0</v>
      </c>
      <c r="K7226" t="str">
        <f t="shared" si="1300"/>
        <v>801</v>
      </c>
      <c r="L7226">
        <v>14.28</v>
      </c>
    </row>
    <row r="7227" spans="1:12" x14ac:dyDescent="0.25">
      <c r="A7227" t="str">
        <f t="shared" si="1291"/>
        <v>89301000</v>
      </c>
      <c r="B7227" t="str">
        <f t="shared" si="1294"/>
        <v>95202000</v>
      </c>
      <c r="C7227" t="str">
        <f t="shared" si="1298"/>
        <v>95202096</v>
      </c>
      <c r="D7227">
        <v>89301167</v>
      </c>
      <c r="E7227" t="str">
        <f t="shared" si="1301"/>
        <v>6109280386</v>
      </c>
      <c r="F7227" s="1">
        <v>45105</v>
      </c>
      <c r="G7227" t="str">
        <f>"81337"</f>
        <v>81337</v>
      </c>
      <c r="H7227">
        <v>1</v>
      </c>
      <c r="I7227">
        <v>20</v>
      </c>
      <c r="J7227">
        <v>0</v>
      </c>
      <c r="K7227" t="str">
        <f t="shared" si="1300"/>
        <v>801</v>
      </c>
      <c r="L7227">
        <v>16.8</v>
      </c>
    </row>
    <row r="7228" spans="1:12" x14ac:dyDescent="0.25">
      <c r="A7228" t="str">
        <f t="shared" si="1291"/>
        <v>89301000</v>
      </c>
      <c r="B7228" t="str">
        <f t="shared" si="1294"/>
        <v>95202000</v>
      </c>
      <c r="C7228" t="str">
        <f t="shared" si="1298"/>
        <v>95202096</v>
      </c>
      <c r="D7228">
        <v>89301167</v>
      </c>
      <c r="E7228" t="str">
        <f t="shared" si="1301"/>
        <v>6109280386</v>
      </c>
      <c r="F7228" s="1">
        <v>45105</v>
      </c>
      <c r="G7228" t="str">
        <f>"81357"</f>
        <v>81357</v>
      </c>
      <c r="H7228">
        <v>1</v>
      </c>
      <c r="I7228">
        <v>20</v>
      </c>
      <c r="J7228">
        <v>0</v>
      </c>
      <c r="K7228" t="str">
        <f t="shared" si="1300"/>
        <v>801</v>
      </c>
      <c r="L7228">
        <v>16.8</v>
      </c>
    </row>
    <row r="7229" spans="1:12" x14ac:dyDescent="0.25">
      <c r="A7229" t="str">
        <f t="shared" si="1291"/>
        <v>89301000</v>
      </c>
      <c r="B7229" t="str">
        <f t="shared" si="1294"/>
        <v>95202000</v>
      </c>
      <c r="C7229" t="str">
        <f t="shared" si="1298"/>
        <v>95202096</v>
      </c>
      <c r="D7229">
        <v>89301167</v>
      </c>
      <c r="E7229" t="str">
        <f t="shared" si="1301"/>
        <v>6109280386</v>
      </c>
      <c r="F7229" s="1">
        <v>45105</v>
      </c>
      <c r="G7229" t="str">
        <f>"81365"</f>
        <v>81365</v>
      </c>
      <c r="H7229">
        <v>1</v>
      </c>
      <c r="I7229">
        <v>16</v>
      </c>
      <c r="J7229">
        <v>0</v>
      </c>
      <c r="K7229" t="str">
        <f t="shared" si="1300"/>
        <v>801</v>
      </c>
      <c r="L7229">
        <v>13.44</v>
      </c>
    </row>
    <row r="7230" spans="1:12" x14ac:dyDescent="0.25">
      <c r="A7230" t="str">
        <f t="shared" si="1291"/>
        <v>89301000</v>
      </c>
      <c r="B7230" t="str">
        <f t="shared" si="1294"/>
        <v>95202000</v>
      </c>
      <c r="C7230" t="str">
        <f t="shared" si="1298"/>
        <v>95202096</v>
      </c>
      <c r="D7230">
        <v>89301167</v>
      </c>
      <c r="E7230" t="str">
        <f t="shared" si="1301"/>
        <v>6109280386</v>
      </c>
      <c r="F7230" s="1">
        <v>45105</v>
      </c>
      <c r="G7230" t="str">
        <f>"81393"</f>
        <v>81393</v>
      </c>
      <c r="H7230">
        <v>1</v>
      </c>
      <c r="I7230">
        <v>24</v>
      </c>
      <c r="J7230">
        <v>0</v>
      </c>
      <c r="K7230" t="str">
        <f t="shared" si="1300"/>
        <v>801</v>
      </c>
      <c r="L7230">
        <v>20.16</v>
      </c>
    </row>
    <row r="7231" spans="1:12" x14ac:dyDescent="0.25">
      <c r="A7231" t="str">
        <f t="shared" si="1291"/>
        <v>89301000</v>
      </c>
      <c r="B7231" t="str">
        <f t="shared" si="1294"/>
        <v>95202000</v>
      </c>
      <c r="C7231" t="str">
        <f t="shared" si="1298"/>
        <v>95202096</v>
      </c>
      <c r="D7231">
        <v>89301167</v>
      </c>
      <c r="E7231" t="str">
        <f t="shared" si="1301"/>
        <v>6109280386</v>
      </c>
      <c r="F7231" s="1">
        <v>45105</v>
      </c>
      <c r="G7231" t="str">
        <f>"81421"</f>
        <v>81421</v>
      </c>
      <c r="H7231">
        <v>1</v>
      </c>
      <c r="I7231">
        <v>19</v>
      </c>
      <c r="J7231">
        <v>0</v>
      </c>
      <c r="K7231" t="str">
        <f t="shared" si="1300"/>
        <v>801</v>
      </c>
      <c r="L7231">
        <v>15.96</v>
      </c>
    </row>
    <row r="7232" spans="1:12" x14ac:dyDescent="0.25">
      <c r="A7232" t="str">
        <f t="shared" si="1291"/>
        <v>89301000</v>
      </c>
      <c r="B7232" t="str">
        <f t="shared" si="1294"/>
        <v>95202000</v>
      </c>
      <c r="C7232" t="str">
        <f t="shared" si="1298"/>
        <v>95202096</v>
      </c>
      <c r="D7232">
        <v>89301167</v>
      </c>
      <c r="E7232" t="str">
        <f t="shared" si="1301"/>
        <v>6109280386</v>
      </c>
      <c r="F7232" s="1">
        <v>45105</v>
      </c>
      <c r="G7232" t="str">
        <f>"81435"</f>
        <v>81435</v>
      </c>
      <c r="H7232">
        <v>1</v>
      </c>
      <c r="I7232">
        <v>22</v>
      </c>
      <c r="J7232">
        <v>0</v>
      </c>
      <c r="K7232" t="str">
        <f t="shared" si="1300"/>
        <v>801</v>
      </c>
      <c r="L7232">
        <v>18.48</v>
      </c>
    </row>
    <row r="7233" spans="1:12" x14ac:dyDescent="0.25">
      <c r="A7233" t="str">
        <f t="shared" si="1291"/>
        <v>89301000</v>
      </c>
      <c r="B7233" t="str">
        <f t="shared" si="1294"/>
        <v>95202000</v>
      </c>
      <c r="C7233" t="str">
        <f t="shared" si="1298"/>
        <v>95202096</v>
      </c>
      <c r="D7233">
        <v>89301167</v>
      </c>
      <c r="E7233" t="str">
        <f t="shared" si="1301"/>
        <v>6109280386</v>
      </c>
      <c r="F7233" s="1">
        <v>45105</v>
      </c>
      <c r="G7233" t="str">
        <f>"81439"</f>
        <v>81439</v>
      </c>
      <c r="H7233">
        <v>1</v>
      </c>
      <c r="I7233">
        <v>16</v>
      </c>
      <c r="J7233">
        <v>0</v>
      </c>
      <c r="K7233" t="str">
        <f t="shared" si="1300"/>
        <v>801</v>
      </c>
      <c r="L7233">
        <v>13.44</v>
      </c>
    </row>
    <row r="7234" spans="1:12" x14ac:dyDescent="0.25">
      <c r="A7234" t="str">
        <f t="shared" ref="A7234:A7297" si="1302">"89301000"</f>
        <v>89301000</v>
      </c>
      <c r="B7234" t="str">
        <f t="shared" si="1294"/>
        <v>95202000</v>
      </c>
      <c r="C7234" t="str">
        <f t="shared" si="1298"/>
        <v>95202096</v>
      </c>
      <c r="D7234">
        <v>89301167</v>
      </c>
      <c r="E7234" t="str">
        <f t="shared" si="1301"/>
        <v>6109280386</v>
      </c>
      <c r="F7234" s="1">
        <v>45105</v>
      </c>
      <c r="G7234" t="str">
        <f>"81469"</f>
        <v>81469</v>
      </c>
      <c r="H7234">
        <v>1</v>
      </c>
      <c r="I7234">
        <v>16</v>
      </c>
      <c r="J7234">
        <v>0</v>
      </c>
      <c r="K7234" t="str">
        <f t="shared" si="1300"/>
        <v>801</v>
      </c>
      <c r="L7234">
        <v>13.44</v>
      </c>
    </row>
    <row r="7235" spans="1:12" x14ac:dyDescent="0.25">
      <c r="A7235" t="str">
        <f t="shared" si="1302"/>
        <v>89301000</v>
      </c>
      <c r="B7235" t="str">
        <f t="shared" si="1294"/>
        <v>95202000</v>
      </c>
      <c r="C7235" t="str">
        <f t="shared" si="1298"/>
        <v>95202096</v>
      </c>
      <c r="D7235">
        <v>89301167</v>
      </c>
      <c r="E7235" t="str">
        <f t="shared" si="1301"/>
        <v>6109280386</v>
      </c>
      <c r="F7235" s="1">
        <v>45105</v>
      </c>
      <c r="G7235" t="str">
        <f>"81499"</f>
        <v>81499</v>
      </c>
      <c r="H7235">
        <v>1</v>
      </c>
      <c r="I7235">
        <v>18</v>
      </c>
      <c r="J7235">
        <v>0</v>
      </c>
      <c r="K7235" t="str">
        <f t="shared" si="1300"/>
        <v>801</v>
      </c>
      <c r="L7235">
        <v>15.12</v>
      </c>
    </row>
    <row r="7236" spans="1:12" x14ac:dyDescent="0.25">
      <c r="A7236" t="str">
        <f t="shared" si="1302"/>
        <v>89301000</v>
      </c>
      <c r="B7236" t="str">
        <f t="shared" si="1294"/>
        <v>95202000</v>
      </c>
      <c r="C7236" t="str">
        <f t="shared" si="1298"/>
        <v>95202096</v>
      </c>
      <c r="D7236">
        <v>89301167</v>
      </c>
      <c r="E7236" t="str">
        <f t="shared" si="1301"/>
        <v>6109280386</v>
      </c>
      <c r="F7236" s="1">
        <v>45105</v>
      </c>
      <c r="G7236" t="str">
        <f>"81593"</f>
        <v>81593</v>
      </c>
      <c r="H7236">
        <v>1</v>
      </c>
      <c r="I7236">
        <v>22</v>
      </c>
      <c r="J7236">
        <v>0</v>
      </c>
      <c r="K7236" t="str">
        <f t="shared" si="1300"/>
        <v>801</v>
      </c>
      <c r="L7236">
        <v>18.48</v>
      </c>
    </row>
    <row r="7237" spans="1:12" x14ac:dyDescent="0.25">
      <c r="A7237" t="str">
        <f t="shared" si="1302"/>
        <v>89301000</v>
      </c>
      <c r="B7237" t="str">
        <f t="shared" si="1294"/>
        <v>95202000</v>
      </c>
      <c r="C7237" t="str">
        <f t="shared" si="1298"/>
        <v>95202096</v>
      </c>
      <c r="D7237">
        <v>89301167</v>
      </c>
      <c r="E7237" t="str">
        <f t="shared" si="1301"/>
        <v>6109280386</v>
      </c>
      <c r="F7237" s="1">
        <v>45105</v>
      </c>
      <c r="G7237" t="str">
        <f>"81621"</f>
        <v>81621</v>
      </c>
      <c r="H7237">
        <v>1</v>
      </c>
      <c r="I7237">
        <v>19</v>
      </c>
      <c r="J7237">
        <v>0</v>
      </c>
      <c r="K7237" t="str">
        <f t="shared" si="1300"/>
        <v>801</v>
      </c>
      <c r="L7237">
        <v>15.96</v>
      </c>
    </row>
    <row r="7238" spans="1:12" x14ac:dyDescent="0.25">
      <c r="A7238" t="str">
        <f t="shared" si="1302"/>
        <v>89301000</v>
      </c>
      <c r="B7238" t="str">
        <f t="shared" si="1294"/>
        <v>95202000</v>
      </c>
      <c r="C7238" t="str">
        <f t="shared" si="1298"/>
        <v>95202096</v>
      </c>
      <c r="D7238">
        <v>89301167</v>
      </c>
      <c r="E7238" t="str">
        <f t="shared" si="1301"/>
        <v>6109280386</v>
      </c>
      <c r="F7238" s="1">
        <v>45105</v>
      </c>
      <c r="G7238" t="str">
        <f>"91153"</f>
        <v>91153</v>
      </c>
      <c r="H7238">
        <v>1</v>
      </c>
      <c r="I7238">
        <v>153</v>
      </c>
      <c r="J7238">
        <v>0</v>
      </c>
      <c r="K7238" t="str">
        <f t="shared" si="1300"/>
        <v>801</v>
      </c>
      <c r="L7238">
        <v>128.52000000000001</v>
      </c>
    </row>
    <row r="7239" spans="1:12" x14ac:dyDescent="0.25">
      <c r="A7239" t="str">
        <f t="shared" si="1302"/>
        <v>89301000</v>
      </c>
      <c r="B7239" t="str">
        <f t="shared" si="1294"/>
        <v>95202000</v>
      </c>
      <c r="C7239" t="str">
        <f t="shared" si="1298"/>
        <v>95202096</v>
      </c>
      <c r="D7239">
        <v>89301167</v>
      </c>
      <c r="E7239" t="str">
        <f t="shared" si="1301"/>
        <v>6109280386</v>
      </c>
      <c r="F7239" s="1">
        <v>45105</v>
      </c>
      <c r="G7239" t="str">
        <f>"93189"</f>
        <v>93189</v>
      </c>
      <c r="H7239">
        <v>1</v>
      </c>
      <c r="I7239">
        <v>191</v>
      </c>
      <c r="J7239">
        <v>0</v>
      </c>
      <c r="K7239" t="str">
        <f t="shared" si="1300"/>
        <v>801</v>
      </c>
      <c r="L7239">
        <v>160.44</v>
      </c>
    </row>
    <row r="7240" spans="1:12" x14ac:dyDescent="0.25">
      <c r="A7240" t="str">
        <f t="shared" si="1302"/>
        <v>89301000</v>
      </c>
      <c r="B7240" t="str">
        <f t="shared" si="1294"/>
        <v>95202000</v>
      </c>
      <c r="C7240" t="str">
        <f t="shared" si="1298"/>
        <v>95202096</v>
      </c>
      <c r="D7240">
        <v>89301167</v>
      </c>
      <c r="E7240" t="str">
        <f t="shared" si="1301"/>
        <v>6109280386</v>
      </c>
      <c r="F7240" s="1">
        <v>45105</v>
      </c>
      <c r="G7240" t="str">
        <f>"93195"</f>
        <v>93195</v>
      </c>
      <c r="H7240">
        <v>1</v>
      </c>
      <c r="I7240">
        <v>183</v>
      </c>
      <c r="J7240">
        <v>0</v>
      </c>
      <c r="K7240" t="str">
        <f t="shared" si="1300"/>
        <v>801</v>
      </c>
      <c r="L7240">
        <v>153.72</v>
      </c>
    </row>
    <row r="7241" spans="1:12" x14ac:dyDescent="0.25">
      <c r="A7241" t="str">
        <f t="shared" si="1302"/>
        <v>89301000</v>
      </c>
      <c r="B7241" t="str">
        <f t="shared" si="1294"/>
        <v>95202000</v>
      </c>
      <c r="C7241" t="str">
        <f t="shared" si="1298"/>
        <v>95202096</v>
      </c>
      <c r="D7241">
        <v>89301167</v>
      </c>
      <c r="E7241" t="str">
        <f t="shared" si="1301"/>
        <v>6109280386</v>
      </c>
      <c r="F7241" s="1">
        <v>45105</v>
      </c>
      <c r="G7241" t="str">
        <f>"97111"</f>
        <v>97111</v>
      </c>
      <c r="H7241">
        <v>1</v>
      </c>
      <c r="I7241">
        <v>19</v>
      </c>
      <c r="J7241">
        <v>0</v>
      </c>
      <c r="K7241" t="str">
        <f t="shared" si="1300"/>
        <v>801</v>
      </c>
      <c r="L7241">
        <v>23.94</v>
      </c>
    </row>
    <row r="7242" spans="1:12" x14ac:dyDescent="0.25">
      <c r="A7242" t="str">
        <f t="shared" si="1302"/>
        <v>89301000</v>
      </c>
      <c r="B7242" t="str">
        <f t="shared" ref="B7242:B7262" si="1303">"88805000"</f>
        <v>88805000</v>
      </c>
      <c r="C7242" t="str">
        <f>"88805014"</f>
        <v>88805014</v>
      </c>
      <c r="D7242">
        <v>89301282</v>
      </c>
      <c r="E7242" t="str">
        <f>"9902225718"</f>
        <v>9902225718</v>
      </c>
      <c r="F7242" s="1">
        <v>45071</v>
      </c>
      <c r="G7242" t="str">
        <f>"94221"</f>
        <v>94221</v>
      </c>
      <c r="H7242">
        <v>1</v>
      </c>
      <c r="I7242">
        <v>2467</v>
      </c>
      <c r="J7242">
        <v>0</v>
      </c>
      <c r="K7242" t="str">
        <f>"816"</f>
        <v>816</v>
      </c>
      <c r="L7242">
        <v>2220.3000000000002</v>
      </c>
    </row>
    <row r="7243" spans="1:12" x14ac:dyDescent="0.25">
      <c r="A7243" t="str">
        <f t="shared" si="1302"/>
        <v>89301000</v>
      </c>
      <c r="B7243" t="str">
        <f t="shared" si="1303"/>
        <v>88805000</v>
      </c>
      <c r="C7243" t="str">
        <f>"88805014"</f>
        <v>88805014</v>
      </c>
      <c r="D7243">
        <v>89301282</v>
      </c>
      <c r="E7243" t="str">
        <f>"9902225718"</f>
        <v>9902225718</v>
      </c>
      <c r="F7243" s="1">
        <v>45071</v>
      </c>
      <c r="G7243" t="str">
        <f>"94227"</f>
        <v>94227</v>
      </c>
      <c r="H7243">
        <v>8</v>
      </c>
      <c r="I7243">
        <v>5064</v>
      </c>
      <c r="J7243">
        <v>0</v>
      </c>
      <c r="K7243" t="str">
        <f>"816"</f>
        <v>816</v>
      </c>
      <c r="L7243">
        <v>4557.6000000000004</v>
      </c>
    </row>
    <row r="7244" spans="1:12" x14ac:dyDescent="0.25">
      <c r="A7244" t="str">
        <f t="shared" si="1302"/>
        <v>89301000</v>
      </c>
      <c r="B7244" t="str">
        <f t="shared" si="1303"/>
        <v>88805000</v>
      </c>
      <c r="C7244" t="str">
        <f>"88805014"</f>
        <v>88805014</v>
      </c>
      <c r="D7244">
        <v>89301282</v>
      </c>
      <c r="E7244" t="str">
        <f>"9902225718"</f>
        <v>9902225718</v>
      </c>
      <c r="F7244" s="1">
        <v>45071</v>
      </c>
      <c r="G7244" t="str">
        <f>"94237"</f>
        <v>94237</v>
      </c>
      <c r="H7244">
        <v>1</v>
      </c>
      <c r="I7244">
        <v>3936</v>
      </c>
      <c r="J7244">
        <v>0</v>
      </c>
      <c r="K7244" t="str">
        <f>"816"</f>
        <v>816</v>
      </c>
      <c r="L7244">
        <v>3542.4</v>
      </c>
    </row>
    <row r="7245" spans="1:12" x14ac:dyDescent="0.25">
      <c r="A7245" t="str">
        <f t="shared" si="1302"/>
        <v>89301000</v>
      </c>
      <c r="B7245" t="str">
        <f t="shared" si="1303"/>
        <v>88805000</v>
      </c>
      <c r="C7245" t="str">
        <f>"88805014"</f>
        <v>88805014</v>
      </c>
      <c r="D7245">
        <v>89301282</v>
      </c>
      <c r="E7245" t="str">
        <f>"9902225718"</f>
        <v>9902225718</v>
      </c>
      <c r="F7245" s="1">
        <v>45071</v>
      </c>
      <c r="G7245" t="str">
        <f>"94948"</f>
        <v>94948</v>
      </c>
      <c r="H7245">
        <v>1</v>
      </c>
      <c r="I7245">
        <v>0</v>
      </c>
      <c r="J7245">
        <v>0</v>
      </c>
      <c r="K7245" t="str">
        <f>"816"</f>
        <v>816</v>
      </c>
      <c r="L7245">
        <v>0</v>
      </c>
    </row>
    <row r="7246" spans="1:12" x14ac:dyDescent="0.25">
      <c r="A7246" t="str">
        <f t="shared" si="1302"/>
        <v>89301000</v>
      </c>
      <c r="B7246" t="str">
        <f t="shared" si="1303"/>
        <v>88805000</v>
      </c>
      <c r="C7246" t="str">
        <f t="shared" ref="C7246:C7252" si="1304">"88805001"</f>
        <v>88805001</v>
      </c>
      <c r="D7246">
        <v>89301202</v>
      </c>
      <c r="E7246" t="str">
        <f>"9956105720"</f>
        <v>9956105720</v>
      </c>
      <c r="F7246" s="1">
        <v>45084</v>
      </c>
      <c r="G7246" t="str">
        <f>"81643"</f>
        <v>81643</v>
      </c>
      <c r="H7246">
        <v>1</v>
      </c>
      <c r="I7246">
        <v>104</v>
      </c>
      <c r="J7246">
        <v>0</v>
      </c>
      <c r="K7246" t="str">
        <f t="shared" ref="K7246:K7252" si="1305">"801"</f>
        <v>801</v>
      </c>
      <c r="L7246">
        <v>87.36</v>
      </c>
    </row>
    <row r="7247" spans="1:12" x14ac:dyDescent="0.25">
      <c r="A7247" t="str">
        <f t="shared" si="1302"/>
        <v>89301000</v>
      </c>
      <c r="B7247" t="str">
        <f t="shared" si="1303"/>
        <v>88805000</v>
      </c>
      <c r="C7247" t="str">
        <f t="shared" si="1304"/>
        <v>88805001</v>
      </c>
      <c r="D7247">
        <v>89301167</v>
      </c>
      <c r="E7247" t="str">
        <f>"521204004"</f>
        <v>521204004</v>
      </c>
      <c r="F7247" s="1">
        <v>45089</v>
      </c>
      <c r="G7247" t="str">
        <f>"81237"</f>
        <v>81237</v>
      </c>
      <c r="H7247">
        <v>1</v>
      </c>
      <c r="I7247">
        <v>991</v>
      </c>
      <c r="J7247">
        <v>0</v>
      </c>
      <c r="K7247" t="str">
        <f t="shared" si="1305"/>
        <v>801</v>
      </c>
      <c r="L7247">
        <v>832.44</v>
      </c>
    </row>
    <row r="7248" spans="1:12" x14ac:dyDescent="0.25">
      <c r="A7248" t="str">
        <f t="shared" si="1302"/>
        <v>89301000</v>
      </c>
      <c r="B7248" t="str">
        <f t="shared" si="1303"/>
        <v>88805000</v>
      </c>
      <c r="C7248" t="str">
        <f t="shared" si="1304"/>
        <v>88805001</v>
      </c>
      <c r="D7248">
        <v>89301167</v>
      </c>
      <c r="E7248" t="str">
        <f>"521204004"</f>
        <v>521204004</v>
      </c>
      <c r="F7248" s="1">
        <v>45089</v>
      </c>
      <c r="G7248" t="str">
        <f>"93135"</f>
        <v>93135</v>
      </c>
      <c r="H7248">
        <v>1</v>
      </c>
      <c r="I7248">
        <v>303</v>
      </c>
      <c r="J7248">
        <v>0</v>
      </c>
      <c r="K7248" t="str">
        <f t="shared" si="1305"/>
        <v>801</v>
      </c>
      <c r="L7248">
        <v>254.52</v>
      </c>
    </row>
    <row r="7249" spans="1:12" x14ac:dyDescent="0.25">
      <c r="A7249" t="str">
        <f t="shared" si="1302"/>
        <v>89301000</v>
      </c>
      <c r="B7249" t="str">
        <f t="shared" si="1303"/>
        <v>88805000</v>
      </c>
      <c r="C7249" t="str">
        <f t="shared" si="1304"/>
        <v>88805001</v>
      </c>
      <c r="D7249">
        <v>89301167</v>
      </c>
      <c r="E7249" t="str">
        <f>"521204004"</f>
        <v>521204004</v>
      </c>
      <c r="F7249" s="1">
        <v>45089</v>
      </c>
      <c r="G7249" t="str">
        <f>"97111"</f>
        <v>97111</v>
      </c>
      <c r="H7249">
        <v>1</v>
      </c>
      <c r="I7249">
        <v>19</v>
      </c>
      <c r="J7249">
        <v>0</v>
      </c>
      <c r="K7249" t="str">
        <f t="shared" si="1305"/>
        <v>801</v>
      </c>
      <c r="L7249">
        <v>23.94</v>
      </c>
    </row>
    <row r="7250" spans="1:12" x14ac:dyDescent="0.25">
      <c r="A7250" t="str">
        <f t="shared" si="1302"/>
        <v>89301000</v>
      </c>
      <c r="B7250" t="str">
        <f t="shared" si="1303"/>
        <v>88805000</v>
      </c>
      <c r="C7250" t="str">
        <f t="shared" si="1304"/>
        <v>88805001</v>
      </c>
      <c r="D7250">
        <v>89301167</v>
      </c>
      <c r="E7250" t="str">
        <f>"6056171154"</f>
        <v>6056171154</v>
      </c>
      <c r="F7250" s="1">
        <v>45082</v>
      </c>
      <c r="G7250" t="str">
        <f>"97111"</f>
        <v>97111</v>
      </c>
      <c r="H7250">
        <v>1</v>
      </c>
      <c r="I7250">
        <v>19</v>
      </c>
      <c r="J7250">
        <v>0</v>
      </c>
      <c r="K7250" t="str">
        <f t="shared" si="1305"/>
        <v>801</v>
      </c>
      <c r="L7250">
        <v>23.94</v>
      </c>
    </row>
    <row r="7251" spans="1:12" x14ac:dyDescent="0.25">
      <c r="A7251" t="str">
        <f t="shared" si="1302"/>
        <v>89301000</v>
      </c>
      <c r="B7251" t="str">
        <f t="shared" si="1303"/>
        <v>88805000</v>
      </c>
      <c r="C7251" t="str">
        <f t="shared" si="1304"/>
        <v>88805001</v>
      </c>
      <c r="D7251">
        <v>89301167</v>
      </c>
      <c r="E7251" t="str">
        <f>"6056171154"</f>
        <v>6056171154</v>
      </c>
      <c r="F7251" s="1">
        <v>45082</v>
      </c>
      <c r="G7251" t="str">
        <f>"81365"</f>
        <v>81365</v>
      </c>
      <c r="H7251">
        <v>1</v>
      </c>
      <c r="I7251">
        <v>16</v>
      </c>
      <c r="J7251">
        <v>0</v>
      </c>
      <c r="K7251" t="str">
        <f t="shared" si="1305"/>
        <v>801</v>
      </c>
      <c r="L7251">
        <v>13.44</v>
      </c>
    </row>
    <row r="7252" spans="1:12" x14ac:dyDescent="0.25">
      <c r="A7252" t="str">
        <f t="shared" si="1302"/>
        <v>89301000</v>
      </c>
      <c r="B7252" t="str">
        <f t="shared" si="1303"/>
        <v>88805000</v>
      </c>
      <c r="C7252" t="str">
        <f t="shared" si="1304"/>
        <v>88805001</v>
      </c>
      <c r="D7252">
        <v>89301202</v>
      </c>
      <c r="E7252" t="str">
        <f>"9956105720"</f>
        <v>9956105720</v>
      </c>
      <c r="F7252" s="1">
        <v>45084</v>
      </c>
      <c r="G7252" t="str">
        <f>"97111"</f>
        <v>97111</v>
      </c>
      <c r="H7252">
        <v>1</v>
      </c>
      <c r="I7252">
        <v>19</v>
      </c>
      <c r="J7252">
        <v>0</v>
      </c>
      <c r="K7252" t="str">
        <f t="shared" si="1305"/>
        <v>801</v>
      </c>
      <c r="L7252">
        <v>23.94</v>
      </c>
    </row>
    <row r="7253" spans="1:12" x14ac:dyDescent="0.25">
      <c r="A7253" t="str">
        <f t="shared" si="1302"/>
        <v>89301000</v>
      </c>
      <c r="B7253" t="str">
        <f t="shared" si="1303"/>
        <v>88805000</v>
      </c>
      <c r="C7253" t="str">
        <f t="shared" ref="C7253:C7262" si="1306">"88805014"</f>
        <v>88805014</v>
      </c>
      <c r="D7253">
        <v>89301282</v>
      </c>
      <c r="E7253" t="str">
        <f>"0107245303"</f>
        <v>0107245303</v>
      </c>
      <c r="F7253" s="1">
        <v>45100</v>
      </c>
      <c r="G7253" t="str">
        <f>"94982"</f>
        <v>94982</v>
      </c>
      <c r="H7253">
        <v>1</v>
      </c>
      <c r="I7253">
        <v>0</v>
      </c>
      <c r="J7253">
        <v>27500</v>
      </c>
      <c r="K7253" t="str">
        <f t="shared" ref="K7253:K7267" si="1307">"816"</f>
        <v>816</v>
      </c>
      <c r="L7253">
        <v>27500</v>
      </c>
    </row>
    <row r="7254" spans="1:12" x14ac:dyDescent="0.25">
      <c r="A7254" t="str">
        <f t="shared" si="1302"/>
        <v>89301000</v>
      </c>
      <c r="B7254" t="str">
        <f t="shared" si="1303"/>
        <v>88805000</v>
      </c>
      <c r="C7254" t="str">
        <f t="shared" si="1306"/>
        <v>88805014</v>
      </c>
      <c r="D7254">
        <v>89301282</v>
      </c>
      <c r="E7254" t="str">
        <f>"0107245303"</f>
        <v>0107245303</v>
      </c>
      <c r="F7254" s="1">
        <v>45100</v>
      </c>
      <c r="G7254" t="str">
        <f>"94996"</f>
        <v>94996</v>
      </c>
      <c r="H7254">
        <v>1</v>
      </c>
      <c r="I7254">
        <v>0</v>
      </c>
      <c r="J7254">
        <v>0</v>
      </c>
      <c r="K7254" t="str">
        <f t="shared" si="1307"/>
        <v>816</v>
      </c>
      <c r="L7254">
        <v>0</v>
      </c>
    </row>
    <row r="7255" spans="1:12" x14ac:dyDescent="0.25">
      <c r="A7255" t="str">
        <f t="shared" si="1302"/>
        <v>89301000</v>
      </c>
      <c r="B7255" t="str">
        <f t="shared" si="1303"/>
        <v>88805000</v>
      </c>
      <c r="C7255" t="str">
        <f t="shared" si="1306"/>
        <v>88805014</v>
      </c>
      <c r="D7255">
        <v>89301282</v>
      </c>
      <c r="E7255" t="str">
        <f>"9662095718"</f>
        <v>9662095718</v>
      </c>
      <c r="F7255" s="1">
        <v>45086</v>
      </c>
      <c r="G7255" t="str">
        <f>"94982"</f>
        <v>94982</v>
      </c>
      <c r="H7255">
        <v>1</v>
      </c>
      <c r="I7255">
        <v>0</v>
      </c>
      <c r="J7255">
        <v>27500</v>
      </c>
      <c r="K7255" t="str">
        <f t="shared" si="1307"/>
        <v>816</v>
      </c>
      <c r="L7255">
        <v>27500</v>
      </c>
    </row>
    <row r="7256" spans="1:12" x14ac:dyDescent="0.25">
      <c r="A7256" t="str">
        <f t="shared" si="1302"/>
        <v>89301000</v>
      </c>
      <c r="B7256" t="str">
        <f t="shared" si="1303"/>
        <v>88805000</v>
      </c>
      <c r="C7256" t="str">
        <f t="shared" si="1306"/>
        <v>88805014</v>
      </c>
      <c r="D7256">
        <v>89301282</v>
      </c>
      <c r="E7256" t="str">
        <f>"9662095718"</f>
        <v>9662095718</v>
      </c>
      <c r="F7256" s="1">
        <v>45086</v>
      </c>
      <c r="G7256" t="str">
        <f>"94996"</f>
        <v>94996</v>
      </c>
      <c r="H7256">
        <v>1</v>
      </c>
      <c r="I7256">
        <v>0</v>
      </c>
      <c r="J7256">
        <v>0</v>
      </c>
      <c r="K7256" t="str">
        <f t="shared" si="1307"/>
        <v>816</v>
      </c>
      <c r="L7256">
        <v>0</v>
      </c>
    </row>
    <row r="7257" spans="1:12" x14ac:dyDescent="0.25">
      <c r="A7257" t="str">
        <f t="shared" si="1302"/>
        <v>89301000</v>
      </c>
      <c r="B7257" t="str">
        <f t="shared" si="1303"/>
        <v>88805000</v>
      </c>
      <c r="C7257" t="str">
        <f t="shared" si="1306"/>
        <v>88805014</v>
      </c>
      <c r="D7257">
        <v>89301282</v>
      </c>
      <c r="E7257" t="str">
        <f>"8660235210"</f>
        <v>8660235210</v>
      </c>
      <c r="F7257" s="1">
        <v>45090</v>
      </c>
      <c r="G7257" t="str">
        <f>"94982"</f>
        <v>94982</v>
      </c>
      <c r="H7257">
        <v>1</v>
      </c>
      <c r="I7257">
        <v>0</v>
      </c>
      <c r="J7257">
        <v>27500</v>
      </c>
      <c r="K7257" t="str">
        <f t="shared" si="1307"/>
        <v>816</v>
      </c>
      <c r="L7257">
        <v>27500</v>
      </c>
    </row>
    <row r="7258" spans="1:12" x14ac:dyDescent="0.25">
      <c r="A7258" t="str">
        <f t="shared" si="1302"/>
        <v>89301000</v>
      </c>
      <c r="B7258" t="str">
        <f t="shared" si="1303"/>
        <v>88805000</v>
      </c>
      <c r="C7258" t="str">
        <f t="shared" si="1306"/>
        <v>88805014</v>
      </c>
      <c r="D7258">
        <v>89301282</v>
      </c>
      <c r="E7258" t="str">
        <f>"8660235210"</f>
        <v>8660235210</v>
      </c>
      <c r="F7258" s="1">
        <v>45090</v>
      </c>
      <c r="G7258" t="str">
        <f>"94996"</f>
        <v>94996</v>
      </c>
      <c r="H7258">
        <v>1</v>
      </c>
      <c r="I7258">
        <v>0</v>
      </c>
      <c r="J7258">
        <v>0</v>
      </c>
      <c r="K7258" t="str">
        <f t="shared" si="1307"/>
        <v>816</v>
      </c>
      <c r="L7258">
        <v>0</v>
      </c>
    </row>
    <row r="7259" spans="1:12" x14ac:dyDescent="0.25">
      <c r="A7259" t="str">
        <f t="shared" si="1302"/>
        <v>89301000</v>
      </c>
      <c r="B7259" t="str">
        <f t="shared" si="1303"/>
        <v>88805000</v>
      </c>
      <c r="C7259" t="str">
        <f t="shared" si="1306"/>
        <v>88805014</v>
      </c>
      <c r="D7259">
        <v>89301282</v>
      </c>
      <c r="E7259" t="str">
        <f>"6806270273"</f>
        <v>6806270273</v>
      </c>
      <c r="F7259" s="1">
        <v>45097</v>
      </c>
      <c r="G7259" t="str">
        <f>"94982"</f>
        <v>94982</v>
      </c>
      <c r="H7259">
        <v>1</v>
      </c>
      <c r="I7259">
        <v>0</v>
      </c>
      <c r="J7259">
        <v>27500</v>
      </c>
      <c r="K7259" t="str">
        <f t="shared" si="1307"/>
        <v>816</v>
      </c>
      <c r="L7259">
        <v>27500</v>
      </c>
    </row>
    <row r="7260" spans="1:12" x14ac:dyDescent="0.25">
      <c r="A7260" t="str">
        <f t="shared" si="1302"/>
        <v>89301000</v>
      </c>
      <c r="B7260" t="str">
        <f t="shared" si="1303"/>
        <v>88805000</v>
      </c>
      <c r="C7260" t="str">
        <f t="shared" si="1306"/>
        <v>88805014</v>
      </c>
      <c r="D7260">
        <v>89301282</v>
      </c>
      <c r="E7260" t="str">
        <f>"6806270273"</f>
        <v>6806270273</v>
      </c>
      <c r="F7260" s="1">
        <v>45097</v>
      </c>
      <c r="G7260" t="str">
        <f>"94996"</f>
        <v>94996</v>
      </c>
      <c r="H7260">
        <v>1</v>
      </c>
      <c r="I7260">
        <v>0</v>
      </c>
      <c r="J7260">
        <v>0</v>
      </c>
      <c r="K7260" t="str">
        <f t="shared" si="1307"/>
        <v>816</v>
      </c>
      <c r="L7260">
        <v>0</v>
      </c>
    </row>
    <row r="7261" spans="1:12" x14ac:dyDescent="0.25">
      <c r="A7261" t="str">
        <f t="shared" si="1302"/>
        <v>89301000</v>
      </c>
      <c r="B7261" t="str">
        <f t="shared" si="1303"/>
        <v>88805000</v>
      </c>
      <c r="C7261" t="str">
        <f t="shared" si="1306"/>
        <v>88805014</v>
      </c>
      <c r="D7261">
        <v>89301282</v>
      </c>
      <c r="E7261" t="str">
        <f>"9353106147"</f>
        <v>9353106147</v>
      </c>
      <c r="F7261" s="1">
        <v>45104</v>
      </c>
      <c r="G7261" t="str">
        <f>"94982"</f>
        <v>94982</v>
      </c>
      <c r="H7261">
        <v>1</v>
      </c>
      <c r="I7261">
        <v>0</v>
      </c>
      <c r="J7261">
        <v>27500</v>
      </c>
      <c r="K7261" t="str">
        <f t="shared" si="1307"/>
        <v>816</v>
      </c>
      <c r="L7261">
        <v>27500</v>
      </c>
    </row>
    <row r="7262" spans="1:12" x14ac:dyDescent="0.25">
      <c r="A7262" t="str">
        <f t="shared" si="1302"/>
        <v>89301000</v>
      </c>
      <c r="B7262" t="str">
        <f t="shared" si="1303"/>
        <v>88805000</v>
      </c>
      <c r="C7262" t="str">
        <f t="shared" si="1306"/>
        <v>88805014</v>
      </c>
      <c r="D7262">
        <v>89301282</v>
      </c>
      <c r="E7262" t="str">
        <f>"9353106147"</f>
        <v>9353106147</v>
      </c>
      <c r="F7262" s="1">
        <v>45104</v>
      </c>
      <c r="G7262" t="str">
        <f>"94996"</f>
        <v>94996</v>
      </c>
      <c r="H7262">
        <v>1</v>
      </c>
      <c r="I7262">
        <v>0</v>
      </c>
      <c r="J7262">
        <v>0</v>
      </c>
      <c r="K7262" t="str">
        <f t="shared" si="1307"/>
        <v>816</v>
      </c>
      <c r="L7262">
        <v>0</v>
      </c>
    </row>
    <row r="7263" spans="1:12" x14ac:dyDescent="0.25">
      <c r="A7263" t="str">
        <f t="shared" si="1302"/>
        <v>89301000</v>
      </c>
      <c r="B7263" t="str">
        <f t="shared" ref="B7263:B7295" si="1308">"02004000"</f>
        <v>02004000</v>
      </c>
      <c r="C7263" t="str">
        <f>"02004153"</f>
        <v>02004153</v>
      </c>
      <c r="D7263">
        <v>89301282</v>
      </c>
      <c r="E7263" t="str">
        <f>"9904055711"</f>
        <v>9904055711</v>
      </c>
      <c r="F7263" s="1">
        <v>45075</v>
      </c>
      <c r="G7263" t="str">
        <f>"94996"</f>
        <v>94996</v>
      </c>
      <c r="H7263">
        <v>1</v>
      </c>
      <c r="I7263">
        <v>0</v>
      </c>
      <c r="J7263">
        <v>0</v>
      </c>
      <c r="K7263" t="str">
        <f t="shared" si="1307"/>
        <v>816</v>
      </c>
      <c r="L7263">
        <v>0</v>
      </c>
    </row>
    <row r="7264" spans="1:12" x14ac:dyDescent="0.25">
      <c r="A7264" t="str">
        <f t="shared" si="1302"/>
        <v>89301000</v>
      </c>
      <c r="B7264" t="str">
        <f t="shared" si="1308"/>
        <v>02004000</v>
      </c>
      <c r="C7264" t="str">
        <f>"02004153"</f>
        <v>02004153</v>
      </c>
      <c r="D7264">
        <v>89301282</v>
      </c>
      <c r="E7264" t="str">
        <f>"9904055711"</f>
        <v>9904055711</v>
      </c>
      <c r="F7264" s="1">
        <v>45075</v>
      </c>
      <c r="G7264" t="str">
        <f>"94983"</f>
        <v>94983</v>
      </c>
      <c r="H7264">
        <v>1</v>
      </c>
      <c r="I7264">
        <v>0</v>
      </c>
      <c r="J7264">
        <v>39600</v>
      </c>
      <c r="K7264" t="str">
        <f t="shared" si="1307"/>
        <v>816</v>
      </c>
      <c r="L7264">
        <v>39600</v>
      </c>
    </row>
    <row r="7265" spans="1:12" x14ac:dyDescent="0.25">
      <c r="A7265" t="str">
        <f t="shared" si="1302"/>
        <v>89301000</v>
      </c>
      <c r="B7265" t="str">
        <f t="shared" si="1308"/>
        <v>02004000</v>
      </c>
      <c r="C7265" t="str">
        <f>"02004153"</f>
        <v>02004153</v>
      </c>
      <c r="D7265">
        <v>89301282</v>
      </c>
      <c r="E7265" t="str">
        <f>"6251311011"</f>
        <v>6251311011</v>
      </c>
      <c r="F7265" s="1">
        <v>45064</v>
      </c>
      <c r="G7265" t="str">
        <f>"94221"</f>
        <v>94221</v>
      </c>
      <c r="H7265">
        <v>9</v>
      </c>
      <c r="I7265">
        <v>22203</v>
      </c>
      <c r="J7265">
        <v>0</v>
      </c>
      <c r="K7265" t="str">
        <f t="shared" si="1307"/>
        <v>816</v>
      </c>
      <c r="L7265">
        <v>19982.7</v>
      </c>
    </row>
    <row r="7266" spans="1:12" x14ac:dyDescent="0.25">
      <c r="A7266" t="str">
        <f t="shared" si="1302"/>
        <v>89301000</v>
      </c>
      <c r="B7266" t="str">
        <f t="shared" si="1308"/>
        <v>02004000</v>
      </c>
      <c r="C7266" t="str">
        <f>"02004153"</f>
        <v>02004153</v>
      </c>
      <c r="D7266">
        <v>89301282</v>
      </c>
      <c r="E7266" t="str">
        <f>"6251311011"</f>
        <v>6251311011</v>
      </c>
      <c r="F7266" s="1">
        <v>45064</v>
      </c>
      <c r="G7266" t="str">
        <f>"94221"</f>
        <v>94221</v>
      </c>
      <c r="H7266">
        <v>9</v>
      </c>
      <c r="I7266">
        <v>22203</v>
      </c>
      <c r="J7266">
        <v>0</v>
      </c>
      <c r="K7266" t="str">
        <f t="shared" si="1307"/>
        <v>816</v>
      </c>
      <c r="L7266">
        <v>19982.7</v>
      </c>
    </row>
    <row r="7267" spans="1:12" x14ac:dyDescent="0.25">
      <c r="A7267" t="str">
        <f t="shared" si="1302"/>
        <v>89301000</v>
      </c>
      <c r="B7267" t="str">
        <f t="shared" si="1308"/>
        <v>02004000</v>
      </c>
      <c r="C7267" t="str">
        <f>"02004153"</f>
        <v>02004153</v>
      </c>
      <c r="D7267">
        <v>89301282</v>
      </c>
      <c r="E7267" t="str">
        <f>"6251311011"</f>
        <v>6251311011</v>
      </c>
      <c r="F7267" s="1">
        <v>45064</v>
      </c>
      <c r="G7267" t="str">
        <f>"94221"</f>
        <v>94221</v>
      </c>
      <c r="H7267">
        <v>4</v>
      </c>
      <c r="I7267">
        <v>9868</v>
      </c>
      <c r="J7267">
        <v>0</v>
      </c>
      <c r="K7267" t="str">
        <f t="shared" si="1307"/>
        <v>816</v>
      </c>
      <c r="L7267">
        <v>8881.2000000000007</v>
      </c>
    </row>
    <row r="7268" spans="1:12" x14ac:dyDescent="0.25">
      <c r="A7268" t="str">
        <f t="shared" si="1302"/>
        <v>89301000</v>
      </c>
      <c r="B7268" t="str">
        <f t="shared" si="1308"/>
        <v>02004000</v>
      </c>
      <c r="C7268" t="str">
        <f t="shared" ref="C7268:C7295" si="1309">"02004556"</f>
        <v>02004556</v>
      </c>
      <c r="D7268">
        <v>89301702</v>
      </c>
      <c r="E7268" t="str">
        <f>"1754070054"</f>
        <v>1754070054</v>
      </c>
      <c r="F7268" s="1">
        <v>45071</v>
      </c>
      <c r="G7268" t="str">
        <f>"91249"</f>
        <v>91249</v>
      </c>
      <c r="H7268">
        <v>1</v>
      </c>
      <c r="I7268">
        <v>1495</v>
      </c>
      <c r="J7268">
        <v>0</v>
      </c>
      <c r="K7268" t="str">
        <f t="shared" ref="K7268:K7295" si="1310">"813"</f>
        <v>813</v>
      </c>
      <c r="L7268">
        <v>1255.8</v>
      </c>
    </row>
    <row r="7269" spans="1:12" x14ac:dyDescent="0.25">
      <c r="A7269" t="str">
        <f t="shared" si="1302"/>
        <v>89301000</v>
      </c>
      <c r="B7269" t="str">
        <f t="shared" si="1308"/>
        <v>02004000</v>
      </c>
      <c r="C7269" t="str">
        <f t="shared" si="1309"/>
        <v>02004556</v>
      </c>
      <c r="D7269">
        <v>89301702</v>
      </c>
      <c r="E7269" t="str">
        <f>"1754070054"</f>
        <v>1754070054</v>
      </c>
      <c r="F7269" s="1">
        <v>45071</v>
      </c>
      <c r="G7269" t="str">
        <f>"91251"</f>
        <v>91251</v>
      </c>
      <c r="H7269">
        <v>1</v>
      </c>
      <c r="I7269">
        <v>1495</v>
      </c>
      <c r="J7269">
        <v>0</v>
      </c>
      <c r="K7269" t="str">
        <f t="shared" si="1310"/>
        <v>813</v>
      </c>
      <c r="L7269">
        <v>1255.8</v>
      </c>
    </row>
    <row r="7270" spans="1:12" x14ac:dyDescent="0.25">
      <c r="A7270" t="str">
        <f t="shared" si="1302"/>
        <v>89301000</v>
      </c>
      <c r="B7270" t="str">
        <f t="shared" si="1308"/>
        <v>02004000</v>
      </c>
      <c r="C7270" t="str">
        <f t="shared" si="1309"/>
        <v>02004556</v>
      </c>
      <c r="D7270">
        <v>89301702</v>
      </c>
      <c r="E7270" t="str">
        <f>"0859053261"</f>
        <v>0859053261</v>
      </c>
      <c r="F7270" s="1">
        <v>45075</v>
      </c>
      <c r="G7270" t="str">
        <f>"91249"</f>
        <v>91249</v>
      </c>
      <c r="H7270">
        <v>1</v>
      </c>
      <c r="I7270">
        <v>1495</v>
      </c>
      <c r="J7270">
        <v>0</v>
      </c>
      <c r="K7270" t="str">
        <f t="shared" si="1310"/>
        <v>813</v>
      </c>
      <c r="L7270">
        <v>1255.8</v>
      </c>
    </row>
    <row r="7271" spans="1:12" x14ac:dyDescent="0.25">
      <c r="A7271" t="str">
        <f t="shared" si="1302"/>
        <v>89301000</v>
      </c>
      <c r="B7271" t="str">
        <f t="shared" si="1308"/>
        <v>02004000</v>
      </c>
      <c r="C7271" t="str">
        <f t="shared" si="1309"/>
        <v>02004556</v>
      </c>
      <c r="D7271">
        <v>89301702</v>
      </c>
      <c r="E7271" t="str">
        <f>"0859053261"</f>
        <v>0859053261</v>
      </c>
      <c r="F7271" s="1">
        <v>45075</v>
      </c>
      <c r="G7271" t="str">
        <f>"91251"</f>
        <v>91251</v>
      </c>
      <c r="H7271">
        <v>1</v>
      </c>
      <c r="I7271">
        <v>1495</v>
      </c>
      <c r="J7271">
        <v>0</v>
      </c>
      <c r="K7271" t="str">
        <f t="shared" si="1310"/>
        <v>813</v>
      </c>
      <c r="L7271">
        <v>1255.8</v>
      </c>
    </row>
    <row r="7272" spans="1:12" x14ac:dyDescent="0.25">
      <c r="A7272" t="str">
        <f t="shared" si="1302"/>
        <v>89301000</v>
      </c>
      <c r="B7272" t="str">
        <f t="shared" si="1308"/>
        <v>02004000</v>
      </c>
      <c r="C7272" t="str">
        <f t="shared" si="1309"/>
        <v>02004556</v>
      </c>
      <c r="D7272">
        <v>89301102</v>
      </c>
      <c r="E7272" t="str">
        <f>"0554043248"</f>
        <v>0554043248</v>
      </c>
      <c r="F7272" s="1">
        <v>45061</v>
      </c>
      <c r="G7272" t="str">
        <f>"91249"</f>
        <v>91249</v>
      </c>
      <c r="H7272">
        <v>1</v>
      </c>
      <c r="I7272">
        <v>1495</v>
      </c>
      <c r="J7272">
        <v>0</v>
      </c>
      <c r="K7272" t="str">
        <f t="shared" si="1310"/>
        <v>813</v>
      </c>
      <c r="L7272">
        <v>1255.8</v>
      </c>
    </row>
    <row r="7273" spans="1:12" x14ac:dyDescent="0.25">
      <c r="A7273" t="str">
        <f t="shared" si="1302"/>
        <v>89301000</v>
      </c>
      <c r="B7273" t="str">
        <f t="shared" si="1308"/>
        <v>02004000</v>
      </c>
      <c r="C7273" t="str">
        <f t="shared" si="1309"/>
        <v>02004556</v>
      </c>
      <c r="D7273">
        <v>89301102</v>
      </c>
      <c r="E7273" t="str">
        <f>"0554043248"</f>
        <v>0554043248</v>
      </c>
      <c r="F7273" s="1">
        <v>45061</v>
      </c>
      <c r="G7273" t="str">
        <f>"91251"</f>
        <v>91251</v>
      </c>
      <c r="H7273">
        <v>1</v>
      </c>
      <c r="I7273">
        <v>1495</v>
      </c>
      <c r="J7273">
        <v>0</v>
      </c>
      <c r="K7273" t="str">
        <f t="shared" si="1310"/>
        <v>813</v>
      </c>
      <c r="L7273">
        <v>1255.8</v>
      </c>
    </row>
    <row r="7274" spans="1:12" x14ac:dyDescent="0.25">
      <c r="A7274" t="str">
        <f t="shared" si="1302"/>
        <v>89301000</v>
      </c>
      <c r="B7274" t="str">
        <f t="shared" si="1308"/>
        <v>02004000</v>
      </c>
      <c r="C7274" t="str">
        <f t="shared" si="1309"/>
        <v>02004556</v>
      </c>
      <c r="D7274">
        <v>89301102</v>
      </c>
      <c r="E7274" t="str">
        <f>"0859053261"</f>
        <v>0859053261</v>
      </c>
      <c r="F7274" s="1">
        <v>45058</v>
      </c>
      <c r="G7274" t="str">
        <f>"91249"</f>
        <v>91249</v>
      </c>
      <c r="H7274">
        <v>1</v>
      </c>
      <c r="I7274">
        <v>1495</v>
      </c>
      <c r="J7274">
        <v>0</v>
      </c>
      <c r="K7274" t="str">
        <f t="shared" si="1310"/>
        <v>813</v>
      </c>
      <c r="L7274">
        <v>1255.8</v>
      </c>
    </row>
    <row r="7275" spans="1:12" x14ac:dyDescent="0.25">
      <c r="A7275" t="str">
        <f t="shared" si="1302"/>
        <v>89301000</v>
      </c>
      <c r="B7275" t="str">
        <f t="shared" si="1308"/>
        <v>02004000</v>
      </c>
      <c r="C7275" t="str">
        <f t="shared" si="1309"/>
        <v>02004556</v>
      </c>
      <c r="D7275">
        <v>89301102</v>
      </c>
      <c r="E7275" t="str">
        <f>"0859053261"</f>
        <v>0859053261</v>
      </c>
      <c r="F7275" s="1">
        <v>45058</v>
      </c>
      <c r="G7275" t="str">
        <f>"91251"</f>
        <v>91251</v>
      </c>
      <c r="H7275">
        <v>1</v>
      </c>
      <c r="I7275">
        <v>1495</v>
      </c>
      <c r="J7275">
        <v>0</v>
      </c>
      <c r="K7275" t="str">
        <f t="shared" si="1310"/>
        <v>813</v>
      </c>
      <c r="L7275">
        <v>1255.8</v>
      </c>
    </row>
    <row r="7276" spans="1:12" x14ac:dyDescent="0.25">
      <c r="A7276" t="str">
        <f t="shared" si="1302"/>
        <v>89301000</v>
      </c>
      <c r="B7276" t="str">
        <f t="shared" si="1308"/>
        <v>02004000</v>
      </c>
      <c r="C7276" t="str">
        <f t="shared" si="1309"/>
        <v>02004556</v>
      </c>
      <c r="D7276">
        <v>89301702</v>
      </c>
      <c r="E7276" t="str">
        <f>"0410225343"</f>
        <v>0410225343</v>
      </c>
      <c r="F7276" s="1">
        <v>45071</v>
      </c>
      <c r="G7276" t="str">
        <f>"91249"</f>
        <v>91249</v>
      </c>
      <c r="H7276">
        <v>1</v>
      </c>
      <c r="I7276">
        <v>1495</v>
      </c>
      <c r="J7276">
        <v>0</v>
      </c>
      <c r="K7276" t="str">
        <f t="shared" si="1310"/>
        <v>813</v>
      </c>
      <c r="L7276">
        <v>1255.8</v>
      </c>
    </row>
    <row r="7277" spans="1:12" x14ac:dyDescent="0.25">
      <c r="A7277" t="str">
        <f t="shared" si="1302"/>
        <v>89301000</v>
      </c>
      <c r="B7277" t="str">
        <f t="shared" si="1308"/>
        <v>02004000</v>
      </c>
      <c r="C7277" t="str">
        <f t="shared" si="1309"/>
        <v>02004556</v>
      </c>
      <c r="D7277">
        <v>89301702</v>
      </c>
      <c r="E7277" t="str">
        <f>"0410225343"</f>
        <v>0410225343</v>
      </c>
      <c r="F7277" s="1">
        <v>45071</v>
      </c>
      <c r="G7277" t="str">
        <f>"91251"</f>
        <v>91251</v>
      </c>
      <c r="H7277">
        <v>1</v>
      </c>
      <c r="I7277">
        <v>1495</v>
      </c>
      <c r="J7277">
        <v>0</v>
      </c>
      <c r="K7277" t="str">
        <f t="shared" si="1310"/>
        <v>813</v>
      </c>
      <c r="L7277">
        <v>1255.8</v>
      </c>
    </row>
    <row r="7278" spans="1:12" x14ac:dyDescent="0.25">
      <c r="A7278" t="str">
        <f t="shared" si="1302"/>
        <v>89301000</v>
      </c>
      <c r="B7278" t="str">
        <f t="shared" si="1308"/>
        <v>02004000</v>
      </c>
      <c r="C7278" t="str">
        <f t="shared" si="1309"/>
        <v>02004556</v>
      </c>
      <c r="D7278">
        <v>89301702</v>
      </c>
      <c r="E7278" t="str">
        <f>"0606161380"</f>
        <v>0606161380</v>
      </c>
      <c r="F7278" s="1">
        <v>45076</v>
      </c>
      <c r="G7278" t="str">
        <f>"91249"</f>
        <v>91249</v>
      </c>
      <c r="H7278">
        <v>1</v>
      </c>
      <c r="I7278">
        <v>1495</v>
      </c>
      <c r="J7278">
        <v>0</v>
      </c>
      <c r="K7278" t="str">
        <f t="shared" si="1310"/>
        <v>813</v>
      </c>
      <c r="L7278">
        <v>1255.8</v>
      </c>
    </row>
    <row r="7279" spans="1:12" x14ac:dyDescent="0.25">
      <c r="A7279" t="str">
        <f t="shared" si="1302"/>
        <v>89301000</v>
      </c>
      <c r="B7279" t="str">
        <f t="shared" si="1308"/>
        <v>02004000</v>
      </c>
      <c r="C7279" t="str">
        <f t="shared" si="1309"/>
        <v>02004556</v>
      </c>
      <c r="D7279">
        <v>89301702</v>
      </c>
      <c r="E7279" t="str">
        <f>"0606161380"</f>
        <v>0606161380</v>
      </c>
      <c r="F7279" s="1">
        <v>45076</v>
      </c>
      <c r="G7279" t="str">
        <f>"91251"</f>
        <v>91251</v>
      </c>
      <c r="H7279">
        <v>1</v>
      </c>
      <c r="I7279">
        <v>1495</v>
      </c>
      <c r="J7279">
        <v>0</v>
      </c>
      <c r="K7279" t="str">
        <f t="shared" si="1310"/>
        <v>813</v>
      </c>
      <c r="L7279">
        <v>1255.8</v>
      </c>
    </row>
    <row r="7280" spans="1:12" x14ac:dyDescent="0.25">
      <c r="A7280" t="str">
        <f t="shared" si="1302"/>
        <v>89301000</v>
      </c>
      <c r="B7280" t="str">
        <f t="shared" si="1308"/>
        <v>02004000</v>
      </c>
      <c r="C7280" t="str">
        <f t="shared" si="1309"/>
        <v>02004556</v>
      </c>
      <c r="D7280">
        <v>89301702</v>
      </c>
      <c r="E7280" t="str">
        <f>"0658303239"</f>
        <v>0658303239</v>
      </c>
      <c r="F7280" s="1">
        <v>45075</v>
      </c>
      <c r="G7280" t="str">
        <f>"91249"</f>
        <v>91249</v>
      </c>
      <c r="H7280">
        <v>1</v>
      </c>
      <c r="I7280">
        <v>1495</v>
      </c>
      <c r="J7280">
        <v>0</v>
      </c>
      <c r="K7280" t="str">
        <f t="shared" si="1310"/>
        <v>813</v>
      </c>
      <c r="L7280">
        <v>1255.8</v>
      </c>
    </row>
    <row r="7281" spans="1:12" x14ac:dyDescent="0.25">
      <c r="A7281" t="str">
        <f t="shared" si="1302"/>
        <v>89301000</v>
      </c>
      <c r="B7281" t="str">
        <f t="shared" si="1308"/>
        <v>02004000</v>
      </c>
      <c r="C7281" t="str">
        <f t="shared" si="1309"/>
        <v>02004556</v>
      </c>
      <c r="D7281">
        <v>89301702</v>
      </c>
      <c r="E7281" t="str">
        <f>"0658303239"</f>
        <v>0658303239</v>
      </c>
      <c r="F7281" s="1">
        <v>45075</v>
      </c>
      <c r="G7281" t="str">
        <f>"91251"</f>
        <v>91251</v>
      </c>
      <c r="H7281">
        <v>1</v>
      </c>
      <c r="I7281">
        <v>1495</v>
      </c>
      <c r="J7281">
        <v>0</v>
      </c>
      <c r="K7281" t="str">
        <f t="shared" si="1310"/>
        <v>813</v>
      </c>
      <c r="L7281">
        <v>1255.8</v>
      </c>
    </row>
    <row r="7282" spans="1:12" x14ac:dyDescent="0.25">
      <c r="A7282" t="str">
        <f t="shared" si="1302"/>
        <v>89301000</v>
      </c>
      <c r="B7282" t="str">
        <f t="shared" si="1308"/>
        <v>02004000</v>
      </c>
      <c r="C7282" t="str">
        <f t="shared" si="1309"/>
        <v>02004556</v>
      </c>
      <c r="D7282">
        <v>89301028</v>
      </c>
      <c r="E7282" t="str">
        <f>"9005145699"</f>
        <v>9005145699</v>
      </c>
      <c r="F7282" s="1">
        <v>45076</v>
      </c>
      <c r="G7282" t="str">
        <f>"91249"</f>
        <v>91249</v>
      </c>
      <c r="H7282">
        <v>1</v>
      </c>
      <c r="I7282">
        <v>1495</v>
      </c>
      <c r="J7282">
        <v>0</v>
      </c>
      <c r="K7282" t="str">
        <f t="shared" si="1310"/>
        <v>813</v>
      </c>
      <c r="L7282">
        <v>1255.8</v>
      </c>
    </row>
    <row r="7283" spans="1:12" x14ac:dyDescent="0.25">
      <c r="A7283" t="str">
        <f t="shared" si="1302"/>
        <v>89301000</v>
      </c>
      <c r="B7283" t="str">
        <f t="shared" si="1308"/>
        <v>02004000</v>
      </c>
      <c r="C7283" t="str">
        <f t="shared" si="1309"/>
        <v>02004556</v>
      </c>
      <c r="D7283">
        <v>89301028</v>
      </c>
      <c r="E7283" t="str">
        <f>"9005145699"</f>
        <v>9005145699</v>
      </c>
      <c r="F7283" s="1">
        <v>45076</v>
      </c>
      <c r="G7283" t="str">
        <f>"91251"</f>
        <v>91251</v>
      </c>
      <c r="H7283">
        <v>1</v>
      </c>
      <c r="I7283">
        <v>1495</v>
      </c>
      <c r="J7283">
        <v>0</v>
      </c>
      <c r="K7283" t="str">
        <f t="shared" si="1310"/>
        <v>813</v>
      </c>
      <c r="L7283">
        <v>1255.8</v>
      </c>
    </row>
    <row r="7284" spans="1:12" x14ac:dyDescent="0.25">
      <c r="A7284" t="str">
        <f t="shared" si="1302"/>
        <v>89301000</v>
      </c>
      <c r="B7284" t="str">
        <f t="shared" si="1308"/>
        <v>02004000</v>
      </c>
      <c r="C7284" t="str">
        <f t="shared" si="1309"/>
        <v>02004556</v>
      </c>
      <c r="D7284">
        <v>89301702</v>
      </c>
      <c r="E7284" t="str">
        <f>"0706231383"</f>
        <v>0706231383</v>
      </c>
      <c r="F7284" s="1">
        <v>45079</v>
      </c>
      <c r="G7284" t="str">
        <f>"91249"</f>
        <v>91249</v>
      </c>
      <c r="H7284">
        <v>1</v>
      </c>
      <c r="I7284">
        <v>1495</v>
      </c>
      <c r="J7284">
        <v>0</v>
      </c>
      <c r="K7284" t="str">
        <f t="shared" si="1310"/>
        <v>813</v>
      </c>
      <c r="L7284">
        <v>1255.8</v>
      </c>
    </row>
    <row r="7285" spans="1:12" x14ac:dyDescent="0.25">
      <c r="A7285" t="str">
        <f t="shared" si="1302"/>
        <v>89301000</v>
      </c>
      <c r="B7285" t="str">
        <f t="shared" si="1308"/>
        <v>02004000</v>
      </c>
      <c r="C7285" t="str">
        <f t="shared" si="1309"/>
        <v>02004556</v>
      </c>
      <c r="D7285">
        <v>89301702</v>
      </c>
      <c r="E7285" t="str">
        <f>"0706231383"</f>
        <v>0706231383</v>
      </c>
      <c r="F7285" s="1">
        <v>45079</v>
      </c>
      <c r="G7285" t="str">
        <f>"91251"</f>
        <v>91251</v>
      </c>
      <c r="H7285">
        <v>1</v>
      </c>
      <c r="I7285">
        <v>1495</v>
      </c>
      <c r="J7285">
        <v>0</v>
      </c>
      <c r="K7285" t="str">
        <f t="shared" si="1310"/>
        <v>813</v>
      </c>
      <c r="L7285">
        <v>1255.8</v>
      </c>
    </row>
    <row r="7286" spans="1:12" x14ac:dyDescent="0.25">
      <c r="A7286" t="str">
        <f t="shared" si="1302"/>
        <v>89301000</v>
      </c>
      <c r="B7286" t="str">
        <f t="shared" si="1308"/>
        <v>02004000</v>
      </c>
      <c r="C7286" t="str">
        <f t="shared" si="1309"/>
        <v>02004556</v>
      </c>
      <c r="D7286">
        <v>89301028</v>
      </c>
      <c r="E7286" t="str">
        <f>"8512266213"</f>
        <v>8512266213</v>
      </c>
      <c r="F7286" s="1">
        <v>45091</v>
      </c>
      <c r="G7286" t="str">
        <f>"91249"</f>
        <v>91249</v>
      </c>
      <c r="H7286">
        <v>1</v>
      </c>
      <c r="I7286">
        <v>1495</v>
      </c>
      <c r="J7286">
        <v>0</v>
      </c>
      <c r="K7286" t="str">
        <f t="shared" si="1310"/>
        <v>813</v>
      </c>
      <c r="L7286">
        <v>1255.8</v>
      </c>
    </row>
    <row r="7287" spans="1:12" x14ac:dyDescent="0.25">
      <c r="A7287" t="str">
        <f t="shared" si="1302"/>
        <v>89301000</v>
      </c>
      <c r="B7287" t="str">
        <f t="shared" si="1308"/>
        <v>02004000</v>
      </c>
      <c r="C7287" t="str">
        <f t="shared" si="1309"/>
        <v>02004556</v>
      </c>
      <c r="D7287">
        <v>89301028</v>
      </c>
      <c r="E7287" t="str">
        <f>"8512266213"</f>
        <v>8512266213</v>
      </c>
      <c r="F7287" s="1">
        <v>45091</v>
      </c>
      <c r="G7287" t="str">
        <f>"91251"</f>
        <v>91251</v>
      </c>
      <c r="H7287">
        <v>1</v>
      </c>
      <c r="I7287">
        <v>1495</v>
      </c>
      <c r="J7287">
        <v>0</v>
      </c>
      <c r="K7287" t="str">
        <f t="shared" si="1310"/>
        <v>813</v>
      </c>
      <c r="L7287">
        <v>1255.8</v>
      </c>
    </row>
    <row r="7288" spans="1:12" x14ac:dyDescent="0.25">
      <c r="A7288" t="str">
        <f t="shared" si="1302"/>
        <v>89301000</v>
      </c>
      <c r="B7288" t="str">
        <f t="shared" si="1308"/>
        <v>02004000</v>
      </c>
      <c r="C7288" t="str">
        <f t="shared" si="1309"/>
        <v>02004556</v>
      </c>
      <c r="D7288">
        <v>89301102</v>
      </c>
      <c r="E7288" t="str">
        <f>"0705263240"</f>
        <v>0705263240</v>
      </c>
      <c r="F7288" s="1">
        <v>45099</v>
      </c>
      <c r="G7288" t="str">
        <f>"91249"</f>
        <v>91249</v>
      </c>
      <c r="H7288">
        <v>1</v>
      </c>
      <c r="I7288">
        <v>1495</v>
      </c>
      <c r="J7288">
        <v>0</v>
      </c>
      <c r="K7288" t="str">
        <f t="shared" si="1310"/>
        <v>813</v>
      </c>
      <c r="L7288">
        <v>1255.8</v>
      </c>
    </row>
    <row r="7289" spans="1:12" x14ac:dyDescent="0.25">
      <c r="A7289" t="str">
        <f t="shared" si="1302"/>
        <v>89301000</v>
      </c>
      <c r="B7289" t="str">
        <f t="shared" si="1308"/>
        <v>02004000</v>
      </c>
      <c r="C7289" t="str">
        <f t="shared" si="1309"/>
        <v>02004556</v>
      </c>
      <c r="D7289">
        <v>89301102</v>
      </c>
      <c r="E7289" t="str">
        <f>"0705263240"</f>
        <v>0705263240</v>
      </c>
      <c r="F7289" s="1">
        <v>45099</v>
      </c>
      <c r="G7289" t="str">
        <f>"91251"</f>
        <v>91251</v>
      </c>
      <c r="H7289">
        <v>1</v>
      </c>
      <c r="I7289">
        <v>1495</v>
      </c>
      <c r="J7289">
        <v>0</v>
      </c>
      <c r="K7289" t="str">
        <f t="shared" si="1310"/>
        <v>813</v>
      </c>
      <c r="L7289">
        <v>1255.8</v>
      </c>
    </row>
    <row r="7290" spans="1:12" x14ac:dyDescent="0.25">
      <c r="A7290" t="str">
        <f t="shared" si="1302"/>
        <v>89301000</v>
      </c>
      <c r="B7290" t="str">
        <f t="shared" si="1308"/>
        <v>02004000</v>
      </c>
      <c r="C7290" t="str">
        <f t="shared" si="1309"/>
        <v>02004556</v>
      </c>
      <c r="D7290">
        <v>89301702</v>
      </c>
      <c r="E7290" t="str">
        <f>"0707116157"</f>
        <v>0707116157</v>
      </c>
      <c r="F7290" s="1">
        <v>45089</v>
      </c>
      <c r="G7290" t="str">
        <f>"91249"</f>
        <v>91249</v>
      </c>
      <c r="H7290">
        <v>1</v>
      </c>
      <c r="I7290">
        <v>1495</v>
      </c>
      <c r="J7290">
        <v>0</v>
      </c>
      <c r="K7290" t="str">
        <f t="shared" si="1310"/>
        <v>813</v>
      </c>
      <c r="L7290">
        <v>1255.8</v>
      </c>
    </row>
    <row r="7291" spans="1:12" x14ac:dyDescent="0.25">
      <c r="A7291" t="str">
        <f t="shared" si="1302"/>
        <v>89301000</v>
      </c>
      <c r="B7291" t="str">
        <f t="shared" si="1308"/>
        <v>02004000</v>
      </c>
      <c r="C7291" t="str">
        <f t="shared" si="1309"/>
        <v>02004556</v>
      </c>
      <c r="D7291">
        <v>89301702</v>
      </c>
      <c r="E7291" t="str">
        <f>"0707116157"</f>
        <v>0707116157</v>
      </c>
      <c r="F7291" s="1">
        <v>45089</v>
      </c>
      <c r="G7291" t="str">
        <f>"91251"</f>
        <v>91251</v>
      </c>
      <c r="H7291">
        <v>1</v>
      </c>
      <c r="I7291">
        <v>1495</v>
      </c>
      <c r="J7291">
        <v>0</v>
      </c>
      <c r="K7291" t="str">
        <f t="shared" si="1310"/>
        <v>813</v>
      </c>
      <c r="L7291">
        <v>1255.8</v>
      </c>
    </row>
    <row r="7292" spans="1:12" x14ac:dyDescent="0.25">
      <c r="A7292" t="str">
        <f t="shared" si="1302"/>
        <v>89301000</v>
      </c>
      <c r="B7292" t="str">
        <f t="shared" si="1308"/>
        <v>02004000</v>
      </c>
      <c r="C7292" t="str">
        <f t="shared" si="1309"/>
        <v>02004556</v>
      </c>
      <c r="D7292">
        <v>89301702</v>
      </c>
      <c r="E7292" t="str">
        <f>"0959263250"</f>
        <v>0959263250</v>
      </c>
      <c r="F7292" s="1">
        <v>45083</v>
      </c>
      <c r="G7292" t="str">
        <f>"91249"</f>
        <v>91249</v>
      </c>
      <c r="H7292">
        <v>1</v>
      </c>
      <c r="I7292">
        <v>1495</v>
      </c>
      <c r="J7292">
        <v>0</v>
      </c>
      <c r="K7292" t="str">
        <f t="shared" si="1310"/>
        <v>813</v>
      </c>
      <c r="L7292">
        <v>1255.8</v>
      </c>
    </row>
    <row r="7293" spans="1:12" x14ac:dyDescent="0.25">
      <c r="A7293" t="str">
        <f t="shared" si="1302"/>
        <v>89301000</v>
      </c>
      <c r="B7293" t="str">
        <f t="shared" si="1308"/>
        <v>02004000</v>
      </c>
      <c r="C7293" t="str">
        <f t="shared" si="1309"/>
        <v>02004556</v>
      </c>
      <c r="D7293">
        <v>89301702</v>
      </c>
      <c r="E7293" t="str">
        <f>"0959263250"</f>
        <v>0959263250</v>
      </c>
      <c r="F7293" s="1">
        <v>45083</v>
      </c>
      <c r="G7293" t="str">
        <f>"91251"</f>
        <v>91251</v>
      </c>
      <c r="H7293">
        <v>1</v>
      </c>
      <c r="I7293">
        <v>1495</v>
      </c>
      <c r="J7293">
        <v>0</v>
      </c>
      <c r="K7293" t="str">
        <f t="shared" si="1310"/>
        <v>813</v>
      </c>
      <c r="L7293">
        <v>1255.8</v>
      </c>
    </row>
    <row r="7294" spans="1:12" x14ac:dyDescent="0.25">
      <c r="A7294" t="str">
        <f t="shared" si="1302"/>
        <v>89301000</v>
      </c>
      <c r="B7294" t="str">
        <f t="shared" si="1308"/>
        <v>02004000</v>
      </c>
      <c r="C7294" t="str">
        <f t="shared" si="1309"/>
        <v>02004556</v>
      </c>
      <c r="D7294">
        <v>89301028</v>
      </c>
      <c r="E7294" t="str">
        <f>"7905165323"</f>
        <v>7905165323</v>
      </c>
      <c r="F7294" s="1">
        <v>45099</v>
      </c>
      <c r="G7294" t="str">
        <f>"91249"</f>
        <v>91249</v>
      </c>
      <c r="H7294">
        <v>1</v>
      </c>
      <c r="I7294">
        <v>1495</v>
      </c>
      <c r="J7294">
        <v>0</v>
      </c>
      <c r="K7294" t="str">
        <f t="shared" si="1310"/>
        <v>813</v>
      </c>
      <c r="L7294">
        <v>1255.8</v>
      </c>
    </row>
    <row r="7295" spans="1:12" x14ac:dyDescent="0.25">
      <c r="A7295" t="str">
        <f t="shared" si="1302"/>
        <v>89301000</v>
      </c>
      <c r="B7295" t="str">
        <f t="shared" si="1308"/>
        <v>02004000</v>
      </c>
      <c r="C7295" t="str">
        <f t="shared" si="1309"/>
        <v>02004556</v>
      </c>
      <c r="D7295">
        <v>89301028</v>
      </c>
      <c r="E7295" t="str">
        <f>"7905165323"</f>
        <v>7905165323</v>
      </c>
      <c r="F7295" s="1">
        <v>45099</v>
      </c>
      <c r="G7295" t="str">
        <f>"91251"</f>
        <v>91251</v>
      </c>
      <c r="H7295">
        <v>1</v>
      </c>
      <c r="I7295">
        <v>1495</v>
      </c>
      <c r="J7295">
        <v>0</v>
      </c>
      <c r="K7295" t="str">
        <f t="shared" si="1310"/>
        <v>813</v>
      </c>
      <c r="L7295">
        <v>1255.8</v>
      </c>
    </row>
    <row r="7296" spans="1:12" x14ac:dyDescent="0.25">
      <c r="A7296" t="str">
        <f t="shared" si="1302"/>
        <v>89301000</v>
      </c>
      <c r="B7296" t="str">
        <f>"72100000"</f>
        <v>72100000</v>
      </c>
      <c r="C7296" t="str">
        <f>"72100632"</f>
        <v>72100632</v>
      </c>
      <c r="D7296">
        <v>89301282</v>
      </c>
      <c r="E7296" t="str">
        <f>"1211291026"</f>
        <v>1211291026</v>
      </c>
      <c r="F7296" s="1">
        <v>44936</v>
      </c>
      <c r="G7296" t="str">
        <f>"94221"</f>
        <v>94221</v>
      </c>
      <c r="H7296">
        <v>1</v>
      </c>
      <c r="I7296">
        <v>2467</v>
      </c>
      <c r="J7296">
        <v>0</v>
      </c>
      <c r="K7296" t="str">
        <f>"816"</f>
        <v>816</v>
      </c>
      <c r="L7296">
        <v>2220.3000000000002</v>
      </c>
    </row>
    <row r="7297" spans="1:12" x14ac:dyDescent="0.25">
      <c r="A7297" t="str">
        <f t="shared" si="1302"/>
        <v>89301000</v>
      </c>
      <c r="B7297" t="str">
        <f>"72100000"</f>
        <v>72100000</v>
      </c>
      <c r="C7297" t="str">
        <f>"72100632"</f>
        <v>72100632</v>
      </c>
      <c r="D7297">
        <v>89301282</v>
      </c>
      <c r="E7297" t="str">
        <f>"7703165371"</f>
        <v>7703165371</v>
      </c>
      <c r="F7297" s="1">
        <v>44939</v>
      </c>
      <c r="G7297" t="str">
        <f>"94982"</f>
        <v>94982</v>
      </c>
      <c r="H7297">
        <v>1</v>
      </c>
      <c r="I7297">
        <v>0</v>
      </c>
      <c r="J7297">
        <v>27500</v>
      </c>
      <c r="K7297" t="str">
        <f>"816"</f>
        <v>816</v>
      </c>
      <c r="L7297">
        <v>27500</v>
      </c>
    </row>
    <row r="7298" spans="1:12" x14ac:dyDescent="0.25">
      <c r="A7298" t="str">
        <f t="shared" ref="A7298:A7361" si="1311">"89301000"</f>
        <v>89301000</v>
      </c>
      <c r="B7298" t="str">
        <f>"72100000"</f>
        <v>72100000</v>
      </c>
      <c r="C7298" t="str">
        <f>"72100632"</f>
        <v>72100632</v>
      </c>
      <c r="D7298">
        <v>89301282</v>
      </c>
      <c r="E7298" t="str">
        <f>"7703165371"</f>
        <v>7703165371</v>
      </c>
      <c r="F7298" s="1">
        <v>44939</v>
      </c>
      <c r="G7298" t="str">
        <f>"94996"</f>
        <v>94996</v>
      </c>
      <c r="H7298">
        <v>1</v>
      </c>
      <c r="I7298">
        <v>0</v>
      </c>
      <c r="J7298">
        <v>0</v>
      </c>
      <c r="K7298" t="str">
        <f>"816"</f>
        <v>816</v>
      </c>
      <c r="L7298">
        <v>0</v>
      </c>
    </row>
    <row r="7299" spans="1:12" x14ac:dyDescent="0.25">
      <c r="A7299" t="str">
        <f t="shared" si="1311"/>
        <v>89301000</v>
      </c>
      <c r="B7299" t="str">
        <f>"72100000"</f>
        <v>72100000</v>
      </c>
      <c r="C7299" t="str">
        <f>"72100632"</f>
        <v>72100632</v>
      </c>
      <c r="D7299">
        <v>89301282</v>
      </c>
      <c r="E7299" t="str">
        <f>"5756090131"</f>
        <v>5756090131</v>
      </c>
      <c r="F7299" s="1">
        <v>45078</v>
      </c>
      <c r="G7299" t="str">
        <f>"94982"</f>
        <v>94982</v>
      </c>
      <c r="H7299">
        <v>1</v>
      </c>
      <c r="I7299">
        <v>0</v>
      </c>
      <c r="J7299">
        <v>27500</v>
      </c>
      <c r="K7299" t="str">
        <f>"816"</f>
        <v>816</v>
      </c>
      <c r="L7299">
        <v>27500</v>
      </c>
    </row>
    <row r="7300" spans="1:12" x14ac:dyDescent="0.25">
      <c r="A7300" t="str">
        <f t="shared" si="1311"/>
        <v>89301000</v>
      </c>
      <c r="B7300" t="str">
        <f>"72100000"</f>
        <v>72100000</v>
      </c>
      <c r="C7300" t="str">
        <f>"72100632"</f>
        <v>72100632</v>
      </c>
      <c r="D7300">
        <v>89301282</v>
      </c>
      <c r="E7300" t="str">
        <f>"5756090131"</f>
        <v>5756090131</v>
      </c>
      <c r="F7300" s="1">
        <v>45078</v>
      </c>
      <c r="G7300" t="str">
        <f>"94996"</f>
        <v>94996</v>
      </c>
      <c r="H7300">
        <v>1</v>
      </c>
      <c r="I7300">
        <v>0</v>
      </c>
      <c r="J7300">
        <v>0</v>
      </c>
      <c r="K7300" t="str">
        <f>"816"</f>
        <v>816</v>
      </c>
      <c r="L7300">
        <v>0</v>
      </c>
    </row>
    <row r="7301" spans="1:12" x14ac:dyDescent="0.25">
      <c r="A7301" t="str">
        <f t="shared" si="1311"/>
        <v>89301000</v>
      </c>
      <c r="B7301" t="str">
        <f t="shared" ref="B7301:B7342" si="1312">"93201000"</f>
        <v>93201000</v>
      </c>
      <c r="C7301" t="str">
        <f t="shared" ref="C7301:C7339" si="1313">"93201250"</f>
        <v>93201250</v>
      </c>
      <c r="D7301">
        <v>89301167</v>
      </c>
      <c r="E7301" t="str">
        <f t="shared" ref="E7301:E7317" si="1314">"7657065790"</f>
        <v>7657065790</v>
      </c>
      <c r="F7301" s="1">
        <v>45079</v>
      </c>
      <c r="G7301" t="str">
        <f>"97111"</f>
        <v>97111</v>
      </c>
      <c r="H7301">
        <v>1</v>
      </c>
      <c r="I7301">
        <v>19</v>
      </c>
      <c r="J7301">
        <v>0</v>
      </c>
      <c r="K7301" t="str">
        <f t="shared" ref="K7301:K7339" si="1315">"801"</f>
        <v>801</v>
      </c>
      <c r="L7301">
        <v>23.94</v>
      </c>
    </row>
    <row r="7302" spans="1:12" x14ac:dyDescent="0.25">
      <c r="A7302" t="str">
        <f t="shared" si="1311"/>
        <v>89301000</v>
      </c>
      <c r="B7302" t="str">
        <f t="shared" si="1312"/>
        <v>93201000</v>
      </c>
      <c r="C7302" t="str">
        <f t="shared" si="1313"/>
        <v>93201250</v>
      </c>
      <c r="D7302">
        <v>89301167</v>
      </c>
      <c r="E7302" t="str">
        <f t="shared" si="1314"/>
        <v>7657065790</v>
      </c>
      <c r="F7302" s="1">
        <v>45079</v>
      </c>
      <c r="G7302" t="str">
        <f>"81421"</f>
        <v>81421</v>
      </c>
      <c r="H7302">
        <v>1</v>
      </c>
      <c r="I7302">
        <v>19</v>
      </c>
      <c r="J7302">
        <v>0</v>
      </c>
      <c r="K7302" t="str">
        <f t="shared" si="1315"/>
        <v>801</v>
      </c>
      <c r="L7302">
        <v>15.96</v>
      </c>
    </row>
    <row r="7303" spans="1:12" x14ac:dyDescent="0.25">
      <c r="A7303" t="str">
        <f t="shared" si="1311"/>
        <v>89301000</v>
      </c>
      <c r="B7303" t="str">
        <f t="shared" si="1312"/>
        <v>93201000</v>
      </c>
      <c r="C7303" t="str">
        <f t="shared" si="1313"/>
        <v>93201250</v>
      </c>
      <c r="D7303">
        <v>89301167</v>
      </c>
      <c r="E7303" t="str">
        <f t="shared" si="1314"/>
        <v>7657065790</v>
      </c>
      <c r="F7303" s="1">
        <v>45079</v>
      </c>
      <c r="G7303" t="str">
        <f>"81337"</f>
        <v>81337</v>
      </c>
      <c r="H7303">
        <v>1</v>
      </c>
      <c r="I7303">
        <v>20</v>
      </c>
      <c r="J7303">
        <v>0</v>
      </c>
      <c r="K7303" t="str">
        <f t="shared" si="1315"/>
        <v>801</v>
      </c>
      <c r="L7303">
        <v>16.8</v>
      </c>
    </row>
    <row r="7304" spans="1:12" x14ac:dyDescent="0.25">
      <c r="A7304" t="str">
        <f t="shared" si="1311"/>
        <v>89301000</v>
      </c>
      <c r="B7304" t="str">
        <f t="shared" si="1312"/>
        <v>93201000</v>
      </c>
      <c r="C7304" t="str">
        <f t="shared" si="1313"/>
        <v>93201250</v>
      </c>
      <c r="D7304">
        <v>89301167</v>
      </c>
      <c r="E7304" t="str">
        <f t="shared" si="1314"/>
        <v>7657065790</v>
      </c>
      <c r="F7304" s="1">
        <v>45079</v>
      </c>
      <c r="G7304" t="str">
        <f>"81357"</f>
        <v>81357</v>
      </c>
      <c r="H7304">
        <v>1</v>
      </c>
      <c r="I7304">
        <v>20</v>
      </c>
      <c r="J7304">
        <v>0</v>
      </c>
      <c r="K7304" t="str">
        <f t="shared" si="1315"/>
        <v>801</v>
      </c>
      <c r="L7304">
        <v>16.8</v>
      </c>
    </row>
    <row r="7305" spans="1:12" x14ac:dyDescent="0.25">
      <c r="A7305" t="str">
        <f t="shared" si="1311"/>
        <v>89301000</v>
      </c>
      <c r="B7305" t="str">
        <f t="shared" si="1312"/>
        <v>93201000</v>
      </c>
      <c r="C7305" t="str">
        <f t="shared" si="1313"/>
        <v>93201250</v>
      </c>
      <c r="D7305">
        <v>89301167</v>
      </c>
      <c r="E7305" t="str">
        <f t="shared" si="1314"/>
        <v>7657065790</v>
      </c>
      <c r="F7305" s="1">
        <v>45079</v>
      </c>
      <c r="G7305" t="str">
        <f>"81469"</f>
        <v>81469</v>
      </c>
      <c r="H7305">
        <v>1</v>
      </c>
      <c r="I7305">
        <v>16</v>
      </c>
      <c r="J7305">
        <v>0</v>
      </c>
      <c r="K7305" t="str">
        <f t="shared" si="1315"/>
        <v>801</v>
      </c>
      <c r="L7305">
        <v>13.44</v>
      </c>
    </row>
    <row r="7306" spans="1:12" x14ac:dyDescent="0.25">
      <c r="A7306" t="str">
        <f t="shared" si="1311"/>
        <v>89301000</v>
      </c>
      <c r="B7306" t="str">
        <f t="shared" si="1312"/>
        <v>93201000</v>
      </c>
      <c r="C7306" t="str">
        <f t="shared" si="1313"/>
        <v>93201250</v>
      </c>
      <c r="D7306">
        <v>89301167</v>
      </c>
      <c r="E7306" t="str">
        <f t="shared" si="1314"/>
        <v>7657065790</v>
      </c>
      <c r="F7306" s="1">
        <v>45079</v>
      </c>
      <c r="G7306" t="str">
        <f>"81439"</f>
        <v>81439</v>
      </c>
      <c r="H7306">
        <v>1</v>
      </c>
      <c r="I7306">
        <v>16</v>
      </c>
      <c r="J7306">
        <v>0</v>
      </c>
      <c r="K7306" t="str">
        <f t="shared" si="1315"/>
        <v>801</v>
      </c>
      <c r="L7306">
        <v>13.44</v>
      </c>
    </row>
    <row r="7307" spans="1:12" x14ac:dyDescent="0.25">
      <c r="A7307" t="str">
        <f t="shared" si="1311"/>
        <v>89301000</v>
      </c>
      <c r="B7307" t="str">
        <f t="shared" si="1312"/>
        <v>93201000</v>
      </c>
      <c r="C7307" t="str">
        <f t="shared" si="1313"/>
        <v>93201250</v>
      </c>
      <c r="D7307">
        <v>89301167</v>
      </c>
      <c r="E7307" t="str">
        <f t="shared" si="1314"/>
        <v>7657065790</v>
      </c>
      <c r="F7307" s="1">
        <v>45079</v>
      </c>
      <c r="G7307" t="str">
        <f>"81435"</f>
        <v>81435</v>
      </c>
      <c r="H7307">
        <v>1</v>
      </c>
      <c r="I7307">
        <v>22</v>
      </c>
      <c r="J7307">
        <v>0</v>
      </c>
      <c r="K7307" t="str">
        <f t="shared" si="1315"/>
        <v>801</v>
      </c>
      <c r="L7307">
        <v>18.48</v>
      </c>
    </row>
    <row r="7308" spans="1:12" x14ac:dyDescent="0.25">
      <c r="A7308" t="str">
        <f t="shared" si="1311"/>
        <v>89301000</v>
      </c>
      <c r="B7308" t="str">
        <f t="shared" si="1312"/>
        <v>93201000</v>
      </c>
      <c r="C7308" t="str">
        <f t="shared" si="1313"/>
        <v>93201250</v>
      </c>
      <c r="D7308">
        <v>89301167</v>
      </c>
      <c r="E7308" t="str">
        <f t="shared" si="1314"/>
        <v>7657065790</v>
      </c>
      <c r="F7308" s="1">
        <v>45079</v>
      </c>
      <c r="G7308" t="str">
        <f>"81393"</f>
        <v>81393</v>
      </c>
      <c r="H7308">
        <v>1</v>
      </c>
      <c r="I7308">
        <v>24</v>
      </c>
      <c r="J7308">
        <v>0</v>
      </c>
      <c r="K7308" t="str">
        <f t="shared" si="1315"/>
        <v>801</v>
      </c>
      <c r="L7308">
        <v>20.16</v>
      </c>
    </row>
    <row r="7309" spans="1:12" x14ac:dyDescent="0.25">
      <c r="A7309" t="str">
        <f t="shared" si="1311"/>
        <v>89301000</v>
      </c>
      <c r="B7309" t="str">
        <f t="shared" si="1312"/>
        <v>93201000</v>
      </c>
      <c r="C7309" t="str">
        <f t="shared" si="1313"/>
        <v>93201250</v>
      </c>
      <c r="D7309">
        <v>89301167</v>
      </c>
      <c r="E7309" t="str">
        <f t="shared" si="1314"/>
        <v>7657065790</v>
      </c>
      <c r="F7309" s="1">
        <v>45079</v>
      </c>
      <c r="G7309" t="str">
        <f>"81499"</f>
        <v>81499</v>
      </c>
      <c r="H7309">
        <v>1</v>
      </c>
      <c r="I7309">
        <v>18</v>
      </c>
      <c r="J7309">
        <v>0</v>
      </c>
      <c r="K7309" t="str">
        <f t="shared" si="1315"/>
        <v>801</v>
      </c>
      <c r="L7309">
        <v>15.12</v>
      </c>
    </row>
    <row r="7310" spans="1:12" x14ac:dyDescent="0.25">
      <c r="A7310" t="str">
        <f t="shared" si="1311"/>
        <v>89301000</v>
      </c>
      <c r="B7310" t="str">
        <f t="shared" si="1312"/>
        <v>93201000</v>
      </c>
      <c r="C7310" t="str">
        <f t="shared" si="1313"/>
        <v>93201250</v>
      </c>
      <c r="D7310">
        <v>89301167</v>
      </c>
      <c r="E7310" t="str">
        <f t="shared" si="1314"/>
        <v>7657065790</v>
      </c>
      <c r="F7310" s="1">
        <v>45079</v>
      </c>
      <c r="G7310" t="str">
        <f>"81593"</f>
        <v>81593</v>
      </c>
      <c r="H7310">
        <v>1</v>
      </c>
      <c r="I7310">
        <v>22</v>
      </c>
      <c r="J7310">
        <v>0</v>
      </c>
      <c r="K7310" t="str">
        <f t="shared" si="1315"/>
        <v>801</v>
      </c>
      <c r="L7310">
        <v>18.48</v>
      </c>
    </row>
    <row r="7311" spans="1:12" x14ac:dyDescent="0.25">
      <c r="A7311" t="str">
        <f t="shared" si="1311"/>
        <v>89301000</v>
      </c>
      <c r="B7311" t="str">
        <f t="shared" si="1312"/>
        <v>93201000</v>
      </c>
      <c r="C7311" t="str">
        <f t="shared" si="1313"/>
        <v>93201250</v>
      </c>
      <c r="D7311">
        <v>89301167</v>
      </c>
      <c r="E7311" t="str">
        <f t="shared" si="1314"/>
        <v>7657065790</v>
      </c>
      <c r="F7311" s="1">
        <v>45079</v>
      </c>
      <c r="G7311" t="str">
        <f>"81621"</f>
        <v>81621</v>
      </c>
      <c r="H7311">
        <v>1</v>
      </c>
      <c r="I7311">
        <v>19</v>
      </c>
      <c r="J7311">
        <v>0</v>
      </c>
      <c r="K7311" t="str">
        <f t="shared" si="1315"/>
        <v>801</v>
      </c>
      <c r="L7311">
        <v>15.96</v>
      </c>
    </row>
    <row r="7312" spans="1:12" x14ac:dyDescent="0.25">
      <c r="A7312" t="str">
        <f t="shared" si="1311"/>
        <v>89301000</v>
      </c>
      <c r="B7312" t="str">
        <f t="shared" si="1312"/>
        <v>93201000</v>
      </c>
      <c r="C7312" t="str">
        <f t="shared" si="1313"/>
        <v>93201250</v>
      </c>
      <c r="D7312">
        <v>89301167</v>
      </c>
      <c r="E7312" t="str">
        <f t="shared" si="1314"/>
        <v>7657065790</v>
      </c>
      <c r="F7312" s="1">
        <v>45079</v>
      </c>
      <c r="G7312" t="str">
        <f>"81329"</f>
        <v>81329</v>
      </c>
      <c r="H7312">
        <v>1</v>
      </c>
      <c r="I7312">
        <v>17</v>
      </c>
      <c r="J7312">
        <v>0</v>
      </c>
      <c r="K7312" t="str">
        <f t="shared" si="1315"/>
        <v>801</v>
      </c>
      <c r="L7312">
        <v>14.28</v>
      </c>
    </row>
    <row r="7313" spans="1:12" x14ac:dyDescent="0.25">
      <c r="A7313" t="str">
        <f t="shared" si="1311"/>
        <v>89301000</v>
      </c>
      <c r="B7313" t="str">
        <f t="shared" si="1312"/>
        <v>93201000</v>
      </c>
      <c r="C7313" t="str">
        <f t="shared" si="1313"/>
        <v>93201250</v>
      </c>
      <c r="D7313">
        <v>89301167</v>
      </c>
      <c r="E7313" t="str">
        <f t="shared" si="1314"/>
        <v>7657065790</v>
      </c>
      <c r="F7313" s="1">
        <v>45079</v>
      </c>
      <c r="G7313" t="str">
        <f>"81249"</f>
        <v>81249</v>
      </c>
      <c r="H7313">
        <v>1</v>
      </c>
      <c r="I7313">
        <v>334</v>
      </c>
      <c r="J7313">
        <v>0</v>
      </c>
      <c r="K7313" t="str">
        <f t="shared" si="1315"/>
        <v>801</v>
      </c>
      <c r="L7313">
        <v>280.56</v>
      </c>
    </row>
    <row r="7314" spans="1:12" x14ac:dyDescent="0.25">
      <c r="A7314" t="str">
        <f t="shared" si="1311"/>
        <v>89301000</v>
      </c>
      <c r="B7314" t="str">
        <f t="shared" si="1312"/>
        <v>93201000</v>
      </c>
      <c r="C7314" t="str">
        <f t="shared" si="1313"/>
        <v>93201250</v>
      </c>
      <c r="D7314">
        <v>89301167</v>
      </c>
      <c r="E7314" t="str">
        <f t="shared" si="1314"/>
        <v>7657065790</v>
      </c>
      <c r="F7314" s="1">
        <v>45079</v>
      </c>
      <c r="G7314" t="str">
        <f>"93189"</f>
        <v>93189</v>
      </c>
      <c r="H7314">
        <v>1</v>
      </c>
      <c r="I7314">
        <v>191</v>
      </c>
      <c r="J7314">
        <v>0</v>
      </c>
      <c r="K7314" t="str">
        <f t="shared" si="1315"/>
        <v>801</v>
      </c>
      <c r="L7314">
        <v>160.44</v>
      </c>
    </row>
    <row r="7315" spans="1:12" x14ac:dyDescent="0.25">
      <c r="A7315" t="str">
        <f t="shared" si="1311"/>
        <v>89301000</v>
      </c>
      <c r="B7315" t="str">
        <f t="shared" si="1312"/>
        <v>93201000</v>
      </c>
      <c r="C7315" t="str">
        <f t="shared" si="1313"/>
        <v>93201250</v>
      </c>
      <c r="D7315">
        <v>89301167</v>
      </c>
      <c r="E7315" t="str">
        <f t="shared" si="1314"/>
        <v>7657065790</v>
      </c>
      <c r="F7315" s="1">
        <v>45079</v>
      </c>
      <c r="G7315" t="str">
        <f>"81383"</f>
        <v>81383</v>
      </c>
      <c r="H7315">
        <v>1</v>
      </c>
      <c r="I7315">
        <v>24</v>
      </c>
      <c r="J7315">
        <v>0</v>
      </c>
      <c r="K7315" t="str">
        <f t="shared" si="1315"/>
        <v>801</v>
      </c>
      <c r="L7315">
        <v>20.16</v>
      </c>
    </row>
    <row r="7316" spans="1:12" x14ac:dyDescent="0.25">
      <c r="A7316" t="str">
        <f t="shared" si="1311"/>
        <v>89301000</v>
      </c>
      <c r="B7316" t="str">
        <f t="shared" si="1312"/>
        <v>93201000</v>
      </c>
      <c r="C7316" t="str">
        <f t="shared" si="1313"/>
        <v>93201250</v>
      </c>
      <c r="D7316">
        <v>89301167</v>
      </c>
      <c r="E7316" t="str">
        <f t="shared" si="1314"/>
        <v>7657065790</v>
      </c>
      <c r="F7316" s="1">
        <v>45079</v>
      </c>
      <c r="G7316" t="str">
        <f>"81365"</f>
        <v>81365</v>
      </c>
      <c r="H7316">
        <v>1</v>
      </c>
      <c r="I7316">
        <v>16</v>
      </c>
      <c r="J7316">
        <v>0</v>
      </c>
      <c r="K7316" t="str">
        <f t="shared" si="1315"/>
        <v>801</v>
      </c>
      <c r="L7316">
        <v>13.44</v>
      </c>
    </row>
    <row r="7317" spans="1:12" x14ac:dyDescent="0.25">
      <c r="A7317" t="str">
        <f t="shared" si="1311"/>
        <v>89301000</v>
      </c>
      <c r="B7317" t="str">
        <f t="shared" si="1312"/>
        <v>93201000</v>
      </c>
      <c r="C7317" t="str">
        <f t="shared" si="1313"/>
        <v>93201250</v>
      </c>
      <c r="D7317">
        <v>89301167</v>
      </c>
      <c r="E7317" t="str">
        <f t="shared" si="1314"/>
        <v>7657065790</v>
      </c>
      <c r="F7317" s="1">
        <v>45079</v>
      </c>
      <c r="G7317" t="str">
        <f>"93195"</f>
        <v>93195</v>
      </c>
      <c r="H7317">
        <v>1</v>
      </c>
      <c r="I7317">
        <v>183</v>
      </c>
      <c r="J7317">
        <v>0</v>
      </c>
      <c r="K7317" t="str">
        <f t="shared" si="1315"/>
        <v>801</v>
      </c>
      <c r="L7317">
        <v>153.72</v>
      </c>
    </row>
    <row r="7318" spans="1:12" x14ac:dyDescent="0.25">
      <c r="A7318" t="str">
        <f t="shared" si="1311"/>
        <v>89301000</v>
      </c>
      <c r="B7318" t="str">
        <f t="shared" si="1312"/>
        <v>93201000</v>
      </c>
      <c r="C7318" t="str">
        <f t="shared" si="1313"/>
        <v>93201250</v>
      </c>
      <c r="D7318">
        <v>89301167</v>
      </c>
      <c r="E7318" t="str">
        <f t="shared" ref="E7318:E7337" si="1316">"511221028"</f>
        <v>511221028</v>
      </c>
      <c r="F7318" s="1">
        <v>45083</v>
      </c>
      <c r="G7318" t="str">
        <f>"97111"</f>
        <v>97111</v>
      </c>
      <c r="H7318">
        <v>1</v>
      </c>
      <c r="I7318">
        <v>19</v>
      </c>
      <c r="J7318">
        <v>0</v>
      </c>
      <c r="K7318" t="str">
        <f t="shared" si="1315"/>
        <v>801</v>
      </c>
      <c r="L7318">
        <v>23.94</v>
      </c>
    </row>
    <row r="7319" spans="1:12" x14ac:dyDescent="0.25">
      <c r="A7319" t="str">
        <f t="shared" si="1311"/>
        <v>89301000</v>
      </c>
      <c r="B7319" t="str">
        <f t="shared" si="1312"/>
        <v>93201000</v>
      </c>
      <c r="C7319" t="str">
        <f t="shared" si="1313"/>
        <v>93201250</v>
      </c>
      <c r="D7319">
        <v>89301167</v>
      </c>
      <c r="E7319" t="str">
        <f t="shared" si="1316"/>
        <v>511221028</v>
      </c>
      <c r="F7319" s="1">
        <v>45083</v>
      </c>
      <c r="G7319" t="str">
        <f>"97111"</f>
        <v>97111</v>
      </c>
      <c r="H7319">
        <v>1</v>
      </c>
      <c r="I7319">
        <v>19</v>
      </c>
      <c r="J7319">
        <v>0</v>
      </c>
      <c r="K7319" t="str">
        <f t="shared" si="1315"/>
        <v>801</v>
      </c>
      <c r="L7319">
        <v>23.94</v>
      </c>
    </row>
    <row r="7320" spans="1:12" x14ac:dyDescent="0.25">
      <c r="A7320" t="str">
        <f t="shared" si="1311"/>
        <v>89301000</v>
      </c>
      <c r="B7320" t="str">
        <f t="shared" si="1312"/>
        <v>93201000</v>
      </c>
      <c r="C7320" t="str">
        <f t="shared" si="1313"/>
        <v>93201250</v>
      </c>
      <c r="D7320">
        <v>89301167</v>
      </c>
      <c r="E7320" t="str">
        <f t="shared" si="1316"/>
        <v>511221028</v>
      </c>
      <c r="F7320" s="1">
        <v>45083</v>
      </c>
      <c r="G7320" t="str">
        <f>"81329"</f>
        <v>81329</v>
      </c>
      <c r="H7320">
        <v>1</v>
      </c>
      <c r="I7320">
        <v>17</v>
      </c>
      <c r="J7320">
        <v>0</v>
      </c>
      <c r="K7320" t="str">
        <f t="shared" si="1315"/>
        <v>801</v>
      </c>
      <c r="L7320">
        <v>14.28</v>
      </c>
    </row>
    <row r="7321" spans="1:12" x14ac:dyDescent="0.25">
      <c r="A7321" t="str">
        <f t="shared" si="1311"/>
        <v>89301000</v>
      </c>
      <c r="B7321" t="str">
        <f t="shared" si="1312"/>
        <v>93201000</v>
      </c>
      <c r="C7321" t="str">
        <f t="shared" si="1313"/>
        <v>93201250</v>
      </c>
      <c r="D7321">
        <v>89301167</v>
      </c>
      <c r="E7321" t="str">
        <f t="shared" si="1316"/>
        <v>511221028</v>
      </c>
      <c r="F7321" s="1">
        <v>45083</v>
      </c>
      <c r="G7321" t="str">
        <f>"81337"</f>
        <v>81337</v>
      </c>
      <c r="H7321">
        <v>1</v>
      </c>
      <c r="I7321">
        <v>20</v>
      </c>
      <c r="J7321">
        <v>0</v>
      </c>
      <c r="K7321" t="str">
        <f t="shared" si="1315"/>
        <v>801</v>
      </c>
      <c r="L7321">
        <v>16.8</v>
      </c>
    </row>
    <row r="7322" spans="1:12" x14ac:dyDescent="0.25">
      <c r="A7322" t="str">
        <f t="shared" si="1311"/>
        <v>89301000</v>
      </c>
      <c r="B7322" t="str">
        <f t="shared" si="1312"/>
        <v>93201000</v>
      </c>
      <c r="C7322" t="str">
        <f t="shared" si="1313"/>
        <v>93201250</v>
      </c>
      <c r="D7322">
        <v>89301167</v>
      </c>
      <c r="E7322" t="str">
        <f t="shared" si="1316"/>
        <v>511221028</v>
      </c>
      <c r="F7322" s="1">
        <v>45083</v>
      </c>
      <c r="G7322" t="str">
        <f>"81421"</f>
        <v>81421</v>
      </c>
      <c r="H7322">
        <v>1</v>
      </c>
      <c r="I7322">
        <v>19</v>
      </c>
      <c r="J7322">
        <v>0</v>
      </c>
      <c r="K7322" t="str">
        <f t="shared" si="1315"/>
        <v>801</v>
      </c>
      <c r="L7322">
        <v>15.96</v>
      </c>
    </row>
    <row r="7323" spans="1:12" x14ac:dyDescent="0.25">
      <c r="A7323" t="str">
        <f t="shared" si="1311"/>
        <v>89301000</v>
      </c>
      <c r="B7323" t="str">
        <f t="shared" si="1312"/>
        <v>93201000</v>
      </c>
      <c r="C7323" t="str">
        <f t="shared" si="1313"/>
        <v>93201250</v>
      </c>
      <c r="D7323">
        <v>89301167</v>
      </c>
      <c r="E7323" t="str">
        <f t="shared" si="1316"/>
        <v>511221028</v>
      </c>
      <c r="F7323" s="1">
        <v>45083</v>
      </c>
      <c r="G7323" t="str">
        <f>"81357"</f>
        <v>81357</v>
      </c>
      <c r="H7323">
        <v>1</v>
      </c>
      <c r="I7323">
        <v>20</v>
      </c>
      <c r="J7323">
        <v>0</v>
      </c>
      <c r="K7323" t="str">
        <f t="shared" si="1315"/>
        <v>801</v>
      </c>
      <c r="L7323">
        <v>16.8</v>
      </c>
    </row>
    <row r="7324" spans="1:12" x14ac:dyDescent="0.25">
      <c r="A7324" t="str">
        <f t="shared" si="1311"/>
        <v>89301000</v>
      </c>
      <c r="B7324" t="str">
        <f t="shared" si="1312"/>
        <v>93201000</v>
      </c>
      <c r="C7324" t="str">
        <f t="shared" si="1313"/>
        <v>93201250</v>
      </c>
      <c r="D7324">
        <v>89301167</v>
      </c>
      <c r="E7324" t="str">
        <f t="shared" si="1316"/>
        <v>511221028</v>
      </c>
      <c r="F7324" s="1">
        <v>45083</v>
      </c>
      <c r="G7324" t="str">
        <f>"81361"</f>
        <v>81361</v>
      </c>
      <c r="H7324">
        <v>1</v>
      </c>
      <c r="I7324">
        <v>17</v>
      </c>
      <c r="J7324">
        <v>0</v>
      </c>
      <c r="K7324" t="str">
        <f t="shared" si="1315"/>
        <v>801</v>
      </c>
      <c r="L7324">
        <v>14.28</v>
      </c>
    </row>
    <row r="7325" spans="1:12" x14ac:dyDescent="0.25">
      <c r="A7325" t="str">
        <f t="shared" si="1311"/>
        <v>89301000</v>
      </c>
      <c r="B7325" t="str">
        <f t="shared" si="1312"/>
        <v>93201000</v>
      </c>
      <c r="C7325" t="str">
        <f t="shared" si="1313"/>
        <v>93201250</v>
      </c>
      <c r="D7325">
        <v>89301167</v>
      </c>
      <c r="E7325" t="str">
        <f t="shared" si="1316"/>
        <v>511221028</v>
      </c>
      <c r="F7325" s="1">
        <v>45083</v>
      </c>
      <c r="G7325" t="str">
        <f>"81469"</f>
        <v>81469</v>
      </c>
      <c r="H7325">
        <v>1</v>
      </c>
      <c r="I7325">
        <v>16</v>
      </c>
      <c r="J7325">
        <v>0</v>
      </c>
      <c r="K7325" t="str">
        <f t="shared" si="1315"/>
        <v>801</v>
      </c>
      <c r="L7325">
        <v>13.44</v>
      </c>
    </row>
    <row r="7326" spans="1:12" x14ac:dyDescent="0.25">
      <c r="A7326" t="str">
        <f t="shared" si="1311"/>
        <v>89301000</v>
      </c>
      <c r="B7326" t="str">
        <f t="shared" si="1312"/>
        <v>93201000</v>
      </c>
      <c r="C7326" t="str">
        <f t="shared" si="1313"/>
        <v>93201250</v>
      </c>
      <c r="D7326">
        <v>89301167</v>
      </c>
      <c r="E7326" t="str">
        <f t="shared" si="1316"/>
        <v>511221028</v>
      </c>
      <c r="F7326" s="1">
        <v>45083</v>
      </c>
      <c r="G7326" t="str">
        <f>"81625"</f>
        <v>81625</v>
      </c>
      <c r="H7326">
        <v>1</v>
      </c>
      <c r="I7326">
        <v>21</v>
      </c>
      <c r="J7326">
        <v>0</v>
      </c>
      <c r="K7326" t="str">
        <f t="shared" si="1315"/>
        <v>801</v>
      </c>
      <c r="L7326">
        <v>17.64</v>
      </c>
    </row>
    <row r="7327" spans="1:12" x14ac:dyDescent="0.25">
      <c r="A7327" t="str">
        <f t="shared" si="1311"/>
        <v>89301000</v>
      </c>
      <c r="B7327" t="str">
        <f t="shared" si="1312"/>
        <v>93201000</v>
      </c>
      <c r="C7327" t="str">
        <f t="shared" si="1313"/>
        <v>93201250</v>
      </c>
      <c r="D7327">
        <v>89301167</v>
      </c>
      <c r="E7327" t="str">
        <f t="shared" si="1316"/>
        <v>511221028</v>
      </c>
      <c r="F7327" s="1">
        <v>45083</v>
      </c>
      <c r="G7327" t="str">
        <f>"81439"</f>
        <v>81439</v>
      </c>
      <c r="H7327">
        <v>1</v>
      </c>
      <c r="I7327">
        <v>16</v>
      </c>
      <c r="J7327">
        <v>0</v>
      </c>
      <c r="K7327" t="str">
        <f t="shared" si="1315"/>
        <v>801</v>
      </c>
      <c r="L7327">
        <v>13.44</v>
      </c>
    </row>
    <row r="7328" spans="1:12" x14ac:dyDescent="0.25">
      <c r="A7328" t="str">
        <f t="shared" si="1311"/>
        <v>89301000</v>
      </c>
      <c r="B7328" t="str">
        <f t="shared" si="1312"/>
        <v>93201000</v>
      </c>
      <c r="C7328" t="str">
        <f t="shared" si="1313"/>
        <v>93201250</v>
      </c>
      <c r="D7328">
        <v>89301167</v>
      </c>
      <c r="E7328" t="str">
        <f t="shared" si="1316"/>
        <v>511221028</v>
      </c>
      <c r="F7328" s="1">
        <v>45083</v>
      </c>
      <c r="G7328" t="str">
        <f>"81435"</f>
        <v>81435</v>
      </c>
      <c r="H7328">
        <v>1</v>
      </c>
      <c r="I7328">
        <v>22</v>
      </c>
      <c r="J7328">
        <v>0</v>
      </c>
      <c r="K7328" t="str">
        <f t="shared" si="1315"/>
        <v>801</v>
      </c>
      <c r="L7328">
        <v>18.48</v>
      </c>
    </row>
    <row r="7329" spans="1:12" x14ac:dyDescent="0.25">
      <c r="A7329" t="str">
        <f t="shared" si="1311"/>
        <v>89301000</v>
      </c>
      <c r="B7329" t="str">
        <f t="shared" si="1312"/>
        <v>93201000</v>
      </c>
      <c r="C7329" t="str">
        <f t="shared" si="1313"/>
        <v>93201250</v>
      </c>
      <c r="D7329">
        <v>89301167</v>
      </c>
      <c r="E7329" t="str">
        <f t="shared" si="1316"/>
        <v>511221028</v>
      </c>
      <c r="F7329" s="1">
        <v>45083</v>
      </c>
      <c r="G7329" t="str">
        <f>"81393"</f>
        <v>81393</v>
      </c>
      <c r="H7329">
        <v>1</v>
      </c>
      <c r="I7329">
        <v>24</v>
      </c>
      <c r="J7329">
        <v>0</v>
      </c>
      <c r="K7329" t="str">
        <f t="shared" si="1315"/>
        <v>801</v>
      </c>
      <c r="L7329">
        <v>20.16</v>
      </c>
    </row>
    <row r="7330" spans="1:12" x14ac:dyDescent="0.25">
      <c r="A7330" t="str">
        <f t="shared" si="1311"/>
        <v>89301000</v>
      </c>
      <c r="B7330" t="str">
        <f t="shared" si="1312"/>
        <v>93201000</v>
      </c>
      <c r="C7330" t="str">
        <f t="shared" si="1313"/>
        <v>93201250</v>
      </c>
      <c r="D7330">
        <v>89301167</v>
      </c>
      <c r="E7330" t="str">
        <f t="shared" si="1316"/>
        <v>511221028</v>
      </c>
      <c r="F7330" s="1">
        <v>45083</v>
      </c>
      <c r="G7330" t="str">
        <f>"81499"</f>
        <v>81499</v>
      </c>
      <c r="H7330">
        <v>1</v>
      </c>
      <c r="I7330">
        <v>18</v>
      </c>
      <c r="J7330">
        <v>0</v>
      </c>
      <c r="K7330" t="str">
        <f t="shared" si="1315"/>
        <v>801</v>
      </c>
      <c r="L7330">
        <v>15.12</v>
      </c>
    </row>
    <row r="7331" spans="1:12" x14ac:dyDescent="0.25">
      <c r="A7331" t="str">
        <f t="shared" si="1311"/>
        <v>89301000</v>
      </c>
      <c r="B7331" t="str">
        <f t="shared" si="1312"/>
        <v>93201000</v>
      </c>
      <c r="C7331" t="str">
        <f t="shared" si="1313"/>
        <v>93201250</v>
      </c>
      <c r="D7331">
        <v>89301167</v>
      </c>
      <c r="E7331" t="str">
        <f t="shared" si="1316"/>
        <v>511221028</v>
      </c>
      <c r="F7331" s="1">
        <v>45083</v>
      </c>
      <c r="G7331" t="str">
        <f>"81523"</f>
        <v>81523</v>
      </c>
      <c r="H7331">
        <v>1</v>
      </c>
      <c r="I7331">
        <v>23</v>
      </c>
      <c r="J7331">
        <v>0</v>
      </c>
      <c r="K7331" t="str">
        <f t="shared" si="1315"/>
        <v>801</v>
      </c>
      <c r="L7331">
        <v>19.32</v>
      </c>
    </row>
    <row r="7332" spans="1:12" x14ac:dyDescent="0.25">
      <c r="A7332" t="str">
        <f t="shared" si="1311"/>
        <v>89301000</v>
      </c>
      <c r="B7332" t="str">
        <f t="shared" si="1312"/>
        <v>93201000</v>
      </c>
      <c r="C7332" t="str">
        <f t="shared" si="1313"/>
        <v>93201250</v>
      </c>
      <c r="D7332">
        <v>89301167</v>
      </c>
      <c r="E7332" t="str">
        <f t="shared" si="1316"/>
        <v>511221028</v>
      </c>
      <c r="F7332" s="1">
        <v>45083</v>
      </c>
      <c r="G7332" t="str">
        <f>"81383"</f>
        <v>81383</v>
      </c>
      <c r="H7332">
        <v>1</v>
      </c>
      <c r="I7332">
        <v>24</v>
      </c>
      <c r="J7332">
        <v>0</v>
      </c>
      <c r="K7332" t="str">
        <f t="shared" si="1315"/>
        <v>801</v>
      </c>
      <c r="L7332">
        <v>20.16</v>
      </c>
    </row>
    <row r="7333" spans="1:12" x14ac:dyDescent="0.25">
      <c r="A7333" t="str">
        <f t="shared" si="1311"/>
        <v>89301000</v>
      </c>
      <c r="B7333" t="str">
        <f t="shared" si="1312"/>
        <v>93201000</v>
      </c>
      <c r="C7333" t="str">
        <f t="shared" si="1313"/>
        <v>93201250</v>
      </c>
      <c r="D7333">
        <v>89301167</v>
      </c>
      <c r="E7333" t="str">
        <f t="shared" si="1316"/>
        <v>511221028</v>
      </c>
      <c r="F7333" s="1">
        <v>45083</v>
      </c>
      <c r="G7333" t="str">
        <f>"81365"</f>
        <v>81365</v>
      </c>
      <c r="H7333">
        <v>1</v>
      </c>
      <c r="I7333">
        <v>16</v>
      </c>
      <c r="J7333">
        <v>0</v>
      </c>
      <c r="K7333" t="str">
        <f t="shared" si="1315"/>
        <v>801</v>
      </c>
      <c r="L7333">
        <v>13.44</v>
      </c>
    </row>
    <row r="7334" spans="1:12" x14ac:dyDescent="0.25">
      <c r="A7334" t="str">
        <f t="shared" si="1311"/>
        <v>89301000</v>
      </c>
      <c r="B7334" t="str">
        <f t="shared" si="1312"/>
        <v>93201000</v>
      </c>
      <c r="C7334" t="str">
        <f t="shared" si="1313"/>
        <v>93201250</v>
      </c>
      <c r="D7334">
        <v>89301167</v>
      </c>
      <c r="E7334" t="str">
        <f t="shared" si="1316"/>
        <v>511221028</v>
      </c>
      <c r="F7334" s="1">
        <v>45083</v>
      </c>
      <c r="G7334" t="str">
        <f>"81593"</f>
        <v>81593</v>
      </c>
      <c r="H7334">
        <v>1</v>
      </c>
      <c r="I7334">
        <v>22</v>
      </c>
      <c r="J7334">
        <v>0</v>
      </c>
      <c r="K7334" t="str">
        <f t="shared" si="1315"/>
        <v>801</v>
      </c>
      <c r="L7334">
        <v>18.48</v>
      </c>
    </row>
    <row r="7335" spans="1:12" x14ac:dyDescent="0.25">
      <c r="A7335" t="str">
        <f t="shared" si="1311"/>
        <v>89301000</v>
      </c>
      <c r="B7335" t="str">
        <f t="shared" si="1312"/>
        <v>93201000</v>
      </c>
      <c r="C7335" t="str">
        <f t="shared" si="1313"/>
        <v>93201250</v>
      </c>
      <c r="D7335">
        <v>89301167</v>
      </c>
      <c r="E7335" t="str">
        <f t="shared" si="1316"/>
        <v>511221028</v>
      </c>
      <c r="F7335" s="1">
        <v>45083</v>
      </c>
      <c r="G7335" t="str">
        <f>"93189"</f>
        <v>93189</v>
      </c>
      <c r="H7335">
        <v>1</v>
      </c>
      <c r="I7335">
        <v>191</v>
      </c>
      <c r="J7335">
        <v>0</v>
      </c>
      <c r="K7335" t="str">
        <f t="shared" si="1315"/>
        <v>801</v>
      </c>
      <c r="L7335">
        <v>160.44</v>
      </c>
    </row>
    <row r="7336" spans="1:12" x14ac:dyDescent="0.25">
      <c r="A7336" t="str">
        <f t="shared" si="1311"/>
        <v>89301000</v>
      </c>
      <c r="B7336" t="str">
        <f t="shared" si="1312"/>
        <v>93201000</v>
      </c>
      <c r="C7336" t="str">
        <f t="shared" si="1313"/>
        <v>93201250</v>
      </c>
      <c r="D7336">
        <v>89301167</v>
      </c>
      <c r="E7336" t="str">
        <f t="shared" si="1316"/>
        <v>511221028</v>
      </c>
      <c r="F7336" s="1">
        <v>45083</v>
      </c>
      <c r="G7336" t="str">
        <f>"93195"</f>
        <v>93195</v>
      </c>
      <c r="H7336">
        <v>1</v>
      </c>
      <c r="I7336">
        <v>183</v>
      </c>
      <c r="J7336">
        <v>0</v>
      </c>
      <c r="K7336" t="str">
        <f t="shared" si="1315"/>
        <v>801</v>
      </c>
      <c r="L7336">
        <v>153.72</v>
      </c>
    </row>
    <row r="7337" spans="1:12" x14ac:dyDescent="0.25">
      <c r="A7337" t="str">
        <f t="shared" si="1311"/>
        <v>89301000</v>
      </c>
      <c r="B7337" t="str">
        <f t="shared" si="1312"/>
        <v>93201000</v>
      </c>
      <c r="C7337" t="str">
        <f t="shared" si="1313"/>
        <v>93201250</v>
      </c>
      <c r="D7337">
        <v>89301167</v>
      </c>
      <c r="E7337" t="str">
        <f t="shared" si="1316"/>
        <v>511221028</v>
      </c>
      <c r="F7337" s="1">
        <v>45083</v>
      </c>
      <c r="G7337" t="str">
        <f>"81621"</f>
        <v>81621</v>
      </c>
      <c r="H7337">
        <v>1</v>
      </c>
      <c r="I7337">
        <v>19</v>
      </c>
      <c r="J7337">
        <v>0</v>
      </c>
      <c r="K7337" t="str">
        <f t="shared" si="1315"/>
        <v>801</v>
      </c>
      <c r="L7337">
        <v>15.96</v>
      </c>
    </row>
    <row r="7338" spans="1:12" x14ac:dyDescent="0.25">
      <c r="A7338" t="str">
        <f t="shared" si="1311"/>
        <v>89301000</v>
      </c>
      <c r="B7338" t="str">
        <f t="shared" si="1312"/>
        <v>93201000</v>
      </c>
      <c r="C7338" t="str">
        <f t="shared" si="1313"/>
        <v>93201250</v>
      </c>
      <c r="D7338">
        <v>89301082</v>
      </c>
      <c r="E7338" t="str">
        <f>"8858016266"</f>
        <v>8858016266</v>
      </c>
      <c r="F7338" s="1">
        <v>45089</v>
      </c>
      <c r="G7338" t="str">
        <f>"97111"</f>
        <v>97111</v>
      </c>
      <c r="H7338">
        <v>1</v>
      </c>
      <c r="I7338">
        <v>19</v>
      </c>
      <c r="J7338">
        <v>0</v>
      </c>
      <c r="K7338" t="str">
        <f t="shared" si="1315"/>
        <v>801</v>
      </c>
      <c r="L7338">
        <v>23.94</v>
      </c>
    </row>
    <row r="7339" spans="1:12" x14ac:dyDescent="0.25">
      <c r="A7339" t="str">
        <f t="shared" si="1311"/>
        <v>89301000</v>
      </c>
      <c r="B7339" t="str">
        <f t="shared" si="1312"/>
        <v>93201000</v>
      </c>
      <c r="C7339" t="str">
        <f t="shared" si="1313"/>
        <v>93201250</v>
      </c>
      <c r="D7339">
        <v>89301082</v>
      </c>
      <c r="E7339" t="str">
        <f>"8858016266"</f>
        <v>8858016266</v>
      </c>
      <c r="F7339" s="1">
        <v>45089</v>
      </c>
      <c r="G7339" t="str">
        <f>"93159"</f>
        <v>93159</v>
      </c>
      <c r="H7339">
        <v>1</v>
      </c>
      <c r="I7339">
        <v>197</v>
      </c>
      <c r="J7339">
        <v>0</v>
      </c>
      <c r="K7339" t="str">
        <f t="shared" si="1315"/>
        <v>801</v>
      </c>
      <c r="L7339">
        <v>165.48</v>
      </c>
    </row>
    <row r="7340" spans="1:12" x14ac:dyDescent="0.25">
      <c r="A7340" t="str">
        <f t="shared" si="1311"/>
        <v>89301000</v>
      </c>
      <c r="B7340" t="str">
        <f t="shared" si="1312"/>
        <v>93201000</v>
      </c>
      <c r="C7340" t="str">
        <f>"93201130"</f>
        <v>93201130</v>
      </c>
      <c r="D7340">
        <v>89301167</v>
      </c>
      <c r="E7340" t="str">
        <f>"7657065790"</f>
        <v>7657065790</v>
      </c>
      <c r="F7340" s="1">
        <v>45079</v>
      </c>
      <c r="G7340" t="str">
        <f>"96167"</f>
        <v>96167</v>
      </c>
      <c r="H7340">
        <v>1</v>
      </c>
      <c r="I7340">
        <v>67</v>
      </c>
      <c r="J7340">
        <v>0</v>
      </c>
      <c r="K7340" t="str">
        <f>"818"</f>
        <v>818</v>
      </c>
      <c r="L7340">
        <v>64.989999999999995</v>
      </c>
    </row>
    <row r="7341" spans="1:12" x14ac:dyDescent="0.25">
      <c r="A7341" t="str">
        <f t="shared" si="1311"/>
        <v>89301000</v>
      </c>
      <c r="B7341" t="str">
        <f t="shared" si="1312"/>
        <v>93201000</v>
      </c>
      <c r="C7341" t="str">
        <f>"93201130"</f>
        <v>93201130</v>
      </c>
      <c r="D7341">
        <v>89301167</v>
      </c>
      <c r="E7341" t="str">
        <f>"511221028"</f>
        <v>511221028</v>
      </c>
      <c r="F7341" s="1">
        <v>45083</v>
      </c>
      <c r="G7341" t="str">
        <f>"96167"</f>
        <v>96167</v>
      </c>
      <c r="H7341">
        <v>1</v>
      </c>
      <c r="I7341">
        <v>67</v>
      </c>
      <c r="J7341">
        <v>0</v>
      </c>
      <c r="K7341" t="str">
        <f>"818"</f>
        <v>818</v>
      </c>
      <c r="L7341">
        <v>64.989999999999995</v>
      </c>
    </row>
    <row r="7342" spans="1:12" x14ac:dyDescent="0.25">
      <c r="A7342" t="str">
        <f t="shared" si="1311"/>
        <v>89301000</v>
      </c>
      <c r="B7342" t="str">
        <f t="shared" si="1312"/>
        <v>93201000</v>
      </c>
      <c r="C7342" t="str">
        <f>"93201012"</f>
        <v>93201012</v>
      </c>
      <c r="D7342">
        <v>89301167</v>
      </c>
      <c r="E7342" t="str">
        <f>"7657065790"</f>
        <v>7657065790</v>
      </c>
      <c r="F7342" s="1">
        <v>45079</v>
      </c>
      <c r="G7342" t="str">
        <f>"91153"</f>
        <v>91153</v>
      </c>
      <c r="H7342">
        <v>1</v>
      </c>
      <c r="I7342">
        <v>153</v>
      </c>
      <c r="J7342">
        <v>0</v>
      </c>
      <c r="K7342" t="str">
        <f>"813"</f>
        <v>813</v>
      </c>
      <c r="L7342">
        <v>128.52000000000001</v>
      </c>
    </row>
    <row r="7343" spans="1:12" x14ac:dyDescent="0.25">
      <c r="A7343" t="str">
        <f t="shared" si="1311"/>
        <v>89301000</v>
      </c>
      <c r="B7343" t="str">
        <f>"44564000"</f>
        <v>44564000</v>
      </c>
      <c r="C7343" t="str">
        <f>"44564006"</f>
        <v>44564006</v>
      </c>
      <c r="D7343">
        <v>89301375</v>
      </c>
      <c r="E7343" t="str">
        <f>"480804115"</f>
        <v>480804115</v>
      </c>
      <c r="F7343" s="1">
        <v>45078</v>
      </c>
      <c r="G7343" t="str">
        <f>"94225"</f>
        <v>94225</v>
      </c>
      <c r="H7343">
        <v>1</v>
      </c>
      <c r="I7343">
        <v>1208</v>
      </c>
      <c r="J7343">
        <v>0</v>
      </c>
      <c r="K7343" t="str">
        <f>"816"</f>
        <v>816</v>
      </c>
      <c r="L7343">
        <v>1087.2</v>
      </c>
    </row>
    <row r="7344" spans="1:12" x14ac:dyDescent="0.25">
      <c r="A7344" t="str">
        <f t="shared" si="1311"/>
        <v>89301000</v>
      </c>
      <c r="B7344" t="str">
        <f>"44564000"</f>
        <v>44564000</v>
      </c>
      <c r="C7344" t="str">
        <f>"44564006"</f>
        <v>44564006</v>
      </c>
      <c r="D7344">
        <v>89301375</v>
      </c>
      <c r="E7344" t="str">
        <f>"480804115"</f>
        <v>480804115</v>
      </c>
      <c r="F7344" s="1">
        <v>45093</v>
      </c>
      <c r="G7344" t="str">
        <f>"94233"</f>
        <v>94233</v>
      </c>
      <c r="H7344">
        <v>1</v>
      </c>
      <c r="I7344">
        <v>41552</v>
      </c>
      <c r="J7344">
        <v>0</v>
      </c>
      <c r="K7344" t="str">
        <f>"816"</f>
        <v>816</v>
      </c>
      <c r="L7344">
        <v>37396.800000000003</v>
      </c>
    </row>
    <row r="7345" spans="1:12" x14ac:dyDescent="0.25">
      <c r="A7345" t="str">
        <f t="shared" si="1311"/>
        <v>89301000</v>
      </c>
      <c r="B7345" t="str">
        <f t="shared" ref="B7345:B7356" si="1317">"93201000"</f>
        <v>93201000</v>
      </c>
      <c r="C7345" t="str">
        <f t="shared" ref="C7345:C7352" si="1318">"93201350"</f>
        <v>93201350</v>
      </c>
      <c r="D7345">
        <v>89301212</v>
      </c>
      <c r="E7345" t="str">
        <f>"6456101168"</f>
        <v>6456101168</v>
      </c>
      <c r="F7345" s="1">
        <v>45084</v>
      </c>
      <c r="G7345" t="str">
        <f>"89131"</f>
        <v>89131</v>
      </c>
      <c r="H7345">
        <v>1</v>
      </c>
      <c r="I7345">
        <v>190</v>
      </c>
      <c r="J7345">
        <v>0</v>
      </c>
      <c r="K7345" t="str">
        <f t="shared" ref="K7345:K7352" si="1319">"809"</f>
        <v>809</v>
      </c>
      <c r="L7345">
        <v>279.3</v>
      </c>
    </row>
    <row r="7346" spans="1:12" x14ac:dyDescent="0.25">
      <c r="A7346" t="str">
        <f t="shared" si="1311"/>
        <v>89301000</v>
      </c>
      <c r="B7346" t="str">
        <f t="shared" si="1317"/>
        <v>93201000</v>
      </c>
      <c r="C7346" t="str">
        <f t="shared" si="1318"/>
        <v>93201350</v>
      </c>
      <c r="D7346">
        <v>89301212</v>
      </c>
      <c r="E7346" t="str">
        <f>"6456101168"</f>
        <v>6456101168</v>
      </c>
      <c r="F7346" s="1">
        <v>45084</v>
      </c>
      <c r="G7346" t="str">
        <f>"89513"</f>
        <v>89513</v>
      </c>
      <c r="H7346">
        <v>1</v>
      </c>
      <c r="I7346">
        <v>378</v>
      </c>
      <c r="J7346">
        <v>0</v>
      </c>
      <c r="K7346" t="str">
        <f t="shared" si="1319"/>
        <v>809</v>
      </c>
      <c r="L7346">
        <v>555.66</v>
      </c>
    </row>
    <row r="7347" spans="1:12" x14ac:dyDescent="0.25">
      <c r="A7347" t="str">
        <f t="shared" si="1311"/>
        <v>89301000</v>
      </c>
      <c r="B7347" t="str">
        <f t="shared" si="1317"/>
        <v>93201000</v>
      </c>
      <c r="C7347" t="str">
        <f t="shared" si="1318"/>
        <v>93201350</v>
      </c>
      <c r="D7347">
        <v>89301212</v>
      </c>
      <c r="E7347" t="str">
        <f>"6456101168"</f>
        <v>6456101168</v>
      </c>
      <c r="F7347" s="1">
        <v>45084</v>
      </c>
      <c r="G7347" t="str">
        <f>"89514"</f>
        <v>89514</v>
      </c>
      <c r="H7347">
        <v>1</v>
      </c>
      <c r="I7347">
        <v>378</v>
      </c>
      <c r="J7347">
        <v>0</v>
      </c>
      <c r="K7347" t="str">
        <f t="shared" si="1319"/>
        <v>809</v>
      </c>
      <c r="L7347">
        <v>555.66</v>
      </c>
    </row>
    <row r="7348" spans="1:12" x14ac:dyDescent="0.25">
      <c r="A7348" t="str">
        <f t="shared" si="1311"/>
        <v>89301000</v>
      </c>
      <c r="B7348" t="str">
        <f t="shared" si="1317"/>
        <v>93201000</v>
      </c>
      <c r="C7348" t="str">
        <f t="shared" si="1318"/>
        <v>93201350</v>
      </c>
      <c r="D7348">
        <v>89301028</v>
      </c>
      <c r="E7348" t="str">
        <f>"7509085804"</f>
        <v>7509085804</v>
      </c>
      <c r="F7348" s="1">
        <v>45104</v>
      </c>
      <c r="G7348" t="str">
        <f>"09139"</f>
        <v>09139</v>
      </c>
      <c r="H7348">
        <v>1</v>
      </c>
      <c r="I7348">
        <v>356</v>
      </c>
      <c r="J7348">
        <v>0</v>
      </c>
      <c r="K7348" t="str">
        <f t="shared" si="1319"/>
        <v>809</v>
      </c>
      <c r="L7348">
        <v>523.32000000000005</v>
      </c>
    </row>
    <row r="7349" spans="1:12" x14ac:dyDescent="0.25">
      <c r="A7349" t="str">
        <f t="shared" si="1311"/>
        <v>89301000</v>
      </c>
      <c r="B7349" t="str">
        <f t="shared" si="1317"/>
        <v>93201000</v>
      </c>
      <c r="C7349" t="str">
        <f t="shared" si="1318"/>
        <v>93201350</v>
      </c>
      <c r="D7349">
        <v>89301322</v>
      </c>
      <c r="E7349" t="str">
        <f>"5805220971"</f>
        <v>5805220971</v>
      </c>
      <c r="F7349" s="1">
        <v>45092</v>
      </c>
      <c r="G7349" t="str">
        <f>"89615"</f>
        <v>89615</v>
      </c>
      <c r="H7349">
        <v>1</v>
      </c>
      <c r="I7349">
        <v>2199</v>
      </c>
      <c r="J7349">
        <v>0</v>
      </c>
      <c r="K7349" t="str">
        <f t="shared" si="1319"/>
        <v>809</v>
      </c>
      <c r="L7349">
        <v>1429.35</v>
      </c>
    </row>
    <row r="7350" spans="1:12" x14ac:dyDescent="0.25">
      <c r="A7350" t="str">
        <f t="shared" si="1311"/>
        <v>89301000</v>
      </c>
      <c r="B7350" t="str">
        <f t="shared" si="1317"/>
        <v>93201000</v>
      </c>
      <c r="C7350" t="str">
        <f t="shared" si="1318"/>
        <v>93201350</v>
      </c>
      <c r="D7350">
        <v>89301042</v>
      </c>
      <c r="E7350" t="str">
        <f>"9962106154"</f>
        <v>9962106154</v>
      </c>
      <c r="F7350" s="1">
        <v>45089</v>
      </c>
      <c r="G7350" t="str">
        <f>"89512"</f>
        <v>89512</v>
      </c>
      <c r="H7350">
        <v>1</v>
      </c>
      <c r="I7350">
        <v>283</v>
      </c>
      <c r="J7350">
        <v>0</v>
      </c>
      <c r="K7350" t="str">
        <f t="shared" si="1319"/>
        <v>809</v>
      </c>
      <c r="L7350">
        <v>416.01</v>
      </c>
    </row>
    <row r="7351" spans="1:12" x14ac:dyDescent="0.25">
      <c r="A7351" t="str">
        <f t="shared" si="1311"/>
        <v>89301000</v>
      </c>
      <c r="B7351" t="str">
        <f t="shared" si="1317"/>
        <v>93201000</v>
      </c>
      <c r="C7351" t="str">
        <f t="shared" si="1318"/>
        <v>93201350</v>
      </c>
      <c r="D7351">
        <v>89301212</v>
      </c>
      <c r="E7351" t="str">
        <f>"455827421"</f>
        <v>455827421</v>
      </c>
      <c r="F7351" s="1">
        <v>45106</v>
      </c>
      <c r="G7351" t="str">
        <f>"89512"</f>
        <v>89512</v>
      </c>
      <c r="H7351">
        <v>1</v>
      </c>
      <c r="I7351">
        <v>283</v>
      </c>
      <c r="J7351">
        <v>0</v>
      </c>
      <c r="K7351" t="str">
        <f t="shared" si="1319"/>
        <v>809</v>
      </c>
      <c r="L7351">
        <v>416.01</v>
      </c>
    </row>
    <row r="7352" spans="1:12" x14ac:dyDescent="0.25">
      <c r="A7352" t="str">
        <f t="shared" si="1311"/>
        <v>89301000</v>
      </c>
      <c r="B7352" t="str">
        <f t="shared" si="1317"/>
        <v>93201000</v>
      </c>
      <c r="C7352" t="str">
        <f t="shared" si="1318"/>
        <v>93201350</v>
      </c>
      <c r="D7352">
        <v>89301212</v>
      </c>
      <c r="E7352" t="str">
        <f>"455827421"</f>
        <v>455827421</v>
      </c>
      <c r="F7352" s="1">
        <v>45106</v>
      </c>
      <c r="G7352" t="str">
        <f>"89180"</f>
        <v>89180</v>
      </c>
      <c r="H7352">
        <v>2</v>
      </c>
      <c r="I7352">
        <v>762</v>
      </c>
      <c r="J7352">
        <v>0</v>
      </c>
      <c r="K7352" t="str">
        <f t="shared" si="1319"/>
        <v>809</v>
      </c>
      <c r="L7352">
        <v>1120.1400000000001</v>
      </c>
    </row>
    <row r="7353" spans="1:12" x14ac:dyDescent="0.25">
      <c r="A7353" t="str">
        <f t="shared" si="1311"/>
        <v>89301000</v>
      </c>
      <c r="B7353" t="str">
        <f t="shared" si="1317"/>
        <v>93201000</v>
      </c>
      <c r="C7353" t="str">
        <f>"93201355"</f>
        <v>93201355</v>
      </c>
      <c r="D7353">
        <v>89301062</v>
      </c>
      <c r="E7353" t="str">
        <f>"510527346"</f>
        <v>510527346</v>
      </c>
      <c r="F7353" s="1">
        <v>45097</v>
      </c>
      <c r="G7353" t="str">
        <f>"89713"</f>
        <v>89713</v>
      </c>
      <c r="H7353">
        <v>1</v>
      </c>
      <c r="I7353">
        <v>5411</v>
      </c>
      <c r="J7353">
        <v>0</v>
      </c>
      <c r="K7353" t="str">
        <f>"810"</f>
        <v>810</v>
      </c>
      <c r="L7353">
        <v>3517.15</v>
      </c>
    </row>
    <row r="7354" spans="1:12" x14ac:dyDescent="0.25">
      <c r="A7354" t="str">
        <f t="shared" si="1311"/>
        <v>89301000</v>
      </c>
      <c r="B7354" t="str">
        <f t="shared" si="1317"/>
        <v>93201000</v>
      </c>
      <c r="C7354" t="str">
        <f>"93201355"</f>
        <v>93201355</v>
      </c>
      <c r="D7354">
        <v>89301062</v>
      </c>
      <c r="E7354" t="str">
        <f>"7954181752"</f>
        <v>7954181752</v>
      </c>
      <c r="F7354" s="1">
        <v>45105</v>
      </c>
      <c r="G7354" t="str">
        <f>"89713"</f>
        <v>89713</v>
      </c>
      <c r="H7354">
        <v>1</v>
      </c>
      <c r="I7354">
        <v>5411</v>
      </c>
      <c r="J7354">
        <v>0</v>
      </c>
      <c r="K7354" t="str">
        <f>"810"</f>
        <v>810</v>
      </c>
      <c r="L7354">
        <v>3517.15</v>
      </c>
    </row>
    <row r="7355" spans="1:12" x14ac:dyDescent="0.25">
      <c r="A7355" t="str">
        <f t="shared" si="1311"/>
        <v>89301000</v>
      </c>
      <c r="B7355" t="str">
        <f t="shared" si="1317"/>
        <v>93201000</v>
      </c>
      <c r="C7355" t="str">
        <f>"93201355"</f>
        <v>93201355</v>
      </c>
      <c r="D7355">
        <v>89301062</v>
      </c>
      <c r="E7355" t="str">
        <f>"7954181752"</f>
        <v>7954181752</v>
      </c>
      <c r="F7355" s="1">
        <v>45105</v>
      </c>
      <c r="G7355" t="str">
        <f>"89723"</f>
        <v>89723</v>
      </c>
      <c r="H7355">
        <v>1</v>
      </c>
      <c r="I7355">
        <v>5940</v>
      </c>
      <c r="J7355">
        <v>0</v>
      </c>
      <c r="K7355" t="str">
        <f>"810"</f>
        <v>810</v>
      </c>
      <c r="L7355">
        <v>3861</v>
      </c>
    </row>
    <row r="7356" spans="1:12" x14ac:dyDescent="0.25">
      <c r="A7356" t="str">
        <f t="shared" si="1311"/>
        <v>89301000</v>
      </c>
      <c r="B7356" t="str">
        <f t="shared" si="1317"/>
        <v>93201000</v>
      </c>
      <c r="C7356" t="str">
        <f>"93201355"</f>
        <v>93201355</v>
      </c>
      <c r="D7356">
        <v>89301062</v>
      </c>
      <c r="E7356" t="str">
        <f>"7954181752"</f>
        <v>7954181752</v>
      </c>
      <c r="F7356" s="1">
        <v>45105</v>
      </c>
      <c r="G7356" t="str">
        <f>"89725"</f>
        <v>89725</v>
      </c>
      <c r="H7356">
        <v>1</v>
      </c>
      <c r="I7356">
        <v>2863</v>
      </c>
      <c r="J7356">
        <v>0</v>
      </c>
      <c r="K7356" t="str">
        <f>"810"</f>
        <v>810</v>
      </c>
      <c r="L7356">
        <v>1860.95</v>
      </c>
    </row>
    <row r="7357" spans="1:12" x14ac:dyDescent="0.25">
      <c r="A7357" t="str">
        <f t="shared" si="1311"/>
        <v>89301000</v>
      </c>
      <c r="B7357" t="str">
        <f t="shared" ref="B7357:B7403" si="1320">"89895000"</f>
        <v>89895000</v>
      </c>
      <c r="C7357" t="str">
        <f t="shared" ref="C7357:C7403" si="1321">"89895002"</f>
        <v>89895002</v>
      </c>
      <c r="D7357">
        <v>89301212</v>
      </c>
      <c r="E7357" t="str">
        <f>"445506443"</f>
        <v>445506443</v>
      </c>
      <c r="F7357" s="1">
        <v>45082</v>
      </c>
      <c r="G7357" t="str">
        <f>"89513"</f>
        <v>89513</v>
      </c>
      <c r="H7357">
        <v>1</v>
      </c>
      <c r="I7357">
        <v>378</v>
      </c>
      <c r="J7357">
        <v>0</v>
      </c>
      <c r="K7357" t="str">
        <f t="shared" ref="K7357:K7403" si="1322">"809"</f>
        <v>809</v>
      </c>
      <c r="L7357">
        <v>555.66</v>
      </c>
    </row>
    <row r="7358" spans="1:12" x14ac:dyDescent="0.25">
      <c r="A7358" t="str">
        <f t="shared" si="1311"/>
        <v>89301000</v>
      </c>
      <c r="B7358" t="str">
        <f t="shared" si="1320"/>
        <v>89895000</v>
      </c>
      <c r="C7358" t="str">
        <f t="shared" si="1321"/>
        <v>89895002</v>
      </c>
      <c r="D7358">
        <v>89301212</v>
      </c>
      <c r="E7358" t="str">
        <f>"445506443"</f>
        <v>445506443</v>
      </c>
      <c r="F7358" s="1">
        <v>45082</v>
      </c>
      <c r="G7358" t="str">
        <f>"89514"</f>
        <v>89514</v>
      </c>
      <c r="H7358">
        <v>1</v>
      </c>
      <c r="I7358">
        <v>378</v>
      </c>
      <c r="J7358">
        <v>0</v>
      </c>
      <c r="K7358" t="str">
        <f t="shared" si="1322"/>
        <v>809</v>
      </c>
      <c r="L7358">
        <v>555.66</v>
      </c>
    </row>
    <row r="7359" spans="1:12" x14ac:dyDescent="0.25">
      <c r="A7359" t="str">
        <f t="shared" si="1311"/>
        <v>89301000</v>
      </c>
      <c r="B7359" t="str">
        <f t="shared" si="1320"/>
        <v>89895000</v>
      </c>
      <c r="C7359" t="str">
        <f t="shared" si="1321"/>
        <v>89895002</v>
      </c>
      <c r="D7359">
        <v>89301212</v>
      </c>
      <c r="E7359" t="str">
        <f>"445506443"</f>
        <v>445506443</v>
      </c>
      <c r="F7359" s="1">
        <v>45082</v>
      </c>
      <c r="G7359" t="str">
        <f>"89180"</f>
        <v>89180</v>
      </c>
      <c r="H7359">
        <v>2</v>
      </c>
      <c r="I7359">
        <v>762</v>
      </c>
      <c r="J7359">
        <v>0</v>
      </c>
      <c r="K7359" t="str">
        <f t="shared" si="1322"/>
        <v>809</v>
      </c>
      <c r="L7359">
        <v>1120.1400000000001</v>
      </c>
    </row>
    <row r="7360" spans="1:12" x14ac:dyDescent="0.25">
      <c r="A7360" t="str">
        <f t="shared" si="1311"/>
        <v>89301000</v>
      </c>
      <c r="B7360" t="str">
        <f t="shared" si="1320"/>
        <v>89895000</v>
      </c>
      <c r="C7360" t="str">
        <f t="shared" si="1321"/>
        <v>89895002</v>
      </c>
      <c r="D7360">
        <v>89301212</v>
      </c>
      <c r="E7360" t="str">
        <f>"445506443"</f>
        <v>445506443</v>
      </c>
      <c r="F7360" s="1">
        <v>45082</v>
      </c>
      <c r="G7360" t="str">
        <f>"89512"</f>
        <v>89512</v>
      </c>
      <c r="H7360">
        <v>1</v>
      </c>
      <c r="I7360">
        <v>283</v>
      </c>
      <c r="J7360">
        <v>0</v>
      </c>
      <c r="K7360" t="str">
        <f t="shared" si="1322"/>
        <v>809</v>
      </c>
      <c r="L7360">
        <v>416.01</v>
      </c>
    </row>
    <row r="7361" spans="1:12" x14ac:dyDescent="0.25">
      <c r="A7361" t="str">
        <f t="shared" si="1311"/>
        <v>89301000</v>
      </c>
      <c r="B7361" t="str">
        <f t="shared" si="1320"/>
        <v>89895000</v>
      </c>
      <c r="C7361" t="str">
        <f t="shared" si="1321"/>
        <v>89895002</v>
      </c>
      <c r="D7361">
        <v>89301212</v>
      </c>
      <c r="E7361" t="str">
        <f>"445506443"</f>
        <v>445506443</v>
      </c>
      <c r="F7361" s="1">
        <v>45082</v>
      </c>
      <c r="G7361" t="str">
        <f>"09511"</f>
        <v>09511</v>
      </c>
      <c r="H7361">
        <v>1</v>
      </c>
      <c r="I7361">
        <v>45</v>
      </c>
      <c r="J7361">
        <v>0</v>
      </c>
      <c r="K7361" t="str">
        <f t="shared" si="1322"/>
        <v>809</v>
      </c>
      <c r="L7361">
        <v>66.150000000000006</v>
      </c>
    </row>
    <row r="7362" spans="1:12" x14ac:dyDescent="0.25">
      <c r="A7362" t="str">
        <f t="shared" ref="A7362:A7425" si="1323">"89301000"</f>
        <v>89301000</v>
      </c>
      <c r="B7362" t="str">
        <f t="shared" si="1320"/>
        <v>89895000</v>
      </c>
      <c r="C7362" t="str">
        <f t="shared" si="1321"/>
        <v>89895002</v>
      </c>
      <c r="D7362">
        <v>89301212</v>
      </c>
      <c r="E7362" t="str">
        <f>"445922459"</f>
        <v>445922459</v>
      </c>
      <c r="F7362" s="1">
        <v>45085</v>
      </c>
      <c r="G7362" t="str">
        <f>"89513"</f>
        <v>89513</v>
      </c>
      <c r="H7362">
        <v>1</v>
      </c>
      <c r="I7362">
        <v>378</v>
      </c>
      <c r="J7362">
        <v>0</v>
      </c>
      <c r="K7362" t="str">
        <f t="shared" si="1322"/>
        <v>809</v>
      </c>
      <c r="L7362">
        <v>555.66</v>
      </c>
    </row>
    <row r="7363" spans="1:12" x14ac:dyDescent="0.25">
      <c r="A7363" t="str">
        <f t="shared" si="1323"/>
        <v>89301000</v>
      </c>
      <c r="B7363" t="str">
        <f t="shared" si="1320"/>
        <v>89895000</v>
      </c>
      <c r="C7363" t="str">
        <f t="shared" si="1321"/>
        <v>89895002</v>
      </c>
      <c r="D7363">
        <v>89301212</v>
      </c>
      <c r="E7363" t="str">
        <f>"445922459"</f>
        <v>445922459</v>
      </c>
      <c r="F7363" s="1">
        <v>45085</v>
      </c>
      <c r="G7363" t="str">
        <f>"89514"</f>
        <v>89514</v>
      </c>
      <c r="H7363">
        <v>1</v>
      </c>
      <c r="I7363">
        <v>378</v>
      </c>
      <c r="J7363">
        <v>0</v>
      </c>
      <c r="K7363" t="str">
        <f t="shared" si="1322"/>
        <v>809</v>
      </c>
      <c r="L7363">
        <v>555.66</v>
      </c>
    </row>
    <row r="7364" spans="1:12" x14ac:dyDescent="0.25">
      <c r="A7364" t="str">
        <f t="shared" si="1323"/>
        <v>89301000</v>
      </c>
      <c r="B7364" t="str">
        <f t="shared" si="1320"/>
        <v>89895000</v>
      </c>
      <c r="C7364" t="str">
        <f t="shared" si="1321"/>
        <v>89895002</v>
      </c>
      <c r="D7364">
        <v>89301212</v>
      </c>
      <c r="E7364" t="str">
        <f>"455106444"</f>
        <v>455106444</v>
      </c>
      <c r="F7364" s="1">
        <v>45096</v>
      </c>
      <c r="G7364" t="str">
        <f>"89180"</f>
        <v>89180</v>
      </c>
      <c r="H7364">
        <v>2</v>
      </c>
      <c r="I7364">
        <v>762</v>
      </c>
      <c r="J7364">
        <v>0</v>
      </c>
      <c r="K7364" t="str">
        <f t="shared" si="1322"/>
        <v>809</v>
      </c>
      <c r="L7364">
        <v>1120.1400000000001</v>
      </c>
    </row>
    <row r="7365" spans="1:12" x14ac:dyDescent="0.25">
      <c r="A7365" t="str">
        <f t="shared" si="1323"/>
        <v>89301000</v>
      </c>
      <c r="B7365" t="str">
        <f t="shared" si="1320"/>
        <v>89895000</v>
      </c>
      <c r="C7365" t="str">
        <f t="shared" si="1321"/>
        <v>89895002</v>
      </c>
      <c r="D7365">
        <v>89301212</v>
      </c>
      <c r="E7365" t="str">
        <f>"496015202"</f>
        <v>496015202</v>
      </c>
      <c r="F7365" s="1">
        <v>45104</v>
      </c>
      <c r="G7365" t="str">
        <f>"89513"</f>
        <v>89513</v>
      </c>
      <c r="H7365">
        <v>1</v>
      </c>
      <c r="I7365">
        <v>378</v>
      </c>
      <c r="J7365">
        <v>0</v>
      </c>
      <c r="K7365" t="str">
        <f t="shared" si="1322"/>
        <v>809</v>
      </c>
      <c r="L7365">
        <v>555.66</v>
      </c>
    </row>
    <row r="7366" spans="1:12" x14ac:dyDescent="0.25">
      <c r="A7366" t="str">
        <f t="shared" si="1323"/>
        <v>89301000</v>
      </c>
      <c r="B7366" t="str">
        <f t="shared" si="1320"/>
        <v>89895000</v>
      </c>
      <c r="C7366" t="str">
        <f t="shared" si="1321"/>
        <v>89895002</v>
      </c>
      <c r="D7366">
        <v>89301212</v>
      </c>
      <c r="E7366" t="str">
        <f>"496015202"</f>
        <v>496015202</v>
      </c>
      <c r="F7366" s="1">
        <v>45104</v>
      </c>
      <c r="G7366" t="str">
        <f>"89180"</f>
        <v>89180</v>
      </c>
      <c r="H7366">
        <v>2</v>
      </c>
      <c r="I7366">
        <v>762</v>
      </c>
      <c r="J7366">
        <v>0</v>
      </c>
      <c r="K7366" t="str">
        <f t="shared" si="1322"/>
        <v>809</v>
      </c>
      <c r="L7366">
        <v>1120.1400000000001</v>
      </c>
    </row>
    <row r="7367" spans="1:12" x14ac:dyDescent="0.25">
      <c r="A7367" t="str">
        <f t="shared" si="1323"/>
        <v>89301000</v>
      </c>
      <c r="B7367" t="str">
        <f t="shared" si="1320"/>
        <v>89895000</v>
      </c>
      <c r="C7367" t="str">
        <f t="shared" si="1321"/>
        <v>89895002</v>
      </c>
      <c r="D7367">
        <v>89301212</v>
      </c>
      <c r="E7367" t="str">
        <f>"496015202"</f>
        <v>496015202</v>
      </c>
      <c r="F7367" s="1">
        <v>45104</v>
      </c>
      <c r="G7367" t="str">
        <f>"89514"</f>
        <v>89514</v>
      </c>
      <c r="H7367">
        <v>1</v>
      </c>
      <c r="I7367">
        <v>378</v>
      </c>
      <c r="J7367">
        <v>0</v>
      </c>
      <c r="K7367" t="str">
        <f t="shared" si="1322"/>
        <v>809</v>
      </c>
      <c r="L7367">
        <v>555.66</v>
      </c>
    </row>
    <row r="7368" spans="1:12" x14ac:dyDescent="0.25">
      <c r="A7368" t="str">
        <f t="shared" si="1323"/>
        <v>89301000</v>
      </c>
      <c r="B7368" t="str">
        <f t="shared" si="1320"/>
        <v>89895000</v>
      </c>
      <c r="C7368" t="str">
        <f t="shared" si="1321"/>
        <v>89895002</v>
      </c>
      <c r="D7368">
        <v>89301212</v>
      </c>
      <c r="E7368" t="str">
        <f>"496015202"</f>
        <v>496015202</v>
      </c>
      <c r="F7368" s="1">
        <v>45104</v>
      </c>
      <c r="G7368" t="str">
        <f>"89512"</f>
        <v>89512</v>
      </c>
      <c r="H7368">
        <v>1</v>
      </c>
      <c r="I7368">
        <v>283</v>
      </c>
      <c r="J7368">
        <v>0</v>
      </c>
      <c r="K7368" t="str">
        <f t="shared" si="1322"/>
        <v>809</v>
      </c>
      <c r="L7368">
        <v>416.01</v>
      </c>
    </row>
    <row r="7369" spans="1:12" x14ac:dyDescent="0.25">
      <c r="A7369" t="str">
        <f t="shared" si="1323"/>
        <v>89301000</v>
      </c>
      <c r="B7369" t="str">
        <f t="shared" si="1320"/>
        <v>89895000</v>
      </c>
      <c r="C7369" t="str">
        <f t="shared" si="1321"/>
        <v>89895002</v>
      </c>
      <c r="D7369">
        <v>89301212</v>
      </c>
      <c r="E7369" t="str">
        <f>"535111097"</f>
        <v>535111097</v>
      </c>
      <c r="F7369" s="1">
        <v>45092</v>
      </c>
      <c r="G7369" t="str">
        <f>"89513"</f>
        <v>89513</v>
      </c>
      <c r="H7369">
        <v>1</v>
      </c>
      <c r="I7369">
        <v>378</v>
      </c>
      <c r="J7369">
        <v>0</v>
      </c>
      <c r="K7369" t="str">
        <f t="shared" si="1322"/>
        <v>809</v>
      </c>
      <c r="L7369">
        <v>555.66</v>
      </c>
    </row>
    <row r="7370" spans="1:12" x14ac:dyDescent="0.25">
      <c r="A7370" t="str">
        <f t="shared" si="1323"/>
        <v>89301000</v>
      </c>
      <c r="B7370" t="str">
        <f t="shared" si="1320"/>
        <v>89895000</v>
      </c>
      <c r="C7370" t="str">
        <f t="shared" si="1321"/>
        <v>89895002</v>
      </c>
      <c r="D7370">
        <v>89301212</v>
      </c>
      <c r="E7370" t="str">
        <f>"535111097"</f>
        <v>535111097</v>
      </c>
      <c r="F7370" s="1">
        <v>45092</v>
      </c>
      <c r="G7370" t="str">
        <f>"89514"</f>
        <v>89514</v>
      </c>
      <c r="H7370">
        <v>1</v>
      </c>
      <c r="I7370">
        <v>378</v>
      </c>
      <c r="J7370">
        <v>0</v>
      </c>
      <c r="K7370" t="str">
        <f t="shared" si="1322"/>
        <v>809</v>
      </c>
      <c r="L7370">
        <v>555.66</v>
      </c>
    </row>
    <row r="7371" spans="1:12" x14ac:dyDescent="0.25">
      <c r="A7371" t="str">
        <f t="shared" si="1323"/>
        <v>89301000</v>
      </c>
      <c r="B7371" t="str">
        <f t="shared" si="1320"/>
        <v>89895000</v>
      </c>
      <c r="C7371" t="str">
        <f t="shared" si="1321"/>
        <v>89895002</v>
      </c>
      <c r="D7371">
        <v>89301212</v>
      </c>
      <c r="E7371" t="str">
        <f>"535111097"</f>
        <v>535111097</v>
      </c>
      <c r="F7371" s="1">
        <v>45104</v>
      </c>
      <c r="G7371" t="str">
        <f>"89180"</f>
        <v>89180</v>
      </c>
      <c r="H7371">
        <v>2</v>
      </c>
      <c r="I7371">
        <v>762</v>
      </c>
      <c r="J7371">
        <v>0</v>
      </c>
      <c r="K7371" t="str">
        <f t="shared" si="1322"/>
        <v>809</v>
      </c>
      <c r="L7371">
        <v>1120.1400000000001</v>
      </c>
    </row>
    <row r="7372" spans="1:12" x14ac:dyDescent="0.25">
      <c r="A7372" t="str">
        <f t="shared" si="1323"/>
        <v>89301000</v>
      </c>
      <c r="B7372" t="str">
        <f t="shared" si="1320"/>
        <v>89895000</v>
      </c>
      <c r="C7372" t="str">
        <f t="shared" si="1321"/>
        <v>89895002</v>
      </c>
      <c r="D7372">
        <v>89301212</v>
      </c>
      <c r="E7372" t="str">
        <f>"535111097"</f>
        <v>535111097</v>
      </c>
      <c r="F7372" s="1">
        <v>45104</v>
      </c>
      <c r="G7372" t="str">
        <f>"89512"</f>
        <v>89512</v>
      </c>
      <c r="H7372">
        <v>1</v>
      </c>
      <c r="I7372">
        <v>283</v>
      </c>
      <c r="J7372">
        <v>0</v>
      </c>
      <c r="K7372" t="str">
        <f t="shared" si="1322"/>
        <v>809</v>
      </c>
      <c r="L7372">
        <v>416.01</v>
      </c>
    </row>
    <row r="7373" spans="1:12" x14ac:dyDescent="0.25">
      <c r="A7373" t="str">
        <f t="shared" si="1323"/>
        <v>89301000</v>
      </c>
      <c r="B7373" t="str">
        <f t="shared" si="1320"/>
        <v>89895000</v>
      </c>
      <c r="C7373" t="str">
        <f t="shared" si="1321"/>
        <v>89895002</v>
      </c>
      <c r="D7373">
        <v>89301212</v>
      </c>
      <c r="E7373" t="str">
        <f>"5460122998"</f>
        <v>5460122998</v>
      </c>
      <c r="F7373" s="1">
        <v>45098</v>
      </c>
      <c r="G7373" t="str">
        <f>"89513"</f>
        <v>89513</v>
      </c>
      <c r="H7373">
        <v>1</v>
      </c>
      <c r="I7373">
        <v>378</v>
      </c>
      <c r="J7373">
        <v>0</v>
      </c>
      <c r="K7373" t="str">
        <f t="shared" si="1322"/>
        <v>809</v>
      </c>
      <c r="L7373">
        <v>555.66</v>
      </c>
    </row>
    <row r="7374" spans="1:12" x14ac:dyDescent="0.25">
      <c r="A7374" t="str">
        <f t="shared" si="1323"/>
        <v>89301000</v>
      </c>
      <c r="B7374" t="str">
        <f t="shared" si="1320"/>
        <v>89895000</v>
      </c>
      <c r="C7374" t="str">
        <f t="shared" si="1321"/>
        <v>89895002</v>
      </c>
      <c r="D7374">
        <v>89301212</v>
      </c>
      <c r="E7374" t="str">
        <f>"5460122998"</f>
        <v>5460122998</v>
      </c>
      <c r="F7374" s="1">
        <v>45098</v>
      </c>
      <c r="G7374" t="str">
        <f>"89514"</f>
        <v>89514</v>
      </c>
      <c r="H7374">
        <v>1</v>
      </c>
      <c r="I7374">
        <v>378</v>
      </c>
      <c r="J7374">
        <v>0</v>
      </c>
      <c r="K7374" t="str">
        <f t="shared" si="1322"/>
        <v>809</v>
      </c>
      <c r="L7374">
        <v>555.66</v>
      </c>
    </row>
    <row r="7375" spans="1:12" x14ac:dyDescent="0.25">
      <c r="A7375" t="str">
        <f t="shared" si="1323"/>
        <v>89301000</v>
      </c>
      <c r="B7375" t="str">
        <f t="shared" si="1320"/>
        <v>89895000</v>
      </c>
      <c r="C7375" t="str">
        <f t="shared" si="1321"/>
        <v>89895002</v>
      </c>
      <c r="D7375">
        <v>89301212</v>
      </c>
      <c r="E7375" t="str">
        <f>"5462031377"</f>
        <v>5462031377</v>
      </c>
      <c r="F7375" s="1">
        <v>45091</v>
      </c>
      <c r="G7375" t="str">
        <f>"89513"</f>
        <v>89513</v>
      </c>
      <c r="H7375">
        <v>1</v>
      </c>
      <c r="I7375">
        <v>378</v>
      </c>
      <c r="J7375">
        <v>0</v>
      </c>
      <c r="K7375" t="str">
        <f t="shared" si="1322"/>
        <v>809</v>
      </c>
      <c r="L7375">
        <v>555.66</v>
      </c>
    </row>
    <row r="7376" spans="1:12" x14ac:dyDescent="0.25">
      <c r="A7376" t="str">
        <f t="shared" si="1323"/>
        <v>89301000</v>
      </c>
      <c r="B7376" t="str">
        <f t="shared" si="1320"/>
        <v>89895000</v>
      </c>
      <c r="C7376" t="str">
        <f t="shared" si="1321"/>
        <v>89895002</v>
      </c>
      <c r="D7376">
        <v>89301212</v>
      </c>
      <c r="E7376" t="str">
        <f>"5462031377"</f>
        <v>5462031377</v>
      </c>
      <c r="F7376" s="1">
        <v>45091</v>
      </c>
      <c r="G7376" t="str">
        <f>"89514"</f>
        <v>89514</v>
      </c>
      <c r="H7376">
        <v>1</v>
      </c>
      <c r="I7376">
        <v>378</v>
      </c>
      <c r="J7376">
        <v>0</v>
      </c>
      <c r="K7376" t="str">
        <f t="shared" si="1322"/>
        <v>809</v>
      </c>
      <c r="L7376">
        <v>555.66</v>
      </c>
    </row>
    <row r="7377" spans="1:12" x14ac:dyDescent="0.25">
      <c r="A7377" t="str">
        <f t="shared" si="1323"/>
        <v>89301000</v>
      </c>
      <c r="B7377" t="str">
        <f t="shared" si="1320"/>
        <v>89895000</v>
      </c>
      <c r="C7377" t="str">
        <f t="shared" si="1321"/>
        <v>89895002</v>
      </c>
      <c r="D7377">
        <v>89301212</v>
      </c>
      <c r="E7377" t="str">
        <f>"5753151415"</f>
        <v>5753151415</v>
      </c>
      <c r="F7377" s="1">
        <v>45096</v>
      </c>
      <c r="G7377" t="str">
        <f>"89512"</f>
        <v>89512</v>
      </c>
      <c r="H7377">
        <v>1</v>
      </c>
      <c r="I7377">
        <v>283</v>
      </c>
      <c r="J7377">
        <v>0</v>
      </c>
      <c r="K7377" t="str">
        <f t="shared" si="1322"/>
        <v>809</v>
      </c>
      <c r="L7377">
        <v>416.01</v>
      </c>
    </row>
    <row r="7378" spans="1:12" x14ac:dyDescent="0.25">
      <c r="A7378" t="str">
        <f t="shared" si="1323"/>
        <v>89301000</v>
      </c>
      <c r="B7378" t="str">
        <f t="shared" si="1320"/>
        <v>89895000</v>
      </c>
      <c r="C7378" t="str">
        <f t="shared" si="1321"/>
        <v>89895002</v>
      </c>
      <c r="D7378">
        <v>89301212</v>
      </c>
      <c r="E7378" t="str">
        <f>"5961270799"</f>
        <v>5961270799</v>
      </c>
      <c r="F7378" s="1">
        <v>45082</v>
      </c>
      <c r="G7378" t="str">
        <f>"89180"</f>
        <v>89180</v>
      </c>
      <c r="H7378">
        <v>2</v>
      </c>
      <c r="I7378">
        <v>762</v>
      </c>
      <c r="J7378">
        <v>0</v>
      </c>
      <c r="K7378" t="str">
        <f t="shared" si="1322"/>
        <v>809</v>
      </c>
      <c r="L7378">
        <v>1120.1400000000001</v>
      </c>
    </row>
    <row r="7379" spans="1:12" x14ac:dyDescent="0.25">
      <c r="A7379" t="str">
        <f t="shared" si="1323"/>
        <v>89301000</v>
      </c>
      <c r="B7379" t="str">
        <f t="shared" si="1320"/>
        <v>89895000</v>
      </c>
      <c r="C7379" t="str">
        <f t="shared" si="1321"/>
        <v>89895002</v>
      </c>
      <c r="D7379">
        <v>89301212</v>
      </c>
      <c r="E7379" t="str">
        <f>"5961270799"</f>
        <v>5961270799</v>
      </c>
      <c r="F7379" s="1">
        <v>45082</v>
      </c>
      <c r="G7379" t="str">
        <f>"89513"</f>
        <v>89513</v>
      </c>
      <c r="H7379">
        <v>1</v>
      </c>
      <c r="I7379">
        <v>378</v>
      </c>
      <c r="J7379">
        <v>0</v>
      </c>
      <c r="K7379" t="str">
        <f t="shared" si="1322"/>
        <v>809</v>
      </c>
      <c r="L7379">
        <v>555.66</v>
      </c>
    </row>
    <row r="7380" spans="1:12" x14ac:dyDescent="0.25">
      <c r="A7380" t="str">
        <f t="shared" si="1323"/>
        <v>89301000</v>
      </c>
      <c r="B7380" t="str">
        <f t="shared" si="1320"/>
        <v>89895000</v>
      </c>
      <c r="C7380" t="str">
        <f t="shared" si="1321"/>
        <v>89895002</v>
      </c>
      <c r="D7380">
        <v>89301212</v>
      </c>
      <c r="E7380" t="str">
        <f>"5961270799"</f>
        <v>5961270799</v>
      </c>
      <c r="F7380" s="1">
        <v>45082</v>
      </c>
      <c r="G7380" t="str">
        <f>"89514"</f>
        <v>89514</v>
      </c>
      <c r="H7380">
        <v>1</v>
      </c>
      <c r="I7380">
        <v>378</v>
      </c>
      <c r="J7380">
        <v>0</v>
      </c>
      <c r="K7380" t="str">
        <f t="shared" si="1322"/>
        <v>809</v>
      </c>
      <c r="L7380">
        <v>555.66</v>
      </c>
    </row>
    <row r="7381" spans="1:12" x14ac:dyDescent="0.25">
      <c r="A7381" t="str">
        <f t="shared" si="1323"/>
        <v>89301000</v>
      </c>
      <c r="B7381" t="str">
        <f t="shared" si="1320"/>
        <v>89895000</v>
      </c>
      <c r="C7381" t="str">
        <f t="shared" si="1321"/>
        <v>89895002</v>
      </c>
      <c r="D7381">
        <v>89301212</v>
      </c>
      <c r="E7381" t="str">
        <f>"5961270799"</f>
        <v>5961270799</v>
      </c>
      <c r="F7381" s="1">
        <v>45082</v>
      </c>
      <c r="G7381" t="str">
        <f>"89512"</f>
        <v>89512</v>
      </c>
      <c r="H7381">
        <v>1</v>
      </c>
      <c r="I7381">
        <v>283</v>
      </c>
      <c r="J7381">
        <v>0</v>
      </c>
      <c r="K7381" t="str">
        <f t="shared" si="1322"/>
        <v>809</v>
      </c>
      <c r="L7381">
        <v>416.01</v>
      </c>
    </row>
    <row r="7382" spans="1:12" x14ac:dyDescent="0.25">
      <c r="A7382" t="str">
        <f t="shared" si="1323"/>
        <v>89301000</v>
      </c>
      <c r="B7382" t="str">
        <f t="shared" si="1320"/>
        <v>89895000</v>
      </c>
      <c r="C7382" t="str">
        <f t="shared" si="1321"/>
        <v>89895002</v>
      </c>
      <c r="D7382">
        <v>89301212</v>
      </c>
      <c r="E7382" t="str">
        <f>"5961270799"</f>
        <v>5961270799</v>
      </c>
      <c r="F7382" s="1">
        <v>45082</v>
      </c>
      <c r="G7382" t="str">
        <f>"09511"</f>
        <v>09511</v>
      </c>
      <c r="H7382">
        <v>1</v>
      </c>
      <c r="I7382">
        <v>45</v>
      </c>
      <c r="J7382">
        <v>0</v>
      </c>
      <c r="K7382" t="str">
        <f t="shared" si="1322"/>
        <v>809</v>
      </c>
      <c r="L7382">
        <v>66.150000000000006</v>
      </c>
    </row>
    <row r="7383" spans="1:12" x14ac:dyDescent="0.25">
      <c r="A7383" t="str">
        <f t="shared" si="1323"/>
        <v>89301000</v>
      </c>
      <c r="B7383" t="str">
        <f t="shared" si="1320"/>
        <v>89895000</v>
      </c>
      <c r="C7383" t="str">
        <f t="shared" si="1321"/>
        <v>89895002</v>
      </c>
      <c r="D7383">
        <v>89301212</v>
      </c>
      <c r="E7383" t="str">
        <f>"6154111106"</f>
        <v>6154111106</v>
      </c>
      <c r="F7383" s="1">
        <v>45086</v>
      </c>
      <c r="G7383" t="str">
        <f>"89512"</f>
        <v>89512</v>
      </c>
      <c r="H7383">
        <v>1</v>
      </c>
      <c r="I7383">
        <v>283</v>
      </c>
      <c r="J7383">
        <v>0</v>
      </c>
      <c r="K7383" t="str">
        <f t="shared" si="1322"/>
        <v>809</v>
      </c>
      <c r="L7383">
        <v>416.01</v>
      </c>
    </row>
    <row r="7384" spans="1:12" x14ac:dyDescent="0.25">
      <c r="A7384" t="str">
        <f t="shared" si="1323"/>
        <v>89301000</v>
      </c>
      <c r="B7384" t="str">
        <f t="shared" si="1320"/>
        <v>89895000</v>
      </c>
      <c r="C7384" t="str">
        <f t="shared" si="1321"/>
        <v>89895002</v>
      </c>
      <c r="D7384">
        <v>89301212</v>
      </c>
      <c r="E7384" t="str">
        <f>"6556281171"</f>
        <v>6556281171</v>
      </c>
      <c r="F7384" s="1">
        <v>45083</v>
      </c>
      <c r="G7384" t="str">
        <f>"89513"</f>
        <v>89513</v>
      </c>
      <c r="H7384">
        <v>1</v>
      </c>
      <c r="I7384">
        <v>378</v>
      </c>
      <c r="J7384">
        <v>0</v>
      </c>
      <c r="K7384" t="str">
        <f t="shared" si="1322"/>
        <v>809</v>
      </c>
      <c r="L7384">
        <v>555.66</v>
      </c>
    </row>
    <row r="7385" spans="1:12" x14ac:dyDescent="0.25">
      <c r="A7385" t="str">
        <f t="shared" si="1323"/>
        <v>89301000</v>
      </c>
      <c r="B7385" t="str">
        <f t="shared" si="1320"/>
        <v>89895000</v>
      </c>
      <c r="C7385" t="str">
        <f t="shared" si="1321"/>
        <v>89895002</v>
      </c>
      <c r="D7385">
        <v>89301212</v>
      </c>
      <c r="E7385" t="str">
        <f>"6556281171"</f>
        <v>6556281171</v>
      </c>
      <c r="F7385" s="1">
        <v>45083</v>
      </c>
      <c r="G7385" t="str">
        <f>"89514"</f>
        <v>89514</v>
      </c>
      <c r="H7385">
        <v>1</v>
      </c>
      <c r="I7385">
        <v>378</v>
      </c>
      <c r="J7385">
        <v>0</v>
      </c>
      <c r="K7385" t="str">
        <f t="shared" si="1322"/>
        <v>809</v>
      </c>
      <c r="L7385">
        <v>555.66</v>
      </c>
    </row>
    <row r="7386" spans="1:12" x14ac:dyDescent="0.25">
      <c r="A7386" t="str">
        <f t="shared" si="1323"/>
        <v>89301000</v>
      </c>
      <c r="B7386" t="str">
        <f t="shared" si="1320"/>
        <v>89895000</v>
      </c>
      <c r="C7386" t="str">
        <f t="shared" si="1321"/>
        <v>89895002</v>
      </c>
      <c r="D7386">
        <v>89301212</v>
      </c>
      <c r="E7386" t="str">
        <f>"6558271093"</f>
        <v>6558271093</v>
      </c>
      <c r="F7386" s="1">
        <v>45096</v>
      </c>
      <c r="G7386" t="str">
        <f>"89180"</f>
        <v>89180</v>
      </c>
      <c r="H7386">
        <v>2</v>
      </c>
      <c r="I7386">
        <v>762</v>
      </c>
      <c r="J7386">
        <v>0</v>
      </c>
      <c r="K7386" t="str">
        <f t="shared" si="1322"/>
        <v>809</v>
      </c>
      <c r="L7386">
        <v>1120.1400000000001</v>
      </c>
    </row>
    <row r="7387" spans="1:12" x14ac:dyDescent="0.25">
      <c r="A7387" t="str">
        <f t="shared" si="1323"/>
        <v>89301000</v>
      </c>
      <c r="B7387" t="str">
        <f t="shared" si="1320"/>
        <v>89895000</v>
      </c>
      <c r="C7387" t="str">
        <f t="shared" si="1321"/>
        <v>89895002</v>
      </c>
      <c r="D7387">
        <v>89301212</v>
      </c>
      <c r="E7387" t="str">
        <f>"6558271093"</f>
        <v>6558271093</v>
      </c>
      <c r="F7387" s="1">
        <v>45096</v>
      </c>
      <c r="G7387" t="str">
        <f>"89513"</f>
        <v>89513</v>
      </c>
      <c r="H7387">
        <v>1</v>
      </c>
      <c r="I7387">
        <v>378</v>
      </c>
      <c r="J7387">
        <v>0</v>
      </c>
      <c r="K7387" t="str">
        <f t="shared" si="1322"/>
        <v>809</v>
      </c>
      <c r="L7387">
        <v>555.66</v>
      </c>
    </row>
    <row r="7388" spans="1:12" x14ac:dyDescent="0.25">
      <c r="A7388" t="str">
        <f t="shared" si="1323"/>
        <v>89301000</v>
      </c>
      <c r="B7388" t="str">
        <f t="shared" si="1320"/>
        <v>89895000</v>
      </c>
      <c r="C7388" t="str">
        <f t="shared" si="1321"/>
        <v>89895002</v>
      </c>
      <c r="D7388">
        <v>89301212</v>
      </c>
      <c r="E7388" t="str">
        <f>"6558271093"</f>
        <v>6558271093</v>
      </c>
      <c r="F7388" s="1">
        <v>45096</v>
      </c>
      <c r="G7388" t="str">
        <f>"89514"</f>
        <v>89514</v>
      </c>
      <c r="H7388">
        <v>1</v>
      </c>
      <c r="I7388">
        <v>378</v>
      </c>
      <c r="J7388">
        <v>0</v>
      </c>
      <c r="K7388" t="str">
        <f t="shared" si="1322"/>
        <v>809</v>
      </c>
      <c r="L7388">
        <v>555.66</v>
      </c>
    </row>
    <row r="7389" spans="1:12" x14ac:dyDescent="0.25">
      <c r="A7389" t="str">
        <f t="shared" si="1323"/>
        <v>89301000</v>
      </c>
      <c r="B7389" t="str">
        <f t="shared" si="1320"/>
        <v>89895000</v>
      </c>
      <c r="C7389" t="str">
        <f t="shared" si="1321"/>
        <v>89895002</v>
      </c>
      <c r="D7389">
        <v>89301212</v>
      </c>
      <c r="E7389" t="str">
        <f>"6752091797"</f>
        <v>6752091797</v>
      </c>
      <c r="F7389" s="1">
        <v>45093</v>
      </c>
      <c r="G7389" t="str">
        <f>"89180"</f>
        <v>89180</v>
      </c>
      <c r="H7389">
        <v>2</v>
      </c>
      <c r="I7389">
        <v>762</v>
      </c>
      <c r="J7389">
        <v>0</v>
      </c>
      <c r="K7389" t="str">
        <f t="shared" si="1322"/>
        <v>809</v>
      </c>
      <c r="L7389">
        <v>1120.1400000000001</v>
      </c>
    </row>
    <row r="7390" spans="1:12" x14ac:dyDescent="0.25">
      <c r="A7390" t="str">
        <f t="shared" si="1323"/>
        <v>89301000</v>
      </c>
      <c r="B7390" t="str">
        <f t="shared" si="1320"/>
        <v>89895000</v>
      </c>
      <c r="C7390" t="str">
        <f t="shared" si="1321"/>
        <v>89895002</v>
      </c>
      <c r="D7390">
        <v>89301212</v>
      </c>
      <c r="E7390" t="str">
        <f>"6851010298"</f>
        <v>6851010298</v>
      </c>
      <c r="F7390" s="1">
        <v>45106</v>
      </c>
      <c r="G7390" t="str">
        <f>"89180"</f>
        <v>89180</v>
      </c>
      <c r="H7390">
        <v>2</v>
      </c>
      <c r="I7390">
        <v>762</v>
      </c>
      <c r="J7390">
        <v>0</v>
      </c>
      <c r="K7390" t="str">
        <f t="shared" si="1322"/>
        <v>809</v>
      </c>
      <c r="L7390">
        <v>1120.1400000000001</v>
      </c>
    </row>
    <row r="7391" spans="1:12" x14ac:dyDescent="0.25">
      <c r="A7391" t="str">
        <f t="shared" si="1323"/>
        <v>89301000</v>
      </c>
      <c r="B7391" t="str">
        <f t="shared" si="1320"/>
        <v>89895000</v>
      </c>
      <c r="C7391" t="str">
        <f t="shared" si="1321"/>
        <v>89895002</v>
      </c>
      <c r="D7391">
        <v>89301212</v>
      </c>
      <c r="E7391" t="str">
        <f>"6851010298"</f>
        <v>6851010298</v>
      </c>
      <c r="F7391" s="1">
        <v>45106</v>
      </c>
      <c r="G7391" t="str">
        <f>"89512"</f>
        <v>89512</v>
      </c>
      <c r="H7391">
        <v>1</v>
      </c>
      <c r="I7391">
        <v>283</v>
      </c>
      <c r="J7391">
        <v>0</v>
      </c>
      <c r="K7391" t="str">
        <f t="shared" si="1322"/>
        <v>809</v>
      </c>
      <c r="L7391">
        <v>416.01</v>
      </c>
    </row>
    <row r="7392" spans="1:12" x14ac:dyDescent="0.25">
      <c r="A7392" t="str">
        <f t="shared" si="1323"/>
        <v>89301000</v>
      </c>
      <c r="B7392" t="str">
        <f t="shared" si="1320"/>
        <v>89895000</v>
      </c>
      <c r="C7392" t="str">
        <f t="shared" si="1321"/>
        <v>89895002</v>
      </c>
      <c r="D7392">
        <v>89301212</v>
      </c>
      <c r="E7392" t="str">
        <f>"7053074468"</f>
        <v>7053074468</v>
      </c>
      <c r="F7392" s="1">
        <v>45103</v>
      </c>
      <c r="G7392" t="str">
        <f>"89513"</f>
        <v>89513</v>
      </c>
      <c r="H7392">
        <v>1</v>
      </c>
      <c r="I7392">
        <v>378</v>
      </c>
      <c r="J7392">
        <v>0</v>
      </c>
      <c r="K7392" t="str">
        <f t="shared" si="1322"/>
        <v>809</v>
      </c>
      <c r="L7392">
        <v>555.66</v>
      </c>
    </row>
    <row r="7393" spans="1:12" x14ac:dyDescent="0.25">
      <c r="A7393" t="str">
        <f t="shared" si="1323"/>
        <v>89301000</v>
      </c>
      <c r="B7393" t="str">
        <f t="shared" si="1320"/>
        <v>89895000</v>
      </c>
      <c r="C7393" t="str">
        <f t="shared" si="1321"/>
        <v>89895002</v>
      </c>
      <c r="D7393">
        <v>89301212</v>
      </c>
      <c r="E7393" t="str">
        <f>"7053074468"</f>
        <v>7053074468</v>
      </c>
      <c r="F7393" s="1">
        <v>45103</v>
      </c>
      <c r="G7393" t="str">
        <f>"89514"</f>
        <v>89514</v>
      </c>
      <c r="H7393">
        <v>1</v>
      </c>
      <c r="I7393">
        <v>378</v>
      </c>
      <c r="J7393">
        <v>0</v>
      </c>
      <c r="K7393" t="str">
        <f t="shared" si="1322"/>
        <v>809</v>
      </c>
      <c r="L7393">
        <v>555.66</v>
      </c>
    </row>
    <row r="7394" spans="1:12" x14ac:dyDescent="0.25">
      <c r="A7394" t="str">
        <f t="shared" si="1323"/>
        <v>89301000</v>
      </c>
      <c r="B7394" t="str">
        <f t="shared" si="1320"/>
        <v>89895000</v>
      </c>
      <c r="C7394" t="str">
        <f t="shared" si="1321"/>
        <v>89895002</v>
      </c>
      <c r="D7394">
        <v>89301212</v>
      </c>
      <c r="E7394" t="str">
        <f>"7456275387"</f>
        <v>7456275387</v>
      </c>
      <c r="F7394" s="1">
        <v>45084</v>
      </c>
      <c r="G7394" t="str">
        <f>"89180"</f>
        <v>89180</v>
      </c>
      <c r="H7394">
        <v>2</v>
      </c>
      <c r="I7394">
        <v>762</v>
      </c>
      <c r="J7394">
        <v>0</v>
      </c>
      <c r="K7394" t="str">
        <f t="shared" si="1322"/>
        <v>809</v>
      </c>
      <c r="L7394">
        <v>1120.1400000000001</v>
      </c>
    </row>
    <row r="7395" spans="1:12" x14ac:dyDescent="0.25">
      <c r="A7395" t="str">
        <f t="shared" si="1323"/>
        <v>89301000</v>
      </c>
      <c r="B7395" t="str">
        <f t="shared" si="1320"/>
        <v>89895000</v>
      </c>
      <c r="C7395" t="str">
        <f t="shared" si="1321"/>
        <v>89895002</v>
      </c>
      <c r="D7395">
        <v>89301212</v>
      </c>
      <c r="E7395" t="str">
        <f>"7456275387"</f>
        <v>7456275387</v>
      </c>
      <c r="F7395" s="1">
        <v>45084</v>
      </c>
      <c r="G7395" t="str">
        <f>"89513"</f>
        <v>89513</v>
      </c>
      <c r="H7395">
        <v>1</v>
      </c>
      <c r="I7395">
        <v>378</v>
      </c>
      <c r="J7395">
        <v>0</v>
      </c>
      <c r="K7395" t="str">
        <f t="shared" si="1322"/>
        <v>809</v>
      </c>
      <c r="L7395">
        <v>555.66</v>
      </c>
    </row>
    <row r="7396" spans="1:12" x14ac:dyDescent="0.25">
      <c r="A7396" t="str">
        <f t="shared" si="1323"/>
        <v>89301000</v>
      </c>
      <c r="B7396" t="str">
        <f t="shared" si="1320"/>
        <v>89895000</v>
      </c>
      <c r="C7396" t="str">
        <f t="shared" si="1321"/>
        <v>89895002</v>
      </c>
      <c r="D7396">
        <v>89301212</v>
      </c>
      <c r="E7396" t="str">
        <f>"7456275387"</f>
        <v>7456275387</v>
      </c>
      <c r="F7396" s="1">
        <v>45084</v>
      </c>
      <c r="G7396" t="str">
        <f>"89514"</f>
        <v>89514</v>
      </c>
      <c r="H7396">
        <v>1</v>
      </c>
      <c r="I7396">
        <v>378</v>
      </c>
      <c r="J7396">
        <v>0</v>
      </c>
      <c r="K7396" t="str">
        <f t="shared" si="1322"/>
        <v>809</v>
      </c>
      <c r="L7396">
        <v>555.66</v>
      </c>
    </row>
    <row r="7397" spans="1:12" x14ac:dyDescent="0.25">
      <c r="A7397" t="str">
        <f t="shared" si="1323"/>
        <v>89301000</v>
      </c>
      <c r="B7397" t="str">
        <f t="shared" si="1320"/>
        <v>89895000</v>
      </c>
      <c r="C7397" t="str">
        <f t="shared" si="1321"/>
        <v>89895002</v>
      </c>
      <c r="D7397">
        <v>89301212</v>
      </c>
      <c r="E7397" t="str">
        <f>"7456275387"</f>
        <v>7456275387</v>
      </c>
      <c r="F7397" s="1">
        <v>45084</v>
      </c>
      <c r="G7397" t="str">
        <f>"89512"</f>
        <v>89512</v>
      </c>
      <c r="H7397">
        <v>1</v>
      </c>
      <c r="I7397">
        <v>283</v>
      </c>
      <c r="J7397">
        <v>0</v>
      </c>
      <c r="K7397" t="str">
        <f t="shared" si="1322"/>
        <v>809</v>
      </c>
      <c r="L7397">
        <v>416.01</v>
      </c>
    </row>
    <row r="7398" spans="1:12" x14ac:dyDescent="0.25">
      <c r="A7398" t="str">
        <f t="shared" si="1323"/>
        <v>89301000</v>
      </c>
      <c r="B7398" t="str">
        <f t="shared" si="1320"/>
        <v>89895000</v>
      </c>
      <c r="C7398" t="str">
        <f t="shared" si="1321"/>
        <v>89895002</v>
      </c>
      <c r="D7398">
        <v>89301212</v>
      </c>
      <c r="E7398" t="str">
        <f>"7457174494"</f>
        <v>7457174494</v>
      </c>
      <c r="F7398" s="1">
        <v>45091</v>
      </c>
      <c r="G7398" t="str">
        <f>"89512"</f>
        <v>89512</v>
      </c>
      <c r="H7398">
        <v>1</v>
      </c>
      <c r="I7398">
        <v>283</v>
      </c>
      <c r="J7398">
        <v>0</v>
      </c>
      <c r="K7398" t="str">
        <f t="shared" si="1322"/>
        <v>809</v>
      </c>
      <c r="L7398">
        <v>416.01</v>
      </c>
    </row>
    <row r="7399" spans="1:12" x14ac:dyDescent="0.25">
      <c r="A7399" t="str">
        <f t="shared" si="1323"/>
        <v>89301000</v>
      </c>
      <c r="B7399" t="str">
        <f t="shared" si="1320"/>
        <v>89895000</v>
      </c>
      <c r="C7399" t="str">
        <f t="shared" si="1321"/>
        <v>89895002</v>
      </c>
      <c r="D7399">
        <v>89301212</v>
      </c>
      <c r="E7399" t="str">
        <f>"7457174494"</f>
        <v>7457174494</v>
      </c>
      <c r="F7399" s="1">
        <v>45091</v>
      </c>
      <c r="G7399" t="str">
        <f>"09511"</f>
        <v>09511</v>
      </c>
      <c r="H7399">
        <v>1</v>
      </c>
      <c r="I7399">
        <v>45</v>
      </c>
      <c r="J7399">
        <v>0</v>
      </c>
      <c r="K7399" t="str">
        <f t="shared" si="1322"/>
        <v>809</v>
      </c>
      <c r="L7399">
        <v>66.150000000000006</v>
      </c>
    </row>
    <row r="7400" spans="1:12" x14ac:dyDescent="0.25">
      <c r="A7400" t="str">
        <f t="shared" si="1323"/>
        <v>89301000</v>
      </c>
      <c r="B7400" t="str">
        <f t="shared" si="1320"/>
        <v>89895000</v>
      </c>
      <c r="C7400" t="str">
        <f t="shared" si="1321"/>
        <v>89895002</v>
      </c>
      <c r="D7400">
        <v>89301212</v>
      </c>
      <c r="E7400" t="str">
        <f>"7555285408"</f>
        <v>7555285408</v>
      </c>
      <c r="F7400" s="1">
        <v>45093</v>
      </c>
      <c r="G7400" t="str">
        <f>"89180"</f>
        <v>89180</v>
      </c>
      <c r="H7400">
        <v>2</v>
      </c>
      <c r="I7400">
        <v>762</v>
      </c>
      <c r="J7400">
        <v>0</v>
      </c>
      <c r="K7400" t="str">
        <f t="shared" si="1322"/>
        <v>809</v>
      </c>
      <c r="L7400">
        <v>1120.1400000000001</v>
      </c>
    </row>
    <row r="7401" spans="1:12" x14ac:dyDescent="0.25">
      <c r="A7401" t="str">
        <f t="shared" si="1323"/>
        <v>89301000</v>
      </c>
      <c r="B7401" t="str">
        <f t="shared" si="1320"/>
        <v>89895000</v>
      </c>
      <c r="C7401" t="str">
        <f t="shared" si="1321"/>
        <v>89895002</v>
      </c>
      <c r="D7401">
        <v>89301212</v>
      </c>
      <c r="E7401" t="str">
        <f>"7862045785"</f>
        <v>7862045785</v>
      </c>
      <c r="F7401" s="1">
        <v>45096</v>
      </c>
      <c r="G7401" t="str">
        <f>"89512"</f>
        <v>89512</v>
      </c>
      <c r="H7401">
        <v>1</v>
      </c>
      <c r="I7401">
        <v>283</v>
      </c>
      <c r="J7401">
        <v>0</v>
      </c>
      <c r="K7401" t="str">
        <f t="shared" si="1322"/>
        <v>809</v>
      </c>
      <c r="L7401">
        <v>416.01</v>
      </c>
    </row>
    <row r="7402" spans="1:12" x14ac:dyDescent="0.25">
      <c r="A7402" t="str">
        <f t="shared" si="1323"/>
        <v>89301000</v>
      </c>
      <c r="B7402" t="str">
        <f t="shared" si="1320"/>
        <v>89895000</v>
      </c>
      <c r="C7402" t="str">
        <f t="shared" si="1321"/>
        <v>89895002</v>
      </c>
      <c r="D7402">
        <v>89301292</v>
      </c>
      <c r="E7402" t="str">
        <f>"8460275703"</f>
        <v>8460275703</v>
      </c>
      <c r="F7402" s="1">
        <v>45106</v>
      </c>
      <c r="G7402" t="str">
        <f>"89512"</f>
        <v>89512</v>
      </c>
      <c r="H7402">
        <v>1</v>
      </c>
      <c r="I7402">
        <v>283</v>
      </c>
      <c r="J7402">
        <v>0</v>
      </c>
      <c r="K7402" t="str">
        <f t="shared" si="1322"/>
        <v>809</v>
      </c>
      <c r="L7402">
        <v>416.01</v>
      </c>
    </row>
    <row r="7403" spans="1:12" x14ac:dyDescent="0.25">
      <c r="A7403" t="str">
        <f t="shared" si="1323"/>
        <v>89301000</v>
      </c>
      <c r="B7403" t="str">
        <f t="shared" si="1320"/>
        <v>89895000</v>
      </c>
      <c r="C7403" t="str">
        <f t="shared" si="1321"/>
        <v>89895002</v>
      </c>
      <c r="D7403">
        <v>89301212</v>
      </c>
      <c r="E7403" t="str">
        <f>"9061155730"</f>
        <v>9061155730</v>
      </c>
      <c r="F7403" s="1">
        <v>45055</v>
      </c>
      <c r="G7403" t="str">
        <f>"89180"</f>
        <v>89180</v>
      </c>
      <c r="H7403">
        <v>2</v>
      </c>
      <c r="I7403">
        <v>762</v>
      </c>
      <c r="J7403">
        <v>0</v>
      </c>
      <c r="K7403" t="str">
        <f t="shared" si="1322"/>
        <v>809</v>
      </c>
      <c r="L7403">
        <v>1120.1400000000001</v>
      </c>
    </row>
    <row r="7404" spans="1:12" x14ac:dyDescent="0.25">
      <c r="A7404" t="str">
        <f t="shared" si="1323"/>
        <v>89301000</v>
      </c>
      <c r="B7404" t="str">
        <f t="shared" ref="B7404:B7409" si="1324">"89670000"</f>
        <v>89670000</v>
      </c>
      <c r="C7404" t="str">
        <f>"89670001"</f>
        <v>89670001</v>
      </c>
      <c r="D7404">
        <v>89301101</v>
      </c>
      <c r="E7404" t="str">
        <f>"0603066068"</f>
        <v>0603066068</v>
      </c>
      <c r="F7404" s="1">
        <v>45104</v>
      </c>
      <c r="G7404" t="str">
        <f>"82097"</f>
        <v>82097</v>
      </c>
      <c r="H7404">
        <v>1</v>
      </c>
      <c r="I7404">
        <v>381</v>
      </c>
      <c r="J7404">
        <v>0</v>
      </c>
      <c r="K7404" t="str">
        <f t="shared" ref="K7404:K7409" si="1325">"802"</f>
        <v>802</v>
      </c>
      <c r="L7404">
        <v>369.57</v>
      </c>
    </row>
    <row r="7405" spans="1:12" x14ac:dyDescent="0.25">
      <c r="A7405" t="str">
        <f t="shared" si="1323"/>
        <v>89301000</v>
      </c>
      <c r="B7405" t="str">
        <f t="shared" si="1324"/>
        <v>89670000</v>
      </c>
      <c r="C7405" t="str">
        <f>"89670001"</f>
        <v>89670001</v>
      </c>
      <c r="D7405">
        <v>89301101</v>
      </c>
      <c r="E7405" t="str">
        <f>"0603066068"</f>
        <v>0603066068</v>
      </c>
      <c r="F7405" s="1">
        <v>45104</v>
      </c>
      <c r="G7405" t="str">
        <f>"82097"</f>
        <v>82097</v>
      </c>
      <c r="H7405">
        <v>1</v>
      </c>
      <c r="I7405">
        <v>381</v>
      </c>
      <c r="J7405">
        <v>0</v>
      </c>
      <c r="K7405" t="str">
        <f t="shared" si="1325"/>
        <v>802</v>
      </c>
      <c r="L7405">
        <v>369.57</v>
      </c>
    </row>
    <row r="7406" spans="1:12" x14ac:dyDescent="0.25">
      <c r="A7406" t="str">
        <f t="shared" si="1323"/>
        <v>89301000</v>
      </c>
      <c r="B7406" t="str">
        <f t="shared" si="1324"/>
        <v>89670000</v>
      </c>
      <c r="C7406" t="str">
        <f>"89670200"</f>
        <v>89670200</v>
      </c>
      <c r="D7406">
        <v>89301101</v>
      </c>
      <c r="E7406" t="str">
        <f>"0508136079"</f>
        <v>0508136079</v>
      </c>
      <c r="F7406" s="1">
        <v>45107</v>
      </c>
      <c r="G7406" t="str">
        <f>"82097"</f>
        <v>82097</v>
      </c>
      <c r="H7406">
        <v>1</v>
      </c>
      <c r="I7406">
        <v>381</v>
      </c>
      <c r="J7406">
        <v>0</v>
      </c>
      <c r="K7406" t="str">
        <f t="shared" si="1325"/>
        <v>802</v>
      </c>
      <c r="L7406">
        <v>369.57</v>
      </c>
    </row>
    <row r="7407" spans="1:12" x14ac:dyDescent="0.25">
      <c r="A7407" t="str">
        <f t="shared" si="1323"/>
        <v>89301000</v>
      </c>
      <c r="B7407" t="str">
        <f t="shared" si="1324"/>
        <v>89670000</v>
      </c>
      <c r="C7407" t="str">
        <f>"89670200"</f>
        <v>89670200</v>
      </c>
      <c r="D7407">
        <v>89301167</v>
      </c>
      <c r="E7407" t="str">
        <f>"511221028"</f>
        <v>511221028</v>
      </c>
      <c r="F7407" s="1">
        <v>45083</v>
      </c>
      <c r="G7407" t="str">
        <f>"09119"</f>
        <v>09119</v>
      </c>
      <c r="H7407">
        <v>1</v>
      </c>
      <c r="I7407">
        <v>43</v>
      </c>
      <c r="J7407">
        <v>0</v>
      </c>
      <c r="K7407" t="str">
        <f t="shared" si="1325"/>
        <v>802</v>
      </c>
      <c r="L7407">
        <v>54.18</v>
      </c>
    </row>
    <row r="7408" spans="1:12" x14ac:dyDescent="0.25">
      <c r="A7408" t="str">
        <f t="shared" si="1323"/>
        <v>89301000</v>
      </c>
      <c r="B7408" t="str">
        <f t="shared" si="1324"/>
        <v>89670000</v>
      </c>
      <c r="C7408" t="str">
        <f>"89670200"</f>
        <v>89670200</v>
      </c>
      <c r="D7408">
        <v>89301162</v>
      </c>
      <c r="E7408" t="str">
        <f>"511221028"</f>
        <v>511221028</v>
      </c>
      <c r="F7408" s="1">
        <v>45083</v>
      </c>
      <c r="G7408" t="str">
        <f>"97111"</f>
        <v>97111</v>
      </c>
      <c r="H7408">
        <v>1</v>
      </c>
      <c r="I7408">
        <v>19</v>
      </c>
      <c r="J7408">
        <v>0</v>
      </c>
      <c r="K7408" t="str">
        <f t="shared" si="1325"/>
        <v>802</v>
      </c>
      <c r="L7408">
        <v>23.94</v>
      </c>
    </row>
    <row r="7409" spans="1:12" x14ac:dyDescent="0.25">
      <c r="A7409" t="str">
        <f t="shared" si="1323"/>
        <v>89301000</v>
      </c>
      <c r="B7409" t="str">
        <f t="shared" si="1324"/>
        <v>89670000</v>
      </c>
      <c r="C7409" t="str">
        <f>"89670200"</f>
        <v>89670200</v>
      </c>
      <c r="D7409">
        <v>89301162</v>
      </c>
      <c r="E7409" t="str">
        <f>"511221028"</f>
        <v>511221028</v>
      </c>
      <c r="F7409" s="1">
        <v>45083</v>
      </c>
      <c r="G7409" t="str">
        <f>"91153"</f>
        <v>91153</v>
      </c>
      <c r="H7409">
        <v>1</v>
      </c>
      <c r="I7409">
        <v>153</v>
      </c>
      <c r="J7409">
        <v>0</v>
      </c>
      <c r="K7409" t="str">
        <f t="shared" si="1325"/>
        <v>802</v>
      </c>
      <c r="L7409">
        <v>148.41</v>
      </c>
    </row>
    <row r="7410" spans="1:12" x14ac:dyDescent="0.25">
      <c r="A7410" t="str">
        <f t="shared" si="1323"/>
        <v>89301000</v>
      </c>
      <c r="B7410" t="str">
        <f>"02001000"</f>
        <v>02001000</v>
      </c>
      <c r="C7410" t="str">
        <f>"02001171"</f>
        <v>02001171</v>
      </c>
      <c r="D7410">
        <v>89301032</v>
      </c>
      <c r="E7410" t="str">
        <f>"5451201657"</f>
        <v>5451201657</v>
      </c>
      <c r="F7410" s="1">
        <v>45096</v>
      </c>
      <c r="G7410" t="str">
        <f>"91197"</f>
        <v>91197</v>
      </c>
      <c r="H7410">
        <v>1</v>
      </c>
      <c r="I7410">
        <v>1048</v>
      </c>
      <c r="J7410">
        <v>0</v>
      </c>
      <c r="K7410" t="str">
        <f>"813"</f>
        <v>813</v>
      </c>
      <c r="L7410">
        <v>880.32</v>
      </c>
    </row>
    <row r="7411" spans="1:12" x14ac:dyDescent="0.25">
      <c r="A7411" t="str">
        <f t="shared" si="1323"/>
        <v>89301000</v>
      </c>
      <c r="B7411" t="str">
        <f>"02001000"</f>
        <v>02001000</v>
      </c>
      <c r="C7411" t="str">
        <f>"02001171"</f>
        <v>02001171</v>
      </c>
      <c r="D7411">
        <v>89301704</v>
      </c>
      <c r="E7411" t="str">
        <f>"1802110057"</f>
        <v>1802110057</v>
      </c>
      <c r="F7411" s="1">
        <v>45097</v>
      </c>
      <c r="G7411" t="str">
        <f>"91399"</f>
        <v>91399</v>
      </c>
      <c r="H7411">
        <v>1</v>
      </c>
      <c r="I7411">
        <v>2380</v>
      </c>
      <c r="J7411">
        <v>0</v>
      </c>
      <c r="K7411" t="str">
        <f>"813"</f>
        <v>813</v>
      </c>
      <c r="L7411">
        <v>1999.2</v>
      </c>
    </row>
    <row r="7412" spans="1:12" x14ac:dyDescent="0.25">
      <c r="A7412" t="str">
        <f t="shared" si="1323"/>
        <v>89301000</v>
      </c>
      <c r="B7412" t="str">
        <f>"02001000"</f>
        <v>02001000</v>
      </c>
      <c r="C7412" t="str">
        <f>"02001171"</f>
        <v>02001171</v>
      </c>
      <c r="D7412">
        <v>89301704</v>
      </c>
      <c r="E7412" t="str">
        <f>"1802110057"</f>
        <v>1802110057</v>
      </c>
      <c r="F7412" s="1">
        <v>45097</v>
      </c>
      <c r="G7412" t="str">
        <f>"91411"</f>
        <v>91411</v>
      </c>
      <c r="H7412">
        <v>1</v>
      </c>
      <c r="I7412">
        <v>1631</v>
      </c>
      <c r="J7412">
        <v>0</v>
      </c>
      <c r="K7412" t="str">
        <f>"813"</f>
        <v>813</v>
      </c>
      <c r="L7412">
        <v>1370.04</v>
      </c>
    </row>
    <row r="7413" spans="1:12" x14ac:dyDescent="0.25">
      <c r="A7413" t="str">
        <f t="shared" si="1323"/>
        <v>89301000</v>
      </c>
      <c r="B7413" t="str">
        <f t="shared" ref="B7413:B7419" si="1326">"06223000"</f>
        <v>06223000</v>
      </c>
      <c r="C7413" t="str">
        <f t="shared" ref="C7413:C7419" si="1327">"06223043"</f>
        <v>06223043</v>
      </c>
      <c r="D7413">
        <v>89301122</v>
      </c>
      <c r="E7413" t="str">
        <f>"7461115321"</f>
        <v>7461115321</v>
      </c>
      <c r="F7413" s="1">
        <v>45096</v>
      </c>
      <c r="G7413" t="str">
        <f>"92165"</f>
        <v>92165</v>
      </c>
      <c r="H7413">
        <v>1</v>
      </c>
      <c r="I7413">
        <v>2162</v>
      </c>
      <c r="J7413">
        <v>0</v>
      </c>
      <c r="K7413" t="str">
        <f t="shared" ref="K7413:K7422" si="1328">"801"</f>
        <v>801</v>
      </c>
      <c r="L7413">
        <v>1816.08</v>
      </c>
    </row>
    <row r="7414" spans="1:12" x14ac:dyDescent="0.25">
      <c r="A7414" t="str">
        <f t="shared" si="1323"/>
        <v>89301000</v>
      </c>
      <c r="B7414" t="str">
        <f t="shared" si="1326"/>
        <v>06223000</v>
      </c>
      <c r="C7414" t="str">
        <f t="shared" si="1327"/>
        <v>06223043</v>
      </c>
      <c r="D7414">
        <v>89301122</v>
      </c>
      <c r="E7414" t="str">
        <f>"455627421"</f>
        <v>455627421</v>
      </c>
      <c r="F7414" s="1">
        <v>45086</v>
      </c>
      <c r="G7414" t="str">
        <f>"81485"</f>
        <v>81485</v>
      </c>
      <c r="H7414">
        <v>1</v>
      </c>
      <c r="I7414">
        <v>461</v>
      </c>
      <c r="J7414">
        <v>0</v>
      </c>
      <c r="K7414" t="str">
        <f t="shared" si="1328"/>
        <v>801</v>
      </c>
      <c r="L7414">
        <v>387.24</v>
      </c>
    </row>
    <row r="7415" spans="1:12" x14ac:dyDescent="0.25">
      <c r="A7415" t="str">
        <f t="shared" si="1323"/>
        <v>89301000</v>
      </c>
      <c r="B7415" t="str">
        <f t="shared" si="1326"/>
        <v>06223000</v>
      </c>
      <c r="C7415" t="str">
        <f t="shared" si="1327"/>
        <v>06223043</v>
      </c>
      <c r="D7415">
        <v>89301122</v>
      </c>
      <c r="E7415" t="str">
        <f>"6203080158"</f>
        <v>6203080158</v>
      </c>
      <c r="F7415" s="1">
        <v>45099</v>
      </c>
      <c r="G7415" t="str">
        <f>"92165"</f>
        <v>92165</v>
      </c>
      <c r="H7415">
        <v>1</v>
      </c>
      <c r="I7415">
        <v>2162</v>
      </c>
      <c r="J7415">
        <v>0</v>
      </c>
      <c r="K7415" t="str">
        <f t="shared" si="1328"/>
        <v>801</v>
      </c>
      <c r="L7415">
        <v>1816.08</v>
      </c>
    </row>
    <row r="7416" spans="1:12" x14ac:dyDescent="0.25">
      <c r="A7416" t="str">
        <f t="shared" si="1323"/>
        <v>89301000</v>
      </c>
      <c r="B7416" t="str">
        <f t="shared" si="1326"/>
        <v>06223000</v>
      </c>
      <c r="C7416" t="str">
        <f t="shared" si="1327"/>
        <v>06223043</v>
      </c>
      <c r="D7416">
        <v>89301122</v>
      </c>
      <c r="E7416" t="str">
        <f>"5557180937"</f>
        <v>5557180937</v>
      </c>
      <c r="F7416" s="1">
        <v>45098</v>
      </c>
      <c r="G7416" t="str">
        <f>"81485"</f>
        <v>81485</v>
      </c>
      <c r="H7416">
        <v>1</v>
      </c>
      <c r="I7416">
        <v>461</v>
      </c>
      <c r="J7416">
        <v>0</v>
      </c>
      <c r="K7416" t="str">
        <f t="shared" si="1328"/>
        <v>801</v>
      </c>
      <c r="L7416">
        <v>387.24</v>
      </c>
    </row>
    <row r="7417" spans="1:12" x14ac:dyDescent="0.25">
      <c r="A7417" t="str">
        <f t="shared" si="1323"/>
        <v>89301000</v>
      </c>
      <c r="B7417" t="str">
        <f t="shared" si="1326"/>
        <v>06223000</v>
      </c>
      <c r="C7417" t="str">
        <f t="shared" si="1327"/>
        <v>06223043</v>
      </c>
      <c r="D7417">
        <v>89301122</v>
      </c>
      <c r="E7417" t="str">
        <f>"7762018924"</f>
        <v>7762018924</v>
      </c>
      <c r="F7417" s="1">
        <v>45098</v>
      </c>
      <c r="G7417" t="str">
        <f>"81485"</f>
        <v>81485</v>
      </c>
      <c r="H7417">
        <v>1</v>
      </c>
      <c r="I7417">
        <v>461</v>
      </c>
      <c r="J7417">
        <v>0</v>
      </c>
      <c r="K7417" t="str">
        <f t="shared" si="1328"/>
        <v>801</v>
      </c>
      <c r="L7417">
        <v>387.24</v>
      </c>
    </row>
    <row r="7418" spans="1:12" x14ac:dyDescent="0.25">
      <c r="A7418" t="str">
        <f t="shared" si="1323"/>
        <v>89301000</v>
      </c>
      <c r="B7418" t="str">
        <f t="shared" si="1326"/>
        <v>06223000</v>
      </c>
      <c r="C7418" t="str">
        <f t="shared" si="1327"/>
        <v>06223043</v>
      </c>
      <c r="D7418">
        <v>89301122</v>
      </c>
      <c r="E7418" t="str">
        <f>"8561075765"</f>
        <v>8561075765</v>
      </c>
      <c r="F7418" s="1">
        <v>45107</v>
      </c>
      <c r="G7418" t="str">
        <f>"92165"</f>
        <v>92165</v>
      </c>
      <c r="H7418">
        <v>1</v>
      </c>
      <c r="I7418">
        <v>2162</v>
      </c>
      <c r="J7418">
        <v>0</v>
      </c>
      <c r="K7418" t="str">
        <f t="shared" si="1328"/>
        <v>801</v>
      </c>
      <c r="L7418">
        <v>1816.08</v>
      </c>
    </row>
    <row r="7419" spans="1:12" x14ac:dyDescent="0.25">
      <c r="A7419" t="str">
        <f t="shared" si="1323"/>
        <v>89301000</v>
      </c>
      <c r="B7419" t="str">
        <f t="shared" si="1326"/>
        <v>06223000</v>
      </c>
      <c r="C7419" t="str">
        <f t="shared" si="1327"/>
        <v>06223043</v>
      </c>
      <c r="D7419">
        <v>89301122</v>
      </c>
      <c r="E7419" t="str">
        <f>"6802141489"</f>
        <v>6802141489</v>
      </c>
      <c r="F7419" s="1">
        <v>45098</v>
      </c>
      <c r="G7419" t="str">
        <f>"81485"</f>
        <v>81485</v>
      </c>
      <c r="H7419">
        <v>1</v>
      </c>
      <c r="I7419">
        <v>461</v>
      </c>
      <c r="J7419">
        <v>0</v>
      </c>
      <c r="K7419" t="str">
        <f t="shared" si="1328"/>
        <v>801</v>
      </c>
      <c r="L7419">
        <v>387.24</v>
      </c>
    </row>
    <row r="7420" spans="1:12" x14ac:dyDescent="0.25">
      <c r="A7420" t="str">
        <f t="shared" si="1323"/>
        <v>89301000</v>
      </c>
      <c r="B7420" t="str">
        <f t="shared" ref="B7420:B7436" si="1329">"91009000"</f>
        <v>91009000</v>
      </c>
      <c r="C7420" t="str">
        <f>"91009581"</f>
        <v>91009581</v>
      </c>
      <c r="D7420">
        <v>89301167</v>
      </c>
      <c r="E7420" t="str">
        <f>"530220073"</f>
        <v>530220073</v>
      </c>
      <c r="F7420" s="1">
        <v>45100</v>
      </c>
      <c r="G7420" t="str">
        <f>"81383"</f>
        <v>81383</v>
      </c>
      <c r="H7420">
        <v>1</v>
      </c>
      <c r="I7420">
        <v>24</v>
      </c>
      <c r="J7420">
        <v>0</v>
      </c>
      <c r="K7420" t="str">
        <f t="shared" si="1328"/>
        <v>801</v>
      </c>
      <c r="L7420">
        <v>20.16</v>
      </c>
    </row>
    <row r="7421" spans="1:12" x14ac:dyDescent="0.25">
      <c r="A7421" t="str">
        <f t="shared" si="1323"/>
        <v>89301000</v>
      </c>
      <c r="B7421" t="str">
        <f t="shared" si="1329"/>
        <v>91009000</v>
      </c>
      <c r="C7421" t="str">
        <f>"91009581"</f>
        <v>91009581</v>
      </c>
      <c r="D7421">
        <v>89301167</v>
      </c>
      <c r="E7421" t="str">
        <f>"530220073"</f>
        <v>530220073</v>
      </c>
      <c r="F7421" s="1">
        <v>45100</v>
      </c>
      <c r="G7421" t="str">
        <f>"97111"</f>
        <v>97111</v>
      </c>
      <c r="H7421">
        <v>1</v>
      </c>
      <c r="I7421">
        <v>19</v>
      </c>
      <c r="J7421">
        <v>0</v>
      </c>
      <c r="K7421" t="str">
        <f t="shared" si="1328"/>
        <v>801</v>
      </c>
      <c r="L7421">
        <v>23.94</v>
      </c>
    </row>
    <row r="7422" spans="1:12" x14ac:dyDescent="0.25">
      <c r="A7422" t="str">
        <f t="shared" si="1323"/>
        <v>89301000</v>
      </c>
      <c r="B7422" t="str">
        <f t="shared" si="1329"/>
        <v>91009000</v>
      </c>
      <c r="C7422" t="str">
        <f>"91009581"</f>
        <v>91009581</v>
      </c>
      <c r="D7422">
        <v>89301212</v>
      </c>
      <c r="E7422" t="str">
        <f>"8556125776"</f>
        <v>8556125776</v>
      </c>
      <c r="F7422" s="1">
        <v>45090</v>
      </c>
      <c r="G7422" t="str">
        <f>"97111"</f>
        <v>97111</v>
      </c>
      <c r="H7422">
        <v>1</v>
      </c>
      <c r="I7422">
        <v>19</v>
      </c>
      <c r="J7422">
        <v>0</v>
      </c>
      <c r="K7422" t="str">
        <f t="shared" si="1328"/>
        <v>801</v>
      </c>
      <c r="L7422">
        <v>23.94</v>
      </c>
    </row>
    <row r="7423" spans="1:12" x14ac:dyDescent="0.25">
      <c r="A7423" t="str">
        <f t="shared" si="1323"/>
        <v>89301000</v>
      </c>
      <c r="B7423" t="str">
        <f t="shared" si="1329"/>
        <v>91009000</v>
      </c>
      <c r="C7423" t="str">
        <f t="shared" ref="C7423:C7428" si="1330">"91009522"</f>
        <v>91009522</v>
      </c>
      <c r="D7423">
        <v>89301282</v>
      </c>
      <c r="E7423" t="str">
        <f>"2103050620"</f>
        <v>2103050620</v>
      </c>
      <c r="F7423" s="1">
        <v>45092</v>
      </c>
      <c r="G7423" t="str">
        <f>"94948"</f>
        <v>94948</v>
      </c>
      <c r="H7423">
        <v>2</v>
      </c>
      <c r="I7423">
        <v>0</v>
      </c>
      <c r="J7423">
        <v>0</v>
      </c>
      <c r="K7423" t="str">
        <f t="shared" ref="K7423:K7428" si="1331">"816"</f>
        <v>816</v>
      </c>
      <c r="L7423">
        <v>0</v>
      </c>
    </row>
    <row r="7424" spans="1:12" x14ac:dyDescent="0.25">
      <c r="A7424" t="str">
        <f t="shared" si="1323"/>
        <v>89301000</v>
      </c>
      <c r="B7424" t="str">
        <f t="shared" si="1329"/>
        <v>91009000</v>
      </c>
      <c r="C7424" t="str">
        <f t="shared" si="1330"/>
        <v>91009522</v>
      </c>
      <c r="D7424">
        <v>89301282</v>
      </c>
      <c r="E7424" t="str">
        <f>"2103050620"</f>
        <v>2103050620</v>
      </c>
      <c r="F7424" s="1">
        <v>45092</v>
      </c>
      <c r="G7424" t="str">
        <f>"94983"</f>
        <v>94983</v>
      </c>
      <c r="H7424">
        <v>1</v>
      </c>
      <c r="I7424">
        <v>0</v>
      </c>
      <c r="J7424">
        <v>39600</v>
      </c>
      <c r="K7424" t="str">
        <f t="shared" si="1331"/>
        <v>816</v>
      </c>
      <c r="L7424">
        <v>39600</v>
      </c>
    </row>
    <row r="7425" spans="1:12" x14ac:dyDescent="0.25">
      <c r="A7425" t="str">
        <f t="shared" si="1323"/>
        <v>89301000</v>
      </c>
      <c r="B7425" t="str">
        <f t="shared" si="1329"/>
        <v>91009000</v>
      </c>
      <c r="C7425" t="str">
        <f t="shared" si="1330"/>
        <v>91009522</v>
      </c>
      <c r="D7425">
        <v>89301282</v>
      </c>
      <c r="E7425" t="str">
        <f>"2103050620"</f>
        <v>2103050620</v>
      </c>
      <c r="F7425" s="1">
        <v>45092</v>
      </c>
      <c r="G7425" t="str">
        <f>"94996"</f>
        <v>94996</v>
      </c>
      <c r="H7425">
        <v>1</v>
      </c>
      <c r="I7425">
        <v>0</v>
      </c>
      <c r="J7425">
        <v>0</v>
      </c>
      <c r="K7425" t="str">
        <f t="shared" si="1331"/>
        <v>816</v>
      </c>
      <c r="L7425">
        <v>0</v>
      </c>
    </row>
    <row r="7426" spans="1:12" x14ac:dyDescent="0.25">
      <c r="A7426" t="str">
        <f t="shared" ref="A7426:A7489" si="1332">"89301000"</f>
        <v>89301000</v>
      </c>
      <c r="B7426" t="str">
        <f t="shared" si="1329"/>
        <v>91009000</v>
      </c>
      <c r="C7426" t="str">
        <f t="shared" si="1330"/>
        <v>91009522</v>
      </c>
      <c r="D7426">
        <v>89301282</v>
      </c>
      <c r="E7426" t="str">
        <f>"5711162105"</f>
        <v>5711162105</v>
      </c>
      <c r="F7426" s="1">
        <v>45099</v>
      </c>
      <c r="G7426" t="str">
        <f>"94948"</f>
        <v>94948</v>
      </c>
      <c r="H7426">
        <v>2</v>
      </c>
      <c r="I7426">
        <v>0</v>
      </c>
      <c r="J7426">
        <v>0</v>
      </c>
      <c r="K7426" t="str">
        <f t="shared" si="1331"/>
        <v>816</v>
      </c>
      <c r="L7426">
        <v>0</v>
      </c>
    </row>
    <row r="7427" spans="1:12" x14ac:dyDescent="0.25">
      <c r="A7427" t="str">
        <f t="shared" si="1332"/>
        <v>89301000</v>
      </c>
      <c r="B7427" t="str">
        <f t="shared" si="1329"/>
        <v>91009000</v>
      </c>
      <c r="C7427" t="str">
        <f t="shared" si="1330"/>
        <v>91009522</v>
      </c>
      <c r="D7427">
        <v>89301282</v>
      </c>
      <c r="E7427" t="str">
        <f>"5711162105"</f>
        <v>5711162105</v>
      </c>
      <c r="F7427" s="1">
        <v>45099</v>
      </c>
      <c r="G7427" t="str">
        <f>"94984"</f>
        <v>94984</v>
      </c>
      <c r="H7427">
        <v>1</v>
      </c>
      <c r="I7427">
        <v>0</v>
      </c>
      <c r="J7427">
        <v>57200</v>
      </c>
      <c r="K7427" t="str">
        <f t="shared" si="1331"/>
        <v>816</v>
      </c>
      <c r="L7427">
        <v>57200</v>
      </c>
    </row>
    <row r="7428" spans="1:12" x14ac:dyDescent="0.25">
      <c r="A7428" t="str">
        <f t="shared" si="1332"/>
        <v>89301000</v>
      </c>
      <c r="B7428" t="str">
        <f t="shared" si="1329"/>
        <v>91009000</v>
      </c>
      <c r="C7428" t="str">
        <f t="shared" si="1330"/>
        <v>91009522</v>
      </c>
      <c r="D7428">
        <v>89301282</v>
      </c>
      <c r="E7428" t="str">
        <f>"5711162105"</f>
        <v>5711162105</v>
      </c>
      <c r="F7428" s="1">
        <v>45099</v>
      </c>
      <c r="G7428" t="str">
        <f>"94996"</f>
        <v>94996</v>
      </c>
      <c r="H7428">
        <v>1</v>
      </c>
      <c r="I7428">
        <v>0</v>
      </c>
      <c r="J7428">
        <v>0</v>
      </c>
      <c r="K7428" t="str">
        <f t="shared" si="1331"/>
        <v>816</v>
      </c>
      <c r="L7428">
        <v>0</v>
      </c>
    </row>
    <row r="7429" spans="1:12" x14ac:dyDescent="0.25">
      <c r="A7429" t="str">
        <f t="shared" si="1332"/>
        <v>89301000</v>
      </c>
      <c r="B7429" t="str">
        <f t="shared" si="1329"/>
        <v>91009000</v>
      </c>
      <c r="C7429" t="str">
        <f>"91009605"</f>
        <v>91009605</v>
      </c>
      <c r="D7429">
        <v>89301109</v>
      </c>
      <c r="E7429" t="str">
        <f>"1008040220"</f>
        <v>1008040220</v>
      </c>
      <c r="F7429" s="1">
        <v>45104</v>
      </c>
      <c r="G7429" t="str">
        <f>"91431"</f>
        <v>91431</v>
      </c>
      <c r="H7429">
        <v>1</v>
      </c>
      <c r="I7429">
        <v>543</v>
      </c>
      <c r="J7429">
        <v>0</v>
      </c>
      <c r="K7429" t="str">
        <f>"818"</f>
        <v>818</v>
      </c>
      <c r="L7429">
        <v>526.71</v>
      </c>
    </row>
    <row r="7430" spans="1:12" x14ac:dyDescent="0.25">
      <c r="A7430" t="str">
        <f t="shared" si="1332"/>
        <v>89301000</v>
      </c>
      <c r="B7430" t="str">
        <f t="shared" si="1329"/>
        <v>91009000</v>
      </c>
      <c r="C7430" t="str">
        <f>"91009605"</f>
        <v>91009605</v>
      </c>
      <c r="D7430">
        <v>89301109</v>
      </c>
      <c r="E7430" t="str">
        <f>"1008040220"</f>
        <v>1008040220</v>
      </c>
      <c r="F7430" s="1">
        <v>45106</v>
      </c>
      <c r="G7430" t="str">
        <f>"22122"</f>
        <v>22122</v>
      </c>
      <c r="H7430">
        <v>1</v>
      </c>
      <c r="I7430">
        <v>588</v>
      </c>
      <c r="J7430">
        <v>0</v>
      </c>
      <c r="K7430" t="str">
        <f>"818"</f>
        <v>818</v>
      </c>
      <c r="L7430">
        <v>570.36</v>
      </c>
    </row>
    <row r="7431" spans="1:12" x14ac:dyDescent="0.25">
      <c r="A7431" t="str">
        <f t="shared" si="1332"/>
        <v>89301000</v>
      </c>
      <c r="B7431" t="str">
        <f t="shared" si="1329"/>
        <v>91009000</v>
      </c>
      <c r="C7431" t="str">
        <f>"91009605"</f>
        <v>91009605</v>
      </c>
      <c r="D7431">
        <v>89301109</v>
      </c>
      <c r="E7431" t="str">
        <f>"1008040220"</f>
        <v>1008040220</v>
      </c>
      <c r="F7431" s="1">
        <v>45106</v>
      </c>
      <c r="G7431" t="str">
        <f>"22123"</f>
        <v>22123</v>
      </c>
      <c r="H7431">
        <v>1</v>
      </c>
      <c r="I7431">
        <v>334</v>
      </c>
      <c r="J7431">
        <v>0</v>
      </c>
      <c r="K7431" t="str">
        <f>"818"</f>
        <v>818</v>
      </c>
      <c r="L7431">
        <v>323.98</v>
      </c>
    </row>
    <row r="7432" spans="1:12" x14ac:dyDescent="0.25">
      <c r="A7432" t="str">
        <f t="shared" si="1332"/>
        <v>89301000</v>
      </c>
      <c r="B7432" t="str">
        <f t="shared" si="1329"/>
        <v>91009000</v>
      </c>
      <c r="C7432" t="str">
        <f>"91009605"</f>
        <v>91009605</v>
      </c>
      <c r="D7432">
        <v>89301109</v>
      </c>
      <c r="E7432" t="str">
        <f>"1008040220"</f>
        <v>1008040220</v>
      </c>
      <c r="F7432" s="1">
        <v>45106</v>
      </c>
      <c r="G7432" t="str">
        <f>"22127"</f>
        <v>22127</v>
      </c>
      <c r="H7432">
        <v>1</v>
      </c>
      <c r="I7432">
        <v>340</v>
      </c>
      <c r="J7432">
        <v>0</v>
      </c>
      <c r="K7432" t="str">
        <f>"818"</f>
        <v>818</v>
      </c>
      <c r="L7432">
        <v>329.8</v>
      </c>
    </row>
    <row r="7433" spans="1:12" x14ac:dyDescent="0.25">
      <c r="A7433" t="str">
        <f t="shared" si="1332"/>
        <v>89301000</v>
      </c>
      <c r="B7433" t="str">
        <f t="shared" si="1329"/>
        <v>91009000</v>
      </c>
      <c r="C7433" t="str">
        <f>"91009132"</f>
        <v>91009132</v>
      </c>
      <c r="D7433">
        <v>89301212</v>
      </c>
      <c r="E7433" t="str">
        <f>"8556125776"</f>
        <v>8556125776</v>
      </c>
      <c r="F7433" s="1">
        <v>45090</v>
      </c>
      <c r="G7433" t="str">
        <f>"92157"</f>
        <v>92157</v>
      </c>
      <c r="H7433">
        <v>1</v>
      </c>
      <c r="I7433">
        <v>1778</v>
      </c>
      <c r="J7433">
        <v>0</v>
      </c>
      <c r="K7433" t="str">
        <f>"812"</f>
        <v>812</v>
      </c>
      <c r="L7433">
        <v>1493.52</v>
      </c>
    </row>
    <row r="7434" spans="1:12" x14ac:dyDescent="0.25">
      <c r="A7434" t="str">
        <f t="shared" si="1332"/>
        <v>89301000</v>
      </c>
      <c r="B7434" t="str">
        <f t="shared" si="1329"/>
        <v>91009000</v>
      </c>
      <c r="C7434" t="str">
        <f>"91009132"</f>
        <v>91009132</v>
      </c>
      <c r="D7434">
        <v>89301212</v>
      </c>
      <c r="E7434" t="str">
        <f>"8556125776"</f>
        <v>8556125776</v>
      </c>
      <c r="F7434" s="1">
        <v>45090</v>
      </c>
      <c r="G7434" t="str">
        <f>"99111"</f>
        <v>99111</v>
      </c>
      <c r="H7434">
        <v>1</v>
      </c>
      <c r="I7434">
        <v>213</v>
      </c>
      <c r="J7434">
        <v>0</v>
      </c>
      <c r="K7434" t="str">
        <f>"812"</f>
        <v>812</v>
      </c>
      <c r="L7434">
        <v>178.92</v>
      </c>
    </row>
    <row r="7435" spans="1:12" x14ac:dyDescent="0.25">
      <c r="A7435" t="str">
        <f t="shared" si="1332"/>
        <v>89301000</v>
      </c>
      <c r="B7435" t="str">
        <f t="shared" si="1329"/>
        <v>91009000</v>
      </c>
      <c r="C7435" t="str">
        <f>"91009132"</f>
        <v>91009132</v>
      </c>
      <c r="D7435">
        <v>89301162</v>
      </c>
      <c r="E7435" t="str">
        <f>"7506255636"</f>
        <v>7506255636</v>
      </c>
      <c r="F7435" s="1">
        <v>45103</v>
      </c>
      <c r="G7435" t="str">
        <f>"92157"</f>
        <v>92157</v>
      </c>
      <c r="H7435">
        <v>1</v>
      </c>
      <c r="I7435">
        <v>1778</v>
      </c>
      <c r="J7435">
        <v>0</v>
      </c>
      <c r="K7435" t="str">
        <f>"812"</f>
        <v>812</v>
      </c>
      <c r="L7435">
        <v>1493.52</v>
      </c>
    </row>
    <row r="7436" spans="1:12" x14ac:dyDescent="0.25">
      <c r="A7436" t="str">
        <f t="shared" si="1332"/>
        <v>89301000</v>
      </c>
      <c r="B7436" t="str">
        <f t="shared" si="1329"/>
        <v>91009000</v>
      </c>
      <c r="C7436" t="str">
        <f>"91009132"</f>
        <v>91009132</v>
      </c>
      <c r="D7436">
        <v>89301162</v>
      </c>
      <c r="E7436" t="str">
        <f>"7506255636"</f>
        <v>7506255636</v>
      </c>
      <c r="F7436" s="1">
        <v>45103</v>
      </c>
      <c r="G7436" t="str">
        <f>"99111"</f>
        <v>99111</v>
      </c>
      <c r="H7436">
        <v>1</v>
      </c>
      <c r="I7436">
        <v>213</v>
      </c>
      <c r="J7436">
        <v>0</v>
      </c>
      <c r="K7436" t="str">
        <f>"812"</f>
        <v>812</v>
      </c>
      <c r="L7436">
        <v>178.92</v>
      </c>
    </row>
    <row r="7437" spans="1:12" x14ac:dyDescent="0.25">
      <c r="A7437" t="str">
        <f t="shared" si="1332"/>
        <v>89301000</v>
      </c>
      <c r="B7437" t="str">
        <f>"85600000"</f>
        <v>85600000</v>
      </c>
      <c r="C7437" t="str">
        <f>"85600421"</f>
        <v>85600421</v>
      </c>
      <c r="D7437">
        <v>89301212</v>
      </c>
      <c r="E7437" t="str">
        <f>"7455264850"</f>
        <v>7455264850</v>
      </c>
      <c r="F7437" s="1">
        <v>45089</v>
      </c>
      <c r="G7437" t="str">
        <f>"89512"</f>
        <v>89512</v>
      </c>
      <c r="H7437">
        <v>1</v>
      </c>
      <c r="I7437">
        <v>283</v>
      </c>
      <c r="J7437">
        <v>0</v>
      </c>
      <c r="K7437" t="str">
        <f>"809"</f>
        <v>809</v>
      </c>
      <c r="L7437">
        <v>416.01</v>
      </c>
    </row>
    <row r="7438" spans="1:12" x14ac:dyDescent="0.25">
      <c r="A7438" t="str">
        <f t="shared" si="1332"/>
        <v>89301000</v>
      </c>
      <c r="B7438" t="str">
        <f t="shared" ref="B7438:B7469" si="1333">"72077000"</f>
        <v>72077000</v>
      </c>
      <c r="C7438" t="str">
        <f t="shared" ref="C7438:C7469" si="1334">"72077001"</f>
        <v>72077001</v>
      </c>
      <c r="D7438">
        <v>89301152</v>
      </c>
      <c r="E7438" t="str">
        <f t="shared" ref="E7438:E7454" si="1335">"8860205783"</f>
        <v>8860205783</v>
      </c>
      <c r="F7438" s="1">
        <v>45079</v>
      </c>
      <c r="G7438" t="str">
        <f>"82079"</f>
        <v>82079</v>
      </c>
      <c r="H7438">
        <v>1</v>
      </c>
      <c r="I7438">
        <v>333</v>
      </c>
      <c r="J7438">
        <v>0</v>
      </c>
      <c r="K7438" t="str">
        <f t="shared" ref="K7438:K7469" si="1336">"813"</f>
        <v>813</v>
      </c>
      <c r="L7438">
        <v>279.72000000000003</v>
      </c>
    </row>
    <row r="7439" spans="1:12" x14ac:dyDescent="0.25">
      <c r="A7439" t="str">
        <f t="shared" si="1332"/>
        <v>89301000</v>
      </c>
      <c r="B7439" t="str">
        <f t="shared" si="1333"/>
        <v>72077000</v>
      </c>
      <c r="C7439" t="str">
        <f t="shared" si="1334"/>
        <v>72077001</v>
      </c>
      <c r="D7439">
        <v>89301152</v>
      </c>
      <c r="E7439" t="str">
        <f t="shared" si="1335"/>
        <v>8860205783</v>
      </c>
      <c r="F7439" s="1">
        <v>45079</v>
      </c>
      <c r="G7439" t="str">
        <f>"82079"</f>
        <v>82079</v>
      </c>
      <c r="H7439">
        <v>1</v>
      </c>
      <c r="I7439">
        <v>333</v>
      </c>
      <c r="J7439">
        <v>0</v>
      </c>
      <c r="K7439" t="str">
        <f t="shared" si="1336"/>
        <v>813</v>
      </c>
      <c r="L7439">
        <v>279.72000000000003</v>
      </c>
    </row>
    <row r="7440" spans="1:12" x14ac:dyDescent="0.25">
      <c r="A7440" t="str">
        <f t="shared" si="1332"/>
        <v>89301000</v>
      </c>
      <c r="B7440" t="str">
        <f t="shared" si="1333"/>
        <v>72077000</v>
      </c>
      <c r="C7440" t="str">
        <f t="shared" si="1334"/>
        <v>72077001</v>
      </c>
      <c r="D7440">
        <v>89301152</v>
      </c>
      <c r="E7440" t="str">
        <f t="shared" si="1335"/>
        <v>8860205783</v>
      </c>
      <c r="F7440" s="1">
        <v>45079</v>
      </c>
      <c r="G7440" t="str">
        <f>"82079"</f>
        <v>82079</v>
      </c>
      <c r="H7440">
        <v>1</v>
      </c>
      <c r="I7440">
        <v>333</v>
      </c>
      <c r="J7440">
        <v>0</v>
      </c>
      <c r="K7440" t="str">
        <f t="shared" si="1336"/>
        <v>813</v>
      </c>
      <c r="L7440">
        <v>279.72000000000003</v>
      </c>
    </row>
    <row r="7441" spans="1:12" x14ac:dyDescent="0.25">
      <c r="A7441" t="str">
        <f t="shared" si="1332"/>
        <v>89301000</v>
      </c>
      <c r="B7441" t="str">
        <f t="shared" si="1333"/>
        <v>72077000</v>
      </c>
      <c r="C7441" t="str">
        <f t="shared" si="1334"/>
        <v>72077001</v>
      </c>
      <c r="D7441">
        <v>89301152</v>
      </c>
      <c r="E7441" t="str">
        <f t="shared" si="1335"/>
        <v>8860205783</v>
      </c>
      <c r="F7441" s="1">
        <v>45079</v>
      </c>
      <c r="G7441" t="str">
        <f>"82079"</f>
        <v>82079</v>
      </c>
      <c r="H7441">
        <v>1</v>
      </c>
      <c r="I7441">
        <v>333</v>
      </c>
      <c r="J7441">
        <v>0</v>
      </c>
      <c r="K7441" t="str">
        <f t="shared" si="1336"/>
        <v>813</v>
      </c>
      <c r="L7441">
        <v>279.72000000000003</v>
      </c>
    </row>
    <row r="7442" spans="1:12" x14ac:dyDescent="0.25">
      <c r="A7442" t="str">
        <f t="shared" si="1332"/>
        <v>89301000</v>
      </c>
      <c r="B7442" t="str">
        <f t="shared" si="1333"/>
        <v>72077000</v>
      </c>
      <c r="C7442" t="str">
        <f t="shared" si="1334"/>
        <v>72077001</v>
      </c>
      <c r="D7442">
        <v>89301152</v>
      </c>
      <c r="E7442" t="str">
        <f t="shared" si="1335"/>
        <v>8860205783</v>
      </c>
      <c r="F7442" s="1">
        <v>45079</v>
      </c>
      <c r="G7442" t="str">
        <f>"82079"</f>
        <v>82079</v>
      </c>
      <c r="H7442">
        <v>1</v>
      </c>
      <c r="I7442">
        <v>333</v>
      </c>
      <c r="J7442">
        <v>0</v>
      </c>
      <c r="K7442" t="str">
        <f t="shared" si="1336"/>
        <v>813</v>
      </c>
      <c r="L7442">
        <v>279.72000000000003</v>
      </c>
    </row>
    <row r="7443" spans="1:12" x14ac:dyDescent="0.25">
      <c r="A7443" t="str">
        <f t="shared" si="1332"/>
        <v>89301000</v>
      </c>
      <c r="B7443" t="str">
        <f t="shared" si="1333"/>
        <v>72077000</v>
      </c>
      <c r="C7443" t="str">
        <f t="shared" si="1334"/>
        <v>72077001</v>
      </c>
      <c r="D7443">
        <v>89301152</v>
      </c>
      <c r="E7443" t="str">
        <f t="shared" si="1335"/>
        <v>8860205783</v>
      </c>
      <c r="F7443" s="1">
        <v>45082</v>
      </c>
      <c r="G7443" t="str">
        <f t="shared" ref="G7443:G7448" si="1337">"82113"</f>
        <v>82113</v>
      </c>
      <c r="H7443">
        <v>1</v>
      </c>
      <c r="I7443">
        <v>363</v>
      </c>
      <c r="J7443">
        <v>0</v>
      </c>
      <c r="K7443" t="str">
        <f t="shared" si="1336"/>
        <v>813</v>
      </c>
      <c r="L7443">
        <v>304.92</v>
      </c>
    </row>
    <row r="7444" spans="1:12" x14ac:dyDescent="0.25">
      <c r="A7444" t="str">
        <f t="shared" si="1332"/>
        <v>89301000</v>
      </c>
      <c r="B7444" t="str">
        <f t="shared" si="1333"/>
        <v>72077000</v>
      </c>
      <c r="C7444" t="str">
        <f t="shared" si="1334"/>
        <v>72077001</v>
      </c>
      <c r="D7444">
        <v>89301152</v>
      </c>
      <c r="E7444" t="str">
        <f t="shared" si="1335"/>
        <v>8860205783</v>
      </c>
      <c r="F7444" s="1">
        <v>45082</v>
      </c>
      <c r="G7444" t="str">
        <f t="shared" si="1337"/>
        <v>82113</v>
      </c>
      <c r="H7444">
        <v>1</v>
      </c>
      <c r="I7444">
        <v>363</v>
      </c>
      <c r="J7444">
        <v>0</v>
      </c>
      <c r="K7444" t="str">
        <f t="shared" si="1336"/>
        <v>813</v>
      </c>
      <c r="L7444">
        <v>304.92</v>
      </c>
    </row>
    <row r="7445" spans="1:12" x14ac:dyDescent="0.25">
      <c r="A7445" t="str">
        <f t="shared" si="1332"/>
        <v>89301000</v>
      </c>
      <c r="B7445" t="str">
        <f t="shared" si="1333"/>
        <v>72077000</v>
      </c>
      <c r="C7445" t="str">
        <f t="shared" si="1334"/>
        <v>72077001</v>
      </c>
      <c r="D7445">
        <v>89301152</v>
      </c>
      <c r="E7445" t="str">
        <f t="shared" si="1335"/>
        <v>8860205783</v>
      </c>
      <c r="F7445" s="1">
        <v>45082</v>
      </c>
      <c r="G7445" t="str">
        <f t="shared" si="1337"/>
        <v>82113</v>
      </c>
      <c r="H7445">
        <v>1</v>
      </c>
      <c r="I7445">
        <v>363</v>
      </c>
      <c r="J7445">
        <v>0</v>
      </c>
      <c r="K7445" t="str">
        <f t="shared" si="1336"/>
        <v>813</v>
      </c>
      <c r="L7445">
        <v>304.92</v>
      </c>
    </row>
    <row r="7446" spans="1:12" x14ac:dyDescent="0.25">
      <c r="A7446" t="str">
        <f t="shared" si="1332"/>
        <v>89301000</v>
      </c>
      <c r="B7446" t="str">
        <f t="shared" si="1333"/>
        <v>72077000</v>
      </c>
      <c r="C7446" t="str">
        <f t="shared" si="1334"/>
        <v>72077001</v>
      </c>
      <c r="D7446">
        <v>89301152</v>
      </c>
      <c r="E7446" t="str">
        <f t="shared" si="1335"/>
        <v>8860205783</v>
      </c>
      <c r="F7446" s="1">
        <v>45082</v>
      </c>
      <c r="G7446" t="str">
        <f t="shared" si="1337"/>
        <v>82113</v>
      </c>
      <c r="H7446">
        <v>2</v>
      </c>
      <c r="I7446">
        <v>726</v>
      </c>
      <c r="J7446">
        <v>0</v>
      </c>
      <c r="K7446" t="str">
        <f t="shared" si="1336"/>
        <v>813</v>
      </c>
      <c r="L7446">
        <v>609.84</v>
      </c>
    </row>
    <row r="7447" spans="1:12" x14ac:dyDescent="0.25">
      <c r="A7447" t="str">
        <f t="shared" si="1332"/>
        <v>89301000</v>
      </c>
      <c r="B7447" t="str">
        <f t="shared" si="1333"/>
        <v>72077000</v>
      </c>
      <c r="C7447" t="str">
        <f t="shared" si="1334"/>
        <v>72077001</v>
      </c>
      <c r="D7447">
        <v>89301152</v>
      </c>
      <c r="E7447" t="str">
        <f t="shared" si="1335"/>
        <v>8860205783</v>
      </c>
      <c r="F7447" s="1">
        <v>45082</v>
      </c>
      <c r="G7447" t="str">
        <f t="shared" si="1337"/>
        <v>82113</v>
      </c>
      <c r="H7447">
        <v>1</v>
      </c>
      <c r="I7447">
        <v>363</v>
      </c>
      <c r="J7447">
        <v>0</v>
      </c>
      <c r="K7447" t="str">
        <f t="shared" si="1336"/>
        <v>813</v>
      </c>
      <c r="L7447">
        <v>304.92</v>
      </c>
    </row>
    <row r="7448" spans="1:12" x14ac:dyDescent="0.25">
      <c r="A7448" t="str">
        <f t="shared" si="1332"/>
        <v>89301000</v>
      </c>
      <c r="B7448" t="str">
        <f t="shared" si="1333"/>
        <v>72077000</v>
      </c>
      <c r="C7448" t="str">
        <f t="shared" si="1334"/>
        <v>72077001</v>
      </c>
      <c r="D7448">
        <v>89301152</v>
      </c>
      <c r="E7448" t="str">
        <f t="shared" si="1335"/>
        <v>8860205783</v>
      </c>
      <c r="F7448" s="1">
        <v>45082</v>
      </c>
      <c r="G7448" t="str">
        <f t="shared" si="1337"/>
        <v>82113</v>
      </c>
      <c r="H7448">
        <v>2</v>
      </c>
      <c r="I7448">
        <v>726</v>
      </c>
      <c r="J7448">
        <v>0</v>
      </c>
      <c r="K7448" t="str">
        <f t="shared" si="1336"/>
        <v>813</v>
      </c>
      <c r="L7448">
        <v>609.84</v>
      </c>
    </row>
    <row r="7449" spans="1:12" x14ac:dyDescent="0.25">
      <c r="A7449" t="str">
        <f t="shared" si="1332"/>
        <v>89301000</v>
      </c>
      <c r="B7449" t="str">
        <f t="shared" si="1333"/>
        <v>72077000</v>
      </c>
      <c r="C7449" t="str">
        <f t="shared" si="1334"/>
        <v>72077001</v>
      </c>
      <c r="D7449">
        <v>89301152</v>
      </c>
      <c r="E7449" t="str">
        <f t="shared" si="1335"/>
        <v>8860205783</v>
      </c>
      <c r="F7449" s="1">
        <v>45083</v>
      </c>
      <c r="G7449" t="str">
        <f t="shared" ref="G7449:G7454" si="1338">"82079"</f>
        <v>82079</v>
      </c>
      <c r="H7449">
        <v>1</v>
      </c>
      <c r="I7449">
        <v>333</v>
      </c>
      <c r="J7449">
        <v>0</v>
      </c>
      <c r="K7449" t="str">
        <f t="shared" si="1336"/>
        <v>813</v>
      </c>
      <c r="L7449">
        <v>279.72000000000003</v>
      </c>
    </row>
    <row r="7450" spans="1:12" x14ac:dyDescent="0.25">
      <c r="A7450" t="str">
        <f t="shared" si="1332"/>
        <v>89301000</v>
      </c>
      <c r="B7450" t="str">
        <f t="shared" si="1333"/>
        <v>72077000</v>
      </c>
      <c r="C7450" t="str">
        <f t="shared" si="1334"/>
        <v>72077001</v>
      </c>
      <c r="D7450">
        <v>89301152</v>
      </c>
      <c r="E7450" t="str">
        <f t="shared" si="1335"/>
        <v>8860205783</v>
      </c>
      <c r="F7450" s="1">
        <v>45083</v>
      </c>
      <c r="G7450" t="str">
        <f t="shared" si="1338"/>
        <v>82079</v>
      </c>
      <c r="H7450">
        <v>1</v>
      </c>
      <c r="I7450">
        <v>333</v>
      </c>
      <c r="J7450">
        <v>0</v>
      </c>
      <c r="K7450" t="str">
        <f t="shared" si="1336"/>
        <v>813</v>
      </c>
      <c r="L7450">
        <v>279.72000000000003</v>
      </c>
    </row>
    <row r="7451" spans="1:12" x14ac:dyDescent="0.25">
      <c r="A7451" t="str">
        <f t="shared" si="1332"/>
        <v>89301000</v>
      </c>
      <c r="B7451" t="str">
        <f t="shared" si="1333"/>
        <v>72077000</v>
      </c>
      <c r="C7451" t="str">
        <f t="shared" si="1334"/>
        <v>72077001</v>
      </c>
      <c r="D7451">
        <v>89301152</v>
      </c>
      <c r="E7451" t="str">
        <f t="shared" si="1335"/>
        <v>8860205783</v>
      </c>
      <c r="F7451" s="1">
        <v>45083</v>
      </c>
      <c r="G7451" t="str">
        <f t="shared" si="1338"/>
        <v>82079</v>
      </c>
      <c r="H7451">
        <v>1</v>
      </c>
      <c r="I7451">
        <v>333</v>
      </c>
      <c r="J7451">
        <v>0</v>
      </c>
      <c r="K7451" t="str">
        <f t="shared" si="1336"/>
        <v>813</v>
      </c>
      <c r="L7451">
        <v>279.72000000000003</v>
      </c>
    </row>
    <row r="7452" spans="1:12" x14ac:dyDescent="0.25">
      <c r="A7452" t="str">
        <f t="shared" si="1332"/>
        <v>89301000</v>
      </c>
      <c r="B7452" t="str">
        <f t="shared" si="1333"/>
        <v>72077000</v>
      </c>
      <c r="C7452" t="str">
        <f t="shared" si="1334"/>
        <v>72077001</v>
      </c>
      <c r="D7452">
        <v>89301152</v>
      </c>
      <c r="E7452" t="str">
        <f t="shared" si="1335"/>
        <v>8860205783</v>
      </c>
      <c r="F7452" s="1">
        <v>45083</v>
      </c>
      <c r="G7452" t="str">
        <f t="shared" si="1338"/>
        <v>82079</v>
      </c>
      <c r="H7452">
        <v>1</v>
      </c>
      <c r="I7452">
        <v>333</v>
      </c>
      <c r="J7452">
        <v>0</v>
      </c>
      <c r="K7452" t="str">
        <f t="shared" si="1336"/>
        <v>813</v>
      </c>
      <c r="L7452">
        <v>279.72000000000003</v>
      </c>
    </row>
    <row r="7453" spans="1:12" x14ac:dyDescent="0.25">
      <c r="A7453" t="str">
        <f t="shared" si="1332"/>
        <v>89301000</v>
      </c>
      <c r="B7453" t="str">
        <f t="shared" si="1333"/>
        <v>72077000</v>
      </c>
      <c r="C7453" t="str">
        <f t="shared" si="1334"/>
        <v>72077001</v>
      </c>
      <c r="D7453">
        <v>89301152</v>
      </c>
      <c r="E7453" t="str">
        <f t="shared" si="1335"/>
        <v>8860205783</v>
      </c>
      <c r="F7453" s="1">
        <v>45083</v>
      </c>
      <c r="G7453" t="str">
        <f t="shared" si="1338"/>
        <v>82079</v>
      </c>
      <c r="H7453">
        <v>1</v>
      </c>
      <c r="I7453">
        <v>333</v>
      </c>
      <c r="J7453">
        <v>0</v>
      </c>
      <c r="K7453" t="str">
        <f t="shared" si="1336"/>
        <v>813</v>
      </c>
      <c r="L7453">
        <v>279.72000000000003</v>
      </c>
    </row>
    <row r="7454" spans="1:12" x14ac:dyDescent="0.25">
      <c r="A7454" t="str">
        <f t="shared" si="1332"/>
        <v>89301000</v>
      </c>
      <c r="B7454" t="str">
        <f t="shared" si="1333"/>
        <v>72077000</v>
      </c>
      <c r="C7454" t="str">
        <f t="shared" si="1334"/>
        <v>72077001</v>
      </c>
      <c r="D7454">
        <v>89301152</v>
      </c>
      <c r="E7454" t="str">
        <f t="shared" si="1335"/>
        <v>8860205783</v>
      </c>
      <c r="F7454" s="1">
        <v>45083</v>
      </c>
      <c r="G7454" t="str">
        <f t="shared" si="1338"/>
        <v>82079</v>
      </c>
      <c r="H7454">
        <v>1</v>
      </c>
      <c r="I7454">
        <v>333</v>
      </c>
      <c r="J7454">
        <v>0</v>
      </c>
      <c r="K7454" t="str">
        <f t="shared" si="1336"/>
        <v>813</v>
      </c>
      <c r="L7454">
        <v>279.72000000000003</v>
      </c>
    </row>
    <row r="7455" spans="1:12" x14ac:dyDescent="0.25">
      <c r="A7455" t="str">
        <f t="shared" si="1332"/>
        <v>89301000</v>
      </c>
      <c r="B7455" t="str">
        <f t="shared" si="1333"/>
        <v>72077000</v>
      </c>
      <c r="C7455" t="str">
        <f t="shared" si="1334"/>
        <v>72077001</v>
      </c>
      <c r="D7455">
        <v>89301152</v>
      </c>
      <c r="E7455" t="str">
        <f>"7706115340"</f>
        <v>7706115340</v>
      </c>
      <c r="F7455" s="1">
        <v>45079</v>
      </c>
      <c r="G7455" t="str">
        <f>"91213"</f>
        <v>91213</v>
      </c>
      <c r="H7455">
        <v>1</v>
      </c>
      <c r="I7455">
        <v>348</v>
      </c>
      <c r="J7455">
        <v>0</v>
      </c>
      <c r="K7455" t="str">
        <f t="shared" si="1336"/>
        <v>813</v>
      </c>
      <c r="L7455">
        <v>292.32</v>
      </c>
    </row>
    <row r="7456" spans="1:12" x14ac:dyDescent="0.25">
      <c r="A7456" t="str">
        <f t="shared" si="1332"/>
        <v>89301000</v>
      </c>
      <c r="B7456" t="str">
        <f t="shared" si="1333"/>
        <v>72077000</v>
      </c>
      <c r="C7456" t="str">
        <f t="shared" si="1334"/>
        <v>72077001</v>
      </c>
      <c r="D7456">
        <v>89301152</v>
      </c>
      <c r="E7456" t="str">
        <f>"7806235316"</f>
        <v>7806235316</v>
      </c>
      <c r="F7456" s="1">
        <v>45079</v>
      </c>
      <c r="G7456" t="str">
        <f>"91465"</f>
        <v>91465</v>
      </c>
      <c r="H7456">
        <v>1</v>
      </c>
      <c r="I7456">
        <v>1412</v>
      </c>
      <c r="J7456">
        <v>0</v>
      </c>
      <c r="K7456" t="str">
        <f t="shared" si="1336"/>
        <v>813</v>
      </c>
      <c r="L7456">
        <v>1186.08</v>
      </c>
    </row>
    <row r="7457" spans="1:12" x14ac:dyDescent="0.25">
      <c r="A7457" t="str">
        <f t="shared" si="1332"/>
        <v>89301000</v>
      </c>
      <c r="B7457" t="str">
        <f t="shared" si="1333"/>
        <v>72077000</v>
      </c>
      <c r="C7457" t="str">
        <f t="shared" si="1334"/>
        <v>72077001</v>
      </c>
      <c r="D7457">
        <v>89301152</v>
      </c>
      <c r="E7457" t="str">
        <f>"9356186147"</f>
        <v>9356186147</v>
      </c>
      <c r="F7457" s="1">
        <v>45079</v>
      </c>
      <c r="G7457" t="str">
        <f>"91465"</f>
        <v>91465</v>
      </c>
      <c r="H7457">
        <v>1</v>
      </c>
      <c r="I7457">
        <v>1412</v>
      </c>
      <c r="J7457">
        <v>0</v>
      </c>
      <c r="K7457" t="str">
        <f t="shared" si="1336"/>
        <v>813</v>
      </c>
      <c r="L7457">
        <v>1186.08</v>
      </c>
    </row>
    <row r="7458" spans="1:12" x14ac:dyDescent="0.25">
      <c r="A7458" t="str">
        <f t="shared" si="1332"/>
        <v>89301000</v>
      </c>
      <c r="B7458" t="str">
        <f t="shared" si="1333"/>
        <v>72077000</v>
      </c>
      <c r="C7458" t="str">
        <f t="shared" si="1334"/>
        <v>72077001</v>
      </c>
      <c r="D7458">
        <v>89301152</v>
      </c>
      <c r="E7458" t="str">
        <f>"9156266174"</f>
        <v>9156266174</v>
      </c>
      <c r="F7458" s="1">
        <v>45084</v>
      </c>
      <c r="G7458" t="str">
        <f>"91175"</f>
        <v>91175</v>
      </c>
      <c r="H7458">
        <v>1</v>
      </c>
      <c r="I7458">
        <v>362</v>
      </c>
      <c r="J7458">
        <v>0</v>
      </c>
      <c r="K7458" t="str">
        <f t="shared" si="1336"/>
        <v>813</v>
      </c>
      <c r="L7458">
        <v>304.08</v>
      </c>
    </row>
    <row r="7459" spans="1:12" x14ac:dyDescent="0.25">
      <c r="A7459" t="str">
        <f t="shared" si="1332"/>
        <v>89301000</v>
      </c>
      <c r="B7459" t="str">
        <f t="shared" si="1333"/>
        <v>72077000</v>
      </c>
      <c r="C7459" t="str">
        <f t="shared" si="1334"/>
        <v>72077001</v>
      </c>
      <c r="D7459">
        <v>89301152</v>
      </c>
      <c r="E7459" t="str">
        <f>"9156266174"</f>
        <v>9156266174</v>
      </c>
      <c r="F7459" s="1">
        <v>45084</v>
      </c>
      <c r="G7459" t="str">
        <f>"91171"</f>
        <v>91171</v>
      </c>
      <c r="H7459">
        <v>1</v>
      </c>
      <c r="I7459">
        <v>362</v>
      </c>
      <c r="J7459">
        <v>0</v>
      </c>
      <c r="K7459" t="str">
        <f t="shared" si="1336"/>
        <v>813</v>
      </c>
      <c r="L7459">
        <v>304.08</v>
      </c>
    </row>
    <row r="7460" spans="1:12" x14ac:dyDescent="0.25">
      <c r="A7460" t="str">
        <f t="shared" si="1332"/>
        <v>89301000</v>
      </c>
      <c r="B7460" t="str">
        <f t="shared" si="1333"/>
        <v>72077000</v>
      </c>
      <c r="C7460" t="str">
        <f t="shared" si="1334"/>
        <v>72077001</v>
      </c>
      <c r="D7460">
        <v>89301152</v>
      </c>
      <c r="E7460" t="str">
        <f>"9156266174"</f>
        <v>9156266174</v>
      </c>
      <c r="F7460" s="1">
        <v>45084</v>
      </c>
      <c r="G7460" t="str">
        <f>"91361"</f>
        <v>91361</v>
      </c>
      <c r="H7460">
        <v>1</v>
      </c>
      <c r="I7460">
        <v>444</v>
      </c>
      <c r="J7460">
        <v>0</v>
      </c>
      <c r="K7460" t="str">
        <f t="shared" si="1336"/>
        <v>813</v>
      </c>
      <c r="L7460">
        <v>372.96</v>
      </c>
    </row>
    <row r="7461" spans="1:12" x14ac:dyDescent="0.25">
      <c r="A7461" t="str">
        <f t="shared" si="1332"/>
        <v>89301000</v>
      </c>
      <c r="B7461" t="str">
        <f t="shared" si="1333"/>
        <v>72077000</v>
      </c>
      <c r="C7461" t="str">
        <f t="shared" si="1334"/>
        <v>72077001</v>
      </c>
      <c r="D7461">
        <v>89301152</v>
      </c>
      <c r="E7461" t="str">
        <f>"9156266174"</f>
        <v>9156266174</v>
      </c>
      <c r="F7461" s="1">
        <v>45084</v>
      </c>
      <c r="G7461" t="str">
        <f>"91577"</f>
        <v>91577</v>
      </c>
      <c r="H7461">
        <v>1</v>
      </c>
      <c r="I7461">
        <v>398</v>
      </c>
      <c r="J7461">
        <v>0</v>
      </c>
      <c r="K7461" t="str">
        <f t="shared" si="1336"/>
        <v>813</v>
      </c>
      <c r="L7461">
        <v>334.32</v>
      </c>
    </row>
    <row r="7462" spans="1:12" x14ac:dyDescent="0.25">
      <c r="A7462" t="str">
        <f t="shared" si="1332"/>
        <v>89301000</v>
      </c>
      <c r="B7462" t="str">
        <f t="shared" si="1333"/>
        <v>72077000</v>
      </c>
      <c r="C7462" t="str">
        <f t="shared" si="1334"/>
        <v>72077001</v>
      </c>
      <c r="D7462">
        <v>89301152</v>
      </c>
      <c r="E7462" t="str">
        <f>"9156266174"</f>
        <v>9156266174</v>
      </c>
      <c r="F7462" s="1">
        <v>45105</v>
      </c>
      <c r="G7462" t="str">
        <f>"91485"</f>
        <v>91485</v>
      </c>
      <c r="H7462">
        <v>1</v>
      </c>
      <c r="I7462">
        <v>268</v>
      </c>
      <c r="J7462">
        <v>0</v>
      </c>
      <c r="K7462" t="str">
        <f t="shared" si="1336"/>
        <v>813</v>
      </c>
      <c r="L7462">
        <v>225.12</v>
      </c>
    </row>
    <row r="7463" spans="1:12" x14ac:dyDescent="0.25">
      <c r="A7463" t="str">
        <f t="shared" si="1332"/>
        <v>89301000</v>
      </c>
      <c r="B7463" t="str">
        <f t="shared" si="1333"/>
        <v>72077000</v>
      </c>
      <c r="C7463" t="str">
        <f t="shared" si="1334"/>
        <v>72077001</v>
      </c>
      <c r="D7463">
        <v>89301152</v>
      </c>
      <c r="E7463" t="str">
        <f>"8854206229"</f>
        <v>8854206229</v>
      </c>
      <c r="F7463" s="1">
        <v>45084</v>
      </c>
      <c r="G7463" t="str">
        <f>"91485"</f>
        <v>91485</v>
      </c>
      <c r="H7463">
        <v>1</v>
      </c>
      <c r="I7463">
        <v>268</v>
      </c>
      <c r="J7463">
        <v>0</v>
      </c>
      <c r="K7463" t="str">
        <f t="shared" si="1336"/>
        <v>813</v>
      </c>
      <c r="L7463">
        <v>225.12</v>
      </c>
    </row>
    <row r="7464" spans="1:12" x14ac:dyDescent="0.25">
      <c r="A7464" t="str">
        <f t="shared" si="1332"/>
        <v>89301000</v>
      </c>
      <c r="B7464" t="str">
        <f t="shared" si="1333"/>
        <v>72077000</v>
      </c>
      <c r="C7464" t="str">
        <f t="shared" si="1334"/>
        <v>72077001</v>
      </c>
      <c r="D7464">
        <v>89301152</v>
      </c>
      <c r="E7464" t="str">
        <f>"8854206229"</f>
        <v>8854206229</v>
      </c>
      <c r="F7464" s="1">
        <v>45084</v>
      </c>
      <c r="G7464" t="str">
        <f>"91175"</f>
        <v>91175</v>
      </c>
      <c r="H7464">
        <v>1</v>
      </c>
      <c r="I7464">
        <v>362</v>
      </c>
      <c r="J7464">
        <v>0</v>
      </c>
      <c r="K7464" t="str">
        <f t="shared" si="1336"/>
        <v>813</v>
      </c>
      <c r="L7464">
        <v>304.08</v>
      </c>
    </row>
    <row r="7465" spans="1:12" x14ac:dyDescent="0.25">
      <c r="A7465" t="str">
        <f t="shared" si="1332"/>
        <v>89301000</v>
      </c>
      <c r="B7465" t="str">
        <f t="shared" si="1333"/>
        <v>72077000</v>
      </c>
      <c r="C7465" t="str">
        <f t="shared" si="1334"/>
        <v>72077001</v>
      </c>
      <c r="D7465">
        <v>89301152</v>
      </c>
      <c r="E7465" t="str">
        <f>"8854206229"</f>
        <v>8854206229</v>
      </c>
      <c r="F7465" s="1">
        <v>45084</v>
      </c>
      <c r="G7465" t="str">
        <f>"91171"</f>
        <v>91171</v>
      </c>
      <c r="H7465">
        <v>1</v>
      </c>
      <c r="I7465">
        <v>362</v>
      </c>
      <c r="J7465">
        <v>0</v>
      </c>
      <c r="K7465" t="str">
        <f t="shared" si="1336"/>
        <v>813</v>
      </c>
      <c r="L7465">
        <v>304.08</v>
      </c>
    </row>
    <row r="7466" spans="1:12" x14ac:dyDescent="0.25">
      <c r="A7466" t="str">
        <f t="shared" si="1332"/>
        <v>89301000</v>
      </c>
      <c r="B7466" t="str">
        <f t="shared" si="1333"/>
        <v>72077000</v>
      </c>
      <c r="C7466" t="str">
        <f t="shared" si="1334"/>
        <v>72077001</v>
      </c>
      <c r="D7466">
        <v>89301152</v>
      </c>
      <c r="E7466" t="str">
        <f>"8854206229"</f>
        <v>8854206229</v>
      </c>
      <c r="F7466" s="1">
        <v>45084</v>
      </c>
      <c r="G7466" t="str">
        <f>"91577"</f>
        <v>91577</v>
      </c>
      <c r="H7466">
        <v>1</v>
      </c>
      <c r="I7466">
        <v>398</v>
      </c>
      <c r="J7466">
        <v>0</v>
      </c>
      <c r="K7466" t="str">
        <f t="shared" si="1336"/>
        <v>813</v>
      </c>
      <c r="L7466">
        <v>334.32</v>
      </c>
    </row>
    <row r="7467" spans="1:12" x14ac:dyDescent="0.25">
      <c r="A7467" t="str">
        <f t="shared" si="1332"/>
        <v>89301000</v>
      </c>
      <c r="B7467" t="str">
        <f t="shared" si="1333"/>
        <v>72077000</v>
      </c>
      <c r="C7467" t="str">
        <f t="shared" si="1334"/>
        <v>72077001</v>
      </c>
      <c r="D7467">
        <v>89301152</v>
      </c>
      <c r="E7467" t="str">
        <f>"7152174458"</f>
        <v>7152174458</v>
      </c>
      <c r="F7467" s="1">
        <v>45082</v>
      </c>
      <c r="G7467" t="str">
        <f>"91197"</f>
        <v>91197</v>
      </c>
      <c r="H7467">
        <v>1</v>
      </c>
      <c r="I7467">
        <v>1048</v>
      </c>
      <c r="J7467">
        <v>0</v>
      </c>
      <c r="K7467" t="str">
        <f t="shared" si="1336"/>
        <v>813</v>
      </c>
      <c r="L7467">
        <v>880.32</v>
      </c>
    </row>
    <row r="7468" spans="1:12" x14ac:dyDescent="0.25">
      <c r="A7468" t="str">
        <f t="shared" si="1332"/>
        <v>89301000</v>
      </c>
      <c r="B7468" t="str">
        <f t="shared" si="1333"/>
        <v>72077000</v>
      </c>
      <c r="C7468" t="str">
        <f t="shared" si="1334"/>
        <v>72077001</v>
      </c>
      <c r="D7468">
        <v>89301152</v>
      </c>
      <c r="E7468" t="str">
        <f>"7152174458"</f>
        <v>7152174458</v>
      </c>
      <c r="F7468" s="1">
        <v>45083</v>
      </c>
      <c r="G7468" t="str">
        <f>"91465"</f>
        <v>91465</v>
      </c>
      <c r="H7468">
        <v>1</v>
      </c>
      <c r="I7468">
        <v>1412</v>
      </c>
      <c r="J7468">
        <v>0</v>
      </c>
      <c r="K7468" t="str">
        <f t="shared" si="1336"/>
        <v>813</v>
      </c>
      <c r="L7468">
        <v>1186.08</v>
      </c>
    </row>
    <row r="7469" spans="1:12" x14ac:dyDescent="0.25">
      <c r="A7469" t="str">
        <f t="shared" si="1332"/>
        <v>89301000</v>
      </c>
      <c r="B7469" t="str">
        <f t="shared" si="1333"/>
        <v>72077000</v>
      </c>
      <c r="C7469" t="str">
        <f t="shared" si="1334"/>
        <v>72077001</v>
      </c>
      <c r="D7469">
        <v>89301152</v>
      </c>
      <c r="E7469" t="str">
        <f>"8008054120"</f>
        <v>8008054120</v>
      </c>
      <c r="F7469" s="1">
        <v>45082</v>
      </c>
      <c r="G7469" t="str">
        <f>"91197"</f>
        <v>91197</v>
      </c>
      <c r="H7469">
        <v>1</v>
      </c>
      <c r="I7469">
        <v>1048</v>
      </c>
      <c r="J7469">
        <v>0</v>
      </c>
      <c r="K7469" t="str">
        <f t="shared" si="1336"/>
        <v>813</v>
      </c>
      <c r="L7469">
        <v>880.32</v>
      </c>
    </row>
    <row r="7470" spans="1:12" x14ac:dyDescent="0.25">
      <c r="A7470" t="str">
        <f t="shared" si="1332"/>
        <v>89301000</v>
      </c>
      <c r="B7470" t="str">
        <f t="shared" ref="B7470:B7501" si="1339">"72077000"</f>
        <v>72077000</v>
      </c>
      <c r="C7470" t="str">
        <f t="shared" ref="C7470:C7501" si="1340">"72077001"</f>
        <v>72077001</v>
      </c>
      <c r="D7470">
        <v>89301152</v>
      </c>
      <c r="E7470" t="str">
        <f>"8008054120"</f>
        <v>8008054120</v>
      </c>
      <c r="F7470" s="1">
        <v>45083</v>
      </c>
      <c r="G7470" t="str">
        <f>"91465"</f>
        <v>91465</v>
      </c>
      <c r="H7470">
        <v>1</v>
      </c>
      <c r="I7470">
        <v>1412</v>
      </c>
      <c r="J7470">
        <v>0</v>
      </c>
      <c r="K7470" t="str">
        <f t="shared" ref="K7470:K7501" si="1341">"813"</f>
        <v>813</v>
      </c>
      <c r="L7470">
        <v>1186.08</v>
      </c>
    </row>
    <row r="7471" spans="1:12" x14ac:dyDescent="0.25">
      <c r="A7471" t="str">
        <f t="shared" si="1332"/>
        <v>89301000</v>
      </c>
      <c r="B7471" t="str">
        <f t="shared" si="1339"/>
        <v>72077000</v>
      </c>
      <c r="C7471" t="str">
        <f t="shared" si="1340"/>
        <v>72077001</v>
      </c>
      <c r="D7471">
        <v>89301152</v>
      </c>
      <c r="E7471" t="str">
        <f>"8008054120"</f>
        <v>8008054120</v>
      </c>
      <c r="F7471" s="1">
        <v>45084</v>
      </c>
      <c r="G7471" t="str">
        <f>"91219"</f>
        <v>91219</v>
      </c>
      <c r="H7471">
        <v>7</v>
      </c>
      <c r="I7471">
        <v>2401</v>
      </c>
      <c r="J7471">
        <v>0</v>
      </c>
      <c r="K7471" t="str">
        <f t="shared" si="1341"/>
        <v>813</v>
      </c>
      <c r="L7471">
        <v>2016.84</v>
      </c>
    </row>
    <row r="7472" spans="1:12" x14ac:dyDescent="0.25">
      <c r="A7472" t="str">
        <f t="shared" si="1332"/>
        <v>89301000</v>
      </c>
      <c r="B7472" t="str">
        <f t="shared" si="1339"/>
        <v>72077000</v>
      </c>
      <c r="C7472" t="str">
        <f t="shared" si="1340"/>
        <v>72077001</v>
      </c>
      <c r="D7472">
        <v>89301152</v>
      </c>
      <c r="E7472" t="str">
        <f>"8061245313"</f>
        <v>8061245313</v>
      </c>
      <c r="F7472" s="1">
        <v>45082</v>
      </c>
      <c r="G7472" t="str">
        <f>"91197"</f>
        <v>91197</v>
      </c>
      <c r="H7472">
        <v>1</v>
      </c>
      <c r="I7472">
        <v>1048</v>
      </c>
      <c r="J7472">
        <v>0</v>
      </c>
      <c r="K7472" t="str">
        <f t="shared" si="1341"/>
        <v>813</v>
      </c>
      <c r="L7472">
        <v>880.32</v>
      </c>
    </row>
    <row r="7473" spans="1:12" x14ac:dyDescent="0.25">
      <c r="A7473" t="str">
        <f t="shared" si="1332"/>
        <v>89301000</v>
      </c>
      <c r="B7473" t="str">
        <f t="shared" si="1339"/>
        <v>72077000</v>
      </c>
      <c r="C7473" t="str">
        <f t="shared" si="1340"/>
        <v>72077001</v>
      </c>
      <c r="D7473">
        <v>89301152</v>
      </c>
      <c r="E7473" t="str">
        <f>"8061245313"</f>
        <v>8061245313</v>
      </c>
      <c r="F7473" s="1">
        <v>45083</v>
      </c>
      <c r="G7473" t="str">
        <f>"91465"</f>
        <v>91465</v>
      </c>
      <c r="H7473">
        <v>1</v>
      </c>
      <c r="I7473">
        <v>1412</v>
      </c>
      <c r="J7473">
        <v>0</v>
      </c>
      <c r="K7473" t="str">
        <f t="shared" si="1341"/>
        <v>813</v>
      </c>
      <c r="L7473">
        <v>1186.08</v>
      </c>
    </row>
    <row r="7474" spans="1:12" x14ac:dyDescent="0.25">
      <c r="A7474" t="str">
        <f t="shared" si="1332"/>
        <v>89301000</v>
      </c>
      <c r="B7474" t="str">
        <f t="shared" si="1339"/>
        <v>72077000</v>
      </c>
      <c r="C7474" t="str">
        <f t="shared" si="1340"/>
        <v>72077001</v>
      </c>
      <c r="D7474">
        <v>89301152</v>
      </c>
      <c r="E7474" t="str">
        <f>"8061245313"</f>
        <v>8061245313</v>
      </c>
      <c r="F7474" s="1">
        <v>45084</v>
      </c>
      <c r="G7474" t="str">
        <f>"91219"</f>
        <v>91219</v>
      </c>
      <c r="H7474">
        <v>2</v>
      </c>
      <c r="I7474">
        <v>686</v>
      </c>
      <c r="J7474">
        <v>0</v>
      </c>
      <c r="K7474" t="str">
        <f t="shared" si="1341"/>
        <v>813</v>
      </c>
      <c r="L7474">
        <v>576.24</v>
      </c>
    </row>
    <row r="7475" spans="1:12" x14ac:dyDescent="0.25">
      <c r="A7475" t="str">
        <f t="shared" si="1332"/>
        <v>89301000</v>
      </c>
      <c r="B7475" t="str">
        <f t="shared" si="1339"/>
        <v>72077000</v>
      </c>
      <c r="C7475" t="str">
        <f t="shared" si="1340"/>
        <v>72077001</v>
      </c>
      <c r="D7475">
        <v>89301152</v>
      </c>
      <c r="E7475" t="str">
        <f>"6357281029"</f>
        <v>6357281029</v>
      </c>
      <c r="F7475" s="1">
        <v>45084</v>
      </c>
      <c r="G7475" t="str">
        <f>"91219"</f>
        <v>91219</v>
      </c>
      <c r="H7475">
        <v>1</v>
      </c>
      <c r="I7475">
        <v>343</v>
      </c>
      <c r="J7475">
        <v>0</v>
      </c>
      <c r="K7475" t="str">
        <f t="shared" si="1341"/>
        <v>813</v>
      </c>
      <c r="L7475">
        <v>288.12</v>
      </c>
    </row>
    <row r="7476" spans="1:12" x14ac:dyDescent="0.25">
      <c r="A7476" t="str">
        <f t="shared" si="1332"/>
        <v>89301000</v>
      </c>
      <c r="B7476" t="str">
        <f t="shared" si="1339"/>
        <v>72077000</v>
      </c>
      <c r="C7476" t="str">
        <f t="shared" si="1340"/>
        <v>72077001</v>
      </c>
      <c r="D7476">
        <v>89301152</v>
      </c>
      <c r="E7476" t="str">
        <f>"6357281029"</f>
        <v>6357281029</v>
      </c>
      <c r="F7476" s="1">
        <v>45084</v>
      </c>
      <c r="G7476" t="str">
        <f>"91219"</f>
        <v>91219</v>
      </c>
      <c r="H7476">
        <v>1</v>
      </c>
      <c r="I7476">
        <v>343</v>
      </c>
      <c r="J7476">
        <v>0</v>
      </c>
      <c r="K7476" t="str">
        <f t="shared" si="1341"/>
        <v>813</v>
      </c>
      <c r="L7476">
        <v>288.12</v>
      </c>
    </row>
    <row r="7477" spans="1:12" x14ac:dyDescent="0.25">
      <c r="A7477" t="str">
        <f t="shared" si="1332"/>
        <v>89301000</v>
      </c>
      <c r="B7477" t="str">
        <f t="shared" si="1339"/>
        <v>72077000</v>
      </c>
      <c r="C7477" t="str">
        <f t="shared" si="1340"/>
        <v>72077001</v>
      </c>
      <c r="D7477">
        <v>89301152</v>
      </c>
      <c r="E7477" t="str">
        <f>"6357281029"</f>
        <v>6357281029</v>
      </c>
      <c r="F7477" s="1">
        <v>45084</v>
      </c>
      <c r="G7477" t="str">
        <f>"91219"</f>
        <v>91219</v>
      </c>
      <c r="H7477">
        <v>1</v>
      </c>
      <c r="I7477">
        <v>343</v>
      </c>
      <c r="J7477">
        <v>0</v>
      </c>
      <c r="K7477" t="str">
        <f t="shared" si="1341"/>
        <v>813</v>
      </c>
      <c r="L7477">
        <v>288.12</v>
      </c>
    </row>
    <row r="7478" spans="1:12" x14ac:dyDescent="0.25">
      <c r="A7478" t="str">
        <f t="shared" si="1332"/>
        <v>89301000</v>
      </c>
      <c r="B7478" t="str">
        <f t="shared" si="1339"/>
        <v>72077000</v>
      </c>
      <c r="C7478" t="str">
        <f t="shared" si="1340"/>
        <v>72077001</v>
      </c>
      <c r="D7478">
        <v>89301152</v>
      </c>
      <c r="E7478" t="str">
        <f>"6357281029"</f>
        <v>6357281029</v>
      </c>
      <c r="F7478" s="1">
        <v>45084</v>
      </c>
      <c r="G7478" t="str">
        <f>"91219"</f>
        <v>91219</v>
      </c>
      <c r="H7478">
        <v>1</v>
      </c>
      <c r="I7478">
        <v>343</v>
      </c>
      <c r="J7478">
        <v>0</v>
      </c>
      <c r="K7478" t="str">
        <f t="shared" si="1341"/>
        <v>813</v>
      </c>
      <c r="L7478">
        <v>288.12</v>
      </c>
    </row>
    <row r="7479" spans="1:12" x14ac:dyDescent="0.25">
      <c r="A7479" t="str">
        <f t="shared" si="1332"/>
        <v>89301000</v>
      </c>
      <c r="B7479" t="str">
        <f t="shared" si="1339"/>
        <v>72077000</v>
      </c>
      <c r="C7479" t="str">
        <f t="shared" si="1340"/>
        <v>72077001</v>
      </c>
      <c r="D7479">
        <v>89301152</v>
      </c>
      <c r="E7479" t="str">
        <f>"7257124457"</f>
        <v>7257124457</v>
      </c>
      <c r="F7479" s="1">
        <v>45084</v>
      </c>
      <c r="G7479" t="str">
        <f>"91485"</f>
        <v>91485</v>
      </c>
      <c r="H7479">
        <v>1</v>
      </c>
      <c r="I7479">
        <v>268</v>
      </c>
      <c r="J7479">
        <v>0</v>
      </c>
      <c r="K7479" t="str">
        <f t="shared" si="1341"/>
        <v>813</v>
      </c>
      <c r="L7479">
        <v>225.12</v>
      </c>
    </row>
    <row r="7480" spans="1:12" x14ac:dyDescent="0.25">
      <c r="A7480" t="str">
        <f t="shared" si="1332"/>
        <v>89301000</v>
      </c>
      <c r="B7480" t="str">
        <f t="shared" si="1339"/>
        <v>72077000</v>
      </c>
      <c r="C7480" t="str">
        <f t="shared" si="1340"/>
        <v>72077001</v>
      </c>
      <c r="D7480">
        <v>89301152</v>
      </c>
      <c r="E7480" t="str">
        <f>"7257124457"</f>
        <v>7257124457</v>
      </c>
      <c r="F7480" s="1">
        <v>45084</v>
      </c>
      <c r="G7480" t="str">
        <f>"91359"</f>
        <v>91359</v>
      </c>
      <c r="H7480">
        <v>1</v>
      </c>
      <c r="I7480">
        <v>205</v>
      </c>
      <c r="J7480">
        <v>0</v>
      </c>
      <c r="K7480" t="str">
        <f t="shared" si="1341"/>
        <v>813</v>
      </c>
      <c r="L7480">
        <v>172.2</v>
      </c>
    </row>
    <row r="7481" spans="1:12" x14ac:dyDescent="0.25">
      <c r="A7481" t="str">
        <f t="shared" si="1332"/>
        <v>89301000</v>
      </c>
      <c r="B7481" t="str">
        <f t="shared" si="1339"/>
        <v>72077000</v>
      </c>
      <c r="C7481" t="str">
        <f t="shared" si="1340"/>
        <v>72077001</v>
      </c>
      <c r="D7481">
        <v>89301152</v>
      </c>
      <c r="E7481" t="str">
        <f>"7257124457"</f>
        <v>7257124457</v>
      </c>
      <c r="F7481" s="1">
        <v>45084</v>
      </c>
      <c r="G7481" t="str">
        <f>"91361"</f>
        <v>91361</v>
      </c>
      <c r="H7481">
        <v>1</v>
      </c>
      <c r="I7481">
        <v>444</v>
      </c>
      <c r="J7481">
        <v>0</v>
      </c>
      <c r="K7481" t="str">
        <f t="shared" si="1341"/>
        <v>813</v>
      </c>
      <c r="L7481">
        <v>372.96</v>
      </c>
    </row>
    <row r="7482" spans="1:12" x14ac:dyDescent="0.25">
      <c r="A7482" t="str">
        <f t="shared" si="1332"/>
        <v>89301000</v>
      </c>
      <c r="B7482" t="str">
        <f t="shared" si="1339"/>
        <v>72077000</v>
      </c>
      <c r="C7482" t="str">
        <f t="shared" si="1340"/>
        <v>72077001</v>
      </c>
      <c r="D7482">
        <v>89301152</v>
      </c>
      <c r="E7482" t="str">
        <f>"7257124457"</f>
        <v>7257124457</v>
      </c>
      <c r="F7482" s="1">
        <v>45084</v>
      </c>
      <c r="G7482" t="str">
        <f>"91577"</f>
        <v>91577</v>
      </c>
      <c r="H7482">
        <v>1</v>
      </c>
      <c r="I7482">
        <v>398</v>
      </c>
      <c r="J7482">
        <v>0</v>
      </c>
      <c r="K7482" t="str">
        <f t="shared" si="1341"/>
        <v>813</v>
      </c>
      <c r="L7482">
        <v>334.32</v>
      </c>
    </row>
    <row r="7483" spans="1:12" x14ac:dyDescent="0.25">
      <c r="A7483" t="str">
        <f t="shared" si="1332"/>
        <v>89301000</v>
      </c>
      <c r="B7483" t="str">
        <f t="shared" si="1339"/>
        <v>72077000</v>
      </c>
      <c r="C7483" t="str">
        <f t="shared" si="1340"/>
        <v>72077001</v>
      </c>
      <c r="D7483">
        <v>89301152</v>
      </c>
      <c r="E7483" t="str">
        <f>"8060225327"</f>
        <v>8060225327</v>
      </c>
      <c r="F7483" s="1">
        <v>45086</v>
      </c>
      <c r="G7483" t="str">
        <f>"91197"</f>
        <v>91197</v>
      </c>
      <c r="H7483">
        <v>1</v>
      </c>
      <c r="I7483">
        <v>1048</v>
      </c>
      <c r="J7483">
        <v>0</v>
      </c>
      <c r="K7483" t="str">
        <f t="shared" si="1341"/>
        <v>813</v>
      </c>
      <c r="L7483">
        <v>880.32</v>
      </c>
    </row>
    <row r="7484" spans="1:12" x14ac:dyDescent="0.25">
      <c r="A7484" t="str">
        <f t="shared" si="1332"/>
        <v>89301000</v>
      </c>
      <c r="B7484" t="str">
        <f t="shared" si="1339"/>
        <v>72077000</v>
      </c>
      <c r="C7484" t="str">
        <f t="shared" si="1340"/>
        <v>72077001</v>
      </c>
      <c r="D7484">
        <v>89301152</v>
      </c>
      <c r="E7484" t="str">
        <f>"8060225327"</f>
        <v>8060225327</v>
      </c>
      <c r="F7484" s="1">
        <v>45086</v>
      </c>
      <c r="G7484" t="str">
        <f>"91219"</f>
        <v>91219</v>
      </c>
      <c r="H7484">
        <v>1</v>
      </c>
      <c r="I7484">
        <v>343</v>
      </c>
      <c r="J7484">
        <v>0</v>
      </c>
      <c r="K7484" t="str">
        <f t="shared" si="1341"/>
        <v>813</v>
      </c>
      <c r="L7484">
        <v>288.12</v>
      </c>
    </row>
    <row r="7485" spans="1:12" x14ac:dyDescent="0.25">
      <c r="A7485" t="str">
        <f t="shared" si="1332"/>
        <v>89301000</v>
      </c>
      <c r="B7485" t="str">
        <f t="shared" si="1339"/>
        <v>72077000</v>
      </c>
      <c r="C7485" t="str">
        <f t="shared" si="1340"/>
        <v>72077001</v>
      </c>
      <c r="D7485">
        <v>89301152</v>
      </c>
      <c r="E7485" t="str">
        <f>"8060225327"</f>
        <v>8060225327</v>
      </c>
      <c r="F7485" s="1">
        <v>45090</v>
      </c>
      <c r="G7485" t="str">
        <f>"91465"</f>
        <v>91465</v>
      </c>
      <c r="H7485">
        <v>1</v>
      </c>
      <c r="I7485">
        <v>1412</v>
      </c>
      <c r="J7485">
        <v>0</v>
      </c>
      <c r="K7485" t="str">
        <f t="shared" si="1341"/>
        <v>813</v>
      </c>
      <c r="L7485">
        <v>1186.08</v>
      </c>
    </row>
    <row r="7486" spans="1:12" x14ac:dyDescent="0.25">
      <c r="A7486" t="str">
        <f t="shared" si="1332"/>
        <v>89301000</v>
      </c>
      <c r="B7486" t="str">
        <f t="shared" si="1339"/>
        <v>72077000</v>
      </c>
      <c r="C7486" t="str">
        <f t="shared" si="1340"/>
        <v>72077001</v>
      </c>
      <c r="D7486">
        <v>89301152</v>
      </c>
      <c r="E7486" t="str">
        <f>"7057205309"</f>
        <v>7057205309</v>
      </c>
      <c r="F7486" s="1">
        <v>45085</v>
      </c>
      <c r="G7486" t="str">
        <f>"91465"</f>
        <v>91465</v>
      </c>
      <c r="H7486">
        <v>1</v>
      </c>
      <c r="I7486">
        <v>1412</v>
      </c>
      <c r="J7486">
        <v>0</v>
      </c>
      <c r="K7486" t="str">
        <f t="shared" si="1341"/>
        <v>813</v>
      </c>
      <c r="L7486">
        <v>1186.08</v>
      </c>
    </row>
    <row r="7487" spans="1:12" x14ac:dyDescent="0.25">
      <c r="A7487" t="str">
        <f t="shared" si="1332"/>
        <v>89301000</v>
      </c>
      <c r="B7487" t="str">
        <f t="shared" si="1339"/>
        <v>72077000</v>
      </c>
      <c r="C7487" t="str">
        <f t="shared" si="1340"/>
        <v>72077001</v>
      </c>
      <c r="D7487">
        <v>89301152</v>
      </c>
      <c r="E7487" t="str">
        <f>"7057205309"</f>
        <v>7057205309</v>
      </c>
      <c r="F7487" s="1">
        <v>45086</v>
      </c>
      <c r="G7487" t="str">
        <f>"91197"</f>
        <v>91197</v>
      </c>
      <c r="H7487">
        <v>1</v>
      </c>
      <c r="I7487">
        <v>1048</v>
      </c>
      <c r="J7487">
        <v>0</v>
      </c>
      <c r="K7487" t="str">
        <f t="shared" si="1341"/>
        <v>813</v>
      </c>
      <c r="L7487">
        <v>880.32</v>
      </c>
    </row>
    <row r="7488" spans="1:12" x14ac:dyDescent="0.25">
      <c r="A7488" t="str">
        <f t="shared" si="1332"/>
        <v>89301000</v>
      </c>
      <c r="B7488" t="str">
        <f t="shared" si="1339"/>
        <v>72077000</v>
      </c>
      <c r="C7488" t="str">
        <f t="shared" si="1340"/>
        <v>72077001</v>
      </c>
      <c r="D7488">
        <v>89301152</v>
      </c>
      <c r="E7488" t="str">
        <f>"8755275782"</f>
        <v>8755275782</v>
      </c>
      <c r="F7488" s="1">
        <v>45085</v>
      </c>
      <c r="G7488" t="str">
        <f>"91465"</f>
        <v>91465</v>
      </c>
      <c r="H7488">
        <v>1</v>
      </c>
      <c r="I7488">
        <v>1412</v>
      </c>
      <c r="J7488">
        <v>0</v>
      </c>
      <c r="K7488" t="str">
        <f t="shared" si="1341"/>
        <v>813</v>
      </c>
      <c r="L7488">
        <v>1186.08</v>
      </c>
    </row>
    <row r="7489" spans="1:12" x14ac:dyDescent="0.25">
      <c r="A7489" t="str">
        <f t="shared" si="1332"/>
        <v>89301000</v>
      </c>
      <c r="B7489" t="str">
        <f t="shared" si="1339"/>
        <v>72077000</v>
      </c>
      <c r="C7489" t="str">
        <f t="shared" si="1340"/>
        <v>72077001</v>
      </c>
      <c r="D7489">
        <v>89301152</v>
      </c>
      <c r="E7489" t="str">
        <f>"8755275782"</f>
        <v>8755275782</v>
      </c>
      <c r="F7489" s="1">
        <v>45086</v>
      </c>
      <c r="G7489" t="str">
        <f>"91197"</f>
        <v>91197</v>
      </c>
      <c r="H7489">
        <v>1</v>
      </c>
      <c r="I7489">
        <v>1048</v>
      </c>
      <c r="J7489">
        <v>0</v>
      </c>
      <c r="K7489" t="str">
        <f t="shared" si="1341"/>
        <v>813</v>
      </c>
      <c r="L7489">
        <v>880.32</v>
      </c>
    </row>
    <row r="7490" spans="1:12" x14ac:dyDescent="0.25">
      <c r="A7490" t="str">
        <f t="shared" ref="A7490:A7553" si="1342">"89301000"</f>
        <v>89301000</v>
      </c>
      <c r="B7490" t="str">
        <f t="shared" si="1339"/>
        <v>72077000</v>
      </c>
      <c r="C7490" t="str">
        <f t="shared" si="1340"/>
        <v>72077001</v>
      </c>
      <c r="D7490">
        <v>89301152</v>
      </c>
      <c r="E7490" t="str">
        <f>"9356214846"</f>
        <v>9356214846</v>
      </c>
      <c r="F7490" s="1">
        <v>45085</v>
      </c>
      <c r="G7490" t="str">
        <f>"91465"</f>
        <v>91465</v>
      </c>
      <c r="H7490">
        <v>1</v>
      </c>
      <c r="I7490">
        <v>1412</v>
      </c>
      <c r="J7490">
        <v>0</v>
      </c>
      <c r="K7490" t="str">
        <f t="shared" si="1341"/>
        <v>813</v>
      </c>
      <c r="L7490">
        <v>1186.08</v>
      </c>
    </row>
    <row r="7491" spans="1:12" x14ac:dyDescent="0.25">
      <c r="A7491" t="str">
        <f t="shared" si="1342"/>
        <v>89301000</v>
      </c>
      <c r="B7491" t="str">
        <f t="shared" si="1339"/>
        <v>72077000</v>
      </c>
      <c r="C7491" t="str">
        <f t="shared" si="1340"/>
        <v>72077001</v>
      </c>
      <c r="D7491">
        <v>89301152</v>
      </c>
      <c r="E7491" t="str">
        <f>"9356214846"</f>
        <v>9356214846</v>
      </c>
      <c r="F7491" s="1">
        <v>45086</v>
      </c>
      <c r="G7491" t="str">
        <f>"91197"</f>
        <v>91197</v>
      </c>
      <c r="H7491">
        <v>1</v>
      </c>
      <c r="I7491">
        <v>1048</v>
      </c>
      <c r="J7491">
        <v>0</v>
      </c>
      <c r="K7491" t="str">
        <f t="shared" si="1341"/>
        <v>813</v>
      </c>
      <c r="L7491">
        <v>880.32</v>
      </c>
    </row>
    <row r="7492" spans="1:12" x14ac:dyDescent="0.25">
      <c r="A7492" t="str">
        <f t="shared" si="1342"/>
        <v>89301000</v>
      </c>
      <c r="B7492" t="str">
        <f t="shared" si="1339"/>
        <v>72077000</v>
      </c>
      <c r="C7492" t="str">
        <f t="shared" si="1340"/>
        <v>72077001</v>
      </c>
      <c r="D7492">
        <v>89301152</v>
      </c>
      <c r="E7492" t="str">
        <f t="shared" ref="E7492:E7502" si="1343">"8657095766"</f>
        <v>8657095766</v>
      </c>
      <c r="F7492" s="1">
        <v>45083</v>
      </c>
      <c r="G7492" t="str">
        <f t="shared" ref="G7492:G7502" si="1344">"91219"</f>
        <v>91219</v>
      </c>
      <c r="H7492">
        <v>1</v>
      </c>
      <c r="I7492">
        <v>343</v>
      </c>
      <c r="J7492">
        <v>0</v>
      </c>
      <c r="K7492" t="str">
        <f t="shared" si="1341"/>
        <v>813</v>
      </c>
      <c r="L7492">
        <v>288.12</v>
      </c>
    </row>
    <row r="7493" spans="1:12" x14ac:dyDescent="0.25">
      <c r="A7493" t="str">
        <f t="shared" si="1342"/>
        <v>89301000</v>
      </c>
      <c r="B7493" t="str">
        <f t="shared" si="1339"/>
        <v>72077000</v>
      </c>
      <c r="C7493" t="str">
        <f t="shared" si="1340"/>
        <v>72077001</v>
      </c>
      <c r="D7493">
        <v>89301152</v>
      </c>
      <c r="E7493" t="str">
        <f t="shared" si="1343"/>
        <v>8657095766</v>
      </c>
      <c r="F7493" s="1">
        <v>45083</v>
      </c>
      <c r="G7493" t="str">
        <f t="shared" si="1344"/>
        <v>91219</v>
      </c>
      <c r="H7493">
        <v>1</v>
      </c>
      <c r="I7493">
        <v>343</v>
      </c>
      <c r="J7493">
        <v>0</v>
      </c>
      <c r="K7493" t="str">
        <f t="shared" si="1341"/>
        <v>813</v>
      </c>
      <c r="L7493">
        <v>288.12</v>
      </c>
    </row>
    <row r="7494" spans="1:12" x14ac:dyDescent="0.25">
      <c r="A7494" t="str">
        <f t="shared" si="1342"/>
        <v>89301000</v>
      </c>
      <c r="B7494" t="str">
        <f t="shared" si="1339"/>
        <v>72077000</v>
      </c>
      <c r="C7494" t="str">
        <f t="shared" si="1340"/>
        <v>72077001</v>
      </c>
      <c r="D7494">
        <v>89301152</v>
      </c>
      <c r="E7494" t="str">
        <f t="shared" si="1343"/>
        <v>8657095766</v>
      </c>
      <c r="F7494" s="1">
        <v>45083</v>
      </c>
      <c r="G7494" t="str">
        <f t="shared" si="1344"/>
        <v>91219</v>
      </c>
      <c r="H7494">
        <v>1</v>
      </c>
      <c r="I7494">
        <v>343</v>
      </c>
      <c r="J7494">
        <v>0</v>
      </c>
      <c r="K7494" t="str">
        <f t="shared" si="1341"/>
        <v>813</v>
      </c>
      <c r="L7494">
        <v>288.12</v>
      </c>
    </row>
    <row r="7495" spans="1:12" x14ac:dyDescent="0.25">
      <c r="A7495" t="str">
        <f t="shared" si="1342"/>
        <v>89301000</v>
      </c>
      <c r="B7495" t="str">
        <f t="shared" si="1339"/>
        <v>72077000</v>
      </c>
      <c r="C7495" t="str">
        <f t="shared" si="1340"/>
        <v>72077001</v>
      </c>
      <c r="D7495">
        <v>89301152</v>
      </c>
      <c r="E7495" t="str">
        <f t="shared" si="1343"/>
        <v>8657095766</v>
      </c>
      <c r="F7495" s="1">
        <v>45083</v>
      </c>
      <c r="G7495" t="str">
        <f t="shared" si="1344"/>
        <v>91219</v>
      </c>
      <c r="H7495">
        <v>1</v>
      </c>
      <c r="I7495">
        <v>343</v>
      </c>
      <c r="J7495">
        <v>0</v>
      </c>
      <c r="K7495" t="str">
        <f t="shared" si="1341"/>
        <v>813</v>
      </c>
      <c r="L7495">
        <v>288.12</v>
      </c>
    </row>
    <row r="7496" spans="1:12" x14ac:dyDescent="0.25">
      <c r="A7496" t="str">
        <f t="shared" si="1342"/>
        <v>89301000</v>
      </c>
      <c r="B7496" t="str">
        <f t="shared" si="1339"/>
        <v>72077000</v>
      </c>
      <c r="C7496" t="str">
        <f t="shared" si="1340"/>
        <v>72077001</v>
      </c>
      <c r="D7496">
        <v>89301152</v>
      </c>
      <c r="E7496" t="str">
        <f t="shared" si="1343"/>
        <v>8657095766</v>
      </c>
      <c r="F7496" s="1">
        <v>45086</v>
      </c>
      <c r="G7496" t="str">
        <f t="shared" si="1344"/>
        <v>91219</v>
      </c>
      <c r="H7496">
        <v>1</v>
      </c>
      <c r="I7496">
        <v>343</v>
      </c>
      <c r="J7496">
        <v>0</v>
      </c>
      <c r="K7496" t="str">
        <f t="shared" si="1341"/>
        <v>813</v>
      </c>
      <c r="L7496">
        <v>288.12</v>
      </c>
    </row>
    <row r="7497" spans="1:12" x14ac:dyDescent="0.25">
      <c r="A7497" t="str">
        <f t="shared" si="1342"/>
        <v>89301000</v>
      </c>
      <c r="B7497" t="str">
        <f t="shared" si="1339"/>
        <v>72077000</v>
      </c>
      <c r="C7497" t="str">
        <f t="shared" si="1340"/>
        <v>72077001</v>
      </c>
      <c r="D7497">
        <v>89301152</v>
      </c>
      <c r="E7497" t="str">
        <f t="shared" si="1343"/>
        <v>8657095766</v>
      </c>
      <c r="F7497" s="1">
        <v>45086</v>
      </c>
      <c r="G7497" t="str">
        <f t="shared" si="1344"/>
        <v>91219</v>
      </c>
      <c r="H7497">
        <v>1</v>
      </c>
      <c r="I7497">
        <v>343</v>
      </c>
      <c r="J7497">
        <v>0</v>
      </c>
      <c r="K7497" t="str">
        <f t="shared" si="1341"/>
        <v>813</v>
      </c>
      <c r="L7497">
        <v>288.12</v>
      </c>
    </row>
    <row r="7498" spans="1:12" x14ac:dyDescent="0.25">
      <c r="A7498" t="str">
        <f t="shared" si="1342"/>
        <v>89301000</v>
      </c>
      <c r="B7498" t="str">
        <f t="shared" si="1339"/>
        <v>72077000</v>
      </c>
      <c r="C7498" t="str">
        <f t="shared" si="1340"/>
        <v>72077001</v>
      </c>
      <c r="D7498">
        <v>89301152</v>
      </c>
      <c r="E7498" t="str">
        <f t="shared" si="1343"/>
        <v>8657095766</v>
      </c>
      <c r="F7498" s="1">
        <v>45086</v>
      </c>
      <c r="G7498" t="str">
        <f t="shared" si="1344"/>
        <v>91219</v>
      </c>
      <c r="H7498">
        <v>1</v>
      </c>
      <c r="I7498">
        <v>343</v>
      </c>
      <c r="J7498">
        <v>0</v>
      </c>
      <c r="K7498" t="str">
        <f t="shared" si="1341"/>
        <v>813</v>
      </c>
      <c r="L7498">
        <v>288.12</v>
      </c>
    </row>
    <row r="7499" spans="1:12" x14ac:dyDescent="0.25">
      <c r="A7499" t="str">
        <f t="shared" si="1342"/>
        <v>89301000</v>
      </c>
      <c r="B7499" t="str">
        <f t="shared" si="1339"/>
        <v>72077000</v>
      </c>
      <c r="C7499" t="str">
        <f t="shared" si="1340"/>
        <v>72077001</v>
      </c>
      <c r="D7499">
        <v>89301152</v>
      </c>
      <c r="E7499" t="str">
        <f t="shared" si="1343"/>
        <v>8657095766</v>
      </c>
      <c r="F7499" s="1">
        <v>45086</v>
      </c>
      <c r="G7499" t="str">
        <f t="shared" si="1344"/>
        <v>91219</v>
      </c>
      <c r="H7499">
        <v>1</v>
      </c>
      <c r="I7499">
        <v>343</v>
      </c>
      <c r="J7499">
        <v>0</v>
      </c>
      <c r="K7499" t="str">
        <f t="shared" si="1341"/>
        <v>813</v>
      </c>
      <c r="L7499">
        <v>288.12</v>
      </c>
    </row>
    <row r="7500" spans="1:12" x14ac:dyDescent="0.25">
      <c r="A7500" t="str">
        <f t="shared" si="1342"/>
        <v>89301000</v>
      </c>
      <c r="B7500" t="str">
        <f t="shared" si="1339"/>
        <v>72077000</v>
      </c>
      <c r="C7500" t="str">
        <f t="shared" si="1340"/>
        <v>72077001</v>
      </c>
      <c r="D7500">
        <v>89301152</v>
      </c>
      <c r="E7500" t="str">
        <f t="shared" si="1343"/>
        <v>8657095766</v>
      </c>
      <c r="F7500" s="1">
        <v>45086</v>
      </c>
      <c r="G7500" t="str">
        <f t="shared" si="1344"/>
        <v>91219</v>
      </c>
      <c r="H7500">
        <v>1</v>
      </c>
      <c r="I7500">
        <v>343</v>
      </c>
      <c r="J7500">
        <v>0</v>
      </c>
      <c r="K7500" t="str">
        <f t="shared" si="1341"/>
        <v>813</v>
      </c>
      <c r="L7500">
        <v>288.12</v>
      </c>
    </row>
    <row r="7501" spans="1:12" x14ac:dyDescent="0.25">
      <c r="A7501" t="str">
        <f t="shared" si="1342"/>
        <v>89301000</v>
      </c>
      <c r="B7501" t="str">
        <f t="shared" si="1339"/>
        <v>72077000</v>
      </c>
      <c r="C7501" t="str">
        <f t="shared" si="1340"/>
        <v>72077001</v>
      </c>
      <c r="D7501">
        <v>89301152</v>
      </c>
      <c r="E7501" t="str">
        <f t="shared" si="1343"/>
        <v>8657095766</v>
      </c>
      <c r="F7501" s="1">
        <v>45086</v>
      </c>
      <c r="G7501" t="str">
        <f t="shared" si="1344"/>
        <v>91219</v>
      </c>
      <c r="H7501">
        <v>1</v>
      </c>
      <c r="I7501">
        <v>343</v>
      </c>
      <c r="J7501">
        <v>0</v>
      </c>
      <c r="K7501" t="str">
        <f t="shared" si="1341"/>
        <v>813</v>
      </c>
      <c r="L7501">
        <v>288.12</v>
      </c>
    </row>
    <row r="7502" spans="1:12" x14ac:dyDescent="0.25">
      <c r="A7502" t="str">
        <f t="shared" si="1342"/>
        <v>89301000</v>
      </c>
      <c r="B7502" t="str">
        <f t="shared" ref="B7502:B7533" si="1345">"72077000"</f>
        <v>72077000</v>
      </c>
      <c r="C7502" t="str">
        <f t="shared" ref="C7502:C7533" si="1346">"72077001"</f>
        <v>72077001</v>
      </c>
      <c r="D7502">
        <v>89301152</v>
      </c>
      <c r="E7502" t="str">
        <f t="shared" si="1343"/>
        <v>8657095766</v>
      </c>
      <c r="F7502" s="1">
        <v>45086</v>
      </c>
      <c r="G7502" t="str">
        <f t="shared" si="1344"/>
        <v>91219</v>
      </c>
      <c r="H7502">
        <v>1</v>
      </c>
      <c r="I7502">
        <v>343</v>
      </c>
      <c r="J7502">
        <v>0</v>
      </c>
      <c r="K7502" t="str">
        <f t="shared" ref="K7502:K7533" si="1347">"813"</f>
        <v>813</v>
      </c>
      <c r="L7502">
        <v>288.12</v>
      </c>
    </row>
    <row r="7503" spans="1:12" x14ac:dyDescent="0.25">
      <c r="A7503" t="str">
        <f t="shared" si="1342"/>
        <v>89301000</v>
      </c>
      <c r="B7503" t="str">
        <f t="shared" si="1345"/>
        <v>72077000</v>
      </c>
      <c r="C7503" t="str">
        <f t="shared" si="1346"/>
        <v>72077001</v>
      </c>
      <c r="D7503">
        <v>89301152</v>
      </c>
      <c r="E7503" t="str">
        <f>"5857161981"</f>
        <v>5857161981</v>
      </c>
      <c r="F7503" s="1">
        <v>45086</v>
      </c>
      <c r="G7503" t="str">
        <f>"91197"</f>
        <v>91197</v>
      </c>
      <c r="H7503">
        <v>1</v>
      </c>
      <c r="I7503">
        <v>1048</v>
      </c>
      <c r="J7503">
        <v>0</v>
      </c>
      <c r="K7503" t="str">
        <f t="shared" si="1347"/>
        <v>813</v>
      </c>
      <c r="L7503">
        <v>880.32</v>
      </c>
    </row>
    <row r="7504" spans="1:12" x14ac:dyDescent="0.25">
      <c r="A7504" t="str">
        <f t="shared" si="1342"/>
        <v>89301000</v>
      </c>
      <c r="B7504" t="str">
        <f t="shared" si="1345"/>
        <v>72077000</v>
      </c>
      <c r="C7504" t="str">
        <f t="shared" si="1346"/>
        <v>72077001</v>
      </c>
      <c r="D7504">
        <v>89301152</v>
      </c>
      <c r="E7504" t="str">
        <f>"5857161981"</f>
        <v>5857161981</v>
      </c>
      <c r="F7504" s="1">
        <v>45090</v>
      </c>
      <c r="G7504" t="str">
        <f>"91219"</f>
        <v>91219</v>
      </c>
      <c r="H7504">
        <v>3</v>
      </c>
      <c r="I7504">
        <v>1029</v>
      </c>
      <c r="J7504">
        <v>0</v>
      </c>
      <c r="K7504" t="str">
        <f t="shared" si="1347"/>
        <v>813</v>
      </c>
      <c r="L7504">
        <v>864.36</v>
      </c>
    </row>
    <row r="7505" spans="1:12" x14ac:dyDescent="0.25">
      <c r="A7505" t="str">
        <f t="shared" si="1342"/>
        <v>89301000</v>
      </c>
      <c r="B7505" t="str">
        <f t="shared" si="1345"/>
        <v>72077000</v>
      </c>
      <c r="C7505" t="str">
        <f t="shared" si="1346"/>
        <v>72077001</v>
      </c>
      <c r="D7505">
        <v>89301152</v>
      </c>
      <c r="E7505" t="str">
        <f>"5857161981"</f>
        <v>5857161981</v>
      </c>
      <c r="F7505" s="1">
        <v>45090</v>
      </c>
      <c r="G7505" t="str">
        <f>"91465"</f>
        <v>91465</v>
      </c>
      <c r="H7505">
        <v>1</v>
      </c>
      <c r="I7505">
        <v>1412</v>
      </c>
      <c r="J7505">
        <v>0</v>
      </c>
      <c r="K7505" t="str">
        <f t="shared" si="1347"/>
        <v>813</v>
      </c>
      <c r="L7505">
        <v>1186.08</v>
      </c>
    </row>
    <row r="7506" spans="1:12" x14ac:dyDescent="0.25">
      <c r="A7506" t="str">
        <f t="shared" si="1342"/>
        <v>89301000</v>
      </c>
      <c r="B7506" t="str">
        <f t="shared" si="1345"/>
        <v>72077000</v>
      </c>
      <c r="C7506" t="str">
        <f t="shared" si="1346"/>
        <v>72077001</v>
      </c>
      <c r="D7506">
        <v>89301107</v>
      </c>
      <c r="E7506" t="str">
        <f>"1160150024"</f>
        <v>1160150024</v>
      </c>
      <c r="F7506" s="1">
        <v>45086</v>
      </c>
      <c r="G7506" t="str">
        <f>"91213"</f>
        <v>91213</v>
      </c>
      <c r="H7506">
        <v>1</v>
      </c>
      <c r="I7506">
        <v>348</v>
      </c>
      <c r="J7506">
        <v>0</v>
      </c>
      <c r="K7506" t="str">
        <f t="shared" si="1347"/>
        <v>813</v>
      </c>
      <c r="L7506">
        <v>292.32</v>
      </c>
    </row>
    <row r="7507" spans="1:12" x14ac:dyDescent="0.25">
      <c r="A7507" t="str">
        <f t="shared" si="1342"/>
        <v>89301000</v>
      </c>
      <c r="B7507" t="str">
        <f t="shared" si="1345"/>
        <v>72077000</v>
      </c>
      <c r="C7507" t="str">
        <f t="shared" si="1346"/>
        <v>72077001</v>
      </c>
      <c r="D7507">
        <v>89301107</v>
      </c>
      <c r="E7507" t="str">
        <f>"1160150024"</f>
        <v>1160150024</v>
      </c>
      <c r="F7507" s="1">
        <v>45086</v>
      </c>
      <c r="G7507" t="str">
        <f>"91213"</f>
        <v>91213</v>
      </c>
      <c r="H7507">
        <v>1</v>
      </c>
      <c r="I7507">
        <v>348</v>
      </c>
      <c r="J7507">
        <v>0</v>
      </c>
      <c r="K7507" t="str">
        <f t="shared" si="1347"/>
        <v>813</v>
      </c>
      <c r="L7507">
        <v>292.32</v>
      </c>
    </row>
    <row r="7508" spans="1:12" x14ac:dyDescent="0.25">
      <c r="A7508" t="str">
        <f t="shared" si="1342"/>
        <v>89301000</v>
      </c>
      <c r="B7508" t="str">
        <f t="shared" si="1345"/>
        <v>72077000</v>
      </c>
      <c r="C7508" t="str">
        <f t="shared" si="1346"/>
        <v>72077001</v>
      </c>
      <c r="D7508">
        <v>89301152</v>
      </c>
      <c r="E7508" t="str">
        <f>"6355251254"</f>
        <v>6355251254</v>
      </c>
      <c r="F7508" s="1">
        <v>45086</v>
      </c>
      <c r="G7508" t="str">
        <f>"91197"</f>
        <v>91197</v>
      </c>
      <c r="H7508">
        <v>1</v>
      </c>
      <c r="I7508">
        <v>1048</v>
      </c>
      <c r="J7508">
        <v>0</v>
      </c>
      <c r="K7508" t="str">
        <f t="shared" si="1347"/>
        <v>813</v>
      </c>
      <c r="L7508">
        <v>880.32</v>
      </c>
    </row>
    <row r="7509" spans="1:12" x14ac:dyDescent="0.25">
      <c r="A7509" t="str">
        <f t="shared" si="1342"/>
        <v>89301000</v>
      </c>
      <c r="B7509" t="str">
        <f t="shared" si="1345"/>
        <v>72077000</v>
      </c>
      <c r="C7509" t="str">
        <f t="shared" si="1346"/>
        <v>72077001</v>
      </c>
      <c r="D7509">
        <v>89301152</v>
      </c>
      <c r="E7509" t="str">
        <f>"6355251254"</f>
        <v>6355251254</v>
      </c>
      <c r="F7509" s="1">
        <v>45090</v>
      </c>
      <c r="G7509" t="str">
        <f>"91465"</f>
        <v>91465</v>
      </c>
      <c r="H7509">
        <v>1</v>
      </c>
      <c r="I7509">
        <v>1412</v>
      </c>
      <c r="J7509">
        <v>0</v>
      </c>
      <c r="K7509" t="str">
        <f t="shared" si="1347"/>
        <v>813</v>
      </c>
      <c r="L7509">
        <v>1186.08</v>
      </c>
    </row>
    <row r="7510" spans="1:12" x14ac:dyDescent="0.25">
      <c r="A7510" t="str">
        <f t="shared" si="1342"/>
        <v>89301000</v>
      </c>
      <c r="B7510" t="str">
        <f t="shared" si="1345"/>
        <v>72077000</v>
      </c>
      <c r="C7510" t="str">
        <f t="shared" si="1346"/>
        <v>72077001</v>
      </c>
      <c r="D7510">
        <v>89301152</v>
      </c>
      <c r="E7510" t="str">
        <f>"7611265376"</f>
        <v>7611265376</v>
      </c>
      <c r="F7510" s="1">
        <v>45086</v>
      </c>
      <c r="G7510" t="str">
        <f>"91197"</f>
        <v>91197</v>
      </c>
      <c r="H7510">
        <v>1</v>
      </c>
      <c r="I7510">
        <v>1048</v>
      </c>
      <c r="J7510">
        <v>0</v>
      </c>
      <c r="K7510" t="str">
        <f t="shared" si="1347"/>
        <v>813</v>
      </c>
      <c r="L7510">
        <v>880.32</v>
      </c>
    </row>
    <row r="7511" spans="1:12" x14ac:dyDescent="0.25">
      <c r="A7511" t="str">
        <f t="shared" si="1342"/>
        <v>89301000</v>
      </c>
      <c r="B7511" t="str">
        <f t="shared" si="1345"/>
        <v>72077000</v>
      </c>
      <c r="C7511" t="str">
        <f t="shared" si="1346"/>
        <v>72077001</v>
      </c>
      <c r="D7511">
        <v>89301152</v>
      </c>
      <c r="E7511" t="str">
        <f>"7611265376"</f>
        <v>7611265376</v>
      </c>
      <c r="F7511" s="1">
        <v>45090</v>
      </c>
      <c r="G7511" t="str">
        <f>"91465"</f>
        <v>91465</v>
      </c>
      <c r="H7511">
        <v>1</v>
      </c>
      <c r="I7511">
        <v>1412</v>
      </c>
      <c r="J7511">
        <v>0</v>
      </c>
      <c r="K7511" t="str">
        <f t="shared" si="1347"/>
        <v>813</v>
      </c>
      <c r="L7511">
        <v>1186.08</v>
      </c>
    </row>
    <row r="7512" spans="1:12" x14ac:dyDescent="0.25">
      <c r="A7512" t="str">
        <f t="shared" si="1342"/>
        <v>89301000</v>
      </c>
      <c r="B7512" t="str">
        <f t="shared" si="1345"/>
        <v>72077000</v>
      </c>
      <c r="C7512" t="str">
        <f t="shared" si="1346"/>
        <v>72077001</v>
      </c>
      <c r="D7512">
        <v>89301152</v>
      </c>
      <c r="E7512" t="str">
        <f>"9511155731"</f>
        <v>9511155731</v>
      </c>
      <c r="F7512" s="1">
        <v>45091</v>
      </c>
      <c r="G7512" t="str">
        <f>"91359"</f>
        <v>91359</v>
      </c>
      <c r="H7512">
        <v>1</v>
      </c>
      <c r="I7512">
        <v>205</v>
      </c>
      <c r="J7512">
        <v>0</v>
      </c>
      <c r="K7512" t="str">
        <f t="shared" si="1347"/>
        <v>813</v>
      </c>
      <c r="L7512">
        <v>172.2</v>
      </c>
    </row>
    <row r="7513" spans="1:12" x14ac:dyDescent="0.25">
      <c r="A7513" t="str">
        <f t="shared" si="1342"/>
        <v>89301000</v>
      </c>
      <c r="B7513" t="str">
        <f t="shared" si="1345"/>
        <v>72077000</v>
      </c>
      <c r="C7513" t="str">
        <f t="shared" si="1346"/>
        <v>72077001</v>
      </c>
      <c r="D7513">
        <v>89301152</v>
      </c>
      <c r="E7513" t="str">
        <f>"9511155731"</f>
        <v>9511155731</v>
      </c>
      <c r="F7513" s="1">
        <v>45091</v>
      </c>
      <c r="G7513" t="str">
        <f>"91361"</f>
        <v>91361</v>
      </c>
      <c r="H7513">
        <v>1</v>
      </c>
      <c r="I7513">
        <v>444</v>
      </c>
      <c r="J7513">
        <v>0</v>
      </c>
      <c r="K7513" t="str">
        <f t="shared" si="1347"/>
        <v>813</v>
      </c>
      <c r="L7513">
        <v>372.96</v>
      </c>
    </row>
    <row r="7514" spans="1:12" x14ac:dyDescent="0.25">
      <c r="A7514" t="str">
        <f t="shared" si="1342"/>
        <v>89301000</v>
      </c>
      <c r="B7514" t="str">
        <f t="shared" si="1345"/>
        <v>72077000</v>
      </c>
      <c r="C7514" t="str">
        <f t="shared" si="1346"/>
        <v>72077001</v>
      </c>
      <c r="D7514">
        <v>89301152</v>
      </c>
      <c r="E7514" t="str">
        <f>"9511155731"</f>
        <v>9511155731</v>
      </c>
      <c r="F7514" s="1">
        <v>45091</v>
      </c>
      <c r="G7514" t="str">
        <f>"91577"</f>
        <v>91577</v>
      </c>
      <c r="H7514">
        <v>1</v>
      </c>
      <c r="I7514">
        <v>398</v>
      </c>
      <c r="J7514">
        <v>0</v>
      </c>
      <c r="K7514" t="str">
        <f t="shared" si="1347"/>
        <v>813</v>
      </c>
      <c r="L7514">
        <v>334.32</v>
      </c>
    </row>
    <row r="7515" spans="1:12" x14ac:dyDescent="0.25">
      <c r="A7515" t="str">
        <f t="shared" si="1342"/>
        <v>89301000</v>
      </c>
      <c r="B7515" t="str">
        <f t="shared" si="1345"/>
        <v>72077000</v>
      </c>
      <c r="C7515" t="str">
        <f t="shared" si="1346"/>
        <v>72077001</v>
      </c>
      <c r="D7515">
        <v>89301152</v>
      </c>
      <c r="E7515" t="str">
        <f>"9511155731"</f>
        <v>9511155731</v>
      </c>
      <c r="F7515" s="1">
        <v>45092</v>
      </c>
      <c r="G7515" t="str">
        <f>"91485"</f>
        <v>91485</v>
      </c>
      <c r="H7515">
        <v>1</v>
      </c>
      <c r="I7515">
        <v>268</v>
      </c>
      <c r="J7515">
        <v>0</v>
      </c>
      <c r="K7515" t="str">
        <f t="shared" si="1347"/>
        <v>813</v>
      </c>
      <c r="L7515">
        <v>225.12</v>
      </c>
    </row>
    <row r="7516" spans="1:12" x14ac:dyDescent="0.25">
      <c r="A7516" t="str">
        <f t="shared" si="1342"/>
        <v>89301000</v>
      </c>
      <c r="B7516" t="str">
        <f t="shared" si="1345"/>
        <v>72077000</v>
      </c>
      <c r="C7516" t="str">
        <f t="shared" si="1346"/>
        <v>72077001</v>
      </c>
      <c r="D7516">
        <v>89301152</v>
      </c>
      <c r="E7516" t="str">
        <f>"6705010246"</f>
        <v>6705010246</v>
      </c>
      <c r="F7516" s="1">
        <v>45091</v>
      </c>
      <c r="G7516" t="str">
        <f>"91197"</f>
        <v>91197</v>
      </c>
      <c r="H7516">
        <v>1</v>
      </c>
      <c r="I7516">
        <v>1048</v>
      </c>
      <c r="J7516">
        <v>0</v>
      </c>
      <c r="K7516" t="str">
        <f t="shared" si="1347"/>
        <v>813</v>
      </c>
      <c r="L7516">
        <v>880.32</v>
      </c>
    </row>
    <row r="7517" spans="1:12" x14ac:dyDescent="0.25">
      <c r="A7517" t="str">
        <f t="shared" si="1342"/>
        <v>89301000</v>
      </c>
      <c r="B7517" t="str">
        <f t="shared" si="1345"/>
        <v>72077000</v>
      </c>
      <c r="C7517" t="str">
        <f t="shared" si="1346"/>
        <v>72077001</v>
      </c>
      <c r="D7517">
        <v>89301152</v>
      </c>
      <c r="E7517" t="str">
        <f>"6705010246"</f>
        <v>6705010246</v>
      </c>
      <c r="F7517" s="1">
        <v>45092</v>
      </c>
      <c r="G7517" t="str">
        <f>"91465"</f>
        <v>91465</v>
      </c>
      <c r="H7517">
        <v>1</v>
      </c>
      <c r="I7517">
        <v>1412</v>
      </c>
      <c r="J7517">
        <v>0</v>
      </c>
      <c r="K7517" t="str">
        <f t="shared" si="1347"/>
        <v>813</v>
      </c>
      <c r="L7517">
        <v>1186.08</v>
      </c>
    </row>
    <row r="7518" spans="1:12" x14ac:dyDescent="0.25">
      <c r="A7518" t="str">
        <f t="shared" si="1342"/>
        <v>89301000</v>
      </c>
      <c r="B7518" t="str">
        <f t="shared" si="1345"/>
        <v>72077000</v>
      </c>
      <c r="C7518" t="str">
        <f t="shared" si="1346"/>
        <v>72077001</v>
      </c>
      <c r="D7518">
        <v>89301152</v>
      </c>
      <c r="E7518" t="str">
        <f>"8461027971"</f>
        <v>8461027971</v>
      </c>
      <c r="F7518" s="1">
        <v>45091</v>
      </c>
      <c r="G7518" t="str">
        <f>"91197"</f>
        <v>91197</v>
      </c>
      <c r="H7518">
        <v>1</v>
      </c>
      <c r="I7518">
        <v>1048</v>
      </c>
      <c r="J7518">
        <v>0</v>
      </c>
      <c r="K7518" t="str">
        <f t="shared" si="1347"/>
        <v>813</v>
      </c>
      <c r="L7518">
        <v>880.32</v>
      </c>
    </row>
    <row r="7519" spans="1:12" x14ac:dyDescent="0.25">
      <c r="A7519" t="str">
        <f t="shared" si="1342"/>
        <v>89301000</v>
      </c>
      <c r="B7519" t="str">
        <f t="shared" si="1345"/>
        <v>72077000</v>
      </c>
      <c r="C7519" t="str">
        <f t="shared" si="1346"/>
        <v>72077001</v>
      </c>
      <c r="D7519">
        <v>89301152</v>
      </c>
      <c r="E7519" t="str">
        <f>"8461027971"</f>
        <v>8461027971</v>
      </c>
      <c r="F7519" s="1">
        <v>45092</v>
      </c>
      <c r="G7519" t="str">
        <f>"91465"</f>
        <v>91465</v>
      </c>
      <c r="H7519">
        <v>1</v>
      </c>
      <c r="I7519">
        <v>1412</v>
      </c>
      <c r="J7519">
        <v>0</v>
      </c>
      <c r="K7519" t="str">
        <f t="shared" si="1347"/>
        <v>813</v>
      </c>
      <c r="L7519">
        <v>1186.08</v>
      </c>
    </row>
    <row r="7520" spans="1:12" x14ac:dyDescent="0.25">
      <c r="A7520" t="str">
        <f t="shared" si="1342"/>
        <v>89301000</v>
      </c>
      <c r="B7520" t="str">
        <f t="shared" si="1345"/>
        <v>72077000</v>
      </c>
      <c r="C7520" t="str">
        <f t="shared" si="1346"/>
        <v>72077001</v>
      </c>
      <c r="D7520">
        <v>89301152</v>
      </c>
      <c r="E7520" t="str">
        <f>"8759195709"</f>
        <v>8759195709</v>
      </c>
      <c r="F7520" s="1">
        <v>45093</v>
      </c>
      <c r="G7520" t="str">
        <f>"91175"</f>
        <v>91175</v>
      </c>
      <c r="H7520">
        <v>1</v>
      </c>
      <c r="I7520">
        <v>362</v>
      </c>
      <c r="J7520">
        <v>0</v>
      </c>
      <c r="K7520" t="str">
        <f t="shared" si="1347"/>
        <v>813</v>
      </c>
      <c r="L7520">
        <v>304.08</v>
      </c>
    </row>
    <row r="7521" spans="1:12" x14ac:dyDescent="0.25">
      <c r="A7521" t="str">
        <f t="shared" si="1342"/>
        <v>89301000</v>
      </c>
      <c r="B7521" t="str">
        <f t="shared" si="1345"/>
        <v>72077000</v>
      </c>
      <c r="C7521" t="str">
        <f t="shared" si="1346"/>
        <v>72077001</v>
      </c>
      <c r="D7521">
        <v>89301152</v>
      </c>
      <c r="E7521" t="str">
        <f>"8759195709"</f>
        <v>8759195709</v>
      </c>
      <c r="F7521" s="1">
        <v>45093</v>
      </c>
      <c r="G7521" t="str">
        <f>"91171"</f>
        <v>91171</v>
      </c>
      <c r="H7521">
        <v>1</v>
      </c>
      <c r="I7521">
        <v>362</v>
      </c>
      <c r="J7521">
        <v>0</v>
      </c>
      <c r="K7521" t="str">
        <f t="shared" si="1347"/>
        <v>813</v>
      </c>
      <c r="L7521">
        <v>304.08</v>
      </c>
    </row>
    <row r="7522" spans="1:12" x14ac:dyDescent="0.25">
      <c r="A7522" t="str">
        <f t="shared" si="1342"/>
        <v>89301000</v>
      </c>
      <c r="B7522" t="str">
        <f t="shared" si="1345"/>
        <v>72077000</v>
      </c>
      <c r="C7522" t="str">
        <f t="shared" si="1346"/>
        <v>72077001</v>
      </c>
      <c r="D7522">
        <v>89301152</v>
      </c>
      <c r="E7522" t="str">
        <f>"8759195709"</f>
        <v>8759195709</v>
      </c>
      <c r="F7522" s="1">
        <v>45098</v>
      </c>
      <c r="G7522" t="str">
        <f>"91577"</f>
        <v>91577</v>
      </c>
      <c r="H7522">
        <v>1</v>
      </c>
      <c r="I7522">
        <v>398</v>
      </c>
      <c r="J7522">
        <v>0</v>
      </c>
      <c r="K7522" t="str">
        <f t="shared" si="1347"/>
        <v>813</v>
      </c>
      <c r="L7522">
        <v>334.32</v>
      </c>
    </row>
    <row r="7523" spans="1:12" x14ac:dyDescent="0.25">
      <c r="A7523" t="str">
        <f t="shared" si="1342"/>
        <v>89301000</v>
      </c>
      <c r="B7523" t="str">
        <f t="shared" si="1345"/>
        <v>72077000</v>
      </c>
      <c r="C7523" t="str">
        <f t="shared" si="1346"/>
        <v>72077001</v>
      </c>
      <c r="D7523">
        <v>89301152</v>
      </c>
      <c r="E7523" t="str">
        <f>"8759195709"</f>
        <v>8759195709</v>
      </c>
      <c r="F7523" s="1">
        <v>45105</v>
      </c>
      <c r="G7523" t="str">
        <f>"91485"</f>
        <v>91485</v>
      </c>
      <c r="H7523">
        <v>1</v>
      </c>
      <c r="I7523">
        <v>268</v>
      </c>
      <c r="J7523">
        <v>0</v>
      </c>
      <c r="K7523" t="str">
        <f t="shared" si="1347"/>
        <v>813</v>
      </c>
      <c r="L7523">
        <v>225.12</v>
      </c>
    </row>
    <row r="7524" spans="1:12" x14ac:dyDescent="0.25">
      <c r="A7524" t="str">
        <f t="shared" si="1342"/>
        <v>89301000</v>
      </c>
      <c r="B7524" t="str">
        <f t="shared" si="1345"/>
        <v>72077000</v>
      </c>
      <c r="C7524" t="str">
        <f t="shared" si="1346"/>
        <v>72077001</v>
      </c>
      <c r="D7524">
        <v>89301152</v>
      </c>
      <c r="E7524" t="str">
        <f>"0553286162"</f>
        <v>0553286162</v>
      </c>
      <c r="F7524" s="1">
        <v>45093</v>
      </c>
      <c r="G7524" t="str">
        <f>"91197"</f>
        <v>91197</v>
      </c>
      <c r="H7524">
        <v>1</v>
      </c>
      <c r="I7524">
        <v>1048</v>
      </c>
      <c r="J7524">
        <v>0</v>
      </c>
      <c r="K7524" t="str">
        <f t="shared" si="1347"/>
        <v>813</v>
      </c>
      <c r="L7524">
        <v>880.32</v>
      </c>
    </row>
    <row r="7525" spans="1:12" x14ac:dyDescent="0.25">
      <c r="A7525" t="str">
        <f t="shared" si="1342"/>
        <v>89301000</v>
      </c>
      <c r="B7525" t="str">
        <f t="shared" si="1345"/>
        <v>72077000</v>
      </c>
      <c r="C7525" t="str">
        <f t="shared" si="1346"/>
        <v>72077001</v>
      </c>
      <c r="D7525">
        <v>89301152</v>
      </c>
      <c r="E7525" t="str">
        <f>"0553286162"</f>
        <v>0553286162</v>
      </c>
      <c r="F7525" s="1">
        <v>45097</v>
      </c>
      <c r="G7525" t="str">
        <f>"91465"</f>
        <v>91465</v>
      </c>
      <c r="H7525">
        <v>1</v>
      </c>
      <c r="I7525">
        <v>1412</v>
      </c>
      <c r="J7525">
        <v>0</v>
      </c>
      <c r="K7525" t="str">
        <f t="shared" si="1347"/>
        <v>813</v>
      </c>
      <c r="L7525">
        <v>1186.08</v>
      </c>
    </row>
    <row r="7526" spans="1:12" x14ac:dyDescent="0.25">
      <c r="A7526" t="str">
        <f t="shared" si="1342"/>
        <v>89301000</v>
      </c>
      <c r="B7526" t="str">
        <f t="shared" si="1345"/>
        <v>72077000</v>
      </c>
      <c r="C7526" t="str">
        <f t="shared" si="1346"/>
        <v>72077001</v>
      </c>
      <c r="D7526">
        <v>89301152</v>
      </c>
      <c r="E7526" t="str">
        <f>"0002156143"</f>
        <v>0002156143</v>
      </c>
      <c r="F7526" s="1">
        <v>45103</v>
      </c>
      <c r="G7526" t="str">
        <f>"91219"</f>
        <v>91219</v>
      </c>
      <c r="H7526">
        <v>1</v>
      </c>
      <c r="I7526">
        <v>343</v>
      </c>
      <c r="J7526">
        <v>0</v>
      </c>
      <c r="K7526" t="str">
        <f t="shared" si="1347"/>
        <v>813</v>
      </c>
      <c r="L7526">
        <v>288.12</v>
      </c>
    </row>
    <row r="7527" spans="1:12" x14ac:dyDescent="0.25">
      <c r="A7527" t="str">
        <f t="shared" si="1342"/>
        <v>89301000</v>
      </c>
      <c r="B7527" t="str">
        <f t="shared" si="1345"/>
        <v>72077000</v>
      </c>
      <c r="C7527" t="str">
        <f t="shared" si="1346"/>
        <v>72077001</v>
      </c>
      <c r="D7527">
        <v>89301107</v>
      </c>
      <c r="E7527" t="str">
        <f>"0561013266"</f>
        <v>0561013266</v>
      </c>
      <c r="F7527" s="1">
        <v>45093</v>
      </c>
      <c r="G7527" t="str">
        <f>"91197"</f>
        <v>91197</v>
      </c>
      <c r="H7527">
        <v>1</v>
      </c>
      <c r="I7527">
        <v>1048</v>
      </c>
      <c r="J7527">
        <v>0</v>
      </c>
      <c r="K7527" t="str">
        <f t="shared" si="1347"/>
        <v>813</v>
      </c>
      <c r="L7527">
        <v>880.32</v>
      </c>
    </row>
    <row r="7528" spans="1:12" x14ac:dyDescent="0.25">
      <c r="A7528" t="str">
        <f t="shared" si="1342"/>
        <v>89301000</v>
      </c>
      <c r="B7528" t="str">
        <f t="shared" si="1345"/>
        <v>72077000</v>
      </c>
      <c r="C7528" t="str">
        <f t="shared" si="1346"/>
        <v>72077001</v>
      </c>
      <c r="D7528">
        <v>89301152</v>
      </c>
      <c r="E7528" t="str">
        <f>"9103065708"</f>
        <v>9103065708</v>
      </c>
      <c r="F7528" s="1">
        <v>45098</v>
      </c>
      <c r="G7528" t="str">
        <f>"91197"</f>
        <v>91197</v>
      </c>
      <c r="H7528">
        <v>1</v>
      </c>
      <c r="I7528">
        <v>1048</v>
      </c>
      <c r="J7528">
        <v>0</v>
      </c>
      <c r="K7528" t="str">
        <f t="shared" si="1347"/>
        <v>813</v>
      </c>
      <c r="L7528">
        <v>880.32</v>
      </c>
    </row>
    <row r="7529" spans="1:12" x14ac:dyDescent="0.25">
      <c r="A7529" t="str">
        <f t="shared" si="1342"/>
        <v>89301000</v>
      </c>
      <c r="B7529" t="str">
        <f t="shared" si="1345"/>
        <v>72077000</v>
      </c>
      <c r="C7529" t="str">
        <f t="shared" si="1346"/>
        <v>72077001</v>
      </c>
      <c r="D7529">
        <v>89301152</v>
      </c>
      <c r="E7529" t="str">
        <f>"9103065708"</f>
        <v>9103065708</v>
      </c>
      <c r="F7529" s="1">
        <v>45099</v>
      </c>
      <c r="G7529" t="str">
        <f>"91465"</f>
        <v>91465</v>
      </c>
      <c r="H7529">
        <v>1</v>
      </c>
      <c r="I7529">
        <v>1412</v>
      </c>
      <c r="J7529">
        <v>0</v>
      </c>
      <c r="K7529" t="str">
        <f t="shared" si="1347"/>
        <v>813</v>
      </c>
      <c r="L7529">
        <v>1186.08</v>
      </c>
    </row>
    <row r="7530" spans="1:12" x14ac:dyDescent="0.25">
      <c r="A7530" t="str">
        <f t="shared" si="1342"/>
        <v>89301000</v>
      </c>
      <c r="B7530" t="str">
        <f t="shared" si="1345"/>
        <v>72077000</v>
      </c>
      <c r="C7530" t="str">
        <f t="shared" si="1346"/>
        <v>72077001</v>
      </c>
      <c r="D7530">
        <v>89301152</v>
      </c>
      <c r="E7530" t="str">
        <f>"7558224850"</f>
        <v>7558224850</v>
      </c>
      <c r="F7530" s="1">
        <v>45098</v>
      </c>
      <c r="G7530" t="str">
        <f>"91197"</f>
        <v>91197</v>
      </c>
      <c r="H7530">
        <v>1</v>
      </c>
      <c r="I7530">
        <v>1048</v>
      </c>
      <c r="J7530">
        <v>0</v>
      </c>
      <c r="K7530" t="str">
        <f t="shared" si="1347"/>
        <v>813</v>
      </c>
      <c r="L7530">
        <v>880.32</v>
      </c>
    </row>
    <row r="7531" spans="1:12" x14ac:dyDescent="0.25">
      <c r="A7531" t="str">
        <f t="shared" si="1342"/>
        <v>89301000</v>
      </c>
      <c r="B7531" t="str">
        <f t="shared" si="1345"/>
        <v>72077000</v>
      </c>
      <c r="C7531" t="str">
        <f t="shared" si="1346"/>
        <v>72077001</v>
      </c>
      <c r="D7531">
        <v>89301152</v>
      </c>
      <c r="E7531" t="str">
        <f>"7558224850"</f>
        <v>7558224850</v>
      </c>
      <c r="F7531" s="1">
        <v>45099</v>
      </c>
      <c r="G7531" t="str">
        <f>"91465"</f>
        <v>91465</v>
      </c>
      <c r="H7531">
        <v>1</v>
      </c>
      <c r="I7531">
        <v>1412</v>
      </c>
      <c r="J7531">
        <v>0</v>
      </c>
      <c r="K7531" t="str">
        <f t="shared" si="1347"/>
        <v>813</v>
      </c>
      <c r="L7531">
        <v>1186.08</v>
      </c>
    </row>
    <row r="7532" spans="1:12" x14ac:dyDescent="0.25">
      <c r="A7532" t="str">
        <f t="shared" si="1342"/>
        <v>89301000</v>
      </c>
      <c r="B7532" t="str">
        <f t="shared" si="1345"/>
        <v>72077000</v>
      </c>
      <c r="C7532" t="str">
        <f t="shared" si="1346"/>
        <v>72077001</v>
      </c>
      <c r="D7532">
        <v>89301152</v>
      </c>
      <c r="E7532" t="str">
        <f>"0555293266"</f>
        <v>0555293266</v>
      </c>
      <c r="F7532" s="1">
        <v>45098</v>
      </c>
      <c r="G7532" t="str">
        <f>"91197"</f>
        <v>91197</v>
      </c>
      <c r="H7532">
        <v>1</v>
      </c>
      <c r="I7532">
        <v>1048</v>
      </c>
      <c r="J7532">
        <v>0</v>
      </c>
      <c r="K7532" t="str">
        <f t="shared" si="1347"/>
        <v>813</v>
      </c>
      <c r="L7532">
        <v>880.32</v>
      </c>
    </row>
    <row r="7533" spans="1:12" x14ac:dyDescent="0.25">
      <c r="A7533" t="str">
        <f t="shared" si="1342"/>
        <v>89301000</v>
      </c>
      <c r="B7533" t="str">
        <f t="shared" si="1345"/>
        <v>72077000</v>
      </c>
      <c r="C7533" t="str">
        <f t="shared" si="1346"/>
        <v>72077001</v>
      </c>
      <c r="D7533">
        <v>89301152</v>
      </c>
      <c r="E7533" t="str">
        <f>"0555293266"</f>
        <v>0555293266</v>
      </c>
      <c r="F7533" s="1">
        <v>45099</v>
      </c>
      <c r="G7533" t="str">
        <f>"91465"</f>
        <v>91465</v>
      </c>
      <c r="H7533">
        <v>1</v>
      </c>
      <c r="I7533">
        <v>1412</v>
      </c>
      <c r="J7533">
        <v>0</v>
      </c>
      <c r="K7533" t="str">
        <f t="shared" si="1347"/>
        <v>813</v>
      </c>
      <c r="L7533">
        <v>1186.08</v>
      </c>
    </row>
    <row r="7534" spans="1:12" x14ac:dyDescent="0.25">
      <c r="A7534" t="str">
        <f t="shared" si="1342"/>
        <v>89301000</v>
      </c>
      <c r="B7534" t="str">
        <f t="shared" ref="B7534:B7556" si="1348">"72077000"</f>
        <v>72077000</v>
      </c>
      <c r="C7534" t="str">
        <f t="shared" ref="C7534:C7556" si="1349">"72077001"</f>
        <v>72077001</v>
      </c>
      <c r="D7534">
        <v>89301152</v>
      </c>
      <c r="E7534" t="str">
        <f>"9612175738"</f>
        <v>9612175738</v>
      </c>
      <c r="F7534" s="1">
        <v>45098</v>
      </c>
      <c r="G7534" t="str">
        <f>"91197"</f>
        <v>91197</v>
      </c>
      <c r="H7534">
        <v>1</v>
      </c>
      <c r="I7534">
        <v>1048</v>
      </c>
      <c r="J7534">
        <v>0</v>
      </c>
      <c r="K7534" t="str">
        <f t="shared" ref="K7534:K7565" si="1350">"813"</f>
        <v>813</v>
      </c>
      <c r="L7534">
        <v>880.32</v>
      </c>
    </row>
    <row r="7535" spans="1:12" x14ac:dyDescent="0.25">
      <c r="A7535" t="str">
        <f t="shared" si="1342"/>
        <v>89301000</v>
      </c>
      <c r="B7535" t="str">
        <f t="shared" si="1348"/>
        <v>72077000</v>
      </c>
      <c r="C7535" t="str">
        <f t="shared" si="1349"/>
        <v>72077001</v>
      </c>
      <c r="D7535">
        <v>89301152</v>
      </c>
      <c r="E7535" t="str">
        <f>"9612175738"</f>
        <v>9612175738</v>
      </c>
      <c r="F7535" s="1">
        <v>45099</v>
      </c>
      <c r="G7535" t="str">
        <f>"91465"</f>
        <v>91465</v>
      </c>
      <c r="H7535">
        <v>1</v>
      </c>
      <c r="I7535">
        <v>1412</v>
      </c>
      <c r="J7535">
        <v>0</v>
      </c>
      <c r="K7535" t="str">
        <f t="shared" si="1350"/>
        <v>813</v>
      </c>
      <c r="L7535">
        <v>1186.08</v>
      </c>
    </row>
    <row r="7536" spans="1:12" x14ac:dyDescent="0.25">
      <c r="A7536" t="str">
        <f t="shared" si="1342"/>
        <v>89301000</v>
      </c>
      <c r="B7536" t="str">
        <f t="shared" si="1348"/>
        <v>72077000</v>
      </c>
      <c r="C7536" t="str">
        <f t="shared" si="1349"/>
        <v>72077001</v>
      </c>
      <c r="D7536">
        <v>89301152</v>
      </c>
      <c r="E7536" t="str">
        <f>"9056125705"</f>
        <v>9056125705</v>
      </c>
      <c r="F7536" s="1">
        <v>45098</v>
      </c>
      <c r="G7536" t="str">
        <f>"91197"</f>
        <v>91197</v>
      </c>
      <c r="H7536">
        <v>1</v>
      </c>
      <c r="I7536">
        <v>1048</v>
      </c>
      <c r="J7536">
        <v>0</v>
      </c>
      <c r="K7536" t="str">
        <f t="shared" si="1350"/>
        <v>813</v>
      </c>
      <c r="L7536">
        <v>880.32</v>
      </c>
    </row>
    <row r="7537" spans="1:12" x14ac:dyDescent="0.25">
      <c r="A7537" t="str">
        <f t="shared" si="1342"/>
        <v>89301000</v>
      </c>
      <c r="B7537" t="str">
        <f t="shared" si="1348"/>
        <v>72077000</v>
      </c>
      <c r="C7537" t="str">
        <f t="shared" si="1349"/>
        <v>72077001</v>
      </c>
      <c r="D7537">
        <v>89301152</v>
      </c>
      <c r="E7537" t="str">
        <f>"9056125705"</f>
        <v>9056125705</v>
      </c>
      <c r="F7537" s="1">
        <v>45099</v>
      </c>
      <c r="G7537" t="str">
        <f>"91465"</f>
        <v>91465</v>
      </c>
      <c r="H7537">
        <v>1</v>
      </c>
      <c r="I7537">
        <v>1412</v>
      </c>
      <c r="J7537">
        <v>0</v>
      </c>
      <c r="K7537" t="str">
        <f t="shared" si="1350"/>
        <v>813</v>
      </c>
      <c r="L7537">
        <v>1186.08</v>
      </c>
    </row>
    <row r="7538" spans="1:12" x14ac:dyDescent="0.25">
      <c r="A7538" t="str">
        <f t="shared" si="1342"/>
        <v>89301000</v>
      </c>
      <c r="B7538" t="str">
        <f t="shared" si="1348"/>
        <v>72077000</v>
      </c>
      <c r="C7538" t="str">
        <f t="shared" si="1349"/>
        <v>72077001</v>
      </c>
      <c r="D7538">
        <v>89301152</v>
      </c>
      <c r="E7538" t="str">
        <f>"7701235333"</f>
        <v>7701235333</v>
      </c>
      <c r="F7538" s="1">
        <v>45098</v>
      </c>
      <c r="G7538" t="str">
        <f>"91197"</f>
        <v>91197</v>
      </c>
      <c r="H7538">
        <v>1</v>
      </c>
      <c r="I7538">
        <v>1048</v>
      </c>
      <c r="J7538">
        <v>0</v>
      </c>
      <c r="K7538" t="str">
        <f t="shared" si="1350"/>
        <v>813</v>
      </c>
      <c r="L7538">
        <v>880.32</v>
      </c>
    </row>
    <row r="7539" spans="1:12" x14ac:dyDescent="0.25">
      <c r="A7539" t="str">
        <f t="shared" si="1342"/>
        <v>89301000</v>
      </c>
      <c r="B7539" t="str">
        <f t="shared" si="1348"/>
        <v>72077000</v>
      </c>
      <c r="C7539" t="str">
        <f t="shared" si="1349"/>
        <v>72077001</v>
      </c>
      <c r="D7539">
        <v>89301152</v>
      </c>
      <c r="E7539" t="str">
        <f>"7701235333"</f>
        <v>7701235333</v>
      </c>
      <c r="F7539" s="1">
        <v>45099</v>
      </c>
      <c r="G7539" t="str">
        <f>"91465"</f>
        <v>91465</v>
      </c>
      <c r="H7539">
        <v>1</v>
      </c>
      <c r="I7539">
        <v>1412</v>
      </c>
      <c r="J7539">
        <v>0</v>
      </c>
      <c r="K7539" t="str">
        <f t="shared" si="1350"/>
        <v>813</v>
      </c>
      <c r="L7539">
        <v>1186.08</v>
      </c>
    </row>
    <row r="7540" spans="1:12" x14ac:dyDescent="0.25">
      <c r="A7540" t="str">
        <f t="shared" si="1342"/>
        <v>89301000</v>
      </c>
      <c r="B7540" t="str">
        <f t="shared" si="1348"/>
        <v>72077000</v>
      </c>
      <c r="C7540" t="str">
        <f t="shared" si="1349"/>
        <v>72077001</v>
      </c>
      <c r="D7540">
        <v>89301152</v>
      </c>
      <c r="E7540" t="str">
        <f t="shared" ref="E7540:E7545" si="1351">"7457205316"</f>
        <v>7457205316</v>
      </c>
      <c r="F7540" s="1">
        <v>45103</v>
      </c>
      <c r="G7540" t="str">
        <f>"91197"</f>
        <v>91197</v>
      </c>
      <c r="H7540">
        <v>1</v>
      </c>
      <c r="I7540">
        <v>1048</v>
      </c>
      <c r="J7540">
        <v>0</v>
      </c>
      <c r="K7540" t="str">
        <f t="shared" si="1350"/>
        <v>813</v>
      </c>
      <c r="L7540">
        <v>880.32</v>
      </c>
    </row>
    <row r="7541" spans="1:12" x14ac:dyDescent="0.25">
      <c r="A7541" t="str">
        <f t="shared" si="1342"/>
        <v>89301000</v>
      </c>
      <c r="B7541" t="str">
        <f t="shared" si="1348"/>
        <v>72077000</v>
      </c>
      <c r="C7541" t="str">
        <f t="shared" si="1349"/>
        <v>72077001</v>
      </c>
      <c r="D7541">
        <v>89301152</v>
      </c>
      <c r="E7541" t="str">
        <f t="shared" si="1351"/>
        <v>7457205316</v>
      </c>
      <c r="F7541" s="1">
        <v>45104</v>
      </c>
      <c r="G7541" t="str">
        <f>"91465"</f>
        <v>91465</v>
      </c>
      <c r="H7541">
        <v>1</v>
      </c>
      <c r="I7541">
        <v>1412</v>
      </c>
      <c r="J7541">
        <v>0</v>
      </c>
      <c r="K7541" t="str">
        <f t="shared" si="1350"/>
        <v>813</v>
      </c>
      <c r="L7541">
        <v>1186.08</v>
      </c>
    </row>
    <row r="7542" spans="1:12" x14ac:dyDescent="0.25">
      <c r="A7542" t="str">
        <f t="shared" si="1342"/>
        <v>89301000</v>
      </c>
      <c r="B7542" t="str">
        <f t="shared" si="1348"/>
        <v>72077000</v>
      </c>
      <c r="C7542" t="str">
        <f t="shared" si="1349"/>
        <v>72077001</v>
      </c>
      <c r="D7542">
        <v>89301152</v>
      </c>
      <c r="E7542" t="str">
        <f t="shared" si="1351"/>
        <v>7457205316</v>
      </c>
      <c r="F7542" s="1">
        <v>45105</v>
      </c>
      <c r="G7542" t="str">
        <f>"91485"</f>
        <v>91485</v>
      </c>
      <c r="H7542">
        <v>1</v>
      </c>
      <c r="I7542">
        <v>268</v>
      </c>
      <c r="J7542">
        <v>0</v>
      </c>
      <c r="K7542" t="str">
        <f t="shared" si="1350"/>
        <v>813</v>
      </c>
      <c r="L7542">
        <v>225.12</v>
      </c>
    </row>
    <row r="7543" spans="1:12" x14ac:dyDescent="0.25">
      <c r="A7543" t="str">
        <f t="shared" si="1342"/>
        <v>89301000</v>
      </c>
      <c r="B7543" t="str">
        <f t="shared" si="1348"/>
        <v>72077000</v>
      </c>
      <c r="C7543" t="str">
        <f t="shared" si="1349"/>
        <v>72077001</v>
      </c>
      <c r="D7543">
        <v>89301152</v>
      </c>
      <c r="E7543" t="str">
        <f t="shared" si="1351"/>
        <v>7457205316</v>
      </c>
      <c r="F7543" s="1">
        <v>45105</v>
      </c>
      <c r="G7543" t="str">
        <f>"91359"</f>
        <v>91359</v>
      </c>
      <c r="H7543">
        <v>1</v>
      </c>
      <c r="I7543">
        <v>205</v>
      </c>
      <c r="J7543">
        <v>0</v>
      </c>
      <c r="K7543" t="str">
        <f t="shared" si="1350"/>
        <v>813</v>
      </c>
      <c r="L7543">
        <v>172.2</v>
      </c>
    </row>
    <row r="7544" spans="1:12" x14ac:dyDescent="0.25">
      <c r="A7544" t="str">
        <f t="shared" si="1342"/>
        <v>89301000</v>
      </c>
      <c r="B7544" t="str">
        <f t="shared" si="1348"/>
        <v>72077000</v>
      </c>
      <c r="C7544" t="str">
        <f t="shared" si="1349"/>
        <v>72077001</v>
      </c>
      <c r="D7544">
        <v>89301152</v>
      </c>
      <c r="E7544" t="str">
        <f t="shared" si="1351"/>
        <v>7457205316</v>
      </c>
      <c r="F7544" s="1">
        <v>45105</v>
      </c>
      <c r="G7544" t="str">
        <f>"91361"</f>
        <v>91361</v>
      </c>
      <c r="H7544">
        <v>1</v>
      </c>
      <c r="I7544">
        <v>444</v>
      </c>
      <c r="J7544">
        <v>0</v>
      </c>
      <c r="K7544" t="str">
        <f t="shared" si="1350"/>
        <v>813</v>
      </c>
      <c r="L7544">
        <v>372.96</v>
      </c>
    </row>
    <row r="7545" spans="1:12" x14ac:dyDescent="0.25">
      <c r="A7545" t="str">
        <f t="shared" si="1342"/>
        <v>89301000</v>
      </c>
      <c r="B7545" t="str">
        <f t="shared" si="1348"/>
        <v>72077000</v>
      </c>
      <c r="C7545" t="str">
        <f t="shared" si="1349"/>
        <v>72077001</v>
      </c>
      <c r="D7545">
        <v>89301152</v>
      </c>
      <c r="E7545" t="str">
        <f t="shared" si="1351"/>
        <v>7457205316</v>
      </c>
      <c r="F7545" s="1">
        <v>45105</v>
      </c>
      <c r="G7545" t="str">
        <f>"91577"</f>
        <v>91577</v>
      </c>
      <c r="H7545">
        <v>1</v>
      </c>
      <c r="I7545">
        <v>398</v>
      </c>
      <c r="J7545">
        <v>0</v>
      </c>
      <c r="K7545" t="str">
        <f t="shared" si="1350"/>
        <v>813</v>
      </c>
      <c r="L7545">
        <v>334.32</v>
      </c>
    </row>
    <row r="7546" spans="1:12" x14ac:dyDescent="0.25">
      <c r="A7546" t="str">
        <f t="shared" si="1342"/>
        <v>89301000</v>
      </c>
      <c r="B7546" t="str">
        <f t="shared" si="1348"/>
        <v>72077000</v>
      </c>
      <c r="C7546" t="str">
        <f t="shared" si="1349"/>
        <v>72077001</v>
      </c>
      <c r="D7546">
        <v>89301152</v>
      </c>
      <c r="E7546" t="str">
        <f>"9261234620"</f>
        <v>9261234620</v>
      </c>
      <c r="F7546" s="1">
        <v>45076</v>
      </c>
      <c r="G7546" t="str">
        <f>"91219"</f>
        <v>91219</v>
      </c>
      <c r="H7546">
        <v>6</v>
      </c>
      <c r="I7546">
        <v>2058</v>
      </c>
      <c r="J7546">
        <v>0</v>
      </c>
      <c r="K7546" t="str">
        <f t="shared" si="1350"/>
        <v>813</v>
      </c>
      <c r="L7546">
        <v>1728.72</v>
      </c>
    </row>
    <row r="7547" spans="1:12" x14ac:dyDescent="0.25">
      <c r="A7547" t="str">
        <f t="shared" si="1342"/>
        <v>89301000</v>
      </c>
      <c r="B7547" t="str">
        <f t="shared" si="1348"/>
        <v>72077000</v>
      </c>
      <c r="C7547" t="str">
        <f t="shared" si="1349"/>
        <v>72077001</v>
      </c>
      <c r="D7547">
        <v>89301152</v>
      </c>
      <c r="E7547" t="str">
        <f>"9261234620"</f>
        <v>9261234620</v>
      </c>
      <c r="F7547" s="1">
        <v>45076</v>
      </c>
      <c r="G7547" t="str">
        <f>"91465"</f>
        <v>91465</v>
      </c>
      <c r="H7547">
        <v>1</v>
      </c>
      <c r="I7547">
        <v>1412</v>
      </c>
      <c r="J7547">
        <v>0</v>
      </c>
      <c r="K7547" t="str">
        <f t="shared" si="1350"/>
        <v>813</v>
      </c>
      <c r="L7547">
        <v>1186.08</v>
      </c>
    </row>
    <row r="7548" spans="1:12" x14ac:dyDescent="0.25">
      <c r="A7548" t="str">
        <f t="shared" si="1342"/>
        <v>89301000</v>
      </c>
      <c r="B7548" t="str">
        <f t="shared" si="1348"/>
        <v>72077000</v>
      </c>
      <c r="C7548" t="str">
        <f t="shared" si="1349"/>
        <v>72077001</v>
      </c>
      <c r="D7548">
        <v>89301152</v>
      </c>
      <c r="E7548" t="str">
        <f>"9261234620"</f>
        <v>9261234620</v>
      </c>
      <c r="F7548" s="1">
        <v>45077</v>
      </c>
      <c r="G7548" t="str">
        <f>"91197"</f>
        <v>91197</v>
      </c>
      <c r="H7548">
        <v>1</v>
      </c>
      <c r="I7548">
        <v>1048</v>
      </c>
      <c r="J7548">
        <v>0</v>
      </c>
      <c r="K7548" t="str">
        <f t="shared" si="1350"/>
        <v>813</v>
      </c>
      <c r="L7548">
        <v>880.32</v>
      </c>
    </row>
    <row r="7549" spans="1:12" x14ac:dyDescent="0.25">
      <c r="A7549" t="str">
        <f t="shared" si="1342"/>
        <v>89301000</v>
      </c>
      <c r="B7549" t="str">
        <f t="shared" si="1348"/>
        <v>72077000</v>
      </c>
      <c r="C7549" t="str">
        <f t="shared" si="1349"/>
        <v>72077001</v>
      </c>
      <c r="D7549">
        <v>89301152</v>
      </c>
      <c r="E7549" t="str">
        <f>"7706115340"</f>
        <v>7706115340</v>
      </c>
      <c r="F7549" s="1">
        <v>45076</v>
      </c>
      <c r="G7549" t="str">
        <f>"91213"</f>
        <v>91213</v>
      </c>
      <c r="H7549">
        <v>1</v>
      </c>
      <c r="I7549">
        <v>348</v>
      </c>
      <c r="J7549">
        <v>0</v>
      </c>
      <c r="K7549" t="str">
        <f t="shared" si="1350"/>
        <v>813</v>
      </c>
      <c r="L7549">
        <v>292.32</v>
      </c>
    </row>
    <row r="7550" spans="1:12" x14ac:dyDescent="0.25">
      <c r="A7550" t="str">
        <f t="shared" si="1342"/>
        <v>89301000</v>
      </c>
      <c r="B7550" t="str">
        <f t="shared" si="1348"/>
        <v>72077000</v>
      </c>
      <c r="C7550" t="str">
        <f t="shared" si="1349"/>
        <v>72077001</v>
      </c>
      <c r="D7550">
        <v>89301152</v>
      </c>
      <c r="E7550" t="str">
        <f>"425623420"</f>
        <v>425623420</v>
      </c>
      <c r="F7550" s="1">
        <v>45076</v>
      </c>
      <c r="G7550" t="str">
        <f>"91465"</f>
        <v>91465</v>
      </c>
      <c r="H7550">
        <v>1</v>
      </c>
      <c r="I7550">
        <v>1412</v>
      </c>
      <c r="J7550">
        <v>0</v>
      </c>
      <c r="K7550" t="str">
        <f t="shared" si="1350"/>
        <v>813</v>
      </c>
      <c r="L7550">
        <v>1186.08</v>
      </c>
    </row>
    <row r="7551" spans="1:12" x14ac:dyDescent="0.25">
      <c r="A7551" t="str">
        <f t="shared" si="1342"/>
        <v>89301000</v>
      </c>
      <c r="B7551" t="str">
        <f t="shared" si="1348"/>
        <v>72077000</v>
      </c>
      <c r="C7551" t="str">
        <f t="shared" si="1349"/>
        <v>72077001</v>
      </c>
      <c r="D7551">
        <v>89301152</v>
      </c>
      <c r="E7551" t="str">
        <f>"425623420"</f>
        <v>425623420</v>
      </c>
      <c r="F7551" s="1">
        <v>45077</v>
      </c>
      <c r="G7551" t="str">
        <f>"91197"</f>
        <v>91197</v>
      </c>
      <c r="H7551">
        <v>1</v>
      </c>
      <c r="I7551">
        <v>1048</v>
      </c>
      <c r="J7551">
        <v>0</v>
      </c>
      <c r="K7551" t="str">
        <f t="shared" si="1350"/>
        <v>813</v>
      </c>
      <c r="L7551">
        <v>880.32</v>
      </c>
    </row>
    <row r="7552" spans="1:12" x14ac:dyDescent="0.25">
      <c r="A7552" t="str">
        <f t="shared" si="1342"/>
        <v>89301000</v>
      </c>
      <c r="B7552" t="str">
        <f t="shared" si="1348"/>
        <v>72077000</v>
      </c>
      <c r="C7552" t="str">
        <f t="shared" si="1349"/>
        <v>72077001</v>
      </c>
      <c r="D7552">
        <v>89301152</v>
      </c>
      <c r="E7552" t="str">
        <f>"520801254"</f>
        <v>520801254</v>
      </c>
      <c r="F7552" s="1">
        <v>45076</v>
      </c>
      <c r="G7552" t="str">
        <f>"91219"</f>
        <v>91219</v>
      </c>
      <c r="H7552">
        <v>1</v>
      </c>
      <c r="I7552">
        <v>343</v>
      </c>
      <c r="J7552">
        <v>0</v>
      </c>
      <c r="K7552" t="str">
        <f t="shared" si="1350"/>
        <v>813</v>
      </c>
      <c r="L7552">
        <v>288.12</v>
      </c>
    </row>
    <row r="7553" spans="1:12" x14ac:dyDescent="0.25">
      <c r="A7553" t="str">
        <f t="shared" si="1342"/>
        <v>89301000</v>
      </c>
      <c r="B7553" t="str">
        <f t="shared" si="1348"/>
        <v>72077000</v>
      </c>
      <c r="C7553" t="str">
        <f t="shared" si="1349"/>
        <v>72077001</v>
      </c>
      <c r="D7553">
        <v>89301152</v>
      </c>
      <c r="E7553" t="str">
        <f>"520801254"</f>
        <v>520801254</v>
      </c>
      <c r="F7553" s="1">
        <v>45076</v>
      </c>
      <c r="G7553" t="str">
        <f>"91465"</f>
        <v>91465</v>
      </c>
      <c r="H7553">
        <v>1</v>
      </c>
      <c r="I7553">
        <v>1412</v>
      </c>
      <c r="J7553">
        <v>0</v>
      </c>
      <c r="K7553" t="str">
        <f t="shared" si="1350"/>
        <v>813</v>
      </c>
      <c r="L7553">
        <v>1186.08</v>
      </c>
    </row>
    <row r="7554" spans="1:12" x14ac:dyDescent="0.25">
      <c r="A7554" t="str">
        <f t="shared" ref="A7554:A7617" si="1352">"89301000"</f>
        <v>89301000</v>
      </c>
      <c r="B7554" t="str">
        <f t="shared" si="1348"/>
        <v>72077000</v>
      </c>
      <c r="C7554" t="str">
        <f t="shared" si="1349"/>
        <v>72077001</v>
      </c>
      <c r="D7554">
        <v>89301152</v>
      </c>
      <c r="E7554" t="str">
        <f>"520801254"</f>
        <v>520801254</v>
      </c>
      <c r="F7554" s="1">
        <v>45077</v>
      </c>
      <c r="G7554" t="str">
        <f>"91197"</f>
        <v>91197</v>
      </c>
      <c r="H7554">
        <v>1</v>
      </c>
      <c r="I7554">
        <v>1048</v>
      </c>
      <c r="J7554">
        <v>0</v>
      </c>
      <c r="K7554" t="str">
        <f t="shared" si="1350"/>
        <v>813</v>
      </c>
      <c r="L7554">
        <v>880.32</v>
      </c>
    </row>
    <row r="7555" spans="1:12" x14ac:dyDescent="0.25">
      <c r="A7555" t="str">
        <f t="shared" si="1352"/>
        <v>89301000</v>
      </c>
      <c r="B7555" t="str">
        <f t="shared" si="1348"/>
        <v>72077000</v>
      </c>
      <c r="C7555" t="str">
        <f t="shared" si="1349"/>
        <v>72077001</v>
      </c>
      <c r="D7555">
        <v>89301152</v>
      </c>
      <c r="E7555" t="str">
        <f>"7806235316"</f>
        <v>7806235316</v>
      </c>
      <c r="F7555" s="1">
        <v>45077</v>
      </c>
      <c r="G7555" t="str">
        <f>"91197"</f>
        <v>91197</v>
      </c>
      <c r="H7555">
        <v>1</v>
      </c>
      <c r="I7555">
        <v>1048</v>
      </c>
      <c r="J7555">
        <v>0</v>
      </c>
      <c r="K7555" t="str">
        <f t="shared" si="1350"/>
        <v>813</v>
      </c>
      <c r="L7555">
        <v>880.32</v>
      </c>
    </row>
    <row r="7556" spans="1:12" x14ac:dyDescent="0.25">
      <c r="A7556" t="str">
        <f t="shared" si="1352"/>
        <v>89301000</v>
      </c>
      <c r="B7556" t="str">
        <f t="shared" si="1348"/>
        <v>72077000</v>
      </c>
      <c r="C7556" t="str">
        <f t="shared" si="1349"/>
        <v>72077001</v>
      </c>
      <c r="D7556">
        <v>89301152</v>
      </c>
      <c r="E7556" t="str">
        <f>"9356186147"</f>
        <v>9356186147</v>
      </c>
      <c r="F7556" s="1">
        <v>45077</v>
      </c>
      <c r="G7556" t="str">
        <f>"91197"</f>
        <v>91197</v>
      </c>
      <c r="H7556">
        <v>1</v>
      </c>
      <c r="I7556">
        <v>1048</v>
      </c>
      <c r="J7556">
        <v>0</v>
      </c>
      <c r="K7556" t="str">
        <f t="shared" si="1350"/>
        <v>813</v>
      </c>
      <c r="L7556">
        <v>880.32</v>
      </c>
    </row>
    <row r="7557" spans="1:12" x14ac:dyDescent="0.25">
      <c r="A7557" t="str">
        <f t="shared" si="1352"/>
        <v>89301000</v>
      </c>
      <c r="B7557" t="str">
        <f t="shared" ref="B7557:B7620" si="1353">"06539000"</f>
        <v>06539000</v>
      </c>
      <c r="C7557" t="str">
        <f t="shared" ref="C7557:C7584" si="1354">"06539003"</f>
        <v>06539003</v>
      </c>
      <c r="D7557">
        <v>89301171</v>
      </c>
      <c r="E7557" t="str">
        <f t="shared" ref="E7557:E7584" si="1355">"8801131999"</f>
        <v>8801131999</v>
      </c>
      <c r="F7557" s="1">
        <v>45070</v>
      </c>
      <c r="G7557" t="str">
        <f t="shared" ref="G7557:G7566" si="1356">"91413"</f>
        <v>91413</v>
      </c>
      <c r="H7557">
        <v>1</v>
      </c>
      <c r="I7557">
        <v>868</v>
      </c>
      <c r="J7557">
        <v>0</v>
      </c>
      <c r="K7557" t="str">
        <f t="shared" si="1350"/>
        <v>813</v>
      </c>
      <c r="L7557">
        <v>729.12</v>
      </c>
    </row>
    <row r="7558" spans="1:12" x14ac:dyDescent="0.25">
      <c r="A7558" t="str">
        <f t="shared" si="1352"/>
        <v>89301000</v>
      </c>
      <c r="B7558" t="str">
        <f t="shared" si="1353"/>
        <v>06539000</v>
      </c>
      <c r="C7558" t="str">
        <f t="shared" si="1354"/>
        <v>06539003</v>
      </c>
      <c r="D7558">
        <v>89301171</v>
      </c>
      <c r="E7558" t="str">
        <f t="shared" si="1355"/>
        <v>8801131999</v>
      </c>
      <c r="F7558" s="1">
        <v>45070</v>
      </c>
      <c r="G7558" t="str">
        <f t="shared" si="1356"/>
        <v>91413</v>
      </c>
      <c r="H7558">
        <v>1</v>
      </c>
      <c r="I7558">
        <v>868</v>
      </c>
      <c r="J7558">
        <v>0</v>
      </c>
      <c r="K7558" t="str">
        <f t="shared" si="1350"/>
        <v>813</v>
      </c>
      <c r="L7558">
        <v>729.12</v>
      </c>
    </row>
    <row r="7559" spans="1:12" x14ac:dyDescent="0.25">
      <c r="A7559" t="str">
        <f t="shared" si="1352"/>
        <v>89301000</v>
      </c>
      <c r="B7559" t="str">
        <f t="shared" si="1353"/>
        <v>06539000</v>
      </c>
      <c r="C7559" t="str">
        <f t="shared" si="1354"/>
        <v>06539003</v>
      </c>
      <c r="D7559">
        <v>89301171</v>
      </c>
      <c r="E7559" t="str">
        <f t="shared" si="1355"/>
        <v>8801131999</v>
      </c>
      <c r="F7559" s="1">
        <v>45083</v>
      </c>
      <c r="G7559" t="str">
        <f t="shared" si="1356"/>
        <v>91413</v>
      </c>
      <c r="H7559">
        <v>1</v>
      </c>
      <c r="I7559">
        <v>868</v>
      </c>
      <c r="J7559">
        <v>0</v>
      </c>
      <c r="K7559" t="str">
        <f t="shared" si="1350"/>
        <v>813</v>
      </c>
      <c r="L7559">
        <v>729.12</v>
      </c>
    </row>
    <row r="7560" spans="1:12" x14ac:dyDescent="0.25">
      <c r="A7560" t="str">
        <f t="shared" si="1352"/>
        <v>89301000</v>
      </c>
      <c r="B7560" t="str">
        <f t="shared" si="1353"/>
        <v>06539000</v>
      </c>
      <c r="C7560" t="str">
        <f t="shared" si="1354"/>
        <v>06539003</v>
      </c>
      <c r="D7560">
        <v>89301171</v>
      </c>
      <c r="E7560" t="str">
        <f t="shared" si="1355"/>
        <v>8801131999</v>
      </c>
      <c r="F7560" s="1">
        <v>45083</v>
      </c>
      <c r="G7560" t="str">
        <f t="shared" si="1356"/>
        <v>91413</v>
      </c>
      <c r="H7560">
        <v>1</v>
      </c>
      <c r="I7560">
        <v>868</v>
      </c>
      <c r="J7560">
        <v>0</v>
      </c>
      <c r="K7560" t="str">
        <f t="shared" si="1350"/>
        <v>813</v>
      </c>
      <c r="L7560">
        <v>729.12</v>
      </c>
    </row>
    <row r="7561" spans="1:12" x14ac:dyDescent="0.25">
      <c r="A7561" t="str">
        <f t="shared" si="1352"/>
        <v>89301000</v>
      </c>
      <c r="B7561" t="str">
        <f t="shared" si="1353"/>
        <v>06539000</v>
      </c>
      <c r="C7561" t="str">
        <f t="shared" si="1354"/>
        <v>06539003</v>
      </c>
      <c r="D7561">
        <v>89301171</v>
      </c>
      <c r="E7561" t="str">
        <f t="shared" si="1355"/>
        <v>8801131999</v>
      </c>
      <c r="F7561" s="1">
        <v>45086</v>
      </c>
      <c r="G7561" t="str">
        <f t="shared" si="1356"/>
        <v>91413</v>
      </c>
      <c r="H7561">
        <v>1</v>
      </c>
      <c r="I7561">
        <v>868</v>
      </c>
      <c r="J7561">
        <v>0</v>
      </c>
      <c r="K7561" t="str">
        <f t="shared" si="1350"/>
        <v>813</v>
      </c>
      <c r="L7561">
        <v>729.12</v>
      </c>
    </row>
    <row r="7562" spans="1:12" x14ac:dyDescent="0.25">
      <c r="A7562" t="str">
        <f t="shared" si="1352"/>
        <v>89301000</v>
      </c>
      <c r="B7562" t="str">
        <f t="shared" si="1353"/>
        <v>06539000</v>
      </c>
      <c r="C7562" t="str">
        <f t="shared" si="1354"/>
        <v>06539003</v>
      </c>
      <c r="D7562">
        <v>89301171</v>
      </c>
      <c r="E7562" t="str">
        <f t="shared" si="1355"/>
        <v>8801131999</v>
      </c>
      <c r="F7562" s="1">
        <v>45086</v>
      </c>
      <c r="G7562" t="str">
        <f t="shared" si="1356"/>
        <v>91413</v>
      </c>
      <c r="H7562">
        <v>1</v>
      </c>
      <c r="I7562">
        <v>868</v>
      </c>
      <c r="J7562">
        <v>0</v>
      </c>
      <c r="K7562" t="str">
        <f t="shared" si="1350"/>
        <v>813</v>
      </c>
      <c r="L7562">
        <v>729.12</v>
      </c>
    </row>
    <row r="7563" spans="1:12" x14ac:dyDescent="0.25">
      <c r="A7563" t="str">
        <f t="shared" si="1352"/>
        <v>89301000</v>
      </c>
      <c r="B7563" t="str">
        <f t="shared" si="1353"/>
        <v>06539000</v>
      </c>
      <c r="C7563" t="str">
        <f t="shared" si="1354"/>
        <v>06539003</v>
      </c>
      <c r="D7563">
        <v>89301171</v>
      </c>
      <c r="E7563" t="str">
        <f t="shared" si="1355"/>
        <v>8801131999</v>
      </c>
      <c r="F7563" s="1">
        <v>45083</v>
      </c>
      <c r="G7563" t="str">
        <f t="shared" si="1356"/>
        <v>91413</v>
      </c>
      <c r="H7563">
        <v>1</v>
      </c>
      <c r="I7563">
        <v>868</v>
      </c>
      <c r="J7563">
        <v>0</v>
      </c>
      <c r="K7563" t="str">
        <f t="shared" si="1350"/>
        <v>813</v>
      </c>
      <c r="L7563">
        <v>729.12</v>
      </c>
    </row>
    <row r="7564" spans="1:12" x14ac:dyDescent="0.25">
      <c r="A7564" t="str">
        <f t="shared" si="1352"/>
        <v>89301000</v>
      </c>
      <c r="B7564" t="str">
        <f t="shared" si="1353"/>
        <v>06539000</v>
      </c>
      <c r="C7564" t="str">
        <f t="shared" si="1354"/>
        <v>06539003</v>
      </c>
      <c r="D7564">
        <v>89301171</v>
      </c>
      <c r="E7564" t="str">
        <f t="shared" si="1355"/>
        <v>8801131999</v>
      </c>
      <c r="F7564" s="1">
        <v>45083</v>
      </c>
      <c r="G7564" t="str">
        <f t="shared" si="1356"/>
        <v>91413</v>
      </c>
      <c r="H7564">
        <v>1</v>
      </c>
      <c r="I7564">
        <v>868</v>
      </c>
      <c r="J7564">
        <v>0</v>
      </c>
      <c r="K7564" t="str">
        <f t="shared" si="1350"/>
        <v>813</v>
      </c>
      <c r="L7564">
        <v>729.12</v>
      </c>
    </row>
    <row r="7565" spans="1:12" x14ac:dyDescent="0.25">
      <c r="A7565" t="str">
        <f t="shared" si="1352"/>
        <v>89301000</v>
      </c>
      <c r="B7565" t="str">
        <f t="shared" si="1353"/>
        <v>06539000</v>
      </c>
      <c r="C7565" t="str">
        <f t="shared" si="1354"/>
        <v>06539003</v>
      </c>
      <c r="D7565">
        <v>89301171</v>
      </c>
      <c r="E7565" t="str">
        <f t="shared" si="1355"/>
        <v>8801131999</v>
      </c>
      <c r="F7565" s="1">
        <v>45083</v>
      </c>
      <c r="G7565" t="str">
        <f t="shared" si="1356"/>
        <v>91413</v>
      </c>
      <c r="H7565">
        <v>1</v>
      </c>
      <c r="I7565">
        <v>868</v>
      </c>
      <c r="J7565">
        <v>0</v>
      </c>
      <c r="K7565" t="str">
        <f t="shared" si="1350"/>
        <v>813</v>
      </c>
      <c r="L7565">
        <v>729.12</v>
      </c>
    </row>
    <row r="7566" spans="1:12" x14ac:dyDescent="0.25">
      <c r="A7566" t="str">
        <f t="shared" si="1352"/>
        <v>89301000</v>
      </c>
      <c r="B7566" t="str">
        <f t="shared" si="1353"/>
        <v>06539000</v>
      </c>
      <c r="C7566" t="str">
        <f t="shared" si="1354"/>
        <v>06539003</v>
      </c>
      <c r="D7566">
        <v>89301171</v>
      </c>
      <c r="E7566" t="str">
        <f t="shared" si="1355"/>
        <v>8801131999</v>
      </c>
      <c r="F7566" s="1">
        <v>45083</v>
      </c>
      <c r="G7566" t="str">
        <f t="shared" si="1356"/>
        <v>91413</v>
      </c>
      <c r="H7566">
        <v>1</v>
      </c>
      <c r="I7566">
        <v>868</v>
      </c>
      <c r="J7566">
        <v>0</v>
      </c>
      <c r="K7566" t="str">
        <f t="shared" ref="K7566:K7584" si="1357">"813"</f>
        <v>813</v>
      </c>
      <c r="L7566">
        <v>729.12</v>
      </c>
    </row>
    <row r="7567" spans="1:12" x14ac:dyDescent="0.25">
      <c r="A7567" t="str">
        <f t="shared" si="1352"/>
        <v>89301000</v>
      </c>
      <c r="B7567" t="str">
        <f t="shared" si="1353"/>
        <v>06539000</v>
      </c>
      <c r="C7567" t="str">
        <f t="shared" si="1354"/>
        <v>06539003</v>
      </c>
      <c r="D7567">
        <v>89301171</v>
      </c>
      <c r="E7567" t="str">
        <f t="shared" si="1355"/>
        <v>8801131999</v>
      </c>
      <c r="F7567" s="1">
        <v>45068</v>
      </c>
      <c r="G7567" t="str">
        <f t="shared" ref="G7567:G7572" si="1358">"91197"</f>
        <v>91197</v>
      </c>
      <c r="H7567">
        <v>1</v>
      </c>
      <c r="I7567">
        <v>1048</v>
      </c>
      <c r="J7567">
        <v>0</v>
      </c>
      <c r="K7567" t="str">
        <f t="shared" si="1357"/>
        <v>813</v>
      </c>
      <c r="L7567">
        <v>880.32</v>
      </c>
    </row>
    <row r="7568" spans="1:12" x14ac:dyDescent="0.25">
      <c r="A7568" t="str">
        <f t="shared" si="1352"/>
        <v>89301000</v>
      </c>
      <c r="B7568" t="str">
        <f t="shared" si="1353"/>
        <v>06539000</v>
      </c>
      <c r="C7568" t="str">
        <f t="shared" si="1354"/>
        <v>06539003</v>
      </c>
      <c r="D7568">
        <v>89301171</v>
      </c>
      <c r="E7568" t="str">
        <f t="shared" si="1355"/>
        <v>8801131999</v>
      </c>
      <c r="F7568" s="1">
        <v>45068</v>
      </c>
      <c r="G7568" t="str">
        <f t="shared" si="1358"/>
        <v>91197</v>
      </c>
      <c r="H7568">
        <v>1</v>
      </c>
      <c r="I7568">
        <v>1048</v>
      </c>
      <c r="J7568">
        <v>0</v>
      </c>
      <c r="K7568" t="str">
        <f t="shared" si="1357"/>
        <v>813</v>
      </c>
      <c r="L7568">
        <v>880.32</v>
      </c>
    </row>
    <row r="7569" spans="1:12" x14ac:dyDescent="0.25">
      <c r="A7569" t="str">
        <f t="shared" si="1352"/>
        <v>89301000</v>
      </c>
      <c r="B7569" t="str">
        <f t="shared" si="1353"/>
        <v>06539000</v>
      </c>
      <c r="C7569" t="str">
        <f t="shared" si="1354"/>
        <v>06539003</v>
      </c>
      <c r="D7569">
        <v>89301171</v>
      </c>
      <c r="E7569" t="str">
        <f t="shared" si="1355"/>
        <v>8801131999</v>
      </c>
      <c r="F7569" s="1">
        <v>45067</v>
      </c>
      <c r="G7569" t="str">
        <f t="shared" si="1358"/>
        <v>91197</v>
      </c>
      <c r="H7569">
        <v>1</v>
      </c>
      <c r="I7569">
        <v>1048</v>
      </c>
      <c r="J7569">
        <v>0</v>
      </c>
      <c r="K7569" t="str">
        <f t="shared" si="1357"/>
        <v>813</v>
      </c>
      <c r="L7569">
        <v>880.32</v>
      </c>
    </row>
    <row r="7570" spans="1:12" x14ac:dyDescent="0.25">
      <c r="A7570" t="str">
        <f t="shared" si="1352"/>
        <v>89301000</v>
      </c>
      <c r="B7570" t="str">
        <f t="shared" si="1353"/>
        <v>06539000</v>
      </c>
      <c r="C7570" t="str">
        <f t="shared" si="1354"/>
        <v>06539003</v>
      </c>
      <c r="D7570">
        <v>89301171</v>
      </c>
      <c r="E7570" t="str">
        <f t="shared" si="1355"/>
        <v>8801131999</v>
      </c>
      <c r="F7570" s="1">
        <v>45067</v>
      </c>
      <c r="G7570" t="str">
        <f t="shared" si="1358"/>
        <v>91197</v>
      </c>
      <c r="H7570">
        <v>1</v>
      </c>
      <c r="I7570">
        <v>1048</v>
      </c>
      <c r="J7570">
        <v>0</v>
      </c>
      <c r="K7570" t="str">
        <f t="shared" si="1357"/>
        <v>813</v>
      </c>
      <c r="L7570">
        <v>880.32</v>
      </c>
    </row>
    <row r="7571" spans="1:12" x14ac:dyDescent="0.25">
      <c r="A7571" t="str">
        <f t="shared" si="1352"/>
        <v>89301000</v>
      </c>
      <c r="B7571" t="str">
        <f t="shared" si="1353"/>
        <v>06539000</v>
      </c>
      <c r="C7571" t="str">
        <f t="shared" si="1354"/>
        <v>06539003</v>
      </c>
      <c r="D7571">
        <v>89301171</v>
      </c>
      <c r="E7571" t="str">
        <f t="shared" si="1355"/>
        <v>8801131999</v>
      </c>
      <c r="F7571" s="1">
        <v>45066</v>
      </c>
      <c r="G7571" t="str">
        <f t="shared" si="1358"/>
        <v>91197</v>
      </c>
      <c r="H7571">
        <v>1</v>
      </c>
      <c r="I7571">
        <v>1048</v>
      </c>
      <c r="J7571">
        <v>0</v>
      </c>
      <c r="K7571" t="str">
        <f t="shared" si="1357"/>
        <v>813</v>
      </c>
      <c r="L7571">
        <v>880.32</v>
      </c>
    </row>
    <row r="7572" spans="1:12" x14ac:dyDescent="0.25">
      <c r="A7572" t="str">
        <f t="shared" si="1352"/>
        <v>89301000</v>
      </c>
      <c r="B7572" t="str">
        <f t="shared" si="1353"/>
        <v>06539000</v>
      </c>
      <c r="C7572" t="str">
        <f t="shared" si="1354"/>
        <v>06539003</v>
      </c>
      <c r="D7572">
        <v>89301171</v>
      </c>
      <c r="E7572" t="str">
        <f t="shared" si="1355"/>
        <v>8801131999</v>
      </c>
      <c r="F7572" s="1">
        <v>45066</v>
      </c>
      <c r="G7572" t="str">
        <f t="shared" si="1358"/>
        <v>91197</v>
      </c>
      <c r="H7572">
        <v>1</v>
      </c>
      <c r="I7572">
        <v>1048</v>
      </c>
      <c r="J7572">
        <v>0</v>
      </c>
      <c r="K7572" t="str">
        <f t="shared" si="1357"/>
        <v>813</v>
      </c>
      <c r="L7572">
        <v>880.32</v>
      </c>
    </row>
    <row r="7573" spans="1:12" x14ac:dyDescent="0.25">
      <c r="A7573" t="str">
        <f t="shared" si="1352"/>
        <v>89301000</v>
      </c>
      <c r="B7573" t="str">
        <f t="shared" si="1353"/>
        <v>06539000</v>
      </c>
      <c r="C7573" t="str">
        <f t="shared" si="1354"/>
        <v>06539003</v>
      </c>
      <c r="D7573">
        <v>89301171</v>
      </c>
      <c r="E7573" t="str">
        <f t="shared" si="1355"/>
        <v>8801131999</v>
      </c>
      <c r="F7573" s="1">
        <v>45083</v>
      </c>
      <c r="G7573" t="str">
        <f>"91329"</f>
        <v>91329</v>
      </c>
      <c r="H7573">
        <v>2</v>
      </c>
      <c r="I7573">
        <v>436</v>
      </c>
      <c r="J7573">
        <v>0</v>
      </c>
      <c r="K7573" t="str">
        <f t="shared" si="1357"/>
        <v>813</v>
      </c>
      <c r="L7573">
        <v>366.24</v>
      </c>
    </row>
    <row r="7574" spans="1:12" x14ac:dyDescent="0.25">
      <c r="A7574" t="str">
        <f t="shared" si="1352"/>
        <v>89301000</v>
      </c>
      <c r="B7574" t="str">
        <f t="shared" si="1353"/>
        <v>06539000</v>
      </c>
      <c r="C7574" t="str">
        <f t="shared" si="1354"/>
        <v>06539003</v>
      </c>
      <c r="D7574">
        <v>89301171</v>
      </c>
      <c r="E7574" t="str">
        <f t="shared" si="1355"/>
        <v>8801131999</v>
      </c>
      <c r="F7574" s="1">
        <v>45068</v>
      </c>
      <c r="G7574" t="str">
        <f>"91329"</f>
        <v>91329</v>
      </c>
      <c r="H7574">
        <v>2</v>
      </c>
      <c r="I7574">
        <v>436</v>
      </c>
      <c r="J7574">
        <v>0</v>
      </c>
      <c r="K7574" t="str">
        <f t="shared" si="1357"/>
        <v>813</v>
      </c>
      <c r="L7574">
        <v>366.24</v>
      </c>
    </row>
    <row r="7575" spans="1:12" x14ac:dyDescent="0.25">
      <c r="A7575" t="str">
        <f t="shared" si="1352"/>
        <v>89301000</v>
      </c>
      <c r="B7575" t="str">
        <f t="shared" si="1353"/>
        <v>06539000</v>
      </c>
      <c r="C7575" t="str">
        <f t="shared" si="1354"/>
        <v>06539003</v>
      </c>
      <c r="D7575">
        <v>89301171</v>
      </c>
      <c r="E7575" t="str">
        <f t="shared" si="1355"/>
        <v>8801131999</v>
      </c>
      <c r="F7575" s="1">
        <v>45068</v>
      </c>
      <c r="G7575" t="str">
        <f>"91329"</f>
        <v>91329</v>
      </c>
      <c r="H7575">
        <v>2</v>
      </c>
      <c r="I7575">
        <v>436</v>
      </c>
      <c r="J7575">
        <v>0</v>
      </c>
      <c r="K7575" t="str">
        <f t="shared" si="1357"/>
        <v>813</v>
      </c>
      <c r="L7575">
        <v>366.24</v>
      </c>
    </row>
    <row r="7576" spans="1:12" x14ac:dyDescent="0.25">
      <c r="A7576" t="str">
        <f t="shared" si="1352"/>
        <v>89301000</v>
      </c>
      <c r="B7576" t="str">
        <f t="shared" si="1353"/>
        <v>06539000</v>
      </c>
      <c r="C7576" t="str">
        <f t="shared" si="1354"/>
        <v>06539003</v>
      </c>
      <c r="D7576">
        <v>89301171</v>
      </c>
      <c r="E7576" t="str">
        <f t="shared" si="1355"/>
        <v>8801131999</v>
      </c>
      <c r="F7576" s="1">
        <v>45068</v>
      </c>
      <c r="G7576" t="str">
        <f>"91329"</f>
        <v>91329</v>
      </c>
      <c r="H7576">
        <v>2</v>
      </c>
      <c r="I7576">
        <v>436</v>
      </c>
      <c r="J7576">
        <v>0</v>
      </c>
      <c r="K7576" t="str">
        <f t="shared" si="1357"/>
        <v>813</v>
      </c>
      <c r="L7576">
        <v>366.24</v>
      </c>
    </row>
    <row r="7577" spans="1:12" x14ac:dyDescent="0.25">
      <c r="A7577" t="str">
        <f t="shared" si="1352"/>
        <v>89301000</v>
      </c>
      <c r="B7577" t="str">
        <f t="shared" si="1353"/>
        <v>06539000</v>
      </c>
      <c r="C7577" t="str">
        <f t="shared" si="1354"/>
        <v>06539003</v>
      </c>
      <c r="D7577">
        <v>89301171</v>
      </c>
      <c r="E7577" t="str">
        <f t="shared" si="1355"/>
        <v>8801131999</v>
      </c>
      <c r="F7577" s="1">
        <v>45068</v>
      </c>
      <c r="G7577" t="str">
        <f>"91129"</f>
        <v>91129</v>
      </c>
      <c r="H7577">
        <v>1</v>
      </c>
      <c r="I7577">
        <v>175</v>
      </c>
      <c r="J7577">
        <v>0</v>
      </c>
      <c r="K7577" t="str">
        <f t="shared" si="1357"/>
        <v>813</v>
      </c>
      <c r="L7577">
        <v>147</v>
      </c>
    </row>
    <row r="7578" spans="1:12" x14ac:dyDescent="0.25">
      <c r="A7578" t="str">
        <f t="shared" si="1352"/>
        <v>89301000</v>
      </c>
      <c r="B7578" t="str">
        <f t="shared" si="1353"/>
        <v>06539000</v>
      </c>
      <c r="C7578" t="str">
        <f t="shared" si="1354"/>
        <v>06539003</v>
      </c>
      <c r="D7578">
        <v>89301171</v>
      </c>
      <c r="E7578" t="str">
        <f t="shared" si="1355"/>
        <v>8801131999</v>
      </c>
      <c r="F7578" s="1">
        <v>45068</v>
      </c>
      <c r="G7578" t="str">
        <f>"91131"</f>
        <v>91131</v>
      </c>
      <c r="H7578">
        <v>1</v>
      </c>
      <c r="I7578">
        <v>171</v>
      </c>
      <c r="J7578">
        <v>0</v>
      </c>
      <c r="K7578" t="str">
        <f t="shared" si="1357"/>
        <v>813</v>
      </c>
      <c r="L7578">
        <v>143.63999999999999</v>
      </c>
    </row>
    <row r="7579" spans="1:12" x14ac:dyDescent="0.25">
      <c r="A7579" t="str">
        <f t="shared" si="1352"/>
        <v>89301000</v>
      </c>
      <c r="B7579" t="str">
        <f t="shared" si="1353"/>
        <v>06539000</v>
      </c>
      <c r="C7579" t="str">
        <f t="shared" si="1354"/>
        <v>06539003</v>
      </c>
      <c r="D7579">
        <v>89301171</v>
      </c>
      <c r="E7579" t="str">
        <f t="shared" si="1355"/>
        <v>8801131999</v>
      </c>
      <c r="F7579" s="1">
        <v>45068</v>
      </c>
      <c r="G7579" t="str">
        <f>"91133"</f>
        <v>91133</v>
      </c>
      <c r="H7579">
        <v>1</v>
      </c>
      <c r="I7579">
        <v>177</v>
      </c>
      <c r="J7579">
        <v>0</v>
      </c>
      <c r="K7579" t="str">
        <f t="shared" si="1357"/>
        <v>813</v>
      </c>
      <c r="L7579">
        <v>148.68</v>
      </c>
    </row>
    <row r="7580" spans="1:12" x14ac:dyDescent="0.25">
      <c r="A7580" t="str">
        <f t="shared" si="1352"/>
        <v>89301000</v>
      </c>
      <c r="B7580" t="str">
        <f t="shared" si="1353"/>
        <v>06539000</v>
      </c>
      <c r="C7580" t="str">
        <f t="shared" si="1354"/>
        <v>06539003</v>
      </c>
      <c r="D7580">
        <v>89301171</v>
      </c>
      <c r="E7580" t="str">
        <f t="shared" si="1355"/>
        <v>8801131999</v>
      </c>
      <c r="F7580" s="1">
        <v>45068</v>
      </c>
      <c r="G7580" t="str">
        <f>"91171"</f>
        <v>91171</v>
      </c>
      <c r="H7580">
        <v>1</v>
      </c>
      <c r="I7580">
        <v>362</v>
      </c>
      <c r="J7580">
        <v>0</v>
      </c>
      <c r="K7580" t="str">
        <f t="shared" si="1357"/>
        <v>813</v>
      </c>
      <c r="L7580">
        <v>304.08</v>
      </c>
    </row>
    <row r="7581" spans="1:12" x14ac:dyDescent="0.25">
      <c r="A7581" t="str">
        <f t="shared" si="1352"/>
        <v>89301000</v>
      </c>
      <c r="B7581" t="str">
        <f t="shared" si="1353"/>
        <v>06539000</v>
      </c>
      <c r="C7581" t="str">
        <f t="shared" si="1354"/>
        <v>06539003</v>
      </c>
      <c r="D7581">
        <v>89301171</v>
      </c>
      <c r="E7581" t="str">
        <f t="shared" si="1355"/>
        <v>8801131999</v>
      </c>
      <c r="F7581" s="1">
        <v>45068</v>
      </c>
      <c r="G7581" t="str">
        <f>"91175"</f>
        <v>91175</v>
      </c>
      <c r="H7581">
        <v>1</v>
      </c>
      <c r="I7581">
        <v>362</v>
      </c>
      <c r="J7581">
        <v>0</v>
      </c>
      <c r="K7581" t="str">
        <f t="shared" si="1357"/>
        <v>813</v>
      </c>
      <c r="L7581">
        <v>304.08</v>
      </c>
    </row>
    <row r="7582" spans="1:12" x14ac:dyDescent="0.25">
      <c r="A7582" t="str">
        <f t="shared" si="1352"/>
        <v>89301000</v>
      </c>
      <c r="B7582" t="str">
        <f t="shared" si="1353"/>
        <v>06539000</v>
      </c>
      <c r="C7582" t="str">
        <f t="shared" si="1354"/>
        <v>06539003</v>
      </c>
      <c r="D7582">
        <v>89301171</v>
      </c>
      <c r="E7582" t="str">
        <f t="shared" si="1355"/>
        <v>8801131999</v>
      </c>
      <c r="F7582" s="1">
        <v>45066</v>
      </c>
      <c r="G7582" t="str">
        <f>"91167"</f>
        <v>91167</v>
      </c>
      <c r="H7582">
        <v>1</v>
      </c>
      <c r="I7582">
        <v>426</v>
      </c>
      <c r="J7582">
        <v>0</v>
      </c>
      <c r="K7582" t="str">
        <f t="shared" si="1357"/>
        <v>813</v>
      </c>
      <c r="L7582">
        <v>357.84</v>
      </c>
    </row>
    <row r="7583" spans="1:12" x14ac:dyDescent="0.25">
      <c r="A7583" t="str">
        <f t="shared" si="1352"/>
        <v>89301000</v>
      </c>
      <c r="B7583" t="str">
        <f t="shared" si="1353"/>
        <v>06539000</v>
      </c>
      <c r="C7583" t="str">
        <f t="shared" si="1354"/>
        <v>06539003</v>
      </c>
      <c r="D7583">
        <v>89301171</v>
      </c>
      <c r="E7583" t="str">
        <f t="shared" si="1355"/>
        <v>8801131999</v>
      </c>
      <c r="F7583" s="1">
        <v>45066</v>
      </c>
      <c r="G7583" t="str">
        <f>"91169"</f>
        <v>91169</v>
      </c>
      <c r="H7583">
        <v>1</v>
      </c>
      <c r="I7583">
        <v>426</v>
      </c>
      <c r="J7583">
        <v>0</v>
      </c>
      <c r="K7583" t="str">
        <f t="shared" si="1357"/>
        <v>813</v>
      </c>
      <c r="L7583">
        <v>357.84</v>
      </c>
    </row>
    <row r="7584" spans="1:12" x14ac:dyDescent="0.25">
      <c r="A7584" t="str">
        <f t="shared" si="1352"/>
        <v>89301000</v>
      </c>
      <c r="B7584" t="str">
        <f t="shared" si="1353"/>
        <v>06539000</v>
      </c>
      <c r="C7584" t="str">
        <f t="shared" si="1354"/>
        <v>06539003</v>
      </c>
      <c r="D7584">
        <v>89301171</v>
      </c>
      <c r="E7584" t="str">
        <f t="shared" si="1355"/>
        <v>8801131999</v>
      </c>
      <c r="F7584" s="1">
        <v>45070</v>
      </c>
      <c r="G7584" t="str">
        <f>"91475"</f>
        <v>91475</v>
      </c>
      <c r="H7584">
        <v>1</v>
      </c>
      <c r="I7584">
        <v>213</v>
      </c>
      <c r="J7584">
        <v>0</v>
      </c>
      <c r="K7584" t="str">
        <f t="shared" si="1357"/>
        <v>813</v>
      </c>
      <c r="L7584">
        <v>178.92</v>
      </c>
    </row>
    <row r="7585" spans="1:12" x14ac:dyDescent="0.25">
      <c r="A7585" t="str">
        <f t="shared" si="1352"/>
        <v>89301000</v>
      </c>
      <c r="B7585" t="str">
        <f t="shared" si="1353"/>
        <v>06539000</v>
      </c>
      <c r="C7585" t="str">
        <f>"06539001"</f>
        <v>06539001</v>
      </c>
      <c r="D7585">
        <v>89301171</v>
      </c>
      <c r="E7585" t="str">
        <f t="shared" ref="E7585:E7626" si="1359">"8803255571"</f>
        <v>8803255571</v>
      </c>
      <c r="F7585" s="1">
        <v>45065</v>
      </c>
      <c r="G7585" t="str">
        <f>"81329"</f>
        <v>81329</v>
      </c>
      <c r="H7585">
        <v>1</v>
      </c>
      <c r="I7585">
        <v>17</v>
      </c>
      <c r="J7585">
        <v>0</v>
      </c>
      <c r="K7585" t="str">
        <f>"801"</f>
        <v>801</v>
      </c>
      <c r="L7585">
        <v>14.28</v>
      </c>
    </row>
    <row r="7586" spans="1:12" x14ac:dyDescent="0.25">
      <c r="A7586" t="str">
        <f t="shared" si="1352"/>
        <v>89301000</v>
      </c>
      <c r="B7586" t="str">
        <f t="shared" si="1353"/>
        <v>06539000</v>
      </c>
      <c r="C7586" t="str">
        <f>"06539001"</f>
        <v>06539001</v>
      </c>
      <c r="D7586">
        <v>89301171</v>
      </c>
      <c r="E7586" t="str">
        <f t="shared" si="1359"/>
        <v>8803255571</v>
      </c>
      <c r="F7586" s="1">
        <v>45065</v>
      </c>
      <c r="G7586" t="str">
        <f>"81331"</f>
        <v>81331</v>
      </c>
      <c r="H7586">
        <v>1</v>
      </c>
      <c r="I7586">
        <v>193</v>
      </c>
      <c r="J7586">
        <v>0</v>
      </c>
      <c r="K7586" t="str">
        <f>"801"</f>
        <v>801</v>
      </c>
      <c r="L7586">
        <v>162.12</v>
      </c>
    </row>
    <row r="7587" spans="1:12" x14ac:dyDescent="0.25">
      <c r="A7587" t="str">
        <f t="shared" si="1352"/>
        <v>89301000</v>
      </c>
      <c r="B7587" t="str">
        <f t="shared" si="1353"/>
        <v>06539000</v>
      </c>
      <c r="C7587" t="str">
        <f t="shared" ref="C7587:C7594" si="1360">"06539002"</f>
        <v>06539002</v>
      </c>
      <c r="D7587">
        <v>89301171</v>
      </c>
      <c r="E7587" t="str">
        <f t="shared" si="1359"/>
        <v>8803255571</v>
      </c>
      <c r="F7587" s="1">
        <v>45065</v>
      </c>
      <c r="G7587" t="str">
        <f t="shared" ref="G7587:G7594" si="1361">"82097"</f>
        <v>82097</v>
      </c>
      <c r="H7587">
        <v>1</v>
      </c>
      <c r="I7587">
        <v>381</v>
      </c>
      <c r="J7587">
        <v>0</v>
      </c>
      <c r="K7587" t="str">
        <f t="shared" ref="K7587:K7594" si="1362">"802"</f>
        <v>802</v>
      </c>
      <c r="L7587">
        <v>369.57</v>
      </c>
    </row>
    <row r="7588" spans="1:12" x14ac:dyDescent="0.25">
      <c r="A7588" t="str">
        <f t="shared" si="1352"/>
        <v>89301000</v>
      </c>
      <c r="B7588" t="str">
        <f t="shared" si="1353"/>
        <v>06539000</v>
      </c>
      <c r="C7588" t="str">
        <f t="shared" si="1360"/>
        <v>06539002</v>
      </c>
      <c r="D7588">
        <v>89301171</v>
      </c>
      <c r="E7588" t="str">
        <f t="shared" si="1359"/>
        <v>8803255571</v>
      </c>
      <c r="F7588" s="1">
        <v>45065</v>
      </c>
      <c r="G7588" t="str">
        <f t="shared" si="1361"/>
        <v>82097</v>
      </c>
      <c r="H7588">
        <v>1</v>
      </c>
      <c r="I7588">
        <v>381</v>
      </c>
      <c r="J7588">
        <v>0</v>
      </c>
      <c r="K7588" t="str">
        <f t="shared" si="1362"/>
        <v>802</v>
      </c>
      <c r="L7588">
        <v>369.57</v>
      </c>
    </row>
    <row r="7589" spans="1:12" x14ac:dyDescent="0.25">
      <c r="A7589" t="str">
        <f t="shared" si="1352"/>
        <v>89301000</v>
      </c>
      <c r="B7589" t="str">
        <f t="shared" si="1353"/>
        <v>06539000</v>
      </c>
      <c r="C7589" t="str">
        <f t="shared" si="1360"/>
        <v>06539002</v>
      </c>
      <c r="D7589">
        <v>89301171</v>
      </c>
      <c r="E7589" t="str">
        <f t="shared" si="1359"/>
        <v>8803255571</v>
      </c>
      <c r="F7589" s="1">
        <v>45065</v>
      </c>
      <c r="G7589" t="str">
        <f t="shared" si="1361"/>
        <v>82097</v>
      </c>
      <c r="H7589">
        <v>1</v>
      </c>
      <c r="I7589">
        <v>381</v>
      </c>
      <c r="J7589">
        <v>0</v>
      </c>
      <c r="K7589" t="str">
        <f t="shared" si="1362"/>
        <v>802</v>
      </c>
      <c r="L7589">
        <v>369.57</v>
      </c>
    </row>
    <row r="7590" spans="1:12" x14ac:dyDescent="0.25">
      <c r="A7590" t="str">
        <f t="shared" si="1352"/>
        <v>89301000</v>
      </c>
      <c r="B7590" t="str">
        <f t="shared" si="1353"/>
        <v>06539000</v>
      </c>
      <c r="C7590" t="str">
        <f t="shared" si="1360"/>
        <v>06539002</v>
      </c>
      <c r="D7590">
        <v>89301171</v>
      </c>
      <c r="E7590" t="str">
        <f t="shared" si="1359"/>
        <v>8803255571</v>
      </c>
      <c r="F7590" s="1">
        <v>45065</v>
      </c>
      <c r="G7590" t="str">
        <f t="shared" si="1361"/>
        <v>82097</v>
      </c>
      <c r="H7590">
        <v>1</v>
      </c>
      <c r="I7590">
        <v>381</v>
      </c>
      <c r="J7590">
        <v>0</v>
      </c>
      <c r="K7590" t="str">
        <f t="shared" si="1362"/>
        <v>802</v>
      </c>
      <c r="L7590">
        <v>369.57</v>
      </c>
    </row>
    <row r="7591" spans="1:12" x14ac:dyDescent="0.25">
      <c r="A7591" t="str">
        <f t="shared" si="1352"/>
        <v>89301000</v>
      </c>
      <c r="B7591" t="str">
        <f t="shared" si="1353"/>
        <v>06539000</v>
      </c>
      <c r="C7591" t="str">
        <f t="shared" si="1360"/>
        <v>06539002</v>
      </c>
      <c r="D7591">
        <v>89301171</v>
      </c>
      <c r="E7591" t="str">
        <f t="shared" si="1359"/>
        <v>8803255571</v>
      </c>
      <c r="F7591" s="1">
        <v>45065</v>
      </c>
      <c r="G7591" t="str">
        <f t="shared" si="1361"/>
        <v>82097</v>
      </c>
      <c r="H7591">
        <v>1</v>
      </c>
      <c r="I7591">
        <v>381</v>
      </c>
      <c r="J7591">
        <v>0</v>
      </c>
      <c r="K7591" t="str">
        <f t="shared" si="1362"/>
        <v>802</v>
      </c>
      <c r="L7591">
        <v>369.57</v>
      </c>
    </row>
    <row r="7592" spans="1:12" x14ac:dyDescent="0.25">
      <c r="A7592" t="str">
        <f t="shared" si="1352"/>
        <v>89301000</v>
      </c>
      <c r="B7592" t="str">
        <f t="shared" si="1353"/>
        <v>06539000</v>
      </c>
      <c r="C7592" t="str">
        <f t="shared" si="1360"/>
        <v>06539002</v>
      </c>
      <c r="D7592">
        <v>89301171</v>
      </c>
      <c r="E7592" t="str">
        <f t="shared" si="1359"/>
        <v>8803255571</v>
      </c>
      <c r="F7592" s="1">
        <v>45065</v>
      </c>
      <c r="G7592" t="str">
        <f t="shared" si="1361"/>
        <v>82097</v>
      </c>
      <c r="H7592">
        <v>1</v>
      </c>
      <c r="I7592">
        <v>381</v>
      </c>
      <c r="J7592">
        <v>0</v>
      </c>
      <c r="K7592" t="str">
        <f t="shared" si="1362"/>
        <v>802</v>
      </c>
      <c r="L7592">
        <v>369.57</v>
      </c>
    </row>
    <row r="7593" spans="1:12" x14ac:dyDescent="0.25">
      <c r="A7593" t="str">
        <f t="shared" si="1352"/>
        <v>89301000</v>
      </c>
      <c r="B7593" t="str">
        <f t="shared" si="1353"/>
        <v>06539000</v>
      </c>
      <c r="C7593" t="str">
        <f t="shared" si="1360"/>
        <v>06539002</v>
      </c>
      <c r="D7593">
        <v>89301171</v>
      </c>
      <c r="E7593" t="str">
        <f t="shared" si="1359"/>
        <v>8803255571</v>
      </c>
      <c r="F7593" s="1">
        <v>45065</v>
      </c>
      <c r="G7593" t="str">
        <f t="shared" si="1361"/>
        <v>82097</v>
      </c>
      <c r="H7593">
        <v>1</v>
      </c>
      <c r="I7593">
        <v>381</v>
      </c>
      <c r="J7593">
        <v>0</v>
      </c>
      <c r="K7593" t="str">
        <f t="shared" si="1362"/>
        <v>802</v>
      </c>
      <c r="L7593">
        <v>369.57</v>
      </c>
    </row>
    <row r="7594" spans="1:12" x14ac:dyDescent="0.25">
      <c r="A7594" t="str">
        <f t="shared" si="1352"/>
        <v>89301000</v>
      </c>
      <c r="B7594" t="str">
        <f t="shared" si="1353"/>
        <v>06539000</v>
      </c>
      <c r="C7594" t="str">
        <f t="shared" si="1360"/>
        <v>06539002</v>
      </c>
      <c r="D7594">
        <v>89301171</v>
      </c>
      <c r="E7594" t="str">
        <f t="shared" si="1359"/>
        <v>8803255571</v>
      </c>
      <c r="F7594" s="1">
        <v>45065</v>
      </c>
      <c r="G7594" t="str">
        <f t="shared" si="1361"/>
        <v>82097</v>
      </c>
      <c r="H7594">
        <v>1</v>
      </c>
      <c r="I7594">
        <v>381</v>
      </c>
      <c r="J7594">
        <v>0</v>
      </c>
      <c r="K7594" t="str">
        <f t="shared" si="1362"/>
        <v>802</v>
      </c>
      <c r="L7594">
        <v>369.57</v>
      </c>
    </row>
    <row r="7595" spans="1:12" x14ac:dyDescent="0.25">
      <c r="A7595" t="str">
        <f t="shared" si="1352"/>
        <v>89301000</v>
      </c>
      <c r="B7595" t="str">
        <f t="shared" si="1353"/>
        <v>06539000</v>
      </c>
      <c r="C7595" t="str">
        <f t="shared" ref="C7595:C7626" si="1363">"06539003"</f>
        <v>06539003</v>
      </c>
      <c r="D7595">
        <v>89301171</v>
      </c>
      <c r="E7595" t="str">
        <f t="shared" si="1359"/>
        <v>8803255571</v>
      </c>
      <c r="F7595" s="1">
        <v>45070</v>
      </c>
      <c r="G7595" t="str">
        <f t="shared" ref="G7595:G7604" si="1364">"91413"</f>
        <v>91413</v>
      </c>
      <c r="H7595">
        <v>1</v>
      </c>
      <c r="I7595">
        <v>868</v>
      </c>
      <c r="J7595">
        <v>0</v>
      </c>
      <c r="K7595" t="str">
        <f t="shared" ref="K7595:K7626" si="1365">"813"</f>
        <v>813</v>
      </c>
      <c r="L7595">
        <v>729.12</v>
      </c>
    </row>
    <row r="7596" spans="1:12" x14ac:dyDescent="0.25">
      <c r="A7596" t="str">
        <f t="shared" si="1352"/>
        <v>89301000</v>
      </c>
      <c r="B7596" t="str">
        <f t="shared" si="1353"/>
        <v>06539000</v>
      </c>
      <c r="C7596" t="str">
        <f t="shared" si="1363"/>
        <v>06539003</v>
      </c>
      <c r="D7596">
        <v>89301171</v>
      </c>
      <c r="E7596" t="str">
        <f t="shared" si="1359"/>
        <v>8803255571</v>
      </c>
      <c r="F7596" s="1">
        <v>45070</v>
      </c>
      <c r="G7596" t="str">
        <f t="shared" si="1364"/>
        <v>91413</v>
      </c>
      <c r="H7596">
        <v>1</v>
      </c>
      <c r="I7596">
        <v>868</v>
      </c>
      <c r="J7596">
        <v>0</v>
      </c>
      <c r="K7596" t="str">
        <f t="shared" si="1365"/>
        <v>813</v>
      </c>
      <c r="L7596">
        <v>729.12</v>
      </c>
    </row>
    <row r="7597" spans="1:12" x14ac:dyDescent="0.25">
      <c r="A7597" t="str">
        <f t="shared" si="1352"/>
        <v>89301000</v>
      </c>
      <c r="B7597" t="str">
        <f t="shared" si="1353"/>
        <v>06539000</v>
      </c>
      <c r="C7597" t="str">
        <f t="shared" si="1363"/>
        <v>06539003</v>
      </c>
      <c r="D7597">
        <v>89301171</v>
      </c>
      <c r="E7597" t="str">
        <f t="shared" si="1359"/>
        <v>8803255571</v>
      </c>
      <c r="F7597" s="1">
        <v>45083</v>
      </c>
      <c r="G7597" t="str">
        <f t="shared" si="1364"/>
        <v>91413</v>
      </c>
      <c r="H7597">
        <v>1</v>
      </c>
      <c r="I7597">
        <v>868</v>
      </c>
      <c r="J7597">
        <v>0</v>
      </c>
      <c r="K7597" t="str">
        <f t="shared" si="1365"/>
        <v>813</v>
      </c>
      <c r="L7597">
        <v>729.12</v>
      </c>
    </row>
    <row r="7598" spans="1:12" x14ac:dyDescent="0.25">
      <c r="A7598" t="str">
        <f t="shared" si="1352"/>
        <v>89301000</v>
      </c>
      <c r="B7598" t="str">
        <f t="shared" si="1353"/>
        <v>06539000</v>
      </c>
      <c r="C7598" t="str">
        <f t="shared" si="1363"/>
        <v>06539003</v>
      </c>
      <c r="D7598">
        <v>89301171</v>
      </c>
      <c r="E7598" t="str">
        <f t="shared" si="1359"/>
        <v>8803255571</v>
      </c>
      <c r="F7598" s="1">
        <v>45083</v>
      </c>
      <c r="G7598" t="str">
        <f t="shared" si="1364"/>
        <v>91413</v>
      </c>
      <c r="H7598">
        <v>1</v>
      </c>
      <c r="I7598">
        <v>868</v>
      </c>
      <c r="J7598">
        <v>0</v>
      </c>
      <c r="K7598" t="str">
        <f t="shared" si="1365"/>
        <v>813</v>
      </c>
      <c r="L7598">
        <v>729.12</v>
      </c>
    </row>
    <row r="7599" spans="1:12" x14ac:dyDescent="0.25">
      <c r="A7599" t="str">
        <f t="shared" si="1352"/>
        <v>89301000</v>
      </c>
      <c r="B7599" t="str">
        <f t="shared" si="1353"/>
        <v>06539000</v>
      </c>
      <c r="C7599" t="str">
        <f t="shared" si="1363"/>
        <v>06539003</v>
      </c>
      <c r="D7599">
        <v>89301171</v>
      </c>
      <c r="E7599" t="str">
        <f t="shared" si="1359"/>
        <v>8803255571</v>
      </c>
      <c r="F7599" s="1">
        <v>45086</v>
      </c>
      <c r="G7599" t="str">
        <f t="shared" si="1364"/>
        <v>91413</v>
      </c>
      <c r="H7599">
        <v>1</v>
      </c>
      <c r="I7599">
        <v>868</v>
      </c>
      <c r="J7599">
        <v>0</v>
      </c>
      <c r="K7599" t="str">
        <f t="shared" si="1365"/>
        <v>813</v>
      </c>
      <c r="L7599">
        <v>729.12</v>
      </c>
    </row>
    <row r="7600" spans="1:12" x14ac:dyDescent="0.25">
      <c r="A7600" t="str">
        <f t="shared" si="1352"/>
        <v>89301000</v>
      </c>
      <c r="B7600" t="str">
        <f t="shared" si="1353"/>
        <v>06539000</v>
      </c>
      <c r="C7600" t="str">
        <f t="shared" si="1363"/>
        <v>06539003</v>
      </c>
      <c r="D7600">
        <v>89301171</v>
      </c>
      <c r="E7600" t="str">
        <f t="shared" si="1359"/>
        <v>8803255571</v>
      </c>
      <c r="F7600" s="1">
        <v>45086</v>
      </c>
      <c r="G7600" t="str">
        <f t="shared" si="1364"/>
        <v>91413</v>
      </c>
      <c r="H7600">
        <v>1</v>
      </c>
      <c r="I7600">
        <v>868</v>
      </c>
      <c r="J7600">
        <v>0</v>
      </c>
      <c r="K7600" t="str">
        <f t="shared" si="1365"/>
        <v>813</v>
      </c>
      <c r="L7600">
        <v>729.12</v>
      </c>
    </row>
    <row r="7601" spans="1:12" x14ac:dyDescent="0.25">
      <c r="A7601" t="str">
        <f t="shared" si="1352"/>
        <v>89301000</v>
      </c>
      <c r="B7601" t="str">
        <f t="shared" si="1353"/>
        <v>06539000</v>
      </c>
      <c r="C7601" t="str">
        <f t="shared" si="1363"/>
        <v>06539003</v>
      </c>
      <c r="D7601">
        <v>89301171</v>
      </c>
      <c r="E7601" t="str">
        <f t="shared" si="1359"/>
        <v>8803255571</v>
      </c>
      <c r="F7601" s="1">
        <v>45083</v>
      </c>
      <c r="G7601" t="str">
        <f t="shared" si="1364"/>
        <v>91413</v>
      </c>
      <c r="H7601">
        <v>1</v>
      </c>
      <c r="I7601">
        <v>868</v>
      </c>
      <c r="J7601">
        <v>0</v>
      </c>
      <c r="K7601" t="str">
        <f t="shared" si="1365"/>
        <v>813</v>
      </c>
      <c r="L7601">
        <v>729.12</v>
      </c>
    </row>
    <row r="7602" spans="1:12" x14ac:dyDescent="0.25">
      <c r="A7602" t="str">
        <f t="shared" si="1352"/>
        <v>89301000</v>
      </c>
      <c r="B7602" t="str">
        <f t="shared" si="1353"/>
        <v>06539000</v>
      </c>
      <c r="C7602" t="str">
        <f t="shared" si="1363"/>
        <v>06539003</v>
      </c>
      <c r="D7602">
        <v>89301171</v>
      </c>
      <c r="E7602" t="str">
        <f t="shared" si="1359"/>
        <v>8803255571</v>
      </c>
      <c r="F7602" s="1">
        <v>45083</v>
      </c>
      <c r="G7602" t="str">
        <f t="shared" si="1364"/>
        <v>91413</v>
      </c>
      <c r="H7602">
        <v>1</v>
      </c>
      <c r="I7602">
        <v>868</v>
      </c>
      <c r="J7602">
        <v>0</v>
      </c>
      <c r="K7602" t="str">
        <f t="shared" si="1365"/>
        <v>813</v>
      </c>
      <c r="L7602">
        <v>729.12</v>
      </c>
    </row>
    <row r="7603" spans="1:12" x14ac:dyDescent="0.25">
      <c r="A7603" t="str">
        <f t="shared" si="1352"/>
        <v>89301000</v>
      </c>
      <c r="B7603" t="str">
        <f t="shared" si="1353"/>
        <v>06539000</v>
      </c>
      <c r="C7603" t="str">
        <f t="shared" si="1363"/>
        <v>06539003</v>
      </c>
      <c r="D7603">
        <v>89301171</v>
      </c>
      <c r="E7603" t="str">
        <f t="shared" si="1359"/>
        <v>8803255571</v>
      </c>
      <c r="F7603" s="1">
        <v>45083</v>
      </c>
      <c r="G7603" t="str">
        <f t="shared" si="1364"/>
        <v>91413</v>
      </c>
      <c r="H7603">
        <v>1</v>
      </c>
      <c r="I7603">
        <v>868</v>
      </c>
      <c r="J7603">
        <v>0</v>
      </c>
      <c r="K7603" t="str">
        <f t="shared" si="1365"/>
        <v>813</v>
      </c>
      <c r="L7603">
        <v>729.12</v>
      </c>
    </row>
    <row r="7604" spans="1:12" x14ac:dyDescent="0.25">
      <c r="A7604" t="str">
        <f t="shared" si="1352"/>
        <v>89301000</v>
      </c>
      <c r="B7604" t="str">
        <f t="shared" si="1353"/>
        <v>06539000</v>
      </c>
      <c r="C7604" t="str">
        <f t="shared" si="1363"/>
        <v>06539003</v>
      </c>
      <c r="D7604">
        <v>89301171</v>
      </c>
      <c r="E7604" t="str">
        <f t="shared" si="1359"/>
        <v>8803255571</v>
      </c>
      <c r="F7604" s="1">
        <v>45083</v>
      </c>
      <c r="G7604" t="str">
        <f t="shared" si="1364"/>
        <v>91413</v>
      </c>
      <c r="H7604">
        <v>1</v>
      </c>
      <c r="I7604">
        <v>868</v>
      </c>
      <c r="J7604">
        <v>0</v>
      </c>
      <c r="K7604" t="str">
        <f t="shared" si="1365"/>
        <v>813</v>
      </c>
      <c r="L7604">
        <v>729.12</v>
      </c>
    </row>
    <row r="7605" spans="1:12" x14ac:dyDescent="0.25">
      <c r="A7605" t="str">
        <f t="shared" si="1352"/>
        <v>89301000</v>
      </c>
      <c r="B7605" t="str">
        <f t="shared" si="1353"/>
        <v>06539000</v>
      </c>
      <c r="C7605" t="str">
        <f t="shared" si="1363"/>
        <v>06539003</v>
      </c>
      <c r="D7605">
        <v>89301171</v>
      </c>
      <c r="E7605" t="str">
        <f t="shared" si="1359"/>
        <v>8803255571</v>
      </c>
      <c r="F7605" s="1">
        <v>45065</v>
      </c>
      <c r="G7605" t="str">
        <f t="shared" ref="G7605:G7611" si="1366">"91197"</f>
        <v>91197</v>
      </c>
      <c r="H7605">
        <v>1</v>
      </c>
      <c r="I7605">
        <v>1048</v>
      </c>
      <c r="J7605">
        <v>0</v>
      </c>
      <c r="K7605" t="str">
        <f t="shared" si="1365"/>
        <v>813</v>
      </c>
      <c r="L7605">
        <v>880.32</v>
      </c>
    </row>
    <row r="7606" spans="1:12" x14ac:dyDescent="0.25">
      <c r="A7606" t="str">
        <f t="shared" si="1352"/>
        <v>89301000</v>
      </c>
      <c r="B7606" t="str">
        <f t="shared" si="1353"/>
        <v>06539000</v>
      </c>
      <c r="C7606" t="str">
        <f t="shared" si="1363"/>
        <v>06539003</v>
      </c>
      <c r="D7606">
        <v>89301171</v>
      </c>
      <c r="E7606" t="str">
        <f t="shared" si="1359"/>
        <v>8803255571</v>
      </c>
      <c r="F7606" s="1">
        <v>45068</v>
      </c>
      <c r="G7606" t="str">
        <f t="shared" si="1366"/>
        <v>91197</v>
      </c>
      <c r="H7606">
        <v>1</v>
      </c>
      <c r="I7606">
        <v>1048</v>
      </c>
      <c r="J7606">
        <v>0</v>
      </c>
      <c r="K7606" t="str">
        <f t="shared" si="1365"/>
        <v>813</v>
      </c>
      <c r="L7606">
        <v>880.32</v>
      </c>
    </row>
    <row r="7607" spans="1:12" x14ac:dyDescent="0.25">
      <c r="A7607" t="str">
        <f t="shared" si="1352"/>
        <v>89301000</v>
      </c>
      <c r="B7607" t="str">
        <f t="shared" si="1353"/>
        <v>06539000</v>
      </c>
      <c r="C7607" t="str">
        <f t="shared" si="1363"/>
        <v>06539003</v>
      </c>
      <c r="D7607">
        <v>89301171</v>
      </c>
      <c r="E7607" t="str">
        <f t="shared" si="1359"/>
        <v>8803255571</v>
      </c>
      <c r="F7607" s="1">
        <v>45068</v>
      </c>
      <c r="G7607" t="str">
        <f t="shared" si="1366"/>
        <v>91197</v>
      </c>
      <c r="H7607">
        <v>1</v>
      </c>
      <c r="I7607">
        <v>1048</v>
      </c>
      <c r="J7607">
        <v>0</v>
      </c>
      <c r="K7607" t="str">
        <f t="shared" si="1365"/>
        <v>813</v>
      </c>
      <c r="L7607">
        <v>880.32</v>
      </c>
    </row>
    <row r="7608" spans="1:12" x14ac:dyDescent="0.25">
      <c r="A7608" t="str">
        <f t="shared" si="1352"/>
        <v>89301000</v>
      </c>
      <c r="B7608" t="str">
        <f t="shared" si="1353"/>
        <v>06539000</v>
      </c>
      <c r="C7608" t="str">
        <f t="shared" si="1363"/>
        <v>06539003</v>
      </c>
      <c r="D7608">
        <v>89301171</v>
      </c>
      <c r="E7608" t="str">
        <f t="shared" si="1359"/>
        <v>8803255571</v>
      </c>
      <c r="F7608" s="1">
        <v>45067</v>
      </c>
      <c r="G7608" t="str">
        <f t="shared" si="1366"/>
        <v>91197</v>
      </c>
      <c r="H7608">
        <v>1</v>
      </c>
      <c r="I7608">
        <v>1048</v>
      </c>
      <c r="J7608">
        <v>0</v>
      </c>
      <c r="K7608" t="str">
        <f t="shared" si="1365"/>
        <v>813</v>
      </c>
      <c r="L7608">
        <v>880.32</v>
      </c>
    </row>
    <row r="7609" spans="1:12" x14ac:dyDescent="0.25">
      <c r="A7609" t="str">
        <f t="shared" si="1352"/>
        <v>89301000</v>
      </c>
      <c r="B7609" t="str">
        <f t="shared" si="1353"/>
        <v>06539000</v>
      </c>
      <c r="C7609" t="str">
        <f t="shared" si="1363"/>
        <v>06539003</v>
      </c>
      <c r="D7609">
        <v>89301171</v>
      </c>
      <c r="E7609" t="str">
        <f t="shared" si="1359"/>
        <v>8803255571</v>
      </c>
      <c r="F7609" s="1">
        <v>45067</v>
      </c>
      <c r="G7609" t="str">
        <f t="shared" si="1366"/>
        <v>91197</v>
      </c>
      <c r="H7609">
        <v>1</v>
      </c>
      <c r="I7609">
        <v>1048</v>
      </c>
      <c r="J7609">
        <v>0</v>
      </c>
      <c r="K7609" t="str">
        <f t="shared" si="1365"/>
        <v>813</v>
      </c>
      <c r="L7609">
        <v>880.32</v>
      </c>
    </row>
    <row r="7610" spans="1:12" x14ac:dyDescent="0.25">
      <c r="A7610" t="str">
        <f t="shared" si="1352"/>
        <v>89301000</v>
      </c>
      <c r="B7610" t="str">
        <f t="shared" si="1353"/>
        <v>06539000</v>
      </c>
      <c r="C7610" t="str">
        <f t="shared" si="1363"/>
        <v>06539003</v>
      </c>
      <c r="D7610">
        <v>89301171</v>
      </c>
      <c r="E7610" t="str">
        <f t="shared" si="1359"/>
        <v>8803255571</v>
      </c>
      <c r="F7610" s="1">
        <v>45066</v>
      </c>
      <c r="G7610" t="str">
        <f t="shared" si="1366"/>
        <v>91197</v>
      </c>
      <c r="H7610">
        <v>1</v>
      </c>
      <c r="I7610">
        <v>1048</v>
      </c>
      <c r="J7610">
        <v>0</v>
      </c>
      <c r="K7610" t="str">
        <f t="shared" si="1365"/>
        <v>813</v>
      </c>
      <c r="L7610">
        <v>880.32</v>
      </c>
    </row>
    <row r="7611" spans="1:12" x14ac:dyDescent="0.25">
      <c r="A7611" t="str">
        <f t="shared" si="1352"/>
        <v>89301000</v>
      </c>
      <c r="B7611" t="str">
        <f t="shared" si="1353"/>
        <v>06539000</v>
      </c>
      <c r="C7611" t="str">
        <f t="shared" si="1363"/>
        <v>06539003</v>
      </c>
      <c r="D7611">
        <v>89301171</v>
      </c>
      <c r="E7611" t="str">
        <f t="shared" si="1359"/>
        <v>8803255571</v>
      </c>
      <c r="F7611" s="1">
        <v>45066</v>
      </c>
      <c r="G7611" t="str">
        <f t="shared" si="1366"/>
        <v>91197</v>
      </c>
      <c r="H7611">
        <v>1</v>
      </c>
      <c r="I7611">
        <v>1048</v>
      </c>
      <c r="J7611">
        <v>0</v>
      </c>
      <c r="K7611" t="str">
        <f t="shared" si="1365"/>
        <v>813</v>
      </c>
      <c r="L7611">
        <v>880.32</v>
      </c>
    </row>
    <row r="7612" spans="1:12" x14ac:dyDescent="0.25">
      <c r="A7612" t="str">
        <f t="shared" si="1352"/>
        <v>89301000</v>
      </c>
      <c r="B7612" t="str">
        <f t="shared" si="1353"/>
        <v>06539000</v>
      </c>
      <c r="C7612" t="str">
        <f t="shared" si="1363"/>
        <v>06539003</v>
      </c>
      <c r="D7612">
        <v>89301171</v>
      </c>
      <c r="E7612" t="str">
        <f t="shared" si="1359"/>
        <v>8803255571</v>
      </c>
      <c r="F7612" s="1">
        <v>45083</v>
      </c>
      <c r="G7612" t="str">
        <f>"91329"</f>
        <v>91329</v>
      </c>
      <c r="H7612">
        <v>2</v>
      </c>
      <c r="I7612">
        <v>436</v>
      </c>
      <c r="J7612">
        <v>0</v>
      </c>
      <c r="K7612" t="str">
        <f t="shared" si="1365"/>
        <v>813</v>
      </c>
      <c r="L7612">
        <v>366.24</v>
      </c>
    </row>
    <row r="7613" spans="1:12" x14ac:dyDescent="0.25">
      <c r="A7613" t="str">
        <f t="shared" si="1352"/>
        <v>89301000</v>
      </c>
      <c r="B7613" t="str">
        <f t="shared" si="1353"/>
        <v>06539000</v>
      </c>
      <c r="C7613" t="str">
        <f t="shared" si="1363"/>
        <v>06539003</v>
      </c>
      <c r="D7613">
        <v>89301171</v>
      </c>
      <c r="E7613" t="str">
        <f t="shared" si="1359"/>
        <v>8803255571</v>
      </c>
      <c r="F7613" s="1">
        <v>45068</v>
      </c>
      <c r="G7613" t="str">
        <f>"91329"</f>
        <v>91329</v>
      </c>
      <c r="H7613">
        <v>2</v>
      </c>
      <c r="I7613">
        <v>436</v>
      </c>
      <c r="J7613">
        <v>0</v>
      </c>
      <c r="K7613" t="str">
        <f t="shared" si="1365"/>
        <v>813</v>
      </c>
      <c r="L7613">
        <v>366.24</v>
      </c>
    </row>
    <row r="7614" spans="1:12" x14ac:dyDescent="0.25">
      <c r="A7614" t="str">
        <f t="shared" si="1352"/>
        <v>89301000</v>
      </c>
      <c r="B7614" t="str">
        <f t="shared" si="1353"/>
        <v>06539000</v>
      </c>
      <c r="C7614" t="str">
        <f t="shared" si="1363"/>
        <v>06539003</v>
      </c>
      <c r="D7614">
        <v>89301171</v>
      </c>
      <c r="E7614" t="str">
        <f t="shared" si="1359"/>
        <v>8803255571</v>
      </c>
      <c r="F7614" s="1">
        <v>45068</v>
      </c>
      <c r="G7614" t="str">
        <f>"91329"</f>
        <v>91329</v>
      </c>
      <c r="H7614">
        <v>2</v>
      </c>
      <c r="I7614">
        <v>436</v>
      </c>
      <c r="J7614">
        <v>0</v>
      </c>
      <c r="K7614" t="str">
        <f t="shared" si="1365"/>
        <v>813</v>
      </c>
      <c r="L7614">
        <v>366.24</v>
      </c>
    </row>
    <row r="7615" spans="1:12" x14ac:dyDescent="0.25">
      <c r="A7615" t="str">
        <f t="shared" si="1352"/>
        <v>89301000</v>
      </c>
      <c r="B7615" t="str">
        <f t="shared" si="1353"/>
        <v>06539000</v>
      </c>
      <c r="C7615" t="str">
        <f t="shared" si="1363"/>
        <v>06539003</v>
      </c>
      <c r="D7615">
        <v>89301171</v>
      </c>
      <c r="E7615" t="str">
        <f t="shared" si="1359"/>
        <v>8803255571</v>
      </c>
      <c r="F7615" s="1">
        <v>45068</v>
      </c>
      <c r="G7615" t="str">
        <f>"91329"</f>
        <v>91329</v>
      </c>
      <c r="H7615">
        <v>2</v>
      </c>
      <c r="I7615">
        <v>436</v>
      </c>
      <c r="J7615">
        <v>0</v>
      </c>
      <c r="K7615" t="str">
        <f t="shared" si="1365"/>
        <v>813</v>
      </c>
      <c r="L7615">
        <v>366.24</v>
      </c>
    </row>
    <row r="7616" spans="1:12" x14ac:dyDescent="0.25">
      <c r="A7616" t="str">
        <f t="shared" si="1352"/>
        <v>89301000</v>
      </c>
      <c r="B7616" t="str">
        <f t="shared" si="1353"/>
        <v>06539000</v>
      </c>
      <c r="C7616" t="str">
        <f t="shared" si="1363"/>
        <v>06539003</v>
      </c>
      <c r="D7616">
        <v>89301171</v>
      </c>
      <c r="E7616" t="str">
        <f t="shared" si="1359"/>
        <v>8803255571</v>
      </c>
      <c r="F7616" s="1">
        <v>45068</v>
      </c>
      <c r="G7616" t="str">
        <f>"91129"</f>
        <v>91129</v>
      </c>
      <c r="H7616">
        <v>1</v>
      </c>
      <c r="I7616">
        <v>175</v>
      </c>
      <c r="J7616">
        <v>0</v>
      </c>
      <c r="K7616" t="str">
        <f t="shared" si="1365"/>
        <v>813</v>
      </c>
      <c r="L7616">
        <v>147</v>
      </c>
    </row>
    <row r="7617" spans="1:12" x14ac:dyDescent="0.25">
      <c r="A7617" t="str">
        <f t="shared" si="1352"/>
        <v>89301000</v>
      </c>
      <c r="B7617" t="str">
        <f t="shared" si="1353"/>
        <v>06539000</v>
      </c>
      <c r="C7617" t="str">
        <f t="shared" si="1363"/>
        <v>06539003</v>
      </c>
      <c r="D7617">
        <v>89301171</v>
      </c>
      <c r="E7617" t="str">
        <f t="shared" si="1359"/>
        <v>8803255571</v>
      </c>
      <c r="F7617" s="1">
        <v>45068</v>
      </c>
      <c r="G7617" t="str">
        <f>"91131"</f>
        <v>91131</v>
      </c>
      <c r="H7617">
        <v>1</v>
      </c>
      <c r="I7617">
        <v>171</v>
      </c>
      <c r="J7617">
        <v>0</v>
      </c>
      <c r="K7617" t="str">
        <f t="shared" si="1365"/>
        <v>813</v>
      </c>
      <c r="L7617">
        <v>143.63999999999999</v>
      </c>
    </row>
    <row r="7618" spans="1:12" x14ac:dyDescent="0.25">
      <c r="A7618" t="str">
        <f t="shared" ref="A7618:A7681" si="1367">"89301000"</f>
        <v>89301000</v>
      </c>
      <c r="B7618" t="str">
        <f t="shared" si="1353"/>
        <v>06539000</v>
      </c>
      <c r="C7618" t="str">
        <f t="shared" si="1363"/>
        <v>06539003</v>
      </c>
      <c r="D7618">
        <v>89301171</v>
      </c>
      <c r="E7618" t="str">
        <f t="shared" si="1359"/>
        <v>8803255571</v>
      </c>
      <c r="F7618" s="1">
        <v>45068</v>
      </c>
      <c r="G7618" t="str">
        <f>"91133"</f>
        <v>91133</v>
      </c>
      <c r="H7618">
        <v>1</v>
      </c>
      <c r="I7618">
        <v>177</v>
      </c>
      <c r="J7618">
        <v>0</v>
      </c>
      <c r="K7618" t="str">
        <f t="shared" si="1365"/>
        <v>813</v>
      </c>
      <c r="L7618">
        <v>148.68</v>
      </c>
    </row>
    <row r="7619" spans="1:12" x14ac:dyDescent="0.25">
      <c r="A7619" t="str">
        <f t="shared" si="1367"/>
        <v>89301000</v>
      </c>
      <c r="B7619" t="str">
        <f t="shared" si="1353"/>
        <v>06539000</v>
      </c>
      <c r="C7619" t="str">
        <f t="shared" si="1363"/>
        <v>06539003</v>
      </c>
      <c r="D7619">
        <v>89301171</v>
      </c>
      <c r="E7619" t="str">
        <f t="shared" si="1359"/>
        <v>8803255571</v>
      </c>
      <c r="F7619" s="1">
        <v>45068</v>
      </c>
      <c r="G7619" t="str">
        <f>"91171"</f>
        <v>91171</v>
      </c>
      <c r="H7619">
        <v>1</v>
      </c>
      <c r="I7619">
        <v>362</v>
      </c>
      <c r="J7619">
        <v>0</v>
      </c>
      <c r="K7619" t="str">
        <f t="shared" si="1365"/>
        <v>813</v>
      </c>
      <c r="L7619">
        <v>304.08</v>
      </c>
    </row>
    <row r="7620" spans="1:12" x14ac:dyDescent="0.25">
      <c r="A7620" t="str">
        <f t="shared" si="1367"/>
        <v>89301000</v>
      </c>
      <c r="B7620" t="str">
        <f t="shared" si="1353"/>
        <v>06539000</v>
      </c>
      <c r="C7620" t="str">
        <f t="shared" si="1363"/>
        <v>06539003</v>
      </c>
      <c r="D7620">
        <v>89301171</v>
      </c>
      <c r="E7620" t="str">
        <f t="shared" si="1359"/>
        <v>8803255571</v>
      </c>
      <c r="F7620" s="1">
        <v>45065</v>
      </c>
      <c r="G7620" t="str">
        <f>"91173"</f>
        <v>91173</v>
      </c>
      <c r="H7620">
        <v>1</v>
      </c>
      <c r="I7620">
        <v>337</v>
      </c>
      <c r="J7620">
        <v>0</v>
      </c>
      <c r="K7620" t="str">
        <f t="shared" si="1365"/>
        <v>813</v>
      </c>
      <c r="L7620">
        <v>283.08</v>
      </c>
    </row>
    <row r="7621" spans="1:12" x14ac:dyDescent="0.25">
      <c r="A7621" t="str">
        <f t="shared" si="1367"/>
        <v>89301000</v>
      </c>
      <c r="B7621" t="str">
        <f t="shared" ref="B7621:B7684" si="1368">"06539000"</f>
        <v>06539000</v>
      </c>
      <c r="C7621" t="str">
        <f t="shared" si="1363"/>
        <v>06539003</v>
      </c>
      <c r="D7621">
        <v>89301171</v>
      </c>
      <c r="E7621" t="str">
        <f t="shared" si="1359"/>
        <v>8803255571</v>
      </c>
      <c r="F7621" s="1">
        <v>45068</v>
      </c>
      <c r="G7621" t="str">
        <f>"91175"</f>
        <v>91175</v>
      </c>
      <c r="H7621">
        <v>1</v>
      </c>
      <c r="I7621">
        <v>362</v>
      </c>
      <c r="J7621">
        <v>0</v>
      </c>
      <c r="K7621" t="str">
        <f t="shared" si="1365"/>
        <v>813</v>
      </c>
      <c r="L7621">
        <v>304.08</v>
      </c>
    </row>
    <row r="7622" spans="1:12" x14ac:dyDescent="0.25">
      <c r="A7622" t="str">
        <f t="shared" si="1367"/>
        <v>89301000</v>
      </c>
      <c r="B7622" t="str">
        <f t="shared" si="1368"/>
        <v>06539000</v>
      </c>
      <c r="C7622" t="str">
        <f t="shared" si="1363"/>
        <v>06539003</v>
      </c>
      <c r="D7622">
        <v>89301171</v>
      </c>
      <c r="E7622" t="str">
        <f t="shared" si="1359"/>
        <v>8803255571</v>
      </c>
      <c r="F7622" s="1">
        <v>45066</v>
      </c>
      <c r="G7622" t="str">
        <f>"91167"</f>
        <v>91167</v>
      </c>
      <c r="H7622">
        <v>1</v>
      </c>
      <c r="I7622">
        <v>426</v>
      </c>
      <c r="J7622">
        <v>0</v>
      </c>
      <c r="K7622" t="str">
        <f t="shared" si="1365"/>
        <v>813</v>
      </c>
      <c r="L7622">
        <v>357.84</v>
      </c>
    </row>
    <row r="7623" spans="1:12" x14ac:dyDescent="0.25">
      <c r="A7623" t="str">
        <f t="shared" si="1367"/>
        <v>89301000</v>
      </c>
      <c r="B7623" t="str">
        <f t="shared" si="1368"/>
        <v>06539000</v>
      </c>
      <c r="C7623" t="str">
        <f t="shared" si="1363"/>
        <v>06539003</v>
      </c>
      <c r="D7623">
        <v>89301171</v>
      </c>
      <c r="E7623" t="str">
        <f t="shared" si="1359"/>
        <v>8803255571</v>
      </c>
      <c r="F7623" s="1">
        <v>45066</v>
      </c>
      <c r="G7623" t="str">
        <f>"91169"</f>
        <v>91169</v>
      </c>
      <c r="H7623">
        <v>1</v>
      </c>
      <c r="I7623">
        <v>426</v>
      </c>
      <c r="J7623">
        <v>0</v>
      </c>
      <c r="K7623" t="str">
        <f t="shared" si="1365"/>
        <v>813</v>
      </c>
      <c r="L7623">
        <v>357.84</v>
      </c>
    </row>
    <row r="7624" spans="1:12" x14ac:dyDescent="0.25">
      <c r="A7624" t="str">
        <f t="shared" si="1367"/>
        <v>89301000</v>
      </c>
      <c r="B7624" t="str">
        <f t="shared" si="1368"/>
        <v>06539000</v>
      </c>
      <c r="C7624" t="str">
        <f t="shared" si="1363"/>
        <v>06539003</v>
      </c>
      <c r="D7624">
        <v>89301171</v>
      </c>
      <c r="E7624" t="str">
        <f t="shared" si="1359"/>
        <v>8803255571</v>
      </c>
      <c r="F7624" s="1">
        <v>45065</v>
      </c>
      <c r="G7624" t="str">
        <f>"91167"</f>
        <v>91167</v>
      </c>
      <c r="H7624">
        <v>1</v>
      </c>
      <c r="I7624">
        <v>426</v>
      </c>
      <c r="J7624">
        <v>0</v>
      </c>
      <c r="K7624" t="str">
        <f t="shared" si="1365"/>
        <v>813</v>
      </c>
      <c r="L7624">
        <v>357.84</v>
      </c>
    </row>
    <row r="7625" spans="1:12" x14ac:dyDescent="0.25">
      <c r="A7625" t="str">
        <f t="shared" si="1367"/>
        <v>89301000</v>
      </c>
      <c r="B7625" t="str">
        <f t="shared" si="1368"/>
        <v>06539000</v>
      </c>
      <c r="C7625" t="str">
        <f t="shared" si="1363"/>
        <v>06539003</v>
      </c>
      <c r="D7625">
        <v>89301171</v>
      </c>
      <c r="E7625" t="str">
        <f t="shared" si="1359"/>
        <v>8803255571</v>
      </c>
      <c r="F7625" s="1">
        <v>45065</v>
      </c>
      <c r="G7625" t="str">
        <f>"91169"</f>
        <v>91169</v>
      </c>
      <c r="H7625">
        <v>1</v>
      </c>
      <c r="I7625">
        <v>426</v>
      </c>
      <c r="J7625">
        <v>0</v>
      </c>
      <c r="K7625" t="str">
        <f t="shared" si="1365"/>
        <v>813</v>
      </c>
      <c r="L7625">
        <v>357.84</v>
      </c>
    </row>
    <row r="7626" spans="1:12" x14ac:dyDescent="0.25">
      <c r="A7626" t="str">
        <f t="shared" si="1367"/>
        <v>89301000</v>
      </c>
      <c r="B7626" t="str">
        <f t="shared" si="1368"/>
        <v>06539000</v>
      </c>
      <c r="C7626" t="str">
        <f t="shared" si="1363"/>
        <v>06539003</v>
      </c>
      <c r="D7626">
        <v>89301171</v>
      </c>
      <c r="E7626" t="str">
        <f t="shared" si="1359"/>
        <v>8803255571</v>
      </c>
      <c r="F7626" s="1">
        <v>45070</v>
      </c>
      <c r="G7626" t="str">
        <f>"91475"</f>
        <v>91475</v>
      </c>
      <c r="H7626">
        <v>1</v>
      </c>
      <c r="I7626">
        <v>213</v>
      </c>
      <c r="J7626">
        <v>0</v>
      </c>
      <c r="K7626" t="str">
        <f t="shared" si="1365"/>
        <v>813</v>
      </c>
      <c r="L7626">
        <v>178.92</v>
      </c>
    </row>
    <row r="7627" spans="1:12" x14ac:dyDescent="0.25">
      <c r="A7627" t="str">
        <f t="shared" si="1367"/>
        <v>89301000</v>
      </c>
      <c r="B7627" t="str">
        <f t="shared" si="1368"/>
        <v>06539000</v>
      </c>
      <c r="C7627" t="str">
        <f t="shared" ref="C7627:C7658" si="1369">"06539003"</f>
        <v>06539003</v>
      </c>
      <c r="D7627">
        <v>89301171</v>
      </c>
      <c r="E7627" t="str">
        <f t="shared" ref="E7627:E7654" si="1370">"9560196162"</f>
        <v>9560196162</v>
      </c>
      <c r="F7627" s="1">
        <v>45070</v>
      </c>
      <c r="G7627" t="str">
        <f t="shared" ref="G7627:G7636" si="1371">"91413"</f>
        <v>91413</v>
      </c>
      <c r="H7627">
        <v>1</v>
      </c>
      <c r="I7627">
        <v>868</v>
      </c>
      <c r="J7627">
        <v>0</v>
      </c>
      <c r="K7627" t="str">
        <f t="shared" ref="K7627:K7658" si="1372">"813"</f>
        <v>813</v>
      </c>
      <c r="L7627">
        <v>729.12</v>
      </c>
    </row>
    <row r="7628" spans="1:12" x14ac:dyDescent="0.25">
      <c r="A7628" t="str">
        <f t="shared" si="1367"/>
        <v>89301000</v>
      </c>
      <c r="B7628" t="str">
        <f t="shared" si="1368"/>
        <v>06539000</v>
      </c>
      <c r="C7628" t="str">
        <f t="shared" si="1369"/>
        <v>06539003</v>
      </c>
      <c r="D7628">
        <v>89301171</v>
      </c>
      <c r="E7628" t="str">
        <f t="shared" si="1370"/>
        <v>9560196162</v>
      </c>
      <c r="F7628" s="1">
        <v>45070</v>
      </c>
      <c r="G7628" t="str">
        <f t="shared" si="1371"/>
        <v>91413</v>
      </c>
      <c r="H7628">
        <v>1</v>
      </c>
      <c r="I7628">
        <v>868</v>
      </c>
      <c r="J7628">
        <v>0</v>
      </c>
      <c r="K7628" t="str">
        <f t="shared" si="1372"/>
        <v>813</v>
      </c>
      <c r="L7628">
        <v>729.12</v>
      </c>
    </row>
    <row r="7629" spans="1:12" x14ac:dyDescent="0.25">
      <c r="A7629" t="str">
        <f t="shared" si="1367"/>
        <v>89301000</v>
      </c>
      <c r="B7629" t="str">
        <f t="shared" si="1368"/>
        <v>06539000</v>
      </c>
      <c r="C7629" t="str">
        <f t="shared" si="1369"/>
        <v>06539003</v>
      </c>
      <c r="D7629">
        <v>89301171</v>
      </c>
      <c r="E7629" t="str">
        <f t="shared" si="1370"/>
        <v>9560196162</v>
      </c>
      <c r="F7629" s="1">
        <v>45083</v>
      </c>
      <c r="G7629" t="str">
        <f t="shared" si="1371"/>
        <v>91413</v>
      </c>
      <c r="H7629">
        <v>1</v>
      </c>
      <c r="I7629">
        <v>868</v>
      </c>
      <c r="J7629">
        <v>0</v>
      </c>
      <c r="K7629" t="str">
        <f t="shared" si="1372"/>
        <v>813</v>
      </c>
      <c r="L7629">
        <v>729.12</v>
      </c>
    </row>
    <row r="7630" spans="1:12" x14ac:dyDescent="0.25">
      <c r="A7630" t="str">
        <f t="shared" si="1367"/>
        <v>89301000</v>
      </c>
      <c r="B7630" t="str">
        <f t="shared" si="1368"/>
        <v>06539000</v>
      </c>
      <c r="C7630" t="str">
        <f t="shared" si="1369"/>
        <v>06539003</v>
      </c>
      <c r="D7630">
        <v>89301171</v>
      </c>
      <c r="E7630" t="str">
        <f t="shared" si="1370"/>
        <v>9560196162</v>
      </c>
      <c r="F7630" s="1">
        <v>45083</v>
      </c>
      <c r="G7630" t="str">
        <f t="shared" si="1371"/>
        <v>91413</v>
      </c>
      <c r="H7630">
        <v>1</v>
      </c>
      <c r="I7630">
        <v>868</v>
      </c>
      <c r="J7630">
        <v>0</v>
      </c>
      <c r="K7630" t="str">
        <f t="shared" si="1372"/>
        <v>813</v>
      </c>
      <c r="L7630">
        <v>729.12</v>
      </c>
    </row>
    <row r="7631" spans="1:12" x14ac:dyDescent="0.25">
      <c r="A7631" t="str">
        <f t="shared" si="1367"/>
        <v>89301000</v>
      </c>
      <c r="B7631" t="str">
        <f t="shared" si="1368"/>
        <v>06539000</v>
      </c>
      <c r="C7631" t="str">
        <f t="shared" si="1369"/>
        <v>06539003</v>
      </c>
      <c r="D7631">
        <v>89301171</v>
      </c>
      <c r="E7631" t="str">
        <f t="shared" si="1370"/>
        <v>9560196162</v>
      </c>
      <c r="F7631" s="1">
        <v>45086</v>
      </c>
      <c r="G7631" t="str">
        <f t="shared" si="1371"/>
        <v>91413</v>
      </c>
      <c r="H7631">
        <v>1</v>
      </c>
      <c r="I7631">
        <v>868</v>
      </c>
      <c r="J7631">
        <v>0</v>
      </c>
      <c r="K7631" t="str">
        <f t="shared" si="1372"/>
        <v>813</v>
      </c>
      <c r="L7631">
        <v>729.12</v>
      </c>
    </row>
    <row r="7632" spans="1:12" x14ac:dyDescent="0.25">
      <c r="A7632" t="str">
        <f t="shared" si="1367"/>
        <v>89301000</v>
      </c>
      <c r="B7632" t="str">
        <f t="shared" si="1368"/>
        <v>06539000</v>
      </c>
      <c r="C7632" t="str">
        <f t="shared" si="1369"/>
        <v>06539003</v>
      </c>
      <c r="D7632">
        <v>89301171</v>
      </c>
      <c r="E7632" t="str">
        <f t="shared" si="1370"/>
        <v>9560196162</v>
      </c>
      <c r="F7632" s="1">
        <v>45086</v>
      </c>
      <c r="G7632" t="str">
        <f t="shared" si="1371"/>
        <v>91413</v>
      </c>
      <c r="H7632">
        <v>1</v>
      </c>
      <c r="I7632">
        <v>868</v>
      </c>
      <c r="J7632">
        <v>0</v>
      </c>
      <c r="K7632" t="str">
        <f t="shared" si="1372"/>
        <v>813</v>
      </c>
      <c r="L7632">
        <v>729.12</v>
      </c>
    </row>
    <row r="7633" spans="1:12" x14ac:dyDescent="0.25">
      <c r="A7633" t="str">
        <f t="shared" si="1367"/>
        <v>89301000</v>
      </c>
      <c r="B7633" t="str">
        <f t="shared" si="1368"/>
        <v>06539000</v>
      </c>
      <c r="C7633" t="str">
        <f t="shared" si="1369"/>
        <v>06539003</v>
      </c>
      <c r="D7633">
        <v>89301171</v>
      </c>
      <c r="E7633" t="str">
        <f t="shared" si="1370"/>
        <v>9560196162</v>
      </c>
      <c r="F7633" s="1">
        <v>45083</v>
      </c>
      <c r="G7633" t="str">
        <f t="shared" si="1371"/>
        <v>91413</v>
      </c>
      <c r="H7633">
        <v>1</v>
      </c>
      <c r="I7633">
        <v>868</v>
      </c>
      <c r="J7633">
        <v>0</v>
      </c>
      <c r="K7633" t="str">
        <f t="shared" si="1372"/>
        <v>813</v>
      </c>
      <c r="L7633">
        <v>729.12</v>
      </c>
    </row>
    <row r="7634" spans="1:12" x14ac:dyDescent="0.25">
      <c r="A7634" t="str">
        <f t="shared" si="1367"/>
        <v>89301000</v>
      </c>
      <c r="B7634" t="str">
        <f t="shared" si="1368"/>
        <v>06539000</v>
      </c>
      <c r="C7634" t="str">
        <f t="shared" si="1369"/>
        <v>06539003</v>
      </c>
      <c r="D7634">
        <v>89301171</v>
      </c>
      <c r="E7634" t="str">
        <f t="shared" si="1370"/>
        <v>9560196162</v>
      </c>
      <c r="F7634" s="1">
        <v>45083</v>
      </c>
      <c r="G7634" t="str">
        <f t="shared" si="1371"/>
        <v>91413</v>
      </c>
      <c r="H7634">
        <v>1</v>
      </c>
      <c r="I7634">
        <v>868</v>
      </c>
      <c r="J7634">
        <v>0</v>
      </c>
      <c r="K7634" t="str">
        <f t="shared" si="1372"/>
        <v>813</v>
      </c>
      <c r="L7634">
        <v>729.12</v>
      </c>
    </row>
    <row r="7635" spans="1:12" x14ac:dyDescent="0.25">
      <c r="A7635" t="str">
        <f t="shared" si="1367"/>
        <v>89301000</v>
      </c>
      <c r="B7635" t="str">
        <f t="shared" si="1368"/>
        <v>06539000</v>
      </c>
      <c r="C7635" t="str">
        <f t="shared" si="1369"/>
        <v>06539003</v>
      </c>
      <c r="D7635">
        <v>89301171</v>
      </c>
      <c r="E7635" t="str">
        <f t="shared" si="1370"/>
        <v>9560196162</v>
      </c>
      <c r="F7635" s="1">
        <v>45083</v>
      </c>
      <c r="G7635" t="str">
        <f t="shared" si="1371"/>
        <v>91413</v>
      </c>
      <c r="H7635">
        <v>1</v>
      </c>
      <c r="I7635">
        <v>868</v>
      </c>
      <c r="J7635">
        <v>0</v>
      </c>
      <c r="K7635" t="str">
        <f t="shared" si="1372"/>
        <v>813</v>
      </c>
      <c r="L7635">
        <v>729.12</v>
      </c>
    </row>
    <row r="7636" spans="1:12" x14ac:dyDescent="0.25">
      <c r="A7636" t="str">
        <f t="shared" si="1367"/>
        <v>89301000</v>
      </c>
      <c r="B7636" t="str">
        <f t="shared" si="1368"/>
        <v>06539000</v>
      </c>
      <c r="C7636" t="str">
        <f t="shared" si="1369"/>
        <v>06539003</v>
      </c>
      <c r="D7636">
        <v>89301171</v>
      </c>
      <c r="E7636" t="str">
        <f t="shared" si="1370"/>
        <v>9560196162</v>
      </c>
      <c r="F7636" s="1">
        <v>45083</v>
      </c>
      <c r="G7636" t="str">
        <f t="shared" si="1371"/>
        <v>91413</v>
      </c>
      <c r="H7636">
        <v>1</v>
      </c>
      <c r="I7636">
        <v>868</v>
      </c>
      <c r="J7636">
        <v>0</v>
      </c>
      <c r="K7636" t="str">
        <f t="shared" si="1372"/>
        <v>813</v>
      </c>
      <c r="L7636">
        <v>729.12</v>
      </c>
    </row>
    <row r="7637" spans="1:12" x14ac:dyDescent="0.25">
      <c r="A7637" t="str">
        <f t="shared" si="1367"/>
        <v>89301000</v>
      </c>
      <c r="B7637" t="str">
        <f t="shared" si="1368"/>
        <v>06539000</v>
      </c>
      <c r="C7637" t="str">
        <f t="shared" si="1369"/>
        <v>06539003</v>
      </c>
      <c r="D7637">
        <v>89301171</v>
      </c>
      <c r="E7637" t="str">
        <f t="shared" si="1370"/>
        <v>9560196162</v>
      </c>
      <c r="F7637" s="1">
        <v>45068</v>
      </c>
      <c r="G7637" t="str">
        <f t="shared" ref="G7637:G7642" si="1373">"91197"</f>
        <v>91197</v>
      </c>
      <c r="H7637">
        <v>1</v>
      </c>
      <c r="I7637">
        <v>1048</v>
      </c>
      <c r="J7637">
        <v>0</v>
      </c>
      <c r="K7637" t="str">
        <f t="shared" si="1372"/>
        <v>813</v>
      </c>
      <c r="L7637">
        <v>880.32</v>
      </c>
    </row>
    <row r="7638" spans="1:12" x14ac:dyDescent="0.25">
      <c r="A7638" t="str">
        <f t="shared" si="1367"/>
        <v>89301000</v>
      </c>
      <c r="B7638" t="str">
        <f t="shared" si="1368"/>
        <v>06539000</v>
      </c>
      <c r="C7638" t="str">
        <f t="shared" si="1369"/>
        <v>06539003</v>
      </c>
      <c r="D7638">
        <v>89301171</v>
      </c>
      <c r="E7638" t="str">
        <f t="shared" si="1370"/>
        <v>9560196162</v>
      </c>
      <c r="F7638" s="1">
        <v>45068</v>
      </c>
      <c r="G7638" t="str">
        <f t="shared" si="1373"/>
        <v>91197</v>
      </c>
      <c r="H7638">
        <v>1</v>
      </c>
      <c r="I7638">
        <v>1048</v>
      </c>
      <c r="J7638">
        <v>0</v>
      </c>
      <c r="K7638" t="str">
        <f t="shared" si="1372"/>
        <v>813</v>
      </c>
      <c r="L7638">
        <v>880.32</v>
      </c>
    </row>
    <row r="7639" spans="1:12" x14ac:dyDescent="0.25">
      <c r="A7639" t="str">
        <f t="shared" si="1367"/>
        <v>89301000</v>
      </c>
      <c r="B7639" t="str">
        <f t="shared" si="1368"/>
        <v>06539000</v>
      </c>
      <c r="C7639" t="str">
        <f t="shared" si="1369"/>
        <v>06539003</v>
      </c>
      <c r="D7639">
        <v>89301171</v>
      </c>
      <c r="E7639" t="str">
        <f t="shared" si="1370"/>
        <v>9560196162</v>
      </c>
      <c r="F7639" s="1">
        <v>45067</v>
      </c>
      <c r="G7639" t="str">
        <f t="shared" si="1373"/>
        <v>91197</v>
      </c>
      <c r="H7639">
        <v>1</v>
      </c>
      <c r="I7639">
        <v>1048</v>
      </c>
      <c r="J7639">
        <v>0</v>
      </c>
      <c r="K7639" t="str">
        <f t="shared" si="1372"/>
        <v>813</v>
      </c>
      <c r="L7639">
        <v>880.32</v>
      </c>
    </row>
    <row r="7640" spans="1:12" x14ac:dyDescent="0.25">
      <c r="A7640" t="str">
        <f t="shared" si="1367"/>
        <v>89301000</v>
      </c>
      <c r="B7640" t="str">
        <f t="shared" si="1368"/>
        <v>06539000</v>
      </c>
      <c r="C7640" t="str">
        <f t="shared" si="1369"/>
        <v>06539003</v>
      </c>
      <c r="D7640">
        <v>89301171</v>
      </c>
      <c r="E7640" t="str">
        <f t="shared" si="1370"/>
        <v>9560196162</v>
      </c>
      <c r="F7640" s="1">
        <v>45067</v>
      </c>
      <c r="G7640" t="str">
        <f t="shared" si="1373"/>
        <v>91197</v>
      </c>
      <c r="H7640">
        <v>1</v>
      </c>
      <c r="I7640">
        <v>1048</v>
      </c>
      <c r="J7640">
        <v>0</v>
      </c>
      <c r="K7640" t="str">
        <f t="shared" si="1372"/>
        <v>813</v>
      </c>
      <c r="L7640">
        <v>880.32</v>
      </c>
    </row>
    <row r="7641" spans="1:12" x14ac:dyDescent="0.25">
      <c r="A7641" t="str">
        <f t="shared" si="1367"/>
        <v>89301000</v>
      </c>
      <c r="B7641" t="str">
        <f t="shared" si="1368"/>
        <v>06539000</v>
      </c>
      <c r="C7641" t="str">
        <f t="shared" si="1369"/>
        <v>06539003</v>
      </c>
      <c r="D7641">
        <v>89301171</v>
      </c>
      <c r="E7641" t="str">
        <f t="shared" si="1370"/>
        <v>9560196162</v>
      </c>
      <c r="F7641" s="1">
        <v>45066</v>
      </c>
      <c r="G7641" t="str">
        <f t="shared" si="1373"/>
        <v>91197</v>
      </c>
      <c r="H7641">
        <v>1</v>
      </c>
      <c r="I7641">
        <v>1048</v>
      </c>
      <c r="J7641">
        <v>0</v>
      </c>
      <c r="K7641" t="str">
        <f t="shared" si="1372"/>
        <v>813</v>
      </c>
      <c r="L7641">
        <v>880.32</v>
      </c>
    </row>
    <row r="7642" spans="1:12" x14ac:dyDescent="0.25">
      <c r="A7642" t="str">
        <f t="shared" si="1367"/>
        <v>89301000</v>
      </c>
      <c r="B7642" t="str">
        <f t="shared" si="1368"/>
        <v>06539000</v>
      </c>
      <c r="C7642" t="str">
        <f t="shared" si="1369"/>
        <v>06539003</v>
      </c>
      <c r="D7642">
        <v>89301171</v>
      </c>
      <c r="E7642" t="str">
        <f t="shared" si="1370"/>
        <v>9560196162</v>
      </c>
      <c r="F7642" s="1">
        <v>45066</v>
      </c>
      <c r="G7642" t="str">
        <f t="shared" si="1373"/>
        <v>91197</v>
      </c>
      <c r="H7642">
        <v>1</v>
      </c>
      <c r="I7642">
        <v>1048</v>
      </c>
      <c r="J7642">
        <v>0</v>
      </c>
      <c r="K7642" t="str">
        <f t="shared" si="1372"/>
        <v>813</v>
      </c>
      <c r="L7642">
        <v>880.32</v>
      </c>
    </row>
    <row r="7643" spans="1:12" x14ac:dyDescent="0.25">
      <c r="A7643" t="str">
        <f t="shared" si="1367"/>
        <v>89301000</v>
      </c>
      <c r="B7643" t="str">
        <f t="shared" si="1368"/>
        <v>06539000</v>
      </c>
      <c r="C7643" t="str">
        <f t="shared" si="1369"/>
        <v>06539003</v>
      </c>
      <c r="D7643">
        <v>89301171</v>
      </c>
      <c r="E7643" t="str">
        <f t="shared" si="1370"/>
        <v>9560196162</v>
      </c>
      <c r="F7643" s="1">
        <v>45083</v>
      </c>
      <c r="G7643" t="str">
        <f>"91329"</f>
        <v>91329</v>
      </c>
      <c r="H7643">
        <v>2</v>
      </c>
      <c r="I7643">
        <v>436</v>
      </c>
      <c r="J7643">
        <v>0</v>
      </c>
      <c r="K7643" t="str">
        <f t="shared" si="1372"/>
        <v>813</v>
      </c>
      <c r="L7643">
        <v>366.24</v>
      </c>
    </row>
    <row r="7644" spans="1:12" x14ac:dyDescent="0.25">
      <c r="A7644" t="str">
        <f t="shared" si="1367"/>
        <v>89301000</v>
      </c>
      <c r="B7644" t="str">
        <f t="shared" si="1368"/>
        <v>06539000</v>
      </c>
      <c r="C7644" t="str">
        <f t="shared" si="1369"/>
        <v>06539003</v>
      </c>
      <c r="D7644">
        <v>89301171</v>
      </c>
      <c r="E7644" t="str">
        <f t="shared" si="1370"/>
        <v>9560196162</v>
      </c>
      <c r="F7644" s="1">
        <v>45083</v>
      </c>
      <c r="G7644" t="str">
        <f>"91329"</f>
        <v>91329</v>
      </c>
      <c r="H7644">
        <v>2</v>
      </c>
      <c r="I7644">
        <v>436</v>
      </c>
      <c r="J7644">
        <v>0</v>
      </c>
      <c r="K7644" t="str">
        <f t="shared" si="1372"/>
        <v>813</v>
      </c>
      <c r="L7644">
        <v>366.24</v>
      </c>
    </row>
    <row r="7645" spans="1:12" x14ac:dyDescent="0.25">
      <c r="A7645" t="str">
        <f t="shared" si="1367"/>
        <v>89301000</v>
      </c>
      <c r="B7645" t="str">
        <f t="shared" si="1368"/>
        <v>06539000</v>
      </c>
      <c r="C7645" t="str">
        <f t="shared" si="1369"/>
        <v>06539003</v>
      </c>
      <c r="D7645">
        <v>89301171</v>
      </c>
      <c r="E7645" t="str">
        <f t="shared" si="1370"/>
        <v>9560196162</v>
      </c>
      <c r="F7645" s="1">
        <v>45083</v>
      </c>
      <c r="G7645" t="str">
        <f>"91329"</f>
        <v>91329</v>
      </c>
      <c r="H7645">
        <v>2</v>
      </c>
      <c r="I7645">
        <v>436</v>
      </c>
      <c r="J7645">
        <v>0</v>
      </c>
      <c r="K7645" t="str">
        <f t="shared" si="1372"/>
        <v>813</v>
      </c>
      <c r="L7645">
        <v>366.24</v>
      </c>
    </row>
    <row r="7646" spans="1:12" x14ac:dyDescent="0.25">
      <c r="A7646" t="str">
        <f t="shared" si="1367"/>
        <v>89301000</v>
      </c>
      <c r="B7646" t="str">
        <f t="shared" si="1368"/>
        <v>06539000</v>
      </c>
      <c r="C7646" t="str">
        <f t="shared" si="1369"/>
        <v>06539003</v>
      </c>
      <c r="D7646">
        <v>89301171</v>
      </c>
      <c r="E7646" t="str">
        <f t="shared" si="1370"/>
        <v>9560196162</v>
      </c>
      <c r="F7646" s="1">
        <v>45083</v>
      </c>
      <c r="G7646" t="str">
        <f>"91329"</f>
        <v>91329</v>
      </c>
      <c r="H7646">
        <v>2</v>
      </c>
      <c r="I7646">
        <v>436</v>
      </c>
      <c r="J7646">
        <v>0</v>
      </c>
      <c r="K7646" t="str">
        <f t="shared" si="1372"/>
        <v>813</v>
      </c>
      <c r="L7646">
        <v>366.24</v>
      </c>
    </row>
    <row r="7647" spans="1:12" x14ac:dyDescent="0.25">
      <c r="A7647" t="str">
        <f t="shared" si="1367"/>
        <v>89301000</v>
      </c>
      <c r="B7647" t="str">
        <f t="shared" si="1368"/>
        <v>06539000</v>
      </c>
      <c r="C7647" t="str">
        <f t="shared" si="1369"/>
        <v>06539003</v>
      </c>
      <c r="D7647">
        <v>89301171</v>
      </c>
      <c r="E7647" t="str">
        <f t="shared" si="1370"/>
        <v>9560196162</v>
      </c>
      <c r="F7647" s="1">
        <v>45068</v>
      </c>
      <c r="G7647" t="str">
        <f>"91129"</f>
        <v>91129</v>
      </c>
      <c r="H7647">
        <v>1</v>
      </c>
      <c r="I7647">
        <v>175</v>
      </c>
      <c r="J7647">
        <v>0</v>
      </c>
      <c r="K7647" t="str">
        <f t="shared" si="1372"/>
        <v>813</v>
      </c>
      <c r="L7647">
        <v>147</v>
      </c>
    </row>
    <row r="7648" spans="1:12" x14ac:dyDescent="0.25">
      <c r="A7648" t="str">
        <f t="shared" si="1367"/>
        <v>89301000</v>
      </c>
      <c r="B7648" t="str">
        <f t="shared" si="1368"/>
        <v>06539000</v>
      </c>
      <c r="C7648" t="str">
        <f t="shared" si="1369"/>
        <v>06539003</v>
      </c>
      <c r="D7648">
        <v>89301171</v>
      </c>
      <c r="E7648" t="str">
        <f t="shared" si="1370"/>
        <v>9560196162</v>
      </c>
      <c r="F7648" s="1">
        <v>45068</v>
      </c>
      <c r="G7648" t="str">
        <f>"91131"</f>
        <v>91131</v>
      </c>
      <c r="H7648">
        <v>1</v>
      </c>
      <c r="I7648">
        <v>171</v>
      </c>
      <c r="J7648">
        <v>0</v>
      </c>
      <c r="K7648" t="str">
        <f t="shared" si="1372"/>
        <v>813</v>
      </c>
      <c r="L7648">
        <v>143.63999999999999</v>
      </c>
    </row>
    <row r="7649" spans="1:12" x14ac:dyDescent="0.25">
      <c r="A7649" t="str">
        <f t="shared" si="1367"/>
        <v>89301000</v>
      </c>
      <c r="B7649" t="str">
        <f t="shared" si="1368"/>
        <v>06539000</v>
      </c>
      <c r="C7649" t="str">
        <f t="shared" si="1369"/>
        <v>06539003</v>
      </c>
      <c r="D7649">
        <v>89301171</v>
      </c>
      <c r="E7649" t="str">
        <f t="shared" si="1370"/>
        <v>9560196162</v>
      </c>
      <c r="F7649" s="1">
        <v>45068</v>
      </c>
      <c r="G7649" t="str">
        <f>"91133"</f>
        <v>91133</v>
      </c>
      <c r="H7649">
        <v>1</v>
      </c>
      <c r="I7649">
        <v>177</v>
      </c>
      <c r="J7649">
        <v>0</v>
      </c>
      <c r="K7649" t="str">
        <f t="shared" si="1372"/>
        <v>813</v>
      </c>
      <c r="L7649">
        <v>148.68</v>
      </c>
    </row>
    <row r="7650" spans="1:12" x14ac:dyDescent="0.25">
      <c r="A7650" t="str">
        <f t="shared" si="1367"/>
        <v>89301000</v>
      </c>
      <c r="B7650" t="str">
        <f t="shared" si="1368"/>
        <v>06539000</v>
      </c>
      <c r="C7650" t="str">
        <f t="shared" si="1369"/>
        <v>06539003</v>
      </c>
      <c r="D7650">
        <v>89301171</v>
      </c>
      <c r="E7650" t="str">
        <f t="shared" si="1370"/>
        <v>9560196162</v>
      </c>
      <c r="F7650" s="1">
        <v>45068</v>
      </c>
      <c r="G7650" t="str">
        <f>"91171"</f>
        <v>91171</v>
      </c>
      <c r="H7650">
        <v>1</v>
      </c>
      <c r="I7650">
        <v>362</v>
      </c>
      <c r="J7650">
        <v>0</v>
      </c>
      <c r="K7650" t="str">
        <f t="shared" si="1372"/>
        <v>813</v>
      </c>
      <c r="L7650">
        <v>304.08</v>
      </c>
    </row>
    <row r="7651" spans="1:12" x14ac:dyDescent="0.25">
      <c r="A7651" t="str">
        <f t="shared" si="1367"/>
        <v>89301000</v>
      </c>
      <c r="B7651" t="str">
        <f t="shared" si="1368"/>
        <v>06539000</v>
      </c>
      <c r="C7651" t="str">
        <f t="shared" si="1369"/>
        <v>06539003</v>
      </c>
      <c r="D7651">
        <v>89301171</v>
      </c>
      <c r="E7651" t="str">
        <f t="shared" si="1370"/>
        <v>9560196162</v>
      </c>
      <c r="F7651" s="1">
        <v>45068</v>
      </c>
      <c r="G7651" t="str">
        <f>"91175"</f>
        <v>91175</v>
      </c>
      <c r="H7651">
        <v>1</v>
      </c>
      <c r="I7651">
        <v>362</v>
      </c>
      <c r="J7651">
        <v>0</v>
      </c>
      <c r="K7651" t="str">
        <f t="shared" si="1372"/>
        <v>813</v>
      </c>
      <c r="L7651">
        <v>304.08</v>
      </c>
    </row>
    <row r="7652" spans="1:12" x14ac:dyDescent="0.25">
      <c r="A7652" t="str">
        <f t="shared" si="1367"/>
        <v>89301000</v>
      </c>
      <c r="B7652" t="str">
        <f t="shared" si="1368"/>
        <v>06539000</v>
      </c>
      <c r="C7652" t="str">
        <f t="shared" si="1369"/>
        <v>06539003</v>
      </c>
      <c r="D7652">
        <v>89301171</v>
      </c>
      <c r="E7652" t="str">
        <f t="shared" si="1370"/>
        <v>9560196162</v>
      </c>
      <c r="F7652" s="1">
        <v>45066</v>
      </c>
      <c r="G7652" t="str">
        <f>"91167"</f>
        <v>91167</v>
      </c>
      <c r="H7652">
        <v>1</v>
      </c>
      <c r="I7652">
        <v>426</v>
      </c>
      <c r="J7652">
        <v>0</v>
      </c>
      <c r="K7652" t="str">
        <f t="shared" si="1372"/>
        <v>813</v>
      </c>
      <c r="L7652">
        <v>357.84</v>
      </c>
    </row>
    <row r="7653" spans="1:12" x14ac:dyDescent="0.25">
      <c r="A7653" t="str">
        <f t="shared" si="1367"/>
        <v>89301000</v>
      </c>
      <c r="B7653" t="str">
        <f t="shared" si="1368"/>
        <v>06539000</v>
      </c>
      <c r="C7653" t="str">
        <f t="shared" si="1369"/>
        <v>06539003</v>
      </c>
      <c r="D7653">
        <v>89301171</v>
      </c>
      <c r="E7653" t="str">
        <f t="shared" si="1370"/>
        <v>9560196162</v>
      </c>
      <c r="F7653" s="1">
        <v>45066</v>
      </c>
      <c r="G7653" t="str">
        <f>"91169"</f>
        <v>91169</v>
      </c>
      <c r="H7653">
        <v>1</v>
      </c>
      <c r="I7653">
        <v>426</v>
      </c>
      <c r="J7653">
        <v>0</v>
      </c>
      <c r="K7653" t="str">
        <f t="shared" si="1372"/>
        <v>813</v>
      </c>
      <c r="L7653">
        <v>357.84</v>
      </c>
    </row>
    <row r="7654" spans="1:12" x14ac:dyDescent="0.25">
      <c r="A7654" t="str">
        <f t="shared" si="1367"/>
        <v>89301000</v>
      </c>
      <c r="B7654" t="str">
        <f t="shared" si="1368"/>
        <v>06539000</v>
      </c>
      <c r="C7654" t="str">
        <f t="shared" si="1369"/>
        <v>06539003</v>
      </c>
      <c r="D7654">
        <v>89301171</v>
      </c>
      <c r="E7654" t="str">
        <f t="shared" si="1370"/>
        <v>9560196162</v>
      </c>
      <c r="F7654" s="1">
        <v>45086</v>
      </c>
      <c r="G7654" t="str">
        <f>"91475"</f>
        <v>91475</v>
      </c>
      <c r="H7654">
        <v>1</v>
      </c>
      <c r="I7654">
        <v>213</v>
      </c>
      <c r="J7654">
        <v>0</v>
      </c>
      <c r="K7654" t="str">
        <f t="shared" si="1372"/>
        <v>813</v>
      </c>
      <c r="L7654">
        <v>178.92</v>
      </c>
    </row>
    <row r="7655" spans="1:12" x14ac:dyDescent="0.25">
      <c r="A7655" t="str">
        <f t="shared" si="1367"/>
        <v>89301000</v>
      </c>
      <c r="B7655" t="str">
        <f t="shared" si="1368"/>
        <v>06539000</v>
      </c>
      <c r="C7655" t="str">
        <f t="shared" si="1369"/>
        <v>06539003</v>
      </c>
      <c r="D7655">
        <v>89301171</v>
      </c>
      <c r="E7655" t="str">
        <f t="shared" ref="E7655:E7682" si="1374">"9507164854"</f>
        <v>9507164854</v>
      </c>
      <c r="F7655" s="1">
        <v>45070</v>
      </c>
      <c r="G7655" t="str">
        <f t="shared" ref="G7655:G7664" si="1375">"91413"</f>
        <v>91413</v>
      </c>
      <c r="H7655">
        <v>1</v>
      </c>
      <c r="I7655">
        <v>868</v>
      </c>
      <c r="J7655">
        <v>0</v>
      </c>
      <c r="K7655" t="str">
        <f t="shared" si="1372"/>
        <v>813</v>
      </c>
      <c r="L7655">
        <v>729.12</v>
      </c>
    </row>
    <row r="7656" spans="1:12" x14ac:dyDescent="0.25">
      <c r="A7656" t="str">
        <f t="shared" si="1367"/>
        <v>89301000</v>
      </c>
      <c r="B7656" t="str">
        <f t="shared" si="1368"/>
        <v>06539000</v>
      </c>
      <c r="C7656" t="str">
        <f t="shared" si="1369"/>
        <v>06539003</v>
      </c>
      <c r="D7656">
        <v>89301171</v>
      </c>
      <c r="E7656" t="str">
        <f t="shared" si="1374"/>
        <v>9507164854</v>
      </c>
      <c r="F7656" s="1">
        <v>45070</v>
      </c>
      <c r="G7656" t="str">
        <f t="shared" si="1375"/>
        <v>91413</v>
      </c>
      <c r="H7656">
        <v>1</v>
      </c>
      <c r="I7656">
        <v>868</v>
      </c>
      <c r="J7656">
        <v>0</v>
      </c>
      <c r="K7656" t="str">
        <f t="shared" si="1372"/>
        <v>813</v>
      </c>
      <c r="L7656">
        <v>729.12</v>
      </c>
    </row>
    <row r="7657" spans="1:12" x14ac:dyDescent="0.25">
      <c r="A7657" t="str">
        <f t="shared" si="1367"/>
        <v>89301000</v>
      </c>
      <c r="B7657" t="str">
        <f t="shared" si="1368"/>
        <v>06539000</v>
      </c>
      <c r="C7657" t="str">
        <f t="shared" si="1369"/>
        <v>06539003</v>
      </c>
      <c r="D7657">
        <v>89301171</v>
      </c>
      <c r="E7657" t="str">
        <f t="shared" si="1374"/>
        <v>9507164854</v>
      </c>
      <c r="F7657" s="1">
        <v>45083</v>
      </c>
      <c r="G7657" t="str">
        <f t="shared" si="1375"/>
        <v>91413</v>
      </c>
      <c r="H7657">
        <v>1</v>
      </c>
      <c r="I7657">
        <v>868</v>
      </c>
      <c r="J7657">
        <v>0</v>
      </c>
      <c r="K7657" t="str">
        <f t="shared" si="1372"/>
        <v>813</v>
      </c>
      <c r="L7657">
        <v>729.12</v>
      </c>
    </row>
    <row r="7658" spans="1:12" x14ac:dyDescent="0.25">
      <c r="A7658" t="str">
        <f t="shared" si="1367"/>
        <v>89301000</v>
      </c>
      <c r="B7658" t="str">
        <f t="shared" si="1368"/>
        <v>06539000</v>
      </c>
      <c r="C7658" t="str">
        <f t="shared" si="1369"/>
        <v>06539003</v>
      </c>
      <c r="D7658">
        <v>89301171</v>
      </c>
      <c r="E7658" t="str">
        <f t="shared" si="1374"/>
        <v>9507164854</v>
      </c>
      <c r="F7658" s="1">
        <v>45083</v>
      </c>
      <c r="G7658" t="str">
        <f t="shared" si="1375"/>
        <v>91413</v>
      </c>
      <c r="H7658">
        <v>1</v>
      </c>
      <c r="I7658">
        <v>868</v>
      </c>
      <c r="J7658">
        <v>0</v>
      </c>
      <c r="K7658" t="str">
        <f t="shared" si="1372"/>
        <v>813</v>
      </c>
      <c r="L7658">
        <v>729.12</v>
      </c>
    </row>
    <row r="7659" spans="1:12" x14ac:dyDescent="0.25">
      <c r="A7659" t="str">
        <f t="shared" si="1367"/>
        <v>89301000</v>
      </c>
      <c r="B7659" t="str">
        <f t="shared" si="1368"/>
        <v>06539000</v>
      </c>
      <c r="C7659" t="str">
        <f t="shared" ref="C7659:C7682" si="1376">"06539003"</f>
        <v>06539003</v>
      </c>
      <c r="D7659">
        <v>89301171</v>
      </c>
      <c r="E7659" t="str">
        <f t="shared" si="1374"/>
        <v>9507164854</v>
      </c>
      <c r="F7659" s="1">
        <v>45086</v>
      </c>
      <c r="G7659" t="str">
        <f t="shared" si="1375"/>
        <v>91413</v>
      </c>
      <c r="H7659">
        <v>1</v>
      </c>
      <c r="I7659">
        <v>868</v>
      </c>
      <c r="J7659">
        <v>0</v>
      </c>
      <c r="K7659" t="str">
        <f t="shared" ref="K7659:K7682" si="1377">"813"</f>
        <v>813</v>
      </c>
      <c r="L7659">
        <v>729.12</v>
      </c>
    </row>
    <row r="7660" spans="1:12" x14ac:dyDescent="0.25">
      <c r="A7660" t="str">
        <f t="shared" si="1367"/>
        <v>89301000</v>
      </c>
      <c r="B7660" t="str">
        <f t="shared" si="1368"/>
        <v>06539000</v>
      </c>
      <c r="C7660" t="str">
        <f t="shared" si="1376"/>
        <v>06539003</v>
      </c>
      <c r="D7660">
        <v>89301171</v>
      </c>
      <c r="E7660" t="str">
        <f t="shared" si="1374"/>
        <v>9507164854</v>
      </c>
      <c r="F7660" s="1">
        <v>45086</v>
      </c>
      <c r="G7660" t="str">
        <f t="shared" si="1375"/>
        <v>91413</v>
      </c>
      <c r="H7660">
        <v>1</v>
      </c>
      <c r="I7660">
        <v>868</v>
      </c>
      <c r="J7660">
        <v>0</v>
      </c>
      <c r="K7660" t="str">
        <f t="shared" si="1377"/>
        <v>813</v>
      </c>
      <c r="L7660">
        <v>729.12</v>
      </c>
    </row>
    <row r="7661" spans="1:12" x14ac:dyDescent="0.25">
      <c r="A7661" t="str">
        <f t="shared" si="1367"/>
        <v>89301000</v>
      </c>
      <c r="B7661" t="str">
        <f t="shared" si="1368"/>
        <v>06539000</v>
      </c>
      <c r="C7661" t="str">
        <f t="shared" si="1376"/>
        <v>06539003</v>
      </c>
      <c r="D7661">
        <v>89301171</v>
      </c>
      <c r="E7661" t="str">
        <f t="shared" si="1374"/>
        <v>9507164854</v>
      </c>
      <c r="F7661" s="1">
        <v>45083</v>
      </c>
      <c r="G7661" t="str">
        <f t="shared" si="1375"/>
        <v>91413</v>
      </c>
      <c r="H7661">
        <v>1</v>
      </c>
      <c r="I7661">
        <v>868</v>
      </c>
      <c r="J7661">
        <v>0</v>
      </c>
      <c r="K7661" t="str">
        <f t="shared" si="1377"/>
        <v>813</v>
      </c>
      <c r="L7661">
        <v>729.12</v>
      </c>
    </row>
    <row r="7662" spans="1:12" x14ac:dyDescent="0.25">
      <c r="A7662" t="str">
        <f t="shared" si="1367"/>
        <v>89301000</v>
      </c>
      <c r="B7662" t="str">
        <f t="shared" si="1368"/>
        <v>06539000</v>
      </c>
      <c r="C7662" t="str">
        <f t="shared" si="1376"/>
        <v>06539003</v>
      </c>
      <c r="D7662">
        <v>89301171</v>
      </c>
      <c r="E7662" t="str">
        <f t="shared" si="1374"/>
        <v>9507164854</v>
      </c>
      <c r="F7662" s="1">
        <v>45083</v>
      </c>
      <c r="G7662" t="str">
        <f t="shared" si="1375"/>
        <v>91413</v>
      </c>
      <c r="H7662">
        <v>1</v>
      </c>
      <c r="I7662">
        <v>868</v>
      </c>
      <c r="J7662">
        <v>0</v>
      </c>
      <c r="K7662" t="str">
        <f t="shared" si="1377"/>
        <v>813</v>
      </c>
      <c r="L7662">
        <v>729.12</v>
      </c>
    </row>
    <row r="7663" spans="1:12" x14ac:dyDescent="0.25">
      <c r="A7663" t="str">
        <f t="shared" si="1367"/>
        <v>89301000</v>
      </c>
      <c r="B7663" t="str">
        <f t="shared" si="1368"/>
        <v>06539000</v>
      </c>
      <c r="C7663" t="str">
        <f t="shared" si="1376"/>
        <v>06539003</v>
      </c>
      <c r="D7663">
        <v>89301171</v>
      </c>
      <c r="E7663" t="str">
        <f t="shared" si="1374"/>
        <v>9507164854</v>
      </c>
      <c r="F7663" s="1">
        <v>45083</v>
      </c>
      <c r="G7663" t="str">
        <f t="shared" si="1375"/>
        <v>91413</v>
      </c>
      <c r="H7663">
        <v>1</v>
      </c>
      <c r="I7663">
        <v>868</v>
      </c>
      <c r="J7663">
        <v>0</v>
      </c>
      <c r="K7663" t="str">
        <f t="shared" si="1377"/>
        <v>813</v>
      </c>
      <c r="L7663">
        <v>729.12</v>
      </c>
    </row>
    <row r="7664" spans="1:12" x14ac:dyDescent="0.25">
      <c r="A7664" t="str">
        <f t="shared" si="1367"/>
        <v>89301000</v>
      </c>
      <c r="B7664" t="str">
        <f t="shared" si="1368"/>
        <v>06539000</v>
      </c>
      <c r="C7664" t="str">
        <f t="shared" si="1376"/>
        <v>06539003</v>
      </c>
      <c r="D7664">
        <v>89301171</v>
      </c>
      <c r="E7664" t="str">
        <f t="shared" si="1374"/>
        <v>9507164854</v>
      </c>
      <c r="F7664" s="1">
        <v>45083</v>
      </c>
      <c r="G7664" t="str">
        <f t="shared" si="1375"/>
        <v>91413</v>
      </c>
      <c r="H7664">
        <v>1</v>
      </c>
      <c r="I7664">
        <v>868</v>
      </c>
      <c r="J7664">
        <v>0</v>
      </c>
      <c r="K7664" t="str">
        <f t="shared" si="1377"/>
        <v>813</v>
      </c>
      <c r="L7664">
        <v>729.12</v>
      </c>
    </row>
    <row r="7665" spans="1:12" x14ac:dyDescent="0.25">
      <c r="A7665" t="str">
        <f t="shared" si="1367"/>
        <v>89301000</v>
      </c>
      <c r="B7665" t="str">
        <f t="shared" si="1368"/>
        <v>06539000</v>
      </c>
      <c r="C7665" t="str">
        <f t="shared" si="1376"/>
        <v>06539003</v>
      </c>
      <c r="D7665">
        <v>89301171</v>
      </c>
      <c r="E7665" t="str">
        <f t="shared" si="1374"/>
        <v>9507164854</v>
      </c>
      <c r="F7665" s="1">
        <v>45068</v>
      </c>
      <c r="G7665" t="str">
        <f t="shared" ref="G7665:G7670" si="1378">"91197"</f>
        <v>91197</v>
      </c>
      <c r="H7665">
        <v>1</v>
      </c>
      <c r="I7665">
        <v>1048</v>
      </c>
      <c r="J7665">
        <v>0</v>
      </c>
      <c r="K7665" t="str">
        <f t="shared" si="1377"/>
        <v>813</v>
      </c>
      <c r="L7665">
        <v>880.32</v>
      </c>
    </row>
    <row r="7666" spans="1:12" x14ac:dyDescent="0.25">
      <c r="A7666" t="str">
        <f t="shared" si="1367"/>
        <v>89301000</v>
      </c>
      <c r="B7666" t="str">
        <f t="shared" si="1368"/>
        <v>06539000</v>
      </c>
      <c r="C7666" t="str">
        <f t="shared" si="1376"/>
        <v>06539003</v>
      </c>
      <c r="D7666">
        <v>89301171</v>
      </c>
      <c r="E7666" t="str">
        <f t="shared" si="1374"/>
        <v>9507164854</v>
      </c>
      <c r="F7666" s="1">
        <v>45068</v>
      </c>
      <c r="G7666" t="str">
        <f t="shared" si="1378"/>
        <v>91197</v>
      </c>
      <c r="H7666">
        <v>1</v>
      </c>
      <c r="I7666">
        <v>1048</v>
      </c>
      <c r="J7666">
        <v>0</v>
      </c>
      <c r="K7666" t="str">
        <f t="shared" si="1377"/>
        <v>813</v>
      </c>
      <c r="L7666">
        <v>880.32</v>
      </c>
    </row>
    <row r="7667" spans="1:12" x14ac:dyDescent="0.25">
      <c r="A7667" t="str">
        <f t="shared" si="1367"/>
        <v>89301000</v>
      </c>
      <c r="B7667" t="str">
        <f t="shared" si="1368"/>
        <v>06539000</v>
      </c>
      <c r="C7667" t="str">
        <f t="shared" si="1376"/>
        <v>06539003</v>
      </c>
      <c r="D7667">
        <v>89301171</v>
      </c>
      <c r="E7667" t="str">
        <f t="shared" si="1374"/>
        <v>9507164854</v>
      </c>
      <c r="F7667" s="1">
        <v>45067</v>
      </c>
      <c r="G7667" t="str">
        <f t="shared" si="1378"/>
        <v>91197</v>
      </c>
      <c r="H7667">
        <v>1</v>
      </c>
      <c r="I7667">
        <v>1048</v>
      </c>
      <c r="J7667">
        <v>0</v>
      </c>
      <c r="K7667" t="str">
        <f t="shared" si="1377"/>
        <v>813</v>
      </c>
      <c r="L7667">
        <v>880.32</v>
      </c>
    </row>
    <row r="7668" spans="1:12" x14ac:dyDescent="0.25">
      <c r="A7668" t="str">
        <f t="shared" si="1367"/>
        <v>89301000</v>
      </c>
      <c r="B7668" t="str">
        <f t="shared" si="1368"/>
        <v>06539000</v>
      </c>
      <c r="C7668" t="str">
        <f t="shared" si="1376"/>
        <v>06539003</v>
      </c>
      <c r="D7668">
        <v>89301171</v>
      </c>
      <c r="E7668" t="str">
        <f t="shared" si="1374"/>
        <v>9507164854</v>
      </c>
      <c r="F7668" s="1">
        <v>45067</v>
      </c>
      <c r="G7668" t="str">
        <f t="shared" si="1378"/>
        <v>91197</v>
      </c>
      <c r="H7668">
        <v>1</v>
      </c>
      <c r="I7668">
        <v>1048</v>
      </c>
      <c r="J7668">
        <v>0</v>
      </c>
      <c r="K7668" t="str">
        <f t="shared" si="1377"/>
        <v>813</v>
      </c>
      <c r="L7668">
        <v>880.32</v>
      </c>
    </row>
    <row r="7669" spans="1:12" x14ac:dyDescent="0.25">
      <c r="A7669" t="str">
        <f t="shared" si="1367"/>
        <v>89301000</v>
      </c>
      <c r="B7669" t="str">
        <f t="shared" si="1368"/>
        <v>06539000</v>
      </c>
      <c r="C7669" t="str">
        <f t="shared" si="1376"/>
        <v>06539003</v>
      </c>
      <c r="D7669">
        <v>89301171</v>
      </c>
      <c r="E7669" t="str">
        <f t="shared" si="1374"/>
        <v>9507164854</v>
      </c>
      <c r="F7669" s="1">
        <v>45066</v>
      </c>
      <c r="G7669" t="str">
        <f t="shared" si="1378"/>
        <v>91197</v>
      </c>
      <c r="H7669">
        <v>1</v>
      </c>
      <c r="I7669">
        <v>1048</v>
      </c>
      <c r="J7669">
        <v>0</v>
      </c>
      <c r="K7669" t="str">
        <f t="shared" si="1377"/>
        <v>813</v>
      </c>
      <c r="L7669">
        <v>880.32</v>
      </c>
    </row>
    <row r="7670" spans="1:12" x14ac:dyDescent="0.25">
      <c r="A7670" t="str">
        <f t="shared" si="1367"/>
        <v>89301000</v>
      </c>
      <c r="B7670" t="str">
        <f t="shared" si="1368"/>
        <v>06539000</v>
      </c>
      <c r="C7670" t="str">
        <f t="shared" si="1376"/>
        <v>06539003</v>
      </c>
      <c r="D7670">
        <v>89301171</v>
      </c>
      <c r="E7670" t="str">
        <f t="shared" si="1374"/>
        <v>9507164854</v>
      </c>
      <c r="F7670" s="1">
        <v>45066</v>
      </c>
      <c r="G7670" t="str">
        <f t="shared" si="1378"/>
        <v>91197</v>
      </c>
      <c r="H7670">
        <v>1</v>
      </c>
      <c r="I7670">
        <v>1048</v>
      </c>
      <c r="J7670">
        <v>0</v>
      </c>
      <c r="K7670" t="str">
        <f t="shared" si="1377"/>
        <v>813</v>
      </c>
      <c r="L7670">
        <v>880.32</v>
      </c>
    </row>
    <row r="7671" spans="1:12" x14ac:dyDescent="0.25">
      <c r="A7671" t="str">
        <f t="shared" si="1367"/>
        <v>89301000</v>
      </c>
      <c r="B7671" t="str">
        <f t="shared" si="1368"/>
        <v>06539000</v>
      </c>
      <c r="C7671" t="str">
        <f t="shared" si="1376"/>
        <v>06539003</v>
      </c>
      <c r="D7671">
        <v>89301171</v>
      </c>
      <c r="E7671" t="str">
        <f t="shared" si="1374"/>
        <v>9507164854</v>
      </c>
      <c r="F7671" s="1">
        <v>45083</v>
      </c>
      <c r="G7671" t="str">
        <f>"91329"</f>
        <v>91329</v>
      </c>
      <c r="H7671">
        <v>2</v>
      </c>
      <c r="I7671">
        <v>436</v>
      </c>
      <c r="J7671">
        <v>0</v>
      </c>
      <c r="K7671" t="str">
        <f t="shared" si="1377"/>
        <v>813</v>
      </c>
      <c r="L7671">
        <v>366.24</v>
      </c>
    </row>
    <row r="7672" spans="1:12" x14ac:dyDescent="0.25">
      <c r="A7672" t="str">
        <f t="shared" si="1367"/>
        <v>89301000</v>
      </c>
      <c r="B7672" t="str">
        <f t="shared" si="1368"/>
        <v>06539000</v>
      </c>
      <c r="C7672" t="str">
        <f t="shared" si="1376"/>
        <v>06539003</v>
      </c>
      <c r="D7672">
        <v>89301171</v>
      </c>
      <c r="E7672" t="str">
        <f t="shared" si="1374"/>
        <v>9507164854</v>
      </c>
      <c r="F7672" s="1">
        <v>45083</v>
      </c>
      <c r="G7672" t="str">
        <f>"91329"</f>
        <v>91329</v>
      </c>
      <c r="H7672">
        <v>2</v>
      </c>
      <c r="I7672">
        <v>436</v>
      </c>
      <c r="J7672">
        <v>0</v>
      </c>
      <c r="K7672" t="str">
        <f t="shared" si="1377"/>
        <v>813</v>
      </c>
      <c r="L7672">
        <v>366.24</v>
      </c>
    </row>
    <row r="7673" spans="1:12" x14ac:dyDescent="0.25">
      <c r="A7673" t="str">
        <f t="shared" si="1367"/>
        <v>89301000</v>
      </c>
      <c r="B7673" t="str">
        <f t="shared" si="1368"/>
        <v>06539000</v>
      </c>
      <c r="C7673" t="str">
        <f t="shared" si="1376"/>
        <v>06539003</v>
      </c>
      <c r="D7673">
        <v>89301171</v>
      </c>
      <c r="E7673" t="str">
        <f t="shared" si="1374"/>
        <v>9507164854</v>
      </c>
      <c r="F7673" s="1">
        <v>45083</v>
      </c>
      <c r="G7673" t="str">
        <f>"91329"</f>
        <v>91329</v>
      </c>
      <c r="H7673">
        <v>2</v>
      </c>
      <c r="I7673">
        <v>436</v>
      </c>
      <c r="J7673">
        <v>0</v>
      </c>
      <c r="K7673" t="str">
        <f t="shared" si="1377"/>
        <v>813</v>
      </c>
      <c r="L7673">
        <v>366.24</v>
      </c>
    </row>
    <row r="7674" spans="1:12" x14ac:dyDescent="0.25">
      <c r="A7674" t="str">
        <f t="shared" si="1367"/>
        <v>89301000</v>
      </c>
      <c r="B7674" t="str">
        <f t="shared" si="1368"/>
        <v>06539000</v>
      </c>
      <c r="C7674" t="str">
        <f t="shared" si="1376"/>
        <v>06539003</v>
      </c>
      <c r="D7674">
        <v>89301171</v>
      </c>
      <c r="E7674" t="str">
        <f t="shared" si="1374"/>
        <v>9507164854</v>
      </c>
      <c r="F7674" s="1">
        <v>45083</v>
      </c>
      <c r="G7674" t="str">
        <f>"91329"</f>
        <v>91329</v>
      </c>
      <c r="H7674">
        <v>2</v>
      </c>
      <c r="I7674">
        <v>436</v>
      </c>
      <c r="J7674">
        <v>0</v>
      </c>
      <c r="K7674" t="str">
        <f t="shared" si="1377"/>
        <v>813</v>
      </c>
      <c r="L7674">
        <v>366.24</v>
      </c>
    </row>
    <row r="7675" spans="1:12" x14ac:dyDescent="0.25">
      <c r="A7675" t="str">
        <f t="shared" si="1367"/>
        <v>89301000</v>
      </c>
      <c r="B7675" t="str">
        <f t="shared" si="1368"/>
        <v>06539000</v>
      </c>
      <c r="C7675" t="str">
        <f t="shared" si="1376"/>
        <v>06539003</v>
      </c>
      <c r="D7675">
        <v>89301171</v>
      </c>
      <c r="E7675" t="str">
        <f t="shared" si="1374"/>
        <v>9507164854</v>
      </c>
      <c r="F7675" s="1">
        <v>45068</v>
      </c>
      <c r="G7675" t="str">
        <f>"91129"</f>
        <v>91129</v>
      </c>
      <c r="H7675">
        <v>1</v>
      </c>
      <c r="I7675">
        <v>175</v>
      </c>
      <c r="J7675">
        <v>0</v>
      </c>
      <c r="K7675" t="str">
        <f t="shared" si="1377"/>
        <v>813</v>
      </c>
      <c r="L7675">
        <v>147</v>
      </c>
    </row>
    <row r="7676" spans="1:12" x14ac:dyDescent="0.25">
      <c r="A7676" t="str">
        <f t="shared" si="1367"/>
        <v>89301000</v>
      </c>
      <c r="B7676" t="str">
        <f t="shared" si="1368"/>
        <v>06539000</v>
      </c>
      <c r="C7676" t="str">
        <f t="shared" si="1376"/>
        <v>06539003</v>
      </c>
      <c r="D7676">
        <v>89301171</v>
      </c>
      <c r="E7676" t="str">
        <f t="shared" si="1374"/>
        <v>9507164854</v>
      </c>
      <c r="F7676" s="1">
        <v>45068</v>
      </c>
      <c r="G7676" t="str">
        <f>"91131"</f>
        <v>91131</v>
      </c>
      <c r="H7676">
        <v>1</v>
      </c>
      <c r="I7676">
        <v>171</v>
      </c>
      <c r="J7676">
        <v>0</v>
      </c>
      <c r="K7676" t="str">
        <f t="shared" si="1377"/>
        <v>813</v>
      </c>
      <c r="L7676">
        <v>143.63999999999999</v>
      </c>
    </row>
    <row r="7677" spans="1:12" x14ac:dyDescent="0.25">
      <c r="A7677" t="str">
        <f t="shared" si="1367"/>
        <v>89301000</v>
      </c>
      <c r="B7677" t="str">
        <f t="shared" si="1368"/>
        <v>06539000</v>
      </c>
      <c r="C7677" t="str">
        <f t="shared" si="1376"/>
        <v>06539003</v>
      </c>
      <c r="D7677">
        <v>89301171</v>
      </c>
      <c r="E7677" t="str">
        <f t="shared" si="1374"/>
        <v>9507164854</v>
      </c>
      <c r="F7677" s="1">
        <v>45068</v>
      </c>
      <c r="G7677" t="str">
        <f>"91133"</f>
        <v>91133</v>
      </c>
      <c r="H7677">
        <v>1</v>
      </c>
      <c r="I7677">
        <v>177</v>
      </c>
      <c r="J7677">
        <v>0</v>
      </c>
      <c r="K7677" t="str">
        <f t="shared" si="1377"/>
        <v>813</v>
      </c>
      <c r="L7677">
        <v>148.68</v>
      </c>
    </row>
    <row r="7678" spans="1:12" x14ac:dyDescent="0.25">
      <c r="A7678" t="str">
        <f t="shared" si="1367"/>
        <v>89301000</v>
      </c>
      <c r="B7678" t="str">
        <f t="shared" si="1368"/>
        <v>06539000</v>
      </c>
      <c r="C7678" t="str">
        <f t="shared" si="1376"/>
        <v>06539003</v>
      </c>
      <c r="D7678">
        <v>89301171</v>
      </c>
      <c r="E7678" t="str">
        <f t="shared" si="1374"/>
        <v>9507164854</v>
      </c>
      <c r="F7678" s="1">
        <v>45068</v>
      </c>
      <c r="G7678" t="str">
        <f>"91171"</f>
        <v>91171</v>
      </c>
      <c r="H7678">
        <v>1</v>
      </c>
      <c r="I7678">
        <v>362</v>
      </c>
      <c r="J7678">
        <v>0</v>
      </c>
      <c r="K7678" t="str">
        <f t="shared" si="1377"/>
        <v>813</v>
      </c>
      <c r="L7678">
        <v>304.08</v>
      </c>
    </row>
    <row r="7679" spans="1:12" x14ac:dyDescent="0.25">
      <c r="A7679" t="str">
        <f t="shared" si="1367"/>
        <v>89301000</v>
      </c>
      <c r="B7679" t="str">
        <f t="shared" si="1368"/>
        <v>06539000</v>
      </c>
      <c r="C7679" t="str">
        <f t="shared" si="1376"/>
        <v>06539003</v>
      </c>
      <c r="D7679">
        <v>89301171</v>
      </c>
      <c r="E7679" t="str">
        <f t="shared" si="1374"/>
        <v>9507164854</v>
      </c>
      <c r="F7679" s="1">
        <v>45068</v>
      </c>
      <c r="G7679" t="str">
        <f>"91175"</f>
        <v>91175</v>
      </c>
      <c r="H7679">
        <v>1</v>
      </c>
      <c r="I7679">
        <v>362</v>
      </c>
      <c r="J7679">
        <v>0</v>
      </c>
      <c r="K7679" t="str">
        <f t="shared" si="1377"/>
        <v>813</v>
      </c>
      <c r="L7679">
        <v>304.08</v>
      </c>
    </row>
    <row r="7680" spans="1:12" x14ac:dyDescent="0.25">
      <c r="A7680" t="str">
        <f t="shared" si="1367"/>
        <v>89301000</v>
      </c>
      <c r="B7680" t="str">
        <f t="shared" si="1368"/>
        <v>06539000</v>
      </c>
      <c r="C7680" t="str">
        <f t="shared" si="1376"/>
        <v>06539003</v>
      </c>
      <c r="D7680">
        <v>89301171</v>
      </c>
      <c r="E7680" t="str">
        <f t="shared" si="1374"/>
        <v>9507164854</v>
      </c>
      <c r="F7680" s="1">
        <v>45066</v>
      </c>
      <c r="G7680" t="str">
        <f>"91167"</f>
        <v>91167</v>
      </c>
      <c r="H7680">
        <v>1</v>
      </c>
      <c r="I7680">
        <v>426</v>
      </c>
      <c r="J7680">
        <v>0</v>
      </c>
      <c r="K7680" t="str">
        <f t="shared" si="1377"/>
        <v>813</v>
      </c>
      <c r="L7680">
        <v>357.84</v>
      </c>
    </row>
    <row r="7681" spans="1:12" x14ac:dyDescent="0.25">
      <c r="A7681" t="str">
        <f t="shared" si="1367"/>
        <v>89301000</v>
      </c>
      <c r="B7681" t="str">
        <f t="shared" si="1368"/>
        <v>06539000</v>
      </c>
      <c r="C7681" t="str">
        <f t="shared" si="1376"/>
        <v>06539003</v>
      </c>
      <c r="D7681">
        <v>89301171</v>
      </c>
      <c r="E7681" t="str">
        <f t="shared" si="1374"/>
        <v>9507164854</v>
      </c>
      <c r="F7681" s="1">
        <v>45066</v>
      </c>
      <c r="G7681" t="str">
        <f>"91169"</f>
        <v>91169</v>
      </c>
      <c r="H7681">
        <v>1</v>
      </c>
      <c r="I7681">
        <v>426</v>
      </c>
      <c r="J7681">
        <v>0</v>
      </c>
      <c r="K7681" t="str">
        <f t="shared" si="1377"/>
        <v>813</v>
      </c>
      <c r="L7681">
        <v>357.84</v>
      </c>
    </row>
    <row r="7682" spans="1:12" x14ac:dyDescent="0.25">
      <c r="A7682" t="str">
        <f t="shared" ref="A7682:A7745" si="1379">"89301000"</f>
        <v>89301000</v>
      </c>
      <c r="B7682" t="str">
        <f t="shared" si="1368"/>
        <v>06539000</v>
      </c>
      <c r="C7682" t="str">
        <f t="shared" si="1376"/>
        <v>06539003</v>
      </c>
      <c r="D7682">
        <v>89301171</v>
      </c>
      <c r="E7682" t="str">
        <f t="shared" si="1374"/>
        <v>9507164854</v>
      </c>
      <c r="F7682" s="1">
        <v>45070</v>
      </c>
      <c r="G7682" t="str">
        <f>"91475"</f>
        <v>91475</v>
      </c>
      <c r="H7682">
        <v>1</v>
      </c>
      <c r="I7682">
        <v>213</v>
      </c>
      <c r="J7682">
        <v>0</v>
      </c>
      <c r="K7682" t="str">
        <f t="shared" si="1377"/>
        <v>813</v>
      </c>
      <c r="L7682">
        <v>178.92</v>
      </c>
    </row>
    <row r="7683" spans="1:12" x14ac:dyDescent="0.25">
      <c r="A7683" t="str">
        <f t="shared" si="1379"/>
        <v>89301000</v>
      </c>
      <c r="B7683" t="str">
        <f t="shared" si="1368"/>
        <v>06539000</v>
      </c>
      <c r="C7683" t="str">
        <f>"06539001"</f>
        <v>06539001</v>
      </c>
      <c r="D7683">
        <v>89301172</v>
      </c>
      <c r="E7683" t="str">
        <f>"9207085734"</f>
        <v>9207085734</v>
      </c>
      <c r="F7683" s="1">
        <v>45084</v>
      </c>
      <c r="G7683" t="str">
        <f>"81705"</f>
        <v>81705</v>
      </c>
      <c r="H7683">
        <v>1</v>
      </c>
      <c r="I7683">
        <v>348</v>
      </c>
      <c r="J7683">
        <v>0</v>
      </c>
      <c r="K7683" t="str">
        <f>"801"</f>
        <v>801</v>
      </c>
      <c r="L7683">
        <v>292.32</v>
      </c>
    </row>
    <row r="7684" spans="1:12" x14ac:dyDescent="0.25">
      <c r="A7684" t="str">
        <f t="shared" si="1379"/>
        <v>89301000</v>
      </c>
      <c r="B7684" t="str">
        <f t="shared" si="1368"/>
        <v>06539000</v>
      </c>
      <c r="C7684" t="str">
        <f>"06539001"</f>
        <v>06539001</v>
      </c>
      <c r="D7684">
        <v>89301172</v>
      </c>
      <c r="E7684" t="str">
        <f>"9207085734"</f>
        <v>9207085734</v>
      </c>
      <c r="F7684" s="1">
        <v>45083</v>
      </c>
      <c r="G7684" t="str">
        <f>"81705"</f>
        <v>81705</v>
      </c>
      <c r="H7684">
        <v>1</v>
      </c>
      <c r="I7684">
        <v>348</v>
      </c>
      <c r="J7684">
        <v>0</v>
      </c>
      <c r="K7684" t="str">
        <f>"801"</f>
        <v>801</v>
      </c>
      <c r="L7684">
        <v>292.32</v>
      </c>
    </row>
    <row r="7685" spans="1:12" x14ac:dyDescent="0.25">
      <c r="A7685" t="str">
        <f t="shared" si="1379"/>
        <v>89301000</v>
      </c>
      <c r="B7685" t="str">
        <f t="shared" ref="B7685:B7748" si="1380">"06539000"</f>
        <v>06539000</v>
      </c>
      <c r="C7685" t="str">
        <f t="shared" ref="C7685:C7716" si="1381">"06539003"</f>
        <v>06539003</v>
      </c>
      <c r="D7685">
        <v>89301172</v>
      </c>
      <c r="E7685" t="str">
        <f>"9207085734"</f>
        <v>9207085734</v>
      </c>
      <c r="F7685" s="1">
        <v>45083</v>
      </c>
      <c r="G7685" t="str">
        <f>"91329"</f>
        <v>91329</v>
      </c>
      <c r="H7685">
        <v>2</v>
      </c>
      <c r="I7685">
        <v>436</v>
      </c>
      <c r="J7685">
        <v>0</v>
      </c>
      <c r="K7685" t="str">
        <f t="shared" ref="K7685:K7716" si="1382">"813"</f>
        <v>813</v>
      </c>
      <c r="L7685">
        <v>366.24</v>
      </c>
    </row>
    <row r="7686" spans="1:12" x14ac:dyDescent="0.25">
      <c r="A7686" t="str">
        <f t="shared" si="1379"/>
        <v>89301000</v>
      </c>
      <c r="B7686" t="str">
        <f t="shared" si="1380"/>
        <v>06539000</v>
      </c>
      <c r="C7686" t="str">
        <f t="shared" si="1381"/>
        <v>06539003</v>
      </c>
      <c r="D7686">
        <v>89301172</v>
      </c>
      <c r="E7686" t="str">
        <f>"9207085734"</f>
        <v>9207085734</v>
      </c>
      <c r="F7686" s="1">
        <v>45070</v>
      </c>
      <c r="G7686" t="str">
        <f>"91475"</f>
        <v>91475</v>
      </c>
      <c r="H7686">
        <v>1</v>
      </c>
      <c r="I7686">
        <v>213</v>
      </c>
      <c r="J7686">
        <v>0</v>
      </c>
      <c r="K7686" t="str">
        <f t="shared" si="1382"/>
        <v>813</v>
      </c>
      <c r="L7686">
        <v>178.92</v>
      </c>
    </row>
    <row r="7687" spans="1:12" x14ac:dyDescent="0.25">
      <c r="A7687" t="str">
        <f t="shared" si="1379"/>
        <v>89301000</v>
      </c>
      <c r="B7687" t="str">
        <f t="shared" si="1380"/>
        <v>06539000</v>
      </c>
      <c r="C7687" t="str">
        <f t="shared" si="1381"/>
        <v>06539003</v>
      </c>
      <c r="D7687">
        <v>89301171</v>
      </c>
      <c r="E7687" t="str">
        <f t="shared" ref="E7687:E7709" si="1383">"9353285678"</f>
        <v>9353285678</v>
      </c>
      <c r="F7687" s="1">
        <v>45077</v>
      </c>
      <c r="G7687" t="str">
        <f t="shared" ref="G7687:G7696" si="1384">"91413"</f>
        <v>91413</v>
      </c>
      <c r="H7687">
        <v>1</v>
      </c>
      <c r="I7687">
        <v>868</v>
      </c>
      <c r="J7687">
        <v>0</v>
      </c>
      <c r="K7687" t="str">
        <f t="shared" si="1382"/>
        <v>813</v>
      </c>
      <c r="L7687">
        <v>729.12</v>
      </c>
    </row>
    <row r="7688" spans="1:12" x14ac:dyDescent="0.25">
      <c r="A7688" t="str">
        <f t="shared" si="1379"/>
        <v>89301000</v>
      </c>
      <c r="B7688" t="str">
        <f t="shared" si="1380"/>
        <v>06539000</v>
      </c>
      <c r="C7688" t="str">
        <f t="shared" si="1381"/>
        <v>06539003</v>
      </c>
      <c r="D7688">
        <v>89301171</v>
      </c>
      <c r="E7688" t="str">
        <f t="shared" si="1383"/>
        <v>9353285678</v>
      </c>
      <c r="F7688" s="1">
        <v>45077</v>
      </c>
      <c r="G7688" t="str">
        <f t="shared" si="1384"/>
        <v>91413</v>
      </c>
      <c r="H7688">
        <v>1</v>
      </c>
      <c r="I7688">
        <v>868</v>
      </c>
      <c r="J7688">
        <v>0</v>
      </c>
      <c r="K7688" t="str">
        <f t="shared" si="1382"/>
        <v>813</v>
      </c>
      <c r="L7688">
        <v>729.12</v>
      </c>
    </row>
    <row r="7689" spans="1:12" x14ac:dyDescent="0.25">
      <c r="A7689" t="str">
        <f t="shared" si="1379"/>
        <v>89301000</v>
      </c>
      <c r="B7689" t="str">
        <f t="shared" si="1380"/>
        <v>06539000</v>
      </c>
      <c r="C7689" t="str">
        <f t="shared" si="1381"/>
        <v>06539003</v>
      </c>
      <c r="D7689">
        <v>89301171</v>
      </c>
      <c r="E7689" t="str">
        <f t="shared" si="1383"/>
        <v>9353285678</v>
      </c>
      <c r="F7689" s="1">
        <v>45098</v>
      </c>
      <c r="G7689" t="str">
        <f t="shared" si="1384"/>
        <v>91413</v>
      </c>
      <c r="H7689">
        <v>1</v>
      </c>
      <c r="I7689">
        <v>868</v>
      </c>
      <c r="J7689">
        <v>0</v>
      </c>
      <c r="K7689" t="str">
        <f t="shared" si="1382"/>
        <v>813</v>
      </c>
      <c r="L7689">
        <v>729.12</v>
      </c>
    </row>
    <row r="7690" spans="1:12" x14ac:dyDescent="0.25">
      <c r="A7690" t="str">
        <f t="shared" si="1379"/>
        <v>89301000</v>
      </c>
      <c r="B7690" t="str">
        <f t="shared" si="1380"/>
        <v>06539000</v>
      </c>
      <c r="C7690" t="str">
        <f t="shared" si="1381"/>
        <v>06539003</v>
      </c>
      <c r="D7690">
        <v>89301171</v>
      </c>
      <c r="E7690" t="str">
        <f t="shared" si="1383"/>
        <v>9353285678</v>
      </c>
      <c r="F7690" s="1">
        <v>45098</v>
      </c>
      <c r="G7690" t="str">
        <f t="shared" si="1384"/>
        <v>91413</v>
      </c>
      <c r="H7690">
        <v>1</v>
      </c>
      <c r="I7690">
        <v>868</v>
      </c>
      <c r="J7690">
        <v>0</v>
      </c>
      <c r="K7690" t="str">
        <f t="shared" si="1382"/>
        <v>813</v>
      </c>
      <c r="L7690">
        <v>729.12</v>
      </c>
    </row>
    <row r="7691" spans="1:12" x14ac:dyDescent="0.25">
      <c r="A7691" t="str">
        <f t="shared" si="1379"/>
        <v>89301000</v>
      </c>
      <c r="B7691" t="str">
        <f t="shared" si="1380"/>
        <v>06539000</v>
      </c>
      <c r="C7691" t="str">
        <f t="shared" si="1381"/>
        <v>06539003</v>
      </c>
      <c r="D7691">
        <v>89301171</v>
      </c>
      <c r="E7691" t="str">
        <f t="shared" si="1383"/>
        <v>9353285678</v>
      </c>
      <c r="F7691" s="1">
        <v>45098</v>
      </c>
      <c r="G7691" t="str">
        <f t="shared" si="1384"/>
        <v>91413</v>
      </c>
      <c r="H7691">
        <v>1</v>
      </c>
      <c r="I7691">
        <v>868</v>
      </c>
      <c r="J7691">
        <v>0</v>
      </c>
      <c r="K7691" t="str">
        <f t="shared" si="1382"/>
        <v>813</v>
      </c>
      <c r="L7691">
        <v>729.12</v>
      </c>
    </row>
    <row r="7692" spans="1:12" x14ac:dyDescent="0.25">
      <c r="A7692" t="str">
        <f t="shared" si="1379"/>
        <v>89301000</v>
      </c>
      <c r="B7692" t="str">
        <f t="shared" si="1380"/>
        <v>06539000</v>
      </c>
      <c r="C7692" t="str">
        <f t="shared" si="1381"/>
        <v>06539003</v>
      </c>
      <c r="D7692">
        <v>89301171</v>
      </c>
      <c r="E7692" t="str">
        <f t="shared" si="1383"/>
        <v>9353285678</v>
      </c>
      <c r="F7692" s="1">
        <v>45098</v>
      </c>
      <c r="G7692" t="str">
        <f t="shared" si="1384"/>
        <v>91413</v>
      </c>
      <c r="H7692">
        <v>1</v>
      </c>
      <c r="I7692">
        <v>868</v>
      </c>
      <c r="J7692">
        <v>0</v>
      </c>
      <c r="K7692" t="str">
        <f t="shared" si="1382"/>
        <v>813</v>
      </c>
      <c r="L7692">
        <v>729.12</v>
      </c>
    </row>
    <row r="7693" spans="1:12" x14ac:dyDescent="0.25">
      <c r="A7693" t="str">
        <f t="shared" si="1379"/>
        <v>89301000</v>
      </c>
      <c r="B7693" t="str">
        <f t="shared" si="1380"/>
        <v>06539000</v>
      </c>
      <c r="C7693" t="str">
        <f t="shared" si="1381"/>
        <v>06539003</v>
      </c>
      <c r="D7693">
        <v>89301171</v>
      </c>
      <c r="E7693" t="str">
        <f t="shared" si="1383"/>
        <v>9353285678</v>
      </c>
      <c r="F7693" s="1">
        <v>45100</v>
      </c>
      <c r="G7693" t="str">
        <f t="shared" si="1384"/>
        <v>91413</v>
      </c>
      <c r="H7693">
        <v>1</v>
      </c>
      <c r="I7693">
        <v>868</v>
      </c>
      <c r="J7693">
        <v>0</v>
      </c>
      <c r="K7693" t="str">
        <f t="shared" si="1382"/>
        <v>813</v>
      </c>
      <c r="L7693">
        <v>729.12</v>
      </c>
    </row>
    <row r="7694" spans="1:12" x14ac:dyDescent="0.25">
      <c r="A7694" t="str">
        <f t="shared" si="1379"/>
        <v>89301000</v>
      </c>
      <c r="B7694" t="str">
        <f t="shared" si="1380"/>
        <v>06539000</v>
      </c>
      <c r="C7694" t="str">
        <f t="shared" si="1381"/>
        <v>06539003</v>
      </c>
      <c r="D7694">
        <v>89301171</v>
      </c>
      <c r="E7694" t="str">
        <f t="shared" si="1383"/>
        <v>9353285678</v>
      </c>
      <c r="F7694" s="1">
        <v>45100</v>
      </c>
      <c r="G7694" t="str">
        <f t="shared" si="1384"/>
        <v>91413</v>
      </c>
      <c r="H7694">
        <v>1</v>
      </c>
      <c r="I7694">
        <v>868</v>
      </c>
      <c r="J7694">
        <v>0</v>
      </c>
      <c r="K7694" t="str">
        <f t="shared" si="1382"/>
        <v>813</v>
      </c>
      <c r="L7694">
        <v>729.12</v>
      </c>
    </row>
    <row r="7695" spans="1:12" x14ac:dyDescent="0.25">
      <c r="A7695" t="str">
        <f t="shared" si="1379"/>
        <v>89301000</v>
      </c>
      <c r="B7695" t="str">
        <f t="shared" si="1380"/>
        <v>06539000</v>
      </c>
      <c r="C7695" t="str">
        <f t="shared" si="1381"/>
        <v>06539003</v>
      </c>
      <c r="D7695">
        <v>89301171</v>
      </c>
      <c r="E7695" t="str">
        <f t="shared" si="1383"/>
        <v>9353285678</v>
      </c>
      <c r="F7695" s="1">
        <v>45100</v>
      </c>
      <c r="G7695" t="str">
        <f t="shared" si="1384"/>
        <v>91413</v>
      </c>
      <c r="H7695">
        <v>1</v>
      </c>
      <c r="I7695">
        <v>868</v>
      </c>
      <c r="J7695">
        <v>0</v>
      </c>
      <c r="K7695" t="str">
        <f t="shared" si="1382"/>
        <v>813</v>
      </c>
      <c r="L7695">
        <v>729.12</v>
      </c>
    </row>
    <row r="7696" spans="1:12" x14ac:dyDescent="0.25">
      <c r="A7696" t="str">
        <f t="shared" si="1379"/>
        <v>89301000</v>
      </c>
      <c r="B7696" t="str">
        <f t="shared" si="1380"/>
        <v>06539000</v>
      </c>
      <c r="C7696" t="str">
        <f t="shared" si="1381"/>
        <v>06539003</v>
      </c>
      <c r="D7696">
        <v>89301171</v>
      </c>
      <c r="E7696" t="str">
        <f t="shared" si="1383"/>
        <v>9353285678</v>
      </c>
      <c r="F7696" s="1">
        <v>45100</v>
      </c>
      <c r="G7696" t="str">
        <f t="shared" si="1384"/>
        <v>91413</v>
      </c>
      <c r="H7696">
        <v>1</v>
      </c>
      <c r="I7696">
        <v>868</v>
      </c>
      <c r="J7696">
        <v>0</v>
      </c>
      <c r="K7696" t="str">
        <f t="shared" si="1382"/>
        <v>813</v>
      </c>
      <c r="L7696">
        <v>729.12</v>
      </c>
    </row>
    <row r="7697" spans="1:12" x14ac:dyDescent="0.25">
      <c r="A7697" t="str">
        <f t="shared" si="1379"/>
        <v>89301000</v>
      </c>
      <c r="B7697" t="str">
        <f t="shared" si="1380"/>
        <v>06539000</v>
      </c>
      <c r="C7697" t="str">
        <f t="shared" si="1381"/>
        <v>06539003</v>
      </c>
      <c r="D7697">
        <v>89301171</v>
      </c>
      <c r="E7697" t="str">
        <f t="shared" si="1383"/>
        <v>9353285678</v>
      </c>
      <c r="F7697" s="1">
        <v>45075</v>
      </c>
      <c r="G7697" t="str">
        <f t="shared" ref="G7697:G7702" si="1385">"91197"</f>
        <v>91197</v>
      </c>
      <c r="H7697">
        <v>1</v>
      </c>
      <c r="I7697">
        <v>1048</v>
      </c>
      <c r="J7697">
        <v>0</v>
      </c>
      <c r="K7697" t="str">
        <f t="shared" si="1382"/>
        <v>813</v>
      </c>
      <c r="L7697">
        <v>880.32</v>
      </c>
    </row>
    <row r="7698" spans="1:12" x14ac:dyDescent="0.25">
      <c r="A7698" t="str">
        <f t="shared" si="1379"/>
        <v>89301000</v>
      </c>
      <c r="B7698" t="str">
        <f t="shared" si="1380"/>
        <v>06539000</v>
      </c>
      <c r="C7698" t="str">
        <f t="shared" si="1381"/>
        <v>06539003</v>
      </c>
      <c r="D7698">
        <v>89301171</v>
      </c>
      <c r="E7698" t="str">
        <f t="shared" si="1383"/>
        <v>9353285678</v>
      </c>
      <c r="F7698" s="1">
        <v>45075</v>
      </c>
      <c r="G7698" t="str">
        <f t="shared" si="1385"/>
        <v>91197</v>
      </c>
      <c r="H7698">
        <v>1</v>
      </c>
      <c r="I7698">
        <v>1048</v>
      </c>
      <c r="J7698">
        <v>0</v>
      </c>
      <c r="K7698" t="str">
        <f t="shared" si="1382"/>
        <v>813</v>
      </c>
      <c r="L7698">
        <v>880.32</v>
      </c>
    </row>
    <row r="7699" spans="1:12" x14ac:dyDescent="0.25">
      <c r="A7699" t="str">
        <f t="shared" si="1379"/>
        <v>89301000</v>
      </c>
      <c r="B7699" t="str">
        <f t="shared" si="1380"/>
        <v>06539000</v>
      </c>
      <c r="C7699" t="str">
        <f t="shared" si="1381"/>
        <v>06539003</v>
      </c>
      <c r="D7699">
        <v>89301171</v>
      </c>
      <c r="E7699" t="str">
        <f t="shared" si="1383"/>
        <v>9353285678</v>
      </c>
      <c r="F7699" s="1">
        <v>45074</v>
      </c>
      <c r="G7699" t="str">
        <f t="shared" si="1385"/>
        <v>91197</v>
      </c>
      <c r="H7699">
        <v>1</v>
      </c>
      <c r="I7699">
        <v>1048</v>
      </c>
      <c r="J7699">
        <v>0</v>
      </c>
      <c r="K7699" t="str">
        <f t="shared" si="1382"/>
        <v>813</v>
      </c>
      <c r="L7699">
        <v>880.32</v>
      </c>
    </row>
    <row r="7700" spans="1:12" x14ac:dyDescent="0.25">
      <c r="A7700" t="str">
        <f t="shared" si="1379"/>
        <v>89301000</v>
      </c>
      <c r="B7700" t="str">
        <f t="shared" si="1380"/>
        <v>06539000</v>
      </c>
      <c r="C7700" t="str">
        <f t="shared" si="1381"/>
        <v>06539003</v>
      </c>
      <c r="D7700">
        <v>89301171</v>
      </c>
      <c r="E7700" t="str">
        <f t="shared" si="1383"/>
        <v>9353285678</v>
      </c>
      <c r="F7700" s="1">
        <v>45074</v>
      </c>
      <c r="G7700" t="str">
        <f t="shared" si="1385"/>
        <v>91197</v>
      </c>
      <c r="H7700">
        <v>1</v>
      </c>
      <c r="I7700">
        <v>1048</v>
      </c>
      <c r="J7700">
        <v>0</v>
      </c>
      <c r="K7700" t="str">
        <f t="shared" si="1382"/>
        <v>813</v>
      </c>
      <c r="L7700">
        <v>880.32</v>
      </c>
    </row>
    <row r="7701" spans="1:12" x14ac:dyDescent="0.25">
      <c r="A7701" t="str">
        <f t="shared" si="1379"/>
        <v>89301000</v>
      </c>
      <c r="B7701" t="str">
        <f t="shared" si="1380"/>
        <v>06539000</v>
      </c>
      <c r="C7701" t="str">
        <f t="shared" si="1381"/>
        <v>06539003</v>
      </c>
      <c r="D7701">
        <v>89301171</v>
      </c>
      <c r="E7701" t="str">
        <f t="shared" si="1383"/>
        <v>9353285678</v>
      </c>
      <c r="F7701" s="1">
        <v>45073</v>
      </c>
      <c r="G7701" t="str">
        <f t="shared" si="1385"/>
        <v>91197</v>
      </c>
      <c r="H7701">
        <v>1</v>
      </c>
      <c r="I7701">
        <v>1048</v>
      </c>
      <c r="J7701">
        <v>0</v>
      </c>
      <c r="K7701" t="str">
        <f t="shared" si="1382"/>
        <v>813</v>
      </c>
      <c r="L7701">
        <v>880.32</v>
      </c>
    </row>
    <row r="7702" spans="1:12" x14ac:dyDescent="0.25">
      <c r="A7702" t="str">
        <f t="shared" si="1379"/>
        <v>89301000</v>
      </c>
      <c r="B7702" t="str">
        <f t="shared" si="1380"/>
        <v>06539000</v>
      </c>
      <c r="C7702" t="str">
        <f t="shared" si="1381"/>
        <v>06539003</v>
      </c>
      <c r="D7702">
        <v>89301171</v>
      </c>
      <c r="E7702" t="str">
        <f t="shared" si="1383"/>
        <v>9353285678</v>
      </c>
      <c r="F7702" s="1">
        <v>45073</v>
      </c>
      <c r="G7702" t="str">
        <f t="shared" si="1385"/>
        <v>91197</v>
      </c>
      <c r="H7702">
        <v>1</v>
      </c>
      <c r="I7702">
        <v>1048</v>
      </c>
      <c r="J7702">
        <v>0</v>
      </c>
      <c r="K7702" t="str">
        <f t="shared" si="1382"/>
        <v>813</v>
      </c>
      <c r="L7702">
        <v>880.32</v>
      </c>
    </row>
    <row r="7703" spans="1:12" x14ac:dyDescent="0.25">
      <c r="A7703" t="str">
        <f t="shared" si="1379"/>
        <v>89301000</v>
      </c>
      <c r="B7703" t="str">
        <f t="shared" si="1380"/>
        <v>06539000</v>
      </c>
      <c r="C7703" t="str">
        <f t="shared" si="1381"/>
        <v>06539003</v>
      </c>
      <c r="D7703">
        <v>89301171</v>
      </c>
      <c r="E7703" t="str">
        <f t="shared" si="1383"/>
        <v>9353285678</v>
      </c>
      <c r="F7703" s="1">
        <v>45100</v>
      </c>
      <c r="G7703" t="str">
        <f>"91329"</f>
        <v>91329</v>
      </c>
      <c r="H7703">
        <v>2</v>
      </c>
      <c r="I7703">
        <v>436</v>
      </c>
      <c r="J7703">
        <v>0</v>
      </c>
      <c r="K7703" t="str">
        <f t="shared" si="1382"/>
        <v>813</v>
      </c>
      <c r="L7703">
        <v>366.24</v>
      </c>
    </row>
    <row r="7704" spans="1:12" x14ac:dyDescent="0.25">
      <c r="A7704" t="str">
        <f t="shared" si="1379"/>
        <v>89301000</v>
      </c>
      <c r="B7704" t="str">
        <f t="shared" si="1380"/>
        <v>06539000</v>
      </c>
      <c r="C7704" t="str">
        <f t="shared" si="1381"/>
        <v>06539003</v>
      </c>
      <c r="D7704">
        <v>89301171</v>
      </c>
      <c r="E7704" t="str">
        <f t="shared" si="1383"/>
        <v>9353285678</v>
      </c>
      <c r="F7704" s="1">
        <v>45100</v>
      </c>
      <c r="G7704" t="str">
        <f>"91329"</f>
        <v>91329</v>
      </c>
      <c r="H7704">
        <v>2</v>
      </c>
      <c r="I7704">
        <v>436</v>
      </c>
      <c r="J7704">
        <v>0</v>
      </c>
      <c r="K7704" t="str">
        <f t="shared" si="1382"/>
        <v>813</v>
      </c>
      <c r="L7704">
        <v>366.24</v>
      </c>
    </row>
    <row r="7705" spans="1:12" x14ac:dyDescent="0.25">
      <c r="A7705" t="str">
        <f t="shared" si="1379"/>
        <v>89301000</v>
      </c>
      <c r="B7705" t="str">
        <f t="shared" si="1380"/>
        <v>06539000</v>
      </c>
      <c r="C7705" t="str">
        <f t="shared" si="1381"/>
        <v>06539003</v>
      </c>
      <c r="D7705">
        <v>89301171</v>
      </c>
      <c r="E7705" t="str">
        <f t="shared" si="1383"/>
        <v>9353285678</v>
      </c>
      <c r="F7705" s="1">
        <v>45100</v>
      </c>
      <c r="G7705" t="str">
        <f>"91329"</f>
        <v>91329</v>
      </c>
      <c r="H7705">
        <v>2</v>
      </c>
      <c r="I7705">
        <v>436</v>
      </c>
      <c r="J7705">
        <v>0</v>
      </c>
      <c r="K7705" t="str">
        <f t="shared" si="1382"/>
        <v>813</v>
      </c>
      <c r="L7705">
        <v>366.24</v>
      </c>
    </row>
    <row r="7706" spans="1:12" x14ac:dyDescent="0.25">
      <c r="A7706" t="str">
        <f t="shared" si="1379"/>
        <v>89301000</v>
      </c>
      <c r="B7706" t="str">
        <f t="shared" si="1380"/>
        <v>06539000</v>
      </c>
      <c r="C7706" t="str">
        <f t="shared" si="1381"/>
        <v>06539003</v>
      </c>
      <c r="D7706">
        <v>89301171</v>
      </c>
      <c r="E7706" t="str">
        <f t="shared" si="1383"/>
        <v>9353285678</v>
      </c>
      <c r="F7706" s="1">
        <v>45100</v>
      </c>
      <c r="G7706" t="str">
        <f>"91329"</f>
        <v>91329</v>
      </c>
      <c r="H7706">
        <v>2</v>
      </c>
      <c r="I7706">
        <v>436</v>
      </c>
      <c r="J7706">
        <v>0</v>
      </c>
      <c r="K7706" t="str">
        <f t="shared" si="1382"/>
        <v>813</v>
      </c>
      <c r="L7706">
        <v>366.24</v>
      </c>
    </row>
    <row r="7707" spans="1:12" x14ac:dyDescent="0.25">
      <c r="A7707" t="str">
        <f t="shared" si="1379"/>
        <v>89301000</v>
      </c>
      <c r="B7707" t="str">
        <f t="shared" si="1380"/>
        <v>06539000</v>
      </c>
      <c r="C7707" t="str">
        <f t="shared" si="1381"/>
        <v>06539003</v>
      </c>
      <c r="D7707">
        <v>89301171</v>
      </c>
      <c r="E7707" t="str">
        <f t="shared" si="1383"/>
        <v>9353285678</v>
      </c>
      <c r="F7707" s="1">
        <v>45073</v>
      </c>
      <c r="G7707" t="str">
        <f>"91167"</f>
        <v>91167</v>
      </c>
      <c r="H7707">
        <v>1</v>
      </c>
      <c r="I7707">
        <v>426</v>
      </c>
      <c r="J7707">
        <v>0</v>
      </c>
      <c r="K7707" t="str">
        <f t="shared" si="1382"/>
        <v>813</v>
      </c>
      <c r="L7707">
        <v>357.84</v>
      </c>
    </row>
    <row r="7708" spans="1:12" x14ac:dyDescent="0.25">
      <c r="A7708" t="str">
        <f t="shared" si="1379"/>
        <v>89301000</v>
      </c>
      <c r="B7708" t="str">
        <f t="shared" si="1380"/>
        <v>06539000</v>
      </c>
      <c r="C7708" t="str">
        <f t="shared" si="1381"/>
        <v>06539003</v>
      </c>
      <c r="D7708">
        <v>89301171</v>
      </c>
      <c r="E7708" t="str">
        <f t="shared" si="1383"/>
        <v>9353285678</v>
      </c>
      <c r="F7708" s="1">
        <v>45073</v>
      </c>
      <c r="G7708" t="str">
        <f>"91169"</f>
        <v>91169</v>
      </c>
      <c r="H7708">
        <v>1</v>
      </c>
      <c r="I7708">
        <v>426</v>
      </c>
      <c r="J7708">
        <v>0</v>
      </c>
      <c r="K7708" t="str">
        <f t="shared" si="1382"/>
        <v>813</v>
      </c>
      <c r="L7708">
        <v>357.84</v>
      </c>
    </row>
    <row r="7709" spans="1:12" x14ac:dyDescent="0.25">
      <c r="A7709" t="str">
        <f t="shared" si="1379"/>
        <v>89301000</v>
      </c>
      <c r="B7709" t="str">
        <f t="shared" si="1380"/>
        <v>06539000</v>
      </c>
      <c r="C7709" t="str">
        <f t="shared" si="1381"/>
        <v>06539003</v>
      </c>
      <c r="D7709">
        <v>89301171</v>
      </c>
      <c r="E7709" t="str">
        <f t="shared" si="1383"/>
        <v>9353285678</v>
      </c>
      <c r="F7709" s="1">
        <v>45083</v>
      </c>
      <c r="G7709" t="str">
        <f>"91475"</f>
        <v>91475</v>
      </c>
      <c r="H7709">
        <v>1</v>
      </c>
      <c r="I7709">
        <v>213</v>
      </c>
      <c r="J7709">
        <v>0</v>
      </c>
      <c r="K7709" t="str">
        <f t="shared" si="1382"/>
        <v>813</v>
      </c>
      <c r="L7709">
        <v>178.92</v>
      </c>
    </row>
    <row r="7710" spans="1:12" x14ac:dyDescent="0.25">
      <c r="A7710" t="str">
        <f t="shared" si="1379"/>
        <v>89301000</v>
      </c>
      <c r="B7710" t="str">
        <f t="shared" si="1380"/>
        <v>06539000</v>
      </c>
      <c r="C7710" t="str">
        <f t="shared" si="1381"/>
        <v>06539003</v>
      </c>
      <c r="D7710">
        <v>89301171</v>
      </c>
      <c r="E7710" t="str">
        <f t="shared" ref="E7710:E7732" si="1386">"6405170068"</f>
        <v>6405170068</v>
      </c>
      <c r="F7710" s="1">
        <v>45077</v>
      </c>
      <c r="G7710" t="str">
        <f t="shared" ref="G7710:G7719" si="1387">"91413"</f>
        <v>91413</v>
      </c>
      <c r="H7710">
        <v>1</v>
      </c>
      <c r="I7710">
        <v>868</v>
      </c>
      <c r="J7710">
        <v>0</v>
      </c>
      <c r="K7710" t="str">
        <f t="shared" si="1382"/>
        <v>813</v>
      </c>
      <c r="L7710">
        <v>729.12</v>
      </c>
    </row>
    <row r="7711" spans="1:12" x14ac:dyDescent="0.25">
      <c r="A7711" t="str">
        <f t="shared" si="1379"/>
        <v>89301000</v>
      </c>
      <c r="B7711" t="str">
        <f t="shared" si="1380"/>
        <v>06539000</v>
      </c>
      <c r="C7711" t="str">
        <f t="shared" si="1381"/>
        <v>06539003</v>
      </c>
      <c r="D7711">
        <v>89301171</v>
      </c>
      <c r="E7711" t="str">
        <f t="shared" si="1386"/>
        <v>6405170068</v>
      </c>
      <c r="F7711" s="1">
        <v>45077</v>
      </c>
      <c r="G7711" t="str">
        <f t="shared" si="1387"/>
        <v>91413</v>
      </c>
      <c r="H7711">
        <v>1</v>
      </c>
      <c r="I7711">
        <v>868</v>
      </c>
      <c r="J7711">
        <v>0</v>
      </c>
      <c r="K7711" t="str">
        <f t="shared" si="1382"/>
        <v>813</v>
      </c>
      <c r="L7711">
        <v>729.12</v>
      </c>
    </row>
    <row r="7712" spans="1:12" x14ac:dyDescent="0.25">
      <c r="A7712" t="str">
        <f t="shared" si="1379"/>
        <v>89301000</v>
      </c>
      <c r="B7712" t="str">
        <f t="shared" si="1380"/>
        <v>06539000</v>
      </c>
      <c r="C7712" t="str">
        <f t="shared" si="1381"/>
        <v>06539003</v>
      </c>
      <c r="D7712">
        <v>89301171</v>
      </c>
      <c r="E7712" t="str">
        <f t="shared" si="1386"/>
        <v>6405170068</v>
      </c>
      <c r="F7712" s="1">
        <v>45098</v>
      </c>
      <c r="G7712" t="str">
        <f t="shared" si="1387"/>
        <v>91413</v>
      </c>
      <c r="H7712">
        <v>1</v>
      </c>
      <c r="I7712">
        <v>868</v>
      </c>
      <c r="J7712">
        <v>0</v>
      </c>
      <c r="K7712" t="str">
        <f t="shared" si="1382"/>
        <v>813</v>
      </c>
      <c r="L7712">
        <v>729.12</v>
      </c>
    </row>
    <row r="7713" spans="1:12" x14ac:dyDescent="0.25">
      <c r="A7713" t="str">
        <f t="shared" si="1379"/>
        <v>89301000</v>
      </c>
      <c r="B7713" t="str">
        <f t="shared" si="1380"/>
        <v>06539000</v>
      </c>
      <c r="C7713" t="str">
        <f t="shared" si="1381"/>
        <v>06539003</v>
      </c>
      <c r="D7713">
        <v>89301171</v>
      </c>
      <c r="E7713" t="str">
        <f t="shared" si="1386"/>
        <v>6405170068</v>
      </c>
      <c r="F7713" s="1">
        <v>45098</v>
      </c>
      <c r="G7713" t="str">
        <f t="shared" si="1387"/>
        <v>91413</v>
      </c>
      <c r="H7713">
        <v>1</v>
      </c>
      <c r="I7713">
        <v>868</v>
      </c>
      <c r="J7713">
        <v>0</v>
      </c>
      <c r="K7713" t="str">
        <f t="shared" si="1382"/>
        <v>813</v>
      </c>
      <c r="L7713">
        <v>729.12</v>
      </c>
    </row>
    <row r="7714" spans="1:12" x14ac:dyDescent="0.25">
      <c r="A7714" t="str">
        <f t="shared" si="1379"/>
        <v>89301000</v>
      </c>
      <c r="B7714" t="str">
        <f t="shared" si="1380"/>
        <v>06539000</v>
      </c>
      <c r="C7714" t="str">
        <f t="shared" si="1381"/>
        <v>06539003</v>
      </c>
      <c r="D7714">
        <v>89301171</v>
      </c>
      <c r="E7714" t="str">
        <f t="shared" si="1386"/>
        <v>6405170068</v>
      </c>
      <c r="F7714" s="1">
        <v>45098</v>
      </c>
      <c r="G7714" t="str">
        <f t="shared" si="1387"/>
        <v>91413</v>
      </c>
      <c r="H7714">
        <v>1</v>
      </c>
      <c r="I7714">
        <v>868</v>
      </c>
      <c r="J7714">
        <v>0</v>
      </c>
      <c r="K7714" t="str">
        <f t="shared" si="1382"/>
        <v>813</v>
      </c>
      <c r="L7714">
        <v>729.12</v>
      </c>
    </row>
    <row r="7715" spans="1:12" x14ac:dyDescent="0.25">
      <c r="A7715" t="str">
        <f t="shared" si="1379"/>
        <v>89301000</v>
      </c>
      <c r="B7715" t="str">
        <f t="shared" si="1380"/>
        <v>06539000</v>
      </c>
      <c r="C7715" t="str">
        <f t="shared" si="1381"/>
        <v>06539003</v>
      </c>
      <c r="D7715">
        <v>89301171</v>
      </c>
      <c r="E7715" t="str">
        <f t="shared" si="1386"/>
        <v>6405170068</v>
      </c>
      <c r="F7715" s="1">
        <v>45098</v>
      </c>
      <c r="G7715" t="str">
        <f t="shared" si="1387"/>
        <v>91413</v>
      </c>
      <c r="H7715">
        <v>1</v>
      </c>
      <c r="I7715">
        <v>868</v>
      </c>
      <c r="J7715">
        <v>0</v>
      </c>
      <c r="K7715" t="str">
        <f t="shared" si="1382"/>
        <v>813</v>
      </c>
      <c r="L7715">
        <v>729.12</v>
      </c>
    </row>
    <row r="7716" spans="1:12" x14ac:dyDescent="0.25">
      <c r="A7716" t="str">
        <f t="shared" si="1379"/>
        <v>89301000</v>
      </c>
      <c r="B7716" t="str">
        <f t="shared" si="1380"/>
        <v>06539000</v>
      </c>
      <c r="C7716" t="str">
        <f t="shared" si="1381"/>
        <v>06539003</v>
      </c>
      <c r="D7716">
        <v>89301171</v>
      </c>
      <c r="E7716" t="str">
        <f t="shared" si="1386"/>
        <v>6405170068</v>
      </c>
      <c r="F7716" s="1">
        <v>45100</v>
      </c>
      <c r="G7716" t="str">
        <f t="shared" si="1387"/>
        <v>91413</v>
      </c>
      <c r="H7716">
        <v>1</v>
      </c>
      <c r="I7716">
        <v>868</v>
      </c>
      <c r="J7716">
        <v>0</v>
      </c>
      <c r="K7716" t="str">
        <f t="shared" si="1382"/>
        <v>813</v>
      </c>
      <c r="L7716">
        <v>729.12</v>
      </c>
    </row>
    <row r="7717" spans="1:12" x14ac:dyDescent="0.25">
      <c r="A7717" t="str">
        <f t="shared" si="1379"/>
        <v>89301000</v>
      </c>
      <c r="B7717" t="str">
        <f t="shared" si="1380"/>
        <v>06539000</v>
      </c>
      <c r="C7717" t="str">
        <f t="shared" ref="C7717:C7748" si="1388">"06539003"</f>
        <v>06539003</v>
      </c>
      <c r="D7717">
        <v>89301171</v>
      </c>
      <c r="E7717" t="str">
        <f t="shared" si="1386"/>
        <v>6405170068</v>
      </c>
      <c r="F7717" s="1">
        <v>45100</v>
      </c>
      <c r="G7717" t="str">
        <f t="shared" si="1387"/>
        <v>91413</v>
      </c>
      <c r="H7717">
        <v>1</v>
      </c>
      <c r="I7717">
        <v>868</v>
      </c>
      <c r="J7717">
        <v>0</v>
      </c>
      <c r="K7717" t="str">
        <f t="shared" ref="K7717:K7748" si="1389">"813"</f>
        <v>813</v>
      </c>
      <c r="L7717">
        <v>729.12</v>
      </c>
    </row>
    <row r="7718" spans="1:12" x14ac:dyDescent="0.25">
      <c r="A7718" t="str">
        <f t="shared" si="1379"/>
        <v>89301000</v>
      </c>
      <c r="B7718" t="str">
        <f t="shared" si="1380"/>
        <v>06539000</v>
      </c>
      <c r="C7718" t="str">
        <f t="shared" si="1388"/>
        <v>06539003</v>
      </c>
      <c r="D7718">
        <v>89301171</v>
      </c>
      <c r="E7718" t="str">
        <f t="shared" si="1386"/>
        <v>6405170068</v>
      </c>
      <c r="F7718" s="1">
        <v>45100</v>
      </c>
      <c r="G7718" t="str">
        <f t="shared" si="1387"/>
        <v>91413</v>
      </c>
      <c r="H7718">
        <v>1</v>
      </c>
      <c r="I7718">
        <v>868</v>
      </c>
      <c r="J7718">
        <v>0</v>
      </c>
      <c r="K7718" t="str">
        <f t="shared" si="1389"/>
        <v>813</v>
      </c>
      <c r="L7718">
        <v>729.12</v>
      </c>
    </row>
    <row r="7719" spans="1:12" x14ac:dyDescent="0.25">
      <c r="A7719" t="str">
        <f t="shared" si="1379"/>
        <v>89301000</v>
      </c>
      <c r="B7719" t="str">
        <f t="shared" si="1380"/>
        <v>06539000</v>
      </c>
      <c r="C7719" t="str">
        <f t="shared" si="1388"/>
        <v>06539003</v>
      </c>
      <c r="D7719">
        <v>89301171</v>
      </c>
      <c r="E7719" t="str">
        <f t="shared" si="1386"/>
        <v>6405170068</v>
      </c>
      <c r="F7719" s="1">
        <v>45100</v>
      </c>
      <c r="G7719" t="str">
        <f t="shared" si="1387"/>
        <v>91413</v>
      </c>
      <c r="H7719">
        <v>1</v>
      </c>
      <c r="I7719">
        <v>868</v>
      </c>
      <c r="J7719">
        <v>0</v>
      </c>
      <c r="K7719" t="str">
        <f t="shared" si="1389"/>
        <v>813</v>
      </c>
      <c r="L7719">
        <v>729.12</v>
      </c>
    </row>
    <row r="7720" spans="1:12" x14ac:dyDescent="0.25">
      <c r="A7720" t="str">
        <f t="shared" si="1379"/>
        <v>89301000</v>
      </c>
      <c r="B7720" t="str">
        <f t="shared" si="1380"/>
        <v>06539000</v>
      </c>
      <c r="C7720" t="str">
        <f t="shared" si="1388"/>
        <v>06539003</v>
      </c>
      <c r="D7720">
        <v>89301171</v>
      </c>
      <c r="E7720" t="str">
        <f t="shared" si="1386"/>
        <v>6405170068</v>
      </c>
      <c r="F7720" s="1">
        <v>45075</v>
      </c>
      <c r="G7720" t="str">
        <f t="shared" ref="G7720:G7725" si="1390">"91197"</f>
        <v>91197</v>
      </c>
      <c r="H7720">
        <v>1</v>
      </c>
      <c r="I7720">
        <v>1048</v>
      </c>
      <c r="J7720">
        <v>0</v>
      </c>
      <c r="K7720" t="str">
        <f t="shared" si="1389"/>
        <v>813</v>
      </c>
      <c r="L7720">
        <v>880.32</v>
      </c>
    </row>
    <row r="7721" spans="1:12" x14ac:dyDescent="0.25">
      <c r="A7721" t="str">
        <f t="shared" si="1379"/>
        <v>89301000</v>
      </c>
      <c r="B7721" t="str">
        <f t="shared" si="1380"/>
        <v>06539000</v>
      </c>
      <c r="C7721" t="str">
        <f t="shared" si="1388"/>
        <v>06539003</v>
      </c>
      <c r="D7721">
        <v>89301171</v>
      </c>
      <c r="E7721" t="str">
        <f t="shared" si="1386"/>
        <v>6405170068</v>
      </c>
      <c r="F7721" s="1">
        <v>45075</v>
      </c>
      <c r="G7721" t="str">
        <f t="shared" si="1390"/>
        <v>91197</v>
      </c>
      <c r="H7721">
        <v>1</v>
      </c>
      <c r="I7721">
        <v>1048</v>
      </c>
      <c r="J7721">
        <v>0</v>
      </c>
      <c r="K7721" t="str">
        <f t="shared" si="1389"/>
        <v>813</v>
      </c>
      <c r="L7721">
        <v>880.32</v>
      </c>
    </row>
    <row r="7722" spans="1:12" x14ac:dyDescent="0.25">
      <c r="A7722" t="str">
        <f t="shared" si="1379"/>
        <v>89301000</v>
      </c>
      <c r="B7722" t="str">
        <f t="shared" si="1380"/>
        <v>06539000</v>
      </c>
      <c r="C7722" t="str">
        <f t="shared" si="1388"/>
        <v>06539003</v>
      </c>
      <c r="D7722">
        <v>89301171</v>
      </c>
      <c r="E7722" t="str">
        <f t="shared" si="1386"/>
        <v>6405170068</v>
      </c>
      <c r="F7722" s="1">
        <v>45074</v>
      </c>
      <c r="G7722" t="str">
        <f t="shared" si="1390"/>
        <v>91197</v>
      </c>
      <c r="H7722">
        <v>1</v>
      </c>
      <c r="I7722">
        <v>1048</v>
      </c>
      <c r="J7722">
        <v>0</v>
      </c>
      <c r="K7722" t="str">
        <f t="shared" si="1389"/>
        <v>813</v>
      </c>
      <c r="L7722">
        <v>880.32</v>
      </c>
    </row>
    <row r="7723" spans="1:12" x14ac:dyDescent="0.25">
      <c r="A7723" t="str">
        <f t="shared" si="1379"/>
        <v>89301000</v>
      </c>
      <c r="B7723" t="str">
        <f t="shared" si="1380"/>
        <v>06539000</v>
      </c>
      <c r="C7723" t="str">
        <f t="shared" si="1388"/>
        <v>06539003</v>
      </c>
      <c r="D7723">
        <v>89301171</v>
      </c>
      <c r="E7723" t="str">
        <f t="shared" si="1386"/>
        <v>6405170068</v>
      </c>
      <c r="F7723" s="1">
        <v>45074</v>
      </c>
      <c r="G7723" t="str">
        <f t="shared" si="1390"/>
        <v>91197</v>
      </c>
      <c r="H7723">
        <v>1</v>
      </c>
      <c r="I7723">
        <v>1048</v>
      </c>
      <c r="J7723">
        <v>0</v>
      </c>
      <c r="K7723" t="str">
        <f t="shared" si="1389"/>
        <v>813</v>
      </c>
      <c r="L7723">
        <v>880.32</v>
      </c>
    </row>
    <row r="7724" spans="1:12" x14ac:dyDescent="0.25">
      <c r="A7724" t="str">
        <f t="shared" si="1379"/>
        <v>89301000</v>
      </c>
      <c r="B7724" t="str">
        <f t="shared" si="1380"/>
        <v>06539000</v>
      </c>
      <c r="C7724" t="str">
        <f t="shared" si="1388"/>
        <v>06539003</v>
      </c>
      <c r="D7724">
        <v>89301171</v>
      </c>
      <c r="E7724" t="str">
        <f t="shared" si="1386"/>
        <v>6405170068</v>
      </c>
      <c r="F7724" s="1">
        <v>45073</v>
      </c>
      <c r="G7724" t="str">
        <f t="shared" si="1390"/>
        <v>91197</v>
      </c>
      <c r="H7724">
        <v>1</v>
      </c>
      <c r="I7724">
        <v>1048</v>
      </c>
      <c r="J7724">
        <v>0</v>
      </c>
      <c r="K7724" t="str">
        <f t="shared" si="1389"/>
        <v>813</v>
      </c>
      <c r="L7724">
        <v>880.32</v>
      </c>
    </row>
    <row r="7725" spans="1:12" x14ac:dyDescent="0.25">
      <c r="A7725" t="str">
        <f t="shared" si="1379"/>
        <v>89301000</v>
      </c>
      <c r="B7725" t="str">
        <f t="shared" si="1380"/>
        <v>06539000</v>
      </c>
      <c r="C7725" t="str">
        <f t="shared" si="1388"/>
        <v>06539003</v>
      </c>
      <c r="D7725">
        <v>89301171</v>
      </c>
      <c r="E7725" t="str">
        <f t="shared" si="1386"/>
        <v>6405170068</v>
      </c>
      <c r="F7725" s="1">
        <v>45073</v>
      </c>
      <c r="G7725" t="str">
        <f t="shared" si="1390"/>
        <v>91197</v>
      </c>
      <c r="H7725">
        <v>1</v>
      </c>
      <c r="I7725">
        <v>1048</v>
      </c>
      <c r="J7725">
        <v>0</v>
      </c>
      <c r="K7725" t="str">
        <f t="shared" si="1389"/>
        <v>813</v>
      </c>
      <c r="L7725">
        <v>880.32</v>
      </c>
    </row>
    <row r="7726" spans="1:12" x14ac:dyDescent="0.25">
      <c r="A7726" t="str">
        <f t="shared" si="1379"/>
        <v>89301000</v>
      </c>
      <c r="B7726" t="str">
        <f t="shared" si="1380"/>
        <v>06539000</v>
      </c>
      <c r="C7726" t="str">
        <f t="shared" si="1388"/>
        <v>06539003</v>
      </c>
      <c r="D7726">
        <v>89301171</v>
      </c>
      <c r="E7726" t="str">
        <f t="shared" si="1386"/>
        <v>6405170068</v>
      </c>
      <c r="F7726" s="1">
        <v>45100</v>
      </c>
      <c r="G7726" t="str">
        <f>"91329"</f>
        <v>91329</v>
      </c>
      <c r="H7726">
        <v>2</v>
      </c>
      <c r="I7726">
        <v>436</v>
      </c>
      <c r="J7726">
        <v>0</v>
      </c>
      <c r="K7726" t="str">
        <f t="shared" si="1389"/>
        <v>813</v>
      </c>
      <c r="L7726">
        <v>366.24</v>
      </c>
    </row>
    <row r="7727" spans="1:12" x14ac:dyDescent="0.25">
      <c r="A7727" t="str">
        <f t="shared" si="1379"/>
        <v>89301000</v>
      </c>
      <c r="B7727" t="str">
        <f t="shared" si="1380"/>
        <v>06539000</v>
      </c>
      <c r="C7727" t="str">
        <f t="shared" si="1388"/>
        <v>06539003</v>
      </c>
      <c r="D7727">
        <v>89301171</v>
      </c>
      <c r="E7727" t="str">
        <f t="shared" si="1386"/>
        <v>6405170068</v>
      </c>
      <c r="F7727" s="1">
        <v>45100</v>
      </c>
      <c r="G7727" t="str">
        <f>"91329"</f>
        <v>91329</v>
      </c>
      <c r="H7727">
        <v>2</v>
      </c>
      <c r="I7727">
        <v>436</v>
      </c>
      <c r="J7727">
        <v>0</v>
      </c>
      <c r="K7727" t="str">
        <f t="shared" si="1389"/>
        <v>813</v>
      </c>
      <c r="L7727">
        <v>366.24</v>
      </c>
    </row>
    <row r="7728" spans="1:12" x14ac:dyDescent="0.25">
      <c r="A7728" t="str">
        <f t="shared" si="1379"/>
        <v>89301000</v>
      </c>
      <c r="B7728" t="str">
        <f t="shared" si="1380"/>
        <v>06539000</v>
      </c>
      <c r="C7728" t="str">
        <f t="shared" si="1388"/>
        <v>06539003</v>
      </c>
      <c r="D7728">
        <v>89301171</v>
      </c>
      <c r="E7728" t="str">
        <f t="shared" si="1386"/>
        <v>6405170068</v>
      </c>
      <c r="F7728" s="1">
        <v>45100</v>
      </c>
      <c r="G7728" t="str">
        <f>"91329"</f>
        <v>91329</v>
      </c>
      <c r="H7728">
        <v>2</v>
      </c>
      <c r="I7728">
        <v>436</v>
      </c>
      <c r="J7728">
        <v>0</v>
      </c>
      <c r="K7728" t="str">
        <f t="shared" si="1389"/>
        <v>813</v>
      </c>
      <c r="L7728">
        <v>366.24</v>
      </c>
    </row>
    <row r="7729" spans="1:12" x14ac:dyDescent="0.25">
      <c r="A7729" t="str">
        <f t="shared" si="1379"/>
        <v>89301000</v>
      </c>
      <c r="B7729" t="str">
        <f t="shared" si="1380"/>
        <v>06539000</v>
      </c>
      <c r="C7729" t="str">
        <f t="shared" si="1388"/>
        <v>06539003</v>
      </c>
      <c r="D7729">
        <v>89301171</v>
      </c>
      <c r="E7729" t="str">
        <f t="shared" si="1386"/>
        <v>6405170068</v>
      </c>
      <c r="F7729" s="1">
        <v>45100</v>
      </c>
      <c r="G7729" t="str">
        <f>"91329"</f>
        <v>91329</v>
      </c>
      <c r="H7729">
        <v>2</v>
      </c>
      <c r="I7729">
        <v>436</v>
      </c>
      <c r="J7729">
        <v>0</v>
      </c>
      <c r="K7729" t="str">
        <f t="shared" si="1389"/>
        <v>813</v>
      </c>
      <c r="L7729">
        <v>366.24</v>
      </c>
    </row>
    <row r="7730" spans="1:12" x14ac:dyDescent="0.25">
      <c r="A7730" t="str">
        <f t="shared" si="1379"/>
        <v>89301000</v>
      </c>
      <c r="B7730" t="str">
        <f t="shared" si="1380"/>
        <v>06539000</v>
      </c>
      <c r="C7730" t="str">
        <f t="shared" si="1388"/>
        <v>06539003</v>
      </c>
      <c r="D7730">
        <v>89301171</v>
      </c>
      <c r="E7730" t="str">
        <f t="shared" si="1386"/>
        <v>6405170068</v>
      </c>
      <c r="F7730" s="1">
        <v>45073</v>
      </c>
      <c r="G7730" t="str">
        <f>"91167"</f>
        <v>91167</v>
      </c>
      <c r="H7730">
        <v>1</v>
      </c>
      <c r="I7730">
        <v>426</v>
      </c>
      <c r="J7730">
        <v>0</v>
      </c>
      <c r="K7730" t="str">
        <f t="shared" si="1389"/>
        <v>813</v>
      </c>
      <c r="L7730">
        <v>357.84</v>
      </c>
    </row>
    <row r="7731" spans="1:12" x14ac:dyDescent="0.25">
      <c r="A7731" t="str">
        <f t="shared" si="1379"/>
        <v>89301000</v>
      </c>
      <c r="B7731" t="str">
        <f t="shared" si="1380"/>
        <v>06539000</v>
      </c>
      <c r="C7731" t="str">
        <f t="shared" si="1388"/>
        <v>06539003</v>
      </c>
      <c r="D7731">
        <v>89301171</v>
      </c>
      <c r="E7731" t="str">
        <f t="shared" si="1386"/>
        <v>6405170068</v>
      </c>
      <c r="F7731" s="1">
        <v>45073</v>
      </c>
      <c r="G7731" t="str">
        <f>"91169"</f>
        <v>91169</v>
      </c>
      <c r="H7731">
        <v>1</v>
      </c>
      <c r="I7731">
        <v>426</v>
      </c>
      <c r="J7731">
        <v>0</v>
      </c>
      <c r="K7731" t="str">
        <f t="shared" si="1389"/>
        <v>813</v>
      </c>
      <c r="L7731">
        <v>357.84</v>
      </c>
    </row>
    <row r="7732" spans="1:12" x14ac:dyDescent="0.25">
      <c r="A7732" t="str">
        <f t="shared" si="1379"/>
        <v>89301000</v>
      </c>
      <c r="B7732" t="str">
        <f t="shared" si="1380"/>
        <v>06539000</v>
      </c>
      <c r="C7732" t="str">
        <f t="shared" si="1388"/>
        <v>06539003</v>
      </c>
      <c r="D7732">
        <v>89301171</v>
      </c>
      <c r="E7732" t="str">
        <f t="shared" si="1386"/>
        <v>6405170068</v>
      </c>
      <c r="F7732" s="1">
        <v>45083</v>
      </c>
      <c r="G7732" t="str">
        <f>"91475"</f>
        <v>91475</v>
      </c>
      <c r="H7732">
        <v>1</v>
      </c>
      <c r="I7732">
        <v>213</v>
      </c>
      <c r="J7732">
        <v>0</v>
      </c>
      <c r="K7732" t="str">
        <f t="shared" si="1389"/>
        <v>813</v>
      </c>
      <c r="L7732">
        <v>178.92</v>
      </c>
    </row>
    <row r="7733" spans="1:12" x14ac:dyDescent="0.25">
      <c r="A7733" t="str">
        <f t="shared" si="1379"/>
        <v>89301000</v>
      </c>
      <c r="B7733" t="str">
        <f t="shared" si="1380"/>
        <v>06539000</v>
      </c>
      <c r="C7733" t="str">
        <f t="shared" si="1388"/>
        <v>06539003</v>
      </c>
      <c r="D7733">
        <v>89301101</v>
      </c>
      <c r="E7733" t="str">
        <f t="shared" ref="E7733:E7744" si="1391">"0610023282"</f>
        <v>0610023282</v>
      </c>
      <c r="F7733" s="1">
        <v>45086</v>
      </c>
      <c r="G7733" t="str">
        <f t="shared" ref="G7733:G7742" si="1392">"91413"</f>
        <v>91413</v>
      </c>
      <c r="H7733">
        <v>1</v>
      </c>
      <c r="I7733">
        <v>868</v>
      </c>
      <c r="J7733">
        <v>0</v>
      </c>
      <c r="K7733" t="str">
        <f t="shared" si="1389"/>
        <v>813</v>
      </c>
      <c r="L7733">
        <v>729.12</v>
      </c>
    </row>
    <row r="7734" spans="1:12" x14ac:dyDescent="0.25">
      <c r="A7734" t="str">
        <f t="shared" si="1379"/>
        <v>89301000</v>
      </c>
      <c r="B7734" t="str">
        <f t="shared" si="1380"/>
        <v>06539000</v>
      </c>
      <c r="C7734" t="str">
        <f t="shared" si="1388"/>
        <v>06539003</v>
      </c>
      <c r="D7734">
        <v>89301101</v>
      </c>
      <c r="E7734" t="str">
        <f t="shared" si="1391"/>
        <v>0610023282</v>
      </c>
      <c r="F7734" s="1">
        <v>45086</v>
      </c>
      <c r="G7734" t="str">
        <f t="shared" si="1392"/>
        <v>91413</v>
      </c>
      <c r="H7734">
        <v>1</v>
      </c>
      <c r="I7734">
        <v>868</v>
      </c>
      <c r="J7734">
        <v>0</v>
      </c>
      <c r="K7734" t="str">
        <f t="shared" si="1389"/>
        <v>813</v>
      </c>
      <c r="L7734">
        <v>729.12</v>
      </c>
    </row>
    <row r="7735" spans="1:12" x14ac:dyDescent="0.25">
      <c r="A7735" t="str">
        <f t="shared" si="1379"/>
        <v>89301000</v>
      </c>
      <c r="B7735" t="str">
        <f t="shared" si="1380"/>
        <v>06539000</v>
      </c>
      <c r="C7735" t="str">
        <f t="shared" si="1388"/>
        <v>06539003</v>
      </c>
      <c r="D7735">
        <v>89301101</v>
      </c>
      <c r="E7735" t="str">
        <f t="shared" si="1391"/>
        <v>0610023282</v>
      </c>
      <c r="F7735" s="1">
        <v>45105</v>
      </c>
      <c r="G7735" t="str">
        <f t="shared" si="1392"/>
        <v>91413</v>
      </c>
      <c r="H7735">
        <v>1</v>
      </c>
      <c r="I7735">
        <v>868</v>
      </c>
      <c r="J7735">
        <v>0</v>
      </c>
      <c r="K7735" t="str">
        <f t="shared" si="1389"/>
        <v>813</v>
      </c>
      <c r="L7735">
        <v>729.12</v>
      </c>
    </row>
    <row r="7736" spans="1:12" x14ac:dyDescent="0.25">
      <c r="A7736" t="str">
        <f t="shared" si="1379"/>
        <v>89301000</v>
      </c>
      <c r="B7736" t="str">
        <f t="shared" si="1380"/>
        <v>06539000</v>
      </c>
      <c r="C7736" t="str">
        <f t="shared" si="1388"/>
        <v>06539003</v>
      </c>
      <c r="D7736">
        <v>89301101</v>
      </c>
      <c r="E7736" t="str">
        <f t="shared" si="1391"/>
        <v>0610023282</v>
      </c>
      <c r="F7736" s="1">
        <v>45105</v>
      </c>
      <c r="G7736" t="str">
        <f t="shared" si="1392"/>
        <v>91413</v>
      </c>
      <c r="H7736">
        <v>1</v>
      </c>
      <c r="I7736">
        <v>868</v>
      </c>
      <c r="J7736">
        <v>0</v>
      </c>
      <c r="K7736" t="str">
        <f t="shared" si="1389"/>
        <v>813</v>
      </c>
      <c r="L7736">
        <v>729.12</v>
      </c>
    </row>
    <row r="7737" spans="1:12" x14ac:dyDescent="0.25">
      <c r="A7737" t="str">
        <f t="shared" si="1379"/>
        <v>89301000</v>
      </c>
      <c r="B7737" t="str">
        <f t="shared" si="1380"/>
        <v>06539000</v>
      </c>
      <c r="C7737" t="str">
        <f t="shared" si="1388"/>
        <v>06539003</v>
      </c>
      <c r="D7737">
        <v>89301101</v>
      </c>
      <c r="E7737" t="str">
        <f t="shared" si="1391"/>
        <v>0610023282</v>
      </c>
      <c r="F7737" s="1">
        <v>45105</v>
      </c>
      <c r="G7737" t="str">
        <f t="shared" si="1392"/>
        <v>91413</v>
      </c>
      <c r="H7737">
        <v>1</v>
      </c>
      <c r="I7737">
        <v>868</v>
      </c>
      <c r="J7737">
        <v>0</v>
      </c>
      <c r="K7737" t="str">
        <f t="shared" si="1389"/>
        <v>813</v>
      </c>
      <c r="L7737">
        <v>729.12</v>
      </c>
    </row>
    <row r="7738" spans="1:12" x14ac:dyDescent="0.25">
      <c r="A7738" t="str">
        <f t="shared" si="1379"/>
        <v>89301000</v>
      </c>
      <c r="B7738" t="str">
        <f t="shared" si="1380"/>
        <v>06539000</v>
      </c>
      <c r="C7738" t="str">
        <f t="shared" si="1388"/>
        <v>06539003</v>
      </c>
      <c r="D7738">
        <v>89301101</v>
      </c>
      <c r="E7738" t="str">
        <f t="shared" si="1391"/>
        <v>0610023282</v>
      </c>
      <c r="F7738" s="1">
        <v>45105</v>
      </c>
      <c r="G7738" t="str">
        <f t="shared" si="1392"/>
        <v>91413</v>
      </c>
      <c r="H7738">
        <v>1</v>
      </c>
      <c r="I7738">
        <v>868</v>
      </c>
      <c r="J7738">
        <v>0</v>
      </c>
      <c r="K7738" t="str">
        <f t="shared" si="1389"/>
        <v>813</v>
      </c>
      <c r="L7738">
        <v>729.12</v>
      </c>
    </row>
    <row r="7739" spans="1:12" x14ac:dyDescent="0.25">
      <c r="A7739" t="str">
        <f t="shared" si="1379"/>
        <v>89301000</v>
      </c>
      <c r="B7739" t="str">
        <f t="shared" si="1380"/>
        <v>06539000</v>
      </c>
      <c r="C7739" t="str">
        <f t="shared" si="1388"/>
        <v>06539003</v>
      </c>
      <c r="D7739">
        <v>89301101</v>
      </c>
      <c r="E7739" t="str">
        <f t="shared" si="1391"/>
        <v>0610023282</v>
      </c>
      <c r="F7739" s="1">
        <v>45105</v>
      </c>
      <c r="G7739" t="str">
        <f t="shared" si="1392"/>
        <v>91413</v>
      </c>
      <c r="H7739">
        <v>1</v>
      </c>
      <c r="I7739">
        <v>868</v>
      </c>
      <c r="J7739">
        <v>0</v>
      </c>
      <c r="K7739" t="str">
        <f t="shared" si="1389"/>
        <v>813</v>
      </c>
      <c r="L7739">
        <v>729.12</v>
      </c>
    </row>
    <row r="7740" spans="1:12" x14ac:dyDescent="0.25">
      <c r="A7740" t="str">
        <f t="shared" si="1379"/>
        <v>89301000</v>
      </c>
      <c r="B7740" t="str">
        <f t="shared" si="1380"/>
        <v>06539000</v>
      </c>
      <c r="C7740" t="str">
        <f t="shared" si="1388"/>
        <v>06539003</v>
      </c>
      <c r="D7740">
        <v>89301101</v>
      </c>
      <c r="E7740" t="str">
        <f t="shared" si="1391"/>
        <v>0610023282</v>
      </c>
      <c r="F7740" s="1">
        <v>45105</v>
      </c>
      <c r="G7740" t="str">
        <f t="shared" si="1392"/>
        <v>91413</v>
      </c>
      <c r="H7740">
        <v>1</v>
      </c>
      <c r="I7740">
        <v>868</v>
      </c>
      <c r="J7740">
        <v>0</v>
      </c>
      <c r="K7740" t="str">
        <f t="shared" si="1389"/>
        <v>813</v>
      </c>
      <c r="L7740">
        <v>729.12</v>
      </c>
    </row>
    <row r="7741" spans="1:12" x14ac:dyDescent="0.25">
      <c r="A7741" t="str">
        <f t="shared" si="1379"/>
        <v>89301000</v>
      </c>
      <c r="B7741" t="str">
        <f t="shared" si="1380"/>
        <v>06539000</v>
      </c>
      <c r="C7741" t="str">
        <f t="shared" si="1388"/>
        <v>06539003</v>
      </c>
      <c r="D7741">
        <v>89301101</v>
      </c>
      <c r="E7741" t="str">
        <f t="shared" si="1391"/>
        <v>0610023282</v>
      </c>
      <c r="F7741" s="1">
        <v>45105</v>
      </c>
      <c r="G7741" t="str">
        <f t="shared" si="1392"/>
        <v>91413</v>
      </c>
      <c r="H7741">
        <v>1</v>
      </c>
      <c r="I7741">
        <v>868</v>
      </c>
      <c r="J7741">
        <v>0</v>
      </c>
      <c r="K7741" t="str">
        <f t="shared" si="1389"/>
        <v>813</v>
      </c>
      <c r="L7741">
        <v>729.12</v>
      </c>
    </row>
    <row r="7742" spans="1:12" x14ac:dyDescent="0.25">
      <c r="A7742" t="str">
        <f t="shared" si="1379"/>
        <v>89301000</v>
      </c>
      <c r="B7742" t="str">
        <f t="shared" si="1380"/>
        <v>06539000</v>
      </c>
      <c r="C7742" t="str">
        <f t="shared" si="1388"/>
        <v>06539003</v>
      </c>
      <c r="D7742">
        <v>89301101</v>
      </c>
      <c r="E7742" t="str">
        <f t="shared" si="1391"/>
        <v>0610023282</v>
      </c>
      <c r="F7742" s="1">
        <v>45105</v>
      </c>
      <c r="G7742" t="str">
        <f t="shared" si="1392"/>
        <v>91413</v>
      </c>
      <c r="H7742">
        <v>1</v>
      </c>
      <c r="I7742">
        <v>868</v>
      </c>
      <c r="J7742">
        <v>0</v>
      </c>
      <c r="K7742" t="str">
        <f t="shared" si="1389"/>
        <v>813</v>
      </c>
      <c r="L7742">
        <v>729.12</v>
      </c>
    </row>
    <row r="7743" spans="1:12" x14ac:dyDescent="0.25">
      <c r="A7743" t="str">
        <f t="shared" si="1379"/>
        <v>89301000</v>
      </c>
      <c r="B7743" t="str">
        <f t="shared" si="1380"/>
        <v>06539000</v>
      </c>
      <c r="C7743" t="str">
        <f t="shared" si="1388"/>
        <v>06539003</v>
      </c>
      <c r="D7743">
        <v>89301101</v>
      </c>
      <c r="E7743" t="str">
        <f t="shared" si="1391"/>
        <v>0610023282</v>
      </c>
      <c r="F7743" s="1">
        <v>45086</v>
      </c>
      <c r="G7743" t="str">
        <f>"91495"</f>
        <v>91495</v>
      </c>
      <c r="H7743">
        <v>1</v>
      </c>
      <c r="I7743">
        <v>595</v>
      </c>
      <c r="J7743">
        <v>0</v>
      </c>
      <c r="K7743" t="str">
        <f t="shared" si="1389"/>
        <v>813</v>
      </c>
      <c r="L7743">
        <v>499.8</v>
      </c>
    </row>
    <row r="7744" spans="1:12" x14ac:dyDescent="0.25">
      <c r="A7744" t="str">
        <f t="shared" si="1379"/>
        <v>89301000</v>
      </c>
      <c r="B7744" t="str">
        <f t="shared" si="1380"/>
        <v>06539000</v>
      </c>
      <c r="C7744" t="str">
        <f t="shared" si="1388"/>
        <v>06539003</v>
      </c>
      <c r="D7744">
        <v>89301101</v>
      </c>
      <c r="E7744" t="str">
        <f t="shared" si="1391"/>
        <v>0610023282</v>
      </c>
      <c r="F7744" s="1">
        <v>45086</v>
      </c>
      <c r="G7744" t="str">
        <f>"91475"</f>
        <v>91475</v>
      </c>
      <c r="H7744">
        <v>1</v>
      </c>
      <c r="I7744">
        <v>213</v>
      </c>
      <c r="J7744">
        <v>0</v>
      </c>
      <c r="K7744" t="str">
        <f t="shared" si="1389"/>
        <v>813</v>
      </c>
      <c r="L7744">
        <v>178.92</v>
      </c>
    </row>
    <row r="7745" spans="1:12" x14ac:dyDescent="0.25">
      <c r="A7745" t="str">
        <f t="shared" si="1379"/>
        <v>89301000</v>
      </c>
      <c r="B7745" t="str">
        <f t="shared" si="1380"/>
        <v>06539000</v>
      </c>
      <c r="C7745" t="str">
        <f t="shared" si="1388"/>
        <v>06539003</v>
      </c>
      <c r="D7745">
        <v>89301171</v>
      </c>
      <c r="E7745" t="str">
        <f t="shared" ref="E7745:E7772" si="1393">"6611010868"</f>
        <v>6611010868</v>
      </c>
      <c r="F7745" s="1">
        <v>45086</v>
      </c>
      <c r="G7745" t="str">
        <f t="shared" ref="G7745:G7754" si="1394">"91413"</f>
        <v>91413</v>
      </c>
      <c r="H7745">
        <v>1</v>
      </c>
      <c r="I7745">
        <v>868</v>
      </c>
      <c r="J7745">
        <v>0</v>
      </c>
      <c r="K7745" t="str">
        <f t="shared" si="1389"/>
        <v>813</v>
      </c>
      <c r="L7745">
        <v>729.12</v>
      </c>
    </row>
    <row r="7746" spans="1:12" x14ac:dyDescent="0.25">
      <c r="A7746" t="str">
        <f t="shared" ref="A7746:A7809" si="1395">"89301000"</f>
        <v>89301000</v>
      </c>
      <c r="B7746" t="str">
        <f t="shared" si="1380"/>
        <v>06539000</v>
      </c>
      <c r="C7746" t="str">
        <f t="shared" si="1388"/>
        <v>06539003</v>
      </c>
      <c r="D7746">
        <v>89301171</v>
      </c>
      <c r="E7746" t="str">
        <f t="shared" si="1393"/>
        <v>6611010868</v>
      </c>
      <c r="F7746" s="1">
        <v>45086</v>
      </c>
      <c r="G7746" t="str">
        <f t="shared" si="1394"/>
        <v>91413</v>
      </c>
      <c r="H7746">
        <v>1</v>
      </c>
      <c r="I7746">
        <v>868</v>
      </c>
      <c r="J7746">
        <v>0</v>
      </c>
      <c r="K7746" t="str">
        <f t="shared" si="1389"/>
        <v>813</v>
      </c>
      <c r="L7746">
        <v>729.12</v>
      </c>
    </row>
    <row r="7747" spans="1:12" x14ac:dyDescent="0.25">
      <c r="A7747" t="str">
        <f t="shared" si="1395"/>
        <v>89301000</v>
      </c>
      <c r="B7747" t="str">
        <f t="shared" si="1380"/>
        <v>06539000</v>
      </c>
      <c r="C7747" t="str">
        <f t="shared" si="1388"/>
        <v>06539003</v>
      </c>
      <c r="D7747">
        <v>89301171</v>
      </c>
      <c r="E7747" t="str">
        <f t="shared" si="1393"/>
        <v>6611010868</v>
      </c>
      <c r="F7747" s="1">
        <v>45105</v>
      </c>
      <c r="G7747" t="str">
        <f t="shared" si="1394"/>
        <v>91413</v>
      </c>
      <c r="H7747">
        <v>1</v>
      </c>
      <c r="I7747">
        <v>868</v>
      </c>
      <c r="J7747">
        <v>0</v>
      </c>
      <c r="K7747" t="str">
        <f t="shared" si="1389"/>
        <v>813</v>
      </c>
      <c r="L7747">
        <v>729.12</v>
      </c>
    </row>
    <row r="7748" spans="1:12" x14ac:dyDescent="0.25">
      <c r="A7748" t="str">
        <f t="shared" si="1395"/>
        <v>89301000</v>
      </c>
      <c r="B7748" t="str">
        <f t="shared" si="1380"/>
        <v>06539000</v>
      </c>
      <c r="C7748" t="str">
        <f t="shared" si="1388"/>
        <v>06539003</v>
      </c>
      <c r="D7748">
        <v>89301171</v>
      </c>
      <c r="E7748" t="str">
        <f t="shared" si="1393"/>
        <v>6611010868</v>
      </c>
      <c r="F7748" s="1">
        <v>45105</v>
      </c>
      <c r="G7748" t="str">
        <f t="shared" si="1394"/>
        <v>91413</v>
      </c>
      <c r="H7748">
        <v>1</v>
      </c>
      <c r="I7748">
        <v>868</v>
      </c>
      <c r="J7748">
        <v>0</v>
      </c>
      <c r="K7748" t="str">
        <f t="shared" si="1389"/>
        <v>813</v>
      </c>
      <c r="L7748">
        <v>729.12</v>
      </c>
    </row>
    <row r="7749" spans="1:12" x14ac:dyDescent="0.25">
      <c r="A7749" t="str">
        <f t="shared" si="1395"/>
        <v>89301000</v>
      </c>
      <c r="B7749" t="str">
        <f t="shared" ref="B7749:B7812" si="1396">"06539000"</f>
        <v>06539000</v>
      </c>
      <c r="C7749" t="str">
        <f t="shared" ref="C7749:C7774" si="1397">"06539003"</f>
        <v>06539003</v>
      </c>
      <c r="D7749">
        <v>89301171</v>
      </c>
      <c r="E7749" t="str">
        <f t="shared" si="1393"/>
        <v>6611010868</v>
      </c>
      <c r="F7749" s="1">
        <v>45105</v>
      </c>
      <c r="G7749" t="str">
        <f t="shared" si="1394"/>
        <v>91413</v>
      </c>
      <c r="H7749">
        <v>1</v>
      </c>
      <c r="I7749">
        <v>868</v>
      </c>
      <c r="J7749">
        <v>0</v>
      </c>
      <c r="K7749" t="str">
        <f t="shared" ref="K7749:K7774" si="1398">"813"</f>
        <v>813</v>
      </c>
      <c r="L7749">
        <v>729.12</v>
      </c>
    </row>
    <row r="7750" spans="1:12" x14ac:dyDescent="0.25">
      <c r="A7750" t="str">
        <f t="shared" si="1395"/>
        <v>89301000</v>
      </c>
      <c r="B7750" t="str">
        <f t="shared" si="1396"/>
        <v>06539000</v>
      </c>
      <c r="C7750" t="str">
        <f t="shared" si="1397"/>
        <v>06539003</v>
      </c>
      <c r="D7750">
        <v>89301171</v>
      </c>
      <c r="E7750" t="str">
        <f t="shared" si="1393"/>
        <v>6611010868</v>
      </c>
      <c r="F7750" s="1">
        <v>45105</v>
      </c>
      <c r="G7750" t="str">
        <f t="shared" si="1394"/>
        <v>91413</v>
      </c>
      <c r="H7750">
        <v>1</v>
      </c>
      <c r="I7750">
        <v>868</v>
      </c>
      <c r="J7750">
        <v>0</v>
      </c>
      <c r="K7750" t="str">
        <f t="shared" si="1398"/>
        <v>813</v>
      </c>
      <c r="L7750">
        <v>729.12</v>
      </c>
    </row>
    <row r="7751" spans="1:12" x14ac:dyDescent="0.25">
      <c r="A7751" t="str">
        <f t="shared" si="1395"/>
        <v>89301000</v>
      </c>
      <c r="B7751" t="str">
        <f t="shared" si="1396"/>
        <v>06539000</v>
      </c>
      <c r="C7751" t="str">
        <f t="shared" si="1397"/>
        <v>06539003</v>
      </c>
      <c r="D7751">
        <v>89301171</v>
      </c>
      <c r="E7751" t="str">
        <f t="shared" si="1393"/>
        <v>6611010868</v>
      </c>
      <c r="F7751" s="1">
        <v>45105</v>
      </c>
      <c r="G7751" t="str">
        <f t="shared" si="1394"/>
        <v>91413</v>
      </c>
      <c r="H7751">
        <v>1</v>
      </c>
      <c r="I7751">
        <v>868</v>
      </c>
      <c r="J7751">
        <v>0</v>
      </c>
      <c r="K7751" t="str">
        <f t="shared" si="1398"/>
        <v>813</v>
      </c>
      <c r="L7751">
        <v>729.12</v>
      </c>
    </row>
    <row r="7752" spans="1:12" x14ac:dyDescent="0.25">
      <c r="A7752" t="str">
        <f t="shared" si="1395"/>
        <v>89301000</v>
      </c>
      <c r="B7752" t="str">
        <f t="shared" si="1396"/>
        <v>06539000</v>
      </c>
      <c r="C7752" t="str">
        <f t="shared" si="1397"/>
        <v>06539003</v>
      </c>
      <c r="D7752">
        <v>89301171</v>
      </c>
      <c r="E7752" t="str">
        <f t="shared" si="1393"/>
        <v>6611010868</v>
      </c>
      <c r="F7752" s="1">
        <v>45105</v>
      </c>
      <c r="G7752" t="str">
        <f t="shared" si="1394"/>
        <v>91413</v>
      </c>
      <c r="H7752">
        <v>1</v>
      </c>
      <c r="I7752">
        <v>868</v>
      </c>
      <c r="J7752">
        <v>0</v>
      </c>
      <c r="K7752" t="str">
        <f t="shared" si="1398"/>
        <v>813</v>
      </c>
      <c r="L7752">
        <v>729.12</v>
      </c>
    </row>
    <row r="7753" spans="1:12" x14ac:dyDescent="0.25">
      <c r="A7753" t="str">
        <f t="shared" si="1395"/>
        <v>89301000</v>
      </c>
      <c r="B7753" t="str">
        <f t="shared" si="1396"/>
        <v>06539000</v>
      </c>
      <c r="C7753" t="str">
        <f t="shared" si="1397"/>
        <v>06539003</v>
      </c>
      <c r="D7753">
        <v>89301171</v>
      </c>
      <c r="E7753" t="str">
        <f t="shared" si="1393"/>
        <v>6611010868</v>
      </c>
      <c r="F7753" s="1">
        <v>45105</v>
      </c>
      <c r="G7753" t="str">
        <f t="shared" si="1394"/>
        <v>91413</v>
      </c>
      <c r="H7753">
        <v>1</v>
      </c>
      <c r="I7753">
        <v>868</v>
      </c>
      <c r="J7753">
        <v>0</v>
      </c>
      <c r="K7753" t="str">
        <f t="shared" si="1398"/>
        <v>813</v>
      </c>
      <c r="L7753">
        <v>729.12</v>
      </c>
    </row>
    <row r="7754" spans="1:12" x14ac:dyDescent="0.25">
      <c r="A7754" t="str">
        <f t="shared" si="1395"/>
        <v>89301000</v>
      </c>
      <c r="B7754" t="str">
        <f t="shared" si="1396"/>
        <v>06539000</v>
      </c>
      <c r="C7754" t="str">
        <f t="shared" si="1397"/>
        <v>06539003</v>
      </c>
      <c r="D7754">
        <v>89301171</v>
      </c>
      <c r="E7754" t="str">
        <f t="shared" si="1393"/>
        <v>6611010868</v>
      </c>
      <c r="F7754" s="1">
        <v>45105</v>
      </c>
      <c r="G7754" t="str">
        <f t="shared" si="1394"/>
        <v>91413</v>
      </c>
      <c r="H7754">
        <v>1</v>
      </c>
      <c r="I7754">
        <v>868</v>
      </c>
      <c r="J7754">
        <v>0</v>
      </c>
      <c r="K7754" t="str">
        <f t="shared" si="1398"/>
        <v>813</v>
      </c>
      <c r="L7754">
        <v>729.12</v>
      </c>
    </row>
    <row r="7755" spans="1:12" x14ac:dyDescent="0.25">
      <c r="A7755" t="str">
        <f t="shared" si="1395"/>
        <v>89301000</v>
      </c>
      <c r="B7755" t="str">
        <f t="shared" si="1396"/>
        <v>06539000</v>
      </c>
      <c r="C7755" t="str">
        <f t="shared" si="1397"/>
        <v>06539003</v>
      </c>
      <c r="D7755">
        <v>89301171</v>
      </c>
      <c r="E7755" t="str">
        <f t="shared" si="1393"/>
        <v>6611010868</v>
      </c>
      <c r="F7755" s="1">
        <v>45082</v>
      </c>
      <c r="G7755" t="str">
        <f t="shared" ref="G7755:G7760" si="1399">"91197"</f>
        <v>91197</v>
      </c>
      <c r="H7755">
        <v>1</v>
      </c>
      <c r="I7755">
        <v>1048</v>
      </c>
      <c r="J7755">
        <v>0</v>
      </c>
      <c r="K7755" t="str">
        <f t="shared" si="1398"/>
        <v>813</v>
      </c>
      <c r="L7755">
        <v>880.32</v>
      </c>
    </row>
    <row r="7756" spans="1:12" x14ac:dyDescent="0.25">
      <c r="A7756" t="str">
        <f t="shared" si="1395"/>
        <v>89301000</v>
      </c>
      <c r="B7756" t="str">
        <f t="shared" si="1396"/>
        <v>06539000</v>
      </c>
      <c r="C7756" t="str">
        <f t="shared" si="1397"/>
        <v>06539003</v>
      </c>
      <c r="D7756">
        <v>89301171</v>
      </c>
      <c r="E7756" t="str">
        <f t="shared" si="1393"/>
        <v>6611010868</v>
      </c>
      <c r="F7756" s="1">
        <v>45082</v>
      </c>
      <c r="G7756" t="str">
        <f t="shared" si="1399"/>
        <v>91197</v>
      </c>
      <c r="H7756">
        <v>1</v>
      </c>
      <c r="I7756">
        <v>1048</v>
      </c>
      <c r="J7756">
        <v>0</v>
      </c>
      <c r="K7756" t="str">
        <f t="shared" si="1398"/>
        <v>813</v>
      </c>
      <c r="L7756">
        <v>880.32</v>
      </c>
    </row>
    <row r="7757" spans="1:12" x14ac:dyDescent="0.25">
      <c r="A7757" t="str">
        <f t="shared" si="1395"/>
        <v>89301000</v>
      </c>
      <c r="B7757" t="str">
        <f t="shared" si="1396"/>
        <v>06539000</v>
      </c>
      <c r="C7757" t="str">
        <f t="shared" si="1397"/>
        <v>06539003</v>
      </c>
      <c r="D7757">
        <v>89301171</v>
      </c>
      <c r="E7757" t="str">
        <f t="shared" si="1393"/>
        <v>6611010868</v>
      </c>
      <c r="F7757" s="1">
        <v>45081</v>
      </c>
      <c r="G7757" t="str">
        <f t="shared" si="1399"/>
        <v>91197</v>
      </c>
      <c r="H7757">
        <v>1</v>
      </c>
      <c r="I7757">
        <v>1048</v>
      </c>
      <c r="J7757">
        <v>0</v>
      </c>
      <c r="K7757" t="str">
        <f t="shared" si="1398"/>
        <v>813</v>
      </c>
      <c r="L7757">
        <v>880.32</v>
      </c>
    </row>
    <row r="7758" spans="1:12" x14ac:dyDescent="0.25">
      <c r="A7758" t="str">
        <f t="shared" si="1395"/>
        <v>89301000</v>
      </c>
      <c r="B7758" t="str">
        <f t="shared" si="1396"/>
        <v>06539000</v>
      </c>
      <c r="C7758" t="str">
        <f t="shared" si="1397"/>
        <v>06539003</v>
      </c>
      <c r="D7758">
        <v>89301171</v>
      </c>
      <c r="E7758" t="str">
        <f t="shared" si="1393"/>
        <v>6611010868</v>
      </c>
      <c r="F7758" s="1">
        <v>45081</v>
      </c>
      <c r="G7758" t="str">
        <f t="shared" si="1399"/>
        <v>91197</v>
      </c>
      <c r="H7758">
        <v>1</v>
      </c>
      <c r="I7758">
        <v>1048</v>
      </c>
      <c r="J7758">
        <v>0</v>
      </c>
      <c r="K7758" t="str">
        <f t="shared" si="1398"/>
        <v>813</v>
      </c>
      <c r="L7758">
        <v>880.32</v>
      </c>
    </row>
    <row r="7759" spans="1:12" x14ac:dyDescent="0.25">
      <c r="A7759" t="str">
        <f t="shared" si="1395"/>
        <v>89301000</v>
      </c>
      <c r="B7759" t="str">
        <f t="shared" si="1396"/>
        <v>06539000</v>
      </c>
      <c r="C7759" t="str">
        <f t="shared" si="1397"/>
        <v>06539003</v>
      </c>
      <c r="D7759">
        <v>89301171</v>
      </c>
      <c r="E7759" t="str">
        <f t="shared" si="1393"/>
        <v>6611010868</v>
      </c>
      <c r="F7759" s="1">
        <v>45080</v>
      </c>
      <c r="G7759" t="str">
        <f t="shared" si="1399"/>
        <v>91197</v>
      </c>
      <c r="H7759">
        <v>1</v>
      </c>
      <c r="I7759">
        <v>1048</v>
      </c>
      <c r="J7759">
        <v>0</v>
      </c>
      <c r="K7759" t="str">
        <f t="shared" si="1398"/>
        <v>813</v>
      </c>
      <c r="L7759">
        <v>880.32</v>
      </c>
    </row>
    <row r="7760" spans="1:12" x14ac:dyDescent="0.25">
      <c r="A7760" t="str">
        <f t="shared" si="1395"/>
        <v>89301000</v>
      </c>
      <c r="B7760" t="str">
        <f t="shared" si="1396"/>
        <v>06539000</v>
      </c>
      <c r="C7760" t="str">
        <f t="shared" si="1397"/>
        <v>06539003</v>
      </c>
      <c r="D7760">
        <v>89301171</v>
      </c>
      <c r="E7760" t="str">
        <f t="shared" si="1393"/>
        <v>6611010868</v>
      </c>
      <c r="F7760" s="1">
        <v>45080</v>
      </c>
      <c r="G7760" t="str">
        <f t="shared" si="1399"/>
        <v>91197</v>
      </c>
      <c r="H7760">
        <v>1</v>
      </c>
      <c r="I7760">
        <v>1048</v>
      </c>
      <c r="J7760">
        <v>0</v>
      </c>
      <c r="K7760" t="str">
        <f t="shared" si="1398"/>
        <v>813</v>
      </c>
      <c r="L7760">
        <v>880.32</v>
      </c>
    </row>
    <row r="7761" spans="1:12" x14ac:dyDescent="0.25">
      <c r="A7761" t="str">
        <f t="shared" si="1395"/>
        <v>89301000</v>
      </c>
      <c r="B7761" t="str">
        <f t="shared" si="1396"/>
        <v>06539000</v>
      </c>
      <c r="C7761" t="str">
        <f t="shared" si="1397"/>
        <v>06539003</v>
      </c>
      <c r="D7761">
        <v>89301171</v>
      </c>
      <c r="E7761" t="str">
        <f t="shared" si="1393"/>
        <v>6611010868</v>
      </c>
      <c r="F7761" s="1">
        <v>45105</v>
      </c>
      <c r="G7761" t="str">
        <f>"91329"</f>
        <v>91329</v>
      </c>
      <c r="H7761">
        <v>2</v>
      </c>
      <c r="I7761">
        <v>436</v>
      </c>
      <c r="J7761">
        <v>0</v>
      </c>
      <c r="K7761" t="str">
        <f t="shared" si="1398"/>
        <v>813</v>
      </c>
      <c r="L7761">
        <v>366.24</v>
      </c>
    </row>
    <row r="7762" spans="1:12" x14ac:dyDescent="0.25">
      <c r="A7762" t="str">
        <f t="shared" si="1395"/>
        <v>89301000</v>
      </c>
      <c r="B7762" t="str">
        <f t="shared" si="1396"/>
        <v>06539000</v>
      </c>
      <c r="C7762" t="str">
        <f t="shared" si="1397"/>
        <v>06539003</v>
      </c>
      <c r="D7762">
        <v>89301171</v>
      </c>
      <c r="E7762" t="str">
        <f t="shared" si="1393"/>
        <v>6611010868</v>
      </c>
      <c r="F7762" s="1">
        <v>45105</v>
      </c>
      <c r="G7762" t="str">
        <f>"91329"</f>
        <v>91329</v>
      </c>
      <c r="H7762">
        <v>2</v>
      </c>
      <c r="I7762">
        <v>436</v>
      </c>
      <c r="J7762">
        <v>0</v>
      </c>
      <c r="K7762" t="str">
        <f t="shared" si="1398"/>
        <v>813</v>
      </c>
      <c r="L7762">
        <v>366.24</v>
      </c>
    </row>
    <row r="7763" spans="1:12" x14ac:dyDescent="0.25">
      <c r="A7763" t="str">
        <f t="shared" si="1395"/>
        <v>89301000</v>
      </c>
      <c r="B7763" t="str">
        <f t="shared" si="1396"/>
        <v>06539000</v>
      </c>
      <c r="C7763" t="str">
        <f t="shared" si="1397"/>
        <v>06539003</v>
      </c>
      <c r="D7763">
        <v>89301171</v>
      </c>
      <c r="E7763" t="str">
        <f t="shared" si="1393"/>
        <v>6611010868</v>
      </c>
      <c r="F7763" s="1">
        <v>45105</v>
      </c>
      <c r="G7763" t="str">
        <f>"91329"</f>
        <v>91329</v>
      </c>
      <c r="H7763">
        <v>2</v>
      </c>
      <c r="I7763">
        <v>436</v>
      </c>
      <c r="J7763">
        <v>0</v>
      </c>
      <c r="K7763" t="str">
        <f t="shared" si="1398"/>
        <v>813</v>
      </c>
      <c r="L7763">
        <v>366.24</v>
      </c>
    </row>
    <row r="7764" spans="1:12" x14ac:dyDescent="0.25">
      <c r="A7764" t="str">
        <f t="shared" si="1395"/>
        <v>89301000</v>
      </c>
      <c r="B7764" t="str">
        <f t="shared" si="1396"/>
        <v>06539000</v>
      </c>
      <c r="C7764" t="str">
        <f t="shared" si="1397"/>
        <v>06539003</v>
      </c>
      <c r="D7764">
        <v>89301171</v>
      </c>
      <c r="E7764" t="str">
        <f t="shared" si="1393"/>
        <v>6611010868</v>
      </c>
      <c r="F7764" s="1">
        <v>45105</v>
      </c>
      <c r="G7764" t="str">
        <f>"91329"</f>
        <v>91329</v>
      </c>
      <c r="H7764">
        <v>2</v>
      </c>
      <c r="I7764">
        <v>436</v>
      </c>
      <c r="J7764">
        <v>0</v>
      </c>
      <c r="K7764" t="str">
        <f t="shared" si="1398"/>
        <v>813</v>
      </c>
      <c r="L7764">
        <v>366.24</v>
      </c>
    </row>
    <row r="7765" spans="1:12" x14ac:dyDescent="0.25">
      <c r="A7765" t="str">
        <f t="shared" si="1395"/>
        <v>89301000</v>
      </c>
      <c r="B7765" t="str">
        <f t="shared" si="1396"/>
        <v>06539000</v>
      </c>
      <c r="C7765" t="str">
        <f t="shared" si="1397"/>
        <v>06539003</v>
      </c>
      <c r="D7765">
        <v>89301171</v>
      </c>
      <c r="E7765" t="str">
        <f t="shared" si="1393"/>
        <v>6611010868</v>
      </c>
      <c r="F7765" s="1">
        <v>45082</v>
      </c>
      <c r="G7765" t="str">
        <f>"91129"</f>
        <v>91129</v>
      </c>
      <c r="H7765">
        <v>1</v>
      </c>
      <c r="I7765">
        <v>175</v>
      </c>
      <c r="J7765">
        <v>0</v>
      </c>
      <c r="K7765" t="str">
        <f t="shared" si="1398"/>
        <v>813</v>
      </c>
      <c r="L7765">
        <v>147</v>
      </c>
    </row>
    <row r="7766" spans="1:12" x14ac:dyDescent="0.25">
      <c r="A7766" t="str">
        <f t="shared" si="1395"/>
        <v>89301000</v>
      </c>
      <c r="B7766" t="str">
        <f t="shared" si="1396"/>
        <v>06539000</v>
      </c>
      <c r="C7766" t="str">
        <f t="shared" si="1397"/>
        <v>06539003</v>
      </c>
      <c r="D7766">
        <v>89301171</v>
      </c>
      <c r="E7766" t="str">
        <f t="shared" si="1393"/>
        <v>6611010868</v>
      </c>
      <c r="F7766" s="1">
        <v>45082</v>
      </c>
      <c r="G7766" t="str">
        <f>"91131"</f>
        <v>91131</v>
      </c>
      <c r="H7766">
        <v>1</v>
      </c>
      <c r="I7766">
        <v>171</v>
      </c>
      <c r="J7766">
        <v>0</v>
      </c>
      <c r="K7766" t="str">
        <f t="shared" si="1398"/>
        <v>813</v>
      </c>
      <c r="L7766">
        <v>143.63999999999999</v>
      </c>
    </row>
    <row r="7767" spans="1:12" x14ac:dyDescent="0.25">
      <c r="A7767" t="str">
        <f t="shared" si="1395"/>
        <v>89301000</v>
      </c>
      <c r="B7767" t="str">
        <f t="shared" si="1396"/>
        <v>06539000</v>
      </c>
      <c r="C7767" t="str">
        <f t="shared" si="1397"/>
        <v>06539003</v>
      </c>
      <c r="D7767">
        <v>89301171</v>
      </c>
      <c r="E7767" t="str">
        <f t="shared" si="1393"/>
        <v>6611010868</v>
      </c>
      <c r="F7767" s="1">
        <v>45082</v>
      </c>
      <c r="G7767" t="str">
        <f>"91133"</f>
        <v>91133</v>
      </c>
      <c r="H7767">
        <v>1</v>
      </c>
      <c r="I7767">
        <v>177</v>
      </c>
      <c r="J7767">
        <v>0</v>
      </c>
      <c r="K7767" t="str">
        <f t="shared" si="1398"/>
        <v>813</v>
      </c>
      <c r="L7767">
        <v>148.68</v>
      </c>
    </row>
    <row r="7768" spans="1:12" x14ac:dyDescent="0.25">
      <c r="A7768" t="str">
        <f t="shared" si="1395"/>
        <v>89301000</v>
      </c>
      <c r="B7768" t="str">
        <f t="shared" si="1396"/>
        <v>06539000</v>
      </c>
      <c r="C7768" t="str">
        <f t="shared" si="1397"/>
        <v>06539003</v>
      </c>
      <c r="D7768">
        <v>89301171</v>
      </c>
      <c r="E7768" t="str">
        <f t="shared" si="1393"/>
        <v>6611010868</v>
      </c>
      <c r="F7768" s="1">
        <v>45082</v>
      </c>
      <c r="G7768" t="str">
        <f>"91171"</f>
        <v>91171</v>
      </c>
      <c r="H7768">
        <v>1</v>
      </c>
      <c r="I7768">
        <v>362</v>
      </c>
      <c r="J7768">
        <v>0</v>
      </c>
      <c r="K7768" t="str">
        <f t="shared" si="1398"/>
        <v>813</v>
      </c>
      <c r="L7768">
        <v>304.08</v>
      </c>
    </row>
    <row r="7769" spans="1:12" x14ac:dyDescent="0.25">
      <c r="A7769" t="str">
        <f t="shared" si="1395"/>
        <v>89301000</v>
      </c>
      <c r="B7769" t="str">
        <f t="shared" si="1396"/>
        <v>06539000</v>
      </c>
      <c r="C7769" t="str">
        <f t="shared" si="1397"/>
        <v>06539003</v>
      </c>
      <c r="D7769">
        <v>89301171</v>
      </c>
      <c r="E7769" t="str">
        <f t="shared" si="1393"/>
        <v>6611010868</v>
      </c>
      <c r="F7769" s="1">
        <v>45082</v>
      </c>
      <c r="G7769" t="str">
        <f>"91175"</f>
        <v>91175</v>
      </c>
      <c r="H7769">
        <v>1</v>
      </c>
      <c r="I7769">
        <v>362</v>
      </c>
      <c r="J7769">
        <v>0</v>
      </c>
      <c r="K7769" t="str">
        <f t="shared" si="1398"/>
        <v>813</v>
      </c>
      <c r="L7769">
        <v>304.08</v>
      </c>
    </row>
    <row r="7770" spans="1:12" x14ac:dyDescent="0.25">
      <c r="A7770" t="str">
        <f t="shared" si="1395"/>
        <v>89301000</v>
      </c>
      <c r="B7770" t="str">
        <f t="shared" si="1396"/>
        <v>06539000</v>
      </c>
      <c r="C7770" t="str">
        <f t="shared" si="1397"/>
        <v>06539003</v>
      </c>
      <c r="D7770">
        <v>89301171</v>
      </c>
      <c r="E7770" t="str">
        <f t="shared" si="1393"/>
        <v>6611010868</v>
      </c>
      <c r="F7770" s="1">
        <v>45080</v>
      </c>
      <c r="G7770" t="str">
        <f>"91167"</f>
        <v>91167</v>
      </c>
      <c r="H7770">
        <v>1</v>
      </c>
      <c r="I7770">
        <v>426</v>
      </c>
      <c r="J7770">
        <v>0</v>
      </c>
      <c r="K7770" t="str">
        <f t="shared" si="1398"/>
        <v>813</v>
      </c>
      <c r="L7770">
        <v>357.84</v>
      </c>
    </row>
    <row r="7771" spans="1:12" x14ac:dyDescent="0.25">
      <c r="A7771" t="str">
        <f t="shared" si="1395"/>
        <v>89301000</v>
      </c>
      <c r="B7771" t="str">
        <f t="shared" si="1396"/>
        <v>06539000</v>
      </c>
      <c r="C7771" t="str">
        <f t="shared" si="1397"/>
        <v>06539003</v>
      </c>
      <c r="D7771">
        <v>89301171</v>
      </c>
      <c r="E7771" t="str">
        <f t="shared" si="1393"/>
        <v>6611010868</v>
      </c>
      <c r="F7771" s="1">
        <v>45080</v>
      </c>
      <c r="G7771" t="str">
        <f>"91169"</f>
        <v>91169</v>
      </c>
      <c r="H7771">
        <v>1</v>
      </c>
      <c r="I7771">
        <v>426</v>
      </c>
      <c r="J7771">
        <v>0</v>
      </c>
      <c r="K7771" t="str">
        <f t="shared" si="1398"/>
        <v>813</v>
      </c>
      <c r="L7771">
        <v>357.84</v>
      </c>
    </row>
    <row r="7772" spans="1:12" x14ac:dyDescent="0.25">
      <c r="A7772" t="str">
        <f t="shared" si="1395"/>
        <v>89301000</v>
      </c>
      <c r="B7772" t="str">
        <f t="shared" si="1396"/>
        <v>06539000</v>
      </c>
      <c r="C7772" t="str">
        <f t="shared" si="1397"/>
        <v>06539003</v>
      </c>
      <c r="D7772">
        <v>89301171</v>
      </c>
      <c r="E7772" t="str">
        <f t="shared" si="1393"/>
        <v>6611010868</v>
      </c>
      <c r="F7772" s="1">
        <v>45086</v>
      </c>
      <c r="G7772" t="str">
        <f>"91475"</f>
        <v>91475</v>
      </c>
      <c r="H7772">
        <v>1</v>
      </c>
      <c r="I7772">
        <v>213</v>
      </c>
      <c r="J7772">
        <v>0</v>
      </c>
      <c r="K7772" t="str">
        <f t="shared" si="1398"/>
        <v>813</v>
      </c>
      <c r="L7772">
        <v>178.92</v>
      </c>
    </row>
    <row r="7773" spans="1:12" x14ac:dyDescent="0.25">
      <c r="A7773" t="str">
        <f t="shared" si="1395"/>
        <v>89301000</v>
      </c>
      <c r="B7773" t="str">
        <f t="shared" si="1396"/>
        <v>06539000</v>
      </c>
      <c r="C7773" t="str">
        <f t="shared" si="1397"/>
        <v>06539003</v>
      </c>
      <c r="D7773">
        <v>89301171</v>
      </c>
      <c r="E7773" t="str">
        <f>"6758170155"</f>
        <v>6758170155</v>
      </c>
      <c r="F7773" s="1">
        <v>45090</v>
      </c>
      <c r="G7773" t="str">
        <f>"91329"</f>
        <v>91329</v>
      </c>
      <c r="H7773">
        <v>2</v>
      </c>
      <c r="I7773">
        <v>436</v>
      </c>
      <c r="J7773">
        <v>0</v>
      </c>
      <c r="K7773" t="str">
        <f t="shared" si="1398"/>
        <v>813</v>
      </c>
      <c r="L7773">
        <v>366.24</v>
      </c>
    </row>
    <row r="7774" spans="1:12" x14ac:dyDescent="0.25">
      <c r="A7774" t="str">
        <f t="shared" si="1395"/>
        <v>89301000</v>
      </c>
      <c r="B7774" t="str">
        <f t="shared" si="1396"/>
        <v>06539000</v>
      </c>
      <c r="C7774" t="str">
        <f t="shared" si="1397"/>
        <v>06539003</v>
      </c>
      <c r="D7774">
        <v>89301171</v>
      </c>
      <c r="E7774" t="str">
        <f>"6758170155"</f>
        <v>6758170155</v>
      </c>
      <c r="F7774" s="1">
        <v>45090</v>
      </c>
      <c r="G7774" t="str">
        <f>"91475"</f>
        <v>91475</v>
      </c>
      <c r="H7774">
        <v>1</v>
      </c>
      <c r="I7774">
        <v>213</v>
      </c>
      <c r="J7774">
        <v>0</v>
      </c>
      <c r="K7774" t="str">
        <f t="shared" si="1398"/>
        <v>813</v>
      </c>
      <c r="L7774">
        <v>178.92</v>
      </c>
    </row>
    <row r="7775" spans="1:12" x14ac:dyDescent="0.25">
      <c r="A7775" t="str">
        <f t="shared" si="1395"/>
        <v>89301000</v>
      </c>
      <c r="B7775" t="str">
        <f t="shared" si="1396"/>
        <v>06539000</v>
      </c>
      <c r="C7775" t="str">
        <f>"06539001"</f>
        <v>06539001</v>
      </c>
      <c r="D7775">
        <v>89301171</v>
      </c>
      <c r="E7775" t="str">
        <f t="shared" ref="E7775:E7816" si="1400">"0358135723"</f>
        <v>0358135723</v>
      </c>
      <c r="F7775" s="1">
        <v>45079</v>
      </c>
      <c r="G7775" t="str">
        <f>"81329"</f>
        <v>81329</v>
      </c>
      <c r="H7775">
        <v>1</v>
      </c>
      <c r="I7775">
        <v>17</v>
      </c>
      <c r="J7775">
        <v>0</v>
      </c>
      <c r="K7775" t="str">
        <f>"801"</f>
        <v>801</v>
      </c>
      <c r="L7775">
        <v>14.28</v>
      </c>
    </row>
    <row r="7776" spans="1:12" x14ac:dyDescent="0.25">
      <c r="A7776" t="str">
        <f t="shared" si="1395"/>
        <v>89301000</v>
      </c>
      <c r="B7776" t="str">
        <f t="shared" si="1396"/>
        <v>06539000</v>
      </c>
      <c r="C7776" t="str">
        <f>"06539001"</f>
        <v>06539001</v>
      </c>
      <c r="D7776">
        <v>89301171</v>
      </c>
      <c r="E7776" t="str">
        <f t="shared" si="1400"/>
        <v>0358135723</v>
      </c>
      <c r="F7776" s="1">
        <v>45079</v>
      </c>
      <c r="G7776" t="str">
        <f>"81331"</f>
        <v>81331</v>
      </c>
      <c r="H7776">
        <v>1</v>
      </c>
      <c r="I7776">
        <v>193</v>
      </c>
      <c r="J7776">
        <v>0</v>
      </c>
      <c r="K7776" t="str">
        <f>"801"</f>
        <v>801</v>
      </c>
      <c r="L7776">
        <v>162.12</v>
      </c>
    </row>
    <row r="7777" spans="1:12" x14ac:dyDescent="0.25">
      <c r="A7777" t="str">
        <f t="shared" si="1395"/>
        <v>89301000</v>
      </c>
      <c r="B7777" t="str">
        <f t="shared" si="1396"/>
        <v>06539000</v>
      </c>
      <c r="C7777" t="str">
        <f t="shared" ref="C7777:C7784" si="1401">"06539002"</f>
        <v>06539002</v>
      </c>
      <c r="D7777">
        <v>89301171</v>
      </c>
      <c r="E7777" t="str">
        <f t="shared" si="1400"/>
        <v>0358135723</v>
      </c>
      <c r="F7777" s="1">
        <v>45079</v>
      </c>
      <c r="G7777" t="str">
        <f t="shared" ref="G7777:G7784" si="1402">"82097"</f>
        <v>82097</v>
      </c>
      <c r="H7777">
        <v>1</v>
      </c>
      <c r="I7777">
        <v>381</v>
      </c>
      <c r="J7777">
        <v>0</v>
      </c>
      <c r="K7777" t="str">
        <f t="shared" ref="K7777:K7784" si="1403">"802"</f>
        <v>802</v>
      </c>
      <c r="L7777">
        <v>369.57</v>
      </c>
    </row>
    <row r="7778" spans="1:12" x14ac:dyDescent="0.25">
      <c r="A7778" t="str">
        <f t="shared" si="1395"/>
        <v>89301000</v>
      </c>
      <c r="B7778" t="str">
        <f t="shared" si="1396"/>
        <v>06539000</v>
      </c>
      <c r="C7778" t="str">
        <f t="shared" si="1401"/>
        <v>06539002</v>
      </c>
      <c r="D7778">
        <v>89301171</v>
      </c>
      <c r="E7778" t="str">
        <f t="shared" si="1400"/>
        <v>0358135723</v>
      </c>
      <c r="F7778" s="1">
        <v>45079</v>
      </c>
      <c r="G7778" t="str">
        <f t="shared" si="1402"/>
        <v>82097</v>
      </c>
      <c r="H7778">
        <v>1</v>
      </c>
      <c r="I7778">
        <v>381</v>
      </c>
      <c r="J7778">
        <v>0</v>
      </c>
      <c r="K7778" t="str">
        <f t="shared" si="1403"/>
        <v>802</v>
      </c>
      <c r="L7778">
        <v>369.57</v>
      </c>
    </row>
    <row r="7779" spans="1:12" x14ac:dyDescent="0.25">
      <c r="A7779" t="str">
        <f t="shared" si="1395"/>
        <v>89301000</v>
      </c>
      <c r="B7779" t="str">
        <f t="shared" si="1396"/>
        <v>06539000</v>
      </c>
      <c r="C7779" t="str">
        <f t="shared" si="1401"/>
        <v>06539002</v>
      </c>
      <c r="D7779">
        <v>89301171</v>
      </c>
      <c r="E7779" t="str">
        <f t="shared" si="1400"/>
        <v>0358135723</v>
      </c>
      <c r="F7779" s="1">
        <v>45079</v>
      </c>
      <c r="G7779" t="str">
        <f t="shared" si="1402"/>
        <v>82097</v>
      </c>
      <c r="H7779">
        <v>1</v>
      </c>
      <c r="I7779">
        <v>381</v>
      </c>
      <c r="J7779">
        <v>0</v>
      </c>
      <c r="K7779" t="str">
        <f t="shared" si="1403"/>
        <v>802</v>
      </c>
      <c r="L7779">
        <v>369.57</v>
      </c>
    </row>
    <row r="7780" spans="1:12" x14ac:dyDescent="0.25">
      <c r="A7780" t="str">
        <f t="shared" si="1395"/>
        <v>89301000</v>
      </c>
      <c r="B7780" t="str">
        <f t="shared" si="1396"/>
        <v>06539000</v>
      </c>
      <c r="C7780" t="str">
        <f t="shared" si="1401"/>
        <v>06539002</v>
      </c>
      <c r="D7780">
        <v>89301171</v>
      </c>
      <c r="E7780" t="str">
        <f t="shared" si="1400"/>
        <v>0358135723</v>
      </c>
      <c r="F7780" s="1">
        <v>45079</v>
      </c>
      <c r="G7780" t="str">
        <f t="shared" si="1402"/>
        <v>82097</v>
      </c>
      <c r="H7780">
        <v>1</v>
      </c>
      <c r="I7780">
        <v>381</v>
      </c>
      <c r="J7780">
        <v>0</v>
      </c>
      <c r="K7780" t="str">
        <f t="shared" si="1403"/>
        <v>802</v>
      </c>
      <c r="L7780">
        <v>369.57</v>
      </c>
    </row>
    <row r="7781" spans="1:12" x14ac:dyDescent="0.25">
      <c r="A7781" t="str">
        <f t="shared" si="1395"/>
        <v>89301000</v>
      </c>
      <c r="B7781" t="str">
        <f t="shared" si="1396"/>
        <v>06539000</v>
      </c>
      <c r="C7781" t="str">
        <f t="shared" si="1401"/>
        <v>06539002</v>
      </c>
      <c r="D7781">
        <v>89301171</v>
      </c>
      <c r="E7781" t="str">
        <f t="shared" si="1400"/>
        <v>0358135723</v>
      </c>
      <c r="F7781" s="1">
        <v>45079</v>
      </c>
      <c r="G7781" t="str">
        <f t="shared" si="1402"/>
        <v>82097</v>
      </c>
      <c r="H7781">
        <v>1</v>
      </c>
      <c r="I7781">
        <v>381</v>
      </c>
      <c r="J7781">
        <v>0</v>
      </c>
      <c r="K7781" t="str">
        <f t="shared" si="1403"/>
        <v>802</v>
      </c>
      <c r="L7781">
        <v>369.57</v>
      </c>
    </row>
    <row r="7782" spans="1:12" x14ac:dyDescent="0.25">
      <c r="A7782" t="str">
        <f t="shared" si="1395"/>
        <v>89301000</v>
      </c>
      <c r="B7782" t="str">
        <f t="shared" si="1396"/>
        <v>06539000</v>
      </c>
      <c r="C7782" t="str">
        <f t="shared" si="1401"/>
        <v>06539002</v>
      </c>
      <c r="D7782">
        <v>89301171</v>
      </c>
      <c r="E7782" t="str">
        <f t="shared" si="1400"/>
        <v>0358135723</v>
      </c>
      <c r="F7782" s="1">
        <v>45079</v>
      </c>
      <c r="G7782" t="str">
        <f t="shared" si="1402"/>
        <v>82097</v>
      </c>
      <c r="H7782">
        <v>1</v>
      </c>
      <c r="I7782">
        <v>381</v>
      </c>
      <c r="J7782">
        <v>0</v>
      </c>
      <c r="K7782" t="str">
        <f t="shared" si="1403"/>
        <v>802</v>
      </c>
      <c r="L7782">
        <v>369.57</v>
      </c>
    </row>
    <row r="7783" spans="1:12" x14ac:dyDescent="0.25">
      <c r="A7783" t="str">
        <f t="shared" si="1395"/>
        <v>89301000</v>
      </c>
      <c r="B7783" t="str">
        <f t="shared" si="1396"/>
        <v>06539000</v>
      </c>
      <c r="C7783" t="str">
        <f t="shared" si="1401"/>
        <v>06539002</v>
      </c>
      <c r="D7783">
        <v>89301171</v>
      </c>
      <c r="E7783" t="str">
        <f t="shared" si="1400"/>
        <v>0358135723</v>
      </c>
      <c r="F7783" s="1">
        <v>45079</v>
      </c>
      <c r="G7783" t="str">
        <f t="shared" si="1402"/>
        <v>82097</v>
      </c>
      <c r="H7783">
        <v>1</v>
      </c>
      <c r="I7783">
        <v>381</v>
      </c>
      <c r="J7783">
        <v>0</v>
      </c>
      <c r="K7783" t="str">
        <f t="shared" si="1403"/>
        <v>802</v>
      </c>
      <c r="L7783">
        <v>369.57</v>
      </c>
    </row>
    <row r="7784" spans="1:12" x14ac:dyDescent="0.25">
      <c r="A7784" t="str">
        <f t="shared" si="1395"/>
        <v>89301000</v>
      </c>
      <c r="B7784" t="str">
        <f t="shared" si="1396"/>
        <v>06539000</v>
      </c>
      <c r="C7784" t="str">
        <f t="shared" si="1401"/>
        <v>06539002</v>
      </c>
      <c r="D7784">
        <v>89301171</v>
      </c>
      <c r="E7784" t="str">
        <f t="shared" si="1400"/>
        <v>0358135723</v>
      </c>
      <c r="F7784" s="1">
        <v>45079</v>
      </c>
      <c r="G7784" t="str">
        <f t="shared" si="1402"/>
        <v>82097</v>
      </c>
      <c r="H7784">
        <v>1</v>
      </c>
      <c r="I7784">
        <v>381</v>
      </c>
      <c r="J7784">
        <v>0</v>
      </c>
      <c r="K7784" t="str">
        <f t="shared" si="1403"/>
        <v>802</v>
      </c>
      <c r="L7784">
        <v>369.57</v>
      </c>
    </row>
    <row r="7785" spans="1:12" x14ac:dyDescent="0.25">
      <c r="A7785" t="str">
        <f t="shared" si="1395"/>
        <v>89301000</v>
      </c>
      <c r="B7785" t="str">
        <f t="shared" si="1396"/>
        <v>06539000</v>
      </c>
      <c r="C7785" t="str">
        <f t="shared" ref="C7785:C7816" si="1404">"06539003"</f>
        <v>06539003</v>
      </c>
      <c r="D7785">
        <v>89301171</v>
      </c>
      <c r="E7785" t="str">
        <f t="shared" si="1400"/>
        <v>0358135723</v>
      </c>
      <c r="F7785" s="1">
        <v>45089</v>
      </c>
      <c r="G7785" t="str">
        <f t="shared" ref="G7785:G7794" si="1405">"91413"</f>
        <v>91413</v>
      </c>
      <c r="H7785">
        <v>1</v>
      </c>
      <c r="I7785">
        <v>868</v>
      </c>
      <c r="J7785">
        <v>0</v>
      </c>
      <c r="K7785" t="str">
        <f t="shared" ref="K7785:K7816" si="1406">"813"</f>
        <v>813</v>
      </c>
      <c r="L7785">
        <v>729.12</v>
      </c>
    </row>
    <row r="7786" spans="1:12" x14ac:dyDescent="0.25">
      <c r="A7786" t="str">
        <f t="shared" si="1395"/>
        <v>89301000</v>
      </c>
      <c r="B7786" t="str">
        <f t="shared" si="1396"/>
        <v>06539000</v>
      </c>
      <c r="C7786" t="str">
        <f t="shared" si="1404"/>
        <v>06539003</v>
      </c>
      <c r="D7786">
        <v>89301171</v>
      </c>
      <c r="E7786" t="str">
        <f t="shared" si="1400"/>
        <v>0358135723</v>
      </c>
      <c r="F7786" s="1">
        <v>45089</v>
      </c>
      <c r="G7786" t="str">
        <f t="shared" si="1405"/>
        <v>91413</v>
      </c>
      <c r="H7786">
        <v>1</v>
      </c>
      <c r="I7786">
        <v>868</v>
      </c>
      <c r="J7786">
        <v>0</v>
      </c>
      <c r="K7786" t="str">
        <f t="shared" si="1406"/>
        <v>813</v>
      </c>
      <c r="L7786">
        <v>729.12</v>
      </c>
    </row>
    <row r="7787" spans="1:12" x14ac:dyDescent="0.25">
      <c r="A7787" t="str">
        <f t="shared" si="1395"/>
        <v>89301000</v>
      </c>
      <c r="B7787" t="str">
        <f t="shared" si="1396"/>
        <v>06539000</v>
      </c>
      <c r="C7787" t="str">
        <f t="shared" si="1404"/>
        <v>06539003</v>
      </c>
      <c r="D7787">
        <v>89301171</v>
      </c>
      <c r="E7787" t="str">
        <f t="shared" si="1400"/>
        <v>0358135723</v>
      </c>
      <c r="F7787" s="1">
        <v>45105</v>
      </c>
      <c r="G7787" t="str">
        <f t="shared" si="1405"/>
        <v>91413</v>
      </c>
      <c r="H7787">
        <v>1</v>
      </c>
      <c r="I7787">
        <v>868</v>
      </c>
      <c r="J7787">
        <v>0</v>
      </c>
      <c r="K7787" t="str">
        <f t="shared" si="1406"/>
        <v>813</v>
      </c>
      <c r="L7787">
        <v>729.12</v>
      </c>
    </row>
    <row r="7788" spans="1:12" x14ac:dyDescent="0.25">
      <c r="A7788" t="str">
        <f t="shared" si="1395"/>
        <v>89301000</v>
      </c>
      <c r="B7788" t="str">
        <f t="shared" si="1396"/>
        <v>06539000</v>
      </c>
      <c r="C7788" t="str">
        <f t="shared" si="1404"/>
        <v>06539003</v>
      </c>
      <c r="D7788">
        <v>89301171</v>
      </c>
      <c r="E7788" t="str">
        <f t="shared" si="1400"/>
        <v>0358135723</v>
      </c>
      <c r="F7788" s="1">
        <v>45105</v>
      </c>
      <c r="G7788" t="str">
        <f t="shared" si="1405"/>
        <v>91413</v>
      </c>
      <c r="H7788">
        <v>1</v>
      </c>
      <c r="I7788">
        <v>868</v>
      </c>
      <c r="J7788">
        <v>0</v>
      </c>
      <c r="K7788" t="str">
        <f t="shared" si="1406"/>
        <v>813</v>
      </c>
      <c r="L7788">
        <v>729.12</v>
      </c>
    </row>
    <row r="7789" spans="1:12" x14ac:dyDescent="0.25">
      <c r="A7789" t="str">
        <f t="shared" si="1395"/>
        <v>89301000</v>
      </c>
      <c r="B7789" t="str">
        <f t="shared" si="1396"/>
        <v>06539000</v>
      </c>
      <c r="C7789" t="str">
        <f t="shared" si="1404"/>
        <v>06539003</v>
      </c>
      <c r="D7789">
        <v>89301171</v>
      </c>
      <c r="E7789" t="str">
        <f t="shared" si="1400"/>
        <v>0358135723</v>
      </c>
      <c r="F7789" s="1">
        <v>45105</v>
      </c>
      <c r="G7789" t="str">
        <f t="shared" si="1405"/>
        <v>91413</v>
      </c>
      <c r="H7789">
        <v>1</v>
      </c>
      <c r="I7789">
        <v>868</v>
      </c>
      <c r="J7789">
        <v>0</v>
      </c>
      <c r="K7789" t="str">
        <f t="shared" si="1406"/>
        <v>813</v>
      </c>
      <c r="L7789">
        <v>729.12</v>
      </c>
    </row>
    <row r="7790" spans="1:12" x14ac:dyDescent="0.25">
      <c r="A7790" t="str">
        <f t="shared" si="1395"/>
        <v>89301000</v>
      </c>
      <c r="B7790" t="str">
        <f t="shared" si="1396"/>
        <v>06539000</v>
      </c>
      <c r="C7790" t="str">
        <f t="shared" si="1404"/>
        <v>06539003</v>
      </c>
      <c r="D7790">
        <v>89301171</v>
      </c>
      <c r="E7790" t="str">
        <f t="shared" si="1400"/>
        <v>0358135723</v>
      </c>
      <c r="F7790" s="1">
        <v>45105</v>
      </c>
      <c r="G7790" t="str">
        <f t="shared" si="1405"/>
        <v>91413</v>
      </c>
      <c r="H7790">
        <v>1</v>
      </c>
      <c r="I7790">
        <v>868</v>
      </c>
      <c r="J7790">
        <v>0</v>
      </c>
      <c r="K7790" t="str">
        <f t="shared" si="1406"/>
        <v>813</v>
      </c>
      <c r="L7790">
        <v>729.12</v>
      </c>
    </row>
    <row r="7791" spans="1:12" x14ac:dyDescent="0.25">
      <c r="A7791" t="str">
        <f t="shared" si="1395"/>
        <v>89301000</v>
      </c>
      <c r="B7791" t="str">
        <f t="shared" si="1396"/>
        <v>06539000</v>
      </c>
      <c r="C7791" t="str">
        <f t="shared" si="1404"/>
        <v>06539003</v>
      </c>
      <c r="D7791">
        <v>89301171</v>
      </c>
      <c r="E7791" t="str">
        <f t="shared" si="1400"/>
        <v>0358135723</v>
      </c>
      <c r="F7791" s="1">
        <v>45105</v>
      </c>
      <c r="G7791" t="str">
        <f t="shared" si="1405"/>
        <v>91413</v>
      </c>
      <c r="H7791">
        <v>1</v>
      </c>
      <c r="I7791">
        <v>868</v>
      </c>
      <c r="J7791">
        <v>0</v>
      </c>
      <c r="K7791" t="str">
        <f t="shared" si="1406"/>
        <v>813</v>
      </c>
      <c r="L7791">
        <v>729.12</v>
      </c>
    </row>
    <row r="7792" spans="1:12" x14ac:dyDescent="0.25">
      <c r="A7792" t="str">
        <f t="shared" si="1395"/>
        <v>89301000</v>
      </c>
      <c r="B7792" t="str">
        <f t="shared" si="1396"/>
        <v>06539000</v>
      </c>
      <c r="C7792" t="str">
        <f t="shared" si="1404"/>
        <v>06539003</v>
      </c>
      <c r="D7792">
        <v>89301171</v>
      </c>
      <c r="E7792" t="str">
        <f t="shared" si="1400"/>
        <v>0358135723</v>
      </c>
      <c r="F7792" s="1">
        <v>45105</v>
      </c>
      <c r="G7792" t="str">
        <f t="shared" si="1405"/>
        <v>91413</v>
      </c>
      <c r="H7792">
        <v>1</v>
      </c>
      <c r="I7792">
        <v>868</v>
      </c>
      <c r="J7792">
        <v>0</v>
      </c>
      <c r="K7792" t="str">
        <f t="shared" si="1406"/>
        <v>813</v>
      </c>
      <c r="L7792">
        <v>729.12</v>
      </c>
    </row>
    <row r="7793" spans="1:12" x14ac:dyDescent="0.25">
      <c r="A7793" t="str">
        <f t="shared" si="1395"/>
        <v>89301000</v>
      </c>
      <c r="B7793" t="str">
        <f t="shared" si="1396"/>
        <v>06539000</v>
      </c>
      <c r="C7793" t="str">
        <f t="shared" si="1404"/>
        <v>06539003</v>
      </c>
      <c r="D7793">
        <v>89301171</v>
      </c>
      <c r="E7793" t="str">
        <f t="shared" si="1400"/>
        <v>0358135723</v>
      </c>
      <c r="F7793" s="1">
        <v>45105</v>
      </c>
      <c r="G7793" t="str">
        <f t="shared" si="1405"/>
        <v>91413</v>
      </c>
      <c r="H7793">
        <v>1</v>
      </c>
      <c r="I7793">
        <v>868</v>
      </c>
      <c r="J7793">
        <v>0</v>
      </c>
      <c r="K7793" t="str">
        <f t="shared" si="1406"/>
        <v>813</v>
      </c>
      <c r="L7793">
        <v>729.12</v>
      </c>
    </row>
    <row r="7794" spans="1:12" x14ac:dyDescent="0.25">
      <c r="A7794" t="str">
        <f t="shared" si="1395"/>
        <v>89301000</v>
      </c>
      <c r="B7794" t="str">
        <f t="shared" si="1396"/>
        <v>06539000</v>
      </c>
      <c r="C7794" t="str">
        <f t="shared" si="1404"/>
        <v>06539003</v>
      </c>
      <c r="D7794">
        <v>89301171</v>
      </c>
      <c r="E7794" t="str">
        <f t="shared" si="1400"/>
        <v>0358135723</v>
      </c>
      <c r="F7794" s="1">
        <v>45105</v>
      </c>
      <c r="G7794" t="str">
        <f t="shared" si="1405"/>
        <v>91413</v>
      </c>
      <c r="H7794">
        <v>1</v>
      </c>
      <c r="I7794">
        <v>868</v>
      </c>
      <c r="J7794">
        <v>0</v>
      </c>
      <c r="K7794" t="str">
        <f t="shared" si="1406"/>
        <v>813</v>
      </c>
      <c r="L7794">
        <v>729.12</v>
      </c>
    </row>
    <row r="7795" spans="1:12" x14ac:dyDescent="0.25">
      <c r="A7795" t="str">
        <f t="shared" si="1395"/>
        <v>89301000</v>
      </c>
      <c r="B7795" t="str">
        <f t="shared" si="1396"/>
        <v>06539000</v>
      </c>
      <c r="C7795" t="str">
        <f t="shared" si="1404"/>
        <v>06539003</v>
      </c>
      <c r="D7795">
        <v>89301171</v>
      </c>
      <c r="E7795" t="str">
        <f t="shared" si="1400"/>
        <v>0358135723</v>
      </c>
      <c r="F7795" s="1">
        <v>45079</v>
      </c>
      <c r="G7795" t="str">
        <f t="shared" ref="G7795:G7801" si="1407">"91197"</f>
        <v>91197</v>
      </c>
      <c r="H7795">
        <v>1</v>
      </c>
      <c r="I7795">
        <v>1048</v>
      </c>
      <c r="J7795">
        <v>0</v>
      </c>
      <c r="K7795" t="str">
        <f t="shared" si="1406"/>
        <v>813</v>
      </c>
      <c r="L7795">
        <v>880.32</v>
      </c>
    </row>
    <row r="7796" spans="1:12" x14ac:dyDescent="0.25">
      <c r="A7796" t="str">
        <f t="shared" si="1395"/>
        <v>89301000</v>
      </c>
      <c r="B7796" t="str">
        <f t="shared" si="1396"/>
        <v>06539000</v>
      </c>
      <c r="C7796" t="str">
        <f t="shared" si="1404"/>
        <v>06539003</v>
      </c>
      <c r="D7796">
        <v>89301171</v>
      </c>
      <c r="E7796" t="str">
        <f t="shared" si="1400"/>
        <v>0358135723</v>
      </c>
      <c r="F7796" s="1">
        <v>45082</v>
      </c>
      <c r="G7796" t="str">
        <f t="shared" si="1407"/>
        <v>91197</v>
      </c>
      <c r="H7796">
        <v>1</v>
      </c>
      <c r="I7796">
        <v>1048</v>
      </c>
      <c r="J7796">
        <v>0</v>
      </c>
      <c r="K7796" t="str">
        <f t="shared" si="1406"/>
        <v>813</v>
      </c>
      <c r="L7796">
        <v>880.32</v>
      </c>
    </row>
    <row r="7797" spans="1:12" x14ac:dyDescent="0.25">
      <c r="A7797" t="str">
        <f t="shared" si="1395"/>
        <v>89301000</v>
      </c>
      <c r="B7797" t="str">
        <f t="shared" si="1396"/>
        <v>06539000</v>
      </c>
      <c r="C7797" t="str">
        <f t="shared" si="1404"/>
        <v>06539003</v>
      </c>
      <c r="D7797">
        <v>89301171</v>
      </c>
      <c r="E7797" t="str">
        <f t="shared" si="1400"/>
        <v>0358135723</v>
      </c>
      <c r="F7797" s="1">
        <v>45082</v>
      </c>
      <c r="G7797" t="str">
        <f t="shared" si="1407"/>
        <v>91197</v>
      </c>
      <c r="H7797">
        <v>1</v>
      </c>
      <c r="I7797">
        <v>1048</v>
      </c>
      <c r="J7797">
        <v>0</v>
      </c>
      <c r="K7797" t="str">
        <f t="shared" si="1406"/>
        <v>813</v>
      </c>
      <c r="L7797">
        <v>880.32</v>
      </c>
    </row>
    <row r="7798" spans="1:12" x14ac:dyDescent="0.25">
      <c r="A7798" t="str">
        <f t="shared" si="1395"/>
        <v>89301000</v>
      </c>
      <c r="B7798" t="str">
        <f t="shared" si="1396"/>
        <v>06539000</v>
      </c>
      <c r="C7798" t="str">
        <f t="shared" si="1404"/>
        <v>06539003</v>
      </c>
      <c r="D7798">
        <v>89301171</v>
      </c>
      <c r="E7798" t="str">
        <f t="shared" si="1400"/>
        <v>0358135723</v>
      </c>
      <c r="F7798" s="1">
        <v>45081</v>
      </c>
      <c r="G7798" t="str">
        <f t="shared" si="1407"/>
        <v>91197</v>
      </c>
      <c r="H7798">
        <v>1</v>
      </c>
      <c r="I7798">
        <v>1048</v>
      </c>
      <c r="J7798">
        <v>0</v>
      </c>
      <c r="K7798" t="str">
        <f t="shared" si="1406"/>
        <v>813</v>
      </c>
      <c r="L7798">
        <v>880.32</v>
      </c>
    </row>
    <row r="7799" spans="1:12" x14ac:dyDescent="0.25">
      <c r="A7799" t="str">
        <f t="shared" si="1395"/>
        <v>89301000</v>
      </c>
      <c r="B7799" t="str">
        <f t="shared" si="1396"/>
        <v>06539000</v>
      </c>
      <c r="C7799" t="str">
        <f t="shared" si="1404"/>
        <v>06539003</v>
      </c>
      <c r="D7799">
        <v>89301171</v>
      </c>
      <c r="E7799" t="str">
        <f t="shared" si="1400"/>
        <v>0358135723</v>
      </c>
      <c r="F7799" s="1">
        <v>45081</v>
      </c>
      <c r="G7799" t="str">
        <f t="shared" si="1407"/>
        <v>91197</v>
      </c>
      <c r="H7799">
        <v>1</v>
      </c>
      <c r="I7799">
        <v>1048</v>
      </c>
      <c r="J7799">
        <v>0</v>
      </c>
      <c r="K7799" t="str">
        <f t="shared" si="1406"/>
        <v>813</v>
      </c>
      <c r="L7799">
        <v>880.32</v>
      </c>
    </row>
    <row r="7800" spans="1:12" x14ac:dyDescent="0.25">
      <c r="A7800" t="str">
        <f t="shared" si="1395"/>
        <v>89301000</v>
      </c>
      <c r="B7800" t="str">
        <f t="shared" si="1396"/>
        <v>06539000</v>
      </c>
      <c r="C7800" t="str">
        <f t="shared" si="1404"/>
        <v>06539003</v>
      </c>
      <c r="D7800">
        <v>89301171</v>
      </c>
      <c r="E7800" t="str">
        <f t="shared" si="1400"/>
        <v>0358135723</v>
      </c>
      <c r="F7800" s="1">
        <v>45080</v>
      </c>
      <c r="G7800" t="str">
        <f t="shared" si="1407"/>
        <v>91197</v>
      </c>
      <c r="H7800">
        <v>1</v>
      </c>
      <c r="I7800">
        <v>1048</v>
      </c>
      <c r="J7800">
        <v>0</v>
      </c>
      <c r="K7800" t="str">
        <f t="shared" si="1406"/>
        <v>813</v>
      </c>
      <c r="L7800">
        <v>880.32</v>
      </c>
    </row>
    <row r="7801" spans="1:12" x14ac:dyDescent="0.25">
      <c r="A7801" t="str">
        <f t="shared" si="1395"/>
        <v>89301000</v>
      </c>
      <c r="B7801" t="str">
        <f t="shared" si="1396"/>
        <v>06539000</v>
      </c>
      <c r="C7801" t="str">
        <f t="shared" si="1404"/>
        <v>06539003</v>
      </c>
      <c r="D7801">
        <v>89301171</v>
      </c>
      <c r="E7801" t="str">
        <f t="shared" si="1400"/>
        <v>0358135723</v>
      </c>
      <c r="F7801" s="1">
        <v>45080</v>
      </c>
      <c r="G7801" t="str">
        <f t="shared" si="1407"/>
        <v>91197</v>
      </c>
      <c r="H7801">
        <v>1</v>
      </c>
      <c r="I7801">
        <v>1048</v>
      </c>
      <c r="J7801">
        <v>0</v>
      </c>
      <c r="K7801" t="str">
        <f t="shared" si="1406"/>
        <v>813</v>
      </c>
      <c r="L7801">
        <v>880.32</v>
      </c>
    </row>
    <row r="7802" spans="1:12" x14ac:dyDescent="0.25">
      <c r="A7802" t="str">
        <f t="shared" si="1395"/>
        <v>89301000</v>
      </c>
      <c r="B7802" t="str">
        <f t="shared" si="1396"/>
        <v>06539000</v>
      </c>
      <c r="C7802" t="str">
        <f t="shared" si="1404"/>
        <v>06539003</v>
      </c>
      <c r="D7802">
        <v>89301171</v>
      </c>
      <c r="E7802" t="str">
        <f t="shared" si="1400"/>
        <v>0358135723</v>
      </c>
      <c r="F7802" s="1">
        <v>45105</v>
      </c>
      <c r="G7802" t="str">
        <f>"91329"</f>
        <v>91329</v>
      </c>
      <c r="H7802">
        <v>2</v>
      </c>
      <c r="I7802">
        <v>436</v>
      </c>
      <c r="J7802">
        <v>0</v>
      </c>
      <c r="K7802" t="str">
        <f t="shared" si="1406"/>
        <v>813</v>
      </c>
      <c r="L7802">
        <v>366.24</v>
      </c>
    </row>
    <row r="7803" spans="1:12" x14ac:dyDescent="0.25">
      <c r="A7803" t="str">
        <f t="shared" si="1395"/>
        <v>89301000</v>
      </c>
      <c r="B7803" t="str">
        <f t="shared" si="1396"/>
        <v>06539000</v>
      </c>
      <c r="C7803" t="str">
        <f t="shared" si="1404"/>
        <v>06539003</v>
      </c>
      <c r="D7803">
        <v>89301171</v>
      </c>
      <c r="E7803" t="str">
        <f t="shared" si="1400"/>
        <v>0358135723</v>
      </c>
      <c r="F7803" s="1">
        <v>45105</v>
      </c>
      <c r="G7803" t="str">
        <f>"91329"</f>
        <v>91329</v>
      </c>
      <c r="H7803">
        <v>2</v>
      </c>
      <c r="I7803">
        <v>436</v>
      </c>
      <c r="J7803">
        <v>0</v>
      </c>
      <c r="K7803" t="str">
        <f t="shared" si="1406"/>
        <v>813</v>
      </c>
      <c r="L7803">
        <v>366.24</v>
      </c>
    </row>
    <row r="7804" spans="1:12" x14ac:dyDescent="0.25">
      <c r="A7804" t="str">
        <f t="shared" si="1395"/>
        <v>89301000</v>
      </c>
      <c r="B7804" t="str">
        <f t="shared" si="1396"/>
        <v>06539000</v>
      </c>
      <c r="C7804" t="str">
        <f t="shared" si="1404"/>
        <v>06539003</v>
      </c>
      <c r="D7804">
        <v>89301171</v>
      </c>
      <c r="E7804" t="str">
        <f t="shared" si="1400"/>
        <v>0358135723</v>
      </c>
      <c r="F7804" s="1">
        <v>45105</v>
      </c>
      <c r="G7804" t="str">
        <f>"91329"</f>
        <v>91329</v>
      </c>
      <c r="H7804">
        <v>2</v>
      </c>
      <c r="I7804">
        <v>436</v>
      </c>
      <c r="J7804">
        <v>0</v>
      </c>
      <c r="K7804" t="str">
        <f t="shared" si="1406"/>
        <v>813</v>
      </c>
      <c r="L7804">
        <v>366.24</v>
      </c>
    </row>
    <row r="7805" spans="1:12" x14ac:dyDescent="0.25">
      <c r="A7805" t="str">
        <f t="shared" si="1395"/>
        <v>89301000</v>
      </c>
      <c r="B7805" t="str">
        <f t="shared" si="1396"/>
        <v>06539000</v>
      </c>
      <c r="C7805" t="str">
        <f t="shared" si="1404"/>
        <v>06539003</v>
      </c>
      <c r="D7805">
        <v>89301171</v>
      </c>
      <c r="E7805" t="str">
        <f t="shared" si="1400"/>
        <v>0358135723</v>
      </c>
      <c r="F7805" s="1">
        <v>45105</v>
      </c>
      <c r="G7805" t="str">
        <f>"91329"</f>
        <v>91329</v>
      </c>
      <c r="H7805">
        <v>2</v>
      </c>
      <c r="I7805">
        <v>436</v>
      </c>
      <c r="J7805">
        <v>0</v>
      </c>
      <c r="K7805" t="str">
        <f t="shared" si="1406"/>
        <v>813</v>
      </c>
      <c r="L7805">
        <v>366.24</v>
      </c>
    </row>
    <row r="7806" spans="1:12" x14ac:dyDescent="0.25">
      <c r="A7806" t="str">
        <f t="shared" si="1395"/>
        <v>89301000</v>
      </c>
      <c r="B7806" t="str">
        <f t="shared" si="1396"/>
        <v>06539000</v>
      </c>
      <c r="C7806" t="str">
        <f t="shared" si="1404"/>
        <v>06539003</v>
      </c>
      <c r="D7806">
        <v>89301171</v>
      </c>
      <c r="E7806" t="str">
        <f t="shared" si="1400"/>
        <v>0358135723</v>
      </c>
      <c r="F7806" s="1">
        <v>45082</v>
      </c>
      <c r="G7806" t="str">
        <f>"91129"</f>
        <v>91129</v>
      </c>
      <c r="H7806">
        <v>1</v>
      </c>
      <c r="I7806">
        <v>175</v>
      </c>
      <c r="J7806">
        <v>0</v>
      </c>
      <c r="K7806" t="str">
        <f t="shared" si="1406"/>
        <v>813</v>
      </c>
      <c r="L7806">
        <v>147</v>
      </c>
    </row>
    <row r="7807" spans="1:12" x14ac:dyDescent="0.25">
      <c r="A7807" t="str">
        <f t="shared" si="1395"/>
        <v>89301000</v>
      </c>
      <c r="B7807" t="str">
        <f t="shared" si="1396"/>
        <v>06539000</v>
      </c>
      <c r="C7807" t="str">
        <f t="shared" si="1404"/>
        <v>06539003</v>
      </c>
      <c r="D7807">
        <v>89301171</v>
      </c>
      <c r="E7807" t="str">
        <f t="shared" si="1400"/>
        <v>0358135723</v>
      </c>
      <c r="F7807" s="1">
        <v>45082</v>
      </c>
      <c r="G7807" t="str">
        <f>"91131"</f>
        <v>91131</v>
      </c>
      <c r="H7807">
        <v>1</v>
      </c>
      <c r="I7807">
        <v>171</v>
      </c>
      <c r="J7807">
        <v>0</v>
      </c>
      <c r="K7807" t="str">
        <f t="shared" si="1406"/>
        <v>813</v>
      </c>
      <c r="L7807">
        <v>143.63999999999999</v>
      </c>
    </row>
    <row r="7808" spans="1:12" x14ac:dyDescent="0.25">
      <c r="A7808" t="str">
        <f t="shared" si="1395"/>
        <v>89301000</v>
      </c>
      <c r="B7808" t="str">
        <f t="shared" si="1396"/>
        <v>06539000</v>
      </c>
      <c r="C7808" t="str">
        <f t="shared" si="1404"/>
        <v>06539003</v>
      </c>
      <c r="D7808">
        <v>89301171</v>
      </c>
      <c r="E7808" t="str">
        <f t="shared" si="1400"/>
        <v>0358135723</v>
      </c>
      <c r="F7808" s="1">
        <v>45082</v>
      </c>
      <c r="G7808" t="str">
        <f>"91133"</f>
        <v>91133</v>
      </c>
      <c r="H7808">
        <v>1</v>
      </c>
      <c r="I7808">
        <v>177</v>
      </c>
      <c r="J7808">
        <v>0</v>
      </c>
      <c r="K7808" t="str">
        <f t="shared" si="1406"/>
        <v>813</v>
      </c>
      <c r="L7808">
        <v>148.68</v>
      </c>
    </row>
    <row r="7809" spans="1:12" x14ac:dyDescent="0.25">
      <c r="A7809" t="str">
        <f t="shared" si="1395"/>
        <v>89301000</v>
      </c>
      <c r="B7809" t="str">
        <f t="shared" si="1396"/>
        <v>06539000</v>
      </c>
      <c r="C7809" t="str">
        <f t="shared" si="1404"/>
        <v>06539003</v>
      </c>
      <c r="D7809">
        <v>89301171</v>
      </c>
      <c r="E7809" t="str">
        <f t="shared" si="1400"/>
        <v>0358135723</v>
      </c>
      <c r="F7809" s="1">
        <v>45082</v>
      </c>
      <c r="G7809" t="str">
        <f>"91171"</f>
        <v>91171</v>
      </c>
      <c r="H7809">
        <v>1</v>
      </c>
      <c r="I7809">
        <v>362</v>
      </c>
      <c r="J7809">
        <v>0</v>
      </c>
      <c r="K7809" t="str">
        <f t="shared" si="1406"/>
        <v>813</v>
      </c>
      <c r="L7809">
        <v>304.08</v>
      </c>
    </row>
    <row r="7810" spans="1:12" x14ac:dyDescent="0.25">
      <c r="A7810" t="str">
        <f t="shared" ref="A7810:A7873" si="1408">"89301000"</f>
        <v>89301000</v>
      </c>
      <c r="B7810" t="str">
        <f t="shared" si="1396"/>
        <v>06539000</v>
      </c>
      <c r="C7810" t="str">
        <f t="shared" si="1404"/>
        <v>06539003</v>
      </c>
      <c r="D7810">
        <v>89301171</v>
      </c>
      <c r="E7810" t="str">
        <f t="shared" si="1400"/>
        <v>0358135723</v>
      </c>
      <c r="F7810" s="1">
        <v>45079</v>
      </c>
      <c r="G7810" t="str">
        <f>"91173"</f>
        <v>91173</v>
      </c>
      <c r="H7810">
        <v>1</v>
      </c>
      <c r="I7810">
        <v>337</v>
      </c>
      <c r="J7810">
        <v>0</v>
      </c>
      <c r="K7810" t="str">
        <f t="shared" si="1406"/>
        <v>813</v>
      </c>
      <c r="L7810">
        <v>283.08</v>
      </c>
    </row>
    <row r="7811" spans="1:12" x14ac:dyDescent="0.25">
      <c r="A7811" t="str">
        <f t="shared" si="1408"/>
        <v>89301000</v>
      </c>
      <c r="B7811" t="str">
        <f t="shared" si="1396"/>
        <v>06539000</v>
      </c>
      <c r="C7811" t="str">
        <f t="shared" si="1404"/>
        <v>06539003</v>
      </c>
      <c r="D7811">
        <v>89301171</v>
      </c>
      <c r="E7811" t="str">
        <f t="shared" si="1400"/>
        <v>0358135723</v>
      </c>
      <c r="F7811" s="1">
        <v>45082</v>
      </c>
      <c r="G7811" t="str">
        <f>"91175"</f>
        <v>91175</v>
      </c>
      <c r="H7811">
        <v>1</v>
      </c>
      <c r="I7811">
        <v>362</v>
      </c>
      <c r="J7811">
        <v>0</v>
      </c>
      <c r="K7811" t="str">
        <f t="shared" si="1406"/>
        <v>813</v>
      </c>
      <c r="L7811">
        <v>304.08</v>
      </c>
    </row>
    <row r="7812" spans="1:12" x14ac:dyDescent="0.25">
      <c r="A7812" t="str">
        <f t="shared" si="1408"/>
        <v>89301000</v>
      </c>
      <c r="B7812" t="str">
        <f t="shared" si="1396"/>
        <v>06539000</v>
      </c>
      <c r="C7812" t="str">
        <f t="shared" si="1404"/>
        <v>06539003</v>
      </c>
      <c r="D7812">
        <v>89301171</v>
      </c>
      <c r="E7812" t="str">
        <f t="shared" si="1400"/>
        <v>0358135723</v>
      </c>
      <c r="F7812" s="1">
        <v>45080</v>
      </c>
      <c r="G7812" t="str">
        <f>"91167"</f>
        <v>91167</v>
      </c>
      <c r="H7812">
        <v>1</v>
      </c>
      <c r="I7812">
        <v>426</v>
      </c>
      <c r="J7812">
        <v>0</v>
      </c>
      <c r="K7812" t="str">
        <f t="shared" si="1406"/>
        <v>813</v>
      </c>
      <c r="L7812">
        <v>357.84</v>
      </c>
    </row>
    <row r="7813" spans="1:12" x14ac:dyDescent="0.25">
      <c r="A7813" t="str">
        <f t="shared" si="1408"/>
        <v>89301000</v>
      </c>
      <c r="B7813" t="str">
        <f t="shared" ref="B7813:B7840" si="1409">"06539000"</f>
        <v>06539000</v>
      </c>
      <c r="C7813" t="str">
        <f t="shared" si="1404"/>
        <v>06539003</v>
      </c>
      <c r="D7813">
        <v>89301171</v>
      </c>
      <c r="E7813" t="str">
        <f t="shared" si="1400"/>
        <v>0358135723</v>
      </c>
      <c r="F7813" s="1">
        <v>45080</v>
      </c>
      <c r="G7813" t="str">
        <f>"91169"</f>
        <v>91169</v>
      </c>
      <c r="H7813">
        <v>1</v>
      </c>
      <c r="I7813">
        <v>426</v>
      </c>
      <c r="J7813">
        <v>0</v>
      </c>
      <c r="K7813" t="str">
        <f t="shared" si="1406"/>
        <v>813</v>
      </c>
      <c r="L7813">
        <v>357.84</v>
      </c>
    </row>
    <row r="7814" spans="1:12" x14ac:dyDescent="0.25">
      <c r="A7814" t="str">
        <f t="shared" si="1408"/>
        <v>89301000</v>
      </c>
      <c r="B7814" t="str">
        <f t="shared" si="1409"/>
        <v>06539000</v>
      </c>
      <c r="C7814" t="str">
        <f t="shared" si="1404"/>
        <v>06539003</v>
      </c>
      <c r="D7814">
        <v>89301171</v>
      </c>
      <c r="E7814" t="str">
        <f t="shared" si="1400"/>
        <v>0358135723</v>
      </c>
      <c r="F7814" s="1">
        <v>45079</v>
      </c>
      <c r="G7814" t="str">
        <f>"91167"</f>
        <v>91167</v>
      </c>
      <c r="H7814">
        <v>1</v>
      </c>
      <c r="I7814">
        <v>426</v>
      </c>
      <c r="J7814">
        <v>0</v>
      </c>
      <c r="K7814" t="str">
        <f t="shared" si="1406"/>
        <v>813</v>
      </c>
      <c r="L7814">
        <v>357.84</v>
      </c>
    </row>
    <row r="7815" spans="1:12" x14ac:dyDescent="0.25">
      <c r="A7815" t="str">
        <f t="shared" si="1408"/>
        <v>89301000</v>
      </c>
      <c r="B7815" t="str">
        <f t="shared" si="1409"/>
        <v>06539000</v>
      </c>
      <c r="C7815" t="str">
        <f t="shared" si="1404"/>
        <v>06539003</v>
      </c>
      <c r="D7815">
        <v>89301171</v>
      </c>
      <c r="E7815" t="str">
        <f t="shared" si="1400"/>
        <v>0358135723</v>
      </c>
      <c r="F7815" s="1">
        <v>45079</v>
      </c>
      <c r="G7815" t="str">
        <f>"91169"</f>
        <v>91169</v>
      </c>
      <c r="H7815">
        <v>1</v>
      </c>
      <c r="I7815">
        <v>426</v>
      </c>
      <c r="J7815">
        <v>0</v>
      </c>
      <c r="K7815" t="str">
        <f t="shared" si="1406"/>
        <v>813</v>
      </c>
      <c r="L7815">
        <v>357.84</v>
      </c>
    </row>
    <row r="7816" spans="1:12" x14ac:dyDescent="0.25">
      <c r="A7816" t="str">
        <f t="shared" si="1408"/>
        <v>89301000</v>
      </c>
      <c r="B7816" t="str">
        <f t="shared" si="1409"/>
        <v>06539000</v>
      </c>
      <c r="C7816" t="str">
        <f t="shared" si="1404"/>
        <v>06539003</v>
      </c>
      <c r="D7816">
        <v>89301171</v>
      </c>
      <c r="E7816" t="str">
        <f t="shared" si="1400"/>
        <v>0358135723</v>
      </c>
      <c r="F7816" s="1">
        <v>45089</v>
      </c>
      <c r="G7816" t="str">
        <f>"91475"</f>
        <v>91475</v>
      </c>
      <c r="H7816">
        <v>1</v>
      </c>
      <c r="I7816">
        <v>213</v>
      </c>
      <c r="J7816">
        <v>0</v>
      </c>
      <c r="K7816" t="str">
        <f t="shared" si="1406"/>
        <v>813</v>
      </c>
      <c r="L7816">
        <v>178.92</v>
      </c>
    </row>
    <row r="7817" spans="1:12" x14ac:dyDescent="0.25">
      <c r="A7817" t="str">
        <f t="shared" si="1408"/>
        <v>89301000</v>
      </c>
      <c r="B7817" t="str">
        <f t="shared" si="1409"/>
        <v>06539000</v>
      </c>
      <c r="C7817" t="str">
        <f t="shared" ref="C7817:C7840" si="1410">"06539003"</f>
        <v>06539003</v>
      </c>
      <c r="D7817">
        <v>89301171</v>
      </c>
      <c r="E7817" t="str">
        <f>"5412183590"</f>
        <v>5412183590</v>
      </c>
      <c r="F7817" s="1">
        <v>45097</v>
      </c>
      <c r="G7817" t="str">
        <f>"91495"</f>
        <v>91495</v>
      </c>
      <c r="H7817">
        <v>1</v>
      </c>
      <c r="I7817">
        <v>595</v>
      </c>
      <c r="J7817">
        <v>0</v>
      </c>
      <c r="K7817" t="str">
        <f t="shared" ref="K7817:K7840" si="1411">"813"</f>
        <v>813</v>
      </c>
      <c r="L7817">
        <v>499.8</v>
      </c>
    </row>
    <row r="7818" spans="1:12" x14ac:dyDescent="0.25">
      <c r="A7818" t="str">
        <f t="shared" si="1408"/>
        <v>89301000</v>
      </c>
      <c r="B7818" t="str">
        <f t="shared" si="1409"/>
        <v>06539000</v>
      </c>
      <c r="C7818" t="str">
        <f t="shared" si="1410"/>
        <v>06539003</v>
      </c>
      <c r="D7818">
        <v>89301171</v>
      </c>
      <c r="E7818" t="str">
        <f>"5412183590"</f>
        <v>5412183590</v>
      </c>
      <c r="F7818" s="1">
        <v>45097</v>
      </c>
      <c r="G7818" t="str">
        <f>"91475"</f>
        <v>91475</v>
      </c>
      <c r="H7818">
        <v>1</v>
      </c>
      <c r="I7818">
        <v>213</v>
      </c>
      <c r="J7818">
        <v>0</v>
      </c>
      <c r="K7818" t="str">
        <f t="shared" si="1411"/>
        <v>813</v>
      </c>
      <c r="L7818">
        <v>178.92</v>
      </c>
    </row>
    <row r="7819" spans="1:12" x14ac:dyDescent="0.25">
      <c r="A7819" t="str">
        <f t="shared" si="1408"/>
        <v>89301000</v>
      </c>
      <c r="B7819" t="str">
        <f t="shared" si="1409"/>
        <v>06539000</v>
      </c>
      <c r="C7819" t="str">
        <f t="shared" si="1410"/>
        <v>06539003</v>
      </c>
      <c r="D7819">
        <v>89301101</v>
      </c>
      <c r="E7819" t="str">
        <f t="shared" ref="E7819:E7840" si="1412">"1057150105"</f>
        <v>1057150105</v>
      </c>
      <c r="F7819" s="1">
        <v>45091</v>
      </c>
      <c r="G7819" t="str">
        <f>"91413"</f>
        <v>91413</v>
      </c>
      <c r="H7819">
        <v>1</v>
      </c>
      <c r="I7819">
        <v>868</v>
      </c>
      <c r="J7819">
        <v>0</v>
      </c>
      <c r="K7819" t="str">
        <f t="shared" si="1411"/>
        <v>813</v>
      </c>
      <c r="L7819">
        <v>729.12</v>
      </c>
    </row>
    <row r="7820" spans="1:12" x14ac:dyDescent="0.25">
      <c r="A7820" t="str">
        <f t="shared" si="1408"/>
        <v>89301000</v>
      </c>
      <c r="B7820" t="str">
        <f t="shared" si="1409"/>
        <v>06539000</v>
      </c>
      <c r="C7820" t="str">
        <f t="shared" si="1410"/>
        <v>06539003</v>
      </c>
      <c r="D7820">
        <v>89301101</v>
      </c>
      <c r="E7820" t="str">
        <f t="shared" si="1412"/>
        <v>1057150105</v>
      </c>
      <c r="F7820" s="1">
        <v>45091</v>
      </c>
      <c r="G7820" t="str">
        <f>"91413"</f>
        <v>91413</v>
      </c>
      <c r="H7820">
        <v>1</v>
      </c>
      <c r="I7820">
        <v>868</v>
      </c>
      <c r="J7820">
        <v>0</v>
      </c>
      <c r="K7820" t="str">
        <f t="shared" si="1411"/>
        <v>813</v>
      </c>
      <c r="L7820">
        <v>729.12</v>
      </c>
    </row>
    <row r="7821" spans="1:12" x14ac:dyDescent="0.25">
      <c r="A7821" t="str">
        <f t="shared" si="1408"/>
        <v>89301000</v>
      </c>
      <c r="B7821" t="str">
        <f t="shared" si="1409"/>
        <v>06539000</v>
      </c>
      <c r="C7821" t="str">
        <f t="shared" si="1410"/>
        <v>06539003</v>
      </c>
      <c r="D7821">
        <v>89301101</v>
      </c>
      <c r="E7821" t="str">
        <f t="shared" si="1412"/>
        <v>1057150105</v>
      </c>
      <c r="F7821" s="1">
        <v>45097</v>
      </c>
      <c r="G7821" t="str">
        <f>"91495"</f>
        <v>91495</v>
      </c>
      <c r="H7821">
        <v>1</v>
      </c>
      <c r="I7821">
        <v>595</v>
      </c>
      <c r="J7821">
        <v>0</v>
      </c>
      <c r="K7821" t="str">
        <f t="shared" si="1411"/>
        <v>813</v>
      </c>
      <c r="L7821">
        <v>499.8</v>
      </c>
    </row>
    <row r="7822" spans="1:12" x14ac:dyDescent="0.25">
      <c r="A7822" t="str">
        <f t="shared" si="1408"/>
        <v>89301000</v>
      </c>
      <c r="B7822" t="str">
        <f t="shared" si="1409"/>
        <v>06539000</v>
      </c>
      <c r="C7822" t="str">
        <f t="shared" si="1410"/>
        <v>06539003</v>
      </c>
      <c r="D7822">
        <v>89301101</v>
      </c>
      <c r="E7822" t="str">
        <f t="shared" si="1412"/>
        <v>1057150105</v>
      </c>
      <c r="F7822" s="1">
        <v>45090</v>
      </c>
      <c r="G7822" t="str">
        <f t="shared" ref="G7822:G7839" si="1413">"91329"</f>
        <v>91329</v>
      </c>
      <c r="H7822">
        <v>2</v>
      </c>
      <c r="I7822">
        <v>436</v>
      </c>
      <c r="J7822">
        <v>0</v>
      </c>
      <c r="K7822" t="str">
        <f t="shared" si="1411"/>
        <v>813</v>
      </c>
      <c r="L7822">
        <v>366.24</v>
      </c>
    </row>
    <row r="7823" spans="1:12" x14ac:dyDescent="0.25">
      <c r="A7823" t="str">
        <f t="shared" si="1408"/>
        <v>89301000</v>
      </c>
      <c r="B7823" t="str">
        <f t="shared" si="1409"/>
        <v>06539000</v>
      </c>
      <c r="C7823" t="str">
        <f t="shared" si="1410"/>
        <v>06539003</v>
      </c>
      <c r="D7823">
        <v>89301101</v>
      </c>
      <c r="E7823" t="str">
        <f t="shared" si="1412"/>
        <v>1057150105</v>
      </c>
      <c r="F7823" s="1">
        <v>45090</v>
      </c>
      <c r="G7823" t="str">
        <f t="shared" si="1413"/>
        <v>91329</v>
      </c>
      <c r="H7823">
        <v>2</v>
      </c>
      <c r="I7823">
        <v>436</v>
      </c>
      <c r="J7823">
        <v>0</v>
      </c>
      <c r="K7823" t="str">
        <f t="shared" si="1411"/>
        <v>813</v>
      </c>
      <c r="L7823">
        <v>366.24</v>
      </c>
    </row>
    <row r="7824" spans="1:12" x14ac:dyDescent="0.25">
      <c r="A7824" t="str">
        <f t="shared" si="1408"/>
        <v>89301000</v>
      </c>
      <c r="B7824" t="str">
        <f t="shared" si="1409"/>
        <v>06539000</v>
      </c>
      <c r="C7824" t="str">
        <f t="shared" si="1410"/>
        <v>06539003</v>
      </c>
      <c r="D7824">
        <v>89301101</v>
      </c>
      <c r="E7824" t="str">
        <f t="shared" si="1412"/>
        <v>1057150105</v>
      </c>
      <c r="F7824" s="1">
        <v>45090</v>
      </c>
      <c r="G7824" t="str">
        <f t="shared" si="1413"/>
        <v>91329</v>
      </c>
      <c r="H7824">
        <v>2</v>
      </c>
      <c r="I7824">
        <v>436</v>
      </c>
      <c r="J7824">
        <v>0</v>
      </c>
      <c r="K7824" t="str">
        <f t="shared" si="1411"/>
        <v>813</v>
      </c>
      <c r="L7824">
        <v>366.24</v>
      </c>
    </row>
    <row r="7825" spans="1:12" x14ac:dyDescent="0.25">
      <c r="A7825" t="str">
        <f t="shared" si="1408"/>
        <v>89301000</v>
      </c>
      <c r="B7825" t="str">
        <f t="shared" si="1409"/>
        <v>06539000</v>
      </c>
      <c r="C7825" t="str">
        <f t="shared" si="1410"/>
        <v>06539003</v>
      </c>
      <c r="D7825">
        <v>89301101</v>
      </c>
      <c r="E7825" t="str">
        <f t="shared" si="1412"/>
        <v>1057150105</v>
      </c>
      <c r="F7825" s="1">
        <v>45090</v>
      </c>
      <c r="G7825" t="str">
        <f t="shared" si="1413"/>
        <v>91329</v>
      </c>
      <c r="H7825">
        <v>2</v>
      </c>
      <c r="I7825">
        <v>436</v>
      </c>
      <c r="J7825">
        <v>0</v>
      </c>
      <c r="K7825" t="str">
        <f t="shared" si="1411"/>
        <v>813</v>
      </c>
      <c r="L7825">
        <v>366.24</v>
      </c>
    </row>
    <row r="7826" spans="1:12" x14ac:dyDescent="0.25">
      <c r="A7826" t="str">
        <f t="shared" si="1408"/>
        <v>89301000</v>
      </c>
      <c r="B7826" t="str">
        <f t="shared" si="1409"/>
        <v>06539000</v>
      </c>
      <c r="C7826" t="str">
        <f t="shared" si="1410"/>
        <v>06539003</v>
      </c>
      <c r="D7826">
        <v>89301101</v>
      </c>
      <c r="E7826" t="str">
        <f t="shared" si="1412"/>
        <v>1057150105</v>
      </c>
      <c r="F7826" s="1">
        <v>45090</v>
      </c>
      <c r="G7826" t="str">
        <f t="shared" si="1413"/>
        <v>91329</v>
      </c>
      <c r="H7826">
        <v>2</v>
      </c>
      <c r="I7826">
        <v>436</v>
      </c>
      <c r="J7826">
        <v>0</v>
      </c>
      <c r="K7826" t="str">
        <f t="shared" si="1411"/>
        <v>813</v>
      </c>
      <c r="L7826">
        <v>366.24</v>
      </c>
    </row>
    <row r="7827" spans="1:12" x14ac:dyDescent="0.25">
      <c r="A7827" t="str">
        <f t="shared" si="1408"/>
        <v>89301000</v>
      </c>
      <c r="B7827" t="str">
        <f t="shared" si="1409"/>
        <v>06539000</v>
      </c>
      <c r="C7827" t="str">
        <f t="shared" si="1410"/>
        <v>06539003</v>
      </c>
      <c r="D7827">
        <v>89301101</v>
      </c>
      <c r="E7827" t="str">
        <f t="shared" si="1412"/>
        <v>1057150105</v>
      </c>
      <c r="F7827" s="1">
        <v>45090</v>
      </c>
      <c r="G7827" t="str">
        <f t="shared" si="1413"/>
        <v>91329</v>
      </c>
      <c r="H7827">
        <v>2</v>
      </c>
      <c r="I7827">
        <v>436</v>
      </c>
      <c r="J7827">
        <v>0</v>
      </c>
      <c r="K7827" t="str">
        <f t="shared" si="1411"/>
        <v>813</v>
      </c>
      <c r="L7827">
        <v>366.24</v>
      </c>
    </row>
    <row r="7828" spans="1:12" x14ac:dyDescent="0.25">
      <c r="A7828" t="str">
        <f t="shared" si="1408"/>
        <v>89301000</v>
      </c>
      <c r="B7828" t="str">
        <f t="shared" si="1409"/>
        <v>06539000</v>
      </c>
      <c r="C7828" t="str">
        <f t="shared" si="1410"/>
        <v>06539003</v>
      </c>
      <c r="D7828">
        <v>89301101</v>
      </c>
      <c r="E7828" t="str">
        <f t="shared" si="1412"/>
        <v>1057150105</v>
      </c>
      <c r="F7828" s="1">
        <v>45090</v>
      </c>
      <c r="G7828" t="str">
        <f t="shared" si="1413"/>
        <v>91329</v>
      </c>
      <c r="H7828">
        <v>2</v>
      </c>
      <c r="I7828">
        <v>436</v>
      </c>
      <c r="J7828">
        <v>0</v>
      </c>
      <c r="K7828" t="str">
        <f t="shared" si="1411"/>
        <v>813</v>
      </c>
      <c r="L7828">
        <v>366.24</v>
      </c>
    </row>
    <row r="7829" spans="1:12" x14ac:dyDescent="0.25">
      <c r="A7829" t="str">
        <f t="shared" si="1408"/>
        <v>89301000</v>
      </c>
      <c r="B7829" t="str">
        <f t="shared" si="1409"/>
        <v>06539000</v>
      </c>
      <c r="C7829" t="str">
        <f t="shared" si="1410"/>
        <v>06539003</v>
      </c>
      <c r="D7829">
        <v>89301101</v>
      </c>
      <c r="E7829" t="str">
        <f t="shared" si="1412"/>
        <v>1057150105</v>
      </c>
      <c r="F7829" s="1">
        <v>45090</v>
      </c>
      <c r="G7829" t="str">
        <f t="shared" si="1413"/>
        <v>91329</v>
      </c>
      <c r="H7829">
        <v>2</v>
      </c>
      <c r="I7829">
        <v>436</v>
      </c>
      <c r="J7829">
        <v>0</v>
      </c>
      <c r="K7829" t="str">
        <f t="shared" si="1411"/>
        <v>813</v>
      </c>
      <c r="L7829">
        <v>366.24</v>
      </c>
    </row>
    <row r="7830" spans="1:12" x14ac:dyDescent="0.25">
      <c r="A7830" t="str">
        <f t="shared" si="1408"/>
        <v>89301000</v>
      </c>
      <c r="B7830" t="str">
        <f t="shared" si="1409"/>
        <v>06539000</v>
      </c>
      <c r="C7830" t="str">
        <f t="shared" si="1410"/>
        <v>06539003</v>
      </c>
      <c r="D7830">
        <v>89301101</v>
      </c>
      <c r="E7830" t="str">
        <f t="shared" si="1412"/>
        <v>1057150105</v>
      </c>
      <c r="F7830" s="1">
        <v>45090</v>
      </c>
      <c r="G7830" t="str">
        <f t="shared" si="1413"/>
        <v>91329</v>
      </c>
      <c r="H7830">
        <v>2</v>
      </c>
      <c r="I7830">
        <v>436</v>
      </c>
      <c r="J7830">
        <v>0</v>
      </c>
      <c r="K7830" t="str">
        <f t="shared" si="1411"/>
        <v>813</v>
      </c>
      <c r="L7830">
        <v>366.24</v>
      </c>
    </row>
    <row r="7831" spans="1:12" x14ac:dyDescent="0.25">
      <c r="A7831" t="str">
        <f t="shared" si="1408"/>
        <v>89301000</v>
      </c>
      <c r="B7831" t="str">
        <f t="shared" si="1409"/>
        <v>06539000</v>
      </c>
      <c r="C7831" t="str">
        <f t="shared" si="1410"/>
        <v>06539003</v>
      </c>
      <c r="D7831">
        <v>89301101</v>
      </c>
      <c r="E7831" t="str">
        <f t="shared" si="1412"/>
        <v>1057150105</v>
      </c>
      <c r="F7831" s="1">
        <v>45090</v>
      </c>
      <c r="G7831" t="str">
        <f t="shared" si="1413"/>
        <v>91329</v>
      </c>
      <c r="H7831">
        <v>2</v>
      </c>
      <c r="I7831">
        <v>436</v>
      </c>
      <c r="J7831">
        <v>0</v>
      </c>
      <c r="K7831" t="str">
        <f t="shared" si="1411"/>
        <v>813</v>
      </c>
      <c r="L7831">
        <v>366.24</v>
      </c>
    </row>
    <row r="7832" spans="1:12" x14ac:dyDescent="0.25">
      <c r="A7832" t="str">
        <f t="shared" si="1408"/>
        <v>89301000</v>
      </c>
      <c r="B7832" t="str">
        <f t="shared" si="1409"/>
        <v>06539000</v>
      </c>
      <c r="C7832" t="str">
        <f t="shared" si="1410"/>
        <v>06539003</v>
      </c>
      <c r="D7832">
        <v>89301101</v>
      </c>
      <c r="E7832" t="str">
        <f t="shared" si="1412"/>
        <v>1057150105</v>
      </c>
      <c r="F7832" s="1">
        <v>45090</v>
      </c>
      <c r="G7832" t="str">
        <f t="shared" si="1413"/>
        <v>91329</v>
      </c>
      <c r="H7832">
        <v>2</v>
      </c>
      <c r="I7832">
        <v>436</v>
      </c>
      <c r="J7832">
        <v>0</v>
      </c>
      <c r="K7832" t="str">
        <f t="shared" si="1411"/>
        <v>813</v>
      </c>
      <c r="L7832">
        <v>366.24</v>
      </c>
    </row>
    <row r="7833" spans="1:12" x14ac:dyDescent="0.25">
      <c r="A7833" t="str">
        <f t="shared" si="1408"/>
        <v>89301000</v>
      </c>
      <c r="B7833" t="str">
        <f t="shared" si="1409"/>
        <v>06539000</v>
      </c>
      <c r="C7833" t="str">
        <f t="shared" si="1410"/>
        <v>06539003</v>
      </c>
      <c r="D7833">
        <v>89301101</v>
      </c>
      <c r="E7833" t="str">
        <f t="shared" si="1412"/>
        <v>1057150105</v>
      </c>
      <c r="F7833" s="1">
        <v>45090</v>
      </c>
      <c r="G7833" t="str">
        <f t="shared" si="1413"/>
        <v>91329</v>
      </c>
      <c r="H7833">
        <v>2</v>
      </c>
      <c r="I7833">
        <v>436</v>
      </c>
      <c r="J7833">
        <v>0</v>
      </c>
      <c r="K7833" t="str">
        <f t="shared" si="1411"/>
        <v>813</v>
      </c>
      <c r="L7833">
        <v>366.24</v>
      </c>
    </row>
    <row r="7834" spans="1:12" x14ac:dyDescent="0.25">
      <c r="A7834" t="str">
        <f t="shared" si="1408"/>
        <v>89301000</v>
      </c>
      <c r="B7834" t="str">
        <f t="shared" si="1409"/>
        <v>06539000</v>
      </c>
      <c r="C7834" t="str">
        <f t="shared" si="1410"/>
        <v>06539003</v>
      </c>
      <c r="D7834">
        <v>89301101</v>
      </c>
      <c r="E7834" t="str">
        <f t="shared" si="1412"/>
        <v>1057150105</v>
      </c>
      <c r="F7834" s="1">
        <v>45090</v>
      </c>
      <c r="G7834" t="str">
        <f t="shared" si="1413"/>
        <v>91329</v>
      </c>
      <c r="H7834">
        <v>2</v>
      </c>
      <c r="I7834">
        <v>436</v>
      </c>
      <c r="J7834">
        <v>0</v>
      </c>
      <c r="K7834" t="str">
        <f t="shared" si="1411"/>
        <v>813</v>
      </c>
      <c r="L7834">
        <v>366.24</v>
      </c>
    </row>
    <row r="7835" spans="1:12" x14ac:dyDescent="0.25">
      <c r="A7835" t="str">
        <f t="shared" si="1408"/>
        <v>89301000</v>
      </c>
      <c r="B7835" t="str">
        <f t="shared" si="1409"/>
        <v>06539000</v>
      </c>
      <c r="C7835" t="str">
        <f t="shared" si="1410"/>
        <v>06539003</v>
      </c>
      <c r="D7835">
        <v>89301101</v>
      </c>
      <c r="E7835" t="str">
        <f t="shared" si="1412"/>
        <v>1057150105</v>
      </c>
      <c r="F7835" s="1">
        <v>45090</v>
      </c>
      <c r="G7835" t="str">
        <f t="shared" si="1413"/>
        <v>91329</v>
      </c>
      <c r="H7835">
        <v>2</v>
      </c>
      <c r="I7835">
        <v>436</v>
      </c>
      <c r="J7835">
        <v>0</v>
      </c>
      <c r="K7835" t="str">
        <f t="shared" si="1411"/>
        <v>813</v>
      </c>
      <c r="L7835">
        <v>366.24</v>
      </c>
    </row>
    <row r="7836" spans="1:12" x14ac:dyDescent="0.25">
      <c r="A7836" t="str">
        <f t="shared" si="1408"/>
        <v>89301000</v>
      </c>
      <c r="B7836" t="str">
        <f t="shared" si="1409"/>
        <v>06539000</v>
      </c>
      <c r="C7836" t="str">
        <f t="shared" si="1410"/>
        <v>06539003</v>
      </c>
      <c r="D7836">
        <v>89301101</v>
      </c>
      <c r="E7836" t="str">
        <f t="shared" si="1412"/>
        <v>1057150105</v>
      </c>
      <c r="F7836" s="1">
        <v>45090</v>
      </c>
      <c r="G7836" t="str">
        <f t="shared" si="1413"/>
        <v>91329</v>
      </c>
      <c r="H7836">
        <v>2</v>
      </c>
      <c r="I7836">
        <v>436</v>
      </c>
      <c r="J7836">
        <v>0</v>
      </c>
      <c r="K7836" t="str">
        <f t="shared" si="1411"/>
        <v>813</v>
      </c>
      <c r="L7836">
        <v>366.24</v>
      </c>
    </row>
    <row r="7837" spans="1:12" x14ac:dyDescent="0.25">
      <c r="A7837" t="str">
        <f t="shared" si="1408"/>
        <v>89301000</v>
      </c>
      <c r="B7837" t="str">
        <f t="shared" si="1409"/>
        <v>06539000</v>
      </c>
      <c r="C7837" t="str">
        <f t="shared" si="1410"/>
        <v>06539003</v>
      </c>
      <c r="D7837">
        <v>89301101</v>
      </c>
      <c r="E7837" t="str">
        <f t="shared" si="1412"/>
        <v>1057150105</v>
      </c>
      <c r="F7837" s="1">
        <v>45090</v>
      </c>
      <c r="G7837" t="str">
        <f t="shared" si="1413"/>
        <v>91329</v>
      </c>
      <c r="H7837">
        <v>2</v>
      </c>
      <c r="I7837">
        <v>436</v>
      </c>
      <c r="J7837">
        <v>0</v>
      </c>
      <c r="K7837" t="str">
        <f t="shared" si="1411"/>
        <v>813</v>
      </c>
      <c r="L7837">
        <v>366.24</v>
      </c>
    </row>
    <row r="7838" spans="1:12" x14ac:dyDescent="0.25">
      <c r="A7838" t="str">
        <f t="shared" si="1408"/>
        <v>89301000</v>
      </c>
      <c r="B7838" t="str">
        <f t="shared" si="1409"/>
        <v>06539000</v>
      </c>
      <c r="C7838" t="str">
        <f t="shared" si="1410"/>
        <v>06539003</v>
      </c>
      <c r="D7838">
        <v>89301101</v>
      </c>
      <c r="E7838" t="str">
        <f t="shared" si="1412"/>
        <v>1057150105</v>
      </c>
      <c r="F7838" s="1">
        <v>45090</v>
      </c>
      <c r="G7838" t="str">
        <f t="shared" si="1413"/>
        <v>91329</v>
      </c>
      <c r="H7838">
        <v>2</v>
      </c>
      <c r="I7838">
        <v>436</v>
      </c>
      <c r="J7838">
        <v>0</v>
      </c>
      <c r="K7838" t="str">
        <f t="shared" si="1411"/>
        <v>813</v>
      </c>
      <c r="L7838">
        <v>366.24</v>
      </c>
    </row>
    <row r="7839" spans="1:12" x14ac:dyDescent="0.25">
      <c r="A7839" t="str">
        <f t="shared" si="1408"/>
        <v>89301000</v>
      </c>
      <c r="B7839" t="str">
        <f t="shared" si="1409"/>
        <v>06539000</v>
      </c>
      <c r="C7839" t="str">
        <f t="shared" si="1410"/>
        <v>06539003</v>
      </c>
      <c r="D7839">
        <v>89301101</v>
      </c>
      <c r="E7839" t="str">
        <f t="shared" si="1412"/>
        <v>1057150105</v>
      </c>
      <c r="F7839" s="1">
        <v>45090</v>
      </c>
      <c r="G7839" t="str">
        <f t="shared" si="1413"/>
        <v>91329</v>
      </c>
      <c r="H7839">
        <v>2</v>
      </c>
      <c r="I7839">
        <v>436</v>
      </c>
      <c r="J7839">
        <v>0</v>
      </c>
      <c r="K7839" t="str">
        <f t="shared" si="1411"/>
        <v>813</v>
      </c>
      <c r="L7839">
        <v>366.24</v>
      </c>
    </row>
    <row r="7840" spans="1:12" x14ac:dyDescent="0.25">
      <c r="A7840" t="str">
        <f t="shared" si="1408"/>
        <v>89301000</v>
      </c>
      <c r="B7840" t="str">
        <f t="shared" si="1409"/>
        <v>06539000</v>
      </c>
      <c r="C7840" t="str">
        <f t="shared" si="1410"/>
        <v>06539003</v>
      </c>
      <c r="D7840">
        <v>89301101</v>
      </c>
      <c r="E7840" t="str">
        <f t="shared" si="1412"/>
        <v>1057150105</v>
      </c>
      <c r="F7840" s="1">
        <v>45097</v>
      </c>
      <c r="G7840" t="str">
        <f>"91475"</f>
        <v>91475</v>
      </c>
      <c r="H7840">
        <v>1</v>
      </c>
      <c r="I7840">
        <v>213</v>
      </c>
      <c r="J7840">
        <v>0</v>
      </c>
      <c r="K7840" t="str">
        <f t="shared" si="1411"/>
        <v>813</v>
      </c>
      <c r="L7840">
        <v>178.92</v>
      </c>
    </row>
    <row r="7841" spans="1:12" x14ac:dyDescent="0.25">
      <c r="A7841" t="str">
        <f t="shared" si="1408"/>
        <v>89301000</v>
      </c>
      <c r="B7841" t="str">
        <f t="shared" ref="B7841:B7848" si="1414">"89903000"</f>
        <v>89903000</v>
      </c>
      <c r="C7841" t="str">
        <f>"89903504"</f>
        <v>89903504</v>
      </c>
      <c r="D7841">
        <v>89301062</v>
      </c>
      <c r="E7841" t="str">
        <f>"6952194887"</f>
        <v>6952194887</v>
      </c>
      <c r="F7841" s="1">
        <v>45091</v>
      </c>
      <c r="G7841" t="str">
        <f>"89713"</f>
        <v>89713</v>
      </c>
      <c r="H7841">
        <v>2</v>
      </c>
      <c r="I7841">
        <v>10822</v>
      </c>
      <c r="J7841">
        <v>0</v>
      </c>
      <c r="K7841" t="str">
        <f>"810"</f>
        <v>810</v>
      </c>
      <c r="L7841">
        <v>7034.3</v>
      </c>
    </row>
    <row r="7842" spans="1:12" x14ac:dyDescent="0.25">
      <c r="A7842" t="str">
        <f t="shared" si="1408"/>
        <v>89301000</v>
      </c>
      <c r="B7842" t="str">
        <f t="shared" si="1414"/>
        <v>89903000</v>
      </c>
      <c r="C7842" t="str">
        <f t="shared" ref="C7842:C7848" si="1415">"89903503"</f>
        <v>89903503</v>
      </c>
      <c r="D7842">
        <v>89301212</v>
      </c>
      <c r="E7842" t="str">
        <f>"506120227"</f>
        <v>506120227</v>
      </c>
      <c r="F7842" s="1">
        <v>45089</v>
      </c>
      <c r="G7842" t="str">
        <f>"89611"</f>
        <v>89611</v>
      </c>
      <c r="H7842">
        <v>1</v>
      </c>
      <c r="I7842">
        <v>2262</v>
      </c>
      <c r="J7842">
        <v>0</v>
      </c>
      <c r="K7842" t="str">
        <f t="shared" ref="K7842:K7850" si="1416">"809"</f>
        <v>809</v>
      </c>
      <c r="L7842">
        <v>1470.3</v>
      </c>
    </row>
    <row r="7843" spans="1:12" x14ac:dyDescent="0.25">
      <c r="A7843" t="str">
        <f t="shared" si="1408"/>
        <v>89301000</v>
      </c>
      <c r="B7843" t="str">
        <f t="shared" si="1414"/>
        <v>89903000</v>
      </c>
      <c r="C7843" t="str">
        <f t="shared" si="1415"/>
        <v>89903503</v>
      </c>
      <c r="D7843">
        <v>89301212</v>
      </c>
      <c r="E7843" t="str">
        <f>"506120227"</f>
        <v>506120227</v>
      </c>
      <c r="F7843" s="1">
        <v>45089</v>
      </c>
      <c r="G7843" t="str">
        <f>"89615"</f>
        <v>89615</v>
      </c>
      <c r="H7843">
        <v>1</v>
      </c>
      <c r="I7843">
        <v>2199</v>
      </c>
      <c r="J7843">
        <v>0</v>
      </c>
      <c r="K7843" t="str">
        <f t="shared" si="1416"/>
        <v>809</v>
      </c>
      <c r="L7843">
        <v>1429.35</v>
      </c>
    </row>
    <row r="7844" spans="1:12" x14ac:dyDescent="0.25">
      <c r="A7844" t="str">
        <f t="shared" si="1408"/>
        <v>89301000</v>
      </c>
      <c r="B7844" t="str">
        <f t="shared" si="1414"/>
        <v>89903000</v>
      </c>
      <c r="C7844" t="str">
        <f t="shared" si="1415"/>
        <v>89903503</v>
      </c>
      <c r="D7844">
        <v>89301212</v>
      </c>
      <c r="E7844" t="str">
        <f>"506120227"</f>
        <v>506120227</v>
      </c>
      <c r="F7844" s="1">
        <v>45089</v>
      </c>
      <c r="G7844" t="str">
        <f>"0022075"</f>
        <v>0022075</v>
      </c>
      <c r="H7844">
        <v>1</v>
      </c>
      <c r="J7844">
        <v>1004.83</v>
      </c>
      <c r="K7844" t="str">
        <f t="shared" si="1416"/>
        <v>809</v>
      </c>
      <c r="L7844">
        <v>1004.83</v>
      </c>
    </row>
    <row r="7845" spans="1:12" x14ac:dyDescent="0.25">
      <c r="A7845" t="str">
        <f t="shared" si="1408"/>
        <v>89301000</v>
      </c>
      <c r="B7845" t="str">
        <f t="shared" si="1414"/>
        <v>89903000</v>
      </c>
      <c r="C7845" t="str">
        <f t="shared" si="1415"/>
        <v>89903503</v>
      </c>
      <c r="D7845">
        <v>89301212</v>
      </c>
      <c r="E7845" t="str">
        <f>"506120227"</f>
        <v>506120227</v>
      </c>
      <c r="F7845" s="1">
        <v>45089</v>
      </c>
      <c r="G7845" t="str">
        <f>"0059496"</f>
        <v>0059496</v>
      </c>
      <c r="H7845">
        <v>0.2</v>
      </c>
      <c r="J7845">
        <v>50.95</v>
      </c>
      <c r="K7845" t="str">
        <f t="shared" si="1416"/>
        <v>809</v>
      </c>
      <c r="L7845">
        <v>50.95</v>
      </c>
    </row>
    <row r="7846" spans="1:12" x14ac:dyDescent="0.25">
      <c r="A7846" t="str">
        <f t="shared" si="1408"/>
        <v>89301000</v>
      </c>
      <c r="B7846" t="str">
        <f t="shared" si="1414"/>
        <v>89903000</v>
      </c>
      <c r="C7846" t="str">
        <f t="shared" si="1415"/>
        <v>89903503</v>
      </c>
      <c r="D7846">
        <v>89301212</v>
      </c>
      <c r="E7846" t="str">
        <f>"475911404"</f>
        <v>475911404</v>
      </c>
      <c r="F7846" s="1">
        <v>45091</v>
      </c>
      <c r="G7846" t="str">
        <f>"89513"</f>
        <v>89513</v>
      </c>
      <c r="H7846">
        <v>1</v>
      </c>
      <c r="I7846">
        <v>378</v>
      </c>
      <c r="J7846">
        <v>0</v>
      </c>
      <c r="K7846" t="str">
        <f t="shared" si="1416"/>
        <v>809</v>
      </c>
      <c r="L7846">
        <v>555.66</v>
      </c>
    </row>
    <row r="7847" spans="1:12" x14ac:dyDescent="0.25">
      <c r="A7847" t="str">
        <f t="shared" si="1408"/>
        <v>89301000</v>
      </c>
      <c r="B7847" t="str">
        <f t="shared" si="1414"/>
        <v>89903000</v>
      </c>
      <c r="C7847" t="str">
        <f t="shared" si="1415"/>
        <v>89903503</v>
      </c>
      <c r="D7847">
        <v>89301212</v>
      </c>
      <c r="E7847" t="str">
        <f>"475911404"</f>
        <v>475911404</v>
      </c>
      <c r="F7847" s="1">
        <v>45091</v>
      </c>
      <c r="G7847" t="str">
        <f>"89514"</f>
        <v>89514</v>
      </c>
      <c r="H7847">
        <v>1</v>
      </c>
      <c r="I7847">
        <v>378</v>
      </c>
      <c r="J7847">
        <v>0</v>
      </c>
      <c r="K7847" t="str">
        <f t="shared" si="1416"/>
        <v>809</v>
      </c>
      <c r="L7847">
        <v>555.66</v>
      </c>
    </row>
    <row r="7848" spans="1:12" x14ac:dyDescent="0.25">
      <c r="A7848" t="str">
        <f t="shared" si="1408"/>
        <v>89301000</v>
      </c>
      <c r="B7848" t="str">
        <f t="shared" si="1414"/>
        <v>89903000</v>
      </c>
      <c r="C7848" t="str">
        <f t="shared" si="1415"/>
        <v>89903503</v>
      </c>
      <c r="D7848">
        <v>89301212</v>
      </c>
      <c r="E7848" t="str">
        <f>"475911404"</f>
        <v>475911404</v>
      </c>
      <c r="F7848" s="1">
        <v>45091</v>
      </c>
      <c r="G7848" t="str">
        <f>"09135"</f>
        <v>09135</v>
      </c>
      <c r="H7848">
        <v>1</v>
      </c>
      <c r="I7848">
        <v>179</v>
      </c>
      <c r="J7848">
        <v>0</v>
      </c>
      <c r="K7848" t="str">
        <f t="shared" si="1416"/>
        <v>809</v>
      </c>
      <c r="L7848">
        <v>263.13</v>
      </c>
    </row>
    <row r="7849" spans="1:12" x14ac:dyDescent="0.25">
      <c r="A7849" t="str">
        <f t="shared" si="1408"/>
        <v>89301000</v>
      </c>
      <c r="B7849" t="str">
        <f>"81001000"</f>
        <v>81001000</v>
      </c>
      <c r="C7849" t="str">
        <f>"81001920"</f>
        <v>81001920</v>
      </c>
      <c r="D7849">
        <v>89301212</v>
      </c>
      <c r="E7849" t="str">
        <f>"505210019"</f>
        <v>505210019</v>
      </c>
      <c r="F7849" s="1">
        <v>45091</v>
      </c>
      <c r="G7849" t="str">
        <f>"89513"</f>
        <v>89513</v>
      </c>
      <c r="H7849">
        <v>1</v>
      </c>
      <c r="I7849">
        <v>378</v>
      </c>
      <c r="J7849">
        <v>0</v>
      </c>
      <c r="K7849" t="str">
        <f t="shared" si="1416"/>
        <v>809</v>
      </c>
      <c r="L7849">
        <v>555.66</v>
      </c>
    </row>
    <row r="7850" spans="1:12" x14ac:dyDescent="0.25">
      <c r="A7850" t="str">
        <f t="shared" si="1408"/>
        <v>89301000</v>
      </c>
      <c r="B7850" t="str">
        <f>"81001000"</f>
        <v>81001000</v>
      </c>
      <c r="C7850" t="str">
        <f>"81001920"</f>
        <v>81001920</v>
      </c>
      <c r="D7850">
        <v>89301212</v>
      </c>
      <c r="E7850" t="str">
        <f>"505210019"</f>
        <v>505210019</v>
      </c>
      <c r="F7850" s="1">
        <v>45091</v>
      </c>
      <c r="G7850" t="str">
        <f>"89514"</f>
        <v>89514</v>
      </c>
      <c r="H7850">
        <v>1</v>
      </c>
      <c r="I7850">
        <v>378</v>
      </c>
      <c r="J7850">
        <v>0</v>
      </c>
      <c r="K7850" t="str">
        <f t="shared" si="1416"/>
        <v>809</v>
      </c>
      <c r="L7850">
        <v>555.66</v>
      </c>
    </row>
    <row r="7851" spans="1:12" x14ac:dyDescent="0.25">
      <c r="A7851" t="str">
        <f t="shared" si="1408"/>
        <v>89301000</v>
      </c>
      <c r="B7851" t="str">
        <f t="shared" ref="B7851:B7882" si="1417">"78006000"</f>
        <v>78006000</v>
      </c>
      <c r="C7851" t="str">
        <f>"78006207"</f>
        <v>78006207</v>
      </c>
      <c r="D7851">
        <v>89301171</v>
      </c>
      <c r="E7851" t="str">
        <f>"8108175339"</f>
        <v>8108175339</v>
      </c>
      <c r="F7851" s="1">
        <v>45022</v>
      </c>
      <c r="G7851" t="str">
        <f>"91197"</f>
        <v>91197</v>
      </c>
      <c r="H7851">
        <v>6</v>
      </c>
      <c r="I7851">
        <v>6288</v>
      </c>
      <c r="J7851">
        <v>0</v>
      </c>
      <c r="K7851" t="str">
        <f>"813"</f>
        <v>813</v>
      </c>
      <c r="L7851">
        <v>5281.92</v>
      </c>
    </row>
    <row r="7852" spans="1:12" x14ac:dyDescent="0.25">
      <c r="A7852" t="str">
        <f t="shared" si="1408"/>
        <v>89301000</v>
      </c>
      <c r="B7852" t="str">
        <f t="shared" si="1417"/>
        <v>78006000</v>
      </c>
      <c r="C7852" t="str">
        <f t="shared" ref="C7852:C7874" si="1418">"78006231"</f>
        <v>78006231</v>
      </c>
      <c r="D7852">
        <v>89301132</v>
      </c>
      <c r="E7852" t="str">
        <f>"7401034509"</f>
        <v>7401034509</v>
      </c>
      <c r="F7852" s="1">
        <v>45084</v>
      </c>
      <c r="G7852" t="str">
        <f>"89617"</f>
        <v>89617</v>
      </c>
      <c r="H7852">
        <v>1</v>
      </c>
      <c r="I7852">
        <v>1342</v>
      </c>
      <c r="J7852">
        <v>0</v>
      </c>
      <c r="K7852" t="str">
        <f t="shared" ref="K7852:K7876" si="1419">"809"</f>
        <v>809</v>
      </c>
      <c r="L7852">
        <v>872.3</v>
      </c>
    </row>
    <row r="7853" spans="1:12" x14ac:dyDescent="0.25">
      <c r="A7853" t="str">
        <f t="shared" si="1408"/>
        <v>89301000</v>
      </c>
      <c r="B7853" t="str">
        <f t="shared" si="1417"/>
        <v>78006000</v>
      </c>
      <c r="C7853" t="str">
        <f t="shared" si="1418"/>
        <v>78006231</v>
      </c>
      <c r="D7853">
        <v>89301132</v>
      </c>
      <c r="E7853" t="str">
        <f>"7401034509"</f>
        <v>7401034509</v>
      </c>
      <c r="F7853" s="1">
        <v>45084</v>
      </c>
      <c r="G7853" t="str">
        <f>"0022075"</f>
        <v>0022075</v>
      </c>
      <c r="H7853">
        <v>1</v>
      </c>
      <c r="J7853">
        <v>1004.83</v>
      </c>
      <c r="K7853" t="str">
        <f t="shared" si="1419"/>
        <v>809</v>
      </c>
      <c r="L7853">
        <v>1004.83</v>
      </c>
    </row>
    <row r="7854" spans="1:12" x14ac:dyDescent="0.25">
      <c r="A7854" t="str">
        <f t="shared" si="1408"/>
        <v>89301000</v>
      </c>
      <c r="B7854" t="str">
        <f t="shared" si="1417"/>
        <v>78006000</v>
      </c>
      <c r="C7854" t="str">
        <f t="shared" si="1418"/>
        <v>78006231</v>
      </c>
      <c r="D7854">
        <v>89301215</v>
      </c>
      <c r="E7854" t="str">
        <f>"451130446"</f>
        <v>451130446</v>
      </c>
      <c r="F7854" s="1">
        <v>45099</v>
      </c>
      <c r="G7854" t="str">
        <f>"89615"</f>
        <v>89615</v>
      </c>
      <c r="H7854">
        <v>1</v>
      </c>
      <c r="I7854">
        <v>2199</v>
      </c>
      <c r="J7854">
        <v>0</v>
      </c>
      <c r="K7854" t="str">
        <f t="shared" si="1419"/>
        <v>809</v>
      </c>
      <c r="L7854">
        <v>1429.35</v>
      </c>
    </row>
    <row r="7855" spans="1:12" x14ac:dyDescent="0.25">
      <c r="A7855" t="str">
        <f t="shared" si="1408"/>
        <v>89301000</v>
      </c>
      <c r="B7855" t="str">
        <f t="shared" si="1417"/>
        <v>78006000</v>
      </c>
      <c r="C7855" t="str">
        <f t="shared" si="1418"/>
        <v>78006231</v>
      </c>
      <c r="D7855">
        <v>89301212</v>
      </c>
      <c r="E7855" t="str">
        <f>"5858041629"</f>
        <v>5858041629</v>
      </c>
      <c r="F7855" s="1">
        <v>45106</v>
      </c>
      <c r="G7855" t="str">
        <f>"89611"</f>
        <v>89611</v>
      </c>
      <c r="H7855">
        <v>1</v>
      </c>
      <c r="I7855">
        <v>2262</v>
      </c>
      <c r="J7855">
        <v>0</v>
      </c>
      <c r="K7855" t="str">
        <f t="shared" si="1419"/>
        <v>809</v>
      </c>
      <c r="L7855">
        <v>1470.3</v>
      </c>
    </row>
    <row r="7856" spans="1:12" x14ac:dyDescent="0.25">
      <c r="A7856" t="str">
        <f t="shared" si="1408"/>
        <v>89301000</v>
      </c>
      <c r="B7856" t="str">
        <f t="shared" si="1417"/>
        <v>78006000</v>
      </c>
      <c r="C7856" t="str">
        <f t="shared" si="1418"/>
        <v>78006231</v>
      </c>
      <c r="D7856">
        <v>89301212</v>
      </c>
      <c r="E7856" t="str">
        <f>"5858041629"</f>
        <v>5858041629</v>
      </c>
      <c r="F7856" s="1">
        <v>45106</v>
      </c>
      <c r="G7856" t="str">
        <f>"0022075"</f>
        <v>0022075</v>
      </c>
      <c r="H7856">
        <v>1</v>
      </c>
      <c r="J7856">
        <v>1004.83</v>
      </c>
      <c r="K7856" t="str">
        <f t="shared" si="1419"/>
        <v>809</v>
      </c>
      <c r="L7856">
        <v>1004.83</v>
      </c>
    </row>
    <row r="7857" spans="1:12" x14ac:dyDescent="0.25">
      <c r="A7857" t="str">
        <f t="shared" si="1408"/>
        <v>89301000</v>
      </c>
      <c r="B7857" t="str">
        <f t="shared" si="1417"/>
        <v>78006000</v>
      </c>
      <c r="C7857" t="str">
        <f t="shared" si="1418"/>
        <v>78006231</v>
      </c>
      <c r="D7857">
        <v>89301212</v>
      </c>
      <c r="E7857" t="str">
        <f>"6362010853"</f>
        <v>6362010853</v>
      </c>
      <c r="F7857" s="1">
        <v>45078</v>
      </c>
      <c r="G7857" t="str">
        <f>"89180"</f>
        <v>89180</v>
      </c>
      <c r="H7857">
        <v>2</v>
      </c>
      <c r="I7857">
        <v>762</v>
      </c>
      <c r="J7857">
        <v>0</v>
      </c>
      <c r="K7857" t="str">
        <f t="shared" si="1419"/>
        <v>809</v>
      </c>
      <c r="L7857">
        <v>1120.1400000000001</v>
      </c>
    </row>
    <row r="7858" spans="1:12" x14ac:dyDescent="0.25">
      <c r="A7858" t="str">
        <f t="shared" si="1408"/>
        <v>89301000</v>
      </c>
      <c r="B7858" t="str">
        <f t="shared" si="1417"/>
        <v>78006000</v>
      </c>
      <c r="C7858" t="str">
        <f t="shared" si="1418"/>
        <v>78006231</v>
      </c>
      <c r="D7858">
        <v>89301212</v>
      </c>
      <c r="E7858" t="str">
        <f>"7462035350"</f>
        <v>7462035350</v>
      </c>
      <c r="F7858" s="1">
        <v>45082</v>
      </c>
      <c r="G7858" t="str">
        <f>"89180"</f>
        <v>89180</v>
      </c>
      <c r="H7858">
        <v>2</v>
      </c>
      <c r="I7858">
        <v>762</v>
      </c>
      <c r="J7858">
        <v>0</v>
      </c>
      <c r="K7858" t="str">
        <f t="shared" si="1419"/>
        <v>809</v>
      </c>
      <c r="L7858">
        <v>1120.1400000000001</v>
      </c>
    </row>
    <row r="7859" spans="1:12" x14ac:dyDescent="0.25">
      <c r="A7859" t="str">
        <f t="shared" si="1408"/>
        <v>89301000</v>
      </c>
      <c r="B7859" t="str">
        <f t="shared" si="1417"/>
        <v>78006000</v>
      </c>
      <c r="C7859" t="str">
        <f t="shared" si="1418"/>
        <v>78006231</v>
      </c>
      <c r="D7859">
        <v>89301212</v>
      </c>
      <c r="E7859" t="str">
        <f>"485504465"</f>
        <v>485504465</v>
      </c>
      <c r="F7859" s="1">
        <v>45086</v>
      </c>
      <c r="G7859" t="str">
        <f>"89180"</f>
        <v>89180</v>
      </c>
      <c r="H7859">
        <v>1</v>
      </c>
      <c r="I7859">
        <v>381</v>
      </c>
      <c r="J7859">
        <v>0</v>
      </c>
      <c r="K7859" t="str">
        <f t="shared" si="1419"/>
        <v>809</v>
      </c>
      <c r="L7859">
        <v>560.07000000000005</v>
      </c>
    </row>
    <row r="7860" spans="1:12" x14ac:dyDescent="0.25">
      <c r="A7860" t="str">
        <f t="shared" si="1408"/>
        <v>89301000</v>
      </c>
      <c r="B7860" t="str">
        <f t="shared" si="1417"/>
        <v>78006000</v>
      </c>
      <c r="C7860" t="str">
        <f t="shared" si="1418"/>
        <v>78006231</v>
      </c>
      <c r="D7860">
        <v>89301212</v>
      </c>
      <c r="E7860" t="str">
        <f>"485504465"</f>
        <v>485504465</v>
      </c>
      <c r="F7860" s="1">
        <v>45086</v>
      </c>
      <c r="G7860" t="str">
        <f>"89512"</f>
        <v>89512</v>
      </c>
      <c r="H7860">
        <v>1</v>
      </c>
      <c r="I7860">
        <v>283</v>
      </c>
      <c r="J7860">
        <v>0</v>
      </c>
      <c r="K7860" t="str">
        <f t="shared" si="1419"/>
        <v>809</v>
      </c>
      <c r="L7860">
        <v>416.01</v>
      </c>
    </row>
    <row r="7861" spans="1:12" x14ac:dyDescent="0.25">
      <c r="A7861" t="str">
        <f t="shared" si="1408"/>
        <v>89301000</v>
      </c>
      <c r="B7861" t="str">
        <f t="shared" si="1417"/>
        <v>78006000</v>
      </c>
      <c r="C7861" t="str">
        <f t="shared" si="1418"/>
        <v>78006231</v>
      </c>
      <c r="D7861">
        <v>89301212</v>
      </c>
      <c r="E7861" t="str">
        <f>"486008133"</f>
        <v>486008133</v>
      </c>
      <c r="F7861" s="1">
        <v>45090</v>
      </c>
      <c r="G7861" t="str">
        <f>"89180"</f>
        <v>89180</v>
      </c>
      <c r="H7861">
        <v>1</v>
      </c>
      <c r="I7861">
        <v>381</v>
      </c>
      <c r="J7861">
        <v>0</v>
      </c>
      <c r="K7861" t="str">
        <f t="shared" si="1419"/>
        <v>809</v>
      </c>
      <c r="L7861">
        <v>560.07000000000005</v>
      </c>
    </row>
    <row r="7862" spans="1:12" x14ac:dyDescent="0.25">
      <c r="A7862" t="str">
        <f t="shared" si="1408"/>
        <v>89301000</v>
      </c>
      <c r="B7862" t="str">
        <f t="shared" si="1417"/>
        <v>78006000</v>
      </c>
      <c r="C7862" t="str">
        <f t="shared" si="1418"/>
        <v>78006231</v>
      </c>
      <c r="D7862">
        <v>89301212</v>
      </c>
      <c r="E7862" t="str">
        <f>"5653021352"</f>
        <v>5653021352</v>
      </c>
      <c r="F7862" s="1">
        <v>45091</v>
      </c>
      <c r="G7862" t="str">
        <f>"89180"</f>
        <v>89180</v>
      </c>
      <c r="H7862">
        <v>2</v>
      </c>
      <c r="I7862">
        <v>762</v>
      </c>
      <c r="J7862">
        <v>0</v>
      </c>
      <c r="K7862" t="str">
        <f t="shared" si="1419"/>
        <v>809</v>
      </c>
      <c r="L7862">
        <v>1120.1400000000001</v>
      </c>
    </row>
    <row r="7863" spans="1:12" x14ac:dyDescent="0.25">
      <c r="A7863" t="str">
        <f t="shared" si="1408"/>
        <v>89301000</v>
      </c>
      <c r="B7863" t="str">
        <f t="shared" si="1417"/>
        <v>78006000</v>
      </c>
      <c r="C7863" t="str">
        <f t="shared" si="1418"/>
        <v>78006231</v>
      </c>
      <c r="D7863">
        <v>89301212</v>
      </c>
      <c r="E7863" t="str">
        <f>"6859181219"</f>
        <v>6859181219</v>
      </c>
      <c r="F7863" s="1">
        <v>45092</v>
      </c>
      <c r="G7863" t="str">
        <f>"89512"</f>
        <v>89512</v>
      </c>
      <c r="H7863">
        <v>1</v>
      </c>
      <c r="I7863">
        <v>283</v>
      </c>
      <c r="J7863">
        <v>0</v>
      </c>
      <c r="K7863" t="str">
        <f t="shared" si="1419"/>
        <v>809</v>
      </c>
      <c r="L7863">
        <v>416.01</v>
      </c>
    </row>
    <row r="7864" spans="1:12" x14ac:dyDescent="0.25">
      <c r="A7864" t="str">
        <f t="shared" si="1408"/>
        <v>89301000</v>
      </c>
      <c r="B7864" t="str">
        <f t="shared" si="1417"/>
        <v>78006000</v>
      </c>
      <c r="C7864" t="str">
        <f t="shared" si="1418"/>
        <v>78006231</v>
      </c>
      <c r="D7864">
        <v>89301212</v>
      </c>
      <c r="E7864" t="str">
        <f>"6859181219"</f>
        <v>6859181219</v>
      </c>
      <c r="F7864" s="1">
        <v>45092</v>
      </c>
      <c r="G7864" t="str">
        <f>"89180"</f>
        <v>89180</v>
      </c>
      <c r="H7864">
        <v>2</v>
      </c>
      <c r="I7864">
        <v>762</v>
      </c>
      <c r="J7864">
        <v>0</v>
      </c>
      <c r="K7864" t="str">
        <f t="shared" si="1419"/>
        <v>809</v>
      </c>
      <c r="L7864">
        <v>1120.1400000000001</v>
      </c>
    </row>
    <row r="7865" spans="1:12" x14ac:dyDescent="0.25">
      <c r="A7865" t="str">
        <f t="shared" si="1408"/>
        <v>89301000</v>
      </c>
      <c r="B7865" t="str">
        <f t="shared" si="1417"/>
        <v>78006000</v>
      </c>
      <c r="C7865" t="str">
        <f t="shared" si="1418"/>
        <v>78006231</v>
      </c>
      <c r="D7865">
        <v>89301212</v>
      </c>
      <c r="E7865" t="str">
        <f>"6362010853"</f>
        <v>6362010853</v>
      </c>
      <c r="F7865" s="1">
        <v>45078</v>
      </c>
      <c r="G7865" t="str">
        <f>"89513"</f>
        <v>89513</v>
      </c>
      <c r="H7865">
        <v>1</v>
      </c>
      <c r="I7865">
        <v>378</v>
      </c>
      <c r="J7865">
        <v>0</v>
      </c>
      <c r="K7865" t="str">
        <f t="shared" si="1419"/>
        <v>809</v>
      </c>
      <c r="L7865">
        <v>555.66</v>
      </c>
    </row>
    <row r="7866" spans="1:12" x14ac:dyDescent="0.25">
      <c r="A7866" t="str">
        <f t="shared" si="1408"/>
        <v>89301000</v>
      </c>
      <c r="B7866" t="str">
        <f t="shared" si="1417"/>
        <v>78006000</v>
      </c>
      <c r="C7866" t="str">
        <f t="shared" si="1418"/>
        <v>78006231</v>
      </c>
      <c r="D7866">
        <v>89301212</v>
      </c>
      <c r="E7866" t="str">
        <f>"6362010853"</f>
        <v>6362010853</v>
      </c>
      <c r="F7866" s="1">
        <v>45078</v>
      </c>
      <c r="G7866" t="str">
        <f>"89514"</f>
        <v>89514</v>
      </c>
      <c r="H7866">
        <v>1</v>
      </c>
      <c r="I7866">
        <v>378</v>
      </c>
      <c r="J7866">
        <v>0</v>
      </c>
      <c r="K7866" t="str">
        <f t="shared" si="1419"/>
        <v>809</v>
      </c>
      <c r="L7866">
        <v>555.66</v>
      </c>
    </row>
    <row r="7867" spans="1:12" x14ac:dyDescent="0.25">
      <c r="A7867" t="str">
        <f t="shared" si="1408"/>
        <v>89301000</v>
      </c>
      <c r="B7867" t="str">
        <f t="shared" si="1417"/>
        <v>78006000</v>
      </c>
      <c r="C7867" t="str">
        <f t="shared" si="1418"/>
        <v>78006231</v>
      </c>
      <c r="D7867">
        <v>89301212</v>
      </c>
      <c r="E7867" t="str">
        <f>"535623133"</f>
        <v>535623133</v>
      </c>
      <c r="F7867" s="1">
        <v>45091</v>
      </c>
      <c r="G7867" t="str">
        <f>"89513"</f>
        <v>89513</v>
      </c>
      <c r="H7867">
        <v>1</v>
      </c>
      <c r="I7867">
        <v>378</v>
      </c>
      <c r="J7867">
        <v>0</v>
      </c>
      <c r="K7867" t="str">
        <f t="shared" si="1419"/>
        <v>809</v>
      </c>
      <c r="L7867">
        <v>555.66</v>
      </c>
    </row>
    <row r="7868" spans="1:12" x14ac:dyDescent="0.25">
      <c r="A7868" t="str">
        <f t="shared" si="1408"/>
        <v>89301000</v>
      </c>
      <c r="B7868" t="str">
        <f t="shared" si="1417"/>
        <v>78006000</v>
      </c>
      <c r="C7868" t="str">
        <f t="shared" si="1418"/>
        <v>78006231</v>
      </c>
      <c r="D7868">
        <v>89301212</v>
      </c>
      <c r="E7868" t="str">
        <f>"535623133"</f>
        <v>535623133</v>
      </c>
      <c r="F7868" s="1">
        <v>45091</v>
      </c>
      <c r="G7868" t="str">
        <f>"89514"</f>
        <v>89514</v>
      </c>
      <c r="H7868">
        <v>1</v>
      </c>
      <c r="I7868">
        <v>378</v>
      </c>
      <c r="J7868">
        <v>0</v>
      </c>
      <c r="K7868" t="str">
        <f t="shared" si="1419"/>
        <v>809</v>
      </c>
      <c r="L7868">
        <v>555.66</v>
      </c>
    </row>
    <row r="7869" spans="1:12" x14ac:dyDescent="0.25">
      <c r="A7869" t="str">
        <f t="shared" si="1408"/>
        <v>89301000</v>
      </c>
      <c r="B7869" t="str">
        <f t="shared" si="1417"/>
        <v>78006000</v>
      </c>
      <c r="C7869" t="str">
        <f t="shared" si="1418"/>
        <v>78006231</v>
      </c>
      <c r="D7869">
        <v>89301112</v>
      </c>
      <c r="E7869" t="str">
        <f>"7708285354"</f>
        <v>7708285354</v>
      </c>
      <c r="F7869" s="1">
        <v>45079</v>
      </c>
      <c r="G7869" t="str">
        <f>"89111"</f>
        <v>89111</v>
      </c>
      <c r="H7869">
        <v>2</v>
      </c>
      <c r="I7869">
        <v>344</v>
      </c>
      <c r="J7869">
        <v>0</v>
      </c>
      <c r="K7869" t="str">
        <f t="shared" si="1419"/>
        <v>809</v>
      </c>
      <c r="L7869">
        <v>505.68</v>
      </c>
    </row>
    <row r="7870" spans="1:12" x14ac:dyDescent="0.25">
      <c r="A7870" t="str">
        <f t="shared" si="1408"/>
        <v>89301000</v>
      </c>
      <c r="B7870" t="str">
        <f t="shared" si="1417"/>
        <v>78006000</v>
      </c>
      <c r="C7870" t="str">
        <f t="shared" si="1418"/>
        <v>78006231</v>
      </c>
      <c r="D7870">
        <v>89301142</v>
      </c>
      <c r="E7870" t="str">
        <f>"515116032"</f>
        <v>515116032</v>
      </c>
      <c r="F7870" s="1">
        <v>45091</v>
      </c>
      <c r="G7870" t="str">
        <f>"89131"</f>
        <v>89131</v>
      </c>
      <c r="H7870">
        <v>1</v>
      </c>
      <c r="I7870">
        <v>190</v>
      </c>
      <c r="J7870">
        <v>0</v>
      </c>
      <c r="K7870" t="str">
        <f t="shared" si="1419"/>
        <v>809</v>
      </c>
      <c r="L7870">
        <v>279.3</v>
      </c>
    </row>
    <row r="7871" spans="1:12" x14ac:dyDescent="0.25">
      <c r="A7871" t="str">
        <f t="shared" si="1408"/>
        <v>89301000</v>
      </c>
      <c r="B7871" t="str">
        <f t="shared" si="1417"/>
        <v>78006000</v>
      </c>
      <c r="C7871" t="str">
        <f t="shared" si="1418"/>
        <v>78006231</v>
      </c>
      <c r="D7871">
        <v>89301062</v>
      </c>
      <c r="E7871" t="str">
        <f>"5454022585"</f>
        <v>5454022585</v>
      </c>
      <c r="F7871" s="1">
        <v>45098</v>
      </c>
      <c r="G7871" t="str">
        <f>"89119"</f>
        <v>89119</v>
      </c>
      <c r="H7871">
        <v>1</v>
      </c>
      <c r="I7871">
        <v>204</v>
      </c>
      <c r="J7871">
        <v>0</v>
      </c>
      <c r="K7871" t="str">
        <f t="shared" si="1419"/>
        <v>809</v>
      </c>
      <c r="L7871">
        <v>299.88</v>
      </c>
    </row>
    <row r="7872" spans="1:12" x14ac:dyDescent="0.25">
      <c r="A7872" t="str">
        <f t="shared" si="1408"/>
        <v>89301000</v>
      </c>
      <c r="B7872" t="str">
        <f t="shared" si="1417"/>
        <v>78006000</v>
      </c>
      <c r="C7872" t="str">
        <f t="shared" si="1418"/>
        <v>78006231</v>
      </c>
      <c r="D7872">
        <v>89301322</v>
      </c>
      <c r="E7872" t="str">
        <f>"6610311807"</f>
        <v>6610311807</v>
      </c>
      <c r="F7872" s="1">
        <v>45078</v>
      </c>
      <c r="G7872" t="str">
        <f>"09139"</f>
        <v>09139</v>
      </c>
      <c r="H7872">
        <v>1</v>
      </c>
      <c r="I7872">
        <v>356</v>
      </c>
      <c r="J7872">
        <v>0</v>
      </c>
      <c r="K7872" t="str">
        <f t="shared" si="1419"/>
        <v>809</v>
      </c>
      <c r="L7872">
        <v>523.32000000000005</v>
      </c>
    </row>
    <row r="7873" spans="1:12" x14ac:dyDescent="0.25">
      <c r="A7873" t="str">
        <f t="shared" si="1408"/>
        <v>89301000</v>
      </c>
      <c r="B7873" t="str">
        <f t="shared" si="1417"/>
        <v>78006000</v>
      </c>
      <c r="C7873" t="str">
        <f t="shared" si="1418"/>
        <v>78006231</v>
      </c>
      <c r="D7873">
        <v>89301212</v>
      </c>
      <c r="E7873" t="str">
        <f>"341129412"</f>
        <v>341129412</v>
      </c>
      <c r="F7873" s="1">
        <v>45079</v>
      </c>
      <c r="G7873" t="str">
        <f>"89513"</f>
        <v>89513</v>
      </c>
      <c r="H7873">
        <v>1</v>
      </c>
      <c r="I7873">
        <v>378</v>
      </c>
      <c r="J7873">
        <v>0</v>
      </c>
      <c r="K7873" t="str">
        <f t="shared" si="1419"/>
        <v>809</v>
      </c>
      <c r="L7873">
        <v>555.66</v>
      </c>
    </row>
    <row r="7874" spans="1:12" x14ac:dyDescent="0.25">
      <c r="A7874" t="str">
        <f t="shared" ref="A7874:A7937" si="1420">"89301000"</f>
        <v>89301000</v>
      </c>
      <c r="B7874" t="str">
        <f t="shared" si="1417"/>
        <v>78006000</v>
      </c>
      <c r="C7874" t="str">
        <f t="shared" si="1418"/>
        <v>78006231</v>
      </c>
      <c r="D7874">
        <v>89301212</v>
      </c>
      <c r="E7874" t="str">
        <f>"341129412"</f>
        <v>341129412</v>
      </c>
      <c r="F7874" s="1">
        <v>45079</v>
      </c>
      <c r="G7874" t="str">
        <f>"89514"</f>
        <v>89514</v>
      </c>
      <c r="H7874">
        <v>1</v>
      </c>
      <c r="I7874">
        <v>378</v>
      </c>
      <c r="J7874">
        <v>0</v>
      </c>
      <c r="K7874" t="str">
        <f t="shared" si="1419"/>
        <v>809</v>
      </c>
      <c r="L7874">
        <v>555.66</v>
      </c>
    </row>
    <row r="7875" spans="1:12" x14ac:dyDescent="0.25">
      <c r="A7875" t="str">
        <f t="shared" si="1420"/>
        <v>89301000</v>
      </c>
      <c r="B7875" t="str">
        <f t="shared" si="1417"/>
        <v>78006000</v>
      </c>
      <c r="C7875" t="str">
        <f>"78006831"</f>
        <v>78006831</v>
      </c>
      <c r="D7875">
        <v>89301122</v>
      </c>
      <c r="E7875" t="str">
        <f>"8807265786"</f>
        <v>8807265786</v>
      </c>
      <c r="F7875" s="1">
        <v>45078</v>
      </c>
      <c r="G7875" t="str">
        <f>"89615"</f>
        <v>89615</v>
      </c>
      <c r="H7875">
        <v>1</v>
      </c>
      <c r="I7875">
        <v>2199</v>
      </c>
      <c r="J7875">
        <v>0</v>
      </c>
      <c r="K7875" t="str">
        <f t="shared" si="1419"/>
        <v>809</v>
      </c>
      <c r="L7875">
        <v>1429.35</v>
      </c>
    </row>
    <row r="7876" spans="1:12" x14ac:dyDescent="0.25">
      <c r="A7876" t="str">
        <f t="shared" si="1420"/>
        <v>89301000</v>
      </c>
      <c r="B7876" t="str">
        <f t="shared" si="1417"/>
        <v>78006000</v>
      </c>
      <c r="C7876" t="str">
        <f>"78006831"</f>
        <v>78006831</v>
      </c>
      <c r="D7876">
        <v>89301062</v>
      </c>
      <c r="E7876" t="str">
        <f>"8709185859"</f>
        <v>8709185859</v>
      </c>
      <c r="F7876" s="1">
        <v>45082</v>
      </c>
      <c r="G7876" t="str">
        <f>"89615"</f>
        <v>89615</v>
      </c>
      <c r="H7876">
        <v>1</v>
      </c>
      <c r="I7876">
        <v>2199</v>
      </c>
      <c r="J7876">
        <v>0</v>
      </c>
      <c r="K7876" t="str">
        <f t="shared" si="1419"/>
        <v>809</v>
      </c>
      <c r="L7876">
        <v>1429.35</v>
      </c>
    </row>
    <row r="7877" spans="1:12" x14ac:dyDescent="0.25">
      <c r="A7877" t="str">
        <f t="shared" si="1420"/>
        <v>89301000</v>
      </c>
      <c r="B7877" t="str">
        <f t="shared" si="1417"/>
        <v>78006000</v>
      </c>
      <c r="C7877" t="str">
        <f t="shared" ref="C7877:C7887" si="1421">"78006233"</f>
        <v>78006233</v>
      </c>
      <c r="D7877">
        <v>89301112</v>
      </c>
      <c r="E7877" t="str">
        <f>"6708060403"</f>
        <v>6708060403</v>
      </c>
      <c r="F7877" s="1">
        <v>45085</v>
      </c>
      <c r="G7877" t="str">
        <f>"89713"</f>
        <v>89713</v>
      </c>
      <c r="H7877">
        <v>1</v>
      </c>
      <c r="I7877">
        <v>5411</v>
      </c>
      <c r="J7877">
        <v>0</v>
      </c>
      <c r="K7877" t="str">
        <f t="shared" ref="K7877:K7900" si="1422">"810"</f>
        <v>810</v>
      </c>
      <c r="L7877">
        <v>3517.15</v>
      </c>
    </row>
    <row r="7878" spans="1:12" x14ac:dyDescent="0.25">
      <c r="A7878" t="str">
        <f t="shared" si="1420"/>
        <v>89301000</v>
      </c>
      <c r="B7878" t="str">
        <f t="shared" si="1417"/>
        <v>78006000</v>
      </c>
      <c r="C7878" t="str">
        <f t="shared" si="1421"/>
        <v>78006233</v>
      </c>
      <c r="D7878">
        <v>89301262</v>
      </c>
      <c r="E7878" t="str">
        <f>"7606304475"</f>
        <v>7606304475</v>
      </c>
      <c r="F7878" s="1">
        <v>45086</v>
      </c>
      <c r="G7878" t="str">
        <f>"89713"</f>
        <v>89713</v>
      </c>
      <c r="H7878">
        <v>1</v>
      </c>
      <c r="I7878">
        <v>5411</v>
      </c>
      <c r="J7878">
        <v>0</v>
      </c>
      <c r="K7878" t="str">
        <f t="shared" si="1422"/>
        <v>810</v>
      </c>
      <c r="L7878">
        <v>3517.15</v>
      </c>
    </row>
    <row r="7879" spans="1:12" x14ac:dyDescent="0.25">
      <c r="A7879" t="str">
        <f t="shared" si="1420"/>
        <v>89301000</v>
      </c>
      <c r="B7879" t="str">
        <f t="shared" si="1417"/>
        <v>78006000</v>
      </c>
      <c r="C7879" t="str">
        <f t="shared" si="1421"/>
        <v>78006233</v>
      </c>
      <c r="D7879">
        <v>89301262</v>
      </c>
      <c r="E7879" t="str">
        <f>"7606304475"</f>
        <v>7606304475</v>
      </c>
      <c r="F7879" s="1">
        <v>45086</v>
      </c>
      <c r="G7879" t="str">
        <f>"89725"</f>
        <v>89725</v>
      </c>
      <c r="H7879">
        <v>1</v>
      </c>
      <c r="I7879">
        <v>2863</v>
      </c>
      <c r="J7879">
        <v>0</v>
      </c>
      <c r="K7879" t="str">
        <f t="shared" si="1422"/>
        <v>810</v>
      </c>
      <c r="L7879">
        <v>1860.95</v>
      </c>
    </row>
    <row r="7880" spans="1:12" x14ac:dyDescent="0.25">
      <c r="A7880" t="str">
        <f t="shared" si="1420"/>
        <v>89301000</v>
      </c>
      <c r="B7880" t="str">
        <f t="shared" si="1417"/>
        <v>78006000</v>
      </c>
      <c r="C7880" t="str">
        <f t="shared" si="1421"/>
        <v>78006233</v>
      </c>
      <c r="D7880">
        <v>89301606</v>
      </c>
      <c r="E7880" t="str">
        <f>"8656305779"</f>
        <v>8656305779</v>
      </c>
      <c r="F7880" s="1">
        <v>45106</v>
      </c>
      <c r="G7880" t="str">
        <f>"89713"</f>
        <v>89713</v>
      </c>
      <c r="H7880">
        <v>1</v>
      </c>
      <c r="I7880">
        <v>5411</v>
      </c>
      <c r="J7880">
        <v>0</v>
      </c>
      <c r="K7880" t="str">
        <f t="shared" si="1422"/>
        <v>810</v>
      </c>
      <c r="L7880">
        <v>3517.15</v>
      </c>
    </row>
    <row r="7881" spans="1:12" x14ac:dyDescent="0.25">
      <c r="A7881" t="str">
        <f t="shared" si="1420"/>
        <v>89301000</v>
      </c>
      <c r="B7881" t="str">
        <f t="shared" si="1417"/>
        <v>78006000</v>
      </c>
      <c r="C7881" t="str">
        <f t="shared" si="1421"/>
        <v>78006233</v>
      </c>
      <c r="D7881">
        <v>89301606</v>
      </c>
      <c r="E7881" t="str">
        <f>"8656305779"</f>
        <v>8656305779</v>
      </c>
      <c r="F7881" s="1">
        <v>45106</v>
      </c>
      <c r="G7881" t="str">
        <f>"89725"</f>
        <v>89725</v>
      </c>
      <c r="H7881">
        <v>1</v>
      </c>
      <c r="I7881">
        <v>2863</v>
      </c>
      <c r="J7881">
        <v>0</v>
      </c>
      <c r="K7881" t="str">
        <f t="shared" si="1422"/>
        <v>810</v>
      </c>
      <c r="L7881">
        <v>1860.95</v>
      </c>
    </row>
    <row r="7882" spans="1:12" x14ac:dyDescent="0.25">
      <c r="A7882" t="str">
        <f t="shared" si="1420"/>
        <v>89301000</v>
      </c>
      <c r="B7882" t="str">
        <f t="shared" si="1417"/>
        <v>78006000</v>
      </c>
      <c r="C7882" t="str">
        <f t="shared" si="1421"/>
        <v>78006233</v>
      </c>
      <c r="D7882">
        <v>89301062</v>
      </c>
      <c r="E7882" t="str">
        <f>"7008263757"</f>
        <v>7008263757</v>
      </c>
      <c r="F7882" s="1">
        <v>45106</v>
      </c>
      <c r="G7882" t="str">
        <f>"89713"</f>
        <v>89713</v>
      </c>
      <c r="H7882">
        <v>1</v>
      </c>
      <c r="I7882">
        <v>5411</v>
      </c>
      <c r="J7882">
        <v>0</v>
      </c>
      <c r="K7882" t="str">
        <f t="shared" si="1422"/>
        <v>810</v>
      </c>
      <c r="L7882">
        <v>3517.15</v>
      </c>
    </row>
    <row r="7883" spans="1:12" x14ac:dyDescent="0.25">
      <c r="A7883" t="str">
        <f t="shared" si="1420"/>
        <v>89301000</v>
      </c>
      <c r="B7883" t="str">
        <f t="shared" ref="B7883:B7914" si="1423">"78006000"</f>
        <v>78006000</v>
      </c>
      <c r="C7883" t="str">
        <f t="shared" si="1421"/>
        <v>78006233</v>
      </c>
      <c r="D7883">
        <v>89301062</v>
      </c>
      <c r="E7883" t="str">
        <f>"7008263757"</f>
        <v>7008263757</v>
      </c>
      <c r="F7883" s="1">
        <v>45106</v>
      </c>
      <c r="G7883" t="str">
        <f>"89713"</f>
        <v>89713</v>
      </c>
      <c r="H7883">
        <v>1</v>
      </c>
      <c r="I7883">
        <v>5411</v>
      </c>
      <c r="J7883">
        <v>0</v>
      </c>
      <c r="K7883" t="str">
        <f t="shared" si="1422"/>
        <v>810</v>
      </c>
      <c r="L7883">
        <v>3517.15</v>
      </c>
    </row>
    <row r="7884" spans="1:12" x14ac:dyDescent="0.25">
      <c r="A7884" t="str">
        <f t="shared" si="1420"/>
        <v>89301000</v>
      </c>
      <c r="B7884" t="str">
        <f t="shared" si="1423"/>
        <v>78006000</v>
      </c>
      <c r="C7884" t="str">
        <f t="shared" si="1421"/>
        <v>78006233</v>
      </c>
      <c r="D7884">
        <v>89301062</v>
      </c>
      <c r="E7884" t="str">
        <f>"7008263757"</f>
        <v>7008263757</v>
      </c>
      <c r="F7884" s="1">
        <v>45106</v>
      </c>
      <c r="G7884" t="str">
        <f>"89725"</f>
        <v>89725</v>
      </c>
      <c r="H7884">
        <v>1</v>
      </c>
      <c r="I7884">
        <v>2863</v>
      </c>
      <c r="J7884">
        <v>0</v>
      </c>
      <c r="K7884" t="str">
        <f t="shared" si="1422"/>
        <v>810</v>
      </c>
      <c r="L7884">
        <v>1860.95</v>
      </c>
    </row>
    <row r="7885" spans="1:12" x14ac:dyDescent="0.25">
      <c r="A7885" t="str">
        <f t="shared" si="1420"/>
        <v>89301000</v>
      </c>
      <c r="B7885" t="str">
        <f t="shared" si="1423"/>
        <v>78006000</v>
      </c>
      <c r="C7885" t="str">
        <f t="shared" si="1421"/>
        <v>78006233</v>
      </c>
      <c r="D7885">
        <v>89301062</v>
      </c>
      <c r="E7885" t="str">
        <f>"7008263757"</f>
        <v>7008263757</v>
      </c>
      <c r="F7885" s="1">
        <v>45106</v>
      </c>
      <c r="G7885" t="str">
        <f>"89713"</f>
        <v>89713</v>
      </c>
      <c r="H7885">
        <v>1</v>
      </c>
      <c r="I7885">
        <v>5411</v>
      </c>
      <c r="J7885">
        <v>0</v>
      </c>
      <c r="K7885" t="str">
        <f t="shared" si="1422"/>
        <v>810</v>
      </c>
      <c r="L7885">
        <v>3517.15</v>
      </c>
    </row>
    <row r="7886" spans="1:12" x14ac:dyDescent="0.25">
      <c r="A7886" t="str">
        <f t="shared" si="1420"/>
        <v>89301000</v>
      </c>
      <c r="B7886" t="str">
        <f t="shared" si="1423"/>
        <v>78006000</v>
      </c>
      <c r="C7886" t="str">
        <f t="shared" si="1421"/>
        <v>78006233</v>
      </c>
      <c r="D7886">
        <v>89301062</v>
      </c>
      <c r="E7886" t="str">
        <f>"5858041266"</f>
        <v>5858041266</v>
      </c>
      <c r="F7886" s="1">
        <v>45107</v>
      </c>
      <c r="G7886" t="str">
        <f>"89713"</f>
        <v>89713</v>
      </c>
      <c r="H7886">
        <v>1</v>
      </c>
      <c r="I7886">
        <v>5411</v>
      </c>
      <c r="J7886">
        <v>0</v>
      </c>
      <c r="K7886" t="str">
        <f t="shared" si="1422"/>
        <v>810</v>
      </c>
      <c r="L7886">
        <v>3517.15</v>
      </c>
    </row>
    <row r="7887" spans="1:12" x14ac:dyDescent="0.25">
      <c r="A7887" t="str">
        <f t="shared" si="1420"/>
        <v>89301000</v>
      </c>
      <c r="B7887" t="str">
        <f t="shared" si="1423"/>
        <v>78006000</v>
      </c>
      <c r="C7887" t="str">
        <f t="shared" si="1421"/>
        <v>78006233</v>
      </c>
      <c r="D7887">
        <v>89301062</v>
      </c>
      <c r="E7887" t="str">
        <f>"5858041266"</f>
        <v>5858041266</v>
      </c>
      <c r="F7887" s="1">
        <v>45107</v>
      </c>
      <c r="G7887" t="str">
        <f>"89725"</f>
        <v>89725</v>
      </c>
      <c r="H7887">
        <v>1</v>
      </c>
      <c r="I7887">
        <v>2863</v>
      </c>
      <c r="J7887">
        <v>0</v>
      </c>
      <c r="K7887" t="str">
        <f t="shared" si="1422"/>
        <v>810</v>
      </c>
      <c r="L7887">
        <v>1860.95</v>
      </c>
    </row>
    <row r="7888" spans="1:12" x14ac:dyDescent="0.25">
      <c r="A7888" t="str">
        <f t="shared" si="1420"/>
        <v>89301000</v>
      </c>
      <c r="B7888" t="str">
        <f t="shared" si="1423"/>
        <v>78006000</v>
      </c>
      <c r="C7888" t="str">
        <f t="shared" ref="C7888:C7900" si="1424">"78006832"</f>
        <v>78006832</v>
      </c>
      <c r="D7888">
        <v>89301606</v>
      </c>
      <c r="E7888" t="str">
        <f>"5851192369"</f>
        <v>5851192369</v>
      </c>
      <c r="F7888" s="1">
        <v>45078</v>
      </c>
      <c r="G7888" t="str">
        <f>"89713"</f>
        <v>89713</v>
      </c>
      <c r="H7888">
        <v>1</v>
      </c>
      <c r="I7888">
        <v>5411</v>
      </c>
      <c r="J7888">
        <v>0</v>
      </c>
      <c r="K7888" t="str">
        <f t="shared" si="1422"/>
        <v>810</v>
      </c>
      <c r="L7888">
        <v>3517.15</v>
      </c>
    </row>
    <row r="7889" spans="1:12" x14ac:dyDescent="0.25">
      <c r="A7889" t="str">
        <f t="shared" si="1420"/>
        <v>89301000</v>
      </c>
      <c r="B7889" t="str">
        <f t="shared" si="1423"/>
        <v>78006000</v>
      </c>
      <c r="C7889" t="str">
        <f t="shared" si="1424"/>
        <v>78006832</v>
      </c>
      <c r="D7889">
        <v>89301606</v>
      </c>
      <c r="E7889" t="str">
        <f>"5851192369"</f>
        <v>5851192369</v>
      </c>
      <c r="F7889" s="1">
        <v>45078</v>
      </c>
      <c r="G7889" t="str">
        <f>"89725"</f>
        <v>89725</v>
      </c>
      <c r="H7889">
        <v>1</v>
      </c>
      <c r="I7889">
        <v>2863</v>
      </c>
      <c r="J7889">
        <v>0</v>
      </c>
      <c r="K7889" t="str">
        <f t="shared" si="1422"/>
        <v>810</v>
      </c>
      <c r="L7889">
        <v>1860.95</v>
      </c>
    </row>
    <row r="7890" spans="1:12" x14ac:dyDescent="0.25">
      <c r="A7890" t="str">
        <f t="shared" si="1420"/>
        <v>89301000</v>
      </c>
      <c r="B7890" t="str">
        <f t="shared" si="1423"/>
        <v>78006000</v>
      </c>
      <c r="C7890" t="str">
        <f t="shared" si="1424"/>
        <v>78006832</v>
      </c>
      <c r="D7890">
        <v>89301172</v>
      </c>
      <c r="E7890" t="str">
        <f>"7762105318"</f>
        <v>7762105318</v>
      </c>
      <c r="F7890" s="1">
        <v>45079</v>
      </c>
      <c r="G7890" t="str">
        <f>"89713"</f>
        <v>89713</v>
      </c>
      <c r="H7890">
        <v>1</v>
      </c>
      <c r="I7890">
        <v>5411</v>
      </c>
      <c r="J7890">
        <v>0</v>
      </c>
      <c r="K7890" t="str">
        <f t="shared" si="1422"/>
        <v>810</v>
      </c>
      <c r="L7890">
        <v>3517.15</v>
      </c>
    </row>
    <row r="7891" spans="1:12" x14ac:dyDescent="0.25">
      <c r="A7891" t="str">
        <f t="shared" si="1420"/>
        <v>89301000</v>
      </c>
      <c r="B7891" t="str">
        <f t="shared" si="1423"/>
        <v>78006000</v>
      </c>
      <c r="C7891" t="str">
        <f t="shared" si="1424"/>
        <v>78006832</v>
      </c>
      <c r="D7891">
        <v>89301172</v>
      </c>
      <c r="E7891" t="str">
        <f>"6355080622"</f>
        <v>6355080622</v>
      </c>
      <c r="F7891" s="1">
        <v>45082</v>
      </c>
      <c r="G7891" t="str">
        <f>"89713"</f>
        <v>89713</v>
      </c>
      <c r="H7891">
        <v>1</v>
      </c>
      <c r="I7891">
        <v>5411</v>
      </c>
      <c r="J7891">
        <v>0</v>
      </c>
      <c r="K7891" t="str">
        <f t="shared" si="1422"/>
        <v>810</v>
      </c>
      <c r="L7891">
        <v>3517.15</v>
      </c>
    </row>
    <row r="7892" spans="1:12" x14ac:dyDescent="0.25">
      <c r="A7892" t="str">
        <f t="shared" si="1420"/>
        <v>89301000</v>
      </c>
      <c r="B7892" t="str">
        <f t="shared" si="1423"/>
        <v>78006000</v>
      </c>
      <c r="C7892" t="str">
        <f t="shared" si="1424"/>
        <v>78006832</v>
      </c>
      <c r="D7892">
        <v>89301172</v>
      </c>
      <c r="E7892" t="str">
        <f>"6153231722"</f>
        <v>6153231722</v>
      </c>
      <c r="F7892" s="1">
        <v>45084</v>
      </c>
      <c r="G7892" t="str">
        <f>"89713"</f>
        <v>89713</v>
      </c>
      <c r="H7892">
        <v>1</v>
      </c>
      <c r="I7892">
        <v>5411</v>
      </c>
      <c r="J7892">
        <v>0</v>
      </c>
      <c r="K7892" t="str">
        <f t="shared" si="1422"/>
        <v>810</v>
      </c>
      <c r="L7892">
        <v>3517.15</v>
      </c>
    </row>
    <row r="7893" spans="1:12" x14ac:dyDescent="0.25">
      <c r="A7893" t="str">
        <f t="shared" si="1420"/>
        <v>89301000</v>
      </c>
      <c r="B7893" t="str">
        <f t="shared" si="1423"/>
        <v>78006000</v>
      </c>
      <c r="C7893" t="str">
        <f t="shared" si="1424"/>
        <v>78006832</v>
      </c>
      <c r="D7893">
        <v>89301172</v>
      </c>
      <c r="E7893" t="str">
        <f>"6354181328"</f>
        <v>6354181328</v>
      </c>
      <c r="F7893" s="1">
        <v>45085</v>
      </c>
      <c r="G7893" t="str">
        <f>"89713"</f>
        <v>89713</v>
      </c>
      <c r="H7893">
        <v>1</v>
      </c>
      <c r="I7893">
        <v>5411</v>
      </c>
      <c r="J7893">
        <v>0</v>
      </c>
      <c r="K7893" t="str">
        <f t="shared" si="1422"/>
        <v>810</v>
      </c>
      <c r="L7893">
        <v>3517.15</v>
      </c>
    </row>
    <row r="7894" spans="1:12" x14ac:dyDescent="0.25">
      <c r="A7894" t="str">
        <f t="shared" si="1420"/>
        <v>89301000</v>
      </c>
      <c r="B7894" t="str">
        <f t="shared" si="1423"/>
        <v>78006000</v>
      </c>
      <c r="C7894" t="str">
        <f t="shared" si="1424"/>
        <v>78006832</v>
      </c>
      <c r="D7894">
        <v>89301172</v>
      </c>
      <c r="E7894" t="str">
        <f>"6354181328"</f>
        <v>6354181328</v>
      </c>
      <c r="F7894" s="1">
        <v>45085</v>
      </c>
      <c r="G7894" t="str">
        <f>"89725"</f>
        <v>89725</v>
      </c>
      <c r="H7894">
        <v>1</v>
      </c>
      <c r="I7894">
        <v>2863</v>
      </c>
      <c r="J7894">
        <v>0</v>
      </c>
      <c r="K7894" t="str">
        <f t="shared" si="1422"/>
        <v>810</v>
      </c>
      <c r="L7894">
        <v>1860.95</v>
      </c>
    </row>
    <row r="7895" spans="1:12" x14ac:dyDescent="0.25">
      <c r="A7895" t="str">
        <f t="shared" si="1420"/>
        <v>89301000</v>
      </c>
      <c r="B7895" t="str">
        <f t="shared" si="1423"/>
        <v>78006000</v>
      </c>
      <c r="C7895" t="str">
        <f t="shared" si="1424"/>
        <v>78006832</v>
      </c>
      <c r="D7895">
        <v>89301172</v>
      </c>
      <c r="E7895" t="str">
        <f>"6354181328"</f>
        <v>6354181328</v>
      </c>
      <c r="F7895" s="1">
        <v>45085</v>
      </c>
      <c r="G7895" t="str">
        <f>"89713"</f>
        <v>89713</v>
      </c>
      <c r="H7895">
        <v>1</v>
      </c>
      <c r="I7895">
        <v>5411</v>
      </c>
      <c r="J7895">
        <v>0</v>
      </c>
      <c r="K7895" t="str">
        <f t="shared" si="1422"/>
        <v>810</v>
      </c>
      <c r="L7895">
        <v>3517.15</v>
      </c>
    </row>
    <row r="7896" spans="1:12" x14ac:dyDescent="0.25">
      <c r="A7896" t="str">
        <f t="shared" si="1420"/>
        <v>89301000</v>
      </c>
      <c r="B7896" t="str">
        <f t="shared" si="1423"/>
        <v>78006000</v>
      </c>
      <c r="C7896" t="str">
        <f t="shared" si="1424"/>
        <v>78006832</v>
      </c>
      <c r="D7896">
        <v>89301062</v>
      </c>
      <c r="E7896" t="str">
        <f>"415801428"</f>
        <v>415801428</v>
      </c>
      <c r="F7896" s="1">
        <v>45100</v>
      </c>
      <c r="G7896" t="str">
        <f>"89713"</f>
        <v>89713</v>
      </c>
      <c r="H7896">
        <v>1</v>
      </c>
      <c r="I7896">
        <v>5411</v>
      </c>
      <c r="J7896">
        <v>0</v>
      </c>
      <c r="K7896" t="str">
        <f t="shared" si="1422"/>
        <v>810</v>
      </c>
      <c r="L7896">
        <v>3517.15</v>
      </c>
    </row>
    <row r="7897" spans="1:12" x14ac:dyDescent="0.25">
      <c r="A7897" t="str">
        <f t="shared" si="1420"/>
        <v>89301000</v>
      </c>
      <c r="B7897" t="str">
        <f t="shared" si="1423"/>
        <v>78006000</v>
      </c>
      <c r="C7897" t="str">
        <f t="shared" si="1424"/>
        <v>78006832</v>
      </c>
      <c r="D7897">
        <v>89301062</v>
      </c>
      <c r="E7897" t="str">
        <f>"415801428"</f>
        <v>415801428</v>
      </c>
      <c r="F7897" s="1">
        <v>45100</v>
      </c>
      <c r="G7897" t="str">
        <f>"89725"</f>
        <v>89725</v>
      </c>
      <c r="H7897">
        <v>1</v>
      </c>
      <c r="I7897">
        <v>2863</v>
      </c>
      <c r="J7897">
        <v>0</v>
      </c>
      <c r="K7897" t="str">
        <f t="shared" si="1422"/>
        <v>810</v>
      </c>
      <c r="L7897">
        <v>1860.95</v>
      </c>
    </row>
    <row r="7898" spans="1:12" x14ac:dyDescent="0.25">
      <c r="A7898" t="str">
        <f t="shared" si="1420"/>
        <v>89301000</v>
      </c>
      <c r="B7898" t="str">
        <f t="shared" si="1423"/>
        <v>78006000</v>
      </c>
      <c r="C7898" t="str">
        <f t="shared" si="1424"/>
        <v>78006832</v>
      </c>
      <c r="D7898">
        <v>89301062</v>
      </c>
      <c r="E7898" t="str">
        <f>"8811185779"</f>
        <v>8811185779</v>
      </c>
      <c r="F7898" s="1">
        <v>45103</v>
      </c>
      <c r="G7898" t="str">
        <f>"89713"</f>
        <v>89713</v>
      </c>
      <c r="H7898">
        <v>1</v>
      </c>
      <c r="I7898">
        <v>5411</v>
      </c>
      <c r="J7898">
        <v>0</v>
      </c>
      <c r="K7898" t="str">
        <f t="shared" si="1422"/>
        <v>810</v>
      </c>
      <c r="L7898">
        <v>3517.15</v>
      </c>
    </row>
    <row r="7899" spans="1:12" x14ac:dyDescent="0.25">
      <c r="A7899" t="str">
        <f t="shared" si="1420"/>
        <v>89301000</v>
      </c>
      <c r="B7899" t="str">
        <f t="shared" si="1423"/>
        <v>78006000</v>
      </c>
      <c r="C7899" t="str">
        <f t="shared" si="1424"/>
        <v>78006832</v>
      </c>
      <c r="D7899">
        <v>89301606</v>
      </c>
      <c r="E7899" t="str">
        <f>"535502286"</f>
        <v>535502286</v>
      </c>
      <c r="F7899" s="1">
        <v>45103</v>
      </c>
      <c r="G7899" t="str">
        <f>"89713"</f>
        <v>89713</v>
      </c>
      <c r="H7899">
        <v>1</v>
      </c>
      <c r="I7899">
        <v>5411</v>
      </c>
      <c r="J7899">
        <v>0</v>
      </c>
      <c r="K7899" t="str">
        <f t="shared" si="1422"/>
        <v>810</v>
      </c>
      <c r="L7899">
        <v>3517.15</v>
      </c>
    </row>
    <row r="7900" spans="1:12" x14ac:dyDescent="0.25">
      <c r="A7900" t="str">
        <f t="shared" si="1420"/>
        <v>89301000</v>
      </c>
      <c r="B7900" t="str">
        <f t="shared" si="1423"/>
        <v>78006000</v>
      </c>
      <c r="C7900" t="str">
        <f t="shared" si="1424"/>
        <v>78006832</v>
      </c>
      <c r="D7900">
        <v>89301606</v>
      </c>
      <c r="E7900" t="str">
        <f>"535502286"</f>
        <v>535502286</v>
      </c>
      <c r="F7900" s="1">
        <v>45103</v>
      </c>
      <c r="G7900" t="str">
        <f>"89725"</f>
        <v>89725</v>
      </c>
      <c r="H7900">
        <v>1</v>
      </c>
      <c r="I7900">
        <v>2863</v>
      </c>
      <c r="J7900">
        <v>0</v>
      </c>
      <c r="K7900" t="str">
        <f t="shared" si="1422"/>
        <v>810</v>
      </c>
      <c r="L7900">
        <v>1860.95</v>
      </c>
    </row>
    <row r="7901" spans="1:12" x14ac:dyDescent="0.25">
      <c r="A7901" t="str">
        <f t="shared" si="1420"/>
        <v>89301000</v>
      </c>
      <c r="B7901" t="str">
        <f t="shared" si="1423"/>
        <v>78006000</v>
      </c>
      <c r="C7901" t="str">
        <f t="shared" ref="C7901:C7916" si="1425">"78006207"</f>
        <v>78006207</v>
      </c>
      <c r="D7901">
        <v>89301171</v>
      </c>
      <c r="E7901" t="str">
        <f>"9560196162"</f>
        <v>9560196162</v>
      </c>
      <c r="F7901" s="1">
        <v>45082</v>
      </c>
      <c r="G7901" t="str">
        <f>"91197"</f>
        <v>91197</v>
      </c>
      <c r="H7901">
        <v>2</v>
      </c>
      <c r="I7901">
        <v>2096</v>
      </c>
      <c r="J7901">
        <v>0</v>
      </c>
      <c r="K7901" t="str">
        <f t="shared" ref="K7901:K7916" si="1426">"813"</f>
        <v>813</v>
      </c>
      <c r="L7901">
        <v>1760.64</v>
      </c>
    </row>
    <row r="7902" spans="1:12" x14ac:dyDescent="0.25">
      <c r="A7902" t="str">
        <f t="shared" si="1420"/>
        <v>89301000</v>
      </c>
      <c r="B7902" t="str">
        <f t="shared" si="1423"/>
        <v>78006000</v>
      </c>
      <c r="C7902" t="str">
        <f t="shared" si="1425"/>
        <v>78006207</v>
      </c>
      <c r="D7902">
        <v>89301171</v>
      </c>
      <c r="E7902" t="str">
        <f>"9560196162"</f>
        <v>9560196162</v>
      </c>
      <c r="F7902" s="1">
        <v>45082</v>
      </c>
      <c r="G7902" t="str">
        <f>"91197"</f>
        <v>91197</v>
      </c>
      <c r="H7902">
        <v>4</v>
      </c>
      <c r="I7902">
        <v>4192</v>
      </c>
      <c r="J7902">
        <v>0</v>
      </c>
      <c r="K7902" t="str">
        <f t="shared" si="1426"/>
        <v>813</v>
      </c>
      <c r="L7902">
        <v>3521.28</v>
      </c>
    </row>
    <row r="7903" spans="1:12" x14ac:dyDescent="0.25">
      <c r="A7903" t="str">
        <f t="shared" si="1420"/>
        <v>89301000</v>
      </c>
      <c r="B7903" t="str">
        <f t="shared" si="1423"/>
        <v>78006000</v>
      </c>
      <c r="C7903" t="str">
        <f t="shared" si="1425"/>
        <v>78006207</v>
      </c>
      <c r="D7903">
        <v>89301167</v>
      </c>
      <c r="E7903" t="str">
        <f>"5854210813"</f>
        <v>5854210813</v>
      </c>
      <c r="F7903" s="1">
        <v>45082</v>
      </c>
      <c r="G7903" t="str">
        <f>"91153"</f>
        <v>91153</v>
      </c>
      <c r="H7903">
        <v>1</v>
      </c>
      <c r="I7903">
        <v>153</v>
      </c>
      <c r="J7903">
        <v>0</v>
      </c>
      <c r="K7903" t="str">
        <f t="shared" si="1426"/>
        <v>813</v>
      </c>
      <c r="L7903">
        <v>128.52000000000001</v>
      </c>
    </row>
    <row r="7904" spans="1:12" x14ac:dyDescent="0.25">
      <c r="A7904" t="str">
        <f t="shared" si="1420"/>
        <v>89301000</v>
      </c>
      <c r="B7904" t="str">
        <f t="shared" si="1423"/>
        <v>78006000</v>
      </c>
      <c r="C7904" t="str">
        <f t="shared" si="1425"/>
        <v>78006207</v>
      </c>
      <c r="D7904">
        <v>89301167</v>
      </c>
      <c r="E7904" t="str">
        <f>"5854210813"</f>
        <v>5854210813</v>
      </c>
      <c r="F7904" s="1">
        <v>45103</v>
      </c>
      <c r="G7904" t="str">
        <f>"91153"</f>
        <v>91153</v>
      </c>
      <c r="H7904">
        <v>1</v>
      </c>
      <c r="I7904">
        <v>153</v>
      </c>
      <c r="J7904">
        <v>0</v>
      </c>
      <c r="K7904" t="str">
        <f t="shared" si="1426"/>
        <v>813</v>
      </c>
      <c r="L7904">
        <v>128.52000000000001</v>
      </c>
    </row>
    <row r="7905" spans="1:12" x14ac:dyDescent="0.25">
      <c r="A7905" t="str">
        <f t="shared" si="1420"/>
        <v>89301000</v>
      </c>
      <c r="B7905" t="str">
        <f t="shared" si="1423"/>
        <v>78006000</v>
      </c>
      <c r="C7905" t="str">
        <f t="shared" si="1425"/>
        <v>78006207</v>
      </c>
      <c r="D7905">
        <v>89301171</v>
      </c>
      <c r="E7905" t="str">
        <f>"8008165682"</f>
        <v>8008165682</v>
      </c>
      <c r="F7905" s="1">
        <v>45097</v>
      </c>
      <c r="G7905" t="str">
        <f t="shared" ref="G7905:G7916" si="1427">"91197"</f>
        <v>91197</v>
      </c>
      <c r="H7905">
        <v>6</v>
      </c>
      <c r="I7905">
        <v>6288</v>
      </c>
      <c r="J7905">
        <v>0</v>
      </c>
      <c r="K7905" t="str">
        <f t="shared" si="1426"/>
        <v>813</v>
      </c>
      <c r="L7905">
        <v>5281.92</v>
      </c>
    </row>
    <row r="7906" spans="1:12" x14ac:dyDescent="0.25">
      <c r="A7906" t="str">
        <f t="shared" si="1420"/>
        <v>89301000</v>
      </c>
      <c r="B7906" t="str">
        <f t="shared" si="1423"/>
        <v>78006000</v>
      </c>
      <c r="C7906" t="str">
        <f t="shared" si="1425"/>
        <v>78006207</v>
      </c>
      <c r="D7906">
        <v>89301171</v>
      </c>
      <c r="E7906" t="str">
        <f>"6611010868"</f>
        <v>6611010868</v>
      </c>
      <c r="F7906" s="1">
        <v>45097</v>
      </c>
      <c r="G7906" t="str">
        <f t="shared" si="1427"/>
        <v>91197</v>
      </c>
      <c r="H7906">
        <v>6</v>
      </c>
      <c r="I7906">
        <v>6288</v>
      </c>
      <c r="J7906">
        <v>0</v>
      </c>
      <c r="K7906" t="str">
        <f t="shared" si="1426"/>
        <v>813</v>
      </c>
      <c r="L7906">
        <v>5281.92</v>
      </c>
    </row>
    <row r="7907" spans="1:12" x14ac:dyDescent="0.25">
      <c r="A7907" t="str">
        <f t="shared" si="1420"/>
        <v>89301000</v>
      </c>
      <c r="B7907" t="str">
        <f t="shared" si="1423"/>
        <v>78006000</v>
      </c>
      <c r="C7907" t="str">
        <f t="shared" si="1425"/>
        <v>78006207</v>
      </c>
      <c r="D7907">
        <v>89301171</v>
      </c>
      <c r="E7907" t="str">
        <f>"7502244497"</f>
        <v>7502244497</v>
      </c>
      <c r="F7907" s="1">
        <v>45097</v>
      </c>
      <c r="G7907" t="str">
        <f t="shared" si="1427"/>
        <v>91197</v>
      </c>
      <c r="H7907">
        <v>6</v>
      </c>
      <c r="I7907">
        <v>6288</v>
      </c>
      <c r="J7907">
        <v>0</v>
      </c>
      <c r="K7907" t="str">
        <f t="shared" si="1426"/>
        <v>813</v>
      </c>
      <c r="L7907">
        <v>5281.92</v>
      </c>
    </row>
    <row r="7908" spans="1:12" x14ac:dyDescent="0.25">
      <c r="A7908" t="str">
        <f t="shared" si="1420"/>
        <v>89301000</v>
      </c>
      <c r="B7908" t="str">
        <f t="shared" si="1423"/>
        <v>78006000</v>
      </c>
      <c r="C7908" t="str">
        <f t="shared" si="1425"/>
        <v>78006207</v>
      </c>
      <c r="D7908">
        <v>89301171</v>
      </c>
      <c r="E7908" t="str">
        <f>"9507164854"</f>
        <v>9507164854</v>
      </c>
      <c r="F7908" s="1">
        <v>45082</v>
      </c>
      <c r="G7908" t="str">
        <f t="shared" si="1427"/>
        <v>91197</v>
      </c>
      <c r="H7908">
        <v>6</v>
      </c>
      <c r="I7908">
        <v>6288</v>
      </c>
      <c r="J7908">
        <v>0</v>
      </c>
      <c r="K7908" t="str">
        <f t="shared" si="1426"/>
        <v>813</v>
      </c>
      <c r="L7908">
        <v>5281.92</v>
      </c>
    </row>
    <row r="7909" spans="1:12" x14ac:dyDescent="0.25">
      <c r="A7909" t="str">
        <f t="shared" si="1420"/>
        <v>89301000</v>
      </c>
      <c r="B7909" t="str">
        <f t="shared" si="1423"/>
        <v>78006000</v>
      </c>
      <c r="C7909" t="str">
        <f t="shared" si="1425"/>
        <v>78006207</v>
      </c>
      <c r="D7909">
        <v>89301171</v>
      </c>
      <c r="E7909" t="str">
        <f>"7406034471"</f>
        <v>7406034471</v>
      </c>
      <c r="F7909" s="1">
        <v>45104</v>
      </c>
      <c r="G7909" t="str">
        <f t="shared" si="1427"/>
        <v>91197</v>
      </c>
      <c r="H7909">
        <v>6</v>
      </c>
      <c r="I7909">
        <v>6288</v>
      </c>
      <c r="J7909">
        <v>0</v>
      </c>
      <c r="K7909" t="str">
        <f t="shared" si="1426"/>
        <v>813</v>
      </c>
      <c r="L7909">
        <v>5281.92</v>
      </c>
    </row>
    <row r="7910" spans="1:12" x14ac:dyDescent="0.25">
      <c r="A7910" t="str">
        <f t="shared" si="1420"/>
        <v>89301000</v>
      </c>
      <c r="B7910" t="str">
        <f t="shared" si="1423"/>
        <v>78006000</v>
      </c>
      <c r="C7910" t="str">
        <f t="shared" si="1425"/>
        <v>78006207</v>
      </c>
      <c r="D7910">
        <v>89301171</v>
      </c>
      <c r="E7910" t="str">
        <f>"6405170068"</f>
        <v>6405170068</v>
      </c>
      <c r="F7910" s="1">
        <v>45096</v>
      </c>
      <c r="G7910" t="str">
        <f t="shared" si="1427"/>
        <v>91197</v>
      </c>
      <c r="H7910">
        <v>6</v>
      </c>
      <c r="I7910">
        <v>6288</v>
      </c>
      <c r="J7910">
        <v>0</v>
      </c>
      <c r="K7910" t="str">
        <f t="shared" si="1426"/>
        <v>813</v>
      </c>
      <c r="L7910">
        <v>5281.92</v>
      </c>
    </row>
    <row r="7911" spans="1:12" x14ac:dyDescent="0.25">
      <c r="A7911" t="str">
        <f t="shared" si="1420"/>
        <v>89301000</v>
      </c>
      <c r="B7911" t="str">
        <f t="shared" si="1423"/>
        <v>78006000</v>
      </c>
      <c r="C7911" t="str">
        <f t="shared" si="1425"/>
        <v>78006207</v>
      </c>
      <c r="D7911">
        <v>89301171</v>
      </c>
      <c r="E7911" t="str">
        <f>"0358135723"</f>
        <v>0358135723</v>
      </c>
      <c r="F7911" s="1">
        <v>45096</v>
      </c>
      <c r="G7911" t="str">
        <f t="shared" si="1427"/>
        <v>91197</v>
      </c>
      <c r="H7911">
        <v>6</v>
      </c>
      <c r="I7911">
        <v>6288</v>
      </c>
      <c r="J7911">
        <v>0</v>
      </c>
      <c r="K7911" t="str">
        <f t="shared" si="1426"/>
        <v>813</v>
      </c>
      <c r="L7911">
        <v>5281.92</v>
      </c>
    </row>
    <row r="7912" spans="1:12" x14ac:dyDescent="0.25">
      <c r="A7912" t="str">
        <f t="shared" si="1420"/>
        <v>89301000</v>
      </c>
      <c r="B7912" t="str">
        <f t="shared" si="1423"/>
        <v>78006000</v>
      </c>
      <c r="C7912" t="str">
        <f t="shared" si="1425"/>
        <v>78006207</v>
      </c>
      <c r="D7912">
        <v>89301171</v>
      </c>
      <c r="E7912" t="str">
        <f>"9353285678"</f>
        <v>9353285678</v>
      </c>
      <c r="F7912" s="1">
        <v>45096</v>
      </c>
      <c r="G7912" t="str">
        <f t="shared" si="1427"/>
        <v>91197</v>
      </c>
      <c r="H7912">
        <v>6</v>
      </c>
      <c r="I7912">
        <v>6288</v>
      </c>
      <c r="J7912">
        <v>0</v>
      </c>
      <c r="K7912" t="str">
        <f t="shared" si="1426"/>
        <v>813</v>
      </c>
      <c r="L7912">
        <v>5281.92</v>
      </c>
    </row>
    <row r="7913" spans="1:12" x14ac:dyDescent="0.25">
      <c r="A7913" t="str">
        <f t="shared" si="1420"/>
        <v>89301000</v>
      </c>
      <c r="B7913" t="str">
        <f t="shared" si="1423"/>
        <v>78006000</v>
      </c>
      <c r="C7913" t="str">
        <f t="shared" si="1425"/>
        <v>78006207</v>
      </c>
      <c r="D7913">
        <v>89301171</v>
      </c>
      <c r="E7913" t="str">
        <f>"8803255571"</f>
        <v>8803255571</v>
      </c>
      <c r="F7913" s="1">
        <v>45082</v>
      </c>
      <c r="G7913" t="str">
        <f t="shared" si="1427"/>
        <v>91197</v>
      </c>
      <c r="H7913">
        <v>6</v>
      </c>
      <c r="I7913">
        <v>6288</v>
      </c>
      <c r="J7913">
        <v>0</v>
      </c>
      <c r="K7913" t="str">
        <f t="shared" si="1426"/>
        <v>813</v>
      </c>
      <c r="L7913">
        <v>5281.92</v>
      </c>
    </row>
    <row r="7914" spans="1:12" x14ac:dyDescent="0.25">
      <c r="A7914" t="str">
        <f t="shared" si="1420"/>
        <v>89301000</v>
      </c>
      <c r="B7914" t="str">
        <f t="shared" si="1423"/>
        <v>78006000</v>
      </c>
      <c r="C7914" t="str">
        <f t="shared" si="1425"/>
        <v>78006207</v>
      </c>
      <c r="D7914">
        <v>89301171</v>
      </c>
      <c r="E7914" t="str">
        <f>"8801131999"</f>
        <v>8801131999</v>
      </c>
      <c r="F7914" s="1">
        <v>45082</v>
      </c>
      <c r="G7914" t="str">
        <f t="shared" si="1427"/>
        <v>91197</v>
      </c>
      <c r="H7914">
        <v>6</v>
      </c>
      <c r="I7914">
        <v>6288</v>
      </c>
      <c r="J7914">
        <v>0</v>
      </c>
      <c r="K7914" t="str">
        <f t="shared" si="1426"/>
        <v>813</v>
      </c>
      <c r="L7914">
        <v>5281.92</v>
      </c>
    </row>
    <row r="7915" spans="1:12" x14ac:dyDescent="0.25">
      <c r="A7915" t="str">
        <f t="shared" si="1420"/>
        <v>89301000</v>
      </c>
      <c r="B7915" t="str">
        <f t="shared" ref="B7915:B7946" si="1428">"78006000"</f>
        <v>78006000</v>
      </c>
      <c r="C7915" t="str">
        <f t="shared" si="1425"/>
        <v>78006207</v>
      </c>
      <c r="D7915">
        <v>89301171</v>
      </c>
      <c r="E7915" t="str">
        <f>"8953076154"</f>
        <v>8953076154</v>
      </c>
      <c r="F7915" s="1">
        <v>45097</v>
      </c>
      <c r="G7915" t="str">
        <f t="shared" si="1427"/>
        <v>91197</v>
      </c>
      <c r="H7915">
        <v>6</v>
      </c>
      <c r="I7915">
        <v>6288</v>
      </c>
      <c r="J7915">
        <v>0</v>
      </c>
      <c r="K7915" t="str">
        <f t="shared" si="1426"/>
        <v>813</v>
      </c>
      <c r="L7915">
        <v>5281.92</v>
      </c>
    </row>
    <row r="7916" spans="1:12" x14ac:dyDescent="0.25">
      <c r="A7916" t="str">
        <f t="shared" si="1420"/>
        <v>89301000</v>
      </c>
      <c r="B7916" t="str">
        <f t="shared" si="1428"/>
        <v>78006000</v>
      </c>
      <c r="C7916" t="str">
        <f t="shared" si="1425"/>
        <v>78006207</v>
      </c>
      <c r="D7916">
        <v>89301171</v>
      </c>
      <c r="E7916" t="str">
        <f>"9207085734"</f>
        <v>9207085734</v>
      </c>
      <c r="F7916" s="1">
        <v>45104</v>
      </c>
      <c r="G7916" t="str">
        <f t="shared" si="1427"/>
        <v>91197</v>
      </c>
      <c r="H7916">
        <v>6</v>
      </c>
      <c r="I7916">
        <v>6288</v>
      </c>
      <c r="J7916">
        <v>0</v>
      </c>
      <c r="K7916" t="str">
        <f t="shared" si="1426"/>
        <v>813</v>
      </c>
      <c r="L7916">
        <v>5281.92</v>
      </c>
    </row>
    <row r="7917" spans="1:12" x14ac:dyDescent="0.25">
      <c r="A7917" t="str">
        <f t="shared" si="1420"/>
        <v>89301000</v>
      </c>
      <c r="B7917" t="str">
        <f t="shared" si="1428"/>
        <v>78006000</v>
      </c>
      <c r="C7917" t="str">
        <f>"78006205"</f>
        <v>78006205</v>
      </c>
      <c r="D7917">
        <v>89301167</v>
      </c>
      <c r="E7917" t="str">
        <f>"5854210813"</f>
        <v>5854210813</v>
      </c>
      <c r="F7917" s="1">
        <v>45103</v>
      </c>
      <c r="G7917" t="str">
        <f>"96167"</f>
        <v>96167</v>
      </c>
      <c r="H7917">
        <v>1</v>
      </c>
      <c r="I7917">
        <v>67</v>
      </c>
      <c r="J7917">
        <v>0</v>
      </c>
      <c r="K7917" t="str">
        <f>"818"</f>
        <v>818</v>
      </c>
      <c r="L7917">
        <v>64.989999999999995</v>
      </c>
    </row>
    <row r="7918" spans="1:12" x14ac:dyDescent="0.25">
      <c r="A7918" t="str">
        <f t="shared" si="1420"/>
        <v>89301000</v>
      </c>
      <c r="B7918" t="str">
        <f t="shared" si="1428"/>
        <v>78006000</v>
      </c>
      <c r="C7918" t="str">
        <f>"78006205"</f>
        <v>78006205</v>
      </c>
      <c r="D7918">
        <v>89301167</v>
      </c>
      <c r="E7918" t="str">
        <f>"5854210813"</f>
        <v>5854210813</v>
      </c>
      <c r="F7918" s="1">
        <v>45082</v>
      </c>
      <c r="G7918" t="str">
        <f>"96167"</f>
        <v>96167</v>
      </c>
      <c r="H7918">
        <v>1</v>
      </c>
      <c r="I7918">
        <v>67</v>
      </c>
      <c r="J7918">
        <v>0</v>
      </c>
      <c r="K7918" t="str">
        <f>"818"</f>
        <v>818</v>
      </c>
      <c r="L7918">
        <v>64.989999999999995</v>
      </c>
    </row>
    <row r="7919" spans="1:12" x14ac:dyDescent="0.25">
      <c r="A7919" t="str">
        <f t="shared" si="1420"/>
        <v>89301000</v>
      </c>
      <c r="B7919" t="str">
        <f t="shared" si="1428"/>
        <v>78006000</v>
      </c>
      <c r="C7919" t="str">
        <f>"78006831"</f>
        <v>78006831</v>
      </c>
      <c r="D7919">
        <v>89301172</v>
      </c>
      <c r="E7919" t="str">
        <f>"8558095777"</f>
        <v>8558095777</v>
      </c>
      <c r="F7919" s="1">
        <v>45083</v>
      </c>
      <c r="G7919" t="str">
        <f>"89517"</f>
        <v>89517</v>
      </c>
      <c r="H7919">
        <v>1</v>
      </c>
      <c r="I7919">
        <v>994</v>
      </c>
      <c r="J7919">
        <v>0</v>
      </c>
      <c r="K7919" t="str">
        <f>"809"</f>
        <v>809</v>
      </c>
      <c r="L7919">
        <v>1461.18</v>
      </c>
    </row>
    <row r="7920" spans="1:12" x14ac:dyDescent="0.25">
      <c r="A7920" t="str">
        <f t="shared" si="1420"/>
        <v>89301000</v>
      </c>
      <c r="B7920" t="str">
        <f t="shared" si="1428"/>
        <v>78006000</v>
      </c>
      <c r="C7920" t="str">
        <f>"78006831"</f>
        <v>78006831</v>
      </c>
      <c r="D7920">
        <v>89301212</v>
      </c>
      <c r="E7920" t="str">
        <f>"535404202"</f>
        <v>535404202</v>
      </c>
      <c r="F7920" s="1">
        <v>45084</v>
      </c>
      <c r="G7920" t="str">
        <f>"89513"</f>
        <v>89513</v>
      </c>
      <c r="H7920">
        <v>1</v>
      </c>
      <c r="I7920">
        <v>378</v>
      </c>
      <c r="J7920">
        <v>0</v>
      </c>
      <c r="K7920" t="str">
        <f>"809"</f>
        <v>809</v>
      </c>
      <c r="L7920">
        <v>555.66</v>
      </c>
    </row>
    <row r="7921" spans="1:12" x14ac:dyDescent="0.25">
      <c r="A7921" t="str">
        <f t="shared" si="1420"/>
        <v>89301000</v>
      </c>
      <c r="B7921" t="str">
        <f t="shared" si="1428"/>
        <v>78006000</v>
      </c>
      <c r="C7921" t="str">
        <f>"78006831"</f>
        <v>78006831</v>
      </c>
      <c r="D7921">
        <v>89301212</v>
      </c>
      <c r="E7921" t="str">
        <f>"535404202"</f>
        <v>535404202</v>
      </c>
      <c r="F7921" s="1">
        <v>45084</v>
      </c>
      <c r="G7921" t="str">
        <f>"89514"</f>
        <v>89514</v>
      </c>
      <c r="H7921">
        <v>1</v>
      </c>
      <c r="I7921">
        <v>378</v>
      </c>
      <c r="J7921">
        <v>0</v>
      </c>
      <c r="K7921" t="str">
        <f>"809"</f>
        <v>809</v>
      </c>
      <c r="L7921">
        <v>555.66</v>
      </c>
    </row>
    <row r="7922" spans="1:12" x14ac:dyDescent="0.25">
      <c r="A7922" t="str">
        <f t="shared" si="1420"/>
        <v>89301000</v>
      </c>
      <c r="B7922" t="str">
        <f t="shared" si="1428"/>
        <v>78006000</v>
      </c>
      <c r="C7922" t="str">
        <f t="shared" ref="C7922:C7968" si="1429">"78006201"</f>
        <v>78006201</v>
      </c>
      <c r="D7922">
        <v>89301167</v>
      </c>
      <c r="E7922" t="str">
        <f t="shared" ref="E7922:E7936" si="1430">"5854210813"</f>
        <v>5854210813</v>
      </c>
      <c r="F7922" s="1">
        <v>45103</v>
      </c>
      <c r="G7922" t="str">
        <f>"81249"</f>
        <v>81249</v>
      </c>
      <c r="H7922">
        <v>1</v>
      </c>
      <c r="I7922">
        <v>334</v>
      </c>
      <c r="J7922">
        <v>0</v>
      </c>
      <c r="K7922" t="str">
        <f t="shared" ref="K7922:K7968" si="1431">"801"</f>
        <v>801</v>
      </c>
      <c r="L7922">
        <v>280.56</v>
      </c>
    </row>
    <row r="7923" spans="1:12" x14ac:dyDescent="0.25">
      <c r="A7923" t="str">
        <f t="shared" si="1420"/>
        <v>89301000</v>
      </c>
      <c r="B7923" t="str">
        <f t="shared" si="1428"/>
        <v>78006000</v>
      </c>
      <c r="C7923" t="str">
        <f t="shared" si="1429"/>
        <v>78006201</v>
      </c>
      <c r="D7923">
        <v>89301167</v>
      </c>
      <c r="E7923" t="str">
        <f t="shared" si="1430"/>
        <v>5854210813</v>
      </c>
      <c r="F7923" s="1">
        <v>45103</v>
      </c>
      <c r="G7923" t="str">
        <f>"81329"</f>
        <v>81329</v>
      </c>
      <c r="H7923">
        <v>1</v>
      </c>
      <c r="I7923">
        <v>17</v>
      </c>
      <c r="J7923">
        <v>0</v>
      </c>
      <c r="K7923" t="str">
        <f t="shared" si="1431"/>
        <v>801</v>
      </c>
      <c r="L7923">
        <v>14.28</v>
      </c>
    </row>
    <row r="7924" spans="1:12" x14ac:dyDescent="0.25">
      <c r="A7924" t="str">
        <f t="shared" si="1420"/>
        <v>89301000</v>
      </c>
      <c r="B7924" t="str">
        <f t="shared" si="1428"/>
        <v>78006000</v>
      </c>
      <c r="C7924" t="str">
        <f t="shared" si="1429"/>
        <v>78006201</v>
      </c>
      <c r="D7924">
        <v>89301167</v>
      </c>
      <c r="E7924" t="str">
        <f t="shared" si="1430"/>
        <v>5854210813</v>
      </c>
      <c r="F7924" s="1">
        <v>45103</v>
      </c>
      <c r="G7924" t="str">
        <f>"81383"</f>
        <v>81383</v>
      </c>
      <c r="H7924">
        <v>1</v>
      </c>
      <c r="I7924">
        <v>24</v>
      </c>
      <c r="J7924">
        <v>0</v>
      </c>
      <c r="K7924" t="str">
        <f t="shared" si="1431"/>
        <v>801</v>
      </c>
      <c r="L7924">
        <v>20.16</v>
      </c>
    </row>
    <row r="7925" spans="1:12" x14ac:dyDescent="0.25">
      <c r="A7925" t="str">
        <f t="shared" si="1420"/>
        <v>89301000</v>
      </c>
      <c r="B7925" t="str">
        <f t="shared" si="1428"/>
        <v>78006000</v>
      </c>
      <c r="C7925" t="str">
        <f t="shared" si="1429"/>
        <v>78006201</v>
      </c>
      <c r="D7925">
        <v>89301167</v>
      </c>
      <c r="E7925" t="str">
        <f t="shared" si="1430"/>
        <v>5854210813</v>
      </c>
      <c r="F7925" s="1">
        <v>45103</v>
      </c>
      <c r="G7925" t="str">
        <f>"81625"</f>
        <v>81625</v>
      </c>
      <c r="H7925">
        <v>1</v>
      </c>
      <c r="I7925">
        <v>21</v>
      </c>
      <c r="J7925">
        <v>0</v>
      </c>
      <c r="K7925" t="str">
        <f t="shared" si="1431"/>
        <v>801</v>
      </c>
      <c r="L7925">
        <v>17.64</v>
      </c>
    </row>
    <row r="7926" spans="1:12" x14ac:dyDescent="0.25">
      <c r="A7926" t="str">
        <f t="shared" si="1420"/>
        <v>89301000</v>
      </c>
      <c r="B7926" t="str">
        <f t="shared" si="1428"/>
        <v>78006000</v>
      </c>
      <c r="C7926" t="str">
        <f t="shared" si="1429"/>
        <v>78006201</v>
      </c>
      <c r="D7926">
        <v>89301167</v>
      </c>
      <c r="E7926" t="str">
        <f t="shared" si="1430"/>
        <v>5854210813</v>
      </c>
      <c r="F7926" s="1">
        <v>45103</v>
      </c>
      <c r="G7926" t="str">
        <f>"93189"</f>
        <v>93189</v>
      </c>
      <c r="H7926">
        <v>1</v>
      </c>
      <c r="I7926">
        <v>191</v>
      </c>
      <c r="J7926">
        <v>0</v>
      </c>
      <c r="K7926" t="str">
        <f t="shared" si="1431"/>
        <v>801</v>
      </c>
      <c r="L7926">
        <v>160.44</v>
      </c>
    </row>
    <row r="7927" spans="1:12" x14ac:dyDescent="0.25">
      <c r="A7927" t="str">
        <f t="shared" si="1420"/>
        <v>89301000</v>
      </c>
      <c r="B7927" t="str">
        <f t="shared" si="1428"/>
        <v>78006000</v>
      </c>
      <c r="C7927" t="str">
        <f t="shared" si="1429"/>
        <v>78006201</v>
      </c>
      <c r="D7927">
        <v>89301167</v>
      </c>
      <c r="E7927" t="str">
        <f t="shared" si="1430"/>
        <v>5854210813</v>
      </c>
      <c r="F7927" s="1">
        <v>45103</v>
      </c>
      <c r="G7927" t="str">
        <f>"93195"</f>
        <v>93195</v>
      </c>
      <c r="H7927">
        <v>1</v>
      </c>
      <c r="I7927">
        <v>183</v>
      </c>
      <c r="J7927">
        <v>0</v>
      </c>
      <c r="K7927" t="str">
        <f t="shared" si="1431"/>
        <v>801</v>
      </c>
      <c r="L7927">
        <v>153.72</v>
      </c>
    </row>
    <row r="7928" spans="1:12" x14ac:dyDescent="0.25">
      <c r="A7928" t="str">
        <f t="shared" si="1420"/>
        <v>89301000</v>
      </c>
      <c r="B7928" t="str">
        <f t="shared" si="1428"/>
        <v>78006000</v>
      </c>
      <c r="C7928" t="str">
        <f t="shared" si="1429"/>
        <v>78006201</v>
      </c>
      <c r="D7928">
        <v>89301167</v>
      </c>
      <c r="E7928" t="str">
        <f t="shared" si="1430"/>
        <v>5854210813</v>
      </c>
      <c r="F7928" s="1">
        <v>45103</v>
      </c>
      <c r="G7928" t="str">
        <f>"97111"</f>
        <v>97111</v>
      </c>
      <c r="H7928">
        <v>1</v>
      </c>
      <c r="I7928">
        <v>19</v>
      </c>
      <c r="J7928">
        <v>0</v>
      </c>
      <c r="K7928" t="str">
        <f t="shared" si="1431"/>
        <v>801</v>
      </c>
      <c r="L7928">
        <v>23.94</v>
      </c>
    </row>
    <row r="7929" spans="1:12" x14ac:dyDescent="0.25">
      <c r="A7929" t="str">
        <f t="shared" si="1420"/>
        <v>89301000</v>
      </c>
      <c r="B7929" t="str">
        <f t="shared" si="1428"/>
        <v>78006000</v>
      </c>
      <c r="C7929" t="str">
        <f t="shared" si="1429"/>
        <v>78006201</v>
      </c>
      <c r="D7929">
        <v>89301167</v>
      </c>
      <c r="E7929" t="str">
        <f t="shared" si="1430"/>
        <v>5854210813</v>
      </c>
      <c r="F7929" s="1">
        <v>45082</v>
      </c>
      <c r="G7929" t="str">
        <f>"81249"</f>
        <v>81249</v>
      </c>
      <c r="H7929">
        <v>1</v>
      </c>
      <c r="I7929">
        <v>334</v>
      </c>
      <c r="J7929">
        <v>0</v>
      </c>
      <c r="K7929" t="str">
        <f t="shared" si="1431"/>
        <v>801</v>
      </c>
      <c r="L7929">
        <v>280.56</v>
      </c>
    </row>
    <row r="7930" spans="1:12" x14ac:dyDescent="0.25">
      <c r="A7930" t="str">
        <f t="shared" si="1420"/>
        <v>89301000</v>
      </c>
      <c r="B7930" t="str">
        <f t="shared" si="1428"/>
        <v>78006000</v>
      </c>
      <c r="C7930" t="str">
        <f t="shared" si="1429"/>
        <v>78006201</v>
      </c>
      <c r="D7930">
        <v>89301167</v>
      </c>
      <c r="E7930" t="str">
        <f t="shared" si="1430"/>
        <v>5854210813</v>
      </c>
      <c r="F7930" s="1">
        <v>45082</v>
      </c>
      <c r="G7930" t="str">
        <f>"81329"</f>
        <v>81329</v>
      </c>
      <c r="H7930">
        <v>1</v>
      </c>
      <c r="I7930">
        <v>17</v>
      </c>
      <c r="J7930">
        <v>0</v>
      </c>
      <c r="K7930" t="str">
        <f t="shared" si="1431"/>
        <v>801</v>
      </c>
      <c r="L7930">
        <v>14.28</v>
      </c>
    </row>
    <row r="7931" spans="1:12" x14ac:dyDescent="0.25">
      <c r="A7931" t="str">
        <f t="shared" si="1420"/>
        <v>89301000</v>
      </c>
      <c r="B7931" t="str">
        <f t="shared" si="1428"/>
        <v>78006000</v>
      </c>
      <c r="C7931" t="str">
        <f t="shared" si="1429"/>
        <v>78006201</v>
      </c>
      <c r="D7931">
        <v>89301167</v>
      </c>
      <c r="E7931" t="str">
        <f t="shared" si="1430"/>
        <v>5854210813</v>
      </c>
      <c r="F7931" s="1">
        <v>45082</v>
      </c>
      <c r="G7931" t="str">
        <f>"81383"</f>
        <v>81383</v>
      </c>
      <c r="H7931">
        <v>1</v>
      </c>
      <c r="I7931">
        <v>24</v>
      </c>
      <c r="J7931">
        <v>0</v>
      </c>
      <c r="K7931" t="str">
        <f t="shared" si="1431"/>
        <v>801</v>
      </c>
      <c r="L7931">
        <v>20.16</v>
      </c>
    </row>
    <row r="7932" spans="1:12" x14ac:dyDescent="0.25">
      <c r="A7932" t="str">
        <f t="shared" si="1420"/>
        <v>89301000</v>
      </c>
      <c r="B7932" t="str">
        <f t="shared" si="1428"/>
        <v>78006000</v>
      </c>
      <c r="C7932" t="str">
        <f t="shared" si="1429"/>
        <v>78006201</v>
      </c>
      <c r="D7932">
        <v>89301167</v>
      </c>
      <c r="E7932" t="str">
        <f t="shared" si="1430"/>
        <v>5854210813</v>
      </c>
      <c r="F7932" s="1">
        <v>45082</v>
      </c>
      <c r="G7932" t="str">
        <f>"81625"</f>
        <v>81625</v>
      </c>
      <c r="H7932">
        <v>1</v>
      </c>
      <c r="I7932">
        <v>21</v>
      </c>
      <c r="J7932">
        <v>0</v>
      </c>
      <c r="K7932" t="str">
        <f t="shared" si="1431"/>
        <v>801</v>
      </c>
      <c r="L7932">
        <v>17.64</v>
      </c>
    </row>
    <row r="7933" spans="1:12" x14ac:dyDescent="0.25">
      <c r="A7933" t="str">
        <f t="shared" si="1420"/>
        <v>89301000</v>
      </c>
      <c r="B7933" t="str">
        <f t="shared" si="1428"/>
        <v>78006000</v>
      </c>
      <c r="C7933" t="str">
        <f t="shared" si="1429"/>
        <v>78006201</v>
      </c>
      <c r="D7933">
        <v>89301167</v>
      </c>
      <c r="E7933" t="str">
        <f t="shared" si="1430"/>
        <v>5854210813</v>
      </c>
      <c r="F7933" s="1">
        <v>45082</v>
      </c>
      <c r="G7933" t="str">
        <f>"93131"</f>
        <v>93131</v>
      </c>
      <c r="H7933">
        <v>1</v>
      </c>
      <c r="I7933">
        <v>197</v>
      </c>
      <c r="J7933">
        <v>0</v>
      </c>
      <c r="K7933" t="str">
        <f t="shared" si="1431"/>
        <v>801</v>
      </c>
      <c r="L7933">
        <v>165.48</v>
      </c>
    </row>
    <row r="7934" spans="1:12" x14ac:dyDescent="0.25">
      <c r="A7934" t="str">
        <f t="shared" si="1420"/>
        <v>89301000</v>
      </c>
      <c r="B7934" t="str">
        <f t="shared" si="1428"/>
        <v>78006000</v>
      </c>
      <c r="C7934" t="str">
        <f t="shared" si="1429"/>
        <v>78006201</v>
      </c>
      <c r="D7934">
        <v>89301167</v>
      </c>
      <c r="E7934" t="str">
        <f t="shared" si="1430"/>
        <v>5854210813</v>
      </c>
      <c r="F7934" s="1">
        <v>45082</v>
      </c>
      <c r="G7934" t="str">
        <f>"93189"</f>
        <v>93189</v>
      </c>
      <c r="H7934">
        <v>1</v>
      </c>
      <c r="I7934">
        <v>191</v>
      </c>
      <c r="J7934">
        <v>0</v>
      </c>
      <c r="K7934" t="str">
        <f t="shared" si="1431"/>
        <v>801</v>
      </c>
      <c r="L7934">
        <v>160.44</v>
      </c>
    </row>
    <row r="7935" spans="1:12" x14ac:dyDescent="0.25">
      <c r="A7935" t="str">
        <f t="shared" si="1420"/>
        <v>89301000</v>
      </c>
      <c r="B7935" t="str">
        <f t="shared" si="1428"/>
        <v>78006000</v>
      </c>
      <c r="C7935" t="str">
        <f t="shared" si="1429"/>
        <v>78006201</v>
      </c>
      <c r="D7935">
        <v>89301167</v>
      </c>
      <c r="E7935" t="str">
        <f t="shared" si="1430"/>
        <v>5854210813</v>
      </c>
      <c r="F7935" s="1">
        <v>45082</v>
      </c>
      <c r="G7935" t="str">
        <f>"93195"</f>
        <v>93195</v>
      </c>
      <c r="H7935">
        <v>1</v>
      </c>
      <c r="I7935">
        <v>183</v>
      </c>
      <c r="J7935">
        <v>0</v>
      </c>
      <c r="K7935" t="str">
        <f t="shared" si="1431"/>
        <v>801</v>
      </c>
      <c r="L7935">
        <v>153.72</v>
      </c>
    </row>
    <row r="7936" spans="1:12" x14ac:dyDescent="0.25">
      <c r="A7936" t="str">
        <f t="shared" si="1420"/>
        <v>89301000</v>
      </c>
      <c r="B7936" t="str">
        <f t="shared" si="1428"/>
        <v>78006000</v>
      </c>
      <c r="C7936" t="str">
        <f t="shared" si="1429"/>
        <v>78006201</v>
      </c>
      <c r="D7936">
        <v>89301167</v>
      </c>
      <c r="E7936" t="str">
        <f t="shared" si="1430"/>
        <v>5854210813</v>
      </c>
      <c r="F7936" s="1">
        <v>45082</v>
      </c>
      <c r="G7936" t="str">
        <f>"97111"</f>
        <v>97111</v>
      </c>
      <c r="H7936">
        <v>1</v>
      </c>
      <c r="I7936">
        <v>19</v>
      </c>
      <c r="J7936">
        <v>0</v>
      </c>
      <c r="K7936" t="str">
        <f t="shared" si="1431"/>
        <v>801</v>
      </c>
      <c r="L7936">
        <v>23.94</v>
      </c>
    </row>
    <row r="7937" spans="1:12" x14ac:dyDescent="0.25">
      <c r="A7937" t="str">
        <f t="shared" si="1420"/>
        <v>89301000</v>
      </c>
      <c r="B7937" t="str">
        <f t="shared" si="1428"/>
        <v>78006000</v>
      </c>
      <c r="C7937" t="str">
        <f t="shared" si="1429"/>
        <v>78006201</v>
      </c>
      <c r="D7937">
        <v>89301101</v>
      </c>
      <c r="E7937" t="str">
        <f>"1459270021"</f>
        <v>1459270021</v>
      </c>
      <c r="F7937" s="1">
        <v>45092</v>
      </c>
      <c r="G7937" t="str">
        <f>"81581"</f>
        <v>81581</v>
      </c>
      <c r="H7937">
        <v>1</v>
      </c>
      <c r="I7937">
        <v>37</v>
      </c>
      <c r="J7937">
        <v>0</v>
      </c>
      <c r="K7937" t="str">
        <f t="shared" si="1431"/>
        <v>801</v>
      </c>
      <c r="L7937">
        <v>31.08</v>
      </c>
    </row>
    <row r="7938" spans="1:12" x14ac:dyDescent="0.25">
      <c r="A7938" t="str">
        <f t="shared" ref="A7938:A8001" si="1432">"89301000"</f>
        <v>89301000</v>
      </c>
      <c r="B7938" t="str">
        <f t="shared" si="1428"/>
        <v>78006000</v>
      </c>
      <c r="C7938" t="str">
        <f t="shared" si="1429"/>
        <v>78006201</v>
      </c>
      <c r="D7938">
        <v>89301171</v>
      </c>
      <c r="E7938" t="str">
        <f>"8008165682"</f>
        <v>8008165682</v>
      </c>
      <c r="F7938" s="1">
        <v>45085</v>
      </c>
      <c r="G7938" t="str">
        <f t="shared" ref="G7938:G7943" si="1433">"81703"</f>
        <v>81703</v>
      </c>
      <c r="H7938">
        <v>2</v>
      </c>
      <c r="I7938">
        <v>556</v>
      </c>
      <c r="J7938">
        <v>0</v>
      </c>
      <c r="K7938" t="str">
        <f t="shared" si="1431"/>
        <v>801</v>
      </c>
      <c r="L7938">
        <v>467.04</v>
      </c>
    </row>
    <row r="7939" spans="1:12" x14ac:dyDescent="0.25">
      <c r="A7939" t="str">
        <f t="shared" si="1432"/>
        <v>89301000</v>
      </c>
      <c r="B7939" t="str">
        <f t="shared" si="1428"/>
        <v>78006000</v>
      </c>
      <c r="C7939" t="str">
        <f t="shared" si="1429"/>
        <v>78006201</v>
      </c>
      <c r="D7939">
        <v>89301171</v>
      </c>
      <c r="E7939" t="str">
        <f>"6611010868"</f>
        <v>6611010868</v>
      </c>
      <c r="F7939" s="1">
        <v>45082</v>
      </c>
      <c r="G7939" t="str">
        <f t="shared" si="1433"/>
        <v>81703</v>
      </c>
      <c r="H7939">
        <v>2</v>
      </c>
      <c r="I7939">
        <v>556</v>
      </c>
      <c r="J7939">
        <v>0</v>
      </c>
      <c r="K7939" t="str">
        <f t="shared" si="1431"/>
        <v>801</v>
      </c>
      <c r="L7939">
        <v>467.04</v>
      </c>
    </row>
    <row r="7940" spans="1:12" x14ac:dyDescent="0.25">
      <c r="A7940" t="str">
        <f t="shared" si="1432"/>
        <v>89301000</v>
      </c>
      <c r="B7940" t="str">
        <f t="shared" si="1428"/>
        <v>78006000</v>
      </c>
      <c r="C7940" t="str">
        <f t="shared" si="1429"/>
        <v>78006201</v>
      </c>
      <c r="D7940">
        <v>89301171</v>
      </c>
      <c r="E7940" t="str">
        <f>"6054272070"</f>
        <v>6054272070</v>
      </c>
      <c r="F7940" s="1">
        <v>45096</v>
      </c>
      <c r="G7940" t="str">
        <f t="shared" si="1433"/>
        <v>81703</v>
      </c>
      <c r="H7940">
        <v>2</v>
      </c>
      <c r="I7940">
        <v>556</v>
      </c>
      <c r="J7940">
        <v>0</v>
      </c>
      <c r="K7940" t="str">
        <f t="shared" si="1431"/>
        <v>801</v>
      </c>
      <c r="L7940">
        <v>467.04</v>
      </c>
    </row>
    <row r="7941" spans="1:12" x14ac:dyDescent="0.25">
      <c r="A7941" t="str">
        <f t="shared" si="1432"/>
        <v>89301000</v>
      </c>
      <c r="B7941" t="str">
        <f t="shared" si="1428"/>
        <v>78006000</v>
      </c>
      <c r="C7941" t="str">
        <f t="shared" si="1429"/>
        <v>78006201</v>
      </c>
      <c r="D7941">
        <v>89301171</v>
      </c>
      <c r="E7941" t="str">
        <f>"7502244497"</f>
        <v>7502244497</v>
      </c>
      <c r="F7941" s="1">
        <v>45085</v>
      </c>
      <c r="G7941" t="str">
        <f t="shared" si="1433"/>
        <v>81703</v>
      </c>
      <c r="H7941">
        <v>2</v>
      </c>
      <c r="I7941">
        <v>556</v>
      </c>
      <c r="J7941">
        <v>0</v>
      </c>
      <c r="K7941" t="str">
        <f t="shared" si="1431"/>
        <v>801</v>
      </c>
      <c r="L7941">
        <v>467.04</v>
      </c>
    </row>
    <row r="7942" spans="1:12" x14ac:dyDescent="0.25">
      <c r="A7942" t="str">
        <f t="shared" si="1432"/>
        <v>89301000</v>
      </c>
      <c r="B7942" t="str">
        <f t="shared" si="1428"/>
        <v>78006000</v>
      </c>
      <c r="C7942" t="str">
        <f t="shared" si="1429"/>
        <v>78006201</v>
      </c>
      <c r="D7942">
        <v>89301171</v>
      </c>
      <c r="E7942" t="str">
        <f>"9207085734"</f>
        <v>9207085734</v>
      </c>
      <c r="F7942" s="1">
        <v>45089</v>
      </c>
      <c r="G7942" t="str">
        <f t="shared" si="1433"/>
        <v>81703</v>
      </c>
      <c r="H7942">
        <v>2</v>
      </c>
      <c r="I7942">
        <v>556</v>
      </c>
      <c r="J7942">
        <v>0</v>
      </c>
      <c r="K7942" t="str">
        <f t="shared" si="1431"/>
        <v>801</v>
      </c>
      <c r="L7942">
        <v>467.04</v>
      </c>
    </row>
    <row r="7943" spans="1:12" x14ac:dyDescent="0.25">
      <c r="A7943" t="str">
        <f t="shared" si="1432"/>
        <v>89301000</v>
      </c>
      <c r="B7943" t="str">
        <f t="shared" si="1428"/>
        <v>78006000</v>
      </c>
      <c r="C7943" t="str">
        <f t="shared" si="1429"/>
        <v>78006201</v>
      </c>
      <c r="D7943">
        <v>89301171</v>
      </c>
      <c r="E7943" t="str">
        <f>"8953076154"</f>
        <v>8953076154</v>
      </c>
      <c r="F7943" s="1">
        <v>45082</v>
      </c>
      <c r="G7943" t="str">
        <f t="shared" si="1433"/>
        <v>81703</v>
      </c>
      <c r="H7943">
        <v>2</v>
      </c>
      <c r="I7943">
        <v>556</v>
      </c>
      <c r="J7943">
        <v>0</v>
      </c>
      <c r="K7943" t="str">
        <f t="shared" si="1431"/>
        <v>801</v>
      </c>
      <c r="L7943">
        <v>467.04</v>
      </c>
    </row>
    <row r="7944" spans="1:12" x14ac:dyDescent="0.25">
      <c r="A7944" t="str">
        <f t="shared" si="1432"/>
        <v>89301000</v>
      </c>
      <c r="B7944" t="str">
        <f t="shared" si="1428"/>
        <v>78006000</v>
      </c>
      <c r="C7944" t="str">
        <f t="shared" si="1429"/>
        <v>78006201</v>
      </c>
      <c r="D7944">
        <v>89301082</v>
      </c>
      <c r="E7944" t="str">
        <f>"8660165822"</f>
        <v>8660165822</v>
      </c>
      <c r="F7944" s="1">
        <v>45084</v>
      </c>
      <c r="G7944" t="str">
        <f>"81707"</f>
        <v>81707</v>
      </c>
      <c r="H7944">
        <v>1</v>
      </c>
      <c r="I7944">
        <v>394</v>
      </c>
      <c r="J7944">
        <v>0</v>
      </c>
      <c r="K7944" t="str">
        <f t="shared" si="1431"/>
        <v>801</v>
      </c>
      <c r="L7944">
        <v>330.96</v>
      </c>
    </row>
    <row r="7945" spans="1:12" x14ac:dyDescent="0.25">
      <c r="A7945" t="str">
        <f t="shared" si="1432"/>
        <v>89301000</v>
      </c>
      <c r="B7945" t="str">
        <f t="shared" si="1428"/>
        <v>78006000</v>
      </c>
      <c r="C7945" t="str">
        <f t="shared" si="1429"/>
        <v>78006201</v>
      </c>
      <c r="D7945">
        <v>89301167</v>
      </c>
      <c r="E7945" t="str">
        <f t="shared" ref="E7945:E7968" si="1434">"5854210813"</f>
        <v>5854210813</v>
      </c>
      <c r="F7945" s="1">
        <v>45103</v>
      </c>
      <c r="G7945" t="str">
        <f>"81337"</f>
        <v>81337</v>
      </c>
      <c r="H7945">
        <v>1</v>
      </c>
      <c r="I7945">
        <v>20</v>
      </c>
      <c r="J7945">
        <v>0</v>
      </c>
      <c r="K7945" t="str">
        <f t="shared" si="1431"/>
        <v>801</v>
      </c>
      <c r="L7945">
        <v>16.8</v>
      </c>
    </row>
    <row r="7946" spans="1:12" x14ac:dyDescent="0.25">
      <c r="A7946" t="str">
        <f t="shared" si="1432"/>
        <v>89301000</v>
      </c>
      <c r="B7946" t="str">
        <f t="shared" si="1428"/>
        <v>78006000</v>
      </c>
      <c r="C7946" t="str">
        <f t="shared" si="1429"/>
        <v>78006201</v>
      </c>
      <c r="D7946">
        <v>89301167</v>
      </c>
      <c r="E7946" t="str">
        <f t="shared" si="1434"/>
        <v>5854210813</v>
      </c>
      <c r="F7946" s="1">
        <v>45103</v>
      </c>
      <c r="G7946" t="str">
        <f>"81357"</f>
        <v>81357</v>
      </c>
      <c r="H7946">
        <v>1</v>
      </c>
      <c r="I7946">
        <v>20</v>
      </c>
      <c r="J7946">
        <v>0</v>
      </c>
      <c r="K7946" t="str">
        <f t="shared" si="1431"/>
        <v>801</v>
      </c>
      <c r="L7946">
        <v>16.8</v>
      </c>
    </row>
    <row r="7947" spans="1:12" x14ac:dyDescent="0.25">
      <c r="A7947" t="str">
        <f t="shared" si="1432"/>
        <v>89301000</v>
      </c>
      <c r="B7947" t="str">
        <f t="shared" ref="B7947:B7968" si="1435">"78006000"</f>
        <v>78006000</v>
      </c>
      <c r="C7947" t="str">
        <f t="shared" si="1429"/>
        <v>78006201</v>
      </c>
      <c r="D7947">
        <v>89301167</v>
      </c>
      <c r="E7947" t="str">
        <f t="shared" si="1434"/>
        <v>5854210813</v>
      </c>
      <c r="F7947" s="1">
        <v>45103</v>
      </c>
      <c r="G7947" t="str">
        <f>"81361"</f>
        <v>81361</v>
      </c>
      <c r="H7947">
        <v>1</v>
      </c>
      <c r="I7947">
        <v>17</v>
      </c>
      <c r="J7947">
        <v>0</v>
      </c>
      <c r="K7947" t="str">
        <f t="shared" si="1431"/>
        <v>801</v>
      </c>
      <c r="L7947">
        <v>14.28</v>
      </c>
    </row>
    <row r="7948" spans="1:12" x14ac:dyDescent="0.25">
      <c r="A7948" t="str">
        <f t="shared" si="1432"/>
        <v>89301000</v>
      </c>
      <c r="B7948" t="str">
        <f t="shared" si="1435"/>
        <v>78006000</v>
      </c>
      <c r="C7948" t="str">
        <f t="shared" si="1429"/>
        <v>78006201</v>
      </c>
      <c r="D7948">
        <v>89301167</v>
      </c>
      <c r="E7948" t="str">
        <f t="shared" si="1434"/>
        <v>5854210813</v>
      </c>
      <c r="F7948" s="1">
        <v>45103</v>
      </c>
      <c r="G7948" t="str">
        <f>"81393"</f>
        <v>81393</v>
      </c>
      <c r="H7948">
        <v>1</v>
      </c>
      <c r="I7948">
        <v>24</v>
      </c>
      <c r="J7948">
        <v>0</v>
      </c>
      <c r="K7948" t="str">
        <f t="shared" si="1431"/>
        <v>801</v>
      </c>
      <c r="L7948">
        <v>20.16</v>
      </c>
    </row>
    <row r="7949" spans="1:12" x14ac:dyDescent="0.25">
      <c r="A7949" t="str">
        <f t="shared" si="1432"/>
        <v>89301000</v>
      </c>
      <c r="B7949" t="str">
        <f t="shared" si="1435"/>
        <v>78006000</v>
      </c>
      <c r="C7949" t="str">
        <f t="shared" si="1429"/>
        <v>78006201</v>
      </c>
      <c r="D7949">
        <v>89301167</v>
      </c>
      <c r="E7949" t="str">
        <f t="shared" si="1434"/>
        <v>5854210813</v>
      </c>
      <c r="F7949" s="1">
        <v>45103</v>
      </c>
      <c r="G7949" t="str">
        <f>"81421"</f>
        <v>81421</v>
      </c>
      <c r="H7949">
        <v>1</v>
      </c>
      <c r="I7949">
        <v>19</v>
      </c>
      <c r="J7949">
        <v>0</v>
      </c>
      <c r="K7949" t="str">
        <f t="shared" si="1431"/>
        <v>801</v>
      </c>
      <c r="L7949">
        <v>15.96</v>
      </c>
    </row>
    <row r="7950" spans="1:12" x14ac:dyDescent="0.25">
      <c r="A7950" t="str">
        <f t="shared" si="1432"/>
        <v>89301000</v>
      </c>
      <c r="B7950" t="str">
        <f t="shared" si="1435"/>
        <v>78006000</v>
      </c>
      <c r="C7950" t="str">
        <f t="shared" si="1429"/>
        <v>78006201</v>
      </c>
      <c r="D7950">
        <v>89301167</v>
      </c>
      <c r="E7950" t="str">
        <f t="shared" si="1434"/>
        <v>5854210813</v>
      </c>
      <c r="F7950" s="1">
        <v>45103</v>
      </c>
      <c r="G7950" t="str">
        <f>"81435"</f>
        <v>81435</v>
      </c>
      <c r="H7950">
        <v>1</v>
      </c>
      <c r="I7950">
        <v>22</v>
      </c>
      <c r="J7950">
        <v>0</v>
      </c>
      <c r="K7950" t="str">
        <f t="shared" si="1431"/>
        <v>801</v>
      </c>
      <c r="L7950">
        <v>18.48</v>
      </c>
    </row>
    <row r="7951" spans="1:12" x14ac:dyDescent="0.25">
      <c r="A7951" t="str">
        <f t="shared" si="1432"/>
        <v>89301000</v>
      </c>
      <c r="B7951" t="str">
        <f t="shared" si="1435"/>
        <v>78006000</v>
      </c>
      <c r="C7951" t="str">
        <f t="shared" si="1429"/>
        <v>78006201</v>
      </c>
      <c r="D7951">
        <v>89301167</v>
      </c>
      <c r="E7951" t="str">
        <f t="shared" si="1434"/>
        <v>5854210813</v>
      </c>
      <c r="F7951" s="1">
        <v>45103</v>
      </c>
      <c r="G7951" t="str">
        <f>"81439"</f>
        <v>81439</v>
      </c>
      <c r="H7951">
        <v>1</v>
      </c>
      <c r="I7951">
        <v>16</v>
      </c>
      <c r="J7951">
        <v>0</v>
      </c>
      <c r="K7951" t="str">
        <f t="shared" si="1431"/>
        <v>801</v>
      </c>
      <c r="L7951">
        <v>13.44</v>
      </c>
    </row>
    <row r="7952" spans="1:12" x14ac:dyDescent="0.25">
      <c r="A7952" t="str">
        <f t="shared" si="1432"/>
        <v>89301000</v>
      </c>
      <c r="B7952" t="str">
        <f t="shared" si="1435"/>
        <v>78006000</v>
      </c>
      <c r="C7952" t="str">
        <f t="shared" si="1429"/>
        <v>78006201</v>
      </c>
      <c r="D7952">
        <v>89301167</v>
      </c>
      <c r="E7952" t="str">
        <f t="shared" si="1434"/>
        <v>5854210813</v>
      </c>
      <c r="F7952" s="1">
        <v>45103</v>
      </c>
      <c r="G7952" t="str">
        <f>"81469"</f>
        <v>81469</v>
      </c>
      <c r="H7952">
        <v>1</v>
      </c>
      <c r="I7952">
        <v>16</v>
      </c>
      <c r="J7952">
        <v>0</v>
      </c>
      <c r="K7952" t="str">
        <f t="shared" si="1431"/>
        <v>801</v>
      </c>
      <c r="L7952">
        <v>13.44</v>
      </c>
    </row>
    <row r="7953" spans="1:12" x14ac:dyDescent="0.25">
      <c r="A7953" t="str">
        <f t="shared" si="1432"/>
        <v>89301000</v>
      </c>
      <c r="B7953" t="str">
        <f t="shared" si="1435"/>
        <v>78006000</v>
      </c>
      <c r="C7953" t="str">
        <f t="shared" si="1429"/>
        <v>78006201</v>
      </c>
      <c r="D7953">
        <v>89301167</v>
      </c>
      <c r="E7953" t="str">
        <f t="shared" si="1434"/>
        <v>5854210813</v>
      </c>
      <c r="F7953" s="1">
        <v>45103</v>
      </c>
      <c r="G7953" t="str">
        <f>"81499"</f>
        <v>81499</v>
      </c>
      <c r="H7953">
        <v>1</v>
      </c>
      <c r="I7953">
        <v>18</v>
      </c>
      <c r="J7953">
        <v>0</v>
      </c>
      <c r="K7953" t="str">
        <f t="shared" si="1431"/>
        <v>801</v>
      </c>
      <c r="L7953">
        <v>15.12</v>
      </c>
    </row>
    <row r="7954" spans="1:12" x14ac:dyDescent="0.25">
      <c r="A7954" t="str">
        <f t="shared" si="1432"/>
        <v>89301000</v>
      </c>
      <c r="B7954" t="str">
        <f t="shared" si="1435"/>
        <v>78006000</v>
      </c>
      <c r="C7954" t="str">
        <f t="shared" si="1429"/>
        <v>78006201</v>
      </c>
      <c r="D7954">
        <v>89301167</v>
      </c>
      <c r="E7954" t="str">
        <f t="shared" si="1434"/>
        <v>5854210813</v>
      </c>
      <c r="F7954" s="1">
        <v>45103</v>
      </c>
      <c r="G7954" t="str">
        <f>"81523"</f>
        <v>81523</v>
      </c>
      <c r="H7954">
        <v>1</v>
      </c>
      <c r="I7954">
        <v>23</v>
      </c>
      <c r="J7954">
        <v>0</v>
      </c>
      <c r="K7954" t="str">
        <f t="shared" si="1431"/>
        <v>801</v>
      </c>
      <c r="L7954">
        <v>19.32</v>
      </c>
    </row>
    <row r="7955" spans="1:12" x14ac:dyDescent="0.25">
      <c r="A7955" t="str">
        <f t="shared" si="1432"/>
        <v>89301000</v>
      </c>
      <c r="B7955" t="str">
        <f t="shared" si="1435"/>
        <v>78006000</v>
      </c>
      <c r="C7955" t="str">
        <f t="shared" si="1429"/>
        <v>78006201</v>
      </c>
      <c r="D7955">
        <v>89301167</v>
      </c>
      <c r="E7955" t="str">
        <f t="shared" si="1434"/>
        <v>5854210813</v>
      </c>
      <c r="F7955" s="1">
        <v>45103</v>
      </c>
      <c r="G7955" t="str">
        <f>"81593"</f>
        <v>81593</v>
      </c>
      <c r="H7955">
        <v>1</v>
      </c>
      <c r="I7955">
        <v>22</v>
      </c>
      <c r="J7955">
        <v>0</v>
      </c>
      <c r="K7955" t="str">
        <f t="shared" si="1431"/>
        <v>801</v>
      </c>
      <c r="L7955">
        <v>18.48</v>
      </c>
    </row>
    <row r="7956" spans="1:12" x14ac:dyDescent="0.25">
      <c r="A7956" t="str">
        <f t="shared" si="1432"/>
        <v>89301000</v>
      </c>
      <c r="B7956" t="str">
        <f t="shared" si="1435"/>
        <v>78006000</v>
      </c>
      <c r="C7956" t="str">
        <f t="shared" si="1429"/>
        <v>78006201</v>
      </c>
      <c r="D7956">
        <v>89301167</v>
      </c>
      <c r="E7956" t="str">
        <f t="shared" si="1434"/>
        <v>5854210813</v>
      </c>
      <c r="F7956" s="1">
        <v>45103</v>
      </c>
      <c r="G7956" t="str">
        <f>"81621"</f>
        <v>81621</v>
      </c>
      <c r="H7956">
        <v>1</v>
      </c>
      <c r="I7956">
        <v>19</v>
      </c>
      <c r="J7956">
        <v>0</v>
      </c>
      <c r="K7956" t="str">
        <f t="shared" si="1431"/>
        <v>801</v>
      </c>
      <c r="L7956">
        <v>15.96</v>
      </c>
    </row>
    <row r="7957" spans="1:12" x14ac:dyDescent="0.25">
      <c r="A7957" t="str">
        <f t="shared" si="1432"/>
        <v>89301000</v>
      </c>
      <c r="B7957" t="str">
        <f t="shared" si="1435"/>
        <v>78006000</v>
      </c>
      <c r="C7957" t="str">
        <f t="shared" si="1429"/>
        <v>78006201</v>
      </c>
      <c r="D7957">
        <v>89301167</v>
      </c>
      <c r="E7957" t="str">
        <f t="shared" si="1434"/>
        <v>5854210813</v>
      </c>
      <c r="F7957" s="1">
        <v>45082</v>
      </c>
      <c r="G7957" t="str">
        <f>"81337"</f>
        <v>81337</v>
      </c>
      <c r="H7957">
        <v>1</v>
      </c>
      <c r="I7957">
        <v>20</v>
      </c>
      <c r="J7957">
        <v>0</v>
      </c>
      <c r="K7957" t="str">
        <f t="shared" si="1431"/>
        <v>801</v>
      </c>
      <c r="L7957">
        <v>16.8</v>
      </c>
    </row>
    <row r="7958" spans="1:12" x14ac:dyDescent="0.25">
      <c r="A7958" t="str">
        <f t="shared" si="1432"/>
        <v>89301000</v>
      </c>
      <c r="B7958" t="str">
        <f t="shared" si="1435"/>
        <v>78006000</v>
      </c>
      <c r="C7958" t="str">
        <f t="shared" si="1429"/>
        <v>78006201</v>
      </c>
      <c r="D7958">
        <v>89301167</v>
      </c>
      <c r="E7958" t="str">
        <f t="shared" si="1434"/>
        <v>5854210813</v>
      </c>
      <c r="F7958" s="1">
        <v>45082</v>
      </c>
      <c r="G7958" t="str">
        <f>"81357"</f>
        <v>81357</v>
      </c>
      <c r="H7958">
        <v>1</v>
      </c>
      <c r="I7958">
        <v>20</v>
      </c>
      <c r="J7958">
        <v>0</v>
      </c>
      <c r="K7958" t="str">
        <f t="shared" si="1431"/>
        <v>801</v>
      </c>
      <c r="L7958">
        <v>16.8</v>
      </c>
    </row>
    <row r="7959" spans="1:12" x14ac:dyDescent="0.25">
      <c r="A7959" t="str">
        <f t="shared" si="1432"/>
        <v>89301000</v>
      </c>
      <c r="B7959" t="str">
        <f t="shared" si="1435"/>
        <v>78006000</v>
      </c>
      <c r="C7959" t="str">
        <f t="shared" si="1429"/>
        <v>78006201</v>
      </c>
      <c r="D7959">
        <v>89301167</v>
      </c>
      <c r="E7959" t="str">
        <f t="shared" si="1434"/>
        <v>5854210813</v>
      </c>
      <c r="F7959" s="1">
        <v>45082</v>
      </c>
      <c r="G7959" t="str">
        <f>"81361"</f>
        <v>81361</v>
      </c>
      <c r="H7959">
        <v>1</v>
      </c>
      <c r="I7959">
        <v>17</v>
      </c>
      <c r="J7959">
        <v>0</v>
      </c>
      <c r="K7959" t="str">
        <f t="shared" si="1431"/>
        <v>801</v>
      </c>
      <c r="L7959">
        <v>14.28</v>
      </c>
    </row>
    <row r="7960" spans="1:12" x14ac:dyDescent="0.25">
      <c r="A7960" t="str">
        <f t="shared" si="1432"/>
        <v>89301000</v>
      </c>
      <c r="B7960" t="str">
        <f t="shared" si="1435"/>
        <v>78006000</v>
      </c>
      <c r="C7960" t="str">
        <f t="shared" si="1429"/>
        <v>78006201</v>
      </c>
      <c r="D7960">
        <v>89301167</v>
      </c>
      <c r="E7960" t="str">
        <f t="shared" si="1434"/>
        <v>5854210813</v>
      </c>
      <c r="F7960" s="1">
        <v>45082</v>
      </c>
      <c r="G7960" t="str">
        <f>"81365"</f>
        <v>81365</v>
      </c>
      <c r="H7960">
        <v>1</v>
      </c>
      <c r="I7960">
        <v>16</v>
      </c>
      <c r="J7960">
        <v>0</v>
      </c>
      <c r="K7960" t="str">
        <f t="shared" si="1431"/>
        <v>801</v>
      </c>
      <c r="L7960">
        <v>13.44</v>
      </c>
    </row>
    <row r="7961" spans="1:12" x14ac:dyDescent="0.25">
      <c r="A7961" t="str">
        <f t="shared" si="1432"/>
        <v>89301000</v>
      </c>
      <c r="B7961" t="str">
        <f t="shared" si="1435"/>
        <v>78006000</v>
      </c>
      <c r="C7961" t="str">
        <f t="shared" si="1429"/>
        <v>78006201</v>
      </c>
      <c r="D7961">
        <v>89301167</v>
      </c>
      <c r="E7961" t="str">
        <f t="shared" si="1434"/>
        <v>5854210813</v>
      </c>
      <c r="F7961" s="1">
        <v>45082</v>
      </c>
      <c r="G7961" t="str">
        <f>"81393"</f>
        <v>81393</v>
      </c>
      <c r="H7961">
        <v>1</v>
      </c>
      <c r="I7961">
        <v>24</v>
      </c>
      <c r="J7961">
        <v>0</v>
      </c>
      <c r="K7961" t="str">
        <f t="shared" si="1431"/>
        <v>801</v>
      </c>
      <c r="L7961">
        <v>20.16</v>
      </c>
    </row>
    <row r="7962" spans="1:12" x14ac:dyDescent="0.25">
      <c r="A7962" t="str">
        <f t="shared" si="1432"/>
        <v>89301000</v>
      </c>
      <c r="B7962" t="str">
        <f t="shared" si="1435"/>
        <v>78006000</v>
      </c>
      <c r="C7962" t="str">
        <f t="shared" si="1429"/>
        <v>78006201</v>
      </c>
      <c r="D7962">
        <v>89301167</v>
      </c>
      <c r="E7962" t="str">
        <f t="shared" si="1434"/>
        <v>5854210813</v>
      </c>
      <c r="F7962" s="1">
        <v>45082</v>
      </c>
      <c r="G7962" t="str">
        <f>"81421"</f>
        <v>81421</v>
      </c>
      <c r="H7962">
        <v>1</v>
      </c>
      <c r="I7962">
        <v>19</v>
      </c>
      <c r="J7962">
        <v>0</v>
      </c>
      <c r="K7962" t="str">
        <f t="shared" si="1431"/>
        <v>801</v>
      </c>
      <c r="L7962">
        <v>15.96</v>
      </c>
    </row>
    <row r="7963" spans="1:12" x14ac:dyDescent="0.25">
      <c r="A7963" t="str">
        <f t="shared" si="1432"/>
        <v>89301000</v>
      </c>
      <c r="B7963" t="str">
        <f t="shared" si="1435"/>
        <v>78006000</v>
      </c>
      <c r="C7963" t="str">
        <f t="shared" si="1429"/>
        <v>78006201</v>
      </c>
      <c r="D7963">
        <v>89301167</v>
      </c>
      <c r="E7963" t="str">
        <f t="shared" si="1434"/>
        <v>5854210813</v>
      </c>
      <c r="F7963" s="1">
        <v>45082</v>
      </c>
      <c r="G7963" t="str">
        <f>"81435"</f>
        <v>81435</v>
      </c>
      <c r="H7963">
        <v>1</v>
      </c>
      <c r="I7963">
        <v>22</v>
      </c>
      <c r="J7963">
        <v>0</v>
      </c>
      <c r="K7963" t="str">
        <f t="shared" si="1431"/>
        <v>801</v>
      </c>
      <c r="L7963">
        <v>18.48</v>
      </c>
    </row>
    <row r="7964" spans="1:12" x14ac:dyDescent="0.25">
      <c r="A7964" t="str">
        <f t="shared" si="1432"/>
        <v>89301000</v>
      </c>
      <c r="B7964" t="str">
        <f t="shared" si="1435"/>
        <v>78006000</v>
      </c>
      <c r="C7964" t="str">
        <f t="shared" si="1429"/>
        <v>78006201</v>
      </c>
      <c r="D7964">
        <v>89301167</v>
      </c>
      <c r="E7964" t="str">
        <f t="shared" si="1434"/>
        <v>5854210813</v>
      </c>
      <c r="F7964" s="1">
        <v>45082</v>
      </c>
      <c r="G7964" t="str">
        <f>"81439"</f>
        <v>81439</v>
      </c>
      <c r="H7964">
        <v>1</v>
      </c>
      <c r="I7964">
        <v>16</v>
      </c>
      <c r="J7964">
        <v>0</v>
      </c>
      <c r="K7964" t="str">
        <f t="shared" si="1431"/>
        <v>801</v>
      </c>
      <c r="L7964">
        <v>13.44</v>
      </c>
    </row>
    <row r="7965" spans="1:12" x14ac:dyDescent="0.25">
      <c r="A7965" t="str">
        <f t="shared" si="1432"/>
        <v>89301000</v>
      </c>
      <c r="B7965" t="str">
        <f t="shared" si="1435"/>
        <v>78006000</v>
      </c>
      <c r="C7965" t="str">
        <f t="shared" si="1429"/>
        <v>78006201</v>
      </c>
      <c r="D7965">
        <v>89301167</v>
      </c>
      <c r="E7965" t="str">
        <f t="shared" si="1434"/>
        <v>5854210813</v>
      </c>
      <c r="F7965" s="1">
        <v>45082</v>
      </c>
      <c r="G7965" t="str">
        <f>"81469"</f>
        <v>81469</v>
      </c>
      <c r="H7965">
        <v>1</v>
      </c>
      <c r="I7965">
        <v>16</v>
      </c>
      <c r="J7965">
        <v>0</v>
      </c>
      <c r="K7965" t="str">
        <f t="shared" si="1431"/>
        <v>801</v>
      </c>
      <c r="L7965">
        <v>13.44</v>
      </c>
    </row>
    <row r="7966" spans="1:12" x14ac:dyDescent="0.25">
      <c r="A7966" t="str">
        <f t="shared" si="1432"/>
        <v>89301000</v>
      </c>
      <c r="B7966" t="str">
        <f t="shared" si="1435"/>
        <v>78006000</v>
      </c>
      <c r="C7966" t="str">
        <f t="shared" si="1429"/>
        <v>78006201</v>
      </c>
      <c r="D7966">
        <v>89301167</v>
      </c>
      <c r="E7966" t="str">
        <f t="shared" si="1434"/>
        <v>5854210813</v>
      </c>
      <c r="F7966" s="1">
        <v>45082</v>
      </c>
      <c r="G7966" t="str">
        <f>"81499"</f>
        <v>81499</v>
      </c>
      <c r="H7966">
        <v>1</v>
      </c>
      <c r="I7966">
        <v>18</v>
      </c>
      <c r="J7966">
        <v>0</v>
      </c>
      <c r="K7966" t="str">
        <f t="shared" si="1431"/>
        <v>801</v>
      </c>
      <c r="L7966">
        <v>15.12</v>
      </c>
    </row>
    <row r="7967" spans="1:12" x14ac:dyDescent="0.25">
      <c r="A7967" t="str">
        <f t="shared" si="1432"/>
        <v>89301000</v>
      </c>
      <c r="B7967" t="str">
        <f t="shared" si="1435"/>
        <v>78006000</v>
      </c>
      <c r="C7967" t="str">
        <f t="shared" si="1429"/>
        <v>78006201</v>
      </c>
      <c r="D7967">
        <v>89301167</v>
      </c>
      <c r="E7967" t="str">
        <f t="shared" si="1434"/>
        <v>5854210813</v>
      </c>
      <c r="F7967" s="1">
        <v>45082</v>
      </c>
      <c r="G7967" t="str">
        <f>"81593"</f>
        <v>81593</v>
      </c>
      <c r="H7967">
        <v>1</v>
      </c>
      <c r="I7967">
        <v>22</v>
      </c>
      <c r="J7967">
        <v>0</v>
      </c>
      <c r="K7967" t="str">
        <f t="shared" si="1431"/>
        <v>801</v>
      </c>
      <c r="L7967">
        <v>18.48</v>
      </c>
    </row>
    <row r="7968" spans="1:12" x14ac:dyDescent="0.25">
      <c r="A7968" t="str">
        <f t="shared" si="1432"/>
        <v>89301000</v>
      </c>
      <c r="B7968" t="str">
        <f t="shared" si="1435"/>
        <v>78006000</v>
      </c>
      <c r="C7968" t="str">
        <f t="shared" si="1429"/>
        <v>78006201</v>
      </c>
      <c r="D7968">
        <v>89301167</v>
      </c>
      <c r="E7968" t="str">
        <f t="shared" si="1434"/>
        <v>5854210813</v>
      </c>
      <c r="F7968" s="1">
        <v>45082</v>
      </c>
      <c r="G7968" t="str">
        <f>"81621"</f>
        <v>81621</v>
      </c>
      <c r="H7968">
        <v>1</v>
      </c>
      <c r="I7968">
        <v>19</v>
      </c>
      <c r="J7968">
        <v>0</v>
      </c>
      <c r="K7968" t="str">
        <f t="shared" si="1431"/>
        <v>801</v>
      </c>
      <c r="L7968">
        <v>15.96</v>
      </c>
    </row>
    <row r="7969" spans="1:12" x14ac:dyDescent="0.25">
      <c r="A7969" t="str">
        <f t="shared" si="1432"/>
        <v>89301000</v>
      </c>
      <c r="B7969" t="str">
        <f>"80001000"</f>
        <v>80001000</v>
      </c>
      <c r="C7969" t="str">
        <f>"80001985"</f>
        <v>80001985</v>
      </c>
      <c r="D7969">
        <v>89301172</v>
      </c>
      <c r="E7969" t="str">
        <f>"9153055032"</f>
        <v>9153055032</v>
      </c>
      <c r="F7969" s="1">
        <v>45082</v>
      </c>
      <c r="G7969" t="str">
        <f>"89713"</f>
        <v>89713</v>
      </c>
      <c r="H7969">
        <v>2</v>
      </c>
      <c r="I7969">
        <v>10822</v>
      </c>
      <c r="J7969">
        <v>0</v>
      </c>
      <c r="K7969" t="str">
        <f>"809"</f>
        <v>809</v>
      </c>
      <c r="L7969">
        <v>7034.3</v>
      </c>
    </row>
    <row r="7970" spans="1:12" x14ac:dyDescent="0.25">
      <c r="A7970" t="str">
        <f t="shared" si="1432"/>
        <v>89301000</v>
      </c>
      <c r="B7970" t="str">
        <f>"80001000"</f>
        <v>80001000</v>
      </c>
      <c r="C7970" t="str">
        <f>"80001985"</f>
        <v>80001985</v>
      </c>
      <c r="D7970">
        <v>89301172</v>
      </c>
      <c r="E7970" t="str">
        <f>"9153055032"</f>
        <v>9153055032</v>
      </c>
      <c r="F7970" s="1">
        <v>45082</v>
      </c>
      <c r="G7970" t="str">
        <f>"89725"</f>
        <v>89725</v>
      </c>
      <c r="H7970">
        <v>1</v>
      </c>
      <c r="I7970">
        <v>2863</v>
      </c>
      <c r="J7970">
        <v>0</v>
      </c>
      <c r="K7970" t="str">
        <f>"809"</f>
        <v>809</v>
      </c>
      <c r="L7970">
        <v>1860.95</v>
      </c>
    </row>
    <row r="7971" spans="1:12" x14ac:dyDescent="0.25">
      <c r="A7971" t="str">
        <f t="shared" si="1432"/>
        <v>89301000</v>
      </c>
      <c r="B7971" t="str">
        <f>"80001000"</f>
        <v>80001000</v>
      </c>
      <c r="C7971" t="str">
        <f>"80001985"</f>
        <v>80001985</v>
      </c>
      <c r="D7971">
        <v>89301172</v>
      </c>
      <c r="E7971" t="str">
        <f>"9153055032"</f>
        <v>9153055032</v>
      </c>
      <c r="F7971" s="1">
        <v>45082</v>
      </c>
      <c r="G7971" t="str">
        <f>"0054256"</f>
        <v>0054256</v>
      </c>
      <c r="H7971">
        <v>0.4</v>
      </c>
      <c r="J7971">
        <v>1677.17</v>
      </c>
      <c r="K7971" t="str">
        <f>"809"</f>
        <v>809</v>
      </c>
      <c r="L7971">
        <v>1677.17</v>
      </c>
    </row>
    <row r="7972" spans="1:12" x14ac:dyDescent="0.25">
      <c r="A7972" t="str">
        <f t="shared" si="1432"/>
        <v>89301000</v>
      </c>
      <c r="B7972" t="str">
        <f>"61004000"</f>
        <v>61004000</v>
      </c>
      <c r="C7972" t="str">
        <f>"61004709"</f>
        <v>61004709</v>
      </c>
      <c r="D7972">
        <v>89301212</v>
      </c>
      <c r="E7972" t="str">
        <f>"9703106160"</f>
        <v>9703106160</v>
      </c>
      <c r="F7972" s="1">
        <v>45091</v>
      </c>
      <c r="G7972" t="str">
        <f>"09241"</f>
        <v>09241</v>
      </c>
      <c r="H7972">
        <v>1</v>
      </c>
      <c r="I7972">
        <v>118</v>
      </c>
      <c r="J7972">
        <v>0</v>
      </c>
      <c r="K7972" t="str">
        <f>"809"</f>
        <v>809</v>
      </c>
      <c r="L7972">
        <v>173.46</v>
      </c>
    </row>
    <row r="7973" spans="1:12" x14ac:dyDescent="0.25">
      <c r="A7973" t="str">
        <f t="shared" si="1432"/>
        <v>89301000</v>
      </c>
      <c r="B7973" t="str">
        <f>"05002000"</f>
        <v>05002000</v>
      </c>
      <c r="C7973" t="str">
        <f>"05002141"</f>
        <v>05002141</v>
      </c>
      <c r="D7973">
        <v>89301282</v>
      </c>
      <c r="E7973" t="str">
        <f>"435801451"</f>
        <v>435801451</v>
      </c>
      <c r="F7973" s="1">
        <v>45086</v>
      </c>
      <c r="G7973" t="str">
        <f>"94331"</f>
        <v>94331</v>
      </c>
      <c r="H7973">
        <v>1</v>
      </c>
      <c r="I7973">
        <v>7866</v>
      </c>
      <c r="J7973">
        <v>0</v>
      </c>
      <c r="K7973" t="str">
        <f>"816"</f>
        <v>816</v>
      </c>
      <c r="L7973">
        <v>7079.4</v>
      </c>
    </row>
    <row r="7974" spans="1:12" x14ac:dyDescent="0.25">
      <c r="A7974" t="str">
        <f t="shared" si="1432"/>
        <v>89301000</v>
      </c>
      <c r="B7974" t="str">
        <f>"05002000"</f>
        <v>05002000</v>
      </c>
      <c r="C7974" t="str">
        <f>"05002141"</f>
        <v>05002141</v>
      </c>
      <c r="D7974">
        <v>89301282</v>
      </c>
      <c r="E7974" t="str">
        <f>"5456080476"</f>
        <v>5456080476</v>
      </c>
      <c r="F7974" s="1">
        <v>45083</v>
      </c>
      <c r="G7974" t="str">
        <f>"94331"</f>
        <v>94331</v>
      </c>
      <c r="H7974">
        <v>1</v>
      </c>
      <c r="I7974">
        <v>7866</v>
      </c>
      <c r="J7974">
        <v>0</v>
      </c>
      <c r="K7974" t="str">
        <f>"816"</f>
        <v>816</v>
      </c>
      <c r="L7974">
        <v>7079.4</v>
      </c>
    </row>
    <row r="7975" spans="1:12" x14ac:dyDescent="0.25">
      <c r="A7975" t="str">
        <f t="shared" si="1432"/>
        <v>89301000</v>
      </c>
      <c r="B7975" t="str">
        <f>"05002000"</f>
        <v>05002000</v>
      </c>
      <c r="C7975" t="str">
        <f>"05002141"</f>
        <v>05002141</v>
      </c>
      <c r="D7975">
        <v>89301282</v>
      </c>
      <c r="E7975" t="str">
        <f>"5905311192"</f>
        <v>5905311192</v>
      </c>
      <c r="F7975" s="1">
        <v>45103</v>
      </c>
      <c r="G7975" t="str">
        <f>"94221"</f>
        <v>94221</v>
      </c>
      <c r="H7975">
        <v>6</v>
      </c>
      <c r="I7975">
        <v>14802</v>
      </c>
      <c r="J7975">
        <v>0</v>
      </c>
      <c r="K7975" t="str">
        <f>"816"</f>
        <v>816</v>
      </c>
      <c r="L7975">
        <v>13321.8</v>
      </c>
    </row>
    <row r="7976" spans="1:12" x14ac:dyDescent="0.25">
      <c r="A7976" t="str">
        <f t="shared" si="1432"/>
        <v>89301000</v>
      </c>
      <c r="B7976" t="str">
        <f>"92002000"</f>
        <v>92002000</v>
      </c>
      <c r="C7976" t="str">
        <f>"92002175"</f>
        <v>92002175</v>
      </c>
      <c r="D7976">
        <v>89301212</v>
      </c>
      <c r="E7976" t="str">
        <f>"5953221912"</f>
        <v>5953221912</v>
      </c>
      <c r="F7976" s="1">
        <v>45099</v>
      </c>
      <c r="G7976" t="str">
        <f>"89180"</f>
        <v>89180</v>
      </c>
      <c r="H7976">
        <v>1</v>
      </c>
      <c r="I7976">
        <v>381</v>
      </c>
      <c r="J7976">
        <v>0</v>
      </c>
      <c r="K7976" t="str">
        <f>"809"</f>
        <v>809</v>
      </c>
      <c r="L7976">
        <v>560.07000000000005</v>
      </c>
    </row>
    <row r="7977" spans="1:12" x14ac:dyDescent="0.25">
      <c r="A7977" t="str">
        <f t="shared" si="1432"/>
        <v>89301000</v>
      </c>
      <c r="B7977" t="str">
        <f>"92002000"</f>
        <v>92002000</v>
      </c>
      <c r="C7977" t="str">
        <f>"92002175"</f>
        <v>92002175</v>
      </c>
      <c r="D7977">
        <v>89301212</v>
      </c>
      <c r="E7977" t="str">
        <f>"5953221912"</f>
        <v>5953221912</v>
      </c>
      <c r="F7977" s="1">
        <v>45099</v>
      </c>
      <c r="G7977" t="str">
        <f>"89512"</f>
        <v>89512</v>
      </c>
      <c r="H7977">
        <v>1</v>
      </c>
      <c r="I7977">
        <v>283</v>
      </c>
      <c r="J7977">
        <v>0</v>
      </c>
      <c r="K7977" t="str">
        <f>"809"</f>
        <v>809</v>
      </c>
      <c r="L7977">
        <v>416.01</v>
      </c>
    </row>
    <row r="7978" spans="1:12" x14ac:dyDescent="0.25">
      <c r="A7978" t="str">
        <f t="shared" si="1432"/>
        <v>89301000</v>
      </c>
      <c r="B7978" t="str">
        <f>"91866000"</f>
        <v>91866000</v>
      </c>
      <c r="C7978" t="str">
        <f>"91866313"</f>
        <v>91866313</v>
      </c>
      <c r="D7978">
        <v>89301101</v>
      </c>
      <c r="E7978" t="str">
        <f>"0508076151"</f>
        <v>0508076151</v>
      </c>
      <c r="F7978" s="1">
        <v>45077</v>
      </c>
      <c r="G7978" t="str">
        <f>"82079"</f>
        <v>82079</v>
      </c>
      <c r="H7978">
        <v>1</v>
      </c>
      <c r="I7978">
        <v>333</v>
      </c>
      <c r="J7978">
        <v>0</v>
      </c>
      <c r="K7978" t="str">
        <f>"802"</f>
        <v>802</v>
      </c>
      <c r="L7978">
        <v>323.01</v>
      </c>
    </row>
    <row r="7979" spans="1:12" x14ac:dyDescent="0.25">
      <c r="A7979" t="str">
        <f t="shared" si="1432"/>
        <v>89301000</v>
      </c>
      <c r="B7979" t="str">
        <f>"91866000"</f>
        <v>91866000</v>
      </c>
      <c r="C7979" t="str">
        <f>"91866313"</f>
        <v>91866313</v>
      </c>
      <c r="D7979">
        <v>89301101</v>
      </c>
      <c r="E7979" t="str">
        <f>"0508076151"</f>
        <v>0508076151</v>
      </c>
      <c r="F7979" s="1">
        <v>45077</v>
      </c>
      <c r="G7979" t="str">
        <f>"82079"</f>
        <v>82079</v>
      </c>
      <c r="H7979">
        <v>1</v>
      </c>
      <c r="I7979">
        <v>333</v>
      </c>
      <c r="J7979">
        <v>0</v>
      </c>
      <c r="K7979" t="str">
        <f>"802"</f>
        <v>802</v>
      </c>
      <c r="L7979">
        <v>323.01</v>
      </c>
    </row>
    <row r="7980" spans="1:12" x14ac:dyDescent="0.25">
      <c r="A7980" t="str">
        <f t="shared" si="1432"/>
        <v>89301000</v>
      </c>
      <c r="B7980" t="str">
        <f>"91866000"</f>
        <v>91866000</v>
      </c>
      <c r="C7980" t="str">
        <f>"91866313"</f>
        <v>91866313</v>
      </c>
      <c r="D7980">
        <v>89301101</v>
      </c>
      <c r="E7980" t="str">
        <f>"0508076151"</f>
        <v>0508076151</v>
      </c>
      <c r="F7980" s="1">
        <v>45077</v>
      </c>
      <c r="G7980" t="str">
        <f>"82079"</f>
        <v>82079</v>
      </c>
      <c r="H7980">
        <v>1</v>
      </c>
      <c r="I7980">
        <v>333</v>
      </c>
      <c r="J7980">
        <v>0</v>
      </c>
      <c r="K7980" t="str">
        <f>"802"</f>
        <v>802</v>
      </c>
      <c r="L7980">
        <v>323.01</v>
      </c>
    </row>
    <row r="7981" spans="1:12" x14ac:dyDescent="0.25">
      <c r="A7981" t="str">
        <f t="shared" si="1432"/>
        <v>89301000</v>
      </c>
      <c r="B7981" t="str">
        <f>"82001000"</f>
        <v>82001000</v>
      </c>
      <c r="C7981" t="str">
        <f>"82001846"</f>
        <v>82001846</v>
      </c>
      <c r="D7981">
        <v>89301112</v>
      </c>
      <c r="E7981" t="str">
        <f>"8258194186"</f>
        <v>8258194186</v>
      </c>
      <c r="F7981" s="1">
        <v>45080</v>
      </c>
      <c r="G7981" t="str">
        <f>"89713"</f>
        <v>89713</v>
      </c>
      <c r="H7981">
        <v>1</v>
      </c>
      <c r="I7981">
        <v>5411</v>
      </c>
      <c r="J7981">
        <v>0</v>
      </c>
      <c r="K7981" t="str">
        <f>"810"</f>
        <v>810</v>
      </c>
      <c r="L7981">
        <v>3517.15</v>
      </c>
    </row>
    <row r="7982" spans="1:12" x14ac:dyDescent="0.25">
      <c r="A7982" t="str">
        <f t="shared" si="1432"/>
        <v>89301000</v>
      </c>
      <c r="B7982" t="str">
        <f>"78934000"</f>
        <v>78934000</v>
      </c>
      <c r="C7982" t="str">
        <f>"78934001"</f>
        <v>78934001</v>
      </c>
      <c r="D7982">
        <v>89301212</v>
      </c>
      <c r="E7982" t="str">
        <f>"6652120508"</f>
        <v>6652120508</v>
      </c>
      <c r="F7982" s="1">
        <v>45078</v>
      </c>
      <c r="G7982" t="str">
        <f>"89517"</f>
        <v>89517</v>
      </c>
      <c r="H7982">
        <v>1</v>
      </c>
      <c r="I7982">
        <v>994</v>
      </c>
      <c r="J7982">
        <v>0</v>
      </c>
      <c r="K7982" t="str">
        <f t="shared" ref="K7982:K7988" si="1436">"809"</f>
        <v>809</v>
      </c>
      <c r="L7982">
        <v>1461.18</v>
      </c>
    </row>
    <row r="7983" spans="1:12" x14ac:dyDescent="0.25">
      <c r="A7983" t="str">
        <f t="shared" si="1432"/>
        <v>89301000</v>
      </c>
      <c r="B7983" t="str">
        <f>"78934000"</f>
        <v>78934000</v>
      </c>
      <c r="C7983" t="str">
        <f>"78934001"</f>
        <v>78934001</v>
      </c>
      <c r="D7983">
        <v>89301212</v>
      </c>
      <c r="E7983" t="str">
        <f>"7755224488"</f>
        <v>7755224488</v>
      </c>
      <c r="F7983" s="1">
        <v>45097</v>
      </c>
      <c r="G7983" t="str">
        <f>"89513"</f>
        <v>89513</v>
      </c>
      <c r="H7983">
        <v>1</v>
      </c>
      <c r="I7983">
        <v>378</v>
      </c>
      <c r="J7983">
        <v>0</v>
      </c>
      <c r="K7983" t="str">
        <f t="shared" si="1436"/>
        <v>809</v>
      </c>
      <c r="L7983">
        <v>555.66</v>
      </c>
    </row>
    <row r="7984" spans="1:12" x14ac:dyDescent="0.25">
      <c r="A7984" t="str">
        <f t="shared" si="1432"/>
        <v>89301000</v>
      </c>
      <c r="B7984" t="str">
        <f>"78934000"</f>
        <v>78934000</v>
      </c>
      <c r="C7984" t="str">
        <f>"78934001"</f>
        <v>78934001</v>
      </c>
      <c r="D7984">
        <v>89301212</v>
      </c>
      <c r="E7984" t="str">
        <f>"7755224488"</f>
        <v>7755224488</v>
      </c>
      <c r="F7984" s="1">
        <v>45097</v>
      </c>
      <c r="G7984" t="str">
        <f>"89514"</f>
        <v>89514</v>
      </c>
      <c r="H7984">
        <v>1</v>
      </c>
      <c r="I7984">
        <v>378</v>
      </c>
      <c r="J7984">
        <v>0</v>
      </c>
      <c r="K7984" t="str">
        <f t="shared" si="1436"/>
        <v>809</v>
      </c>
      <c r="L7984">
        <v>555.66</v>
      </c>
    </row>
    <row r="7985" spans="1:12" x14ac:dyDescent="0.25">
      <c r="A7985" t="str">
        <f t="shared" si="1432"/>
        <v>89301000</v>
      </c>
      <c r="B7985" t="str">
        <f>"89434000"</f>
        <v>89434000</v>
      </c>
      <c r="C7985" t="str">
        <f>"89434000"</f>
        <v>89434000</v>
      </c>
      <c r="D7985">
        <v>89301212</v>
      </c>
      <c r="E7985" t="str">
        <f>"6051230207"</f>
        <v>6051230207</v>
      </c>
      <c r="F7985" s="1">
        <v>45106</v>
      </c>
      <c r="G7985" t="str">
        <f>"89513"</f>
        <v>89513</v>
      </c>
      <c r="H7985">
        <v>1</v>
      </c>
      <c r="I7985">
        <v>378</v>
      </c>
      <c r="J7985">
        <v>0</v>
      </c>
      <c r="K7985" t="str">
        <f t="shared" si="1436"/>
        <v>809</v>
      </c>
      <c r="L7985">
        <v>555.66</v>
      </c>
    </row>
    <row r="7986" spans="1:12" x14ac:dyDescent="0.25">
      <c r="A7986" t="str">
        <f t="shared" si="1432"/>
        <v>89301000</v>
      </c>
      <c r="B7986" t="str">
        <f>"89434000"</f>
        <v>89434000</v>
      </c>
      <c r="C7986" t="str">
        <f>"89434000"</f>
        <v>89434000</v>
      </c>
      <c r="D7986">
        <v>89301212</v>
      </c>
      <c r="E7986" t="str">
        <f>"6051230207"</f>
        <v>6051230207</v>
      </c>
      <c r="F7986" s="1">
        <v>45106</v>
      </c>
      <c r="G7986" t="str">
        <f>"89514"</f>
        <v>89514</v>
      </c>
      <c r="H7986">
        <v>1</v>
      </c>
      <c r="I7986">
        <v>378</v>
      </c>
      <c r="J7986">
        <v>0</v>
      </c>
      <c r="K7986" t="str">
        <f t="shared" si="1436"/>
        <v>809</v>
      </c>
      <c r="L7986">
        <v>555.66</v>
      </c>
    </row>
    <row r="7987" spans="1:12" x14ac:dyDescent="0.25">
      <c r="A7987" t="str">
        <f t="shared" si="1432"/>
        <v>89301000</v>
      </c>
      <c r="B7987" t="str">
        <f>"92327000"</f>
        <v>92327000</v>
      </c>
      <c r="C7987" t="str">
        <f>"92327000"</f>
        <v>92327000</v>
      </c>
      <c r="D7987">
        <v>89301212</v>
      </c>
      <c r="E7987" t="str">
        <f>"5953221912"</f>
        <v>5953221912</v>
      </c>
      <c r="F7987" s="1">
        <v>45126</v>
      </c>
      <c r="G7987" t="str">
        <f>"89513"</f>
        <v>89513</v>
      </c>
      <c r="H7987">
        <v>1</v>
      </c>
      <c r="I7987">
        <v>378</v>
      </c>
      <c r="J7987">
        <v>0</v>
      </c>
      <c r="K7987" t="str">
        <f t="shared" si="1436"/>
        <v>809</v>
      </c>
      <c r="L7987">
        <v>555.66</v>
      </c>
    </row>
    <row r="7988" spans="1:12" x14ac:dyDescent="0.25">
      <c r="A7988" t="str">
        <f t="shared" si="1432"/>
        <v>89301000</v>
      </c>
      <c r="B7988" t="str">
        <f>"92327000"</f>
        <v>92327000</v>
      </c>
      <c r="C7988" t="str">
        <f>"92327000"</f>
        <v>92327000</v>
      </c>
      <c r="D7988">
        <v>89301212</v>
      </c>
      <c r="E7988" t="str">
        <f>"5953221912"</f>
        <v>5953221912</v>
      </c>
      <c r="F7988" s="1">
        <v>45126</v>
      </c>
      <c r="G7988" t="str">
        <f>"89514"</f>
        <v>89514</v>
      </c>
      <c r="H7988">
        <v>1</v>
      </c>
      <c r="I7988">
        <v>378</v>
      </c>
      <c r="J7988">
        <v>0</v>
      </c>
      <c r="K7988" t="str">
        <f t="shared" si="1436"/>
        <v>809</v>
      </c>
      <c r="L7988">
        <v>555.66</v>
      </c>
    </row>
    <row r="7989" spans="1:12" x14ac:dyDescent="0.25">
      <c r="A7989" t="str">
        <f t="shared" si="1432"/>
        <v>89301000</v>
      </c>
      <c r="B7989" t="str">
        <f t="shared" ref="B7989:B8023" si="1437">"93501000"</f>
        <v>93501000</v>
      </c>
      <c r="C7989" t="str">
        <f t="shared" ref="C7989:C8021" si="1438">"93501001"</f>
        <v>93501001</v>
      </c>
      <c r="D7989">
        <v>89301167</v>
      </c>
      <c r="E7989" t="str">
        <f t="shared" ref="E7989:E8004" si="1439">"6003120068"</f>
        <v>6003120068</v>
      </c>
      <c r="F7989" s="1">
        <v>45120</v>
      </c>
      <c r="G7989" t="str">
        <f>"09119"</f>
        <v>09119</v>
      </c>
      <c r="H7989">
        <v>1</v>
      </c>
      <c r="I7989">
        <v>43</v>
      </c>
      <c r="J7989">
        <v>0</v>
      </c>
      <c r="K7989" t="str">
        <f t="shared" ref="K7989:K8021" si="1440">"801"</f>
        <v>801</v>
      </c>
      <c r="L7989">
        <v>54.18</v>
      </c>
    </row>
    <row r="7990" spans="1:12" x14ac:dyDescent="0.25">
      <c r="A7990" t="str">
        <f t="shared" si="1432"/>
        <v>89301000</v>
      </c>
      <c r="B7990" t="str">
        <f t="shared" si="1437"/>
        <v>93501000</v>
      </c>
      <c r="C7990" t="str">
        <f t="shared" si="1438"/>
        <v>93501001</v>
      </c>
      <c r="D7990">
        <v>89301167</v>
      </c>
      <c r="E7990" t="str">
        <f t="shared" si="1439"/>
        <v>6003120068</v>
      </c>
      <c r="F7990" s="1">
        <v>45120</v>
      </c>
      <c r="G7990" t="str">
        <f>"81337"</f>
        <v>81337</v>
      </c>
      <c r="H7990">
        <v>1</v>
      </c>
      <c r="I7990">
        <v>20</v>
      </c>
      <c r="J7990">
        <v>0</v>
      </c>
      <c r="K7990" t="str">
        <f t="shared" si="1440"/>
        <v>801</v>
      </c>
      <c r="L7990">
        <v>16.8</v>
      </c>
    </row>
    <row r="7991" spans="1:12" x14ac:dyDescent="0.25">
      <c r="A7991" t="str">
        <f t="shared" si="1432"/>
        <v>89301000</v>
      </c>
      <c r="B7991" t="str">
        <f t="shared" si="1437"/>
        <v>93501000</v>
      </c>
      <c r="C7991" t="str">
        <f t="shared" si="1438"/>
        <v>93501001</v>
      </c>
      <c r="D7991">
        <v>89301167</v>
      </c>
      <c r="E7991" t="str">
        <f t="shared" si="1439"/>
        <v>6003120068</v>
      </c>
      <c r="F7991" s="1">
        <v>45120</v>
      </c>
      <c r="G7991" t="str">
        <f>"81357"</f>
        <v>81357</v>
      </c>
      <c r="H7991">
        <v>1</v>
      </c>
      <c r="I7991">
        <v>20</v>
      </c>
      <c r="J7991">
        <v>0</v>
      </c>
      <c r="K7991" t="str">
        <f t="shared" si="1440"/>
        <v>801</v>
      </c>
      <c r="L7991">
        <v>16.8</v>
      </c>
    </row>
    <row r="7992" spans="1:12" x14ac:dyDescent="0.25">
      <c r="A7992" t="str">
        <f t="shared" si="1432"/>
        <v>89301000</v>
      </c>
      <c r="B7992" t="str">
        <f t="shared" si="1437"/>
        <v>93501000</v>
      </c>
      <c r="C7992" t="str">
        <f t="shared" si="1438"/>
        <v>93501001</v>
      </c>
      <c r="D7992">
        <v>89301167</v>
      </c>
      <c r="E7992" t="str">
        <f t="shared" si="1439"/>
        <v>6003120068</v>
      </c>
      <c r="F7992" s="1">
        <v>45120</v>
      </c>
      <c r="G7992" t="str">
        <f>"81383"</f>
        <v>81383</v>
      </c>
      <c r="H7992">
        <v>1</v>
      </c>
      <c r="I7992">
        <v>24</v>
      </c>
      <c r="J7992">
        <v>0</v>
      </c>
      <c r="K7992" t="str">
        <f t="shared" si="1440"/>
        <v>801</v>
      </c>
      <c r="L7992">
        <v>20.16</v>
      </c>
    </row>
    <row r="7993" spans="1:12" x14ac:dyDescent="0.25">
      <c r="A7993" t="str">
        <f t="shared" si="1432"/>
        <v>89301000</v>
      </c>
      <c r="B7993" t="str">
        <f t="shared" si="1437"/>
        <v>93501000</v>
      </c>
      <c r="C7993" t="str">
        <f t="shared" si="1438"/>
        <v>93501001</v>
      </c>
      <c r="D7993">
        <v>89301167</v>
      </c>
      <c r="E7993" t="str">
        <f t="shared" si="1439"/>
        <v>6003120068</v>
      </c>
      <c r="F7993" s="1">
        <v>45120</v>
      </c>
      <c r="G7993" t="str">
        <f>"81393"</f>
        <v>81393</v>
      </c>
      <c r="H7993">
        <v>1</v>
      </c>
      <c r="I7993">
        <v>24</v>
      </c>
      <c r="J7993">
        <v>0</v>
      </c>
      <c r="K7993" t="str">
        <f t="shared" si="1440"/>
        <v>801</v>
      </c>
      <c r="L7993">
        <v>20.16</v>
      </c>
    </row>
    <row r="7994" spans="1:12" x14ac:dyDescent="0.25">
      <c r="A7994" t="str">
        <f t="shared" si="1432"/>
        <v>89301000</v>
      </c>
      <c r="B7994" t="str">
        <f t="shared" si="1437"/>
        <v>93501000</v>
      </c>
      <c r="C7994" t="str">
        <f t="shared" si="1438"/>
        <v>93501001</v>
      </c>
      <c r="D7994">
        <v>89301167</v>
      </c>
      <c r="E7994" t="str">
        <f t="shared" si="1439"/>
        <v>6003120068</v>
      </c>
      <c r="F7994" s="1">
        <v>45120</v>
      </c>
      <c r="G7994" t="str">
        <f>"81435"</f>
        <v>81435</v>
      </c>
      <c r="H7994">
        <v>1</v>
      </c>
      <c r="I7994">
        <v>22</v>
      </c>
      <c r="J7994">
        <v>0</v>
      </c>
      <c r="K7994" t="str">
        <f t="shared" si="1440"/>
        <v>801</v>
      </c>
      <c r="L7994">
        <v>18.48</v>
      </c>
    </row>
    <row r="7995" spans="1:12" x14ac:dyDescent="0.25">
      <c r="A7995" t="str">
        <f t="shared" si="1432"/>
        <v>89301000</v>
      </c>
      <c r="B7995" t="str">
        <f t="shared" si="1437"/>
        <v>93501000</v>
      </c>
      <c r="C7995" t="str">
        <f t="shared" si="1438"/>
        <v>93501001</v>
      </c>
      <c r="D7995">
        <v>89301167</v>
      </c>
      <c r="E7995" t="str">
        <f t="shared" si="1439"/>
        <v>6003120068</v>
      </c>
      <c r="F7995" s="1">
        <v>45120</v>
      </c>
      <c r="G7995" t="str">
        <f>"81439"</f>
        <v>81439</v>
      </c>
      <c r="H7995">
        <v>1</v>
      </c>
      <c r="I7995">
        <v>16</v>
      </c>
      <c r="J7995">
        <v>0</v>
      </c>
      <c r="K7995" t="str">
        <f t="shared" si="1440"/>
        <v>801</v>
      </c>
      <c r="L7995">
        <v>13.44</v>
      </c>
    </row>
    <row r="7996" spans="1:12" x14ac:dyDescent="0.25">
      <c r="A7996" t="str">
        <f t="shared" si="1432"/>
        <v>89301000</v>
      </c>
      <c r="B7996" t="str">
        <f t="shared" si="1437"/>
        <v>93501000</v>
      </c>
      <c r="C7996" t="str">
        <f t="shared" si="1438"/>
        <v>93501001</v>
      </c>
      <c r="D7996">
        <v>89301167</v>
      </c>
      <c r="E7996" t="str">
        <f t="shared" si="1439"/>
        <v>6003120068</v>
      </c>
      <c r="F7996" s="1">
        <v>45120</v>
      </c>
      <c r="G7996" t="str">
        <f>"81469"</f>
        <v>81469</v>
      </c>
      <c r="H7996">
        <v>1</v>
      </c>
      <c r="I7996">
        <v>16</v>
      </c>
      <c r="J7996">
        <v>0</v>
      </c>
      <c r="K7996" t="str">
        <f t="shared" si="1440"/>
        <v>801</v>
      </c>
      <c r="L7996">
        <v>13.44</v>
      </c>
    </row>
    <row r="7997" spans="1:12" x14ac:dyDescent="0.25">
      <c r="A7997" t="str">
        <f t="shared" si="1432"/>
        <v>89301000</v>
      </c>
      <c r="B7997" t="str">
        <f t="shared" si="1437"/>
        <v>93501000</v>
      </c>
      <c r="C7997" t="str">
        <f t="shared" si="1438"/>
        <v>93501001</v>
      </c>
      <c r="D7997">
        <v>89301167</v>
      </c>
      <c r="E7997" t="str">
        <f t="shared" si="1439"/>
        <v>6003120068</v>
      </c>
      <c r="F7997" s="1">
        <v>45120</v>
      </c>
      <c r="G7997" t="str">
        <f>"81499"</f>
        <v>81499</v>
      </c>
      <c r="H7997">
        <v>1</v>
      </c>
      <c r="I7997">
        <v>18</v>
      </c>
      <c r="J7997">
        <v>0</v>
      </c>
      <c r="K7997" t="str">
        <f t="shared" si="1440"/>
        <v>801</v>
      </c>
      <c r="L7997">
        <v>15.12</v>
      </c>
    </row>
    <row r="7998" spans="1:12" x14ac:dyDescent="0.25">
      <c r="A7998" t="str">
        <f t="shared" si="1432"/>
        <v>89301000</v>
      </c>
      <c r="B7998" t="str">
        <f t="shared" si="1437"/>
        <v>93501000</v>
      </c>
      <c r="C7998" t="str">
        <f t="shared" si="1438"/>
        <v>93501001</v>
      </c>
      <c r="D7998">
        <v>89301167</v>
      </c>
      <c r="E7998" t="str">
        <f t="shared" si="1439"/>
        <v>6003120068</v>
      </c>
      <c r="F7998" s="1">
        <v>45120</v>
      </c>
      <c r="G7998" t="str">
        <f>"81593"</f>
        <v>81593</v>
      </c>
      <c r="H7998">
        <v>1</v>
      </c>
      <c r="I7998">
        <v>22</v>
      </c>
      <c r="J7998">
        <v>0</v>
      </c>
      <c r="K7998" t="str">
        <f t="shared" si="1440"/>
        <v>801</v>
      </c>
      <c r="L7998">
        <v>18.48</v>
      </c>
    </row>
    <row r="7999" spans="1:12" x14ac:dyDescent="0.25">
      <c r="A7999" t="str">
        <f t="shared" si="1432"/>
        <v>89301000</v>
      </c>
      <c r="B7999" t="str">
        <f t="shared" si="1437"/>
        <v>93501000</v>
      </c>
      <c r="C7999" t="str">
        <f t="shared" si="1438"/>
        <v>93501001</v>
      </c>
      <c r="D7999">
        <v>89301167</v>
      </c>
      <c r="E7999" t="str">
        <f t="shared" si="1439"/>
        <v>6003120068</v>
      </c>
      <c r="F7999" s="1">
        <v>45120</v>
      </c>
      <c r="G7999" t="str">
        <f>"81621"</f>
        <v>81621</v>
      </c>
      <c r="H7999">
        <v>1</v>
      </c>
      <c r="I7999">
        <v>19</v>
      </c>
      <c r="J7999">
        <v>0</v>
      </c>
      <c r="K7999" t="str">
        <f t="shared" si="1440"/>
        <v>801</v>
      </c>
      <c r="L7999">
        <v>15.96</v>
      </c>
    </row>
    <row r="8000" spans="1:12" x14ac:dyDescent="0.25">
      <c r="A8000" t="str">
        <f t="shared" si="1432"/>
        <v>89301000</v>
      </c>
      <c r="B8000" t="str">
        <f t="shared" si="1437"/>
        <v>93501000</v>
      </c>
      <c r="C8000" t="str">
        <f t="shared" si="1438"/>
        <v>93501001</v>
      </c>
      <c r="D8000">
        <v>89301167</v>
      </c>
      <c r="E8000" t="str">
        <f t="shared" si="1439"/>
        <v>6003120068</v>
      </c>
      <c r="F8000" s="1">
        <v>45120</v>
      </c>
      <c r="G8000" t="str">
        <f>"91153"</f>
        <v>91153</v>
      </c>
      <c r="H8000">
        <v>1</v>
      </c>
      <c r="I8000">
        <v>153</v>
      </c>
      <c r="J8000">
        <v>0</v>
      </c>
      <c r="K8000" t="str">
        <f t="shared" si="1440"/>
        <v>801</v>
      </c>
      <c r="L8000">
        <v>128.52000000000001</v>
      </c>
    </row>
    <row r="8001" spans="1:12" x14ac:dyDescent="0.25">
      <c r="A8001" t="str">
        <f t="shared" si="1432"/>
        <v>89301000</v>
      </c>
      <c r="B8001" t="str">
        <f t="shared" si="1437"/>
        <v>93501000</v>
      </c>
      <c r="C8001" t="str">
        <f t="shared" si="1438"/>
        <v>93501001</v>
      </c>
      <c r="D8001">
        <v>89301167</v>
      </c>
      <c r="E8001" t="str">
        <f t="shared" si="1439"/>
        <v>6003120068</v>
      </c>
      <c r="F8001" s="1">
        <v>45120</v>
      </c>
      <c r="G8001" t="str">
        <f>"97111"</f>
        <v>97111</v>
      </c>
      <c r="H8001">
        <v>1</v>
      </c>
      <c r="I8001">
        <v>19</v>
      </c>
      <c r="J8001">
        <v>0</v>
      </c>
      <c r="K8001" t="str">
        <f t="shared" si="1440"/>
        <v>801</v>
      </c>
      <c r="L8001">
        <v>23.94</v>
      </c>
    </row>
    <row r="8002" spans="1:12" x14ac:dyDescent="0.25">
      <c r="A8002" t="str">
        <f t="shared" ref="A8002:A8065" si="1441">"89301000"</f>
        <v>89301000</v>
      </c>
      <c r="B8002" t="str">
        <f t="shared" si="1437"/>
        <v>93501000</v>
      </c>
      <c r="C8002" t="str">
        <f t="shared" si="1438"/>
        <v>93501001</v>
      </c>
      <c r="D8002">
        <v>89301167</v>
      </c>
      <c r="E8002" t="str">
        <f t="shared" si="1439"/>
        <v>6003120068</v>
      </c>
      <c r="F8002" s="1">
        <v>45131</v>
      </c>
      <c r="G8002" t="str">
        <f>"09119"</f>
        <v>09119</v>
      </c>
      <c r="H8002">
        <v>1</v>
      </c>
      <c r="I8002">
        <v>43</v>
      </c>
      <c r="J8002">
        <v>0</v>
      </c>
      <c r="K8002" t="str">
        <f t="shared" si="1440"/>
        <v>801</v>
      </c>
      <c r="L8002">
        <v>54.18</v>
      </c>
    </row>
    <row r="8003" spans="1:12" x14ac:dyDescent="0.25">
      <c r="A8003" t="str">
        <f t="shared" si="1441"/>
        <v>89301000</v>
      </c>
      <c r="B8003" t="str">
        <f t="shared" si="1437"/>
        <v>93501000</v>
      </c>
      <c r="C8003" t="str">
        <f t="shared" si="1438"/>
        <v>93501001</v>
      </c>
      <c r="D8003">
        <v>89301167</v>
      </c>
      <c r="E8003" t="str">
        <f t="shared" si="1439"/>
        <v>6003120068</v>
      </c>
      <c r="F8003" s="1">
        <v>45131</v>
      </c>
      <c r="G8003" t="str">
        <f>"91153"</f>
        <v>91153</v>
      </c>
      <c r="H8003">
        <v>1</v>
      </c>
      <c r="I8003">
        <v>153</v>
      </c>
      <c r="J8003">
        <v>0</v>
      </c>
      <c r="K8003" t="str">
        <f t="shared" si="1440"/>
        <v>801</v>
      </c>
      <c r="L8003">
        <v>128.52000000000001</v>
      </c>
    </row>
    <row r="8004" spans="1:12" x14ac:dyDescent="0.25">
      <c r="A8004" t="str">
        <f t="shared" si="1441"/>
        <v>89301000</v>
      </c>
      <c r="B8004" t="str">
        <f t="shared" si="1437"/>
        <v>93501000</v>
      </c>
      <c r="C8004" t="str">
        <f t="shared" si="1438"/>
        <v>93501001</v>
      </c>
      <c r="D8004">
        <v>89301167</v>
      </c>
      <c r="E8004" t="str">
        <f t="shared" si="1439"/>
        <v>6003120068</v>
      </c>
      <c r="F8004" s="1">
        <v>45131</v>
      </c>
      <c r="G8004" t="str">
        <f>"97111"</f>
        <v>97111</v>
      </c>
      <c r="H8004">
        <v>1</v>
      </c>
      <c r="I8004">
        <v>19</v>
      </c>
      <c r="J8004">
        <v>0</v>
      </c>
      <c r="K8004" t="str">
        <f t="shared" si="1440"/>
        <v>801</v>
      </c>
      <c r="L8004">
        <v>23.94</v>
      </c>
    </row>
    <row r="8005" spans="1:12" x14ac:dyDescent="0.25">
      <c r="A8005" t="str">
        <f t="shared" si="1441"/>
        <v>89301000</v>
      </c>
      <c r="B8005" t="str">
        <f t="shared" si="1437"/>
        <v>93501000</v>
      </c>
      <c r="C8005" t="str">
        <f t="shared" si="1438"/>
        <v>93501001</v>
      </c>
      <c r="D8005">
        <v>89301167</v>
      </c>
      <c r="E8005" t="str">
        <f t="shared" ref="E8005:E8021" si="1442">"470127462"</f>
        <v>470127462</v>
      </c>
      <c r="F8005" s="1">
        <v>45119</v>
      </c>
      <c r="G8005" t="str">
        <f>"81329"</f>
        <v>81329</v>
      </c>
      <c r="H8005">
        <v>1</v>
      </c>
      <c r="I8005">
        <v>17</v>
      </c>
      <c r="J8005">
        <v>0</v>
      </c>
      <c r="K8005" t="str">
        <f t="shared" si="1440"/>
        <v>801</v>
      </c>
      <c r="L8005">
        <v>14.28</v>
      </c>
    </row>
    <row r="8006" spans="1:12" x14ac:dyDescent="0.25">
      <c r="A8006" t="str">
        <f t="shared" si="1441"/>
        <v>89301000</v>
      </c>
      <c r="B8006" t="str">
        <f t="shared" si="1437"/>
        <v>93501000</v>
      </c>
      <c r="C8006" t="str">
        <f t="shared" si="1438"/>
        <v>93501001</v>
      </c>
      <c r="D8006">
        <v>89301167</v>
      </c>
      <c r="E8006" t="str">
        <f t="shared" si="1442"/>
        <v>470127462</v>
      </c>
      <c r="F8006" s="1">
        <v>45119</v>
      </c>
      <c r="G8006" t="str">
        <f>"81337"</f>
        <v>81337</v>
      </c>
      <c r="H8006">
        <v>1</v>
      </c>
      <c r="I8006">
        <v>20</v>
      </c>
      <c r="J8006">
        <v>0</v>
      </c>
      <c r="K8006" t="str">
        <f t="shared" si="1440"/>
        <v>801</v>
      </c>
      <c r="L8006">
        <v>16.8</v>
      </c>
    </row>
    <row r="8007" spans="1:12" x14ac:dyDescent="0.25">
      <c r="A8007" t="str">
        <f t="shared" si="1441"/>
        <v>89301000</v>
      </c>
      <c r="B8007" t="str">
        <f t="shared" si="1437"/>
        <v>93501000</v>
      </c>
      <c r="C8007" t="str">
        <f t="shared" si="1438"/>
        <v>93501001</v>
      </c>
      <c r="D8007">
        <v>89301167</v>
      </c>
      <c r="E8007" t="str">
        <f t="shared" si="1442"/>
        <v>470127462</v>
      </c>
      <c r="F8007" s="1">
        <v>45119</v>
      </c>
      <c r="G8007" t="str">
        <f>"81357"</f>
        <v>81357</v>
      </c>
      <c r="H8007">
        <v>1</v>
      </c>
      <c r="I8007">
        <v>20</v>
      </c>
      <c r="J8007">
        <v>0</v>
      </c>
      <c r="K8007" t="str">
        <f t="shared" si="1440"/>
        <v>801</v>
      </c>
      <c r="L8007">
        <v>16.8</v>
      </c>
    </row>
    <row r="8008" spans="1:12" x14ac:dyDescent="0.25">
      <c r="A8008" t="str">
        <f t="shared" si="1441"/>
        <v>89301000</v>
      </c>
      <c r="B8008" t="str">
        <f t="shared" si="1437"/>
        <v>93501000</v>
      </c>
      <c r="C8008" t="str">
        <f t="shared" si="1438"/>
        <v>93501001</v>
      </c>
      <c r="D8008">
        <v>89301167</v>
      </c>
      <c r="E8008" t="str">
        <f t="shared" si="1442"/>
        <v>470127462</v>
      </c>
      <c r="F8008" s="1">
        <v>45119</v>
      </c>
      <c r="G8008" t="str">
        <f>"81361"</f>
        <v>81361</v>
      </c>
      <c r="H8008">
        <v>1</v>
      </c>
      <c r="I8008">
        <v>17</v>
      </c>
      <c r="J8008">
        <v>0</v>
      </c>
      <c r="K8008" t="str">
        <f t="shared" si="1440"/>
        <v>801</v>
      </c>
      <c r="L8008">
        <v>14.28</v>
      </c>
    </row>
    <row r="8009" spans="1:12" x14ac:dyDescent="0.25">
      <c r="A8009" t="str">
        <f t="shared" si="1441"/>
        <v>89301000</v>
      </c>
      <c r="B8009" t="str">
        <f t="shared" si="1437"/>
        <v>93501000</v>
      </c>
      <c r="C8009" t="str">
        <f t="shared" si="1438"/>
        <v>93501001</v>
      </c>
      <c r="D8009">
        <v>89301167</v>
      </c>
      <c r="E8009" t="str">
        <f t="shared" si="1442"/>
        <v>470127462</v>
      </c>
      <c r="F8009" s="1">
        <v>45119</v>
      </c>
      <c r="G8009" t="str">
        <f>"81383"</f>
        <v>81383</v>
      </c>
      <c r="H8009">
        <v>1</v>
      </c>
      <c r="I8009">
        <v>24</v>
      </c>
      <c r="J8009">
        <v>0</v>
      </c>
      <c r="K8009" t="str">
        <f t="shared" si="1440"/>
        <v>801</v>
      </c>
      <c r="L8009">
        <v>20.16</v>
      </c>
    </row>
    <row r="8010" spans="1:12" x14ac:dyDescent="0.25">
      <c r="A8010" t="str">
        <f t="shared" si="1441"/>
        <v>89301000</v>
      </c>
      <c r="B8010" t="str">
        <f t="shared" si="1437"/>
        <v>93501000</v>
      </c>
      <c r="C8010" t="str">
        <f t="shared" si="1438"/>
        <v>93501001</v>
      </c>
      <c r="D8010">
        <v>89301167</v>
      </c>
      <c r="E8010" t="str">
        <f t="shared" si="1442"/>
        <v>470127462</v>
      </c>
      <c r="F8010" s="1">
        <v>45119</v>
      </c>
      <c r="G8010" t="str">
        <f>"81393"</f>
        <v>81393</v>
      </c>
      <c r="H8010">
        <v>1</v>
      </c>
      <c r="I8010">
        <v>24</v>
      </c>
      <c r="J8010">
        <v>0</v>
      </c>
      <c r="K8010" t="str">
        <f t="shared" si="1440"/>
        <v>801</v>
      </c>
      <c r="L8010">
        <v>20.16</v>
      </c>
    </row>
    <row r="8011" spans="1:12" x14ac:dyDescent="0.25">
      <c r="A8011" t="str">
        <f t="shared" si="1441"/>
        <v>89301000</v>
      </c>
      <c r="B8011" t="str">
        <f t="shared" si="1437"/>
        <v>93501000</v>
      </c>
      <c r="C8011" t="str">
        <f t="shared" si="1438"/>
        <v>93501001</v>
      </c>
      <c r="D8011">
        <v>89301167</v>
      </c>
      <c r="E8011" t="str">
        <f t="shared" si="1442"/>
        <v>470127462</v>
      </c>
      <c r="F8011" s="1">
        <v>45119</v>
      </c>
      <c r="G8011" t="str">
        <f>"81421"</f>
        <v>81421</v>
      </c>
      <c r="H8011">
        <v>1</v>
      </c>
      <c r="I8011">
        <v>19</v>
      </c>
      <c r="J8011">
        <v>0</v>
      </c>
      <c r="K8011" t="str">
        <f t="shared" si="1440"/>
        <v>801</v>
      </c>
      <c r="L8011">
        <v>15.96</v>
      </c>
    </row>
    <row r="8012" spans="1:12" x14ac:dyDescent="0.25">
      <c r="A8012" t="str">
        <f t="shared" si="1441"/>
        <v>89301000</v>
      </c>
      <c r="B8012" t="str">
        <f t="shared" si="1437"/>
        <v>93501000</v>
      </c>
      <c r="C8012" t="str">
        <f t="shared" si="1438"/>
        <v>93501001</v>
      </c>
      <c r="D8012">
        <v>89301167</v>
      </c>
      <c r="E8012" t="str">
        <f t="shared" si="1442"/>
        <v>470127462</v>
      </c>
      <c r="F8012" s="1">
        <v>45119</v>
      </c>
      <c r="G8012" t="str">
        <f>"81435"</f>
        <v>81435</v>
      </c>
      <c r="H8012">
        <v>1</v>
      </c>
      <c r="I8012">
        <v>22</v>
      </c>
      <c r="J8012">
        <v>0</v>
      </c>
      <c r="K8012" t="str">
        <f t="shared" si="1440"/>
        <v>801</v>
      </c>
      <c r="L8012">
        <v>18.48</v>
      </c>
    </row>
    <row r="8013" spans="1:12" x14ac:dyDescent="0.25">
      <c r="A8013" t="str">
        <f t="shared" si="1441"/>
        <v>89301000</v>
      </c>
      <c r="B8013" t="str">
        <f t="shared" si="1437"/>
        <v>93501000</v>
      </c>
      <c r="C8013" t="str">
        <f t="shared" si="1438"/>
        <v>93501001</v>
      </c>
      <c r="D8013">
        <v>89301167</v>
      </c>
      <c r="E8013" t="str">
        <f t="shared" si="1442"/>
        <v>470127462</v>
      </c>
      <c r="F8013" s="1">
        <v>45119</v>
      </c>
      <c r="G8013" t="str">
        <f>"81439"</f>
        <v>81439</v>
      </c>
      <c r="H8013">
        <v>1</v>
      </c>
      <c r="I8013">
        <v>16</v>
      </c>
      <c r="J8013">
        <v>0</v>
      </c>
      <c r="K8013" t="str">
        <f t="shared" si="1440"/>
        <v>801</v>
      </c>
      <c r="L8013">
        <v>13.44</v>
      </c>
    </row>
    <row r="8014" spans="1:12" x14ac:dyDescent="0.25">
      <c r="A8014" t="str">
        <f t="shared" si="1441"/>
        <v>89301000</v>
      </c>
      <c r="B8014" t="str">
        <f t="shared" si="1437"/>
        <v>93501000</v>
      </c>
      <c r="C8014" t="str">
        <f t="shared" si="1438"/>
        <v>93501001</v>
      </c>
      <c r="D8014">
        <v>89301167</v>
      </c>
      <c r="E8014" t="str">
        <f t="shared" si="1442"/>
        <v>470127462</v>
      </c>
      <c r="F8014" s="1">
        <v>45119</v>
      </c>
      <c r="G8014" t="str">
        <f>"81469"</f>
        <v>81469</v>
      </c>
      <c r="H8014">
        <v>1</v>
      </c>
      <c r="I8014">
        <v>16</v>
      </c>
      <c r="J8014">
        <v>0</v>
      </c>
      <c r="K8014" t="str">
        <f t="shared" si="1440"/>
        <v>801</v>
      </c>
      <c r="L8014">
        <v>13.44</v>
      </c>
    </row>
    <row r="8015" spans="1:12" x14ac:dyDescent="0.25">
      <c r="A8015" t="str">
        <f t="shared" si="1441"/>
        <v>89301000</v>
      </c>
      <c r="B8015" t="str">
        <f t="shared" si="1437"/>
        <v>93501000</v>
      </c>
      <c r="C8015" t="str">
        <f t="shared" si="1438"/>
        <v>93501001</v>
      </c>
      <c r="D8015">
        <v>89301167</v>
      </c>
      <c r="E8015" t="str">
        <f t="shared" si="1442"/>
        <v>470127462</v>
      </c>
      <c r="F8015" s="1">
        <v>45119</v>
      </c>
      <c r="G8015" t="str">
        <f>"81499"</f>
        <v>81499</v>
      </c>
      <c r="H8015">
        <v>1</v>
      </c>
      <c r="I8015">
        <v>18</v>
      </c>
      <c r="J8015">
        <v>0</v>
      </c>
      <c r="K8015" t="str">
        <f t="shared" si="1440"/>
        <v>801</v>
      </c>
      <c r="L8015">
        <v>15.12</v>
      </c>
    </row>
    <row r="8016" spans="1:12" x14ac:dyDescent="0.25">
      <c r="A8016" t="str">
        <f t="shared" si="1441"/>
        <v>89301000</v>
      </c>
      <c r="B8016" t="str">
        <f t="shared" si="1437"/>
        <v>93501000</v>
      </c>
      <c r="C8016" t="str">
        <f t="shared" si="1438"/>
        <v>93501001</v>
      </c>
      <c r="D8016">
        <v>89301167</v>
      </c>
      <c r="E8016" t="str">
        <f t="shared" si="1442"/>
        <v>470127462</v>
      </c>
      <c r="F8016" s="1">
        <v>45119</v>
      </c>
      <c r="G8016" t="str">
        <f>"81523"</f>
        <v>81523</v>
      </c>
      <c r="H8016">
        <v>1</v>
      </c>
      <c r="I8016">
        <v>23</v>
      </c>
      <c r="J8016">
        <v>0</v>
      </c>
      <c r="K8016" t="str">
        <f t="shared" si="1440"/>
        <v>801</v>
      </c>
      <c r="L8016">
        <v>19.32</v>
      </c>
    </row>
    <row r="8017" spans="1:12" x14ac:dyDescent="0.25">
      <c r="A8017" t="str">
        <f t="shared" si="1441"/>
        <v>89301000</v>
      </c>
      <c r="B8017" t="str">
        <f t="shared" si="1437"/>
        <v>93501000</v>
      </c>
      <c r="C8017" t="str">
        <f t="shared" si="1438"/>
        <v>93501001</v>
      </c>
      <c r="D8017">
        <v>89301167</v>
      </c>
      <c r="E8017" t="str">
        <f t="shared" si="1442"/>
        <v>470127462</v>
      </c>
      <c r="F8017" s="1">
        <v>45119</v>
      </c>
      <c r="G8017" t="str">
        <f>"81593"</f>
        <v>81593</v>
      </c>
      <c r="H8017">
        <v>1</v>
      </c>
      <c r="I8017">
        <v>22</v>
      </c>
      <c r="J8017">
        <v>0</v>
      </c>
      <c r="K8017" t="str">
        <f t="shared" si="1440"/>
        <v>801</v>
      </c>
      <c r="L8017">
        <v>18.48</v>
      </c>
    </row>
    <row r="8018" spans="1:12" x14ac:dyDescent="0.25">
      <c r="A8018" t="str">
        <f t="shared" si="1441"/>
        <v>89301000</v>
      </c>
      <c r="B8018" t="str">
        <f t="shared" si="1437"/>
        <v>93501000</v>
      </c>
      <c r="C8018" t="str">
        <f t="shared" si="1438"/>
        <v>93501001</v>
      </c>
      <c r="D8018">
        <v>89301167</v>
      </c>
      <c r="E8018" t="str">
        <f t="shared" si="1442"/>
        <v>470127462</v>
      </c>
      <c r="F8018" s="1">
        <v>45119</v>
      </c>
      <c r="G8018" t="str">
        <f>"81621"</f>
        <v>81621</v>
      </c>
      <c r="H8018">
        <v>1</v>
      </c>
      <c r="I8018">
        <v>19</v>
      </c>
      <c r="J8018">
        <v>0</v>
      </c>
      <c r="K8018" t="str">
        <f t="shared" si="1440"/>
        <v>801</v>
      </c>
      <c r="L8018">
        <v>15.96</v>
      </c>
    </row>
    <row r="8019" spans="1:12" x14ac:dyDescent="0.25">
      <c r="A8019" t="str">
        <f t="shared" si="1441"/>
        <v>89301000</v>
      </c>
      <c r="B8019" t="str">
        <f t="shared" si="1437"/>
        <v>93501000</v>
      </c>
      <c r="C8019" t="str">
        <f t="shared" si="1438"/>
        <v>93501001</v>
      </c>
      <c r="D8019">
        <v>89301167</v>
      </c>
      <c r="E8019" t="str">
        <f t="shared" si="1442"/>
        <v>470127462</v>
      </c>
      <c r="F8019" s="1">
        <v>45119</v>
      </c>
      <c r="G8019" t="str">
        <f>"81625"</f>
        <v>81625</v>
      </c>
      <c r="H8019">
        <v>1</v>
      </c>
      <c r="I8019">
        <v>21</v>
      </c>
      <c r="J8019">
        <v>0</v>
      </c>
      <c r="K8019" t="str">
        <f t="shared" si="1440"/>
        <v>801</v>
      </c>
      <c r="L8019">
        <v>17.64</v>
      </c>
    </row>
    <row r="8020" spans="1:12" x14ac:dyDescent="0.25">
      <c r="A8020" t="str">
        <f t="shared" si="1441"/>
        <v>89301000</v>
      </c>
      <c r="B8020" t="str">
        <f t="shared" si="1437"/>
        <v>93501000</v>
      </c>
      <c r="C8020" t="str">
        <f t="shared" si="1438"/>
        <v>93501001</v>
      </c>
      <c r="D8020">
        <v>89301167</v>
      </c>
      <c r="E8020" t="str">
        <f t="shared" si="1442"/>
        <v>470127462</v>
      </c>
      <c r="F8020" s="1">
        <v>45119</v>
      </c>
      <c r="G8020" t="str">
        <f>"91153"</f>
        <v>91153</v>
      </c>
      <c r="H8020">
        <v>1</v>
      </c>
      <c r="I8020">
        <v>153</v>
      </c>
      <c r="J8020">
        <v>0</v>
      </c>
      <c r="K8020" t="str">
        <f t="shared" si="1440"/>
        <v>801</v>
      </c>
      <c r="L8020">
        <v>128.52000000000001</v>
      </c>
    </row>
    <row r="8021" spans="1:12" x14ac:dyDescent="0.25">
      <c r="A8021" t="str">
        <f t="shared" si="1441"/>
        <v>89301000</v>
      </c>
      <c r="B8021" t="str">
        <f t="shared" si="1437"/>
        <v>93501000</v>
      </c>
      <c r="C8021" t="str">
        <f t="shared" si="1438"/>
        <v>93501001</v>
      </c>
      <c r="D8021">
        <v>89301167</v>
      </c>
      <c r="E8021" t="str">
        <f t="shared" si="1442"/>
        <v>470127462</v>
      </c>
      <c r="F8021" s="1">
        <v>45119</v>
      </c>
      <c r="G8021" t="str">
        <f>"97111"</f>
        <v>97111</v>
      </c>
      <c r="H8021">
        <v>1</v>
      </c>
      <c r="I8021">
        <v>19</v>
      </c>
      <c r="J8021">
        <v>0</v>
      </c>
      <c r="K8021" t="str">
        <f t="shared" si="1440"/>
        <v>801</v>
      </c>
      <c r="L8021">
        <v>23.94</v>
      </c>
    </row>
    <row r="8022" spans="1:12" x14ac:dyDescent="0.25">
      <c r="A8022" t="str">
        <f t="shared" si="1441"/>
        <v>89301000</v>
      </c>
      <c r="B8022" t="str">
        <f t="shared" si="1437"/>
        <v>93501000</v>
      </c>
      <c r="C8022" t="str">
        <f>"93501005"</f>
        <v>93501005</v>
      </c>
      <c r="D8022">
        <v>89301167</v>
      </c>
      <c r="E8022" t="str">
        <f>"6003120068"</f>
        <v>6003120068</v>
      </c>
      <c r="F8022" s="1">
        <v>45131</v>
      </c>
      <c r="G8022" t="str">
        <f>"96167"</f>
        <v>96167</v>
      </c>
      <c r="H8022">
        <v>1</v>
      </c>
      <c r="I8022">
        <v>67</v>
      </c>
      <c r="J8022">
        <v>0</v>
      </c>
      <c r="K8022" t="str">
        <f>"818"</f>
        <v>818</v>
      </c>
      <c r="L8022">
        <v>64.989999999999995</v>
      </c>
    </row>
    <row r="8023" spans="1:12" x14ac:dyDescent="0.25">
      <c r="A8023" t="str">
        <f t="shared" si="1441"/>
        <v>89301000</v>
      </c>
      <c r="B8023" t="str">
        <f t="shared" si="1437"/>
        <v>93501000</v>
      </c>
      <c r="C8023" t="str">
        <f>"93501005"</f>
        <v>93501005</v>
      </c>
      <c r="D8023">
        <v>89301167</v>
      </c>
      <c r="E8023" t="str">
        <f>"470127462"</f>
        <v>470127462</v>
      </c>
      <c r="F8023" s="1">
        <v>45119</v>
      </c>
      <c r="G8023" t="str">
        <f>"96167"</f>
        <v>96167</v>
      </c>
      <c r="H8023">
        <v>1</v>
      </c>
      <c r="I8023">
        <v>67</v>
      </c>
      <c r="J8023">
        <v>0</v>
      </c>
      <c r="K8023" t="str">
        <f>"818"</f>
        <v>818</v>
      </c>
      <c r="L8023">
        <v>64.989999999999995</v>
      </c>
    </row>
    <row r="8024" spans="1:12" x14ac:dyDescent="0.25">
      <c r="A8024" t="str">
        <f t="shared" si="1441"/>
        <v>89301000</v>
      </c>
      <c r="B8024" t="str">
        <f t="shared" ref="B8024:B8055" si="1443">"78915000"</f>
        <v>78915000</v>
      </c>
      <c r="C8024" t="str">
        <f t="shared" ref="C8024:C8055" si="1444">"78915001"</f>
        <v>78915001</v>
      </c>
      <c r="D8024">
        <v>89301106</v>
      </c>
      <c r="E8024" t="str">
        <f>"1301170299"</f>
        <v>1301170299</v>
      </c>
      <c r="F8024" s="1">
        <v>45111</v>
      </c>
      <c r="G8024" t="str">
        <f>"89713"</f>
        <v>89713</v>
      </c>
      <c r="H8024">
        <v>2</v>
      </c>
      <c r="I8024">
        <v>10822</v>
      </c>
      <c r="J8024">
        <v>0</v>
      </c>
      <c r="K8024" t="str">
        <f t="shared" ref="K8024:K8055" si="1445">"809"</f>
        <v>809</v>
      </c>
      <c r="L8024">
        <v>7034.3</v>
      </c>
    </row>
    <row r="8025" spans="1:12" x14ac:dyDescent="0.25">
      <c r="A8025" t="str">
        <f t="shared" si="1441"/>
        <v>89301000</v>
      </c>
      <c r="B8025" t="str">
        <f t="shared" si="1443"/>
        <v>78915000</v>
      </c>
      <c r="C8025" t="str">
        <f t="shared" si="1444"/>
        <v>78915001</v>
      </c>
      <c r="D8025">
        <v>89301106</v>
      </c>
      <c r="E8025" t="str">
        <f>"1301170299"</f>
        <v>1301170299</v>
      </c>
      <c r="F8025" s="1">
        <v>45111</v>
      </c>
      <c r="G8025" t="str">
        <f>"89725"</f>
        <v>89725</v>
      </c>
      <c r="H8025">
        <v>1</v>
      </c>
      <c r="I8025">
        <v>2863</v>
      </c>
      <c r="J8025">
        <v>0</v>
      </c>
      <c r="K8025" t="str">
        <f t="shared" si="1445"/>
        <v>809</v>
      </c>
      <c r="L8025">
        <v>1860.95</v>
      </c>
    </row>
    <row r="8026" spans="1:12" x14ac:dyDescent="0.25">
      <c r="A8026" t="str">
        <f t="shared" si="1441"/>
        <v>89301000</v>
      </c>
      <c r="B8026" t="str">
        <f t="shared" si="1443"/>
        <v>78915000</v>
      </c>
      <c r="C8026" t="str">
        <f t="shared" si="1444"/>
        <v>78915001</v>
      </c>
      <c r="D8026">
        <v>89301062</v>
      </c>
      <c r="E8026" t="str">
        <f>"535130128"</f>
        <v>535130128</v>
      </c>
      <c r="F8026" s="1">
        <v>45122</v>
      </c>
      <c r="G8026" t="str">
        <f>"89713"</f>
        <v>89713</v>
      </c>
      <c r="H8026">
        <v>2</v>
      </c>
      <c r="I8026">
        <v>10822</v>
      </c>
      <c r="J8026">
        <v>0</v>
      </c>
      <c r="K8026" t="str">
        <f t="shared" si="1445"/>
        <v>809</v>
      </c>
      <c r="L8026">
        <v>7034.3</v>
      </c>
    </row>
    <row r="8027" spans="1:12" x14ac:dyDescent="0.25">
      <c r="A8027" t="str">
        <f t="shared" si="1441"/>
        <v>89301000</v>
      </c>
      <c r="B8027" t="str">
        <f t="shared" si="1443"/>
        <v>78915000</v>
      </c>
      <c r="C8027" t="str">
        <f t="shared" si="1444"/>
        <v>78915001</v>
      </c>
      <c r="D8027">
        <v>89301062</v>
      </c>
      <c r="E8027" t="str">
        <f>"535130128"</f>
        <v>535130128</v>
      </c>
      <c r="F8027" s="1">
        <v>45122</v>
      </c>
      <c r="G8027" t="str">
        <f>"89725"</f>
        <v>89725</v>
      </c>
      <c r="H8027">
        <v>1</v>
      </c>
      <c r="I8027">
        <v>2863</v>
      </c>
      <c r="J8027">
        <v>0</v>
      </c>
      <c r="K8027" t="str">
        <f t="shared" si="1445"/>
        <v>809</v>
      </c>
      <c r="L8027">
        <v>1860.95</v>
      </c>
    </row>
    <row r="8028" spans="1:12" x14ac:dyDescent="0.25">
      <c r="A8028" t="str">
        <f t="shared" si="1441"/>
        <v>89301000</v>
      </c>
      <c r="B8028" t="str">
        <f t="shared" si="1443"/>
        <v>78915000</v>
      </c>
      <c r="C8028" t="str">
        <f t="shared" si="1444"/>
        <v>78915001</v>
      </c>
      <c r="D8028">
        <v>89301062</v>
      </c>
      <c r="E8028" t="str">
        <f>"6352101426"</f>
        <v>6352101426</v>
      </c>
      <c r="F8028" s="1">
        <v>45124</v>
      </c>
      <c r="G8028" t="str">
        <f>"89713"</f>
        <v>89713</v>
      </c>
      <c r="H8028">
        <v>1</v>
      </c>
      <c r="I8028">
        <v>5411</v>
      </c>
      <c r="J8028">
        <v>0</v>
      </c>
      <c r="K8028" t="str">
        <f t="shared" si="1445"/>
        <v>809</v>
      </c>
      <c r="L8028">
        <v>3517.15</v>
      </c>
    </row>
    <row r="8029" spans="1:12" x14ac:dyDescent="0.25">
      <c r="A8029" t="str">
        <f t="shared" si="1441"/>
        <v>89301000</v>
      </c>
      <c r="B8029" t="str">
        <f t="shared" si="1443"/>
        <v>78915000</v>
      </c>
      <c r="C8029" t="str">
        <f t="shared" si="1444"/>
        <v>78915001</v>
      </c>
      <c r="D8029">
        <v>89301062</v>
      </c>
      <c r="E8029" t="str">
        <f>"6352101426"</f>
        <v>6352101426</v>
      </c>
      <c r="F8029" s="1">
        <v>45124</v>
      </c>
      <c r="G8029" t="str">
        <f>"89725"</f>
        <v>89725</v>
      </c>
      <c r="H8029">
        <v>1</v>
      </c>
      <c r="I8029">
        <v>2863</v>
      </c>
      <c r="J8029">
        <v>0</v>
      </c>
      <c r="K8029" t="str">
        <f t="shared" si="1445"/>
        <v>809</v>
      </c>
      <c r="L8029">
        <v>1860.95</v>
      </c>
    </row>
    <row r="8030" spans="1:12" x14ac:dyDescent="0.25">
      <c r="A8030" t="str">
        <f t="shared" si="1441"/>
        <v>89301000</v>
      </c>
      <c r="B8030" t="str">
        <f t="shared" si="1443"/>
        <v>78915000</v>
      </c>
      <c r="C8030" t="str">
        <f t="shared" si="1444"/>
        <v>78915001</v>
      </c>
      <c r="D8030">
        <v>89301112</v>
      </c>
      <c r="E8030" t="str">
        <f>"6508191404"</f>
        <v>6508191404</v>
      </c>
      <c r="F8030" s="1">
        <v>45127</v>
      </c>
      <c r="G8030" t="str">
        <f>"09572"</f>
        <v>09572</v>
      </c>
      <c r="H8030">
        <v>1</v>
      </c>
      <c r="I8030">
        <v>0</v>
      </c>
      <c r="J8030">
        <v>0</v>
      </c>
      <c r="K8030" t="str">
        <f t="shared" si="1445"/>
        <v>809</v>
      </c>
      <c r="L8030">
        <v>0</v>
      </c>
    </row>
    <row r="8031" spans="1:12" x14ac:dyDescent="0.25">
      <c r="A8031" t="str">
        <f t="shared" si="1441"/>
        <v>89301000</v>
      </c>
      <c r="B8031" t="str">
        <f t="shared" si="1443"/>
        <v>78915000</v>
      </c>
      <c r="C8031" t="str">
        <f t="shared" si="1444"/>
        <v>78915001</v>
      </c>
      <c r="D8031">
        <v>89301112</v>
      </c>
      <c r="E8031" t="str">
        <f>"6508191404"</f>
        <v>6508191404</v>
      </c>
      <c r="F8031" s="1">
        <v>45127</v>
      </c>
      <c r="G8031" t="str">
        <f>"89713"</f>
        <v>89713</v>
      </c>
      <c r="H8031">
        <v>2</v>
      </c>
      <c r="I8031">
        <v>10822</v>
      </c>
      <c r="J8031">
        <v>0</v>
      </c>
      <c r="K8031" t="str">
        <f t="shared" si="1445"/>
        <v>809</v>
      </c>
      <c r="L8031">
        <v>7034.3</v>
      </c>
    </row>
    <row r="8032" spans="1:12" x14ac:dyDescent="0.25">
      <c r="A8032" t="str">
        <f t="shared" si="1441"/>
        <v>89301000</v>
      </c>
      <c r="B8032" t="str">
        <f t="shared" si="1443"/>
        <v>78915000</v>
      </c>
      <c r="C8032" t="str">
        <f t="shared" si="1444"/>
        <v>78915001</v>
      </c>
      <c r="D8032">
        <v>89301112</v>
      </c>
      <c r="E8032" t="str">
        <f>"6653212302"</f>
        <v>6653212302</v>
      </c>
      <c r="F8032" s="1">
        <v>45121</v>
      </c>
      <c r="G8032" t="str">
        <f>"09567"</f>
        <v>09567</v>
      </c>
      <c r="H8032">
        <v>1</v>
      </c>
      <c r="I8032">
        <v>0</v>
      </c>
      <c r="J8032">
        <v>0</v>
      </c>
      <c r="K8032" t="str">
        <f t="shared" si="1445"/>
        <v>809</v>
      </c>
      <c r="L8032">
        <v>0</v>
      </c>
    </row>
    <row r="8033" spans="1:12" x14ac:dyDescent="0.25">
      <c r="A8033" t="str">
        <f t="shared" si="1441"/>
        <v>89301000</v>
      </c>
      <c r="B8033" t="str">
        <f t="shared" si="1443"/>
        <v>78915000</v>
      </c>
      <c r="C8033" t="str">
        <f t="shared" si="1444"/>
        <v>78915001</v>
      </c>
      <c r="D8033">
        <v>89301112</v>
      </c>
      <c r="E8033" t="str">
        <f>"6653212302"</f>
        <v>6653212302</v>
      </c>
      <c r="F8033" s="1">
        <v>45121</v>
      </c>
      <c r="G8033" t="str">
        <f>"89713"</f>
        <v>89713</v>
      </c>
      <c r="H8033">
        <v>1</v>
      </c>
      <c r="I8033">
        <v>5411</v>
      </c>
      <c r="J8033">
        <v>0</v>
      </c>
      <c r="K8033" t="str">
        <f t="shared" si="1445"/>
        <v>809</v>
      </c>
      <c r="L8033">
        <v>3517.15</v>
      </c>
    </row>
    <row r="8034" spans="1:12" x14ac:dyDescent="0.25">
      <c r="A8034" t="str">
        <f t="shared" si="1441"/>
        <v>89301000</v>
      </c>
      <c r="B8034" t="str">
        <f t="shared" si="1443"/>
        <v>78915000</v>
      </c>
      <c r="C8034" t="str">
        <f t="shared" si="1444"/>
        <v>78915001</v>
      </c>
      <c r="D8034">
        <v>89301212</v>
      </c>
      <c r="E8034" t="str">
        <f>"6755112430"</f>
        <v>6755112430</v>
      </c>
      <c r="F8034" s="1">
        <v>45117</v>
      </c>
      <c r="G8034" t="str">
        <f>"89713"</f>
        <v>89713</v>
      </c>
      <c r="H8034">
        <v>1</v>
      </c>
      <c r="I8034">
        <v>5411</v>
      </c>
      <c r="J8034">
        <v>0</v>
      </c>
      <c r="K8034" t="str">
        <f t="shared" si="1445"/>
        <v>809</v>
      </c>
      <c r="L8034">
        <v>3517.15</v>
      </c>
    </row>
    <row r="8035" spans="1:12" x14ac:dyDescent="0.25">
      <c r="A8035" t="str">
        <f t="shared" si="1441"/>
        <v>89301000</v>
      </c>
      <c r="B8035" t="str">
        <f t="shared" si="1443"/>
        <v>78915000</v>
      </c>
      <c r="C8035" t="str">
        <f t="shared" si="1444"/>
        <v>78915001</v>
      </c>
      <c r="D8035">
        <v>89301212</v>
      </c>
      <c r="E8035" t="str">
        <f>"6755112430"</f>
        <v>6755112430</v>
      </c>
      <c r="F8035" s="1">
        <v>45117</v>
      </c>
      <c r="G8035" t="str">
        <f>"89725"</f>
        <v>89725</v>
      </c>
      <c r="H8035">
        <v>1</v>
      </c>
      <c r="I8035">
        <v>2863</v>
      </c>
      <c r="J8035">
        <v>0</v>
      </c>
      <c r="K8035" t="str">
        <f t="shared" si="1445"/>
        <v>809</v>
      </c>
      <c r="L8035">
        <v>1860.95</v>
      </c>
    </row>
    <row r="8036" spans="1:12" x14ac:dyDescent="0.25">
      <c r="A8036" t="str">
        <f t="shared" si="1441"/>
        <v>89301000</v>
      </c>
      <c r="B8036" t="str">
        <f t="shared" si="1443"/>
        <v>78915000</v>
      </c>
      <c r="C8036" t="str">
        <f t="shared" si="1444"/>
        <v>78915001</v>
      </c>
      <c r="D8036">
        <v>89301212</v>
      </c>
      <c r="E8036" t="str">
        <f>"6755112430"</f>
        <v>6755112430</v>
      </c>
      <c r="F8036" s="1">
        <v>45117</v>
      </c>
      <c r="G8036" t="str">
        <f>"0207733"</f>
        <v>0207733</v>
      </c>
      <c r="H8036">
        <v>1.2</v>
      </c>
      <c r="J8036">
        <v>3108.64</v>
      </c>
      <c r="K8036" t="str">
        <f t="shared" si="1445"/>
        <v>809</v>
      </c>
      <c r="L8036">
        <v>3108.64</v>
      </c>
    </row>
    <row r="8037" spans="1:12" x14ac:dyDescent="0.25">
      <c r="A8037" t="str">
        <f t="shared" si="1441"/>
        <v>89301000</v>
      </c>
      <c r="B8037" t="str">
        <f t="shared" si="1443"/>
        <v>78915000</v>
      </c>
      <c r="C8037" t="str">
        <f t="shared" si="1444"/>
        <v>78915001</v>
      </c>
      <c r="D8037">
        <v>89301062</v>
      </c>
      <c r="E8037" t="str">
        <f>"6857190670"</f>
        <v>6857190670</v>
      </c>
      <c r="F8037" s="1">
        <v>45134</v>
      </c>
      <c r="G8037" t="str">
        <f>"89713"</f>
        <v>89713</v>
      </c>
      <c r="H8037">
        <v>1</v>
      </c>
      <c r="I8037">
        <v>5411</v>
      </c>
      <c r="J8037">
        <v>0</v>
      </c>
      <c r="K8037" t="str">
        <f t="shared" si="1445"/>
        <v>809</v>
      </c>
      <c r="L8037">
        <v>3517.15</v>
      </c>
    </row>
    <row r="8038" spans="1:12" x14ac:dyDescent="0.25">
      <c r="A8038" t="str">
        <f t="shared" si="1441"/>
        <v>89301000</v>
      </c>
      <c r="B8038" t="str">
        <f t="shared" si="1443"/>
        <v>78915000</v>
      </c>
      <c r="C8038" t="str">
        <f t="shared" si="1444"/>
        <v>78915001</v>
      </c>
      <c r="D8038">
        <v>89301212</v>
      </c>
      <c r="E8038" t="str">
        <f>"7059135303"</f>
        <v>7059135303</v>
      </c>
      <c r="F8038" s="1">
        <v>45119</v>
      </c>
      <c r="G8038" t="str">
        <f>"89715"</f>
        <v>89715</v>
      </c>
      <c r="H8038">
        <v>1</v>
      </c>
      <c r="I8038">
        <v>5523</v>
      </c>
      <c r="J8038">
        <v>0</v>
      </c>
      <c r="K8038" t="str">
        <f t="shared" si="1445"/>
        <v>809</v>
      </c>
      <c r="L8038">
        <v>3589.95</v>
      </c>
    </row>
    <row r="8039" spans="1:12" x14ac:dyDescent="0.25">
      <c r="A8039" t="str">
        <f t="shared" si="1441"/>
        <v>89301000</v>
      </c>
      <c r="B8039" t="str">
        <f t="shared" si="1443"/>
        <v>78915000</v>
      </c>
      <c r="C8039" t="str">
        <f t="shared" si="1444"/>
        <v>78915001</v>
      </c>
      <c r="D8039">
        <v>89301212</v>
      </c>
      <c r="E8039" t="str">
        <f>"7059135303"</f>
        <v>7059135303</v>
      </c>
      <c r="F8039" s="1">
        <v>45119</v>
      </c>
      <c r="G8039" t="str">
        <f>"89725"</f>
        <v>89725</v>
      </c>
      <c r="H8039">
        <v>1</v>
      </c>
      <c r="I8039">
        <v>2863</v>
      </c>
      <c r="J8039">
        <v>0</v>
      </c>
      <c r="K8039" t="str">
        <f t="shared" si="1445"/>
        <v>809</v>
      </c>
      <c r="L8039">
        <v>1860.95</v>
      </c>
    </row>
    <row r="8040" spans="1:12" x14ac:dyDescent="0.25">
      <c r="A8040" t="str">
        <f t="shared" si="1441"/>
        <v>89301000</v>
      </c>
      <c r="B8040" t="str">
        <f t="shared" si="1443"/>
        <v>78915000</v>
      </c>
      <c r="C8040" t="str">
        <f t="shared" si="1444"/>
        <v>78915001</v>
      </c>
      <c r="D8040">
        <v>89301212</v>
      </c>
      <c r="E8040" t="str">
        <f>"7059135303"</f>
        <v>7059135303</v>
      </c>
      <c r="F8040" s="1">
        <v>45119</v>
      </c>
      <c r="G8040" t="str">
        <f>"0207733"</f>
        <v>0207733</v>
      </c>
      <c r="H8040">
        <v>1</v>
      </c>
      <c r="J8040">
        <v>2590.5300000000002</v>
      </c>
      <c r="K8040" t="str">
        <f t="shared" si="1445"/>
        <v>809</v>
      </c>
      <c r="L8040">
        <v>2590.5300000000002</v>
      </c>
    </row>
    <row r="8041" spans="1:12" x14ac:dyDescent="0.25">
      <c r="A8041" t="str">
        <f t="shared" si="1441"/>
        <v>89301000</v>
      </c>
      <c r="B8041" t="str">
        <f t="shared" si="1443"/>
        <v>78915000</v>
      </c>
      <c r="C8041" t="str">
        <f t="shared" si="1444"/>
        <v>78915001</v>
      </c>
      <c r="D8041">
        <v>89301112</v>
      </c>
      <c r="E8041" t="str">
        <f>"7505014627"</f>
        <v>7505014627</v>
      </c>
      <c r="F8041" s="1">
        <v>45138</v>
      </c>
      <c r="G8041" t="str">
        <f>"09569"</f>
        <v>09569</v>
      </c>
      <c r="H8041">
        <v>1</v>
      </c>
      <c r="I8041">
        <v>0</v>
      </c>
      <c r="J8041">
        <v>0</v>
      </c>
      <c r="K8041" t="str">
        <f t="shared" si="1445"/>
        <v>809</v>
      </c>
      <c r="L8041">
        <v>0</v>
      </c>
    </row>
    <row r="8042" spans="1:12" x14ac:dyDescent="0.25">
      <c r="A8042" t="str">
        <f t="shared" si="1441"/>
        <v>89301000</v>
      </c>
      <c r="B8042" t="str">
        <f t="shared" si="1443"/>
        <v>78915000</v>
      </c>
      <c r="C8042" t="str">
        <f t="shared" si="1444"/>
        <v>78915001</v>
      </c>
      <c r="D8042">
        <v>89301112</v>
      </c>
      <c r="E8042" t="str">
        <f>"7505014627"</f>
        <v>7505014627</v>
      </c>
      <c r="F8042" s="1">
        <v>45138</v>
      </c>
      <c r="G8042" t="str">
        <f>"89713"</f>
        <v>89713</v>
      </c>
      <c r="H8042">
        <v>1</v>
      </c>
      <c r="I8042">
        <v>5411</v>
      </c>
      <c r="J8042">
        <v>0</v>
      </c>
      <c r="K8042" t="str">
        <f t="shared" si="1445"/>
        <v>809</v>
      </c>
      <c r="L8042">
        <v>3517.15</v>
      </c>
    </row>
    <row r="8043" spans="1:12" x14ac:dyDescent="0.25">
      <c r="A8043" t="str">
        <f t="shared" si="1441"/>
        <v>89301000</v>
      </c>
      <c r="B8043" t="str">
        <f t="shared" si="1443"/>
        <v>78915000</v>
      </c>
      <c r="C8043" t="str">
        <f t="shared" si="1444"/>
        <v>78915001</v>
      </c>
      <c r="D8043">
        <v>89301112</v>
      </c>
      <c r="E8043" t="str">
        <f>"7505105322"</f>
        <v>7505105322</v>
      </c>
      <c r="F8043" s="1">
        <v>45114</v>
      </c>
      <c r="G8043" t="str">
        <f>"09567"</f>
        <v>09567</v>
      </c>
      <c r="H8043">
        <v>1</v>
      </c>
      <c r="I8043">
        <v>0</v>
      </c>
      <c r="J8043">
        <v>0</v>
      </c>
      <c r="K8043" t="str">
        <f t="shared" si="1445"/>
        <v>809</v>
      </c>
      <c r="L8043">
        <v>0</v>
      </c>
    </row>
    <row r="8044" spans="1:12" x14ac:dyDescent="0.25">
      <c r="A8044" t="str">
        <f t="shared" si="1441"/>
        <v>89301000</v>
      </c>
      <c r="B8044" t="str">
        <f t="shared" si="1443"/>
        <v>78915000</v>
      </c>
      <c r="C8044" t="str">
        <f t="shared" si="1444"/>
        <v>78915001</v>
      </c>
      <c r="D8044">
        <v>89301112</v>
      </c>
      <c r="E8044" t="str">
        <f>"7505105322"</f>
        <v>7505105322</v>
      </c>
      <c r="F8044" s="1">
        <v>45114</v>
      </c>
      <c r="G8044" t="str">
        <f>"89713"</f>
        <v>89713</v>
      </c>
      <c r="H8044">
        <v>1</v>
      </c>
      <c r="I8044">
        <v>5411</v>
      </c>
      <c r="J8044">
        <v>0</v>
      </c>
      <c r="K8044" t="str">
        <f t="shared" si="1445"/>
        <v>809</v>
      </c>
      <c r="L8044">
        <v>3517.15</v>
      </c>
    </row>
    <row r="8045" spans="1:12" x14ac:dyDescent="0.25">
      <c r="A8045" t="str">
        <f t="shared" si="1441"/>
        <v>89301000</v>
      </c>
      <c r="B8045" t="str">
        <f t="shared" si="1443"/>
        <v>78915000</v>
      </c>
      <c r="C8045" t="str">
        <f t="shared" si="1444"/>
        <v>78915001</v>
      </c>
      <c r="D8045">
        <v>89301062</v>
      </c>
      <c r="E8045" t="str">
        <f>"7601204479"</f>
        <v>7601204479</v>
      </c>
      <c r="F8045" s="1">
        <v>45115</v>
      </c>
      <c r="G8045" t="str">
        <f>"89713"</f>
        <v>89713</v>
      </c>
      <c r="H8045">
        <v>1</v>
      </c>
      <c r="I8045">
        <v>5411</v>
      </c>
      <c r="J8045">
        <v>0</v>
      </c>
      <c r="K8045" t="str">
        <f t="shared" si="1445"/>
        <v>809</v>
      </c>
      <c r="L8045">
        <v>3517.15</v>
      </c>
    </row>
    <row r="8046" spans="1:12" x14ac:dyDescent="0.25">
      <c r="A8046" t="str">
        <f t="shared" si="1441"/>
        <v>89301000</v>
      </c>
      <c r="B8046" t="str">
        <f t="shared" si="1443"/>
        <v>78915000</v>
      </c>
      <c r="C8046" t="str">
        <f t="shared" si="1444"/>
        <v>78915001</v>
      </c>
      <c r="D8046">
        <v>89301062</v>
      </c>
      <c r="E8046" t="str">
        <f>"7601204479"</f>
        <v>7601204479</v>
      </c>
      <c r="F8046" s="1">
        <v>45115</v>
      </c>
      <c r="G8046" t="str">
        <f>"89725"</f>
        <v>89725</v>
      </c>
      <c r="H8046">
        <v>1</v>
      </c>
      <c r="I8046">
        <v>2863</v>
      </c>
      <c r="J8046">
        <v>0</v>
      </c>
      <c r="K8046" t="str">
        <f t="shared" si="1445"/>
        <v>809</v>
      </c>
      <c r="L8046">
        <v>1860.95</v>
      </c>
    </row>
    <row r="8047" spans="1:12" x14ac:dyDescent="0.25">
      <c r="A8047" t="str">
        <f t="shared" si="1441"/>
        <v>89301000</v>
      </c>
      <c r="B8047" t="str">
        <f t="shared" si="1443"/>
        <v>78915000</v>
      </c>
      <c r="C8047" t="str">
        <f t="shared" si="1444"/>
        <v>78915001</v>
      </c>
      <c r="D8047">
        <v>89301112</v>
      </c>
      <c r="E8047" t="str">
        <f>"7654085351"</f>
        <v>7654085351</v>
      </c>
      <c r="F8047" s="1">
        <v>45111</v>
      </c>
      <c r="G8047" t="str">
        <f>"09569"</f>
        <v>09569</v>
      </c>
      <c r="H8047">
        <v>1</v>
      </c>
      <c r="I8047">
        <v>0</v>
      </c>
      <c r="J8047">
        <v>0</v>
      </c>
      <c r="K8047" t="str">
        <f t="shared" si="1445"/>
        <v>809</v>
      </c>
      <c r="L8047">
        <v>0</v>
      </c>
    </row>
    <row r="8048" spans="1:12" x14ac:dyDescent="0.25">
      <c r="A8048" t="str">
        <f t="shared" si="1441"/>
        <v>89301000</v>
      </c>
      <c r="B8048" t="str">
        <f t="shared" si="1443"/>
        <v>78915000</v>
      </c>
      <c r="C8048" t="str">
        <f t="shared" si="1444"/>
        <v>78915001</v>
      </c>
      <c r="D8048">
        <v>89301112</v>
      </c>
      <c r="E8048" t="str">
        <f>"7654085351"</f>
        <v>7654085351</v>
      </c>
      <c r="F8048" s="1">
        <v>45111</v>
      </c>
      <c r="G8048" t="str">
        <f>"89713"</f>
        <v>89713</v>
      </c>
      <c r="H8048">
        <v>1</v>
      </c>
      <c r="I8048">
        <v>5411</v>
      </c>
      <c r="J8048">
        <v>0</v>
      </c>
      <c r="K8048" t="str">
        <f t="shared" si="1445"/>
        <v>809</v>
      </c>
      <c r="L8048">
        <v>3517.15</v>
      </c>
    </row>
    <row r="8049" spans="1:12" x14ac:dyDescent="0.25">
      <c r="A8049" t="str">
        <f t="shared" si="1441"/>
        <v>89301000</v>
      </c>
      <c r="B8049" t="str">
        <f t="shared" si="1443"/>
        <v>78915000</v>
      </c>
      <c r="C8049" t="str">
        <f t="shared" si="1444"/>
        <v>78915001</v>
      </c>
      <c r="D8049">
        <v>89301172</v>
      </c>
      <c r="E8049" t="str">
        <f>"7657244518"</f>
        <v>7657244518</v>
      </c>
      <c r="F8049" s="1">
        <v>45133</v>
      </c>
      <c r="G8049" t="str">
        <f>"89713"</f>
        <v>89713</v>
      </c>
      <c r="H8049">
        <v>2</v>
      </c>
      <c r="I8049">
        <v>10822</v>
      </c>
      <c r="J8049">
        <v>0</v>
      </c>
      <c r="K8049" t="str">
        <f t="shared" si="1445"/>
        <v>809</v>
      </c>
      <c r="L8049">
        <v>7034.3</v>
      </c>
    </row>
    <row r="8050" spans="1:12" x14ac:dyDescent="0.25">
      <c r="A8050" t="str">
        <f t="shared" si="1441"/>
        <v>89301000</v>
      </c>
      <c r="B8050" t="str">
        <f t="shared" si="1443"/>
        <v>78915000</v>
      </c>
      <c r="C8050" t="str">
        <f t="shared" si="1444"/>
        <v>78915001</v>
      </c>
      <c r="D8050">
        <v>89301112</v>
      </c>
      <c r="E8050" t="str">
        <f>"7704084850"</f>
        <v>7704084850</v>
      </c>
      <c r="F8050" s="1">
        <v>45120</v>
      </c>
      <c r="G8050" t="str">
        <f>"09572"</f>
        <v>09572</v>
      </c>
      <c r="H8050">
        <v>1</v>
      </c>
      <c r="I8050">
        <v>0</v>
      </c>
      <c r="J8050">
        <v>0</v>
      </c>
      <c r="K8050" t="str">
        <f t="shared" si="1445"/>
        <v>809</v>
      </c>
      <c r="L8050">
        <v>0</v>
      </c>
    </row>
    <row r="8051" spans="1:12" x14ac:dyDescent="0.25">
      <c r="A8051" t="str">
        <f t="shared" si="1441"/>
        <v>89301000</v>
      </c>
      <c r="B8051" t="str">
        <f t="shared" si="1443"/>
        <v>78915000</v>
      </c>
      <c r="C8051" t="str">
        <f t="shared" si="1444"/>
        <v>78915001</v>
      </c>
      <c r="D8051">
        <v>89301112</v>
      </c>
      <c r="E8051" t="str">
        <f>"7704084850"</f>
        <v>7704084850</v>
      </c>
      <c r="F8051" s="1">
        <v>45120</v>
      </c>
      <c r="G8051" t="str">
        <f>"89713"</f>
        <v>89713</v>
      </c>
      <c r="H8051">
        <v>2</v>
      </c>
      <c r="I8051">
        <v>10822</v>
      </c>
      <c r="J8051">
        <v>0</v>
      </c>
      <c r="K8051" t="str">
        <f t="shared" si="1445"/>
        <v>809</v>
      </c>
      <c r="L8051">
        <v>7034.3</v>
      </c>
    </row>
    <row r="8052" spans="1:12" x14ac:dyDescent="0.25">
      <c r="A8052" t="str">
        <f t="shared" si="1441"/>
        <v>89301000</v>
      </c>
      <c r="B8052" t="str">
        <f t="shared" si="1443"/>
        <v>78915000</v>
      </c>
      <c r="C8052" t="str">
        <f t="shared" si="1444"/>
        <v>78915001</v>
      </c>
      <c r="D8052">
        <v>89301112</v>
      </c>
      <c r="E8052" t="str">
        <f>"7708175321"</f>
        <v>7708175321</v>
      </c>
      <c r="F8052" s="1">
        <v>45121</v>
      </c>
      <c r="G8052" t="str">
        <f>"09569"</f>
        <v>09569</v>
      </c>
      <c r="H8052">
        <v>1</v>
      </c>
      <c r="I8052">
        <v>0</v>
      </c>
      <c r="J8052">
        <v>0</v>
      </c>
      <c r="K8052" t="str">
        <f t="shared" si="1445"/>
        <v>809</v>
      </c>
      <c r="L8052">
        <v>0</v>
      </c>
    </row>
    <row r="8053" spans="1:12" x14ac:dyDescent="0.25">
      <c r="A8053" t="str">
        <f t="shared" si="1441"/>
        <v>89301000</v>
      </c>
      <c r="B8053" t="str">
        <f t="shared" si="1443"/>
        <v>78915000</v>
      </c>
      <c r="C8053" t="str">
        <f t="shared" si="1444"/>
        <v>78915001</v>
      </c>
      <c r="D8053">
        <v>89301112</v>
      </c>
      <c r="E8053" t="str">
        <f>"7708175321"</f>
        <v>7708175321</v>
      </c>
      <c r="F8053" s="1">
        <v>45121</v>
      </c>
      <c r="G8053" t="str">
        <f>"89713"</f>
        <v>89713</v>
      </c>
      <c r="H8053">
        <v>1</v>
      </c>
      <c r="I8053">
        <v>5411</v>
      </c>
      <c r="J8053">
        <v>0</v>
      </c>
      <c r="K8053" t="str">
        <f t="shared" si="1445"/>
        <v>809</v>
      </c>
      <c r="L8053">
        <v>3517.15</v>
      </c>
    </row>
    <row r="8054" spans="1:12" x14ac:dyDescent="0.25">
      <c r="A8054" t="str">
        <f t="shared" si="1441"/>
        <v>89301000</v>
      </c>
      <c r="B8054" t="str">
        <f t="shared" si="1443"/>
        <v>78915000</v>
      </c>
      <c r="C8054" t="str">
        <f t="shared" si="1444"/>
        <v>78915001</v>
      </c>
      <c r="D8054">
        <v>89301312</v>
      </c>
      <c r="E8054" t="str">
        <f>"7804124768"</f>
        <v>7804124768</v>
      </c>
      <c r="F8054" s="1">
        <v>45131</v>
      </c>
      <c r="G8054" t="str">
        <f>"09569"</f>
        <v>09569</v>
      </c>
      <c r="H8054">
        <v>1</v>
      </c>
      <c r="I8054">
        <v>0</v>
      </c>
      <c r="J8054">
        <v>0</v>
      </c>
      <c r="K8054" t="str">
        <f t="shared" si="1445"/>
        <v>809</v>
      </c>
      <c r="L8054">
        <v>0</v>
      </c>
    </row>
    <row r="8055" spans="1:12" x14ac:dyDescent="0.25">
      <c r="A8055" t="str">
        <f t="shared" si="1441"/>
        <v>89301000</v>
      </c>
      <c r="B8055" t="str">
        <f t="shared" si="1443"/>
        <v>78915000</v>
      </c>
      <c r="C8055" t="str">
        <f t="shared" si="1444"/>
        <v>78915001</v>
      </c>
      <c r="D8055">
        <v>89301312</v>
      </c>
      <c r="E8055" t="str">
        <f>"7804124768"</f>
        <v>7804124768</v>
      </c>
      <c r="F8055" s="1">
        <v>45131</v>
      </c>
      <c r="G8055" t="str">
        <f>"89713"</f>
        <v>89713</v>
      </c>
      <c r="H8055">
        <v>1</v>
      </c>
      <c r="I8055">
        <v>5411</v>
      </c>
      <c r="J8055">
        <v>0</v>
      </c>
      <c r="K8055" t="str">
        <f t="shared" si="1445"/>
        <v>809</v>
      </c>
      <c r="L8055">
        <v>3517.15</v>
      </c>
    </row>
    <row r="8056" spans="1:12" x14ac:dyDescent="0.25">
      <c r="A8056" t="str">
        <f t="shared" si="1441"/>
        <v>89301000</v>
      </c>
      <c r="B8056" t="str">
        <f t="shared" ref="B8056:B8074" si="1446">"78915000"</f>
        <v>78915000</v>
      </c>
      <c r="C8056" t="str">
        <f t="shared" ref="C8056:C8074" si="1447">"78915001"</f>
        <v>78915001</v>
      </c>
      <c r="D8056">
        <v>89301312</v>
      </c>
      <c r="E8056" t="str">
        <f>"7901105333"</f>
        <v>7901105333</v>
      </c>
      <c r="F8056" s="1">
        <v>45122</v>
      </c>
      <c r="G8056" t="str">
        <f>"09567"</f>
        <v>09567</v>
      </c>
      <c r="H8056">
        <v>1</v>
      </c>
      <c r="I8056">
        <v>0</v>
      </c>
      <c r="J8056">
        <v>0</v>
      </c>
      <c r="K8056" t="str">
        <f t="shared" ref="K8056:K8087" si="1448">"809"</f>
        <v>809</v>
      </c>
      <c r="L8056">
        <v>0</v>
      </c>
    </row>
    <row r="8057" spans="1:12" x14ac:dyDescent="0.25">
      <c r="A8057" t="str">
        <f t="shared" si="1441"/>
        <v>89301000</v>
      </c>
      <c r="B8057" t="str">
        <f t="shared" si="1446"/>
        <v>78915000</v>
      </c>
      <c r="C8057" t="str">
        <f t="shared" si="1447"/>
        <v>78915001</v>
      </c>
      <c r="D8057">
        <v>89301312</v>
      </c>
      <c r="E8057" t="str">
        <f>"7901105333"</f>
        <v>7901105333</v>
      </c>
      <c r="F8057" s="1">
        <v>45122</v>
      </c>
      <c r="G8057" t="str">
        <f>"89713"</f>
        <v>89713</v>
      </c>
      <c r="H8057">
        <v>1</v>
      </c>
      <c r="I8057">
        <v>5411</v>
      </c>
      <c r="J8057">
        <v>0</v>
      </c>
      <c r="K8057" t="str">
        <f t="shared" si="1448"/>
        <v>809</v>
      </c>
      <c r="L8057">
        <v>3517.15</v>
      </c>
    </row>
    <row r="8058" spans="1:12" x14ac:dyDescent="0.25">
      <c r="A8058" t="str">
        <f t="shared" si="1441"/>
        <v>89301000</v>
      </c>
      <c r="B8058" t="str">
        <f t="shared" si="1446"/>
        <v>78915000</v>
      </c>
      <c r="C8058" t="str">
        <f t="shared" si="1447"/>
        <v>78915001</v>
      </c>
      <c r="D8058">
        <v>89301062</v>
      </c>
      <c r="E8058" t="str">
        <f>"7962144850"</f>
        <v>7962144850</v>
      </c>
      <c r="F8058" s="1">
        <v>45118</v>
      </c>
      <c r="G8058" t="str">
        <f>"89713"</f>
        <v>89713</v>
      </c>
      <c r="H8058">
        <v>1</v>
      </c>
      <c r="I8058">
        <v>5411</v>
      </c>
      <c r="J8058">
        <v>0</v>
      </c>
      <c r="K8058" t="str">
        <f t="shared" si="1448"/>
        <v>809</v>
      </c>
      <c r="L8058">
        <v>3517.15</v>
      </c>
    </row>
    <row r="8059" spans="1:12" x14ac:dyDescent="0.25">
      <c r="A8059" t="str">
        <f t="shared" si="1441"/>
        <v>89301000</v>
      </c>
      <c r="B8059" t="str">
        <f t="shared" si="1446"/>
        <v>78915000</v>
      </c>
      <c r="C8059" t="str">
        <f t="shared" si="1447"/>
        <v>78915001</v>
      </c>
      <c r="D8059">
        <v>89301062</v>
      </c>
      <c r="E8059" t="str">
        <f>"7962144850"</f>
        <v>7962144850</v>
      </c>
      <c r="F8059" s="1">
        <v>45118</v>
      </c>
      <c r="G8059" t="str">
        <f>"89725"</f>
        <v>89725</v>
      </c>
      <c r="H8059">
        <v>1</v>
      </c>
      <c r="I8059">
        <v>2863</v>
      </c>
      <c r="J8059">
        <v>0</v>
      </c>
      <c r="K8059" t="str">
        <f t="shared" si="1448"/>
        <v>809</v>
      </c>
      <c r="L8059">
        <v>1860.95</v>
      </c>
    </row>
    <row r="8060" spans="1:12" x14ac:dyDescent="0.25">
      <c r="A8060" t="str">
        <f t="shared" si="1441"/>
        <v>89301000</v>
      </c>
      <c r="B8060" t="str">
        <f t="shared" si="1446"/>
        <v>78915000</v>
      </c>
      <c r="C8060" t="str">
        <f t="shared" si="1447"/>
        <v>78915001</v>
      </c>
      <c r="D8060">
        <v>89301112</v>
      </c>
      <c r="E8060" t="str">
        <f>"8703025771"</f>
        <v>8703025771</v>
      </c>
      <c r="F8060" s="1">
        <v>45120</v>
      </c>
      <c r="G8060" t="str">
        <f>"09569"</f>
        <v>09569</v>
      </c>
      <c r="H8060">
        <v>1</v>
      </c>
      <c r="I8060">
        <v>0</v>
      </c>
      <c r="J8060">
        <v>0</v>
      </c>
      <c r="K8060" t="str">
        <f t="shared" si="1448"/>
        <v>809</v>
      </c>
      <c r="L8060">
        <v>0</v>
      </c>
    </row>
    <row r="8061" spans="1:12" x14ac:dyDescent="0.25">
      <c r="A8061" t="str">
        <f t="shared" si="1441"/>
        <v>89301000</v>
      </c>
      <c r="B8061" t="str">
        <f t="shared" si="1446"/>
        <v>78915000</v>
      </c>
      <c r="C8061" t="str">
        <f t="shared" si="1447"/>
        <v>78915001</v>
      </c>
      <c r="D8061">
        <v>89301112</v>
      </c>
      <c r="E8061" t="str">
        <f>"8703025771"</f>
        <v>8703025771</v>
      </c>
      <c r="F8061" s="1">
        <v>45120</v>
      </c>
      <c r="G8061" t="str">
        <f>"89713"</f>
        <v>89713</v>
      </c>
      <c r="H8061">
        <v>1</v>
      </c>
      <c r="I8061">
        <v>5411</v>
      </c>
      <c r="J8061">
        <v>0</v>
      </c>
      <c r="K8061" t="str">
        <f t="shared" si="1448"/>
        <v>809</v>
      </c>
      <c r="L8061">
        <v>3517.15</v>
      </c>
    </row>
    <row r="8062" spans="1:12" x14ac:dyDescent="0.25">
      <c r="A8062" t="str">
        <f t="shared" si="1441"/>
        <v>89301000</v>
      </c>
      <c r="B8062" t="str">
        <f t="shared" si="1446"/>
        <v>78915000</v>
      </c>
      <c r="C8062" t="str">
        <f t="shared" si="1447"/>
        <v>78915001</v>
      </c>
      <c r="D8062">
        <v>89301112</v>
      </c>
      <c r="E8062" t="str">
        <f>"8812285779"</f>
        <v>8812285779</v>
      </c>
      <c r="F8062" s="1">
        <v>45126</v>
      </c>
      <c r="G8062" t="str">
        <f>"09567"</f>
        <v>09567</v>
      </c>
      <c r="H8062">
        <v>1</v>
      </c>
      <c r="I8062">
        <v>0</v>
      </c>
      <c r="J8062">
        <v>0</v>
      </c>
      <c r="K8062" t="str">
        <f t="shared" si="1448"/>
        <v>809</v>
      </c>
      <c r="L8062">
        <v>0</v>
      </c>
    </row>
    <row r="8063" spans="1:12" x14ac:dyDescent="0.25">
      <c r="A8063" t="str">
        <f t="shared" si="1441"/>
        <v>89301000</v>
      </c>
      <c r="B8063" t="str">
        <f t="shared" si="1446"/>
        <v>78915000</v>
      </c>
      <c r="C8063" t="str">
        <f t="shared" si="1447"/>
        <v>78915001</v>
      </c>
      <c r="D8063">
        <v>89301112</v>
      </c>
      <c r="E8063" t="str">
        <f>"8812285779"</f>
        <v>8812285779</v>
      </c>
      <c r="F8063" s="1">
        <v>45126</v>
      </c>
      <c r="G8063" t="str">
        <f>"09569"</f>
        <v>09569</v>
      </c>
      <c r="H8063">
        <v>1</v>
      </c>
      <c r="I8063">
        <v>0</v>
      </c>
      <c r="J8063">
        <v>0</v>
      </c>
      <c r="K8063" t="str">
        <f t="shared" si="1448"/>
        <v>809</v>
      </c>
      <c r="L8063">
        <v>0</v>
      </c>
    </row>
    <row r="8064" spans="1:12" x14ac:dyDescent="0.25">
      <c r="A8064" t="str">
        <f t="shared" si="1441"/>
        <v>89301000</v>
      </c>
      <c r="B8064" t="str">
        <f t="shared" si="1446"/>
        <v>78915000</v>
      </c>
      <c r="C8064" t="str">
        <f t="shared" si="1447"/>
        <v>78915001</v>
      </c>
      <c r="D8064">
        <v>89301112</v>
      </c>
      <c r="E8064" t="str">
        <f>"8812285779"</f>
        <v>8812285779</v>
      </c>
      <c r="F8064" s="1">
        <v>45126</v>
      </c>
      <c r="G8064" t="str">
        <f>"89713"</f>
        <v>89713</v>
      </c>
      <c r="H8064">
        <v>2</v>
      </c>
      <c r="I8064">
        <v>10822</v>
      </c>
      <c r="J8064">
        <v>0</v>
      </c>
      <c r="K8064" t="str">
        <f t="shared" si="1448"/>
        <v>809</v>
      </c>
      <c r="L8064">
        <v>7034.3</v>
      </c>
    </row>
    <row r="8065" spans="1:12" x14ac:dyDescent="0.25">
      <c r="A8065" t="str">
        <f t="shared" si="1441"/>
        <v>89301000</v>
      </c>
      <c r="B8065" t="str">
        <f t="shared" si="1446"/>
        <v>78915000</v>
      </c>
      <c r="C8065" t="str">
        <f t="shared" si="1447"/>
        <v>78915001</v>
      </c>
      <c r="D8065">
        <v>89301606</v>
      </c>
      <c r="E8065" t="str">
        <f>"8862206210"</f>
        <v>8862206210</v>
      </c>
      <c r="F8065" s="1">
        <v>45128</v>
      </c>
      <c r="G8065" t="str">
        <f>"89713"</f>
        <v>89713</v>
      </c>
      <c r="H8065">
        <v>1</v>
      </c>
      <c r="I8065">
        <v>5411</v>
      </c>
      <c r="J8065">
        <v>0</v>
      </c>
      <c r="K8065" t="str">
        <f t="shared" si="1448"/>
        <v>809</v>
      </c>
      <c r="L8065">
        <v>3517.15</v>
      </c>
    </row>
    <row r="8066" spans="1:12" x14ac:dyDescent="0.25">
      <c r="A8066" t="str">
        <f t="shared" ref="A8066:A8129" si="1449">"89301000"</f>
        <v>89301000</v>
      </c>
      <c r="B8066" t="str">
        <f t="shared" si="1446"/>
        <v>78915000</v>
      </c>
      <c r="C8066" t="str">
        <f t="shared" si="1447"/>
        <v>78915001</v>
      </c>
      <c r="D8066">
        <v>89301606</v>
      </c>
      <c r="E8066" t="str">
        <f>"8862206210"</f>
        <v>8862206210</v>
      </c>
      <c r="F8066" s="1">
        <v>45128</v>
      </c>
      <c r="G8066" t="str">
        <f>"89725"</f>
        <v>89725</v>
      </c>
      <c r="H8066">
        <v>1</v>
      </c>
      <c r="I8066">
        <v>2863</v>
      </c>
      <c r="J8066">
        <v>0</v>
      </c>
      <c r="K8066" t="str">
        <f t="shared" si="1448"/>
        <v>809</v>
      </c>
      <c r="L8066">
        <v>1860.95</v>
      </c>
    </row>
    <row r="8067" spans="1:12" x14ac:dyDescent="0.25">
      <c r="A8067" t="str">
        <f t="shared" si="1449"/>
        <v>89301000</v>
      </c>
      <c r="B8067" t="str">
        <f t="shared" si="1446"/>
        <v>78915000</v>
      </c>
      <c r="C8067" t="str">
        <f t="shared" si="1447"/>
        <v>78915001</v>
      </c>
      <c r="D8067">
        <v>89301606</v>
      </c>
      <c r="E8067" t="str">
        <f>"8862206210"</f>
        <v>8862206210</v>
      </c>
      <c r="F8067" s="1">
        <v>45128</v>
      </c>
      <c r="G8067" t="str">
        <f>"0207733"</f>
        <v>0207733</v>
      </c>
      <c r="H8067">
        <v>1</v>
      </c>
      <c r="J8067">
        <v>2590.5300000000002</v>
      </c>
      <c r="K8067" t="str">
        <f t="shared" si="1448"/>
        <v>809</v>
      </c>
      <c r="L8067">
        <v>2590.5300000000002</v>
      </c>
    </row>
    <row r="8068" spans="1:12" x14ac:dyDescent="0.25">
      <c r="A8068" t="str">
        <f t="shared" si="1449"/>
        <v>89301000</v>
      </c>
      <c r="B8068" t="str">
        <f t="shared" si="1446"/>
        <v>78915000</v>
      </c>
      <c r="C8068" t="str">
        <f t="shared" si="1447"/>
        <v>78915001</v>
      </c>
      <c r="D8068">
        <v>89301062</v>
      </c>
      <c r="E8068" t="str">
        <f>"9053175747"</f>
        <v>9053175747</v>
      </c>
      <c r="F8068" s="1">
        <v>45131</v>
      </c>
      <c r="G8068" t="str">
        <f>"89713"</f>
        <v>89713</v>
      </c>
      <c r="H8068">
        <v>1</v>
      </c>
      <c r="I8068">
        <v>5411</v>
      </c>
      <c r="J8068">
        <v>0</v>
      </c>
      <c r="K8068" t="str">
        <f t="shared" si="1448"/>
        <v>809</v>
      </c>
      <c r="L8068">
        <v>3517.15</v>
      </c>
    </row>
    <row r="8069" spans="1:12" x14ac:dyDescent="0.25">
      <c r="A8069" t="str">
        <f t="shared" si="1449"/>
        <v>89301000</v>
      </c>
      <c r="B8069" t="str">
        <f t="shared" si="1446"/>
        <v>78915000</v>
      </c>
      <c r="C8069" t="str">
        <f t="shared" si="1447"/>
        <v>78915001</v>
      </c>
      <c r="D8069">
        <v>89301062</v>
      </c>
      <c r="E8069" t="str">
        <f>"9053175747"</f>
        <v>9053175747</v>
      </c>
      <c r="F8069" s="1">
        <v>45131</v>
      </c>
      <c r="G8069" t="str">
        <f>"89725"</f>
        <v>89725</v>
      </c>
      <c r="H8069">
        <v>1</v>
      </c>
      <c r="I8069">
        <v>2863</v>
      </c>
      <c r="J8069">
        <v>0</v>
      </c>
      <c r="K8069" t="str">
        <f t="shared" si="1448"/>
        <v>809</v>
      </c>
      <c r="L8069">
        <v>1860.95</v>
      </c>
    </row>
    <row r="8070" spans="1:12" x14ac:dyDescent="0.25">
      <c r="A8070" t="str">
        <f t="shared" si="1449"/>
        <v>89301000</v>
      </c>
      <c r="B8070" t="str">
        <f t="shared" si="1446"/>
        <v>78915000</v>
      </c>
      <c r="C8070" t="str">
        <f t="shared" si="1447"/>
        <v>78915001</v>
      </c>
      <c r="D8070">
        <v>89301112</v>
      </c>
      <c r="E8070" t="str">
        <f>"9308305721"</f>
        <v>9308305721</v>
      </c>
      <c r="F8070" s="1">
        <v>45132</v>
      </c>
      <c r="G8070" t="str">
        <f>"09569"</f>
        <v>09569</v>
      </c>
      <c r="H8070">
        <v>1</v>
      </c>
      <c r="I8070">
        <v>0</v>
      </c>
      <c r="J8070">
        <v>0</v>
      </c>
      <c r="K8070" t="str">
        <f t="shared" si="1448"/>
        <v>809</v>
      </c>
      <c r="L8070">
        <v>0</v>
      </c>
    </row>
    <row r="8071" spans="1:12" x14ac:dyDescent="0.25">
      <c r="A8071" t="str">
        <f t="shared" si="1449"/>
        <v>89301000</v>
      </c>
      <c r="B8071" t="str">
        <f t="shared" si="1446"/>
        <v>78915000</v>
      </c>
      <c r="C8071" t="str">
        <f t="shared" si="1447"/>
        <v>78915001</v>
      </c>
      <c r="D8071">
        <v>89301112</v>
      </c>
      <c r="E8071" t="str">
        <f>"9308305721"</f>
        <v>9308305721</v>
      </c>
      <c r="F8071" s="1">
        <v>45132</v>
      </c>
      <c r="G8071" t="str">
        <f>"89713"</f>
        <v>89713</v>
      </c>
      <c r="H8071">
        <v>1</v>
      </c>
      <c r="I8071">
        <v>5411</v>
      </c>
      <c r="J8071">
        <v>0</v>
      </c>
      <c r="K8071" t="str">
        <f t="shared" si="1448"/>
        <v>809</v>
      </c>
      <c r="L8071">
        <v>3517.15</v>
      </c>
    </row>
    <row r="8072" spans="1:12" x14ac:dyDescent="0.25">
      <c r="A8072" t="str">
        <f t="shared" si="1449"/>
        <v>89301000</v>
      </c>
      <c r="B8072" t="str">
        <f t="shared" si="1446"/>
        <v>78915000</v>
      </c>
      <c r="C8072" t="str">
        <f t="shared" si="1447"/>
        <v>78915001</v>
      </c>
      <c r="D8072">
        <v>89301172</v>
      </c>
      <c r="E8072" t="str">
        <f>"9507164854"</f>
        <v>9507164854</v>
      </c>
      <c r="F8072" s="1">
        <v>45121</v>
      </c>
      <c r="G8072" t="str">
        <f>"89713"</f>
        <v>89713</v>
      </c>
      <c r="H8072">
        <v>1</v>
      </c>
      <c r="I8072">
        <v>5411</v>
      </c>
      <c r="J8072">
        <v>0</v>
      </c>
      <c r="K8072" t="str">
        <f t="shared" si="1448"/>
        <v>809</v>
      </c>
      <c r="L8072">
        <v>3517.15</v>
      </c>
    </row>
    <row r="8073" spans="1:12" x14ac:dyDescent="0.25">
      <c r="A8073" t="str">
        <f t="shared" si="1449"/>
        <v>89301000</v>
      </c>
      <c r="B8073" t="str">
        <f t="shared" si="1446"/>
        <v>78915000</v>
      </c>
      <c r="C8073" t="str">
        <f t="shared" si="1447"/>
        <v>78915001</v>
      </c>
      <c r="D8073">
        <v>89301172</v>
      </c>
      <c r="E8073" t="str">
        <f>"9507164854"</f>
        <v>9507164854</v>
      </c>
      <c r="F8073" s="1">
        <v>45121</v>
      </c>
      <c r="G8073" t="str">
        <f>"89725"</f>
        <v>89725</v>
      </c>
      <c r="H8073">
        <v>1</v>
      </c>
      <c r="I8073">
        <v>2863</v>
      </c>
      <c r="J8073">
        <v>0</v>
      </c>
      <c r="K8073" t="str">
        <f t="shared" si="1448"/>
        <v>809</v>
      </c>
      <c r="L8073">
        <v>1860.95</v>
      </c>
    </row>
    <row r="8074" spans="1:12" x14ac:dyDescent="0.25">
      <c r="A8074" t="str">
        <f t="shared" si="1449"/>
        <v>89301000</v>
      </c>
      <c r="B8074" t="str">
        <f t="shared" si="1446"/>
        <v>78915000</v>
      </c>
      <c r="C8074" t="str">
        <f t="shared" si="1447"/>
        <v>78915001</v>
      </c>
      <c r="D8074">
        <v>89301172</v>
      </c>
      <c r="E8074" t="str">
        <f>"9507164854"</f>
        <v>9507164854</v>
      </c>
      <c r="F8074" s="1">
        <v>45121</v>
      </c>
      <c r="G8074" t="str">
        <f>"0054255"</f>
        <v>0054255</v>
      </c>
      <c r="H8074">
        <v>1</v>
      </c>
      <c r="J8074">
        <v>1686.92</v>
      </c>
      <c r="K8074" t="str">
        <f t="shared" si="1448"/>
        <v>809</v>
      </c>
      <c r="L8074">
        <v>1686.92</v>
      </c>
    </row>
    <row r="8075" spans="1:12" x14ac:dyDescent="0.25">
      <c r="A8075" t="str">
        <f t="shared" si="1449"/>
        <v>89301000</v>
      </c>
      <c r="B8075" t="str">
        <f>"78610000"</f>
        <v>78610000</v>
      </c>
      <c r="C8075" t="str">
        <f>"78610001"</f>
        <v>78610001</v>
      </c>
      <c r="D8075">
        <v>89301055</v>
      </c>
      <c r="E8075" t="str">
        <f>"475822482"</f>
        <v>475822482</v>
      </c>
      <c r="F8075" s="1">
        <v>45119</v>
      </c>
      <c r="G8075" t="str">
        <f>"89517"</f>
        <v>89517</v>
      </c>
      <c r="H8075">
        <v>1</v>
      </c>
      <c r="I8075">
        <v>994</v>
      </c>
      <c r="J8075">
        <v>0</v>
      </c>
      <c r="K8075" t="str">
        <f t="shared" si="1448"/>
        <v>809</v>
      </c>
      <c r="L8075">
        <v>1461.18</v>
      </c>
    </row>
    <row r="8076" spans="1:12" x14ac:dyDescent="0.25">
      <c r="A8076" t="str">
        <f t="shared" si="1449"/>
        <v>89301000</v>
      </c>
      <c r="B8076" t="str">
        <f>"78610000"</f>
        <v>78610000</v>
      </c>
      <c r="C8076" t="str">
        <f>"78610001"</f>
        <v>78610001</v>
      </c>
      <c r="D8076">
        <v>89301055</v>
      </c>
      <c r="E8076" t="str">
        <f>"5557307063"</f>
        <v>5557307063</v>
      </c>
      <c r="F8076" s="1">
        <v>45126</v>
      </c>
      <c r="G8076" t="str">
        <f>"89517"</f>
        <v>89517</v>
      </c>
      <c r="H8076">
        <v>1</v>
      </c>
      <c r="I8076">
        <v>994</v>
      </c>
      <c r="J8076">
        <v>0</v>
      </c>
      <c r="K8076" t="str">
        <f t="shared" si="1448"/>
        <v>809</v>
      </c>
      <c r="L8076">
        <v>1461.18</v>
      </c>
    </row>
    <row r="8077" spans="1:12" x14ac:dyDescent="0.25">
      <c r="A8077" t="str">
        <f t="shared" si="1449"/>
        <v>89301000</v>
      </c>
      <c r="B8077" t="str">
        <f>"78610000"</f>
        <v>78610000</v>
      </c>
      <c r="C8077" t="str">
        <f>"78610001"</f>
        <v>78610001</v>
      </c>
      <c r="D8077">
        <v>89301055</v>
      </c>
      <c r="E8077" t="str">
        <f>"8856175801"</f>
        <v>8856175801</v>
      </c>
      <c r="F8077" s="1">
        <v>45119</v>
      </c>
      <c r="G8077" t="str">
        <f>"89517"</f>
        <v>89517</v>
      </c>
      <c r="H8077">
        <v>1</v>
      </c>
      <c r="I8077">
        <v>994</v>
      </c>
      <c r="J8077">
        <v>0</v>
      </c>
      <c r="K8077" t="str">
        <f t="shared" si="1448"/>
        <v>809</v>
      </c>
      <c r="L8077">
        <v>1461.18</v>
      </c>
    </row>
    <row r="8078" spans="1:12" x14ac:dyDescent="0.25">
      <c r="A8078" t="str">
        <f t="shared" si="1449"/>
        <v>89301000</v>
      </c>
      <c r="B8078" t="str">
        <f t="shared" ref="B8078:B8089" si="1450">"78051000"</f>
        <v>78051000</v>
      </c>
      <c r="C8078" t="str">
        <f t="shared" ref="C8078:C8087" si="1451">"78051004"</f>
        <v>78051004</v>
      </c>
      <c r="D8078">
        <v>89301062</v>
      </c>
      <c r="E8078" t="str">
        <f>"6954085336"</f>
        <v>6954085336</v>
      </c>
      <c r="F8078" s="1">
        <v>45119</v>
      </c>
      <c r="G8078" t="str">
        <f>"89311"</f>
        <v>89311</v>
      </c>
      <c r="H8078">
        <v>1</v>
      </c>
      <c r="I8078">
        <v>970</v>
      </c>
      <c r="J8078">
        <v>0</v>
      </c>
      <c r="K8078" t="str">
        <f t="shared" si="1448"/>
        <v>809</v>
      </c>
      <c r="L8078">
        <v>1425.9</v>
      </c>
    </row>
    <row r="8079" spans="1:12" x14ac:dyDescent="0.25">
      <c r="A8079" t="str">
        <f t="shared" si="1449"/>
        <v>89301000</v>
      </c>
      <c r="B8079" t="str">
        <f t="shared" si="1450"/>
        <v>78051000</v>
      </c>
      <c r="C8079" t="str">
        <f t="shared" si="1451"/>
        <v>78051004</v>
      </c>
      <c r="D8079">
        <v>89301062</v>
      </c>
      <c r="E8079" t="str">
        <f>"6954085336"</f>
        <v>6954085336</v>
      </c>
      <c r="F8079" s="1">
        <v>45119</v>
      </c>
      <c r="G8079" t="str">
        <f>"0090044"</f>
        <v>0090044</v>
      </c>
      <c r="H8079">
        <v>1</v>
      </c>
      <c r="J8079">
        <v>16.8</v>
      </c>
      <c r="K8079" t="str">
        <f t="shared" si="1448"/>
        <v>809</v>
      </c>
      <c r="L8079">
        <v>16.8</v>
      </c>
    </row>
    <row r="8080" spans="1:12" x14ac:dyDescent="0.25">
      <c r="A8080" t="str">
        <f t="shared" si="1449"/>
        <v>89301000</v>
      </c>
      <c r="B8080" t="str">
        <f t="shared" si="1450"/>
        <v>78051000</v>
      </c>
      <c r="C8080" t="str">
        <f t="shared" si="1451"/>
        <v>78051004</v>
      </c>
      <c r="D8080">
        <v>89301062</v>
      </c>
      <c r="E8080" t="str">
        <f>"6954085336"</f>
        <v>6954085336</v>
      </c>
      <c r="F8080" s="1">
        <v>45119</v>
      </c>
      <c r="G8080" t="str">
        <f>"0225891"</f>
        <v>0225891</v>
      </c>
      <c r="H8080">
        <v>0.2</v>
      </c>
      <c r="J8080">
        <v>44.65</v>
      </c>
      <c r="K8080" t="str">
        <f t="shared" si="1448"/>
        <v>809</v>
      </c>
      <c r="L8080">
        <v>44.65</v>
      </c>
    </row>
    <row r="8081" spans="1:12" x14ac:dyDescent="0.25">
      <c r="A8081" t="str">
        <f t="shared" si="1449"/>
        <v>89301000</v>
      </c>
      <c r="B8081" t="str">
        <f t="shared" si="1450"/>
        <v>78051000</v>
      </c>
      <c r="C8081" t="str">
        <f t="shared" si="1451"/>
        <v>78051004</v>
      </c>
      <c r="D8081">
        <v>89301062</v>
      </c>
      <c r="E8081" t="str">
        <f>"6954085336"</f>
        <v>6954085336</v>
      </c>
      <c r="F8081" s="1">
        <v>45119</v>
      </c>
      <c r="G8081" t="str">
        <f>"0096251"</f>
        <v>0096251</v>
      </c>
      <c r="H8081">
        <v>0.17</v>
      </c>
      <c r="J8081">
        <v>198.83</v>
      </c>
      <c r="K8081" t="str">
        <f t="shared" si="1448"/>
        <v>809</v>
      </c>
      <c r="L8081">
        <v>198.83</v>
      </c>
    </row>
    <row r="8082" spans="1:12" x14ac:dyDescent="0.25">
      <c r="A8082" t="str">
        <f t="shared" si="1449"/>
        <v>89301000</v>
      </c>
      <c r="B8082" t="str">
        <f t="shared" si="1450"/>
        <v>78051000</v>
      </c>
      <c r="C8082" t="str">
        <f t="shared" si="1451"/>
        <v>78051004</v>
      </c>
      <c r="D8082">
        <v>89301062</v>
      </c>
      <c r="E8082" t="str">
        <f>"6954085336"</f>
        <v>6954085336</v>
      </c>
      <c r="F8082" s="1">
        <v>45119</v>
      </c>
      <c r="G8082" t="str">
        <f>"0098943"</f>
        <v>0098943</v>
      </c>
      <c r="H8082">
        <v>1</v>
      </c>
      <c r="J8082">
        <v>293.81</v>
      </c>
      <c r="K8082" t="str">
        <f t="shared" si="1448"/>
        <v>809</v>
      </c>
      <c r="L8082">
        <v>293.81</v>
      </c>
    </row>
    <row r="8083" spans="1:12" x14ac:dyDescent="0.25">
      <c r="A8083" t="str">
        <f t="shared" si="1449"/>
        <v>89301000</v>
      </c>
      <c r="B8083" t="str">
        <f t="shared" si="1450"/>
        <v>78051000</v>
      </c>
      <c r="C8083" t="str">
        <f t="shared" si="1451"/>
        <v>78051004</v>
      </c>
      <c r="D8083">
        <v>89301062</v>
      </c>
      <c r="E8083" t="str">
        <f>"7951135753"</f>
        <v>7951135753</v>
      </c>
      <c r="F8083" s="1">
        <v>45126</v>
      </c>
      <c r="G8083" t="str">
        <f>"89311"</f>
        <v>89311</v>
      </c>
      <c r="H8083">
        <v>1</v>
      </c>
      <c r="I8083">
        <v>970</v>
      </c>
      <c r="J8083">
        <v>0</v>
      </c>
      <c r="K8083" t="str">
        <f t="shared" si="1448"/>
        <v>809</v>
      </c>
      <c r="L8083">
        <v>1425.9</v>
      </c>
    </row>
    <row r="8084" spans="1:12" x14ac:dyDescent="0.25">
      <c r="A8084" t="str">
        <f t="shared" si="1449"/>
        <v>89301000</v>
      </c>
      <c r="B8084" t="str">
        <f t="shared" si="1450"/>
        <v>78051000</v>
      </c>
      <c r="C8084" t="str">
        <f t="shared" si="1451"/>
        <v>78051004</v>
      </c>
      <c r="D8084">
        <v>89301062</v>
      </c>
      <c r="E8084" t="str">
        <f>"7951135753"</f>
        <v>7951135753</v>
      </c>
      <c r="F8084" s="1">
        <v>45126</v>
      </c>
      <c r="G8084" t="str">
        <f>"0090044"</f>
        <v>0090044</v>
      </c>
      <c r="H8084">
        <v>1</v>
      </c>
      <c r="J8084">
        <v>16.8</v>
      </c>
      <c r="K8084" t="str">
        <f t="shared" si="1448"/>
        <v>809</v>
      </c>
      <c r="L8084">
        <v>16.8</v>
      </c>
    </row>
    <row r="8085" spans="1:12" x14ac:dyDescent="0.25">
      <c r="A8085" t="str">
        <f t="shared" si="1449"/>
        <v>89301000</v>
      </c>
      <c r="B8085" t="str">
        <f t="shared" si="1450"/>
        <v>78051000</v>
      </c>
      <c r="C8085" t="str">
        <f t="shared" si="1451"/>
        <v>78051004</v>
      </c>
      <c r="D8085">
        <v>89301062</v>
      </c>
      <c r="E8085" t="str">
        <f>"7951135753"</f>
        <v>7951135753</v>
      </c>
      <c r="F8085" s="1">
        <v>45126</v>
      </c>
      <c r="G8085" t="str">
        <f>"0225891"</f>
        <v>0225891</v>
      </c>
      <c r="H8085">
        <v>0.2</v>
      </c>
      <c r="J8085">
        <v>44.65</v>
      </c>
      <c r="K8085" t="str">
        <f t="shared" si="1448"/>
        <v>809</v>
      </c>
      <c r="L8085">
        <v>44.65</v>
      </c>
    </row>
    <row r="8086" spans="1:12" x14ac:dyDescent="0.25">
      <c r="A8086" t="str">
        <f t="shared" si="1449"/>
        <v>89301000</v>
      </c>
      <c r="B8086" t="str">
        <f t="shared" si="1450"/>
        <v>78051000</v>
      </c>
      <c r="C8086" t="str">
        <f t="shared" si="1451"/>
        <v>78051004</v>
      </c>
      <c r="D8086">
        <v>89301062</v>
      </c>
      <c r="E8086" t="str">
        <f>"7951135753"</f>
        <v>7951135753</v>
      </c>
      <c r="F8086" s="1">
        <v>45126</v>
      </c>
      <c r="G8086" t="str">
        <f>"0096251"</f>
        <v>0096251</v>
      </c>
      <c r="H8086">
        <v>0.17</v>
      </c>
      <c r="J8086">
        <v>198.83</v>
      </c>
      <c r="K8086" t="str">
        <f t="shared" si="1448"/>
        <v>809</v>
      </c>
      <c r="L8086">
        <v>198.83</v>
      </c>
    </row>
    <row r="8087" spans="1:12" x14ac:dyDescent="0.25">
      <c r="A8087" t="str">
        <f t="shared" si="1449"/>
        <v>89301000</v>
      </c>
      <c r="B8087" t="str">
        <f t="shared" si="1450"/>
        <v>78051000</v>
      </c>
      <c r="C8087" t="str">
        <f t="shared" si="1451"/>
        <v>78051004</v>
      </c>
      <c r="D8087">
        <v>89301062</v>
      </c>
      <c r="E8087" t="str">
        <f>"7951135753"</f>
        <v>7951135753</v>
      </c>
      <c r="F8087" s="1">
        <v>45126</v>
      </c>
      <c r="G8087" t="str">
        <f>"0098943"</f>
        <v>0098943</v>
      </c>
      <c r="H8087">
        <v>1</v>
      </c>
      <c r="J8087">
        <v>293.81</v>
      </c>
      <c r="K8087" t="str">
        <f t="shared" si="1448"/>
        <v>809</v>
      </c>
      <c r="L8087">
        <v>293.81</v>
      </c>
    </row>
    <row r="8088" spans="1:12" x14ac:dyDescent="0.25">
      <c r="A8088" t="str">
        <f t="shared" si="1449"/>
        <v>89301000</v>
      </c>
      <c r="B8088" t="str">
        <f t="shared" si="1450"/>
        <v>78051000</v>
      </c>
      <c r="C8088" t="str">
        <f>"78051017"</f>
        <v>78051017</v>
      </c>
      <c r="D8088">
        <v>89301062</v>
      </c>
      <c r="E8088" t="str">
        <f>"6954085336"</f>
        <v>6954085336</v>
      </c>
      <c r="F8088" s="1">
        <v>45119</v>
      </c>
      <c r="G8088" t="str">
        <f>"89615"</f>
        <v>89615</v>
      </c>
      <c r="H8088">
        <v>1</v>
      </c>
      <c r="I8088">
        <v>2199</v>
      </c>
      <c r="J8088">
        <v>0</v>
      </c>
      <c r="K8088" t="str">
        <f>"810"</f>
        <v>810</v>
      </c>
      <c r="L8088">
        <v>1429.35</v>
      </c>
    </row>
    <row r="8089" spans="1:12" x14ac:dyDescent="0.25">
      <c r="A8089" t="str">
        <f t="shared" si="1449"/>
        <v>89301000</v>
      </c>
      <c r="B8089" t="str">
        <f t="shared" si="1450"/>
        <v>78051000</v>
      </c>
      <c r="C8089" t="str">
        <f>"78051017"</f>
        <v>78051017</v>
      </c>
      <c r="D8089">
        <v>89301062</v>
      </c>
      <c r="E8089" t="str">
        <f>"7951135753"</f>
        <v>7951135753</v>
      </c>
      <c r="F8089" s="1">
        <v>45126</v>
      </c>
      <c r="G8089" t="str">
        <f>"89615"</f>
        <v>89615</v>
      </c>
      <c r="H8089">
        <v>1</v>
      </c>
      <c r="I8089">
        <v>2199</v>
      </c>
      <c r="J8089">
        <v>0</v>
      </c>
      <c r="K8089" t="str">
        <f>"810"</f>
        <v>810</v>
      </c>
      <c r="L8089">
        <v>1429.35</v>
      </c>
    </row>
    <row r="8090" spans="1:12" x14ac:dyDescent="0.25">
      <c r="A8090" t="str">
        <f t="shared" si="1449"/>
        <v>89301000</v>
      </c>
      <c r="B8090" t="str">
        <f t="shared" ref="B8090:C8109" si="1452">"89063000"</f>
        <v>89063000</v>
      </c>
      <c r="C8090" t="str">
        <f t="shared" si="1452"/>
        <v>89063000</v>
      </c>
      <c r="D8090">
        <v>89301037</v>
      </c>
      <c r="E8090" t="str">
        <f>"7662185685"</f>
        <v>7662185685</v>
      </c>
      <c r="F8090" s="1">
        <v>45119</v>
      </c>
      <c r="G8090" t="str">
        <f t="shared" ref="G8090:G8127" si="1453">"89312"</f>
        <v>89312</v>
      </c>
      <c r="H8090">
        <v>3</v>
      </c>
      <c r="I8090">
        <v>936</v>
      </c>
      <c r="J8090">
        <v>0</v>
      </c>
      <c r="K8090" t="str">
        <f t="shared" ref="K8090:K8127" si="1454">"809"</f>
        <v>809</v>
      </c>
      <c r="L8090">
        <v>1020.24</v>
      </c>
    </row>
    <row r="8091" spans="1:12" x14ac:dyDescent="0.25">
      <c r="A8091" t="str">
        <f t="shared" si="1449"/>
        <v>89301000</v>
      </c>
      <c r="B8091" t="str">
        <f t="shared" si="1452"/>
        <v>89063000</v>
      </c>
      <c r="C8091" t="str">
        <f t="shared" si="1452"/>
        <v>89063000</v>
      </c>
      <c r="D8091">
        <v>89301037</v>
      </c>
      <c r="E8091" t="str">
        <f>"9405176143"</f>
        <v>9405176143</v>
      </c>
      <c r="F8091" s="1">
        <v>45110</v>
      </c>
      <c r="G8091" t="str">
        <f t="shared" si="1453"/>
        <v>89312</v>
      </c>
      <c r="H8091">
        <v>3</v>
      </c>
      <c r="I8091">
        <v>936</v>
      </c>
      <c r="J8091">
        <v>0</v>
      </c>
      <c r="K8091" t="str">
        <f t="shared" si="1454"/>
        <v>809</v>
      </c>
      <c r="L8091">
        <v>1020.24</v>
      </c>
    </row>
    <row r="8092" spans="1:12" x14ac:dyDescent="0.25">
      <c r="A8092" t="str">
        <f t="shared" si="1449"/>
        <v>89301000</v>
      </c>
      <c r="B8092" t="str">
        <f t="shared" si="1452"/>
        <v>89063000</v>
      </c>
      <c r="C8092" t="str">
        <f t="shared" si="1452"/>
        <v>89063000</v>
      </c>
      <c r="D8092">
        <v>89301039</v>
      </c>
      <c r="E8092" t="str">
        <f>"7156235306"</f>
        <v>7156235306</v>
      </c>
      <c r="F8092" s="1">
        <v>45110</v>
      </c>
      <c r="G8092" t="str">
        <f t="shared" si="1453"/>
        <v>89312</v>
      </c>
      <c r="H8092">
        <v>3</v>
      </c>
      <c r="I8092">
        <v>936</v>
      </c>
      <c r="J8092">
        <v>0</v>
      </c>
      <c r="K8092" t="str">
        <f t="shared" si="1454"/>
        <v>809</v>
      </c>
      <c r="L8092">
        <v>1020.24</v>
      </c>
    </row>
    <row r="8093" spans="1:12" x14ac:dyDescent="0.25">
      <c r="A8093" t="str">
        <f t="shared" si="1449"/>
        <v>89301000</v>
      </c>
      <c r="B8093" t="str">
        <f t="shared" si="1452"/>
        <v>89063000</v>
      </c>
      <c r="C8093" t="str">
        <f t="shared" si="1452"/>
        <v>89063000</v>
      </c>
      <c r="D8093">
        <v>89301102</v>
      </c>
      <c r="E8093" t="str">
        <f>"1159300340"</f>
        <v>1159300340</v>
      </c>
      <c r="F8093" s="1">
        <v>45111</v>
      </c>
      <c r="G8093" t="str">
        <f t="shared" si="1453"/>
        <v>89312</v>
      </c>
      <c r="H8093">
        <v>1</v>
      </c>
      <c r="I8093">
        <v>312</v>
      </c>
      <c r="J8093">
        <v>0</v>
      </c>
      <c r="K8093" t="str">
        <f t="shared" si="1454"/>
        <v>809</v>
      </c>
      <c r="L8093">
        <v>340.08</v>
      </c>
    </row>
    <row r="8094" spans="1:12" x14ac:dyDescent="0.25">
      <c r="A8094" t="str">
        <f t="shared" si="1449"/>
        <v>89301000</v>
      </c>
      <c r="B8094" t="str">
        <f t="shared" si="1452"/>
        <v>89063000</v>
      </c>
      <c r="C8094" t="str">
        <f t="shared" si="1452"/>
        <v>89063000</v>
      </c>
      <c r="D8094">
        <v>89301037</v>
      </c>
      <c r="E8094" t="str">
        <f>"6354151507"</f>
        <v>6354151507</v>
      </c>
      <c r="F8094" s="1">
        <v>45114</v>
      </c>
      <c r="G8094" t="str">
        <f t="shared" si="1453"/>
        <v>89312</v>
      </c>
      <c r="H8094">
        <v>3</v>
      </c>
      <c r="I8094">
        <v>936</v>
      </c>
      <c r="J8094">
        <v>0</v>
      </c>
      <c r="K8094" t="str">
        <f t="shared" si="1454"/>
        <v>809</v>
      </c>
      <c r="L8094">
        <v>1020.24</v>
      </c>
    </row>
    <row r="8095" spans="1:12" x14ac:dyDescent="0.25">
      <c r="A8095" t="str">
        <f t="shared" si="1449"/>
        <v>89301000</v>
      </c>
      <c r="B8095" t="str">
        <f t="shared" si="1452"/>
        <v>89063000</v>
      </c>
      <c r="C8095" t="str">
        <f t="shared" si="1452"/>
        <v>89063000</v>
      </c>
      <c r="D8095">
        <v>89301037</v>
      </c>
      <c r="E8095" t="str">
        <f>"7309105309"</f>
        <v>7309105309</v>
      </c>
      <c r="F8095" s="1">
        <v>45114</v>
      </c>
      <c r="G8095" t="str">
        <f t="shared" si="1453"/>
        <v>89312</v>
      </c>
      <c r="H8095">
        <v>3</v>
      </c>
      <c r="I8095">
        <v>936</v>
      </c>
      <c r="J8095">
        <v>0</v>
      </c>
      <c r="K8095" t="str">
        <f t="shared" si="1454"/>
        <v>809</v>
      </c>
      <c r="L8095">
        <v>1020.24</v>
      </c>
    </row>
    <row r="8096" spans="1:12" x14ac:dyDescent="0.25">
      <c r="A8096" t="str">
        <f t="shared" si="1449"/>
        <v>89301000</v>
      </c>
      <c r="B8096" t="str">
        <f t="shared" si="1452"/>
        <v>89063000</v>
      </c>
      <c r="C8096" t="str">
        <f t="shared" si="1452"/>
        <v>89063000</v>
      </c>
      <c r="D8096">
        <v>89301028</v>
      </c>
      <c r="E8096" t="str">
        <f>"7960125349"</f>
        <v>7960125349</v>
      </c>
      <c r="F8096" s="1">
        <v>45117</v>
      </c>
      <c r="G8096" t="str">
        <f t="shared" si="1453"/>
        <v>89312</v>
      </c>
      <c r="H8096">
        <v>3</v>
      </c>
      <c r="I8096">
        <v>936</v>
      </c>
      <c r="J8096">
        <v>0</v>
      </c>
      <c r="K8096" t="str">
        <f t="shared" si="1454"/>
        <v>809</v>
      </c>
      <c r="L8096">
        <v>1020.24</v>
      </c>
    </row>
    <row r="8097" spans="1:12" x14ac:dyDescent="0.25">
      <c r="A8097" t="str">
        <f t="shared" si="1449"/>
        <v>89301000</v>
      </c>
      <c r="B8097" t="str">
        <f t="shared" si="1452"/>
        <v>89063000</v>
      </c>
      <c r="C8097" t="str">
        <f t="shared" si="1452"/>
        <v>89063000</v>
      </c>
      <c r="D8097">
        <v>89301212</v>
      </c>
      <c r="E8097" t="str">
        <f>"7451204464"</f>
        <v>7451204464</v>
      </c>
      <c r="F8097" s="1">
        <v>45117</v>
      </c>
      <c r="G8097" t="str">
        <f t="shared" si="1453"/>
        <v>89312</v>
      </c>
      <c r="H8097">
        <v>3</v>
      </c>
      <c r="I8097">
        <v>936</v>
      </c>
      <c r="J8097">
        <v>0</v>
      </c>
      <c r="K8097" t="str">
        <f t="shared" si="1454"/>
        <v>809</v>
      </c>
      <c r="L8097">
        <v>1020.24</v>
      </c>
    </row>
    <row r="8098" spans="1:12" x14ac:dyDescent="0.25">
      <c r="A8098" t="str">
        <f t="shared" si="1449"/>
        <v>89301000</v>
      </c>
      <c r="B8098" t="str">
        <f t="shared" si="1452"/>
        <v>89063000</v>
      </c>
      <c r="C8098" t="str">
        <f t="shared" si="1452"/>
        <v>89063000</v>
      </c>
      <c r="D8098">
        <v>89301036</v>
      </c>
      <c r="E8098" t="str">
        <f>"525526277"</f>
        <v>525526277</v>
      </c>
      <c r="F8098" s="1">
        <v>45118</v>
      </c>
      <c r="G8098" t="str">
        <f t="shared" si="1453"/>
        <v>89312</v>
      </c>
      <c r="H8098">
        <v>3</v>
      </c>
      <c r="I8098">
        <v>936</v>
      </c>
      <c r="J8098">
        <v>0</v>
      </c>
      <c r="K8098" t="str">
        <f t="shared" si="1454"/>
        <v>809</v>
      </c>
      <c r="L8098">
        <v>1020.24</v>
      </c>
    </row>
    <row r="8099" spans="1:12" x14ac:dyDescent="0.25">
      <c r="A8099" t="str">
        <f t="shared" si="1449"/>
        <v>89301000</v>
      </c>
      <c r="B8099" t="str">
        <f t="shared" si="1452"/>
        <v>89063000</v>
      </c>
      <c r="C8099" t="str">
        <f t="shared" si="1452"/>
        <v>89063000</v>
      </c>
      <c r="D8099">
        <v>89301302</v>
      </c>
      <c r="E8099" t="str">
        <f>"5757070594"</f>
        <v>5757070594</v>
      </c>
      <c r="F8099" s="1">
        <v>45119</v>
      </c>
      <c r="G8099" t="str">
        <f t="shared" si="1453"/>
        <v>89312</v>
      </c>
      <c r="H8099">
        <v>3</v>
      </c>
      <c r="I8099">
        <v>936</v>
      </c>
      <c r="J8099">
        <v>0</v>
      </c>
      <c r="K8099" t="str">
        <f t="shared" si="1454"/>
        <v>809</v>
      </c>
      <c r="L8099">
        <v>1020.24</v>
      </c>
    </row>
    <row r="8100" spans="1:12" x14ac:dyDescent="0.25">
      <c r="A8100" t="str">
        <f t="shared" si="1449"/>
        <v>89301000</v>
      </c>
      <c r="B8100" t="str">
        <f t="shared" si="1452"/>
        <v>89063000</v>
      </c>
      <c r="C8100" t="str">
        <f t="shared" si="1452"/>
        <v>89063000</v>
      </c>
      <c r="D8100">
        <v>89301037</v>
      </c>
      <c r="E8100" t="str">
        <f>"535424031"</f>
        <v>535424031</v>
      </c>
      <c r="F8100" s="1">
        <v>45124</v>
      </c>
      <c r="G8100" t="str">
        <f t="shared" si="1453"/>
        <v>89312</v>
      </c>
      <c r="H8100">
        <v>3</v>
      </c>
      <c r="I8100">
        <v>936</v>
      </c>
      <c r="J8100">
        <v>0</v>
      </c>
      <c r="K8100" t="str">
        <f t="shared" si="1454"/>
        <v>809</v>
      </c>
      <c r="L8100">
        <v>1020.24</v>
      </c>
    </row>
    <row r="8101" spans="1:12" x14ac:dyDescent="0.25">
      <c r="A8101" t="str">
        <f t="shared" si="1449"/>
        <v>89301000</v>
      </c>
      <c r="B8101" t="str">
        <f t="shared" si="1452"/>
        <v>89063000</v>
      </c>
      <c r="C8101" t="str">
        <f t="shared" si="1452"/>
        <v>89063000</v>
      </c>
      <c r="D8101">
        <v>89301037</v>
      </c>
      <c r="E8101" t="str">
        <f>"416112466"</f>
        <v>416112466</v>
      </c>
      <c r="F8101" s="1">
        <v>45124</v>
      </c>
      <c r="G8101" t="str">
        <f t="shared" si="1453"/>
        <v>89312</v>
      </c>
      <c r="H8101">
        <v>3</v>
      </c>
      <c r="I8101">
        <v>936</v>
      </c>
      <c r="J8101">
        <v>0</v>
      </c>
      <c r="K8101" t="str">
        <f t="shared" si="1454"/>
        <v>809</v>
      </c>
      <c r="L8101">
        <v>1020.24</v>
      </c>
    </row>
    <row r="8102" spans="1:12" x14ac:dyDescent="0.25">
      <c r="A8102" t="str">
        <f t="shared" si="1449"/>
        <v>89301000</v>
      </c>
      <c r="B8102" t="str">
        <f t="shared" si="1452"/>
        <v>89063000</v>
      </c>
      <c r="C8102" t="str">
        <f t="shared" si="1452"/>
        <v>89063000</v>
      </c>
      <c r="D8102">
        <v>89301037</v>
      </c>
      <c r="E8102" t="str">
        <f>"5756212264"</f>
        <v>5756212264</v>
      </c>
      <c r="F8102" s="1">
        <v>45124</v>
      </c>
      <c r="G8102" t="str">
        <f t="shared" si="1453"/>
        <v>89312</v>
      </c>
      <c r="H8102">
        <v>3</v>
      </c>
      <c r="I8102">
        <v>936</v>
      </c>
      <c r="J8102">
        <v>0</v>
      </c>
      <c r="K8102" t="str">
        <f t="shared" si="1454"/>
        <v>809</v>
      </c>
      <c r="L8102">
        <v>1020.24</v>
      </c>
    </row>
    <row r="8103" spans="1:12" x14ac:dyDescent="0.25">
      <c r="A8103" t="str">
        <f t="shared" si="1449"/>
        <v>89301000</v>
      </c>
      <c r="B8103" t="str">
        <f t="shared" si="1452"/>
        <v>89063000</v>
      </c>
      <c r="C8103" t="str">
        <f t="shared" si="1452"/>
        <v>89063000</v>
      </c>
      <c r="D8103">
        <v>89301037</v>
      </c>
      <c r="E8103" t="str">
        <f>"7058315803"</f>
        <v>7058315803</v>
      </c>
      <c r="F8103" s="1">
        <v>45124</v>
      </c>
      <c r="G8103" t="str">
        <f t="shared" si="1453"/>
        <v>89312</v>
      </c>
      <c r="H8103">
        <v>3</v>
      </c>
      <c r="I8103">
        <v>936</v>
      </c>
      <c r="J8103">
        <v>0</v>
      </c>
      <c r="K8103" t="str">
        <f t="shared" si="1454"/>
        <v>809</v>
      </c>
      <c r="L8103">
        <v>1020.24</v>
      </c>
    </row>
    <row r="8104" spans="1:12" x14ac:dyDescent="0.25">
      <c r="A8104" t="str">
        <f t="shared" si="1449"/>
        <v>89301000</v>
      </c>
      <c r="B8104" t="str">
        <f t="shared" si="1452"/>
        <v>89063000</v>
      </c>
      <c r="C8104" t="str">
        <f t="shared" si="1452"/>
        <v>89063000</v>
      </c>
      <c r="D8104">
        <v>89301037</v>
      </c>
      <c r="E8104" t="str">
        <f>"7253305774"</f>
        <v>7253305774</v>
      </c>
      <c r="F8104" s="1">
        <v>45125</v>
      </c>
      <c r="G8104" t="str">
        <f t="shared" si="1453"/>
        <v>89312</v>
      </c>
      <c r="H8104">
        <v>3</v>
      </c>
      <c r="I8104">
        <v>936</v>
      </c>
      <c r="J8104">
        <v>0</v>
      </c>
      <c r="K8104" t="str">
        <f t="shared" si="1454"/>
        <v>809</v>
      </c>
      <c r="L8104">
        <v>1020.24</v>
      </c>
    </row>
    <row r="8105" spans="1:12" x14ac:dyDescent="0.25">
      <c r="A8105" t="str">
        <f t="shared" si="1449"/>
        <v>89301000</v>
      </c>
      <c r="B8105" t="str">
        <f t="shared" si="1452"/>
        <v>89063000</v>
      </c>
      <c r="C8105" t="str">
        <f t="shared" si="1452"/>
        <v>89063000</v>
      </c>
      <c r="D8105">
        <v>89301037</v>
      </c>
      <c r="E8105" t="str">
        <f>"7107224465"</f>
        <v>7107224465</v>
      </c>
      <c r="F8105" s="1">
        <v>45125</v>
      </c>
      <c r="G8105" t="str">
        <f t="shared" si="1453"/>
        <v>89312</v>
      </c>
      <c r="H8105">
        <v>3</v>
      </c>
      <c r="I8105">
        <v>936</v>
      </c>
      <c r="J8105">
        <v>0</v>
      </c>
      <c r="K8105" t="str">
        <f t="shared" si="1454"/>
        <v>809</v>
      </c>
      <c r="L8105">
        <v>1020.24</v>
      </c>
    </row>
    <row r="8106" spans="1:12" x14ac:dyDescent="0.25">
      <c r="A8106" t="str">
        <f t="shared" si="1449"/>
        <v>89301000</v>
      </c>
      <c r="B8106" t="str">
        <f t="shared" si="1452"/>
        <v>89063000</v>
      </c>
      <c r="C8106" t="str">
        <f t="shared" si="1452"/>
        <v>89063000</v>
      </c>
      <c r="D8106">
        <v>89301037</v>
      </c>
      <c r="E8106" t="str">
        <f>"9751255723"</f>
        <v>9751255723</v>
      </c>
      <c r="F8106" s="1">
        <v>45125</v>
      </c>
      <c r="G8106" t="str">
        <f t="shared" si="1453"/>
        <v>89312</v>
      </c>
      <c r="H8106">
        <v>3</v>
      </c>
      <c r="I8106">
        <v>936</v>
      </c>
      <c r="J8106">
        <v>0</v>
      </c>
      <c r="K8106" t="str">
        <f t="shared" si="1454"/>
        <v>809</v>
      </c>
      <c r="L8106">
        <v>1020.24</v>
      </c>
    </row>
    <row r="8107" spans="1:12" x14ac:dyDescent="0.25">
      <c r="A8107" t="str">
        <f t="shared" si="1449"/>
        <v>89301000</v>
      </c>
      <c r="B8107" t="str">
        <f t="shared" si="1452"/>
        <v>89063000</v>
      </c>
      <c r="C8107" t="str">
        <f t="shared" si="1452"/>
        <v>89063000</v>
      </c>
      <c r="D8107">
        <v>89301037</v>
      </c>
      <c r="E8107" t="str">
        <f>"495122307"</f>
        <v>495122307</v>
      </c>
      <c r="F8107" s="1">
        <v>45126</v>
      </c>
      <c r="G8107" t="str">
        <f t="shared" si="1453"/>
        <v>89312</v>
      </c>
      <c r="H8107">
        <v>3</v>
      </c>
      <c r="I8107">
        <v>936</v>
      </c>
      <c r="J8107">
        <v>0</v>
      </c>
      <c r="K8107" t="str">
        <f t="shared" si="1454"/>
        <v>809</v>
      </c>
      <c r="L8107">
        <v>1020.24</v>
      </c>
    </row>
    <row r="8108" spans="1:12" x14ac:dyDescent="0.25">
      <c r="A8108" t="str">
        <f t="shared" si="1449"/>
        <v>89301000</v>
      </c>
      <c r="B8108" t="str">
        <f t="shared" si="1452"/>
        <v>89063000</v>
      </c>
      <c r="C8108" t="str">
        <f t="shared" si="1452"/>
        <v>89063000</v>
      </c>
      <c r="D8108">
        <v>89301037</v>
      </c>
      <c r="E8108" t="str">
        <f>"7856165119"</f>
        <v>7856165119</v>
      </c>
      <c r="F8108" s="1">
        <v>45126</v>
      </c>
      <c r="G8108" t="str">
        <f t="shared" si="1453"/>
        <v>89312</v>
      </c>
      <c r="H8108">
        <v>3</v>
      </c>
      <c r="I8108">
        <v>936</v>
      </c>
      <c r="J8108">
        <v>0</v>
      </c>
      <c r="K8108" t="str">
        <f t="shared" si="1454"/>
        <v>809</v>
      </c>
      <c r="L8108">
        <v>1020.24</v>
      </c>
    </row>
    <row r="8109" spans="1:12" x14ac:dyDescent="0.25">
      <c r="A8109" t="str">
        <f t="shared" si="1449"/>
        <v>89301000</v>
      </c>
      <c r="B8109" t="str">
        <f t="shared" si="1452"/>
        <v>89063000</v>
      </c>
      <c r="C8109" t="str">
        <f t="shared" si="1452"/>
        <v>89063000</v>
      </c>
      <c r="D8109">
        <v>89301037</v>
      </c>
      <c r="E8109" t="str">
        <f>"6251200571"</f>
        <v>6251200571</v>
      </c>
      <c r="F8109" s="1">
        <v>45127</v>
      </c>
      <c r="G8109" t="str">
        <f t="shared" si="1453"/>
        <v>89312</v>
      </c>
      <c r="H8109">
        <v>3</v>
      </c>
      <c r="I8109">
        <v>936</v>
      </c>
      <c r="J8109">
        <v>0</v>
      </c>
      <c r="K8109" t="str">
        <f t="shared" si="1454"/>
        <v>809</v>
      </c>
      <c r="L8109">
        <v>1020.24</v>
      </c>
    </row>
    <row r="8110" spans="1:12" x14ac:dyDescent="0.25">
      <c r="A8110" t="str">
        <f t="shared" si="1449"/>
        <v>89301000</v>
      </c>
      <c r="B8110" t="str">
        <f t="shared" ref="B8110:C8127" si="1455">"89063000"</f>
        <v>89063000</v>
      </c>
      <c r="C8110" t="str">
        <f t="shared" si="1455"/>
        <v>89063000</v>
      </c>
      <c r="D8110">
        <v>89301037</v>
      </c>
      <c r="E8110" t="str">
        <f>"515501232"</f>
        <v>515501232</v>
      </c>
      <c r="F8110" s="1">
        <v>45127</v>
      </c>
      <c r="G8110" t="str">
        <f t="shared" si="1453"/>
        <v>89312</v>
      </c>
      <c r="H8110">
        <v>3</v>
      </c>
      <c r="I8110">
        <v>936</v>
      </c>
      <c r="J8110">
        <v>0</v>
      </c>
      <c r="K8110" t="str">
        <f t="shared" si="1454"/>
        <v>809</v>
      </c>
      <c r="L8110">
        <v>1020.24</v>
      </c>
    </row>
    <row r="8111" spans="1:12" x14ac:dyDescent="0.25">
      <c r="A8111" t="str">
        <f t="shared" si="1449"/>
        <v>89301000</v>
      </c>
      <c r="B8111" t="str">
        <f t="shared" si="1455"/>
        <v>89063000</v>
      </c>
      <c r="C8111" t="str">
        <f t="shared" si="1455"/>
        <v>89063000</v>
      </c>
      <c r="D8111">
        <v>89301028</v>
      </c>
      <c r="E8111" t="str">
        <f>"7662155765"</f>
        <v>7662155765</v>
      </c>
      <c r="F8111" s="1">
        <v>45127</v>
      </c>
      <c r="G8111" t="str">
        <f t="shared" si="1453"/>
        <v>89312</v>
      </c>
      <c r="H8111">
        <v>3</v>
      </c>
      <c r="I8111">
        <v>936</v>
      </c>
      <c r="J8111">
        <v>0</v>
      </c>
      <c r="K8111" t="str">
        <f t="shared" si="1454"/>
        <v>809</v>
      </c>
      <c r="L8111">
        <v>1020.24</v>
      </c>
    </row>
    <row r="8112" spans="1:12" x14ac:dyDescent="0.25">
      <c r="A8112" t="str">
        <f t="shared" si="1449"/>
        <v>89301000</v>
      </c>
      <c r="B8112" t="str">
        <f t="shared" si="1455"/>
        <v>89063000</v>
      </c>
      <c r="C8112" t="str">
        <f t="shared" si="1455"/>
        <v>89063000</v>
      </c>
      <c r="D8112">
        <v>89301039</v>
      </c>
      <c r="E8112" t="str">
        <f>"416216457"</f>
        <v>416216457</v>
      </c>
      <c r="F8112" s="1">
        <v>45127</v>
      </c>
      <c r="G8112" t="str">
        <f t="shared" si="1453"/>
        <v>89312</v>
      </c>
      <c r="H8112">
        <v>3</v>
      </c>
      <c r="I8112">
        <v>936</v>
      </c>
      <c r="J8112">
        <v>0</v>
      </c>
      <c r="K8112" t="str">
        <f t="shared" si="1454"/>
        <v>809</v>
      </c>
      <c r="L8112">
        <v>1020.24</v>
      </c>
    </row>
    <row r="8113" spans="1:12" x14ac:dyDescent="0.25">
      <c r="A8113" t="str">
        <f t="shared" si="1449"/>
        <v>89301000</v>
      </c>
      <c r="B8113" t="str">
        <f t="shared" si="1455"/>
        <v>89063000</v>
      </c>
      <c r="C8113" t="str">
        <f t="shared" si="1455"/>
        <v>89063000</v>
      </c>
      <c r="D8113">
        <v>89301703</v>
      </c>
      <c r="E8113" t="str">
        <f>"0755096067"</f>
        <v>0755096067</v>
      </c>
      <c r="F8113" s="1">
        <v>45128</v>
      </c>
      <c r="G8113" t="str">
        <f t="shared" si="1453"/>
        <v>89312</v>
      </c>
      <c r="H8113">
        <v>1</v>
      </c>
      <c r="I8113">
        <v>312</v>
      </c>
      <c r="J8113">
        <v>0</v>
      </c>
      <c r="K8113" t="str">
        <f t="shared" si="1454"/>
        <v>809</v>
      </c>
      <c r="L8113">
        <v>340.08</v>
      </c>
    </row>
    <row r="8114" spans="1:12" x14ac:dyDescent="0.25">
      <c r="A8114" t="str">
        <f t="shared" si="1449"/>
        <v>89301000</v>
      </c>
      <c r="B8114" t="str">
        <f t="shared" si="1455"/>
        <v>89063000</v>
      </c>
      <c r="C8114" t="str">
        <f t="shared" si="1455"/>
        <v>89063000</v>
      </c>
      <c r="D8114">
        <v>89301036</v>
      </c>
      <c r="E8114" t="str">
        <f>"7608084484"</f>
        <v>7608084484</v>
      </c>
      <c r="F8114" s="1">
        <v>45128</v>
      </c>
      <c r="G8114" t="str">
        <f t="shared" si="1453"/>
        <v>89312</v>
      </c>
      <c r="H8114">
        <v>3</v>
      </c>
      <c r="I8114">
        <v>936</v>
      </c>
      <c r="J8114">
        <v>0</v>
      </c>
      <c r="K8114" t="str">
        <f t="shared" si="1454"/>
        <v>809</v>
      </c>
      <c r="L8114">
        <v>1020.24</v>
      </c>
    </row>
    <row r="8115" spans="1:12" x14ac:dyDescent="0.25">
      <c r="A8115" t="str">
        <f t="shared" si="1449"/>
        <v>89301000</v>
      </c>
      <c r="B8115" t="str">
        <f t="shared" si="1455"/>
        <v>89063000</v>
      </c>
      <c r="C8115" t="str">
        <f t="shared" si="1455"/>
        <v>89063000</v>
      </c>
      <c r="D8115">
        <v>89301036</v>
      </c>
      <c r="E8115" t="str">
        <f>"9055125739"</f>
        <v>9055125739</v>
      </c>
      <c r="F8115" s="1">
        <v>45131</v>
      </c>
      <c r="G8115" t="str">
        <f t="shared" si="1453"/>
        <v>89312</v>
      </c>
      <c r="H8115">
        <v>3</v>
      </c>
      <c r="I8115">
        <v>936</v>
      </c>
      <c r="J8115">
        <v>0</v>
      </c>
      <c r="K8115" t="str">
        <f t="shared" si="1454"/>
        <v>809</v>
      </c>
      <c r="L8115">
        <v>1020.24</v>
      </c>
    </row>
    <row r="8116" spans="1:12" x14ac:dyDescent="0.25">
      <c r="A8116" t="str">
        <f t="shared" si="1449"/>
        <v>89301000</v>
      </c>
      <c r="B8116" t="str">
        <f t="shared" si="1455"/>
        <v>89063000</v>
      </c>
      <c r="C8116" t="str">
        <f t="shared" si="1455"/>
        <v>89063000</v>
      </c>
      <c r="D8116">
        <v>89301037</v>
      </c>
      <c r="E8116" t="str">
        <f>"7753025346"</f>
        <v>7753025346</v>
      </c>
      <c r="F8116" s="1">
        <v>45132</v>
      </c>
      <c r="G8116" t="str">
        <f t="shared" si="1453"/>
        <v>89312</v>
      </c>
      <c r="H8116">
        <v>3</v>
      </c>
      <c r="I8116">
        <v>936</v>
      </c>
      <c r="J8116">
        <v>0</v>
      </c>
      <c r="K8116" t="str">
        <f t="shared" si="1454"/>
        <v>809</v>
      </c>
      <c r="L8116">
        <v>1020.24</v>
      </c>
    </row>
    <row r="8117" spans="1:12" x14ac:dyDescent="0.25">
      <c r="A8117" t="str">
        <f t="shared" si="1449"/>
        <v>89301000</v>
      </c>
      <c r="B8117" t="str">
        <f t="shared" si="1455"/>
        <v>89063000</v>
      </c>
      <c r="C8117" t="str">
        <f t="shared" si="1455"/>
        <v>89063000</v>
      </c>
      <c r="D8117">
        <v>89301302</v>
      </c>
      <c r="E8117" t="str">
        <f>"455910701"</f>
        <v>455910701</v>
      </c>
      <c r="F8117" s="1">
        <v>45132</v>
      </c>
      <c r="G8117" t="str">
        <f t="shared" si="1453"/>
        <v>89312</v>
      </c>
      <c r="H8117">
        <v>3</v>
      </c>
      <c r="I8117">
        <v>936</v>
      </c>
      <c r="J8117">
        <v>0</v>
      </c>
      <c r="K8117" t="str">
        <f t="shared" si="1454"/>
        <v>809</v>
      </c>
      <c r="L8117">
        <v>1020.24</v>
      </c>
    </row>
    <row r="8118" spans="1:12" x14ac:dyDescent="0.25">
      <c r="A8118" t="str">
        <f t="shared" si="1449"/>
        <v>89301000</v>
      </c>
      <c r="B8118" t="str">
        <f t="shared" si="1455"/>
        <v>89063000</v>
      </c>
      <c r="C8118" t="str">
        <f t="shared" si="1455"/>
        <v>89063000</v>
      </c>
      <c r="D8118">
        <v>89301037</v>
      </c>
      <c r="E8118" t="str">
        <f>"5553222213"</f>
        <v>5553222213</v>
      </c>
      <c r="F8118" s="1">
        <v>45133</v>
      </c>
      <c r="G8118" t="str">
        <f t="shared" si="1453"/>
        <v>89312</v>
      </c>
      <c r="H8118">
        <v>3</v>
      </c>
      <c r="I8118">
        <v>936</v>
      </c>
      <c r="J8118">
        <v>0</v>
      </c>
      <c r="K8118" t="str">
        <f t="shared" si="1454"/>
        <v>809</v>
      </c>
      <c r="L8118">
        <v>1020.24</v>
      </c>
    </row>
    <row r="8119" spans="1:12" x14ac:dyDescent="0.25">
      <c r="A8119" t="str">
        <f t="shared" si="1449"/>
        <v>89301000</v>
      </c>
      <c r="B8119" t="str">
        <f t="shared" si="1455"/>
        <v>89063000</v>
      </c>
      <c r="C8119" t="str">
        <f t="shared" si="1455"/>
        <v>89063000</v>
      </c>
      <c r="D8119">
        <v>89301037</v>
      </c>
      <c r="E8119" t="str">
        <f>"5454192139"</f>
        <v>5454192139</v>
      </c>
      <c r="F8119" s="1">
        <v>45134</v>
      </c>
      <c r="G8119" t="str">
        <f t="shared" si="1453"/>
        <v>89312</v>
      </c>
      <c r="H8119">
        <v>3</v>
      </c>
      <c r="I8119">
        <v>936</v>
      </c>
      <c r="J8119">
        <v>0</v>
      </c>
      <c r="K8119" t="str">
        <f t="shared" si="1454"/>
        <v>809</v>
      </c>
      <c r="L8119">
        <v>1020.24</v>
      </c>
    </row>
    <row r="8120" spans="1:12" x14ac:dyDescent="0.25">
      <c r="A8120" t="str">
        <f t="shared" si="1449"/>
        <v>89301000</v>
      </c>
      <c r="B8120" t="str">
        <f t="shared" si="1455"/>
        <v>89063000</v>
      </c>
      <c r="C8120" t="str">
        <f t="shared" si="1455"/>
        <v>89063000</v>
      </c>
      <c r="D8120">
        <v>89301037</v>
      </c>
      <c r="E8120" t="str">
        <f>"355106446"</f>
        <v>355106446</v>
      </c>
      <c r="F8120" s="1">
        <v>45134</v>
      </c>
      <c r="G8120" t="str">
        <f t="shared" si="1453"/>
        <v>89312</v>
      </c>
      <c r="H8120">
        <v>3</v>
      </c>
      <c r="I8120">
        <v>936</v>
      </c>
      <c r="J8120">
        <v>0</v>
      </c>
      <c r="K8120" t="str">
        <f t="shared" si="1454"/>
        <v>809</v>
      </c>
      <c r="L8120">
        <v>1020.24</v>
      </c>
    </row>
    <row r="8121" spans="1:12" x14ac:dyDescent="0.25">
      <c r="A8121" t="str">
        <f t="shared" si="1449"/>
        <v>89301000</v>
      </c>
      <c r="B8121" t="str">
        <f t="shared" si="1455"/>
        <v>89063000</v>
      </c>
      <c r="C8121" t="str">
        <f t="shared" si="1455"/>
        <v>89063000</v>
      </c>
      <c r="D8121">
        <v>89301212</v>
      </c>
      <c r="E8121" t="str">
        <f>"6061190916"</f>
        <v>6061190916</v>
      </c>
      <c r="F8121" s="1">
        <v>45134</v>
      </c>
      <c r="G8121" t="str">
        <f t="shared" si="1453"/>
        <v>89312</v>
      </c>
      <c r="H8121">
        <v>3</v>
      </c>
      <c r="I8121">
        <v>936</v>
      </c>
      <c r="J8121">
        <v>0</v>
      </c>
      <c r="K8121" t="str">
        <f t="shared" si="1454"/>
        <v>809</v>
      </c>
      <c r="L8121">
        <v>1020.24</v>
      </c>
    </row>
    <row r="8122" spans="1:12" x14ac:dyDescent="0.25">
      <c r="A8122" t="str">
        <f t="shared" si="1449"/>
        <v>89301000</v>
      </c>
      <c r="B8122" t="str">
        <f t="shared" si="1455"/>
        <v>89063000</v>
      </c>
      <c r="C8122" t="str">
        <f t="shared" si="1455"/>
        <v>89063000</v>
      </c>
      <c r="D8122">
        <v>89301212</v>
      </c>
      <c r="E8122" t="str">
        <f>"6352270210"</f>
        <v>6352270210</v>
      </c>
      <c r="F8122" s="1">
        <v>45134</v>
      </c>
      <c r="G8122" t="str">
        <f t="shared" si="1453"/>
        <v>89312</v>
      </c>
      <c r="H8122">
        <v>3</v>
      </c>
      <c r="I8122">
        <v>936</v>
      </c>
      <c r="J8122">
        <v>0</v>
      </c>
      <c r="K8122" t="str">
        <f t="shared" si="1454"/>
        <v>809</v>
      </c>
      <c r="L8122">
        <v>1020.24</v>
      </c>
    </row>
    <row r="8123" spans="1:12" x14ac:dyDescent="0.25">
      <c r="A8123" t="str">
        <f t="shared" si="1449"/>
        <v>89301000</v>
      </c>
      <c r="B8123" t="str">
        <f t="shared" si="1455"/>
        <v>89063000</v>
      </c>
      <c r="C8123" t="str">
        <f t="shared" si="1455"/>
        <v>89063000</v>
      </c>
      <c r="D8123">
        <v>89301037</v>
      </c>
      <c r="E8123" t="str">
        <f>"5661021377"</f>
        <v>5661021377</v>
      </c>
      <c r="F8123" s="1">
        <v>45134</v>
      </c>
      <c r="G8123" t="str">
        <f t="shared" si="1453"/>
        <v>89312</v>
      </c>
      <c r="H8123">
        <v>3</v>
      </c>
      <c r="I8123">
        <v>936</v>
      </c>
      <c r="J8123">
        <v>0</v>
      </c>
      <c r="K8123" t="str">
        <f t="shared" si="1454"/>
        <v>809</v>
      </c>
      <c r="L8123">
        <v>1020.24</v>
      </c>
    </row>
    <row r="8124" spans="1:12" x14ac:dyDescent="0.25">
      <c r="A8124" t="str">
        <f t="shared" si="1449"/>
        <v>89301000</v>
      </c>
      <c r="B8124" t="str">
        <f t="shared" si="1455"/>
        <v>89063000</v>
      </c>
      <c r="C8124" t="str">
        <f t="shared" si="1455"/>
        <v>89063000</v>
      </c>
      <c r="D8124">
        <v>89301037</v>
      </c>
      <c r="E8124" t="str">
        <f>"5759041585"</f>
        <v>5759041585</v>
      </c>
      <c r="F8124" s="1">
        <v>45135</v>
      </c>
      <c r="G8124" t="str">
        <f t="shared" si="1453"/>
        <v>89312</v>
      </c>
      <c r="H8124">
        <v>3</v>
      </c>
      <c r="I8124">
        <v>936</v>
      </c>
      <c r="J8124">
        <v>0</v>
      </c>
      <c r="K8124" t="str">
        <f t="shared" si="1454"/>
        <v>809</v>
      </c>
      <c r="L8124">
        <v>1020.24</v>
      </c>
    </row>
    <row r="8125" spans="1:12" x14ac:dyDescent="0.25">
      <c r="A8125" t="str">
        <f t="shared" si="1449"/>
        <v>89301000</v>
      </c>
      <c r="B8125" t="str">
        <f t="shared" si="1455"/>
        <v>89063000</v>
      </c>
      <c r="C8125" t="str">
        <f t="shared" si="1455"/>
        <v>89063000</v>
      </c>
      <c r="D8125">
        <v>89301322</v>
      </c>
      <c r="E8125" t="str">
        <f>"460813484"</f>
        <v>460813484</v>
      </c>
      <c r="F8125" s="1">
        <v>45135</v>
      </c>
      <c r="G8125" t="str">
        <f t="shared" si="1453"/>
        <v>89312</v>
      </c>
      <c r="H8125">
        <v>3</v>
      </c>
      <c r="I8125">
        <v>936</v>
      </c>
      <c r="J8125">
        <v>0</v>
      </c>
      <c r="K8125" t="str">
        <f t="shared" si="1454"/>
        <v>809</v>
      </c>
      <c r="L8125">
        <v>1020.24</v>
      </c>
    </row>
    <row r="8126" spans="1:12" x14ac:dyDescent="0.25">
      <c r="A8126" t="str">
        <f t="shared" si="1449"/>
        <v>89301000</v>
      </c>
      <c r="B8126" t="str">
        <f t="shared" si="1455"/>
        <v>89063000</v>
      </c>
      <c r="C8126" t="str">
        <f t="shared" si="1455"/>
        <v>89063000</v>
      </c>
      <c r="D8126">
        <v>89301212</v>
      </c>
      <c r="E8126" t="str">
        <f>"515419287"</f>
        <v>515419287</v>
      </c>
      <c r="F8126" s="1">
        <v>45135</v>
      </c>
      <c r="G8126" t="str">
        <f t="shared" si="1453"/>
        <v>89312</v>
      </c>
      <c r="H8126">
        <v>3</v>
      </c>
      <c r="I8126">
        <v>936</v>
      </c>
      <c r="J8126">
        <v>0</v>
      </c>
      <c r="K8126" t="str">
        <f t="shared" si="1454"/>
        <v>809</v>
      </c>
      <c r="L8126">
        <v>1020.24</v>
      </c>
    </row>
    <row r="8127" spans="1:12" x14ac:dyDescent="0.25">
      <c r="A8127" t="str">
        <f t="shared" si="1449"/>
        <v>89301000</v>
      </c>
      <c r="B8127" t="str">
        <f t="shared" si="1455"/>
        <v>89063000</v>
      </c>
      <c r="C8127" t="str">
        <f t="shared" si="1455"/>
        <v>89063000</v>
      </c>
      <c r="D8127">
        <v>89301037</v>
      </c>
      <c r="E8127" t="str">
        <f>"395211464"</f>
        <v>395211464</v>
      </c>
      <c r="F8127" s="1">
        <v>45138</v>
      </c>
      <c r="G8127" t="str">
        <f t="shared" si="1453"/>
        <v>89312</v>
      </c>
      <c r="H8127">
        <v>3</v>
      </c>
      <c r="I8127">
        <v>936</v>
      </c>
      <c r="J8127">
        <v>0</v>
      </c>
      <c r="K8127" t="str">
        <f t="shared" si="1454"/>
        <v>809</v>
      </c>
      <c r="L8127">
        <v>1020.24</v>
      </c>
    </row>
    <row r="8128" spans="1:12" x14ac:dyDescent="0.25">
      <c r="A8128" t="str">
        <f t="shared" si="1449"/>
        <v>89301000</v>
      </c>
      <c r="B8128" t="str">
        <f t="shared" ref="B8128:B8159" si="1456">"91866000"</f>
        <v>91866000</v>
      </c>
      <c r="C8128" t="str">
        <f t="shared" ref="C8128:C8159" si="1457">"91866313"</f>
        <v>91866313</v>
      </c>
      <c r="D8128">
        <v>89301103</v>
      </c>
      <c r="E8128" t="str">
        <f t="shared" ref="E8128:E8139" si="1458">"0803183238"</f>
        <v>0803183238</v>
      </c>
      <c r="F8128" s="1">
        <v>45132</v>
      </c>
      <c r="G8128" t="str">
        <f t="shared" ref="G8128:G8139" si="1459">"82121"</f>
        <v>82121</v>
      </c>
      <c r="H8128">
        <v>1</v>
      </c>
      <c r="I8128">
        <v>811</v>
      </c>
      <c r="J8128">
        <v>0</v>
      </c>
      <c r="K8128" t="str">
        <f t="shared" ref="K8128:K8159" si="1460">"802"</f>
        <v>802</v>
      </c>
      <c r="L8128">
        <v>786.67</v>
      </c>
    </row>
    <row r="8129" spans="1:12" x14ac:dyDescent="0.25">
      <c r="A8129" t="str">
        <f t="shared" si="1449"/>
        <v>89301000</v>
      </c>
      <c r="B8129" t="str">
        <f t="shared" si="1456"/>
        <v>91866000</v>
      </c>
      <c r="C8129" t="str">
        <f t="shared" si="1457"/>
        <v>91866313</v>
      </c>
      <c r="D8129">
        <v>89301103</v>
      </c>
      <c r="E8129" t="str">
        <f t="shared" si="1458"/>
        <v>0803183238</v>
      </c>
      <c r="F8129" s="1">
        <v>45132</v>
      </c>
      <c r="G8129" t="str">
        <f t="shared" si="1459"/>
        <v>82121</v>
      </c>
      <c r="H8129">
        <v>1</v>
      </c>
      <c r="I8129">
        <v>811</v>
      </c>
      <c r="J8129">
        <v>0</v>
      </c>
      <c r="K8129" t="str">
        <f t="shared" si="1460"/>
        <v>802</v>
      </c>
      <c r="L8129">
        <v>786.67</v>
      </c>
    </row>
    <row r="8130" spans="1:12" x14ac:dyDescent="0.25">
      <c r="A8130" t="str">
        <f t="shared" ref="A8130:A8193" si="1461">"89301000"</f>
        <v>89301000</v>
      </c>
      <c r="B8130" t="str">
        <f t="shared" si="1456"/>
        <v>91866000</v>
      </c>
      <c r="C8130" t="str">
        <f t="shared" si="1457"/>
        <v>91866313</v>
      </c>
      <c r="D8130">
        <v>89301103</v>
      </c>
      <c r="E8130" t="str">
        <f t="shared" si="1458"/>
        <v>0803183238</v>
      </c>
      <c r="F8130" s="1">
        <v>45132</v>
      </c>
      <c r="G8130" t="str">
        <f t="shared" si="1459"/>
        <v>82121</v>
      </c>
      <c r="H8130">
        <v>1</v>
      </c>
      <c r="I8130">
        <v>811</v>
      </c>
      <c r="J8130">
        <v>0</v>
      </c>
      <c r="K8130" t="str">
        <f t="shared" si="1460"/>
        <v>802</v>
      </c>
      <c r="L8130">
        <v>786.67</v>
      </c>
    </row>
    <row r="8131" spans="1:12" x14ac:dyDescent="0.25">
      <c r="A8131" t="str">
        <f t="shared" si="1461"/>
        <v>89301000</v>
      </c>
      <c r="B8131" t="str">
        <f t="shared" si="1456"/>
        <v>91866000</v>
      </c>
      <c r="C8131" t="str">
        <f t="shared" si="1457"/>
        <v>91866313</v>
      </c>
      <c r="D8131">
        <v>89301103</v>
      </c>
      <c r="E8131" t="str">
        <f t="shared" si="1458"/>
        <v>0803183238</v>
      </c>
      <c r="F8131" s="1">
        <v>45132</v>
      </c>
      <c r="G8131" t="str">
        <f t="shared" si="1459"/>
        <v>82121</v>
      </c>
      <c r="H8131">
        <v>1</v>
      </c>
      <c r="I8131">
        <v>811</v>
      </c>
      <c r="J8131">
        <v>0</v>
      </c>
      <c r="K8131" t="str">
        <f t="shared" si="1460"/>
        <v>802</v>
      </c>
      <c r="L8131">
        <v>786.67</v>
      </c>
    </row>
    <row r="8132" spans="1:12" x14ac:dyDescent="0.25">
      <c r="A8132" t="str">
        <f t="shared" si="1461"/>
        <v>89301000</v>
      </c>
      <c r="B8132" t="str">
        <f t="shared" si="1456"/>
        <v>91866000</v>
      </c>
      <c r="C8132" t="str">
        <f t="shared" si="1457"/>
        <v>91866313</v>
      </c>
      <c r="D8132">
        <v>89301103</v>
      </c>
      <c r="E8132" t="str">
        <f t="shared" si="1458"/>
        <v>0803183238</v>
      </c>
      <c r="F8132" s="1">
        <v>45132</v>
      </c>
      <c r="G8132" t="str">
        <f t="shared" si="1459"/>
        <v>82121</v>
      </c>
      <c r="H8132">
        <v>1</v>
      </c>
      <c r="I8132">
        <v>811</v>
      </c>
      <c r="J8132">
        <v>0</v>
      </c>
      <c r="K8132" t="str">
        <f t="shared" si="1460"/>
        <v>802</v>
      </c>
      <c r="L8132">
        <v>786.67</v>
      </c>
    </row>
    <row r="8133" spans="1:12" x14ac:dyDescent="0.25">
      <c r="A8133" t="str">
        <f t="shared" si="1461"/>
        <v>89301000</v>
      </c>
      <c r="B8133" t="str">
        <f t="shared" si="1456"/>
        <v>91866000</v>
      </c>
      <c r="C8133" t="str">
        <f t="shared" si="1457"/>
        <v>91866313</v>
      </c>
      <c r="D8133">
        <v>89301103</v>
      </c>
      <c r="E8133" t="str">
        <f t="shared" si="1458"/>
        <v>0803183238</v>
      </c>
      <c r="F8133" s="1">
        <v>45132</v>
      </c>
      <c r="G8133" t="str">
        <f t="shared" si="1459"/>
        <v>82121</v>
      </c>
      <c r="H8133">
        <v>1</v>
      </c>
      <c r="I8133">
        <v>811</v>
      </c>
      <c r="J8133">
        <v>0</v>
      </c>
      <c r="K8133" t="str">
        <f t="shared" si="1460"/>
        <v>802</v>
      </c>
      <c r="L8133">
        <v>786.67</v>
      </c>
    </row>
    <row r="8134" spans="1:12" x14ac:dyDescent="0.25">
      <c r="A8134" t="str">
        <f t="shared" si="1461"/>
        <v>89301000</v>
      </c>
      <c r="B8134" t="str">
        <f t="shared" si="1456"/>
        <v>91866000</v>
      </c>
      <c r="C8134" t="str">
        <f t="shared" si="1457"/>
        <v>91866313</v>
      </c>
      <c r="D8134">
        <v>89301103</v>
      </c>
      <c r="E8134" t="str">
        <f t="shared" si="1458"/>
        <v>0803183238</v>
      </c>
      <c r="F8134" s="1">
        <v>45132</v>
      </c>
      <c r="G8134" t="str">
        <f t="shared" si="1459"/>
        <v>82121</v>
      </c>
      <c r="H8134">
        <v>1</v>
      </c>
      <c r="I8134">
        <v>811</v>
      </c>
      <c r="J8134">
        <v>0</v>
      </c>
      <c r="K8134" t="str">
        <f t="shared" si="1460"/>
        <v>802</v>
      </c>
      <c r="L8134">
        <v>786.67</v>
      </c>
    </row>
    <row r="8135" spans="1:12" x14ac:dyDescent="0.25">
      <c r="A8135" t="str">
        <f t="shared" si="1461"/>
        <v>89301000</v>
      </c>
      <c r="B8135" t="str">
        <f t="shared" si="1456"/>
        <v>91866000</v>
      </c>
      <c r="C8135" t="str">
        <f t="shared" si="1457"/>
        <v>91866313</v>
      </c>
      <c r="D8135">
        <v>89301103</v>
      </c>
      <c r="E8135" t="str">
        <f t="shared" si="1458"/>
        <v>0803183238</v>
      </c>
      <c r="F8135" s="1">
        <v>45132</v>
      </c>
      <c r="G8135" t="str">
        <f t="shared" si="1459"/>
        <v>82121</v>
      </c>
      <c r="H8135">
        <v>1</v>
      </c>
      <c r="I8135">
        <v>811</v>
      </c>
      <c r="J8135">
        <v>0</v>
      </c>
      <c r="K8135" t="str">
        <f t="shared" si="1460"/>
        <v>802</v>
      </c>
      <c r="L8135">
        <v>786.67</v>
      </c>
    </row>
    <row r="8136" spans="1:12" x14ac:dyDescent="0.25">
      <c r="A8136" t="str">
        <f t="shared" si="1461"/>
        <v>89301000</v>
      </c>
      <c r="B8136" t="str">
        <f t="shared" si="1456"/>
        <v>91866000</v>
      </c>
      <c r="C8136" t="str">
        <f t="shared" si="1457"/>
        <v>91866313</v>
      </c>
      <c r="D8136">
        <v>89301103</v>
      </c>
      <c r="E8136" t="str">
        <f t="shared" si="1458"/>
        <v>0803183238</v>
      </c>
      <c r="F8136" s="1">
        <v>45132</v>
      </c>
      <c r="G8136" t="str">
        <f t="shared" si="1459"/>
        <v>82121</v>
      </c>
      <c r="H8136">
        <v>1</v>
      </c>
      <c r="I8136">
        <v>811</v>
      </c>
      <c r="J8136">
        <v>0</v>
      </c>
      <c r="K8136" t="str">
        <f t="shared" si="1460"/>
        <v>802</v>
      </c>
      <c r="L8136">
        <v>786.67</v>
      </c>
    </row>
    <row r="8137" spans="1:12" x14ac:dyDescent="0.25">
      <c r="A8137" t="str">
        <f t="shared" si="1461"/>
        <v>89301000</v>
      </c>
      <c r="B8137" t="str">
        <f t="shared" si="1456"/>
        <v>91866000</v>
      </c>
      <c r="C8137" t="str">
        <f t="shared" si="1457"/>
        <v>91866313</v>
      </c>
      <c r="D8137">
        <v>89301103</v>
      </c>
      <c r="E8137" t="str">
        <f t="shared" si="1458"/>
        <v>0803183238</v>
      </c>
      <c r="F8137" s="1">
        <v>45132</v>
      </c>
      <c r="G8137" t="str">
        <f t="shared" si="1459"/>
        <v>82121</v>
      </c>
      <c r="H8137">
        <v>1</v>
      </c>
      <c r="I8137">
        <v>811</v>
      </c>
      <c r="J8137">
        <v>0</v>
      </c>
      <c r="K8137" t="str">
        <f t="shared" si="1460"/>
        <v>802</v>
      </c>
      <c r="L8137">
        <v>786.67</v>
      </c>
    </row>
    <row r="8138" spans="1:12" x14ac:dyDescent="0.25">
      <c r="A8138" t="str">
        <f t="shared" si="1461"/>
        <v>89301000</v>
      </c>
      <c r="B8138" t="str">
        <f t="shared" si="1456"/>
        <v>91866000</v>
      </c>
      <c r="C8138" t="str">
        <f t="shared" si="1457"/>
        <v>91866313</v>
      </c>
      <c r="D8138">
        <v>89301103</v>
      </c>
      <c r="E8138" t="str">
        <f t="shared" si="1458"/>
        <v>0803183238</v>
      </c>
      <c r="F8138" s="1">
        <v>45132</v>
      </c>
      <c r="G8138" t="str">
        <f t="shared" si="1459"/>
        <v>82121</v>
      </c>
      <c r="H8138">
        <v>1</v>
      </c>
      <c r="I8138">
        <v>811</v>
      </c>
      <c r="J8138">
        <v>0</v>
      </c>
      <c r="K8138" t="str">
        <f t="shared" si="1460"/>
        <v>802</v>
      </c>
      <c r="L8138">
        <v>786.67</v>
      </c>
    </row>
    <row r="8139" spans="1:12" x14ac:dyDescent="0.25">
      <c r="A8139" t="str">
        <f t="shared" si="1461"/>
        <v>89301000</v>
      </c>
      <c r="B8139" t="str">
        <f t="shared" si="1456"/>
        <v>91866000</v>
      </c>
      <c r="C8139" t="str">
        <f t="shared" si="1457"/>
        <v>91866313</v>
      </c>
      <c r="D8139">
        <v>89301103</v>
      </c>
      <c r="E8139" t="str">
        <f t="shared" si="1458"/>
        <v>0803183238</v>
      </c>
      <c r="F8139" s="1">
        <v>45132</v>
      </c>
      <c r="G8139" t="str">
        <f t="shared" si="1459"/>
        <v>82121</v>
      </c>
      <c r="H8139">
        <v>1</v>
      </c>
      <c r="I8139">
        <v>811</v>
      </c>
      <c r="J8139">
        <v>0</v>
      </c>
      <c r="K8139" t="str">
        <f t="shared" si="1460"/>
        <v>802</v>
      </c>
      <c r="L8139">
        <v>786.67</v>
      </c>
    </row>
    <row r="8140" spans="1:12" x14ac:dyDescent="0.25">
      <c r="A8140" t="str">
        <f t="shared" si="1461"/>
        <v>89301000</v>
      </c>
      <c r="B8140" t="str">
        <f t="shared" si="1456"/>
        <v>91866000</v>
      </c>
      <c r="C8140" t="str">
        <f t="shared" si="1457"/>
        <v>91866313</v>
      </c>
      <c r="D8140">
        <v>89301704</v>
      </c>
      <c r="E8140" t="str">
        <f t="shared" ref="E8140:E8145" si="1462">"2109281196"</f>
        <v>2109281196</v>
      </c>
      <c r="F8140" s="1">
        <v>45134</v>
      </c>
      <c r="G8140" t="str">
        <f t="shared" ref="G8140:G8157" si="1463">"82087"</f>
        <v>82087</v>
      </c>
      <c r="H8140">
        <v>1</v>
      </c>
      <c r="I8140">
        <v>53</v>
      </c>
      <c r="J8140">
        <v>0</v>
      </c>
      <c r="K8140" t="str">
        <f t="shared" si="1460"/>
        <v>802</v>
      </c>
      <c r="L8140">
        <v>51.41</v>
      </c>
    </row>
    <row r="8141" spans="1:12" x14ac:dyDescent="0.25">
      <c r="A8141" t="str">
        <f t="shared" si="1461"/>
        <v>89301000</v>
      </c>
      <c r="B8141" t="str">
        <f t="shared" si="1456"/>
        <v>91866000</v>
      </c>
      <c r="C8141" t="str">
        <f t="shared" si="1457"/>
        <v>91866313</v>
      </c>
      <c r="D8141">
        <v>89301704</v>
      </c>
      <c r="E8141" t="str">
        <f t="shared" si="1462"/>
        <v>2109281196</v>
      </c>
      <c r="F8141" s="1">
        <v>45133</v>
      </c>
      <c r="G8141" t="str">
        <f t="shared" si="1463"/>
        <v>82087</v>
      </c>
      <c r="H8141">
        <v>1</v>
      </c>
      <c r="I8141">
        <v>53</v>
      </c>
      <c r="J8141">
        <v>0</v>
      </c>
      <c r="K8141" t="str">
        <f t="shared" si="1460"/>
        <v>802</v>
      </c>
      <c r="L8141">
        <v>51.41</v>
      </c>
    </row>
    <row r="8142" spans="1:12" x14ac:dyDescent="0.25">
      <c r="A8142" t="str">
        <f t="shared" si="1461"/>
        <v>89301000</v>
      </c>
      <c r="B8142" t="str">
        <f t="shared" si="1456"/>
        <v>91866000</v>
      </c>
      <c r="C8142" t="str">
        <f t="shared" si="1457"/>
        <v>91866313</v>
      </c>
      <c r="D8142">
        <v>89301704</v>
      </c>
      <c r="E8142" t="str">
        <f t="shared" si="1462"/>
        <v>2109281196</v>
      </c>
      <c r="F8142" s="1">
        <v>45132</v>
      </c>
      <c r="G8142" t="str">
        <f t="shared" si="1463"/>
        <v>82087</v>
      </c>
      <c r="H8142">
        <v>1</v>
      </c>
      <c r="I8142">
        <v>53</v>
      </c>
      <c r="J8142">
        <v>0</v>
      </c>
      <c r="K8142" t="str">
        <f t="shared" si="1460"/>
        <v>802</v>
      </c>
      <c r="L8142">
        <v>51.41</v>
      </c>
    </row>
    <row r="8143" spans="1:12" x14ac:dyDescent="0.25">
      <c r="A8143" t="str">
        <f t="shared" si="1461"/>
        <v>89301000</v>
      </c>
      <c r="B8143" t="str">
        <f t="shared" si="1456"/>
        <v>91866000</v>
      </c>
      <c r="C8143" t="str">
        <f t="shared" si="1457"/>
        <v>91866313</v>
      </c>
      <c r="D8143">
        <v>89301704</v>
      </c>
      <c r="E8143" t="str">
        <f t="shared" si="1462"/>
        <v>2109281196</v>
      </c>
      <c r="F8143" s="1">
        <v>45133</v>
      </c>
      <c r="G8143" t="str">
        <f t="shared" si="1463"/>
        <v>82087</v>
      </c>
      <c r="H8143">
        <v>1</v>
      </c>
      <c r="I8143">
        <v>53</v>
      </c>
      <c r="J8143">
        <v>0</v>
      </c>
      <c r="K8143" t="str">
        <f t="shared" si="1460"/>
        <v>802</v>
      </c>
      <c r="L8143">
        <v>51.41</v>
      </c>
    </row>
    <row r="8144" spans="1:12" x14ac:dyDescent="0.25">
      <c r="A8144" t="str">
        <f t="shared" si="1461"/>
        <v>89301000</v>
      </c>
      <c r="B8144" t="str">
        <f t="shared" si="1456"/>
        <v>91866000</v>
      </c>
      <c r="C8144" t="str">
        <f t="shared" si="1457"/>
        <v>91866313</v>
      </c>
      <c r="D8144">
        <v>89301704</v>
      </c>
      <c r="E8144" t="str">
        <f t="shared" si="1462"/>
        <v>2109281196</v>
      </c>
      <c r="F8144" s="1">
        <v>45134</v>
      </c>
      <c r="G8144" t="str">
        <f t="shared" si="1463"/>
        <v>82087</v>
      </c>
      <c r="H8144">
        <v>1</v>
      </c>
      <c r="I8144">
        <v>53</v>
      </c>
      <c r="J8144">
        <v>0</v>
      </c>
      <c r="K8144" t="str">
        <f t="shared" si="1460"/>
        <v>802</v>
      </c>
      <c r="L8144">
        <v>51.41</v>
      </c>
    </row>
    <row r="8145" spans="1:12" x14ac:dyDescent="0.25">
      <c r="A8145" t="str">
        <f t="shared" si="1461"/>
        <v>89301000</v>
      </c>
      <c r="B8145" t="str">
        <f t="shared" si="1456"/>
        <v>91866000</v>
      </c>
      <c r="C8145" t="str">
        <f t="shared" si="1457"/>
        <v>91866313</v>
      </c>
      <c r="D8145">
        <v>89301704</v>
      </c>
      <c r="E8145" t="str">
        <f t="shared" si="1462"/>
        <v>2109281196</v>
      </c>
      <c r="F8145" s="1">
        <v>45132</v>
      </c>
      <c r="G8145" t="str">
        <f t="shared" si="1463"/>
        <v>82087</v>
      </c>
      <c r="H8145">
        <v>1</v>
      </c>
      <c r="I8145">
        <v>53</v>
      </c>
      <c r="J8145">
        <v>0</v>
      </c>
      <c r="K8145" t="str">
        <f t="shared" si="1460"/>
        <v>802</v>
      </c>
      <c r="L8145">
        <v>51.41</v>
      </c>
    </row>
    <row r="8146" spans="1:12" x14ac:dyDescent="0.25">
      <c r="A8146" t="str">
        <f t="shared" si="1461"/>
        <v>89301000</v>
      </c>
      <c r="B8146" t="str">
        <f t="shared" si="1456"/>
        <v>91866000</v>
      </c>
      <c r="C8146" t="str">
        <f t="shared" si="1457"/>
        <v>91866313</v>
      </c>
      <c r="D8146">
        <v>89301102</v>
      </c>
      <c r="E8146" t="str">
        <f t="shared" ref="E8146:E8151" si="1464">"1951180275"</f>
        <v>1951180275</v>
      </c>
      <c r="F8146" s="1">
        <v>45123</v>
      </c>
      <c r="G8146" t="str">
        <f t="shared" si="1463"/>
        <v>82087</v>
      </c>
      <c r="H8146">
        <v>1</v>
      </c>
      <c r="I8146">
        <v>53</v>
      </c>
      <c r="J8146">
        <v>0</v>
      </c>
      <c r="K8146" t="str">
        <f t="shared" si="1460"/>
        <v>802</v>
      </c>
      <c r="L8146">
        <v>51.41</v>
      </c>
    </row>
    <row r="8147" spans="1:12" x14ac:dyDescent="0.25">
      <c r="A8147" t="str">
        <f t="shared" si="1461"/>
        <v>89301000</v>
      </c>
      <c r="B8147" t="str">
        <f t="shared" si="1456"/>
        <v>91866000</v>
      </c>
      <c r="C8147" t="str">
        <f t="shared" si="1457"/>
        <v>91866313</v>
      </c>
      <c r="D8147">
        <v>89301102</v>
      </c>
      <c r="E8147" t="str">
        <f t="shared" si="1464"/>
        <v>1951180275</v>
      </c>
      <c r="F8147" s="1">
        <v>45122</v>
      </c>
      <c r="G8147" t="str">
        <f t="shared" si="1463"/>
        <v>82087</v>
      </c>
      <c r="H8147">
        <v>1</v>
      </c>
      <c r="I8147">
        <v>53</v>
      </c>
      <c r="J8147">
        <v>0</v>
      </c>
      <c r="K8147" t="str">
        <f t="shared" si="1460"/>
        <v>802</v>
      </c>
      <c r="L8147">
        <v>51.41</v>
      </c>
    </row>
    <row r="8148" spans="1:12" x14ac:dyDescent="0.25">
      <c r="A8148" t="str">
        <f t="shared" si="1461"/>
        <v>89301000</v>
      </c>
      <c r="B8148" t="str">
        <f t="shared" si="1456"/>
        <v>91866000</v>
      </c>
      <c r="C8148" t="str">
        <f t="shared" si="1457"/>
        <v>91866313</v>
      </c>
      <c r="D8148">
        <v>89301102</v>
      </c>
      <c r="E8148" t="str">
        <f t="shared" si="1464"/>
        <v>1951180275</v>
      </c>
      <c r="F8148" s="1">
        <v>45121</v>
      </c>
      <c r="G8148" t="str">
        <f t="shared" si="1463"/>
        <v>82087</v>
      </c>
      <c r="H8148">
        <v>1</v>
      </c>
      <c r="I8148">
        <v>53</v>
      </c>
      <c r="J8148">
        <v>0</v>
      </c>
      <c r="K8148" t="str">
        <f t="shared" si="1460"/>
        <v>802</v>
      </c>
      <c r="L8148">
        <v>51.41</v>
      </c>
    </row>
    <row r="8149" spans="1:12" x14ac:dyDescent="0.25">
      <c r="A8149" t="str">
        <f t="shared" si="1461"/>
        <v>89301000</v>
      </c>
      <c r="B8149" t="str">
        <f t="shared" si="1456"/>
        <v>91866000</v>
      </c>
      <c r="C8149" t="str">
        <f t="shared" si="1457"/>
        <v>91866313</v>
      </c>
      <c r="D8149">
        <v>89301102</v>
      </c>
      <c r="E8149" t="str">
        <f t="shared" si="1464"/>
        <v>1951180275</v>
      </c>
      <c r="F8149" s="1">
        <v>45121</v>
      </c>
      <c r="G8149" t="str">
        <f t="shared" si="1463"/>
        <v>82087</v>
      </c>
      <c r="H8149">
        <v>1</v>
      </c>
      <c r="I8149">
        <v>53</v>
      </c>
      <c r="J8149">
        <v>0</v>
      </c>
      <c r="K8149" t="str">
        <f t="shared" si="1460"/>
        <v>802</v>
      </c>
      <c r="L8149">
        <v>51.41</v>
      </c>
    </row>
    <row r="8150" spans="1:12" x14ac:dyDescent="0.25">
      <c r="A8150" t="str">
        <f t="shared" si="1461"/>
        <v>89301000</v>
      </c>
      <c r="B8150" t="str">
        <f t="shared" si="1456"/>
        <v>91866000</v>
      </c>
      <c r="C8150" t="str">
        <f t="shared" si="1457"/>
        <v>91866313</v>
      </c>
      <c r="D8150">
        <v>89301102</v>
      </c>
      <c r="E8150" t="str">
        <f t="shared" si="1464"/>
        <v>1951180275</v>
      </c>
      <c r="F8150" s="1">
        <v>45122</v>
      </c>
      <c r="G8150" t="str">
        <f t="shared" si="1463"/>
        <v>82087</v>
      </c>
      <c r="H8150">
        <v>1</v>
      </c>
      <c r="I8150">
        <v>53</v>
      </c>
      <c r="J8150">
        <v>0</v>
      </c>
      <c r="K8150" t="str">
        <f t="shared" si="1460"/>
        <v>802</v>
      </c>
      <c r="L8150">
        <v>51.41</v>
      </c>
    </row>
    <row r="8151" spans="1:12" x14ac:dyDescent="0.25">
      <c r="A8151" t="str">
        <f t="shared" si="1461"/>
        <v>89301000</v>
      </c>
      <c r="B8151" t="str">
        <f t="shared" si="1456"/>
        <v>91866000</v>
      </c>
      <c r="C8151" t="str">
        <f t="shared" si="1457"/>
        <v>91866313</v>
      </c>
      <c r="D8151">
        <v>89301102</v>
      </c>
      <c r="E8151" t="str">
        <f t="shared" si="1464"/>
        <v>1951180275</v>
      </c>
      <c r="F8151" s="1">
        <v>45123</v>
      </c>
      <c r="G8151" t="str">
        <f t="shared" si="1463"/>
        <v>82087</v>
      </c>
      <c r="H8151">
        <v>1</v>
      </c>
      <c r="I8151">
        <v>53</v>
      </c>
      <c r="J8151">
        <v>0</v>
      </c>
      <c r="K8151" t="str">
        <f t="shared" si="1460"/>
        <v>802</v>
      </c>
      <c r="L8151">
        <v>51.41</v>
      </c>
    </row>
    <row r="8152" spans="1:12" x14ac:dyDescent="0.25">
      <c r="A8152" t="str">
        <f t="shared" si="1461"/>
        <v>89301000</v>
      </c>
      <c r="B8152" t="str">
        <f t="shared" si="1456"/>
        <v>91866000</v>
      </c>
      <c r="C8152" t="str">
        <f t="shared" si="1457"/>
        <v>91866313</v>
      </c>
      <c r="D8152">
        <v>89301031</v>
      </c>
      <c r="E8152" t="str">
        <f t="shared" ref="E8152:E8157" si="1465">"5552272033"</f>
        <v>5552272033</v>
      </c>
      <c r="F8152" s="1">
        <v>45122</v>
      </c>
      <c r="G8152" t="str">
        <f t="shared" si="1463"/>
        <v>82087</v>
      </c>
      <c r="H8152">
        <v>1</v>
      </c>
      <c r="I8152">
        <v>53</v>
      </c>
      <c r="J8152">
        <v>0</v>
      </c>
      <c r="K8152" t="str">
        <f t="shared" si="1460"/>
        <v>802</v>
      </c>
      <c r="L8152">
        <v>51.41</v>
      </c>
    </row>
    <row r="8153" spans="1:12" x14ac:dyDescent="0.25">
      <c r="A8153" t="str">
        <f t="shared" si="1461"/>
        <v>89301000</v>
      </c>
      <c r="B8153" t="str">
        <f t="shared" si="1456"/>
        <v>91866000</v>
      </c>
      <c r="C8153" t="str">
        <f t="shared" si="1457"/>
        <v>91866313</v>
      </c>
      <c r="D8153">
        <v>89301031</v>
      </c>
      <c r="E8153" t="str">
        <f t="shared" si="1465"/>
        <v>5552272033</v>
      </c>
      <c r="F8153" s="1">
        <v>45121</v>
      </c>
      <c r="G8153" t="str">
        <f t="shared" si="1463"/>
        <v>82087</v>
      </c>
      <c r="H8153">
        <v>1</v>
      </c>
      <c r="I8153">
        <v>53</v>
      </c>
      <c r="J8153">
        <v>0</v>
      </c>
      <c r="K8153" t="str">
        <f t="shared" si="1460"/>
        <v>802</v>
      </c>
      <c r="L8153">
        <v>51.41</v>
      </c>
    </row>
    <row r="8154" spans="1:12" x14ac:dyDescent="0.25">
      <c r="A8154" t="str">
        <f t="shared" si="1461"/>
        <v>89301000</v>
      </c>
      <c r="B8154" t="str">
        <f t="shared" si="1456"/>
        <v>91866000</v>
      </c>
      <c r="C8154" t="str">
        <f t="shared" si="1457"/>
        <v>91866313</v>
      </c>
      <c r="D8154">
        <v>89301031</v>
      </c>
      <c r="E8154" t="str">
        <f t="shared" si="1465"/>
        <v>5552272033</v>
      </c>
      <c r="F8154" s="1">
        <v>45123</v>
      </c>
      <c r="G8154" t="str">
        <f t="shared" si="1463"/>
        <v>82087</v>
      </c>
      <c r="H8154">
        <v>1</v>
      </c>
      <c r="I8154">
        <v>53</v>
      </c>
      <c r="J8154">
        <v>0</v>
      </c>
      <c r="K8154" t="str">
        <f t="shared" si="1460"/>
        <v>802</v>
      </c>
      <c r="L8154">
        <v>51.41</v>
      </c>
    </row>
    <row r="8155" spans="1:12" x14ac:dyDescent="0.25">
      <c r="A8155" t="str">
        <f t="shared" si="1461"/>
        <v>89301000</v>
      </c>
      <c r="B8155" t="str">
        <f t="shared" si="1456"/>
        <v>91866000</v>
      </c>
      <c r="C8155" t="str">
        <f t="shared" si="1457"/>
        <v>91866313</v>
      </c>
      <c r="D8155">
        <v>89301031</v>
      </c>
      <c r="E8155" t="str">
        <f t="shared" si="1465"/>
        <v>5552272033</v>
      </c>
      <c r="F8155" s="1">
        <v>45123</v>
      </c>
      <c r="G8155" t="str">
        <f t="shared" si="1463"/>
        <v>82087</v>
      </c>
      <c r="H8155">
        <v>1</v>
      </c>
      <c r="I8155">
        <v>53</v>
      </c>
      <c r="J8155">
        <v>0</v>
      </c>
      <c r="K8155" t="str">
        <f t="shared" si="1460"/>
        <v>802</v>
      </c>
      <c r="L8155">
        <v>51.41</v>
      </c>
    </row>
    <row r="8156" spans="1:12" x14ac:dyDescent="0.25">
      <c r="A8156" t="str">
        <f t="shared" si="1461"/>
        <v>89301000</v>
      </c>
      <c r="B8156" t="str">
        <f t="shared" si="1456"/>
        <v>91866000</v>
      </c>
      <c r="C8156" t="str">
        <f t="shared" si="1457"/>
        <v>91866313</v>
      </c>
      <c r="D8156">
        <v>89301031</v>
      </c>
      <c r="E8156" t="str">
        <f t="shared" si="1465"/>
        <v>5552272033</v>
      </c>
      <c r="F8156" s="1">
        <v>45121</v>
      </c>
      <c r="G8156" t="str">
        <f t="shared" si="1463"/>
        <v>82087</v>
      </c>
      <c r="H8156">
        <v>1</v>
      </c>
      <c r="I8156">
        <v>53</v>
      </c>
      <c r="J8156">
        <v>0</v>
      </c>
      <c r="K8156" t="str">
        <f t="shared" si="1460"/>
        <v>802</v>
      </c>
      <c r="L8156">
        <v>51.41</v>
      </c>
    </row>
    <row r="8157" spans="1:12" x14ac:dyDescent="0.25">
      <c r="A8157" t="str">
        <f t="shared" si="1461"/>
        <v>89301000</v>
      </c>
      <c r="B8157" t="str">
        <f t="shared" si="1456"/>
        <v>91866000</v>
      </c>
      <c r="C8157" t="str">
        <f t="shared" si="1457"/>
        <v>91866313</v>
      </c>
      <c r="D8157">
        <v>89301031</v>
      </c>
      <c r="E8157" t="str">
        <f t="shared" si="1465"/>
        <v>5552272033</v>
      </c>
      <c r="F8157" s="1">
        <v>45122</v>
      </c>
      <c r="G8157" t="str">
        <f t="shared" si="1463"/>
        <v>82087</v>
      </c>
      <c r="H8157">
        <v>1</v>
      </c>
      <c r="I8157">
        <v>53</v>
      </c>
      <c r="J8157">
        <v>0</v>
      </c>
      <c r="K8157" t="str">
        <f t="shared" si="1460"/>
        <v>802</v>
      </c>
      <c r="L8157">
        <v>51.41</v>
      </c>
    </row>
    <row r="8158" spans="1:12" x14ac:dyDescent="0.25">
      <c r="A8158" t="str">
        <f t="shared" si="1461"/>
        <v>89301000</v>
      </c>
      <c r="B8158" t="str">
        <f t="shared" si="1456"/>
        <v>91866000</v>
      </c>
      <c r="C8158" t="str">
        <f t="shared" si="1457"/>
        <v>91866313</v>
      </c>
      <c r="D8158">
        <v>89301101</v>
      </c>
      <c r="E8158" t="str">
        <f>"0859053261"</f>
        <v>0859053261</v>
      </c>
      <c r="F8158" s="1">
        <v>45133</v>
      </c>
      <c r="G8158" t="str">
        <f>"82041"</f>
        <v>82041</v>
      </c>
      <c r="H8158">
        <v>1</v>
      </c>
      <c r="I8158">
        <v>1096</v>
      </c>
      <c r="J8158">
        <v>0</v>
      </c>
      <c r="K8158" t="str">
        <f t="shared" si="1460"/>
        <v>802</v>
      </c>
      <c r="L8158">
        <v>1063.1199999999999</v>
      </c>
    </row>
    <row r="8159" spans="1:12" x14ac:dyDescent="0.25">
      <c r="A8159" t="str">
        <f t="shared" si="1461"/>
        <v>89301000</v>
      </c>
      <c r="B8159" t="str">
        <f t="shared" si="1456"/>
        <v>91866000</v>
      </c>
      <c r="C8159" t="str">
        <f t="shared" si="1457"/>
        <v>91866313</v>
      </c>
      <c r="D8159">
        <v>89301101</v>
      </c>
      <c r="E8159" t="str">
        <f>"0859053261"</f>
        <v>0859053261</v>
      </c>
      <c r="F8159" s="1">
        <v>45133</v>
      </c>
      <c r="G8159" t="str">
        <f>"82034"</f>
        <v>82034</v>
      </c>
      <c r="H8159">
        <v>1</v>
      </c>
      <c r="I8159">
        <v>354</v>
      </c>
      <c r="J8159">
        <v>0</v>
      </c>
      <c r="K8159" t="str">
        <f t="shared" si="1460"/>
        <v>802</v>
      </c>
      <c r="L8159">
        <v>343.38</v>
      </c>
    </row>
    <row r="8160" spans="1:12" x14ac:dyDescent="0.25">
      <c r="A8160" t="str">
        <f t="shared" si="1461"/>
        <v>89301000</v>
      </c>
      <c r="B8160" t="str">
        <f t="shared" ref="B8160:B8196" si="1466">"91866000"</f>
        <v>91866000</v>
      </c>
      <c r="C8160" t="str">
        <f t="shared" ref="C8160:C8196" si="1467">"91866313"</f>
        <v>91866313</v>
      </c>
      <c r="D8160">
        <v>89301101</v>
      </c>
      <c r="E8160" t="str">
        <f>"0859053261"</f>
        <v>0859053261</v>
      </c>
      <c r="F8160" s="1">
        <v>45133</v>
      </c>
      <c r="G8160" t="str">
        <f>"82117"</f>
        <v>82117</v>
      </c>
      <c r="H8160">
        <v>1</v>
      </c>
      <c r="I8160">
        <v>529</v>
      </c>
      <c r="J8160">
        <v>0</v>
      </c>
      <c r="K8160" t="str">
        <f t="shared" ref="K8160:K8196" si="1468">"802"</f>
        <v>802</v>
      </c>
      <c r="L8160">
        <v>513.13</v>
      </c>
    </row>
    <row r="8161" spans="1:12" x14ac:dyDescent="0.25">
      <c r="A8161" t="str">
        <f t="shared" si="1461"/>
        <v>89301000</v>
      </c>
      <c r="B8161" t="str">
        <f t="shared" si="1466"/>
        <v>91866000</v>
      </c>
      <c r="C8161" t="str">
        <f t="shared" si="1467"/>
        <v>91866313</v>
      </c>
      <c r="D8161">
        <v>89301031</v>
      </c>
      <c r="E8161" t="str">
        <f>"9658145717"</f>
        <v>9658145717</v>
      </c>
      <c r="F8161" s="1">
        <v>45133</v>
      </c>
      <c r="G8161" t="str">
        <f>"82147"</f>
        <v>82147</v>
      </c>
      <c r="H8161">
        <v>3</v>
      </c>
      <c r="I8161">
        <v>720</v>
      </c>
      <c r="J8161">
        <v>0</v>
      </c>
      <c r="K8161" t="str">
        <f t="shared" si="1468"/>
        <v>802</v>
      </c>
      <c r="L8161">
        <v>698.4</v>
      </c>
    </row>
    <row r="8162" spans="1:12" x14ac:dyDescent="0.25">
      <c r="A8162" t="str">
        <f t="shared" si="1461"/>
        <v>89301000</v>
      </c>
      <c r="B8162" t="str">
        <f t="shared" si="1466"/>
        <v>91866000</v>
      </c>
      <c r="C8162" t="str">
        <f t="shared" si="1467"/>
        <v>91866313</v>
      </c>
      <c r="D8162">
        <v>89301031</v>
      </c>
      <c r="E8162" t="str">
        <f>"9658145717"</f>
        <v>9658145717</v>
      </c>
      <c r="F8162" s="1">
        <v>45133</v>
      </c>
      <c r="G8162" t="str">
        <f>"82079"</f>
        <v>82079</v>
      </c>
      <c r="H8162">
        <v>1</v>
      </c>
      <c r="I8162">
        <v>333</v>
      </c>
      <c r="J8162">
        <v>0</v>
      </c>
      <c r="K8162" t="str">
        <f t="shared" si="1468"/>
        <v>802</v>
      </c>
      <c r="L8162">
        <v>323.01</v>
      </c>
    </row>
    <row r="8163" spans="1:12" x14ac:dyDescent="0.25">
      <c r="A8163" t="str">
        <f t="shared" si="1461"/>
        <v>89301000</v>
      </c>
      <c r="B8163" t="str">
        <f t="shared" si="1466"/>
        <v>91866000</v>
      </c>
      <c r="C8163" t="str">
        <f t="shared" si="1467"/>
        <v>91866313</v>
      </c>
      <c r="D8163">
        <v>89301031</v>
      </c>
      <c r="E8163" t="str">
        <f>"9658145717"</f>
        <v>9658145717</v>
      </c>
      <c r="F8163" s="1">
        <v>45133</v>
      </c>
      <c r="G8163" t="str">
        <f>"82147"</f>
        <v>82147</v>
      </c>
      <c r="H8163">
        <v>9</v>
      </c>
      <c r="I8163">
        <v>2160</v>
      </c>
      <c r="J8163">
        <v>0</v>
      </c>
      <c r="K8163" t="str">
        <f t="shared" si="1468"/>
        <v>802</v>
      </c>
      <c r="L8163">
        <v>2095.1999999999998</v>
      </c>
    </row>
    <row r="8164" spans="1:12" x14ac:dyDescent="0.25">
      <c r="A8164" t="str">
        <f t="shared" si="1461"/>
        <v>89301000</v>
      </c>
      <c r="B8164" t="str">
        <f t="shared" si="1466"/>
        <v>91866000</v>
      </c>
      <c r="C8164" t="str">
        <f t="shared" si="1467"/>
        <v>91866313</v>
      </c>
      <c r="D8164">
        <v>89301031</v>
      </c>
      <c r="E8164" t="str">
        <f>"9658145717"</f>
        <v>9658145717</v>
      </c>
      <c r="F8164" s="1">
        <v>45133</v>
      </c>
      <c r="G8164" t="str">
        <f>"82079"</f>
        <v>82079</v>
      </c>
      <c r="H8164">
        <v>1</v>
      </c>
      <c r="I8164">
        <v>333</v>
      </c>
      <c r="J8164">
        <v>0</v>
      </c>
      <c r="K8164" t="str">
        <f t="shared" si="1468"/>
        <v>802</v>
      </c>
      <c r="L8164">
        <v>323.01</v>
      </c>
    </row>
    <row r="8165" spans="1:12" x14ac:dyDescent="0.25">
      <c r="A8165" t="str">
        <f t="shared" si="1461"/>
        <v>89301000</v>
      </c>
      <c r="B8165" t="str">
        <f t="shared" si="1466"/>
        <v>91866000</v>
      </c>
      <c r="C8165" t="str">
        <f t="shared" si="1467"/>
        <v>91866313</v>
      </c>
      <c r="D8165">
        <v>89301101</v>
      </c>
      <c r="E8165" t="str">
        <f>"2010220410"</f>
        <v>2010220410</v>
      </c>
      <c r="F8165" s="1">
        <v>45134</v>
      </c>
      <c r="G8165" t="str">
        <f>"97111"</f>
        <v>97111</v>
      </c>
      <c r="H8165">
        <v>1</v>
      </c>
      <c r="I8165">
        <v>19</v>
      </c>
      <c r="J8165">
        <v>0</v>
      </c>
      <c r="K8165" t="str">
        <f t="shared" si="1468"/>
        <v>802</v>
      </c>
      <c r="L8165">
        <v>23.94</v>
      </c>
    </row>
    <row r="8166" spans="1:12" x14ac:dyDescent="0.25">
      <c r="A8166" t="str">
        <f t="shared" si="1461"/>
        <v>89301000</v>
      </c>
      <c r="B8166" t="str">
        <f t="shared" si="1466"/>
        <v>91866000</v>
      </c>
      <c r="C8166" t="str">
        <f t="shared" si="1467"/>
        <v>91866313</v>
      </c>
      <c r="D8166">
        <v>89301101</v>
      </c>
      <c r="E8166" t="str">
        <f>"2010220410"</f>
        <v>2010220410</v>
      </c>
      <c r="F8166" s="1">
        <v>45134</v>
      </c>
      <c r="G8166" t="str">
        <f>"82113"</f>
        <v>82113</v>
      </c>
      <c r="H8166">
        <v>2</v>
      </c>
      <c r="I8166">
        <v>726</v>
      </c>
      <c r="J8166">
        <v>0</v>
      </c>
      <c r="K8166" t="str">
        <f t="shared" si="1468"/>
        <v>802</v>
      </c>
      <c r="L8166">
        <v>704.22</v>
      </c>
    </row>
    <row r="8167" spans="1:12" x14ac:dyDescent="0.25">
      <c r="A8167" t="str">
        <f t="shared" si="1461"/>
        <v>89301000</v>
      </c>
      <c r="B8167" t="str">
        <f t="shared" si="1466"/>
        <v>91866000</v>
      </c>
      <c r="C8167" t="str">
        <f t="shared" si="1467"/>
        <v>91866313</v>
      </c>
      <c r="D8167">
        <v>89301101</v>
      </c>
      <c r="E8167" t="str">
        <f>"2010220410"</f>
        <v>2010220410</v>
      </c>
      <c r="F8167" s="1">
        <v>45134</v>
      </c>
      <c r="G8167" t="str">
        <f>"82113"</f>
        <v>82113</v>
      </c>
      <c r="H8167">
        <v>2</v>
      </c>
      <c r="I8167">
        <v>726</v>
      </c>
      <c r="J8167">
        <v>0</v>
      </c>
      <c r="K8167" t="str">
        <f t="shared" si="1468"/>
        <v>802</v>
      </c>
      <c r="L8167">
        <v>704.22</v>
      </c>
    </row>
    <row r="8168" spans="1:12" x14ac:dyDescent="0.25">
      <c r="A8168" t="str">
        <f t="shared" si="1461"/>
        <v>89301000</v>
      </c>
      <c r="B8168" t="str">
        <f t="shared" si="1466"/>
        <v>91866000</v>
      </c>
      <c r="C8168" t="str">
        <f t="shared" si="1467"/>
        <v>91866313</v>
      </c>
      <c r="D8168">
        <v>89301031</v>
      </c>
      <c r="E8168" t="str">
        <f>"9658145717"</f>
        <v>9658145717</v>
      </c>
      <c r="F8168" s="1">
        <v>45133</v>
      </c>
      <c r="G8168" t="str">
        <f>"82040"</f>
        <v>82040</v>
      </c>
      <c r="H8168">
        <v>1</v>
      </c>
      <c r="I8168">
        <v>938</v>
      </c>
      <c r="J8168">
        <v>0</v>
      </c>
      <c r="K8168" t="str">
        <f t="shared" si="1468"/>
        <v>802</v>
      </c>
      <c r="L8168">
        <v>909.86</v>
      </c>
    </row>
    <row r="8169" spans="1:12" x14ac:dyDescent="0.25">
      <c r="A8169" t="str">
        <f t="shared" si="1461"/>
        <v>89301000</v>
      </c>
      <c r="B8169" t="str">
        <f t="shared" si="1466"/>
        <v>91866000</v>
      </c>
      <c r="C8169" t="str">
        <f t="shared" si="1467"/>
        <v>91866313</v>
      </c>
      <c r="D8169">
        <v>89301031</v>
      </c>
      <c r="E8169" t="str">
        <f>"9658145717"</f>
        <v>9658145717</v>
      </c>
      <c r="F8169" s="1">
        <v>45133</v>
      </c>
      <c r="G8169" t="str">
        <f>"82041"</f>
        <v>82041</v>
      </c>
      <c r="H8169">
        <v>1</v>
      </c>
      <c r="I8169">
        <v>1096</v>
      </c>
      <c r="J8169">
        <v>0</v>
      </c>
      <c r="K8169" t="str">
        <f t="shared" si="1468"/>
        <v>802</v>
      </c>
      <c r="L8169">
        <v>1063.1199999999999</v>
      </c>
    </row>
    <row r="8170" spans="1:12" x14ac:dyDescent="0.25">
      <c r="A8170" t="str">
        <f t="shared" si="1461"/>
        <v>89301000</v>
      </c>
      <c r="B8170" t="str">
        <f t="shared" si="1466"/>
        <v>91866000</v>
      </c>
      <c r="C8170" t="str">
        <f t="shared" si="1467"/>
        <v>91866313</v>
      </c>
      <c r="D8170">
        <v>89301101</v>
      </c>
      <c r="E8170" t="str">
        <f>"0859053261"</f>
        <v>0859053261</v>
      </c>
      <c r="F8170" s="1">
        <v>45134</v>
      </c>
      <c r="G8170" t="str">
        <f>"82034"</f>
        <v>82034</v>
      </c>
      <c r="H8170">
        <v>1</v>
      </c>
      <c r="I8170">
        <v>354</v>
      </c>
      <c r="J8170">
        <v>0</v>
      </c>
      <c r="K8170" t="str">
        <f t="shared" si="1468"/>
        <v>802</v>
      </c>
      <c r="L8170">
        <v>343.38</v>
      </c>
    </row>
    <row r="8171" spans="1:12" x14ac:dyDescent="0.25">
      <c r="A8171" t="str">
        <f t="shared" si="1461"/>
        <v>89301000</v>
      </c>
      <c r="B8171" t="str">
        <f t="shared" si="1466"/>
        <v>91866000</v>
      </c>
      <c r="C8171" t="str">
        <f t="shared" si="1467"/>
        <v>91866313</v>
      </c>
      <c r="D8171">
        <v>89301101</v>
      </c>
      <c r="E8171" t="str">
        <f>"0859053261"</f>
        <v>0859053261</v>
      </c>
      <c r="F8171" s="1">
        <v>45134</v>
      </c>
      <c r="G8171" t="str">
        <f>"82041"</f>
        <v>82041</v>
      </c>
      <c r="H8171">
        <v>1</v>
      </c>
      <c r="I8171">
        <v>1096</v>
      </c>
      <c r="J8171">
        <v>0</v>
      </c>
      <c r="K8171" t="str">
        <f t="shared" si="1468"/>
        <v>802</v>
      </c>
      <c r="L8171">
        <v>1063.1199999999999</v>
      </c>
    </row>
    <row r="8172" spans="1:12" x14ac:dyDescent="0.25">
      <c r="A8172" t="str">
        <f t="shared" si="1461"/>
        <v>89301000</v>
      </c>
      <c r="B8172" t="str">
        <f t="shared" si="1466"/>
        <v>91866000</v>
      </c>
      <c r="C8172" t="str">
        <f t="shared" si="1467"/>
        <v>91866313</v>
      </c>
      <c r="D8172">
        <v>89301101</v>
      </c>
      <c r="E8172" t="str">
        <f>"0859053261"</f>
        <v>0859053261</v>
      </c>
      <c r="F8172" s="1">
        <v>45133</v>
      </c>
      <c r="G8172" t="str">
        <f>"82051"</f>
        <v>82051</v>
      </c>
      <c r="H8172">
        <v>1</v>
      </c>
      <c r="I8172">
        <v>173</v>
      </c>
      <c r="J8172">
        <v>0</v>
      </c>
      <c r="K8172" t="str">
        <f t="shared" si="1468"/>
        <v>802</v>
      </c>
      <c r="L8172">
        <v>167.81</v>
      </c>
    </row>
    <row r="8173" spans="1:12" x14ac:dyDescent="0.25">
      <c r="A8173" t="str">
        <f t="shared" si="1461"/>
        <v>89301000</v>
      </c>
      <c r="B8173" t="str">
        <f t="shared" si="1466"/>
        <v>91866000</v>
      </c>
      <c r="C8173" t="str">
        <f t="shared" si="1467"/>
        <v>91866313</v>
      </c>
      <c r="D8173">
        <v>89301101</v>
      </c>
      <c r="E8173" t="str">
        <f t="shared" ref="E8173:E8178" si="1469">"0603066068"</f>
        <v>0603066068</v>
      </c>
      <c r="F8173" s="1">
        <v>45111</v>
      </c>
      <c r="G8173" t="str">
        <f t="shared" ref="G8173:G8178" si="1470">"82121"</f>
        <v>82121</v>
      </c>
      <c r="H8173">
        <v>1</v>
      </c>
      <c r="I8173">
        <v>811</v>
      </c>
      <c r="J8173">
        <v>0</v>
      </c>
      <c r="K8173" t="str">
        <f t="shared" si="1468"/>
        <v>802</v>
      </c>
      <c r="L8173">
        <v>786.67</v>
      </c>
    </row>
    <row r="8174" spans="1:12" x14ac:dyDescent="0.25">
      <c r="A8174" t="str">
        <f t="shared" si="1461"/>
        <v>89301000</v>
      </c>
      <c r="B8174" t="str">
        <f t="shared" si="1466"/>
        <v>91866000</v>
      </c>
      <c r="C8174" t="str">
        <f t="shared" si="1467"/>
        <v>91866313</v>
      </c>
      <c r="D8174">
        <v>89301101</v>
      </c>
      <c r="E8174" t="str">
        <f t="shared" si="1469"/>
        <v>0603066068</v>
      </c>
      <c r="F8174" s="1">
        <v>45111</v>
      </c>
      <c r="G8174" t="str">
        <f t="shared" si="1470"/>
        <v>82121</v>
      </c>
      <c r="H8174">
        <v>1</v>
      </c>
      <c r="I8174">
        <v>811</v>
      </c>
      <c r="J8174">
        <v>0</v>
      </c>
      <c r="K8174" t="str">
        <f t="shared" si="1468"/>
        <v>802</v>
      </c>
      <c r="L8174">
        <v>786.67</v>
      </c>
    </row>
    <row r="8175" spans="1:12" x14ac:dyDescent="0.25">
      <c r="A8175" t="str">
        <f t="shared" si="1461"/>
        <v>89301000</v>
      </c>
      <c r="B8175" t="str">
        <f t="shared" si="1466"/>
        <v>91866000</v>
      </c>
      <c r="C8175" t="str">
        <f t="shared" si="1467"/>
        <v>91866313</v>
      </c>
      <c r="D8175">
        <v>89301101</v>
      </c>
      <c r="E8175" t="str">
        <f t="shared" si="1469"/>
        <v>0603066068</v>
      </c>
      <c r="F8175" s="1">
        <v>45111</v>
      </c>
      <c r="G8175" t="str">
        <f t="shared" si="1470"/>
        <v>82121</v>
      </c>
      <c r="H8175">
        <v>1</v>
      </c>
      <c r="I8175">
        <v>811</v>
      </c>
      <c r="J8175">
        <v>0</v>
      </c>
      <c r="K8175" t="str">
        <f t="shared" si="1468"/>
        <v>802</v>
      </c>
      <c r="L8175">
        <v>786.67</v>
      </c>
    </row>
    <row r="8176" spans="1:12" x14ac:dyDescent="0.25">
      <c r="A8176" t="str">
        <f t="shared" si="1461"/>
        <v>89301000</v>
      </c>
      <c r="B8176" t="str">
        <f t="shared" si="1466"/>
        <v>91866000</v>
      </c>
      <c r="C8176" t="str">
        <f t="shared" si="1467"/>
        <v>91866313</v>
      </c>
      <c r="D8176">
        <v>89301101</v>
      </c>
      <c r="E8176" t="str">
        <f t="shared" si="1469"/>
        <v>0603066068</v>
      </c>
      <c r="F8176" s="1">
        <v>45111</v>
      </c>
      <c r="G8176" t="str">
        <f t="shared" si="1470"/>
        <v>82121</v>
      </c>
      <c r="H8176">
        <v>1</v>
      </c>
      <c r="I8176">
        <v>811</v>
      </c>
      <c r="J8176">
        <v>0</v>
      </c>
      <c r="K8176" t="str">
        <f t="shared" si="1468"/>
        <v>802</v>
      </c>
      <c r="L8176">
        <v>786.67</v>
      </c>
    </row>
    <row r="8177" spans="1:12" x14ac:dyDescent="0.25">
      <c r="A8177" t="str">
        <f t="shared" si="1461"/>
        <v>89301000</v>
      </c>
      <c r="B8177" t="str">
        <f t="shared" si="1466"/>
        <v>91866000</v>
      </c>
      <c r="C8177" t="str">
        <f t="shared" si="1467"/>
        <v>91866313</v>
      </c>
      <c r="D8177">
        <v>89301101</v>
      </c>
      <c r="E8177" t="str">
        <f t="shared" si="1469"/>
        <v>0603066068</v>
      </c>
      <c r="F8177" s="1">
        <v>45111</v>
      </c>
      <c r="G8177" t="str">
        <f t="shared" si="1470"/>
        <v>82121</v>
      </c>
      <c r="H8177">
        <v>1</v>
      </c>
      <c r="I8177">
        <v>811</v>
      </c>
      <c r="J8177">
        <v>0</v>
      </c>
      <c r="K8177" t="str">
        <f t="shared" si="1468"/>
        <v>802</v>
      </c>
      <c r="L8177">
        <v>786.67</v>
      </c>
    </row>
    <row r="8178" spans="1:12" x14ac:dyDescent="0.25">
      <c r="A8178" t="str">
        <f t="shared" si="1461"/>
        <v>89301000</v>
      </c>
      <c r="B8178" t="str">
        <f t="shared" si="1466"/>
        <v>91866000</v>
      </c>
      <c r="C8178" t="str">
        <f t="shared" si="1467"/>
        <v>91866313</v>
      </c>
      <c r="D8178">
        <v>89301101</v>
      </c>
      <c r="E8178" t="str">
        <f t="shared" si="1469"/>
        <v>0603066068</v>
      </c>
      <c r="F8178" s="1">
        <v>45111</v>
      </c>
      <c r="G8178" t="str">
        <f t="shared" si="1470"/>
        <v>82121</v>
      </c>
      <c r="H8178">
        <v>1</v>
      </c>
      <c r="I8178">
        <v>811</v>
      </c>
      <c r="J8178">
        <v>0</v>
      </c>
      <c r="K8178" t="str">
        <f t="shared" si="1468"/>
        <v>802</v>
      </c>
      <c r="L8178">
        <v>786.67</v>
      </c>
    </row>
    <row r="8179" spans="1:12" x14ac:dyDescent="0.25">
      <c r="A8179" t="str">
        <f t="shared" si="1461"/>
        <v>89301000</v>
      </c>
      <c r="B8179" t="str">
        <f t="shared" si="1466"/>
        <v>91866000</v>
      </c>
      <c r="C8179" t="str">
        <f t="shared" si="1467"/>
        <v>91866313</v>
      </c>
      <c r="D8179">
        <v>89301109</v>
      </c>
      <c r="E8179" t="str">
        <f t="shared" ref="E8179:E8184" si="1471">"0512153235"</f>
        <v>0512153235</v>
      </c>
      <c r="F8179" s="1">
        <v>45120</v>
      </c>
      <c r="G8179" t="str">
        <f t="shared" ref="G8179:G8196" si="1472">"82087"</f>
        <v>82087</v>
      </c>
      <c r="H8179">
        <v>1</v>
      </c>
      <c r="I8179">
        <v>53</v>
      </c>
      <c r="J8179">
        <v>0</v>
      </c>
      <c r="K8179" t="str">
        <f t="shared" si="1468"/>
        <v>802</v>
      </c>
      <c r="L8179">
        <v>51.41</v>
      </c>
    </row>
    <row r="8180" spans="1:12" x14ac:dyDescent="0.25">
      <c r="A8180" t="str">
        <f t="shared" si="1461"/>
        <v>89301000</v>
      </c>
      <c r="B8180" t="str">
        <f t="shared" si="1466"/>
        <v>91866000</v>
      </c>
      <c r="C8180" t="str">
        <f t="shared" si="1467"/>
        <v>91866313</v>
      </c>
      <c r="D8180">
        <v>89301109</v>
      </c>
      <c r="E8180" t="str">
        <f t="shared" si="1471"/>
        <v>0512153235</v>
      </c>
      <c r="F8180" s="1">
        <v>45119</v>
      </c>
      <c r="G8180" t="str">
        <f t="shared" si="1472"/>
        <v>82087</v>
      </c>
      <c r="H8180">
        <v>1</v>
      </c>
      <c r="I8180">
        <v>53</v>
      </c>
      <c r="J8180">
        <v>0</v>
      </c>
      <c r="K8180" t="str">
        <f t="shared" si="1468"/>
        <v>802</v>
      </c>
      <c r="L8180">
        <v>51.41</v>
      </c>
    </row>
    <row r="8181" spans="1:12" x14ac:dyDescent="0.25">
      <c r="A8181" t="str">
        <f t="shared" si="1461"/>
        <v>89301000</v>
      </c>
      <c r="B8181" t="str">
        <f t="shared" si="1466"/>
        <v>91866000</v>
      </c>
      <c r="C8181" t="str">
        <f t="shared" si="1467"/>
        <v>91866313</v>
      </c>
      <c r="D8181">
        <v>89301109</v>
      </c>
      <c r="E8181" t="str">
        <f t="shared" si="1471"/>
        <v>0512153235</v>
      </c>
      <c r="F8181" s="1">
        <v>45118</v>
      </c>
      <c r="G8181" t="str">
        <f t="shared" si="1472"/>
        <v>82087</v>
      </c>
      <c r="H8181">
        <v>1</v>
      </c>
      <c r="I8181">
        <v>53</v>
      </c>
      <c r="J8181">
        <v>0</v>
      </c>
      <c r="K8181" t="str">
        <f t="shared" si="1468"/>
        <v>802</v>
      </c>
      <c r="L8181">
        <v>51.41</v>
      </c>
    </row>
    <row r="8182" spans="1:12" x14ac:dyDescent="0.25">
      <c r="A8182" t="str">
        <f t="shared" si="1461"/>
        <v>89301000</v>
      </c>
      <c r="B8182" t="str">
        <f t="shared" si="1466"/>
        <v>91866000</v>
      </c>
      <c r="C8182" t="str">
        <f t="shared" si="1467"/>
        <v>91866313</v>
      </c>
      <c r="D8182">
        <v>89301109</v>
      </c>
      <c r="E8182" t="str">
        <f t="shared" si="1471"/>
        <v>0512153235</v>
      </c>
      <c r="F8182" s="1">
        <v>45119</v>
      </c>
      <c r="G8182" t="str">
        <f t="shared" si="1472"/>
        <v>82087</v>
      </c>
      <c r="H8182">
        <v>1</v>
      </c>
      <c r="I8182">
        <v>53</v>
      </c>
      <c r="J8182">
        <v>0</v>
      </c>
      <c r="K8182" t="str">
        <f t="shared" si="1468"/>
        <v>802</v>
      </c>
      <c r="L8182">
        <v>51.41</v>
      </c>
    </row>
    <row r="8183" spans="1:12" x14ac:dyDescent="0.25">
      <c r="A8183" t="str">
        <f t="shared" si="1461"/>
        <v>89301000</v>
      </c>
      <c r="B8183" t="str">
        <f t="shared" si="1466"/>
        <v>91866000</v>
      </c>
      <c r="C8183" t="str">
        <f t="shared" si="1467"/>
        <v>91866313</v>
      </c>
      <c r="D8183">
        <v>89301109</v>
      </c>
      <c r="E8183" t="str">
        <f t="shared" si="1471"/>
        <v>0512153235</v>
      </c>
      <c r="F8183" s="1">
        <v>45120</v>
      </c>
      <c r="G8183" t="str">
        <f t="shared" si="1472"/>
        <v>82087</v>
      </c>
      <c r="H8183">
        <v>1</v>
      </c>
      <c r="I8183">
        <v>53</v>
      </c>
      <c r="J8183">
        <v>0</v>
      </c>
      <c r="K8183" t="str">
        <f t="shared" si="1468"/>
        <v>802</v>
      </c>
      <c r="L8183">
        <v>51.41</v>
      </c>
    </row>
    <row r="8184" spans="1:12" x14ac:dyDescent="0.25">
      <c r="A8184" t="str">
        <f t="shared" si="1461"/>
        <v>89301000</v>
      </c>
      <c r="B8184" t="str">
        <f t="shared" si="1466"/>
        <v>91866000</v>
      </c>
      <c r="C8184" t="str">
        <f t="shared" si="1467"/>
        <v>91866313</v>
      </c>
      <c r="D8184">
        <v>89301109</v>
      </c>
      <c r="E8184" t="str">
        <f t="shared" si="1471"/>
        <v>0512153235</v>
      </c>
      <c r="F8184" s="1">
        <v>45118</v>
      </c>
      <c r="G8184" t="str">
        <f t="shared" si="1472"/>
        <v>82087</v>
      </c>
      <c r="H8184">
        <v>1</v>
      </c>
      <c r="I8184">
        <v>53</v>
      </c>
      <c r="J8184">
        <v>0</v>
      </c>
      <c r="K8184" t="str">
        <f t="shared" si="1468"/>
        <v>802</v>
      </c>
      <c r="L8184">
        <v>51.41</v>
      </c>
    </row>
    <row r="8185" spans="1:12" x14ac:dyDescent="0.25">
      <c r="A8185" t="str">
        <f t="shared" si="1461"/>
        <v>89301000</v>
      </c>
      <c r="B8185" t="str">
        <f t="shared" si="1466"/>
        <v>91866000</v>
      </c>
      <c r="C8185" t="str">
        <f t="shared" si="1467"/>
        <v>91866313</v>
      </c>
      <c r="D8185">
        <v>89301704</v>
      </c>
      <c r="E8185" t="str">
        <f t="shared" ref="E8185:E8190" si="1473">"1653171267"</f>
        <v>1653171267</v>
      </c>
      <c r="F8185" s="1">
        <v>45120</v>
      </c>
      <c r="G8185" t="str">
        <f t="shared" si="1472"/>
        <v>82087</v>
      </c>
      <c r="H8185">
        <v>1</v>
      </c>
      <c r="I8185">
        <v>53</v>
      </c>
      <c r="J8185">
        <v>0</v>
      </c>
      <c r="K8185" t="str">
        <f t="shared" si="1468"/>
        <v>802</v>
      </c>
      <c r="L8185">
        <v>51.41</v>
      </c>
    </row>
    <row r="8186" spans="1:12" x14ac:dyDescent="0.25">
      <c r="A8186" t="str">
        <f t="shared" si="1461"/>
        <v>89301000</v>
      </c>
      <c r="B8186" t="str">
        <f t="shared" si="1466"/>
        <v>91866000</v>
      </c>
      <c r="C8186" t="str">
        <f t="shared" si="1467"/>
        <v>91866313</v>
      </c>
      <c r="D8186">
        <v>89301704</v>
      </c>
      <c r="E8186" t="str">
        <f t="shared" si="1473"/>
        <v>1653171267</v>
      </c>
      <c r="F8186" s="1">
        <v>45119</v>
      </c>
      <c r="G8186" t="str">
        <f t="shared" si="1472"/>
        <v>82087</v>
      </c>
      <c r="H8186">
        <v>1</v>
      </c>
      <c r="I8186">
        <v>53</v>
      </c>
      <c r="J8186">
        <v>0</v>
      </c>
      <c r="K8186" t="str">
        <f t="shared" si="1468"/>
        <v>802</v>
      </c>
      <c r="L8186">
        <v>51.41</v>
      </c>
    </row>
    <row r="8187" spans="1:12" x14ac:dyDescent="0.25">
      <c r="A8187" t="str">
        <f t="shared" si="1461"/>
        <v>89301000</v>
      </c>
      <c r="B8187" t="str">
        <f t="shared" si="1466"/>
        <v>91866000</v>
      </c>
      <c r="C8187" t="str">
        <f t="shared" si="1467"/>
        <v>91866313</v>
      </c>
      <c r="D8187">
        <v>89301704</v>
      </c>
      <c r="E8187" t="str">
        <f t="shared" si="1473"/>
        <v>1653171267</v>
      </c>
      <c r="F8187" s="1">
        <v>45120</v>
      </c>
      <c r="G8187" t="str">
        <f t="shared" si="1472"/>
        <v>82087</v>
      </c>
      <c r="H8187">
        <v>1</v>
      </c>
      <c r="I8187">
        <v>53</v>
      </c>
      <c r="J8187">
        <v>0</v>
      </c>
      <c r="K8187" t="str">
        <f t="shared" si="1468"/>
        <v>802</v>
      </c>
      <c r="L8187">
        <v>51.41</v>
      </c>
    </row>
    <row r="8188" spans="1:12" x14ac:dyDescent="0.25">
      <c r="A8188" t="str">
        <f t="shared" si="1461"/>
        <v>89301000</v>
      </c>
      <c r="B8188" t="str">
        <f t="shared" si="1466"/>
        <v>91866000</v>
      </c>
      <c r="C8188" t="str">
        <f t="shared" si="1467"/>
        <v>91866313</v>
      </c>
      <c r="D8188">
        <v>89301704</v>
      </c>
      <c r="E8188" t="str">
        <f t="shared" si="1473"/>
        <v>1653171267</v>
      </c>
      <c r="F8188" s="1">
        <v>45119</v>
      </c>
      <c r="G8188" t="str">
        <f t="shared" si="1472"/>
        <v>82087</v>
      </c>
      <c r="H8188">
        <v>1</v>
      </c>
      <c r="I8188">
        <v>53</v>
      </c>
      <c r="J8188">
        <v>0</v>
      </c>
      <c r="K8188" t="str">
        <f t="shared" si="1468"/>
        <v>802</v>
      </c>
      <c r="L8188">
        <v>51.41</v>
      </c>
    </row>
    <row r="8189" spans="1:12" x14ac:dyDescent="0.25">
      <c r="A8189" t="str">
        <f t="shared" si="1461"/>
        <v>89301000</v>
      </c>
      <c r="B8189" t="str">
        <f t="shared" si="1466"/>
        <v>91866000</v>
      </c>
      <c r="C8189" t="str">
        <f t="shared" si="1467"/>
        <v>91866313</v>
      </c>
      <c r="D8189">
        <v>89301704</v>
      </c>
      <c r="E8189" t="str">
        <f t="shared" si="1473"/>
        <v>1653171267</v>
      </c>
      <c r="F8189" s="1">
        <v>45118</v>
      </c>
      <c r="G8189" t="str">
        <f t="shared" si="1472"/>
        <v>82087</v>
      </c>
      <c r="H8189">
        <v>1</v>
      </c>
      <c r="I8189">
        <v>53</v>
      </c>
      <c r="J8189">
        <v>0</v>
      </c>
      <c r="K8189" t="str">
        <f t="shared" si="1468"/>
        <v>802</v>
      </c>
      <c r="L8189">
        <v>51.41</v>
      </c>
    </row>
    <row r="8190" spans="1:12" x14ac:dyDescent="0.25">
      <c r="A8190" t="str">
        <f t="shared" si="1461"/>
        <v>89301000</v>
      </c>
      <c r="B8190" t="str">
        <f t="shared" si="1466"/>
        <v>91866000</v>
      </c>
      <c r="C8190" t="str">
        <f t="shared" si="1467"/>
        <v>91866313</v>
      </c>
      <c r="D8190">
        <v>89301704</v>
      </c>
      <c r="E8190" t="str">
        <f t="shared" si="1473"/>
        <v>1653171267</v>
      </c>
      <c r="F8190" s="1">
        <v>45118</v>
      </c>
      <c r="G8190" t="str">
        <f t="shared" si="1472"/>
        <v>82087</v>
      </c>
      <c r="H8190">
        <v>1</v>
      </c>
      <c r="I8190">
        <v>53</v>
      </c>
      <c r="J8190">
        <v>0</v>
      </c>
      <c r="K8190" t="str">
        <f t="shared" si="1468"/>
        <v>802</v>
      </c>
      <c r="L8190">
        <v>51.41</v>
      </c>
    </row>
    <row r="8191" spans="1:12" x14ac:dyDescent="0.25">
      <c r="A8191" t="str">
        <f t="shared" si="1461"/>
        <v>89301000</v>
      </c>
      <c r="B8191" t="str">
        <f t="shared" si="1466"/>
        <v>91866000</v>
      </c>
      <c r="C8191" t="str">
        <f t="shared" si="1467"/>
        <v>91866313</v>
      </c>
      <c r="D8191">
        <v>89301101</v>
      </c>
      <c r="E8191" t="str">
        <f t="shared" ref="E8191:E8196" si="1474">"2108310556"</f>
        <v>2108310556</v>
      </c>
      <c r="F8191" s="1">
        <v>45120</v>
      </c>
      <c r="G8191" t="str">
        <f t="shared" si="1472"/>
        <v>82087</v>
      </c>
      <c r="H8191">
        <v>1</v>
      </c>
      <c r="I8191">
        <v>53</v>
      </c>
      <c r="J8191">
        <v>0</v>
      </c>
      <c r="K8191" t="str">
        <f t="shared" si="1468"/>
        <v>802</v>
      </c>
      <c r="L8191">
        <v>51.41</v>
      </c>
    </row>
    <row r="8192" spans="1:12" x14ac:dyDescent="0.25">
      <c r="A8192" t="str">
        <f t="shared" si="1461"/>
        <v>89301000</v>
      </c>
      <c r="B8192" t="str">
        <f t="shared" si="1466"/>
        <v>91866000</v>
      </c>
      <c r="C8192" t="str">
        <f t="shared" si="1467"/>
        <v>91866313</v>
      </c>
      <c r="D8192">
        <v>89301101</v>
      </c>
      <c r="E8192" t="str">
        <f t="shared" si="1474"/>
        <v>2108310556</v>
      </c>
      <c r="F8192" s="1">
        <v>45119</v>
      </c>
      <c r="G8192" t="str">
        <f t="shared" si="1472"/>
        <v>82087</v>
      </c>
      <c r="H8192">
        <v>1</v>
      </c>
      <c r="I8192">
        <v>53</v>
      </c>
      <c r="J8192">
        <v>0</v>
      </c>
      <c r="K8192" t="str">
        <f t="shared" si="1468"/>
        <v>802</v>
      </c>
      <c r="L8192">
        <v>51.41</v>
      </c>
    </row>
    <row r="8193" spans="1:12" x14ac:dyDescent="0.25">
      <c r="A8193" t="str">
        <f t="shared" si="1461"/>
        <v>89301000</v>
      </c>
      <c r="B8193" t="str">
        <f t="shared" si="1466"/>
        <v>91866000</v>
      </c>
      <c r="C8193" t="str">
        <f t="shared" si="1467"/>
        <v>91866313</v>
      </c>
      <c r="D8193">
        <v>89301101</v>
      </c>
      <c r="E8193" t="str">
        <f t="shared" si="1474"/>
        <v>2108310556</v>
      </c>
      <c r="F8193" s="1">
        <v>45118</v>
      </c>
      <c r="G8193" t="str">
        <f t="shared" si="1472"/>
        <v>82087</v>
      </c>
      <c r="H8193">
        <v>1</v>
      </c>
      <c r="I8193">
        <v>53</v>
      </c>
      <c r="J8193">
        <v>0</v>
      </c>
      <c r="K8193" t="str">
        <f t="shared" si="1468"/>
        <v>802</v>
      </c>
      <c r="L8193">
        <v>51.41</v>
      </c>
    </row>
    <row r="8194" spans="1:12" x14ac:dyDescent="0.25">
      <c r="A8194" t="str">
        <f t="shared" ref="A8194:A8257" si="1475">"89301000"</f>
        <v>89301000</v>
      </c>
      <c r="B8194" t="str">
        <f t="shared" si="1466"/>
        <v>91866000</v>
      </c>
      <c r="C8194" t="str">
        <f t="shared" si="1467"/>
        <v>91866313</v>
      </c>
      <c r="D8194">
        <v>89301101</v>
      </c>
      <c r="E8194" t="str">
        <f t="shared" si="1474"/>
        <v>2108310556</v>
      </c>
      <c r="F8194" s="1">
        <v>45118</v>
      </c>
      <c r="G8194" t="str">
        <f t="shared" si="1472"/>
        <v>82087</v>
      </c>
      <c r="H8194">
        <v>1</v>
      </c>
      <c r="I8194">
        <v>53</v>
      </c>
      <c r="J8194">
        <v>0</v>
      </c>
      <c r="K8194" t="str">
        <f t="shared" si="1468"/>
        <v>802</v>
      </c>
      <c r="L8194">
        <v>51.41</v>
      </c>
    </row>
    <row r="8195" spans="1:12" x14ac:dyDescent="0.25">
      <c r="A8195" t="str">
        <f t="shared" si="1475"/>
        <v>89301000</v>
      </c>
      <c r="B8195" t="str">
        <f t="shared" si="1466"/>
        <v>91866000</v>
      </c>
      <c r="C8195" t="str">
        <f t="shared" si="1467"/>
        <v>91866313</v>
      </c>
      <c r="D8195">
        <v>89301101</v>
      </c>
      <c r="E8195" t="str">
        <f t="shared" si="1474"/>
        <v>2108310556</v>
      </c>
      <c r="F8195" s="1">
        <v>45119</v>
      </c>
      <c r="G8195" t="str">
        <f t="shared" si="1472"/>
        <v>82087</v>
      </c>
      <c r="H8195">
        <v>1</v>
      </c>
      <c r="I8195">
        <v>53</v>
      </c>
      <c r="J8195">
        <v>0</v>
      </c>
      <c r="K8195" t="str">
        <f t="shared" si="1468"/>
        <v>802</v>
      </c>
      <c r="L8195">
        <v>51.41</v>
      </c>
    </row>
    <row r="8196" spans="1:12" x14ac:dyDescent="0.25">
      <c r="A8196" t="str">
        <f t="shared" si="1475"/>
        <v>89301000</v>
      </c>
      <c r="B8196" t="str">
        <f t="shared" si="1466"/>
        <v>91866000</v>
      </c>
      <c r="C8196" t="str">
        <f t="shared" si="1467"/>
        <v>91866313</v>
      </c>
      <c r="D8196">
        <v>89301101</v>
      </c>
      <c r="E8196" t="str">
        <f t="shared" si="1474"/>
        <v>2108310556</v>
      </c>
      <c r="F8196" s="1">
        <v>45120</v>
      </c>
      <c r="G8196" t="str">
        <f t="shared" si="1472"/>
        <v>82087</v>
      </c>
      <c r="H8196">
        <v>1</v>
      </c>
      <c r="I8196">
        <v>53</v>
      </c>
      <c r="J8196">
        <v>0</v>
      </c>
      <c r="K8196" t="str">
        <f t="shared" si="1468"/>
        <v>802</v>
      </c>
      <c r="L8196">
        <v>51.41</v>
      </c>
    </row>
    <row r="8197" spans="1:12" x14ac:dyDescent="0.25">
      <c r="A8197" t="str">
        <f t="shared" si="1475"/>
        <v>89301000</v>
      </c>
      <c r="B8197" t="str">
        <f t="shared" ref="B8197:C8199" si="1476">"92401000"</f>
        <v>92401000</v>
      </c>
      <c r="C8197" t="str">
        <f t="shared" si="1476"/>
        <v>92401000</v>
      </c>
      <c r="D8197">
        <v>89301082</v>
      </c>
      <c r="E8197" t="str">
        <f>"9162056068"</f>
        <v>9162056068</v>
      </c>
      <c r="F8197" s="1">
        <v>45126</v>
      </c>
      <c r="G8197" t="str">
        <f>"97111"</f>
        <v>97111</v>
      </c>
      <c r="H8197">
        <v>1</v>
      </c>
      <c r="I8197">
        <v>19</v>
      </c>
      <c r="J8197">
        <v>0</v>
      </c>
      <c r="K8197" t="str">
        <f>"801"</f>
        <v>801</v>
      </c>
      <c r="L8197">
        <v>23.94</v>
      </c>
    </row>
    <row r="8198" spans="1:12" x14ac:dyDescent="0.25">
      <c r="A8198" t="str">
        <f t="shared" si="1475"/>
        <v>89301000</v>
      </c>
      <c r="B8198" t="str">
        <f t="shared" si="1476"/>
        <v>92401000</v>
      </c>
      <c r="C8198" t="str">
        <f t="shared" si="1476"/>
        <v>92401000</v>
      </c>
      <c r="D8198">
        <v>89301082</v>
      </c>
      <c r="E8198" t="str">
        <f>"9162056068"</f>
        <v>9162056068</v>
      </c>
      <c r="F8198" s="1">
        <v>45126</v>
      </c>
      <c r="G8198" t="str">
        <f>"09119"</f>
        <v>09119</v>
      </c>
      <c r="H8198">
        <v>1</v>
      </c>
      <c r="I8198">
        <v>43</v>
      </c>
      <c r="J8198">
        <v>0</v>
      </c>
      <c r="K8198" t="str">
        <f>"801"</f>
        <v>801</v>
      </c>
      <c r="L8198">
        <v>54.18</v>
      </c>
    </row>
    <row r="8199" spans="1:12" x14ac:dyDescent="0.25">
      <c r="A8199" t="str">
        <f t="shared" si="1475"/>
        <v>89301000</v>
      </c>
      <c r="B8199" t="str">
        <f t="shared" si="1476"/>
        <v>92401000</v>
      </c>
      <c r="C8199" t="str">
        <f t="shared" si="1476"/>
        <v>92401000</v>
      </c>
      <c r="D8199">
        <v>89301082</v>
      </c>
      <c r="E8199" t="str">
        <f>"9162056068"</f>
        <v>9162056068</v>
      </c>
      <c r="F8199" s="1">
        <v>45126</v>
      </c>
      <c r="G8199" t="str">
        <f>"93159"</f>
        <v>93159</v>
      </c>
      <c r="H8199">
        <v>1</v>
      </c>
      <c r="I8199">
        <v>197</v>
      </c>
      <c r="J8199">
        <v>0</v>
      </c>
      <c r="K8199" t="str">
        <f>"801"</f>
        <v>801</v>
      </c>
      <c r="L8199">
        <v>165.48</v>
      </c>
    </row>
    <row r="8200" spans="1:12" x14ac:dyDescent="0.25">
      <c r="A8200" t="str">
        <f t="shared" si="1475"/>
        <v>89301000</v>
      </c>
      <c r="B8200" t="str">
        <f>"88631000"</f>
        <v>88631000</v>
      </c>
      <c r="C8200" t="str">
        <f>"88631002"</f>
        <v>88631002</v>
      </c>
      <c r="D8200">
        <v>89301212</v>
      </c>
      <c r="E8200" t="str">
        <f>"8756085756"</f>
        <v>8756085756</v>
      </c>
      <c r="F8200" s="1">
        <v>45119</v>
      </c>
      <c r="G8200" t="str">
        <f>"89512"</f>
        <v>89512</v>
      </c>
      <c r="H8200">
        <v>1</v>
      </c>
      <c r="I8200">
        <v>283</v>
      </c>
      <c r="J8200">
        <v>0</v>
      </c>
      <c r="K8200" t="str">
        <f t="shared" ref="K8200:K8213" si="1477">"809"</f>
        <v>809</v>
      </c>
      <c r="L8200">
        <v>416.01</v>
      </c>
    </row>
    <row r="8201" spans="1:12" x14ac:dyDescent="0.25">
      <c r="A8201" t="str">
        <f t="shared" si="1475"/>
        <v>89301000</v>
      </c>
      <c r="B8201" t="str">
        <f>"88631000"</f>
        <v>88631000</v>
      </c>
      <c r="C8201" t="str">
        <f>"88631002"</f>
        <v>88631002</v>
      </c>
      <c r="D8201">
        <v>89301212</v>
      </c>
      <c r="E8201" t="str">
        <f>"8756085756"</f>
        <v>8756085756</v>
      </c>
      <c r="F8201" s="1">
        <v>45119</v>
      </c>
      <c r="G8201" t="str">
        <f>"89514"</f>
        <v>89514</v>
      </c>
      <c r="H8201">
        <v>1</v>
      </c>
      <c r="I8201">
        <v>378</v>
      </c>
      <c r="J8201">
        <v>0</v>
      </c>
      <c r="K8201" t="str">
        <f t="shared" si="1477"/>
        <v>809</v>
      </c>
      <c r="L8201">
        <v>555.66</v>
      </c>
    </row>
    <row r="8202" spans="1:12" x14ac:dyDescent="0.25">
      <c r="A8202" t="str">
        <f t="shared" si="1475"/>
        <v>89301000</v>
      </c>
      <c r="B8202" t="str">
        <f>"88631000"</f>
        <v>88631000</v>
      </c>
      <c r="C8202" t="str">
        <f>"88631002"</f>
        <v>88631002</v>
      </c>
      <c r="D8202">
        <v>89301212</v>
      </c>
      <c r="E8202" t="str">
        <f>"8756085756"</f>
        <v>8756085756</v>
      </c>
      <c r="F8202" s="1">
        <v>45119</v>
      </c>
      <c r="G8202" t="str">
        <f>"89513"</f>
        <v>89513</v>
      </c>
      <c r="H8202">
        <v>1</v>
      </c>
      <c r="I8202">
        <v>378</v>
      </c>
      <c r="J8202">
        <v>0</v>
      </c>
      <c r="K8202" t="str">
        <f t="shared" si="1477"/>
        <v>809</v>
      </c>
      <c r="L8202">
        <v>555.66</v>
      </c>
    </row>
    <row r="8203" spans="1:12" x14ac:dyDescent="0.25">
      <c r="A8203" t="str">
        <f t="shared" si="1475"/>
        <v>89301000</v>
      </c>
      <c r="B8203" t="str">
        <f>"89345401"</f>
        <v>89345401</v>
      </c>
      <c r="C8203" t="str">
        <f>"89345401"</f>
        <v>89345401</v>
      </c>
      <c r="D8203">
        <v>89301212</v>
      </c>
      <c r="E8203" t="str">
        <f>"5455051096"</f>
        <v>5455051096</v>
      </c>
      <c r="F8203" s="1">
        <v>45124</v>
      </c>
      <c r="G8203" t="str">
        <f>"89131"</f>
        <v>89131</v>
      </c>
      <c r="H8203">
        <v>1</v>
      </c>
      <c r="I8203">
        <v>190</v>
      </c>
      <c r="J8203">
        <v>0</v>
      </c>
      <c r="K8203" t="str">
        <f t="shared" si="1477"/>
        <v>809</v>
      </c>
      <c r="L8203">
        <v>279.3</v>
      </c>
    </row>
    <row r="8204" spans="1:12" x14ac:dyDescent="0.25">
      <c r="A8204" t="str">
        <f t="shared" si="1475"/>
        <v>89301000</v>
      </c>
      <c r="B8204" t="str">
        <f>"89345401"</f>
        <v>89345401</v>
      </c>
      <c r="C8204" t="str">
        <f>"89345401"</f>
        <v>89345401</v>
      </c>
      <c r="D8204">
        <v>89301212</v>
      </c>
      <c r="E8204" t="str">
        <f>"6957265348"</f>
        <v>6957265348</v>
      </c>
      <c r="F8204" s="1">
        <v>45133</v>
      </c>
      <c r="G8204" t="str">
        <f>"89131"</f>
        <v>89131</v>
      </c>
      <c r="H8204">
        <v>1</v>
      </c>
      <c r="I8204">
        <v>190</v>
      </c>
      <c r="J8204">
        <v>0</v>
      </c>
      <c r="K8204" t="str">
        <f t="shared" si="1477"/>
        <v>809</v>
      </c>
      <c r="L8204">
        <v>279.3</v>
      </c>
    </row>
    <row r="8205" spans="1:12" x14ac:dyDescent="0.25">
      <c r="A8205" t="str">
        <f t="shared" si="1475"/>
        <v>89301000</v>
      </c>
      <c r="B8205" t="str">
        <f t="shared" ref="B8205:B8210" si="1478">"93507000"</f>
        <v>93507000</v>
      </c>
      <c r="C8205" t="str">
        <f t="shared" ref="C8205:C8210" si="1479">"93507001"</f>
        <v>93507001</v>
      </c>
      <c r="D8205">
        <v>89301032</v>
      </c>
      <c r="E8205" t="str">
        <f>"5658171453"</f>
        <v>5658171453</v>
      </c>
      <c r="F8205" s="1">
        <v>45119</v>
      </c>
      <c r="G8205" t="str">
        <f>"89513"</f>
        <v>89513</v>
      </c>
      <c r="H8205">
        <v>1</v>
      </c>
      <c r="I8205">
        <v>378</v>
      </c>
      <c r="J8205">
        <v>0</v>
      </c>
      <c r="K8205" t="str">
        <f t="shared" si="1477"/>
        <v>809</v>
      </c>
      <c r="L8205">
        <v>555.66</v>
      </c>
    </row>
    <row r="8206" spans="1:12" x14ac:dyDescent="0.25">
      <c r="A8206" t="str">
        <f t="shared" si="1475"/>
        <v>89301000</v>
      </c>
      <c r="B8206" t="str">
        <f t="shared" si="1478"/>
        <v>93507000</v>
      </c>
      <c r="C8206" t="str">
        <f t="shared" si="1479"/>
        <v>93507001</v>
      </c>
      <c r="D8206">
        <v>89301032</v>
      </c>
      <c r="E8206" t="str">
        <f>"5658171453"</f>
        <v>5658171453</v>
      </c>
      <c r="F8206" s="1">
        <v>45119</v>
      </c>
      <c r="G8206" t="str">
        <f>"89514"</f>
        <v>89514</v>
      </c>
      <c r="H8206">
        <v>1</v>
      </c>
      <c r="I8206">
        <v>378</v>
      </c>
      <c r="J8206">
        <v>0</v>
      </c>
      <c r="K8206" t="str">
        <f t="shared" si="1477"/>
        <v>809</v>
      </c>
      <c r="L8206">
        <v>555.66</v>
      </c>
    </row>
    <row r="8207" spans="1:12" x14ac:dyDescent="0.25">
      <c r="A8207" t="str">
        <f t="shared" si="1475"/>
        <v>89301000</v>
      </c>
      <c r="B8207" t="str">
        <f t="shared" si="1478"/>
        <v>93507000</v>
      </c>
      <c r="C8207" t="str">
        <f t="shared" si="1479"/>
        <v>93507001</v>
      </c>
      <c r="D8207">
        <v>89301212</v>
      </c>
      <c r="E8207" t="str">
        <f>"5753110099"</f>
        <v>5753110099</v>
      </c>
      <c r="F8207" s="1">
        <v>45134</v>
      </c>
      <c r="G8207" t="str">
        <f>"89513"</f>
        <v>89513</v>
      </c>
      <c r="H8207">
        <v>1</v>
      </c>
      <c r="I8207">
        <v>378</v>
      </c>
      <c r="J8207">
        <v>0</v>
      </c>
      <c r="K8207" t="str">
        <f t="shared" si="1477"/>
        <v>809</v>
      </c>
      <c r="L8207">
        <v>555.66</v>
      </c>
    </row>
    <row r="8208" spans="1:12" x14ac:dyDescent="0.25">
      <c r="A8208" t="str">
        <f t="shared" si="1475"/>
        <v>89301000</v>
      </c>
      <c r="B8208" t="str">
        <f t="shared" si="1478"/>
        <v>93507000</v>
      </c>
      <c r="C8208" t="str">
        <f t="shared" si="1479"/>
        <v>93507001</v>
      </c>
      <c r="D8208">
        <v>89301212</v>
      </c>
      <c r="E8208" t="str">
        <f>"5753110099"</f>
        <v>5753110099</v>
      </c>
      <c r="F8208" s="1">
        <v>45134</v>
      </c>
      <c r="G8208" t="str">
        <f>"89514"</f>
        <v>89514</v>
      </c>
      <c r="H8208">
        <v>1</v>
      </c>
      <c r="I8208">
        <v>378</v>
      </c>
      <c r="J8208">
        <v>0</v>
      </c>
      <c r="K8208" t="str">
        <f t="shared" si="1477"/>
        <v>809</v>
      </c>
      <c r="L8208">
        <v>555.66</v>
      </c>
    </row>
    <row r="8209" spans="1:12" x14ac:dyDescent="0.25">
      <c r="A8209" t="str">
        <f t="shared" si="1475"/>
        <v>89301000</v>
      </c>
      <c r="B8209" t="str">
        <f t="shared" si="1478"/>
        <v>93507000</v>
      </c>
      <c r="C8209" t="str">
        <f t="shared" si="1479"/>
        <v>93507001</v>
      </c>
      <c r="D8209">
        <v>89301032</v>
      </c>
      <c r="E8209" t="str">
        <f>"7651265776"</f>
        <v>7651265776</v>
      </c>
      <c r="F8209" s="1">
        <v>45121</v>
      </c>
      <c r="G8209" t="str">
        <f>"89514"</f>
        <v>89514</v>
      </c>
      <c r="H8209">
        <v>1</v>
      </c>
      <c r="I8209">
        <v>378</v>
      </c>
      <c r="J8209">
        <v>0</v>
      </c>
      <c r="K8209" t="str">
        <f t="shared" si="1477"/>
        <v>809</v>
      </c>
      <c r="L8209">
        <v>555.66</v>
      </c>
    </row>
    <row r="8210" spans="1:12" x14ac:dyDescent="0.25">
      <c r="A8210" t="str">
        <f t="shared" si="1475"/>
        <v>89301000</v>
      </c>
      <c r="B8210" t="str">
        <f t="shared" si="1478"/>
        <v>93507000</v>
      </c>
      <c r="C8210" t="str">
        <f t="shared" si="1479"/>
        <v>93507001</v>
      </c>
      <c r="D8210">
        <v>89301032</v>
      </c>
      <c r="E8210" t="str">
        <f>"7651265776"</f>
        <v>7651265776</v>
      </c>
      <c r="F8210" s="1">
        <v>45121</v>
      </c>
      <c r="G8210" t="str">
        <f>"89513"</f>
        <v>89513</v>
      </c>
      <c r="H8210">
        <v>1</v>
      </c>
      <c r="I8210">
        <v>378</v>
      </c>
      <c r="J8210">
        <v>0</v>
      </c>
      <c r="K8210" t="str">
        <f t="shared" si="1477"/>
        <v>809</v>
      </c>
      <c r="L8210">
        <v>555.66</v>
      </c>
    </row>
    <row r="8211" spans="1:12" x14ac:dyDescent="0.25">
      <c r="A8211" t="str">
        <f t="shared" si="1475"/>
        <v>89301000</v>
      </c>
      <c r="B8211" t="str">
        <f t="shared" ref="B8211:B8217" si="1480">"85600000"</f>
        <v>85600000</v>
      </c>
      <c r="C8211" t="str">
        <f>"85600421"</f>
        <v>85600421</v>
      </c>
      <c r="D8211">
        <v>89301212</v>
      </c>
      <c r="E8211" t="str">
        <f>"5758140465"</f>
        <v>5758140465</v>
      </c>
      <c r="F8211" s="1">
        <v>45127</v>
      </c>
      <c r="G8211" t="str">
        <f>"89514"</f>
        <v>89514</v>
      </c>
      <c r="H8211">
        <v>1</v>
      </c>
      <c r="I8211">
        <v>378</v>
      </c>
      <c r="J8211">
        <v>0</v>
      </c>
      <c r="K8211" t="str">
        <f t="shared" si="1477"/>
        <v>809</v>
      </c>
      <c r="L8211">
        <v>555.66</v>
      </c>
    </row>
    <row r="8212" spans="1:12" x14ac:dyDescent="0.25">
      <c r="A8212" t="str">
        <f t="shared" si="1475"/>
        <v>89301000</v>
      </c>
      <c r="B8212" t="str">
        <f t="shared" si="1480"/>
        <v>85600000</v>
      </c>
      <c r="C8212" t="str">
        <f>"85600421"</f>
        <v>85600421</v>
      </c>
      <c r="D8212">
        <v>89301212</v>
      </c>
      <c r="E8212" t="str">
        <f>"5758140465"</f>
        <v>5758140465</v>
      </c>
      <c r="F8212" s="1">
        <v>45127</v>
      </c>
      <c r="G8212" t="str">
        <f>"89513"</f>
        <v>89513</v>
      </c>
      <c r="H8212">
        <v>1</v>
      </c>
      <c r="I8212">
        <v>378</v>
      </c>
      <c r="J8212">
        <v>0</v>
      </c>
      <c r="K8212" t="str">
        <f t="shared" si="1477"/>
        <v>809</v>
      </c>
      <c r="L8212">
        <v>555.66</v>
      </c>
    </row>
    <row r="8213" spans="1:12" x14ac:dyDescent="0.25">
      <c r="A8213" t="str">
        <f t="shared" si="1475"/>
        <v>89301000</v>
      </c>
      <c r="B8213" t="str">
        <f t="shared" si="1480"/>
        <v>85600000</v>
      </c>
      <c r="C8213" t="str">
        <f>"85600421"</f>
        <v>85600421</v>
      </c>
      <c r="D8213">
        <v>89301212</v>
      </c>
      <c r="E8213" t="str">
        <f>"5758140465"</f>
        <v>5758140465</v>
      </c>
      <c r="F8213" s="1">
        <v>45127</v>
      </c>
      <c r="G8213" t="str">
        <f>"89517"</f>
        <v>89517</v>
      </c>
      <c r="H8213">
        <v>1</v>
      </c>
      <c r="I8213">
        <v>994</v>
      </c>
      <c r="J8213">
        <v>0</v>
      </c>
      <c r="K8213" t="str">
        <f t="shared" si="1477"/>
        <v>809</v>
      </c>
      <c r="L8213">
        <v>1461.18</v>
      </c>
    </row>
    <row r="8214" spans="1:12" x14ac:dyDescent="0.25">
      <c r="A8214" t="str">
        <f t="shared" si="1475"/>
        <v>89301000</v>
      </c>
      <c r="B8214" t="str">
        <f t="shared" si="1480"/>
        <v>85600000</v>
      </c>
      <c r="C8214" t="str">
        <f>"85600422"</f>
        <v>85600422</v>
      </c>
      <c r="D8214">
        <v>89301172</v>
      </c>
      <c r="E8214" t="str">
        <f>"9554175323"</f>
        <v>9554175323</v>
      </c>
      <c r="F8214" s="1">
        <v>45121</v>
      </c>
      <c r="G8214" t="str">
        <f>"89713"</f>
        <v>89713</v>
      </c>
      <c r="H8214">
        <v>1</v>
      </c>
      <c r="I8214">
        <v>5411</v>
      </c>
      <c r="J8214">
        <v>0</v>
      </c>
      <c r="K8214" t="str">
        <f>"810"</f>
        <v>810</v>
      </c>
      <c r="L8214">
        <v>3517.15</v>
      </c>
    </row>
    <row r="8215" spans="1:12" x14ac:dyDescent="0.25">
      <c r="A8215" t="str">
        <f t="shared" si="1475"/>
        <v>89301000</v>
      </c>
      <c r="B8215" t="str">
        <f t="shared" si="1480"/>
        <v>85600000</v>
      </c>
      <c r="C8215" t="str">
        <f>"85600422"</f>
        <v>85600422</v>
      </c>
      <c r="D8215">
        <v>89301172</v>
      </c>
      <c r="E8215" t="str">
        <f>"9554175323"</f>
        <v>9554175323</v>
      </c>
      <c r="F8215" s="1">
        <v>45121</v>
      </c>
      <c r="G8215" t="str">
        <f>"89725"</f>
        <v>89725</v>
      </c>
      <c r="H8215">
        <v>1</v>
      </c>
      <c r="I8215">
        <v>2863</v>
      </c>
      <c r="J8215">
        <v>0</v>
      </c>
      <c r="K8215" t="str">
        <f>"810"</f>
        <v>810</v>
      </c>
      <c r="L8215">
        <v>1860.95</v>
      </c>
    </row>
    <row r="8216" spans="1:12" x14ac:dyDescent="0.25">
      <c r="A8216" t="str">
        <f t="shared" si="1475"/>
        <v>89301000</v>
      </c>
      <c r="B8216" t="str">
        <f t="shared" si="1480"/>
        <v>85600000</v>
      </c>
      <c r="C8216" t="str">
        <f>"85600422"</f>
        <v>85600422</v>
      </c>
      <c r="D8216">
        <v>89301172</v>
      </c>
      <c r="E8216" t="str">
        <f>"9554175323"</f>
        <v>9554175323</v>
      </c>
      <c r="F8216" s="1">
        <v>45121</v>
      </c>
      <c r="G8216" t="str">
        <f>"89713"</f>
        <v>89713</v>
      </c>
      <c r="H8216">
        <v>1</v>
      </c>
      <c r="I8216">
        <v>5411</v>
      </c>
      <c r="J8216">
        <v>0</v>
      </c>
      <c r="K8216" t="str">
        <f>"810"</f>
        <v>810</v>
      </c>
      <c r="L8216">
        <v>3517.15</v>
      </c>
    </row>
    <row r="8217" spans="1:12" x14ac:dyDescent="0.25">
      <c r="A8217" t="str">
        <f t="shared" si="1475"/>
        <v>89301000</v>
      </c>
      <c r="B8217" t="str">
        <f t="shared" si="1480"/>
        <v>85600000</v>
      </c>
      <c r="C8217" t="str">
        <f>"85600422"</f>
        <v>85600422</v>
      </c>
      <c r="D8217">
        <v>89301172</v>
      </c>
      <c r="E8217" t="str">
        <f>"9554175323"</f>
        <v>9554175323</v>
      </c>
      <c r="F8217" s="1">
        <v>45121</v>
      </c>
      <c r="G8217" t="str">
        <f>"0205012"</f>
        <v>0205012</v>
      </c>
      <c r="H8217">
        <v>1</v>
      </c>
      <c r="J8217">
        <v>1265.19</v>
      </c>
      <c r="K8217" t="str">
        <f>"810"</f>
        <v>810</v>
      </c>
      <c r="L8217">
        <v>1265.19</v>
      </c>
    </row>
    <row r="8218" spans="1:12" x14ac:dyDescent="0.25">
      <c r="A8218" t="str">
        <f t="shared" si="1475"/>
        <v>89301000</v>
      </c>
      <c r="B8218" t="str">
        <f t="shared" ref="B8218:C8235" si="1481">"87669000"</f>
        <v>87669000</v>
      </c>
      <c r="C8218" t="str">
        <f t="shared" si="1481"/>
        <v>87669000</v>
      </c>
      <c r="D8218">
        <v>89301167</v>
      </c>
      <c r="E8218" t="str">
        <f t="shared" ref="E8218:E8237" si="1482">"480710460"</f>
        <v>480710460</v>
      </c>
      <c r="F8218" s="1">
        <v>45121</v>
      </c>
      <c r="G8218" t="str">
        <f>"81621"</f>
        <v>81621</v>
      </c>
      <c r="H8218">
        <v>1</v>
      </c>
      <c r="I8218">
        <v>19</v>
      </c>
      <c r="J8218">
        <v>0</v>
      </c>
      <c r="K8218" t="str">
        <f t="shared" ref="K8218:K8243" si="1483">"801"</f>
        <v>801</v>
      </c>
      <c r="L8218">
        <v>15.96</v>
      </c>
    </row>
    <row r="8219" spans="1:12" x14ac:dyDescent="0.25">
      <c r="A8219" t="str">
        <f t="shared" si="1475"/>
        <v>89301000</v>
      </c>
      <c r="B8219" t="str">
        <f t="shared" si="1481"/>
        <v>87669000</v>
      </c>
      <c r="C8219" t="str">
        <f t="shared" si="1481"/>
        <v>87669000</v>
      </c>
      <c r="D8219">
        <v>89301167</v>
      </c>
      <c r="E8219" t="str">
        <f t="shared" si="1482"/>
        <v>480710460</v>
      </c>
      <c r="F8219" s="1">
        <v>45121</v>
      </c>
      <c r="G8219" t="str">
        <f>"81625"</f>
        <v>81625</v>
      </c>
      <c r="H8219">
        <v>1</v>
      </c>
      <c r="I8219">
        <v>21</v>
      </c>
      <c r="J8219">
        <v>0</v>
      </c>
      <c r="K8219" t="str">
        <f t="shared" si="1483"/>
        <v>801</v>
      </c>
      <c r="L8219">
        <v>17.64</v>
      </c>
    </row>
    <row r="8220" spans="1:12" x14ac:dyDescent="0.25">
      <c r="A8220" t="str">
        <f t="shared" si="1475"/>
        <v>89301000</v>
      </c>
      <c r="B8220" t="str">
        <f t="shared" si="1481"/>
        <v>87669000</v>
      </c>
      <c r="C8220" t="str">
        <f t="shared" si="1481"/>
        <v>87669000</v>
      </c>
      <c r="D8220">
        <v>89301167</v>
      </c>
      <c r="E8220" t="str">
        <f t="shared" si="1482"/>
        <v>480710460</v>
      </c>
      <c r="F8220" s="1">
        <v>45121</v>
      </c>
      <c r="G8220" t="str">
        <f>"91153"</f>
        <v>91153</v>
      </c>
      <c r="H8220">
        <v>1</v>
      </c>
      <c r="I8220">
        <v>153</v>
      </c>
      <c r="J8220">
        <v>0</v>
      </c>
      <c r="K8220" t="str">
        <f t="shared" si="1483"/>
        <v>801</v>
      </c>
      <c r="L8220">
        <v>128.52000000000001</v>
      </c>
    </row>
    <row r="8221" spans="1:12" x14ac:dyDescent="0.25">
      <c r="A8221" t="str">
        <f t="shared" si="1475"/>
        <v>89301000</v>
      </c>
      <c r="B8221" t="str">
        <f t="shared" si="1481"/>
        <v>87669000</v>
      </c>
      <c r="C8221" t="str">
        <f t="shared" si="1481"/>
        <v>87669000</v>
      </c>
      <c r="D8221">
        <v>89301167</v>
      </c>
      <c r="E8221" t="str">
        <f t="shared" si="1482"/>
        <v>480710460</v>
      </c>
      <c r="F8221" s="1">
        <v>45121</v>
      </c>
      <c r="G8221" t="str">
        <f>"96167"</f>
        <v>96167</v>
      </c>
      <c r="H8221">
        <v>1</v>
      </c>
      <c r="I8221">
        <v>67</v>
      </c>
      <c r="J8221">
        <v>0</v>
      </c>
      <c r="K8221" t="str">
        <f t="shared" si="1483"/>
        <v>801</v>
      </c>
      <c r="L8221">
        <v>56.28</v>
      </c>
    </row>
    <row r="8222" spans="1:12" x14ac:dyDescent="0.25">
      <c r="A8222" t="str">
        <f t="shared" si="1475"/>
        <v>89301000</v>
      </c>
      <c r="B8222" t="str">
        <f t="shared" si="1481"/>
        <v>87669000</v>
      </c>
      <c r="C8222" t="str">
        <f t="shared" si="1481"/>
        <v>87669000</v>
      </c>
      <c r="D8222">
        <v>89301167</v>
      </c>
      <c r="E8222" t="str">
        <f t="shared" si="1482"/>
        <v>480710460</v>
      </c>
      <c r="F8222" s="1">
        <v>45121</v>
      </c>
      <c r="G8222" t="str">
        <f>"97111"</f>
        <v>97111</v>
      </c>
      <c r="H8222">
        <v>1</v>
      </c>
      <c r="I8222">
        <v>19</v>
      </c>
      <c r="J8222">
        <v>0</v>
      </c>
      <c r="K8222" t="str">
        <f t="shared" si="1483"/>
        <v>801</v>
      </c>
      <c r="L8222">
        <v>23.94</v>
      </c>
    </row>
    <row r="8223" spans="1:12" x14ac:dyDescent="0.25">
      <c r="A8223" t="str">
        <f t="shared" si="1475"/>
        <v>89301000</v>
      </c>
      <c r="B8223" t="str">
        <f t="shared" si="1481"/>
        <v>87669000</v>
      </c>
      <c r="C8223" t="str">
        <f t="shared" si="1481"/>
        <v>87669000</v>
      </c>
      <c r="D8223">
        <v>89301167</v>
      </c>
      <c r="E8223" t="str">
        <f t="shared" si="1482"/>
        <v>480710460</v>
      </c>
      <c r="F8223" s="1">
        <v>45121</v>
      </c>
      <c r="G8223" t="str">
        <f>"81435"</f>
        <v>81435</v>
      </c>
      <c r="H8223">
        <v>1</v>
      </c>
      <c r="I8223">
        <v>22</v>
      </c>
      <c r="J8223">
        <v>0</v>
      </c>
      <c r="K8223" t="str">
        <f t="shared" si="1483"/>
        <v>801</v>
      </c>
      <c r="L8223">
        <v>18.48</v>
      </c>
    </row>
    <row r="8224" spans="1:12" x14ac:dyDescent="0.25">
      <c r="A8224" t="str">
        <f t="shared" si="1475"/>
        <v>89301000</v>
      </c>
      <c r="B8224" t="str">
        <f t="shared" si="1481"/>
        <v>87669000</v>
      </c>
      <c r="C8224" t="str">
        <f t="shared" si="1481"/>
        <v>87669000</v>
      </c>
      <c r="D8224">
        <v>89301167</v>
      </c>
      <c r="E8224" t="str">
        <f t="shared" si="1482"/>
        <v>480710460</v>
      </c>
      <c r="F8224" s="1">
        <v>45121</v>
      </c>
      <c r="G8224" t="str">
        <f>"81439"</f>
        <v>81439</v>
      </c>
      <c r="H8224">
        <v>1</v>
      </c>
      <c r="I8224">
        <v>16</v>
      </c>
      <c r="J8224">
        <v>0</v>
      </c>
      <c r="K8224" t="str">
        <f t="shared" si="1483"/>
        <v>801</v>
      </c>
      <c r="L8224">
        <v>13.44</v>
      </c>
    </row>
    <row r="8225" spans="1:12" x14ac:dyDescent="0.25">
      <c r="A8225" t="str">
        <f t="shared" si="1475"/>
        <v>89301000</v>
      </c>
      <c r="B8225" t="str">
        <f t="shared" si="1481"/>
        <v>87669000</v>
      </c>
      <c r="C8225" t="str">
        <f t="shared" si="1481"/>
        <v>87669000</v>
      </c>
      <c r="D8225">
        <v>89301167</v>
      </c>
      <c r="E8225" t="str">
        <f t="shared" si="1482"/>
        <v>480710460</v>
      </c>
      <c r="F8225" s="1">
        <v>45121</v>
      </c>
      <c r="G8225" t="str">
        <f>"81469"</f>
        <v>81469</v>
      </c>
      <c r="H8225">
        <v>1</v>
      </c>
      <c r="I8225">
        <v>16</v>
      </c>
      <c r="J8225">
        <v>0</v>
      </c>
      <c r="K8225" t="str">
        <f t="shared" si="1483"/>
        <v>801</v>
      </c>
      <c r="L8225">
        <v>13.44</v>
      </c>
    </row>
    <row r="8226" spans="1:12" x14ac:dyDescent="0.25">
      <c r="A8226" t="str">
        <f t="shared" si="1475"/>
        <v>89301000</v>
      </c>
      <c r="B8226" t="str">
        <f t="shared" si="1481"/>
        <v>87669000</v>
      </c>
      <c r="C8226" t="str">
        <f t="shared" si="1481"/>
        <v>87669000</v>
      </c>
      <c r="D8226">
        <v>89301167</v>
      </c>
      <c r="E8226" t="str">
        <f t="shared" si="1482"/>
        <v>480710460</v>
      </c>
      <c r="F8226" s="1">
        <v>45121</v>
      </c>
      <c r="G8226" t="str">
        <f>"81499"</f>
        <v>81499</v>
      </c>
      <c r="H8226">
        <v>1</v>
      </c>
      <c r="I8226">
        <v>18</v>
      </c>
      <c r="J8226">
        <v>0</v>
      </c>
      <c r="K8226" t="str">
        <f t="shared" si="1483"/>
        <v>801</v>
      </c>
      <c r="L8226">
        <v>15.12</v>
      </c>
    </row>
    <row r="8227" spans="1:12" x14ac:dyDescent="0.25">
      <c r="A8227" t="str">
        <f t="shared" si="1475"/>
        <v>89301000</v>
      </c>
      <c r="B8227" t="str">
        <f t="shared" si="1481"/>
        <v>87669000</v>
      </c>
      <c r="C8227" t="str">
        <f t="shared" si="1481"/>
        <v>87669000</v>
      </c>
      <c r="D8227">
        <v>89301167</v>
      </c>
      <c r="E8227" t="str">
        <f t="shared" si="1482"/>
        <v>480710460</v>
      </c>
      <c r="F8227" s="1">
        <v>45121</v>
      </c>
      <c r="G8227" t="str">
        <f>"81523"</f>
        <v>81523</v>
      </c>
      <c r="H8227">
        <v>1</v>
      </c>
      <c r="I8227">
        <v>23</v>
      </c>
      <c r="J8227">
        <v>0</v>
      </c>
      <c r="K8227" t="str">
        <f t="shared" si="1483"/>
        <v>801</v>
      </c>
      <c r="L8227">
        <v>19.32</v>
      </c>
    </row>
    <row r="8228" spans="1:12" x14ac:dyDescent="0.25">
      <c r="A8228" t="str">
        <f t="shared" si="1475"/>
        <v>89301000</v>
      </c>
      <c r="B8228" t="str">
        <f t="shared" si="1481"/>
        <v>87669000</v>
      </c>
      <c r="C8228" t="str">
        <f t="shared" si="1481"/>
        <v>87669000</v>
      </c>
      <c r="D8228">
        <v>89301167</v>
      </c>
      <c r="E8228" t="str">
        <f t="shared" si="1482"/>
        <v>480710460</v>
      </c>
      <c r="F8228" s="1">
        <v>45121</v>
      </c>
      <c r="G8228" t="str">
        <f>"81593"</f>
        <v>81593</v>
      </c>
      <c r="H8228">
        <v>1</v>
      </c>
      <c r="I8228">
        <v>22</v>
      </c>
      <c r="J8228">
        <v>0</v>
      </c>
      <c r="K8228" t="str">
        <f t="shared" si="1483"/>
        <v>801</v>
      </c>
      <c r="L8228">
        <v>18.48</v>
      </c>
    </row>
    <row r="8229" spans="1:12" x14ac:dyDescent="0.25">
      <c r="A8229" t="str">
        <f t="shared" si="1475"/>
        <v>89301000</v>
      </c>
      <c r="B8229" t="str">
        <f t="shared" si="1481"/>
        <v>87669000</v>
      </c>
      <c r="C8229" t="str">
        <f t="shared" si="1481"/>
        <v>87669000</v>
      </c>
      <c r="D8229">
        <v>89301167</v>
      </c>
      <c r="E8229" t="str">
        <f t="shared" si="1482"/>
        <v>480710460</v>
      </c>
      <c r="F8229" s="1">
        <v>45121</v>
      </c>
      <c r="G8229" t="str">
        <f>"81337"</f>
        <v>81337</v>
      </c>
      <c r="H8229">
        <v>1</v>
      </c>
      <c r="I8229">
        <v>20</v>
      </c>
      <c r="J8229">
        <v>0</v>
      </c>
      <c r="K8229" t="str">
        <f t="shared" si="1483"/>
        <v>801</v>
      </c>
      <c r="L8229">
        <v>16.8</v>
      </c>
    </row>
    <row r="8230" spans="1:12" x14ac:dyDescent="0.25">
      <c r="A8230" t="str">
        <f t="shared" si="1475"/>
        <v>89301000</v>
      </c>
      <c r="B8230" t="str">
        <f t="shared" si="1481"/>
        <v>87669000</v>
      </c>
      <c r="C8230" t="str">
        <f t="shared" si="1481"/>
        <v>87669000</v>
      </c>
      <c r="D8230">
        <v>89301167</v>
      </c>
      <c r="E8230" t="str">
        <f t="shared" si="1482"/>
        <v>480710460</v>
      </c>
      <c r="F8230" s="1">
        <v>45121</v>
      </c>
      <c r="G8230" t="str">
        <f>"81357"</f>
        <v>81357</v>
      </c>
      <c r="H8230">
        <v>1</v>
      </c>
      <c r="I8230">
        <v>20</v>
      </c>
      <c r="J8230">
        <v>0</v>
      </c>
      <c r="K8230" t="str">
        <f t="shared" si="1483"/>
        <v>801</v>
      </c>
      <c r="L8230">
        <v>16.8</v>
      </c>
    </row>
    <row r="8231" spans="1:12" x14ac:dyDescent="0.25">
      <c r="A8231" t="str">
        <f t="shared" si="1475"/>
        <v>89301000</v>
      </c>
      <c r="B8231" t="str">
        <f t="shared" si="1481"/>
        <v>87669000</v>
      </c>
      <c r="C8231" t="str">
        <f t="shared" si="1481"/>
        <v>87669000</v>
      </c>
      <c r="D8231">
        <v>89301167</v>
      </c>
      <c r="E8231" t="str">
        <f t="shared" si="1482"/>
        <v>480710460</v>
      </c>
      <c r="F8231" s="1">
        <v>45121</v>
      </c>
      <c r="G8231" t="str">
        <f>"81361"</f>
        <v>81361</v>
      </c>
      <c r="H8231">
        <v>1</v>
      </c>
      <c r="I8231">
        <v>17</v>
      </c>
      <c r="J8231">
        <v>0</v>
      </c>
      <c r="K8231" t="str">
        <f t="shared" si="1483"/>
        <v>801</v>
      </c>
      <c r="L8231">
        <v>14.28</v>
      </c>
    </row>
    <row r="8232" spans="1:12" x14ac:dyDescent="0.25">
      <c r="A8232" t="str">
        <f t="shared" si="1475"/>
        <v>89301000</v>
      </c>
      <c r="B8232" t="str">
        <f t="shared" si="1481"/>
        <v>87669000</v>
      </c>
      <c r="C8232" t="str">
        <f t="shared" si="1481"/>
        <v>87669000</v>
      </c>
      <c r="D8232">
        <v>89301167</v>
      </c>
      <c r="E8232" t="str">
        <f t="shared" si="1482"/>
        <v>480710460</v>
      </c>
      <c r="F8232" s="1">
        <v>45121</v>
      </c>
      <c r="G8232" t="str">
        <f>"81365"</f>
        <v>81365</v>
      </c>
      <c r="H8232">
        <v>1</v>
      </c>
      <c r="I8232">
        <v>16</v>
      </c>
      <c r="J8232">
        <v>0</v>
      </c>
      <c r="K8232" t="str">
        <f t="shared" si="1483"/>
        <v>801</v>
      </c>
      <c r="L8232">
        <v>13.44</v>
      </c>
    </row>
    <row r="8233" spans="1:12" x14ac:dyDescent="0.25">
      <c r="A8233" t="str">
        <f t="shared" si="1475"/>
        <v>89301000</v>
      </c>
      <c r="B8233" t="str">
        <f t="shared" si="1481"/>
        <v>87669000</v>
      </c>
      <c r="C8233" t="str">
        <f t="shared" si="1481"/>
        <v>87669000</v>
      </c>
      <c r="D8233">
        <v>89301167</v>
      </c>
      <c r="E8233" t="str">
        <f t="shared" si="1482"/>
        <v>480710460</v>
      </c>
      <c r="F8233" s="1">
        <v>45121</v>
      </c>
      <c r="G8233" t="str">
        <f>"81393"</f>
        <v>81393</v>
      </c>
      <c r="H8233">
        <v>1</v>
      </c>
      <c r="I8233">
        <v>24</v>
      </c>
      <c r="J8233">
        <v>0</v>
      </c>
      <c r="K8233" t="str">
        <f t="shared" si="1483"/>
        <v>801</v>
      </c>
      <c r="L8233">
        <v>20.16</v>
      </c>
    </row>
    <row r="8234" spans="1:12" x14ac:dyDescent="0.25">
      <c r="A8234" t="str">
        <f t="shared" si="1475"/>
        <v>89301000</v>
      </c>
      <c r="B8234" t="str">
        <f t="shared" si="1481"/>
        <v>87669000</v>
      </c>
      <c r="C8234" t="str">
        <f t="shared" si="1481"/>
        <v>87669000</v>
      </c>
      <c r="D8234">
        <v>89301167</v>
      </c>
      <c r="E8234" t="str">
        <f t="shared" si="1482"/>
        <v>480710460</v>
      </c>
      <c r="F8234" s="1">
        <v>45121</v>
      </c>
      <c r="G8234" t="str">
        <f>"81421"</f>
        <v>81421</v>
      </c>
      <c r="H8234">
        <v>1</v>
      </c>
      <c r="I8234">
        <v>19</v>
      </c>
      <c r="J8234">
        <v>0</v>
      </c>
      <c r="K8234" t="str">
        <f t="shared" si="1483"/>
        <v>801</v>
      </c>
      <c r="L8234">
        <v>15.96</v>
      </c>
    </row>
    <row r="8235" spans="1:12" x14ac:dyDescent="0.25">
      <c r="A8235" t="str">
        <f t="shared" si="1475"/>
        <v>89301000</v>
      </c>
      <c r="B8235" t="str">
        <f t="shared" si="1481"/>
        <v>87669000</v>
      </c>
      <c r="C8235" t="str">
        <f t="shared" si="1481"/>
        <v>87669000</v>
      </c>
      <c r="D8235">
        <v>89301167</v>
      </c>
      <c r="E8235" t="str">
        <f t="shared" si="1482"/>
        <v>480710460</v>
      </c>
      <c r="F8235" s="1">
        <v>45121</v>
      </c>
      <c r="G8235" t="str">
        <f>"81329"</f>
        <v>81329</v>
      </c>
      <c r="H8235">
        <v>1</v>
      </c>
      <c r="I8235">
        <v>17</v>
      </c>
      <c r="J8235">
        <v>0</v>
      </c>
      <c r="K8235" t="str">
        <f t="shared" si="1483"/>
        <v>801</v>
      </c>
      <c r="L8235">
        <v>14.28</v>
      </c>
    </row>
    <row r="8236" spans="1:12" x14ac:dyDescent="0.25">
      <c r="A8236" t="str">
        <f t="shared" si="1475"/>
        <v>89301000</v>
      </c>
      <c r="B8236" t="str">
        <f>"91997900"</f>
        <v>91997900</v>
      </c>
      <c r="C8236" t="str">
        <f>"91997901"</f>
        <v>91997901</v>
      </c>
      <c r="D8236">
        <v>89301167</v>
      </c>
      <c r="E8236" t="str">
        <f t="shared" si="1482"/>
        <v>480710460</v>
      </c>
      <c r="F8236" s="1">
        <v>45121</v>
      </c>
      <c r="G8236" t="str">
        <f>"81249"</f>
        <v>81249</v>
      </c>
      <c r="H8236">
        <v>1</v>
      </c>
      <c r="I8236">
        <v>334</v>
      </c>
      <c r="J8236">
        <v>0</v>
      </c>
      <c r="K8236" t="str">
        <f t="shared" si="1483"/>
        <v>801</v>
      </c>
      <c r="L8236">
        <v>280.56</v>
      </c>
    </row>
    <row r="8237" spans="1:12" x14ac:dyDescent="0.25">
      <c r="A8237" t="str">
        <f t="shared" si="1475"/>
        <v>89301000</v>
      </c>
      <c r="B8237" t="str">
        <f>"91997900"</f>
        <v>91997900</v>
      </c>
      <c r="C8237" t="str">
        <f>"91997901"</f>
        <v>91997901</v>
      </c>
      <c r="D8237">
        <v>89301167</v>
      </c>
      <c r="E8237" t="str">
        <f t="shared" si="1482"/>
        <v>480710460</v>
      </c>
      <c r="F8237" s="1">
        <v>45121</v>
      </c>
      <c r="G8237" t="str">
        <f>"81383"</f>
        <v>81383</v>
      </c>
      <c r="H8237">
        <v>1</v>
      </c>
      <c r="I8237">
        <v>24</v>
      </c>
      <c r="J8237">
        <v>0</v>
      </c>
      <c r="K8237" t="str">
        <f t="shared" si="1483"/>
        <v>801</v>
      </c>
      <c r="L8237">
        <v>20.16</v>
      </c>
    </row>
    <row r="8238" spans="1:12" x14ac:dyDescent="0.25">
      <c r="A8238" t="str">
        <f t="shared" si="1475"/>
        <v>89301000</v>
      </c>
      <c r="B8238" t="str">
        <f>"91997900"</f>
        <v>91997900</v>
      </c>
      <c r="C8238" t="str">
        <f>"91997901"</f>
        <v>91997901</v>
      </c>
      <c r="D8238">
        <v>89301167</v>
      </c>
      <c r="E8238" t="str">
        <f>"470127462"</f>
        <v>470127462</v>
      </c>
      <c r="F8238" s="1">
        <v>45119</v>
      </c>
      <c r="G8238" t="str">
        <f>"93265"</f>
        <v>93265</v>
      </c>
      <c r="H8238">
        <v>1</v>
      </c>
      <c r="I8238">
        <v>657</v>
      </c>
      <c r="J8238">
        <v>0</v>
      </c>
      <c r="K8238" t="str">
        <f t="shared" si="1483"/>
        <v>801</v>
      </c>
      <c r="L8238">
        <v>551.88</v>
      </c>
    </row>
    <row r="8239" spans="1:12" x14ac:dyDescent="0.25">
      <c r="A8239" t="str">
        <f t="shared" si="1475"/>
        <v>89301000</v>
      </c>
      <c r="B8239" t="str">
        <f>"91997900"</f>
        <v>91997900</v>
      </c>
      <c r="C8239" t="str">
        <f>"91997901"</f>
        <v>91997901</v>
      </c>
      <c r="D8239">
        <v>89301167</v>
      </c>
      <c r="E8239" t="str">
        <f>"470127462"</f>
        <v>470127462</v>
      </c>
      <c r="F8239" s="1">
        <v>45119</v>
      </c>
      <c r="G8239" t="str">
        <f>"97111"</f>
        <v>97111</v>
      </c>
      <c r="H8239">
        <v>1</v>
      </c>
      <c r="I8239">
        <v>19</v>
      </c>
      <c r="J8239">
        <v>0</v>
      </c>
      <c r="K8239" t="str">
        <f t="shared" si="1483"/>
        <v>801</v>
      </c>
      <c r="L8239">
        <v>23.94</v>
      </c>
    </row>
    <row r="8240" spans="1:12" x14ac:dyDescent="0.25">
      <c r="A8240" t="str">
        <f t="shared" si="1475"/>
        <v>89301000</v>
      </c>
      <c r="B8240" t="str">
        <f>"91997900"</f>
        <v>91997900</v>
      </c>
      <c r="C8240" t="str">
        <f>"91997901"</f>
        <v>91997901</v>
      </c>
      <c r="D8240">
        <v>89301167</v>
      </c>
      <c r="E8240" t="str">
        <f>"470127462"</f>
        <v>470127462</v>
      </c>
      <c r="F8240" s="1">
        <v>45119</v>
      </c>
      <c r="G8240" t="str">
        <f>"93227"</f>
        <v>93227</v>
      </c>
      <c r="H8240">
        <v>1</v>
      </c>
      <c r="I8240">
        <v>949</v>
      </c>
      <c r="J8240">
        <v>0</v>
      </c>
      <c r="K8240" t="str">
        <f t="shared" si="1483"/>
        <v>801</v>
      </c>
      <c r="L8240">
        <v>797.16</v>
      </c>
    </row>
    <row r="8241" spans="1:12" x14ac:dyDescent="0.25">
      <c r="A8241" t="str">
        <f t="shared" si="1475"/>
        <v>89301000</v>
      </c>
      <c r="B8241" t="str">
        <f>"89148000"</f>
        <v>89148000</v>
      </c>
      <c r="C8241" t="str">
        <f>"89148212"</f>
        <v>89148212</v>
      </c>
      <c r="D8241">
        <v>89301122</v>
      </c>
      <c r="E8241" t="str">
        <f>"531003240"</f>
        <v>531003240</v>
      </c>
      <c r="F8241" s="1">
        <v>45135</v>
      </c>
      <c r="G8241" t="str">
        <f>"09119"</f>
        <v>09119</v>
      </c>
      <c r="H8241">
        <v>1</v>
      </c>
      <c r="I8241">
        <v>43</v>
      </c>
      <c r="J8241">
        <v>0</v>
      </c>
      <c r="K8241" t="str">
        <f t="shared" si="1483"/>
        <v>801</v>
      </c>
      <c r="L8241">
        <v>54.18</v>
      </c>
    </row>
    <row r="8242" spans="1:12" x14ac:dyDescent="0.25">
      <c r="A8242" t="str">
        <f t="shared" si="1475"/>
        <v>89301000</v>
      </c>
      <c r="B8242" t="str">
        <f>"89148000"</f>
        <v>89148000</v>
      </c>
      <c r="C8242" t="str">
        <f>"89148212"</f>
        <v>89148212</v>
      </c>
      <c r="D8242">
        <v>89301122</v>
      </c>
      <c r="E8242" t="str">
        <f>"531003240"</f>
        <v>531003240</v>
      </c>
      <c r="F8242" s="1">
        <v>45135</v>
      </c>
      <c r="G8242" t="str">
        <f>"93225"</f>
        <v>93225</v>
      </c>
      <c r="H8242">
        <v>1</v>
      </c>
      <c r="I8242">
        <v>265</v>
      </c>
      <c r="J8242">
        <v>0</v>
      </c>
      <c r="K8242" t="str">
        <f t="shared" si="1483"/>
        <v>801</v>
      </c>
      <c r="L8242">
        <v>222.6</v>
      </c>
    </row>
    <row r="8243" spans="1:12" x14ac:dyDescent="0.25">
      <c r="A8243" t="str">
        <f t="shared" si="1475"/>
        <v>89301000</v>
      </c>
      <c r="B8243" t="str">
        <f>"89148000"</f>
        <v>89148000</v>
      </c>
      <c r="C8243" t="str">
        <f>"89148212"</f>
        <v>89148212</v>
      </c>
      <c r="D8243">
        <v>89301122</v>
      </c>
      <c r="E8243" t="str">
        <f>"531003240"</f>
        <v>531003240</v>
      </c>
      <c r="F8243" s="1">
        <v>45135</v>
      </c>
      <c r="G8243" t="str">
        <f>"97111"</f>
        <v>97111</v>
      </c>
      <c r="H8243">
        <v>1</v>
      </c>
      <c r="I8243">
        <v>19</v>
      </c>
      <c r="J8243">
        <v>0</v>
      </c>
      <c r="K8243" t="str">
        <f t="shared" si="1483"/>
        <v>801</v>
      </c>
      <c r="L8243">
        <v>23.94</v>
      </c>
    </row>
    <row r="8244" spans="1:12" x14ac:dyDescent="0.25">
      <c r="A8244" t="str">
        <f t="shared" si="1475"/>
        <v>89301000</v>
      </c>
      <c r="B8244" t="str">
        <f>"05836000"</f>
        <v>05836000</v>
      </c>
      <c r="C8244" t="str">
        <f>"05836002"</f>
        <v>05836002</v>
      </c>
      <c r="D8244">
        <v>89301606</v>
      </c>
      <c r="E8244" t="str">
        <f>"7802250896"</f>
        <v>7802250896</v>
      </c>
      <c r="F8244" s="1">
        <v>45122</v>
      </c>
      <c r="G8244" t="str">
        <f>"89725"</f>
        <v>89725</v>
      </c>
      <c r="H8244">
        <v>1</v>
      </c>
      <c r="I8244">
        <v>2863</v>
      </c>
      <c r="J8244">
        <v>0</v>
      </c>
      <c r="K8244" t="str">
        <f>"810"</f>
        <v>810</v>
      </c>
      <c r="L8244">
        <v>1860.95</v>
      </c>
    </row>
    <row r="8245" spans="1:12" x14ac:dyDescent="0.25">
      <c r="A8245" t="str">
        <f t="shared" si="1475"/>
        <v>89301000</v>
      </c>
      <c r="B8245" t="str">
        <f>"05836000"</f>
        <v>05836000</v>
      </c>
      <c r="C8245" t="str">
        <f>"05836002"</f>
        <v>05836002</v>
      </c>
      <c r="D8245">
        <v>89301606</v>
      </c>
      <c r="E8245" t="str">
        <f>"7802250896"</f>
        <v>7802250896</v>
      </c>
      <c r="F8245" s="1">
        <v>45122</v>
      </c>
      <c r="G8245" t="str">
        <f>"89713"</f>
        <v>89713</v>
      </c>
      <c r="H8245">
        <v>1</v>
      </c>
      <c r="I8245">
        <v>5411</v>
      </c>
      <c r="J8245">
        <v>0</v>
      </c>
      <c r="K8245" t="str">
        <f>"810"</f>
        <v>810</v>
      </c>
      <c r="L8245">
        <v>3517.15</v>
      </c>
    </row>
    <row r="8246" spans="1:12" x14ac:dyDescent="0.25">
      <c r="A8246" t="str">
        <f t="shared" si="1475"/>
        <v>89301000</v>
      </c>
      <c r="B8246" t="str">
        <f>"05836000"</f>
        <v>05836000</v>
      </c>
      <c r="C8246" t="str">
        <f>"05836002"</f>
        <v>05836002</v>
      </c>
      <c r="D8246">
        <v>89301606</v>
      </c>
      <c r="E8246" t="str">
        <f>"7802250896"</f>
        <v>7802250896</v>
      </c>
      <c r="F8246" s="1">
        <v>45122</v>
      </c>
      <c r="G8246" t="str">
        <f>"89713"</f>
        <v>89713</v>
      </c>
      <c r="H8246">
        <v>1</v>
      </c>
      <c r="I8246">
        <v>5411</v>
      </c>
      <c r="J8246">
        <v>0</v>
      </c>
      <c r="K8246" t="str">
        <f>"810"</f>
        <v>810</v>
      </c>
      <c r="L8246">
        <v>3517.15</v>
      </c>
    </row>
    <row r="8247" spans="1:12" x14ac:dyDescent="0.25">
      <c r="A8247" t="str">
        <f t="shared" si="1475"/>
        <v>89301000</v>
      </c>
      <c r="B8247" t="str">
        <f t="shared" ref="B8247:B8278" si="1484">"89383000"</f>
        <v>89383000</v>
      </c>
      <c r="C8247" t="str">
        <f t="shared" ref="C8247:C8278" si="1485">"89383002"</f>
        <v>89383002</v>
      </c>
      <c r="D8247">
        <v>89301212</v>
      </c>
      <c r="E8247" t="str">
        <f>"6561210975"</f>
        <v>6561210975</v>
      </c>
      <c r="F8247" s="1">
        <v>45110</v>
      </c>
      <c r="G8247" t="str">
        <f>"89180"</f>
        <v>89180</v>
      </c>
      <c r="H8247">
        <v>2</v>
      </c>
      <c r="I8247">
        <v>762</v>
      </c>
      <c r="J8247">
        <v>0</v>
      </c>
      <c r="K8247" t="str">
        <f t="shared" ref="K8247:K8278" si="1486">"809"</f>
        <v>809</v>
      </c>
      <c r="L8247">
        <v>1120.1400000000001</v>
      </c>
    </row>
    <row r="8248" spans="1:12" x14ac:dyDescent="0.25">
      <c r="A8248" t="str">
        <f t="shared" si="1475"/>
        <v>89301000</v>
      </c>
      <c r="B8248" t="str">
        <f t="shared" si="1484"/>
        <v>89383000</v>
      </c>
      <c r="C8248" t="str">
        <f t="shared" si="1485"/>
        <v>89383002</v>
      </c>
      <c r="D8248">
        <v>89301212</v>
      </c>
      <c r="E8248" t="str">
        <f>"6561210975"</f>
        <v>6561210975</v>
      </c>
      <c r="F8248" s="1">
        <v>45110</v>
      </c>
      <c r="G8248" t="str">
        <f>"89512"</f>
        <v>89512</v>
      </c>
      <c r="H8248">
        <v>1</v>
      </c>
      <c r="I8248">
        <v>283</v>
      </c>
      <c r="J8248">
        <v>0</v>
      </c>
      <c r="K8248" t="str">
        <f t="shared" si="1486"/>
        <v>809</v>
      </c>
      <c r="L8248">
        <v>416.01</v>
      </c>
    </row>
    <row r="8249" spans="1:12" x14ac:dyDescent="0.25">
      <c r="A8249" t="str">
        <f t="shared" si="1475"/>
        <v>89301000</v>
      </c>
      <c r="B8249" t="str">
        <f t="shared" si="1484"/>
        <v>89383000</v>
      </c>
      <c r="C8249" t="str">
        <f t="shared" si="1485"/>
        <v>89383002</v>
      </c>
      <c r="D8249">
        <v>89301212</v>
      </c>
      <c r="E8249" t="str">
        <f>"6561210975"</f>
        <v>6561210975</v>
      </c>
      <c r="F8249" s="1">
        <v>45110</v>
      </c>
      <c r="G8249" t="str">
        <f>"89513"</f>
        <v>89513</v>
      </c>
      <c r="H8249">
        <v>1</v>
      </c>
      <c r="I8249">
        <v>378</v>
      </c>
      <c r="J8249">
        <v>0</v>
      </c>
      <c r="K8249" t="str">
        <f t="shared" si="1486"/>
        <v>809</v>
      </c>
      <c r="L8249">
        <v>555.66</v>
      </c>
    </row>
    <row r="8250" spans="1:12" x14ac:dyDescent="0.25">
      <c r="A8250" t="str">
        <f t="shared" si="1475"/>
        <v>89301000</v>
      </c>
      <c r="B8250" t="str">
        <f t="shared" si="1484"/>
        <v>89383000</v>
      </c>
      <c r="C8250" t="str">
        <f t="shared" si="1485"/>
        <v>89383002</v>
      </c>
      <c r="D8250">
        <v>89301212</v>
      </c>
      <c r="E8250" t="str">
        <f>"6561210975"</f>
        <v>6561210975</v>
      </c>
      <c r="F8250" s="1">
        <v>45110</v>
      </c>
      <c r="G8250" t="str">
        <f>"89514"</f>
        <v>89514</v>
      </c>
      <c r="H8250">
        <v>1</v>
      </c>
      <c r="I8250">
        <v>378</v>
      </c>
      <c r="J8250">
        <v>0</v>
      </c>
      <c r="K8250" t="str">
        <f t="shared" si="1486"/>
        <v>809</v>
      </c>
      <c r="L8250">
        <v>555.66</v>
      </c>
    </row>
    <row r="8251" spans="1:12" x14ac:dyDescent="0.25">
      <c r="A8251" t="str">
        <f t="shared" si="1475"/>
        <v>89301000</v>
      </c>
      <c r="B8251" t="str">
        <f t="shared" si="1484"/>
        <v>89383000</v>
      </c>
      <c r="C8251" t="str">
        <f t="shared" si="1485"/>
        <v>89383002</v>
      </c>
      <c r="D8251">
        <v>89301212</v>
      </c>
      <c r="E8251" t="str">
        <f>"5853191289"</f>
        <v>5853191289</v>
      </c>
      <c r="F8251" s="1">
        <v>45110</v>
      </c>
      <c r="G8251" t="str">
        <f>"89512"</f>
        <v>89512</v>
      </c>
      <c r="H8251">
        <v>1</v>
      </c>
      <c r="I8251">
        <v>283</v>
      </c>
      <c r="J8251">
        <v>0</v>
      </c>
      <c r="K8251" t="str">
        <f t="shared" si="1486"/>
        <v>809</v>
      </c>
      <c r="L8251">
        <v>416.01</v>
      </c>
    </row>
    <row r="8252" spans="1:12" x14ac:dyDescent="0.25">
      <c r="A8252" t="str">
        <f t="shared" si="1475"/>
        <v>89301000</v>
      </c>
      <c r="B8252" t="str">
        <f t="shared" si="1484"/>
        <v>89383000</v>
      </c>
      <c r="C8252" t="str">
        <f t="shared" si="1485"/>
        <v>89383002</v>
      </c>
      <c r="D8252">
        <v>89301292</v>
      </c>
      <c r="E8252" t="str">
        <f>"7158265334"</f>
        <v>7158265334</v>
      </c>
      <c r="F8252" s="1">
        <v>45111</v>
      </c>
      <c r="G8252" t="str">
        <f>"89512"</f>
        <v>89512</v>
      </c>
      <c r="H8252">
        <v>1</v>
      </c>
      <c r="I8252">
        <v>283</v>
      </c>
      <c r="J8252">
        <v>0</v>
      </c>
      <c r="K8252" t="str">
        <f t="shared" si="1486"/>
        <v>809</v>
      </c>
      <c r="L8252">
        <v>416.01</v>
      </c>
    </row>
    <row r="8253" spans="1:12" x14ac:dyDescent="0.25">
      <c r="A8253" t="str">
        <f t="shared" si="1475"/>
        <v>89301000</v>
      </c>
      <c r="B8253" t="str">
        <f t="shared" si="1484"/>
        <v>89383000</v>
      </c>
      <c r="C8253" t="str">
        <f t="shared" si="1485"/>
        <v>89383002</v>
      </c>
      <c r="D8253">
        <v>89301215</v>
      </c>
      <c r="E8253" t="str">
        <f>"455613406"</f>
        <v>455613406</v>
      </c>
      <c r="F8253" s="1">
        <v>45114</v>
      </c>
      <c r="G8253" t="str">
        <f>"89513"</f>
        <v>89513</v>
      </c>
      <c r="H8253">
        <v>1</v>
      </c>
      <c r="I8253">
        <v>378</v>
      </c>
      <c r="J8253">
        <v>0</v>
      </c>
      <c r="K8253" t="str">
        <f t="shared" si="1486"/>
        <v>809</v>
      </c>
      <c r="L8253">
        <v>555.66</v>
      </c>
    </row>
    <row r="8254" spans="1:12" x14ac:dyDescent="0.25">
      <c r="A8254" t="str">
        <f t="shared" si="1475"/>
        <v>89301000</v>
      </c>
      <c r="B8254" t="str">
        <f t="shared" si="1484"/>
        <v>89383000</v>
      </c>
      <c r="C8254" t="str">
        <f t="shared" si="1485"/>
        <v>89383002</v>
      </c>
      <c r="D8254">
        <v>89301215</v>
      </c>
      <c r="E8254" t="str">
        <f>"455613406"</f>
        <v>455613406</v>
      </c>
      <c r="F8254" s="1">
        <v>45114</v>
      </c>
      <c r="G8254" t="str">
        <f>"89514"</f>
        <v>89514</v>
      </c>
      <c r="H8254">
        <v>1</v>
      </c>
      <c r="I8254">
        <v>378</v>
      </c>
      <c r="J8254">
        <v>0</v>
      </c>
      <c r="K8254" t="str">
        <f t="shared" si="1486"/>
        <v>809</v>
      </c>
      <c r="L8254">
        <v>555.66</v>
      </c>
    </row>
    <row r="8255" spans="1:12" x14ac:dyDescent="0.25">
      <c r="A8255" t="str">
        <f t="shared" si="1475"/>
        <v>89301000</v>
      </c>
      <c r="B8255" t="str">
        <f t="shared" si="1484"/>
        <v>89383000</v>
      </c>
      <c r="C8255" t="str">
        <f t="shared" si="1485"/>
        <v>89383002</v>
      </c>
      <c r="D8255">
        <v>89301212</v>
      </c>
      <c r="E8255" t="str">
        <f>"7357174473"</f>
        <v>7357174473</v>
      </c>
      <c r="F8255" s="1">
        <v>45114</v>
      </c>
      <c r="G8255" t="str">
        <f>"89180"</f>
        <v>89180</v>
      </c>
      <c r="H8255">
        <v>2</v>
      </c>
      <c r="I8255">
        <v>762</v>
      </c>
      <c r="J8255">
        <v>0</v>
      </c>
      <c r="K8255" t="str">
        <f t="shared" si="1486"/>
        <v>809</v>
      </c>
      <c r="L8255">
        <v>1120.1400000000001</v>
      </c>
    </row>
    <row r="8256" spans="1:12" x14ac:dyDescent="0.25">
      <c r="A8256" t="str">
        <f t="shared" si="1475"/>
        <v>89301000</v>
      </c>
      <c r="B8256" t="str">
        <f t="shared" si="1484"/>
        <v>89383000</v>
      </c>
      <c r="C8256" t="str">
        <f t="shared" si="1485"/>
        <v>89383002</v>
      </c>
      <c r="D8256">
        <v>89301212</v>
      </c>
      <c r="E8256" t="str">
        <f>"7357174473"</f>
        <v>7357174473</v>
      </c>
      <c r="F8256" s="1">
        <v>45114</v>
      </c>
      <c r="G8256" t="str">
        <f>"89512"</f>
        <v>89512</v>
      </c>
      <c r="H8256">
        <v>1</v>
      </c>
      <c r="I8256">
        <v>283</v>
      </c>
      <c r="J8256">
        <v>0</v>
      </c>
      <c r="K8256" t="str">
        <f t="shared" si="1486"/>
        <v>809</v>
      </c>
      <c r="L8256">
        <v>416.01</v>
      </c>
    </row>
    <row r="8257" spans="1:12" x14ac:dyDescent="0.25">
      <c r="A8257" t="str">
        <f t="shared" si="1475"/>
        <v>89301000</v>
      </c>
      <c r="B8257" t="str">
        <f t="shared" si="1484"/>
        <v>89383000</v>
      </c>
      <c r="C8257" t="str">
        <f t="shared" si="1485"/>
        <v>89383002</v>
      </c>
      <c r="D8257">
        <v>89301212</v>
      </c>
      <c r="E8257" t="str">
        <f>"7357174473"</f>
        <v>7357174473</v>
      </c>
      <c r="F8257" s="1">
        <v>45114</v>
      </c>
      <c r="G8257" t="str">
        <f>"89513"</f>
        <v>89513</v>
      </c>
      <c r="H8257">
        <v>1</v>
      </c>
      <c r="I8257">
        <v>378</v>
      </c>
      <c r="J8257">
        <v>0</v>
      </c>
      <c r="K8257" t="str">
        <f t="shared" si="1486"/>
        <v>809</v>
      </c>
      <c r="L8257">
        <v>555.66</v>
      </c>
    </row>
    <row r="8258" spans="1:12" x14ac:dyDescent="0.25">
      <c r="A8258" t="str">
        <f t="shared" ref="A8258:A8321" si="1487">"89301000"</f>
        <v>89301000</v>
      </c>
      <c r="B8258" t="str">
        <f t="shared" si="1484"/>
        <v>89383000</v>
      </c>
      <c r="C8258" t="str">
        <f t="shared" si="1485"/>
        <v>89383002</v>
      </c>
      <c r="D8258">
        <v>89301212</v>
      </c>
      <c r="E8258" t="str">
        <f>"7357174473"</f>
        <v>7357174473</v>
      </c>
      <c r="F8258" s="1">
        <v>45114</v>
      </c>
      <c r="G8258" t="str">
        <f>"89514"</f>
        <v>89514</v>
      </c>
      <c r="H8258">
        <v>1</v>
      </c>
      <c r="I8258">
        <v>378</v>
      </c>
      <c r="J8258">
        <v>0</v>
      </c>
      <c r="K8258" t="str">
        <f t="shared" si="1486"/>
        <v>809</v>
      </c>
      <c r="L8258">
        <v>555.66</v>
      </c>
    </row>
    <row r="8259" spans="1:12" x14ac:dyDescent="0.25">
      <c r="A8259" t="str">
        <f t="shared" si="1487"/>
        <v>89301000</v>
      </c>
      <c r="B8259" t="str">
        <f t="shared" si="1484"/>
        <v>89383000</v>
      </c>
      <c r="C8259" t="str">
        <f t="shared" si="1485"/>
        <v>89383002</v>
      </c>
      <c r="D8259">
        <v>89301212</v>
      </c>
      <c r="E8259" t="str">
        <f>"7158045323"</f>
        <v>7158045323</v>
      </c>
      <c r="F8259" s="1">
        <v>45114</v>
      </c>
      <c r="G8259" t="str">
        <f>"89513"</f>
        <v>89513</v>
      </c>
      <c r="H8259">
        <v>1</v>
      </c>
      <c r="I8259">
        <v>378</v>
      </c>
      <c r="J8259">
        <v>0</v>
      </c>
      <c r="K8259" t="str">
        <f t="shared" si="1486"/>
        <v>809</v>
      </c>
      <c r="L8259">
        <v>555.66</v>
      </c>
    </row>
    <row r="8260" spans="1:12" x14ac:dyDescent="0.25">
      <c r="A8260" t="str">
        <f t="shared" si="1487"/>
        <v>89301000</v>
      </c>
      <c r="B8260" t="str">
        <f t="shared" si="1484"/>
        <v>89383000</v>
      </c>
      <c r="C8260" t="str">
        <f t="shared" si="1485"/>
        <v>89383002</v>
      </c>
      <c r="D8260">
        <v>89301212</v>
      </c>
      <c r="E8260" t="str">
        <f>"7158045323"</f>
        <v>7158045323</v>
      </c>
      <c r="F8260" s="1">
        <v>45114</v>
      </c>
      <c r="G8260" t="str">
        <f>"89514"</f>
        <v>89514</v>
      </c>
      <c r="H8260">
        <v>1</v>
      </c>
      <c r="I8260">
        <v>378</v>
      </c>
      <c r="J8260">
        <v>0</v>
      </c>
      <c r="K8260" t="str">
        <f t="shared" si="1486"/>
        <v>809</v>
      </c>
      <c r="L8260">
        <v>555.66</v>
      </c>
    </row>
    <row r="8261" spans="1:12" x14ac:dyDescent="0.25">
      <c r="A8261" t="str">
        <f t="shared" si="1487"/>
        <v>89301000</v>
      </c>
      <c r="B8261" t="str">
        <f t="shared" si="1484"/>
        <v>89383000</v>
      </c>
      <c r="C8261" t="str">
        <f t="shared" si="1485"/>
        <v>89383002</v>
      </c>
      <c r="D8261">
        <v>89301045</v>
      </c>
      <c r="E8261" t="str">
        <f>"8756255365"</f>
        <v>8756255365</v>
      </c>
      <c r="F8261" s="1">
        <v>45117</v>
      </c>
      <c r="G8261" t="str">
        <f>"89512"</f>
        <v>89512</v>
      </c>
      <c r="H8261">
        <v>1</v>
      </c>
      <c r="I8261">
        <v>283</v>
      </c>
      <c r="J8261">
        <v>0</v>
      </c>
      <c r="K8261" t="str">
        <f t="shared" si="1486"/>
        <v>809</v>
      </c>
      <c r="L8261">
        <v>416.01</v>
      </c>
    </row>
    <row r="8262" spans="1:12" x14ac:dyDescent="0.25">
      <c r="A8262" t="str">
        <f t="shared" si="1487"/>
        <v>89301000</v>
      </c>
      <c r="B8262" t="str">
        <f t="shared" si="1484"/>
        <v>89383000</v>
      </c>
      <c r="C8262" t="str">
        <f t="shared" si="1485"/>
        <v>89383002</v>
      </c>
      <c r="D8262">
        <v>89301215</v>
      </c>
      <c r="E8262" t="str">
        <f>"6457071071"</f>
        <v>6457071071</v>
      </c>
      <c r="F8262" s="1">
        <v>45118</v>
      </c>
      <c r="G8262" t="str">
        <f>"89513"</f>
        <v>89513</v>
      </c>
      <c r="H8262">
        <v>1</v>
      </c>
      <c r="I8262">
        <v>378</v>
      </c>
      <c r="J8262">
        <v>0</v>
      </c>
      <c r="K8262" t="str">
        <f t="shared" si="1486"/>
        <v>809</v>
      </c>
      <c r="L8262">
        <v>555.66</v>
      </c>
    </row>
    <row r="8263" spans="1:12" x14ac:dyDescent="0.25">
      <c r="A8263" t="str">
        <f t="shared" si="1487"/>
        <v>89301000</v>
      </c>
      <c r="B8263" t="str">
        <f t="shared" si="1484"/>
        <v>89383000</v>
      </c>
      <c r="C8263" t="str">
        <f t="shared" si="1485"/>
        <v>89383002</v>
      </c>
      <c r="D8263">
        <v>89301215</v>
      </c>
      <c r="E8263" t="str">
        <f>"6457071071"</f>
        <v>6457071071</v>
      </c>
      <c r="F8263" s="1">
        <v>45118</v>
      </c>
      <c r="G8263" t="str">
        <f>"89514"</f>
        <v>89514</v>
      </c>
      <c r="H8263">
        <v>1</v>
      </c>
      <c r="I8263">
        <v>378</v>
      </c>
      <c r="J8263">
        <v>0</v>
      </c>
      <c r="K8263" t="str">
        <f t="shared" si="1486"/>
        <v>809</v>
      </c>
      <c r="L8263">
        <v>555.66</v>
      </c>
    </row>
    <row r="8264" spans="1:12" x14ac:dyDescent="0.25">
      <c r="A8264" t="str">
        <f t="shared" si="1487"/>
        <v>89301000</v>
      </c>
      <c r="B8264" t="str">
        <f t="shared" si="1484"/>
        <v>89383000</v>
      </c>
      <c r="C8264" t="str">
        <f t="shared" si="1485"/>
        <v>89383002</v>
      </c>
      <c r="D8264">
        <v>89301212</v>
      </c>
      <c r="E8264" t="str">
        <f>"6551030948"</f>
        <v>6551030948</v>
      </c>
      <c r="F8264" s="1">
        <v>45120</v>
      </c>
      <c r="G8264" t="str">
        <f>"89512"</f>
        <v>89512</v>
      </c>
      <c r="H8264">
        <v>1</v>
      </c>
      <c r="I8264">
        <v>283</v>
      </c>
      <c r="J8264">
        <v>0</v>
      </c>
      <c r="K8264" t="str">
        <f t="shared" si="1486"/>
        <v>809</v>
      </c>
      <c r="L8264">
        <v>416.01</v>
      </c>
    </row>
    <row r="8265" spans="1:12" x14ac:dyDescent="0.25">
      <c r="A8265" t="str">
        <f t="shared" si="1487"/>
        <v>89301000</v>
      </c>
      <c r="B8265" t="str">
        <f t="shared" si="1484"/>
        <v>89383000</v>
      </c>
      <c r="C8265" t="str">
        <f t="shared" si="1485"/>
        <v>89383002</v>
      </c>
      <c r="D8265">
        <v>89301212</v>
      </c>
      <c r="E8265" t="str">
        <f>"475410445"</f>
        <v>475410445</v>
      </c>
      <c r="F8265" s="1">
        <v>45120</v>
      </c>
      <c r="G8265" t="str">
        <f>"89513"</f>
        <v>89513</v>
      </c>
      <c r="H8265">
        <v>1</v>
      </c>
      <c r="I8265">
        <v>378</v>
      </c>
      <c r="J8265">
        <v>0</v>
      </c>
      <c r="K8265" t="str">
        <f t="shared" si="1486"/>
        <v>809</v>
      </c>
      <c r="L8265">
        <v>555.66</v>
      </c>
    </row>
    <row r="8266" spans="1:12" x14ac:dyDescent="0.25">
      <c r="A8266" t="str">
        <f t="shared" si="1487"/>
        <v>89301000</v>
      </c>
      <c r="B8266" t="str">
        <f t="shared" si="1484"/>
        <v>89383000</v>
      </c>
      <c r="C8266" t="str">
        <f t="shared" si="1485"/>
        <v>89383002</v>
      </c>
      <c r="D8266">
        <v>89301212</v>
      </c>
      <c r="E8266" t="str">
        <f>"475410445"</f>
        <v>475410445</v>
      </c>
      <c r="F8266" s="1">
        <v>45120</v>
      </c>
      <c r="G8266" t="str">
        <f>"89514"</f>
        <v>89514</v>
      </c>
      <c r="H8266">
        <v>1</v>
      </c>
      <c r="I8266">
        <v>378</v>
      </c>
      <c r="J8266">
        <v>0</v>
      </c>
      <c r="K8266" t="str">
        <f t="shared" si="1486"/>
        <v>809</v>
      </c>
      <c r="L8266">
        <v>555.66</v>
      </c>
    </row>
    <row r="8267" spans="1:12" x14ac:dyDescent="0.25">
      <c r="A8267" t="str">
        <f t="shared" si="1487"/>
        <v>89301000</v>
      </c>
      <c r="B8267" t="str">
        <f t="shared" si="1484"/>
        <v>89383000</v>
      </c>
      <c r="C8267" t="str">
        <f t="shared" si="1485"/>
        <v>89383002</v>
      </c>
      <c r="D8267">
        <v>89301292</v>
      </c>
      <c r="E8267" t="str">
        <f>"0455023228"</f>
        <v>0455023228</v>
      </c>
      <c r="F8267" s="1">
        <v>45120</v>
      </c>
      <c r="G8267" t="str">
        <f>"89512"</f>
        <v>89512</v>
      </c>
      <c r="H8267">
        <v>1</v>
      </c>
      <c r="I8267">
        <v>283</v>
      </c>
      <c r="J8267">
        <v>0</v>
      </c>
      <c r="K8267" t="str">
        <f t="shared" si="1486"/>
        <v>809</v>
      </c>
      <c r="L8267">
        <v>416.01</v>
      </c>
    </row>
    <row r="8268" spans="1:12" x14ac:dyDescent="0.25">
      <c r="A8268" t="str">
        <f t="shared" si="1487"/>
        <v>89301000</v>
      </c>
      <c r="B8268" t="str">
        <f t="shared" si="1484"/>
        <v>89383000</v>
      </c>
      <c r="C8268" t="str">
        <f t="shared" si="1485"/>
        <v>89383002</v>
      </c>
      <c r="D8268">
        <v>89301212</v>
      </c>
      <c r="E8268" t="str">
        <f>"8659135771"</f>
        <v>8659135771</v>
      </c>
      <c r="F8268" s="1">
        <v>45121</v>
      </c>
      <c r="G8268" t="str">
        <f>"89180"</f>
        <v>89180</v>
      </c>
      <c r="H8268">
        <v>2</v>
      </c>
      <c r="I8268">
        <v>762</v>
      </c>
      <c r="J8268">
        <v>0</v>
      </c>
      <c r="K8268" t="str">
        <f t="shared" si="1486"/>
        <v>809</v>
      </c>
      <c r="L8268">
        <v>1120.1400000000001</v>
      </c>
    </row>
    <row r="8269" spans="1:12" x14ac:dyDescent="0.25">
      <c r="A8269" t="str">
        <f t="shared" si="1487"/>
        <v>89301000</v>
      </c>
      <c r="B8269" t="str">
        <f t="shared" si="1484"/>
        <v>89383000</v>
      </c>
      <c r="C8269" t="str">
        <f t="shared" si="1485"/>
        <v>89383002</v>
      </c>
      <c r="D8269">
        <v>89301212</v>
      </c>
      <c r="E8269" t="str">
        <f>"8659135771"</f>
        <v>8659135771</v>
      </c>
      <c r="F8269" s="1">
        <v>45121</v>
      </c>
      <c r="G8269" t="str">
        <f>"89512"</f>
        <v>89512</v>
      </c>
      <c r="H8269">
        <v>1</v>
      </c>
      <c r="I8269">
        <v>283</v>
      </c>
      <c r="J8269">
        <v>0</v>
      </c>
      <c r="K8269" t="str">
        <f t="shared" si="1486"/>
        <v>809</v>
      </c>
      <c r="L8269">
        <v>416.01</v>
      </c>
    </row>
    <row r="8270" spans="1:12" x14ac:dyDescent="0.25">
      <c r="A8270" t="str">
        <f t="shared" si="1487"/>
        <v>89301000</v>
      </c>
      <c r="B8270" t="str">
        <f t="shared" si="1484"/>
        <v>89383000</v>
      </c>
      <c r="C8270" t="str">
        <f t="shared" si="1485"/>
        <v>89383002</v>
      </c>
      <c r="D8270">
        <v>89301212</v>
      </c>
      <c r="E8270" t="str">
        <f>"8659135771"</f>
        <v>8659135771</v>
      </c>
      <c r="F8270" s="1">
        <v>45121</v>
      </c>
      <c r="G8270" t="str">
        <f>"89513"</f>
        <v>89513</v>
      </c>
      <c r="H8270">
        <v>1</v>
      </c>
      <c r="I8270">
        <v>378</v>
      </c>
      <c r="J8270">
        <v>0</v>
      </c>
      <c r="K8270" t="str">
        <f t="shared" si="1486"/>
        <v>809</v>
      </c>
      <c r="L8270">
        <v>555.66</v>
      </c>
    </row>
    <row r="8271" spans="1:12" x14ac:dyDescent="0.25">
      <c r="A8271" t="str">
        <f t="shared" si="1487"/>
        <v>89301000</v>
      </c>
      <c r="B8271" t="str">
        <f t="shared" si="1484"/>
        <v>89383000</v>
      </c>
      <c r="C8271" t="str">
        <f t="shared" si="1485"/>
        <v>89383002</v>
      </c>
      <c r="D8271">
        <v>89301212</v>
      </c>
      <c r="E8271" t="str">
        <f>"8659135771"</f>
        <v>8659135771</v>
      </c>
      <c r="F8271" s="1">
        <v>45121</v>
      </c>
      <c r="G8271" t="str">
        <f>"89514"</f>
        <v>89514</v>
      </c>
      <c r="H8271">
        <v>1</v>
      </c>
      <c r="I8271">
        <v>378</v>
      </c>
      <c r="J8271">
        <v>0</v>
      </c>
      <c r="K8271" t="str">
        <f t="shared" si="1486"/>
        <v>809</v>
      </c>
      <c r="L8271">
        <v>555.66</v>
      </c>
    </row>
    <row r="8272" spans="1:12" x14ac:dyDescent="0.25">
      <c r="A8272" t="str">
        <f t="shared" si="1487"/>
        <v>89301000</v>
      </c>
      <c r="B8272" t="str">
        <f t="shared" si="1484"/>
        <v>89383000</v>
      </c>
      <c r="C8272" t="str">
        <f t="shared" si="1485"/>
        <v>89383002</v>
      </c>
      <c r="D8272">
        <v>89301212</v>
      </c>
      <c r="E8272" t="str">
        <f>"7557274461"</f>
        <v>7557274461</v>
      </c>
      <c r="F8272" s="1">
        <v>45124</v>
      </c>
      <c r="G8272" t="str">
        <f>"89513"</f>
        <v>89513</v>
      </c>
      <c r="H8272">
        <v>1</v>
      </c>
      <c r="I8272">
        <v>378</v>
      </c>
      <c r="J8272">
        <v>0</v>
      </c>
      <c r="K8272" t="str">
        <f t="shared" si="1486"/>
        <v>809</v>
      </c>
      <c r="L8272">
        <v>555.66</v>
      </c>
    </row>
    <row r="8273" spans="1:12" x14ac:dyDescent="0.25">
      <c r="A8273" t="str">
        <f t="shared" si="1487"/>
        <v>89301000</v>
      </c>
      <c r="B8273" t="str">
        <f t="shared" si="1484"/>
        <v>89383000</v>
      </c>
      <c r="C8273" t="str">
        <f t="shared" si="1485"/>
        <v>89383002</v>
      </c>
      <c r="D8273">
        <v>89301212</v>
      </c>
      <c r="E8273" t="str">
        <f>"7557274461"</f>
        <v>7557274461</v>
      </c>
      <c r="F8273" s="1">
        <v>45124</v>
      </c>
      <c r="G8273" t="str">
        <f>"89514"</f>
        <v>89514</v>
      </c>
      <c r="H8273">
        <v>1</v>
      </c>
      <c r="I8273">
        <v>378</v>
      </c>
      <c r="J8273">
        <v>0</v>
      </c>
      <c r="K8273" t="str">
        <f t="shared" si="1486"/>
        <v>809</v>
      </c>
      <c r="L8273">
        <v>555.66</v>
      </c>
    </row>
    <row r="8274" spans="1:12" x14ac:dyDescent="0.25">
      <c r="A8274" t="str">
        <f t="shared" si="1487"/>
        <v>89301000</v>
      </c>
      <c r="B8274" t="str">
        <f t="shared" si="1484"/>
        <v>89383000</v>
      </c>
      <c r="C8274" t="str">
        <f t="shared" si="1485"/>
        <v>89383002</v>
      </c>
      <c r="D8274">
        <v>89301042</v>
      </c>
      <c r="E8274" t="str">
        <f>"7256244556"</f>
        <v>7256244556</v>
      </c>
      <c r="F8274" s="1">
        <v>45124</v>
      </c>
      <c r="G8274" t="str">
        <f>"89512"</f>
        <v>89512</v>
      </c>
      <c r="H8274">
        <v>1</v>
      </c>
      <c r="I8274">
        <v>283</v>
      </c>
      <c r="J8274">
        <v>0</v>
      </c>
      <c r="K8274" t="str">
        <f t="shared" si="1486"/>
        <v>809</v>
      </c>
      <c r="L8274">
        <v>416.01</v>
      </c>
    </row>
    <row r="8275" spans="1:12" x14ac:dyDescent="0.25">
      <c r="A8275" t="str">
        <f t="shared" si="1487"/>
        <v>89301000</v>
      </c>
      <c r="B8275" t="str">
        <f t="shared" si="1484"/>
        <v>89383000</v>
      </c>
      <c r="C8275" t="str">
        <f t="shared" si="1485"/>
        <v>89383002</v>
      </c>
      <c r="D8275">
        <v>89301045</v>
      </c>
      <c r="E8275" t="str">
        <f>"5660031960"</f>
        <v>5660031960</v>
      </c>
      <c r="F8275" s="1">
        <v>45124</v>
      </c>
      <c r="G8275" t="str">
        <f>"89512"</f>
        <v>89512</v>
      </c>
      <c r="H8275">
        <v>1</v>
      </c>
      <c r="I8275">
        <v>283</v>
      </c>
      <c r="J8275">
        <v>0</v>
      </c>
      <c r="K8275" t="str">
        <f t="shared" si="1486"/>
        <v>809</v>
      </c>
      <c r="L8275">
        <v>416.01</v>
      </c>
    </row>
    <row r="8276" spans="1:12" x14ac:dyDescent="0.25">
      <c r="A8276" t="str">
        <f t="shared" si="1487"/>
        <v>89301000</v>
      </c>
      <c r="B8276" t="str">
        <f t="shared" si="1484"/>
        <v>89383000</v>
      </c>
      <c r="C8276" t="str">
        <f t="shared" si="1485"/>
        <v>89383002</v>
      </c>
      <c r="D8276">
        <v>89301045</v>
      </c>
      <c r="E8276" t="str">
        <f t="shared" ref="E8276:E8281" si="1488">"385824428"</f>
        <v>385824428</v>
      </c>
      <c r="F8276" s="1">
        <v>45126</v>
      </c>
      <c r="G8276" t="str">
        <f>"89313"</f>
        <v>89313</v>
      </c>
      <c r="H8276">
        <v>1</v>
      </c>
      <c r="I8276">
        <v>420</v>
      </c>
      <c r="J8276">
        <v>0</v>
      </c>
      <c r="K8276" t="str">
        <f t="shared" si="1486"/>
        <v>809</v>
      </c>
      <c r="L8276">
        <v>617.4</v>
      </c>
    </row>
    <row r="8277" spans="1:12" x14ac:dyDescent="0.25">
      <c r="A8277" t="str">
        <f t="shared" si="1487"/>
        <v>89301000</v>
      </c>
      <c r="B8277" t="str">
        <f t="shared" si="1484"/>
        <v>89383000</v>
      </c>
      <c r="C8277" t="str">
        <f t="shared" si="1485"/>
        <v>89383002</v>
      </c>
      <c r="D8277">
        <v>89301045</v>
      </c>
      <c r="E8277" t="str">
        <f t="shared" si="1488"/>
        <v>385824428</v>
      </c>
      <c r="F8277" s="1">
        <v>45126</v>
      </c>
      <c r="G8277" t="str">
        <f>"09233"</f>
        <v>09233</v>
      </c>
      <c r="H8277">
        <v>1</v>
      </c>
      <c r="I8277">
        <v>102</v>
      </c>
      <c r="J8277">
        <v>0</v>
      </c>
      <c r="K8277" t="str">
        <f t="shared" si="1486"/>
        <v>809</v>
      </c>
      <c r="L8277">
        <v>149.94</v>
      </c>
    </row>
    <row r="8278" spans="1:12" x14ac:dyDescent="0.25">
      <c r="A8278" t="str">
        <f t="shared" si="1487"/>
        <v>89301000</v>
      </c>
      <c r="B8278" t="str">
        <f t="shared" si="1484"/>
        <v>89383000</v>
      </c>
      <c r="C8278" t="str">
        <f t="shared" si="1485"/>
        <v>89383002</v>
      </c>
      <c r="D8278">
        <v>89301045</v>
      </c>
      <c r="E8278" t="str">
        <f t="shared" si="1488"/>
        <v>385824428</v>
      </c>
      <c r="F8278" s="1">
        <v>45126</v>
      </c>
      <c r="G8278" t="str">
        <f>"89515"</f>
        <v>89515</v>
      </c>
      <c r="H8278">
        <v>1</v>
      </c>
      <c r="I8278">
        <v>347</v>
      </c>
      <c r="J8278">
        <v>0</v>
      </c>
      <c r="K8278" t="str">
        <f t="shared" si="1486"/>
        <v>809</v>
      </c>
      <c r="L8278">
        <v>510.09</v>
      </c>
    </row>
    <row r="8279" spans="1:12" x14ac:dyDescent="0.25">
      <c r="A8279" t="str">
        <f t="shared" si="1487"/>
        <v>89301000</v>
      </c>
      <c r="B8279" t="str">
        <f t="shared" ref="B8279:B8304" si="1489">"89383000"</f>
        <v>89383000</v>
      </c>
      <c r="C8279" t="str">
        <f t="shared" ref="C8279:C8304" si="1490">"89383002"</f>
        <v>89383002</v>
      </c>
      <c r="D8279">
        <v>89301045</v>
      </c>
      <c r="E8279" t="str">
        <f t="shared" si="1488"/>
        <v>385824428</v>
      </c>
      <c r="F8279" s="1">
        <v>45126</v>
      </c>
      <c r="G8279" t="str">
        <f>"89512"</f>
        <v>89512</v>
      </c>
      <c r="H8279">
        <v>1</v>
      </c>
      <c r="I8279">
        <v>283</v>
      </c>
      <c r="J8279">
        <v>0</v>
      </c>
      <c r="K8279" t="str">
        <f t="shared" ref="K8279:K8308" si="1491">"809"</f>
        <v>809</v>
      </c>
      <c r="L8279">
        <v>416.01</v>
      </c>
    </row>
    <row r="8280" spans="1:12" x14ac:dyDescent="0.25">
      <c r="A8280" t="str">
        <f t="shared" si="1487"/>
        <v>89301000</v>
      </c>
      <c r="B8280" t="str">
        <f t="shared" si="1489"/>
        <v>89383000</v>
      </c>
      <c r="C8280" t="str">
        <f t="shared" si="1490"/>
        <v>89383002</v>
      </c>
      <c r="D8280">
        <v>89301045</v>
      </c>
      <c r="E8280" t="str">
        <f t="shared" si="1488"/>
        <v>385824428</v>
      </c>
      <c r="F8280" s="1">
        <v>45126</v>
      </c>
      <c r="G8280" t="str">
        <f>"0093109"</f>
        <v>0093109</v>
      </c>
      <c r="H8280">
        <v>0.2</v>
      </c>
      <c r="J8280">
        <v>54.2</v>
      </c>
      <c r="K8280" t="str">
        <f t="shared" si="1491"/>
        <v>809</v>
      </c>
      <c r="L8280">
        <v>54.2</v>
      </c>
    </row>
    <row r="8281" spans="1:12" x14ac:dyDescent="0.25">
      <c r="A8281" t="str">
        <f t="shared" si="1487"/>
        <v>89301000</v>
      </c>
      <c r="B8281" t="str">
        <f t="shared" si="1489"/>
        <v>89383000</v>
      </c>
      <c r="C8281" t="str">
        <f t="shared" si="1490"/>
        <v>89383002</v>
      </c>
      <c r="D8281">
        <v>89301045</v>
      </c>
      <c r="E8281" t="str">
        <f t="shared" si="1488"/>
        <v>385824428</v>
      </c>
      <c r="F8281" s="1">
        <v>45126</v>
      </c>
      <c r="G8281" t="str">
        <f>"0142908"</f>
        <v>0142908</v>
      </c>
      <c r="H8281">
        <v>1</v>
      </c>
      <c r="J8281">
        <v>910</v>
      </c>
      <c r="K8281" t="str">
        <f t="shared" si="1491"/>
        <v>809</v>
      </c>
      <c r="L8281">
        <v>910</v>
      </c>
    </row>
    <row r="8282" spans="1:12" x14ac:dyDescent="0.25">
      <c r="A8282" t="str">
        <f t="shared" si="1487"/>
        <v>89301000</v>
      </c>
      <c r="B8282" t="str">
        <f t="shared" si="1489"/>
        <v>89383000</v>
      </c>
      <c r="C8282" t="str">
        <f t="shared" si="1490"/>
        <v>89383002</v>
      </c>
      <c r="D8282">
        <v>89301212</v>
      </c>
      <c r="E8282" t="str">
        <f>"346230122"</f>
        <v>346230122</v>
      </c>
      <c r="F8282" s="1">
        <v>45126</v>
      </c>
      <c r="G8282" t="str">
        <f>"89512"</f>
        <v>89512</v>
      </c>
      <c r="H8282">
        <v>1</v>
      </c>
      <c r="I8282">
        <v>283</v>
      </c>
      <c r="J8282">
        <v>0</v>
      </c>
      <c r="K8282" t="str">
        <f t="shared" si="1491"/>
        <v>809</v>
      </c>
      <c r="L8282">
        <v>416.01</v>
      </c>
    </row>
    <row r="8283" spans="1:12" x14ac:dyDescent="0.25">
      <c r="A8283" t="str">
        <f t="shared" si="1487"/>
        <v>89301000</v>
      </c>
      <c r="B8283" t="str">
        <f t="shared" si="1489"/>
        <v>89383000</v>
      </c>
      <c r="C8283" t="str">
        <f t="shared" si="1490"/>
        <v>89383002</v>
      </c>
      <c r="D8283">
        <v>89301212</v>
      </c>
      <c r="E8283" t="str">
        <f>"346230122"</f>
        <v>346230122</v>
      </c>
      <c r="F8283" s="1">
        <v>45126</v>
      </c>
      <c r="G8283" t="str">
        <f>"89180"</f>
        <v>89180</v>
      </c>
      <c r="H8283">
        <v>1</v>
      </c>
      <c r="I8283">
        <v>381</v>
      </c>
      <c r="J8283">
        <v>0</v>
      </c>
      <c r="K8283" t="str">
        <f t="shared" si="1491"/>
        <v>809</v>
      </c>
      <c r="L8283">
        <v>560.07000000000005</v>
      </c>
    </row>
    <row r="8284" spans="1:12" x14ac:dyDescent="0.25">
      <c r="A8284" t="str">
        <f t="shared" si="1487"/>
        <v>89301000</v>
      </c>
      <c r="B8284" t="str">
        <f t="shared" si="1489"/>
        <v>89383000</v>
      </c>
      <c r="C8284" t="str">
        <f t="shared" si="1490"/>
        <v>89383002</v>
      </c>
      <c r="D8284">
        <v>89301212</v>
      </c>
      <c r="E8284" t="str">
        <f>"6356121695"</f>
        <v>6356121695</v>
      </c>
      <c r="F8284" s="1">
        <v>45128</v>
      </c>
      <c r="G8284" t="str">
        <f>"89512"</f>
        <v>89512</v>
      </c>
      <c r="H8284">
        <v>1</v>
      </c>
      <c r="I8284">
        <v>283</v>
      </c>
      <c r="J8284">
        <v>0</v>
      </c>
      <c r="K8284" t="str">
        <f t="shared" si="1491"/>
        <v>809</v>
      </c>
      <c r="L8284">
        <v>416.01</v>
      </c>
    </row>
    <row r="8285" spans="1:12" x14ac:dyDescent="0.25">
      <c r="A8285" t="str">
        <f t="shared" si="1487"/>
        <v>89301000</v>
      </c>
      <c r="B8285" t="str">
        <f t="shared" si="1489"/>
        <v>89383000</v>
      </c>
      <c r="C8285" t="str">
        <f t="shared" si="1490"/>
        <v>89383002</v>
      </c>
      <c r="D8285">
        <v>89301212</v>
      </c>
      <c r="E8285" t="str">
        <f>"6356121695"</f>
        <v>6356121695</v>
      </c>
      <c r="F8285" s="1">
        <v>45128</v>
      </c>
      <c r="G8285" t="str">
        <f>"89513"</f>
        <v>89513</v>
      </c>
      <c r="H8285">
        <v>1</v>
      </c>
      <c r="I8285">
        <v>378</v>
      </c>
      <c r="J8285">
        <v>0</v>
      </c>
      <c r="K8285" t="str">
        <f t="shared" si="1491"/>
        <v>809</v>
      </c>
      <c r="L8285">
        <v>555.66</v>
      </c>
    </row>
    <row r="8286" spans="1:12" x14ac:dyDescent="0.25">
      <c r="A8286" t="str">
        <f t="shared" si="1487"/>
        <v>89301000</v>
      </c>
      <c r="B8286" t="str">
        <f t="shared" si="1489"/>
        <v>89383000</v>
      </c>
      <c r="C8286" t="str">
        <f t="shared" si="1490"/>
        <v>89383002</v>
      </c>
      <c r="D8286">
        <v>89301212</v>
      </c>
      <c r="E8286" t="str">
        <f>"6356121695"</f>
        <v>6356121695</v>
      </c>
      <c r="F8286" s="1">
        <v>45128</v>
      </c>
      <c r="G8286" t="str">
        <f>"89514"</f>
        <v>89514</v>
      </c>
      <c r="H8286">
        <v>1</v>
      </c>
      <c r="I8286">
        <v>378</v>
      </c>
      <c r="J8286">
        <v>0</v>
      </c>
      <c r="K8286" t="str">
        <f t="shared" si="1491"/>
        <v>809</v>
      </c>
      <c r="L8286">
        <v>555.66</v>
      </c>
    </row>
    <row r="8287" spans="1:12" x14ac:dyDescent="0.25">
      <c r="A8287" t="str">
        <f t="shared" si="1487"/>
        <v>89301000</v>
      </c>
      <c r="B8287" t="str">
        <f t="shared" si="1489"/>
        <v>89383000</v>
      </c>
      <c r="C8287" t="str">
        <f t="shared" si="1490"/>
        <v>89383002</v>
      </c>
      <c r="D8287">
        <v>89301212</v>
      </c>
      <c r="E8287" t="str">
        <f>"7253095773"</f>
        <v>7253095773</v>
      </c>
      <c r="F8287" s="1">
        <v>45131</v>
      </c>
      <c r="G8287" t="str">
        <f>"89512"</f>
        <v>89512</v>
      </c>
      <c r="H8287">
        <v>1</v>
      </c>
      <c r="I8287">
        <v>283</v>
      </c>
      <c r="J8287">
        <v>0</v>
      </c>
      <c r="K8287" t="str">
        <f t="shared" si="1491"/>
        <v>809</v>
      </c>
      <c r="L8287">
        <v>416.01</v>
      </c>
    </row>
    <row r="8288" spans="1:12" x14ac:dyDescent="0.25">
      <c r="A8288" t="str">
        <f t="shared" si="1487"/>
        <v>89301000</v>
      </c>
      <c r="B8288" t="str">
        <f t="shared" si="1489"/>
        <v>89383000</v>
      </c>
      <c r="C8288" t="str">
        <f t="shared" si="1490"/>
        <v>89383002</v>
      </c>
      <c r="D8288">
        <v>89301045</v>
      </c>
      <c r="E8288" t="str">
        <f>"7260065318"</f>
        <v>7260065318</v>
      </c>
      <c r="F8288" s="1">
        <v>45131</v>
      </c>
      <c r="G8288" t="str">
        <f>"89512"</f>
        <v>89512</v>
      </c>
      <c r="H8288">
        <v>1</v>
      </c>
      <c r="I8288">
        <v>283</v>
      </c>
      <c r="J8288">
        <v>0</v>
      </c>
      <c r="K8288" t="str">
        <f t="shared" si="1491"/>
        <v>809</v>
      </c>
      <c r="L8288">
        <v>416.01</v>
      </c>
    </row>
    <row r="8289" spans="1:12" x14ac:dyDescent="0.25">
      <c r="A8289" t="str">
        <f t="shared" si="1487"/>
        <v>89301000</v>
      </c>
      <c r="B8289" t="str">
        <f t="shared" si="1489"/>
        <v>89383000</v>
      </c>
      <c r="C8289" t="str">
        <f t="shared" si="1490"/>
        <v>89383002</v>
      </c>
      <c r="D8289">
        <v>89301212</v>
      </c>
      <c r="E8289" t="str">
        <f>"6859081218"</f>
        <v>6859081218</v>
      </c>
      <c r="F8289" s="1">
        <v>45132</v>
      </c>
      <c r="G8289" t="str">
        <f>"89513"</f>
        <v>89513</v>
      </c>
      <c r="H8289">
        <v>1</v>
      </c>
      <c r="I8289">
        <v>378</v>
      </c>
      <c r="J8289">
        <v>0</v>
      </c>
      <c r="K8289" t="str">
        <f t="shared" si="1491"/>
        <v>809</v>
      </c>
      <c r="L8289">
        <v>555.66</v>
      </c>
    </row>
    <row r="8290" spans="1:12" x14ac:dyDescent="0.25">
      <c r="A8290" t="str">
        <f t="shared" si="1487"/>
        <v>89301000</v>
      </c>
      <c r="B8290" t="str">
        <f t="shared" si="1489"/>
        <v>89383000</v>
      </c>
      <c r="C8290" t="str">
        <f t="shared" si="1490"/>
        <v>89383002</v>
      </c>
      <c r="D8290">
        <v>89301212</v>
      </c>
      <c r="E8290" t="str">
        <f>"6859081218"</f>
        <v>6859081218</v>
      </c>
      <c r="F8290" s="1">
        <v>45132</v>
      </c>
      <c r="G8290" t="str">
        <f>"89514"</f>
        <v>89514</v>
      </c>
      <c r="H8290">
        <v>1</v>
      </c>
      <c r="I8290">
        <v>378</v>
      </c>
      <c r="J8290">
        <v>0</v>
      </c>
      <c r="K8290" t="str">
        <f t="shared" si="1491"/>
        <v>809</v>
      </c>
      <c r="L8290">
        <v>555.66</v>
      </c>
    </row>
    <row r="8291" spans="1:12" x14ac:dyDescent="0.25">
      <c r="A8291" t="str">
        <f t="shared" si="1487"/>
        <v>89301000</v>
      </c>
      <c r="B8291" t="str">
        <f t="shared" si="1489"/>
        <v>89383000</v>
      </c>
      <c r="C8291" t="str">
        <f t="shared" si="1490"/>
        <v>89383002</v>
      </c>
      <c r="D8291">
        <v>89301212</v>
      </c>
      <c r="E8291" t="str">
        <f>"6754050072"</f>
        <v>6754050072</v>
      </c>
      <c r="F8291" s="1">
        <v>45133</v>
      </c>
      <c r="G8291" t="str">
        <f>"89512"</f>
        <v>89512</v>
      </c>
      <c r="H8291">
        <v>1</v>
      </c>
      <c r="I8291">
        <v>283</v>
      </c>
      <c r="J8291">
        <v>0</v>
      </c>
      <c r="K8291" t="str">
        <f t="shared" si="1491"/>
        <v>809</v>
      </c>
      <c r="L8291">
        <v>416.01</v>
      </c>
    </row>
    <row r="8292" spans="1:12" x14ac:dyDescent="0.25">
      <c r="A8292" t="str">
        <f t="shared" si="1487"/>
        <v>89301000</v>
      </c>
      <c r="B8292" t="str">
        <f t="shared" si="1489"/>
        <v>89383000</v>
      </c>
      <c r="C8292" t="str">
        <f t="shared" si="1490"/>
        <v>89383002</v>
      </c>
      <c r="D8292">
        <v>89301212</v>
      </c>
      <c r="E8292" t="str">
        <f>"6754050072"</f>
        <v>6754050072</v>
      </c>
      <c r="F8292" s="1">
        <v>45133</v>
      </c>
      <c r="G8292" t="str">
        <f>"89513"</f>
        <v>89513</v>
      </c>
      <c r="H8292">
        <v>1</v>
      </c>
      <c r="I8292">
        <v>378</v>
      </c>
      <c r="J8292">
        <v>0</v>
      </c>
      <c r="K8292" t="str">
        <f t="shared" si="1491"/>
        <v>809</v>
      </c>
      <c r="L8292">
        <v>555.66</v>
      </c>
    </row>
    <row r="8293" spans="1:12" x14ac:dyDescent="0.25">
      <c r="A8293" t="str">
        <f t="shared" si="1487"/>
        <v>89301000</v>
      </c>
      <c r="B8293" t="str">
        <f t="shared" si="1489"/>
        <v>89383000</v>
      </c>
      <c r="C8293" t="str">
        <f t="shared" si="1490"/>
        <v>89383002</v>
      </c>
      <c r="D8293">
        <v>89301212</v>
      </c>
      <c r="E8293" t="str">
        <f>"6754050072"</f>
        <v>6754050072</v>
      </c>
      <c r="F8293" s="1">
        <v>45133</v>
      </c>
      <c r="G8293" t="str">
        <f>"89514"</f>
        <v>89514</v>
      </c>
      <c r="H8293">
        <v>1</v>
      </c>
      <c r="I8293">
        <v>378</v>
      </c>
      <c r="J8293">
        <v>0</v>
      </c>
      <c r="K8293" t="str">
        <f t="shared" si="1491"/>
        <v>809</v>
      </c>
      <c r="L8293">
        <v>555.66</v>
      </c>
    </row>
    <row r="8294" spans="1:12" x14ac:dyDescent="0.25">
      <c r="A8294" t="str">
        <f t="shared" si="1487"/>
        <v>89301000</v>
      </c>
      <c r="B8294" t="str">
        <f t="shared" si="1489"/>
        <v>89383000</v>
      </c>
      <c r="C8294" t="str">
        <f t="shared" si="1490"/>
        <v>89383002</v>
      </c>
      <c r="D8294">
        <v>89301212</v>
      </c>
      <c r="E8294" t="str">
        <f>"7253095773"</f>
        <v>7253095773</v>
      </c>
      <c r="F8294" s="1">
        <v>45132</v>
      </c>
      <c r="G8294" t="str">
        <f>"89512"</f>
        <v>89512</v>
      </c>
      <c r="H8294">
        <v>1</v>
      </c>
      <c r="I8294">
        <v>283</v>
      </c>
      <c r="J8294">
        <v>0</v>
      </c>
      <c r="K8294" t="str">
        <f t="shared" si="1491"/>
        <v>809</v>
      </c>
      <c r="L8294">
        <v>416.01</v>
      </c>
    </row>
    <row r="8295" spans="1:12" x14ac:dyDescent="0.25">
      <c r="A8295" t="str">
        <f t="shared" si="1487"/>
        <v>89301000</v>
      </c>
      <c r="B8295" t="str">
        <f t="shared" si="1489"/>
        <v>89383000</v>
      </c>
      <c r="C8295" t="str">
        <f t="shared" si="1490"/>
        <v>89383002</v>
      </c>
      <c r="D8295">
        <v>89301212</v>
      </c>
      <c r="E8295" t="str">
        <f>"7253095773"</f>
        <v>7253095773</v>
      </c>
      <c r="F8295" s="1">
        <v>45132</v>
      </c>
      <c r="G8295" t="str">
        <f>"89311"</f>
        <v>89311</v>
      </c>
      <c r="H8295">
        <v>1</v>
      </c>
      <c r="I8295">
        <v>970</v>
      </c>
      <c r="J8295">
        <v>0</v>
      </c>
      <c r="K8295" t="str">
        <f t="shared" si="1491"/>
        <v>809</v>
      </c>
      <c r="L8295">
        <v>1425.9</v>
      </c>
    </row>
    <row r="8296" spans="1:12" x14ac:dyDescent="0.25">
      <c r="A8296" t="str">
        <f t="shared" si="1487"/>
        <v>89301000</v>
      </c>
      <c r="B8296" t="str">
        <f t="shared" si="1489"/>
        <v>89383000</v>
      </c>
      <c r="C8296" t="str">
        <f t="shared" si="1490"/>
        <v>89383002</v>
      </c>
      <c r="D8296">
        <v>89301212</v>
      </c>
      <c r="E8296" t="str">
        <f>"7360265242"</f>
        <v>7360265242</v>
      </c>
      <c r="F8296" s="1">
        <v>45133</v>
      </c>
      <c r="G8296" t="str">
        <f>"89180"</f>
        <v>89180</v>
      </c>
      <c r="H8296">
        <v>2</v>
      </c>
      <c r="I8296">
        <v>762</v>
      </c>
      <c r="J8296">
        <v>0</v>
      </c>
      <c r="K8296" t="str">
        <f t="shared" si="1491"/>
        <v>809</v>
      </c>
      <c r="L8296">
        <v>1120.1400000000001</v>
      </c>
    </row>
    <row r="8297" spans="1:12" x14ac:dyDescent="0.25">
      <c r="A8297" t="str">
        <f t="shared" si="1487"/>
        <v>89301000</v>
      </c>
      <c r="B8297" t="str">
        <f t="shared" si="1489"/>
        <v>89383000</v>
      </c>
      <c r="C8297" t="str">
        <f t="shared" si="1490"/>
        <v>89383002</v>
      </c>
      <c r="D8297">
        <v>89301212</v>
      </c>
      <c r="E8297" t="str">
        <f>"7360265242"</f>
        <v>7360265242</v>
      </c>
      <c r="F8297" s="1">
        <v>45133</v>
      </c>
      <c r="G8297" t="str">
        <f>"89512"</f>
        <v>89512</v>
      </c>
      <c r="H8297">
        <v>1</v>
      </c>
      <c r="I8297">
        <v>283</v>
      </c>
      <c r="J8297">
        <v>0</v>
      </c>
      <c r="K8297" t="str">
        <f t="shared" si="1491"/>
        <v>809</v>
      </c>
      <c r="L8297">
        <v>416.01</v>
      </c>
    </row>
    <row r="8298" spans="1:12" x14ac:dyDescent="0.25">
      <c r="A8298" t="str">
        <f t="shared" si="1487"/>
        <v>89301000</v>
      </c>
      <c r="B8298" t="str">
        <f t="shared" si="1489"/>
        <v>89383000</v>
      </c>
      <c r="C8298" t="str">
        <f t="shared" si="1490"/>
        <v>89383002</v>
      </c>
      <c r="D8298">
        <v>89301212</v>
      </c>
      <c r="E8298" t="str">
        <f>"8156044468"</f>
        <v>8156044468</v>
      </c>
      <c r="F8298" s="1">
        <v>45135</v>
      </c>
      <c r="G8298" t="str">
        <f>"89180"</f>
        <v>89180</v>
      </c>
      <c r="H8298">
        <v>2</v>
      </c>
      <c r="I8298">
        <v>762</v>
      </c>
      <c r="J8298">
        <v>0</v>
      </c>
      <c r="K8298" t="str">
        <f t="shared" si="1491"/>
        <v>809</v>
      </c>
      <c r="L8298">
        <v>1120.1400000000001</v>
      </c>
    </row>
    <row r="8299" spans="1:12" x14ac:dyDescent="0.25">
      <c r="A8299" t="str">
        <f t="shared" si="1487"/>
        <v>89301000</v>
      </c>
      <c r="B8299" t="str">
        <f t="shared" si="1489"/>
        <v>89383000</v>
      </c>
      <c r="C8299" t="str">
        <f t="shared" si="1490"/>
        <v>89383002</v>
      </c>
      <c r="D8299">
        <v>89301212</v>
      </c>
      <c r="E8299" t="str">
        <f>"8156044468"</f>
        <v>8156044468</v>
      </c>
      <c r="F8299" s="1">
        <v>45135</v>
      </c>
      <c r="G8299" t="str">
        <f>"89512"</f>
        <v>89512</v>
      </c>
      <c r="H8299">
        <v>1</v>
      </c>
      <c r="I8299">
        <v>283</v>
      </c>
      <c r="J8299">
        <v>0</v>
      </c>
      <c r="K8299" t="str">
        <f t="shared" si="1491"/>
        <v>809</v>
      </c>
      <c r="L8299">
        <v>416.01</v>
      </c>
    </row>
    <row r="8300" spans="1:12" x14ac:dyDescent="0.25">
      <c r="A8300" t="str">
        <f t="shared" si="1487"/>
        <v>89301000</v>
      </c>
      <c r="B8300" t="str">
        <f t="shared" si="1489"/>
        <v>89383000</v>
      </c>
      <c r="C8300" t="str">
        <f t="shared" si="1490"/>
        <v>89383002</v>
      </c>
      <c r="D8300">
        <v>89301212</v>
      </c>
      <c r="E8300" t="str">
        <f>"8156044468"</f>
        <v>8156044468</v>
      </c>
      <c r="F8300" s="1">
        <v>45135</v>
      </c>
      <c r="G8300" t="str">
        <f>"89513"</f>
        <v>89513</v>
      </c>
      <c r="H8300">
        <v>1</v>
      </c>
      <c r="I8300">
        <v>378</v>
      </c>
      <c r="J8300">
        <v>0</v>
      </c>
      <c r="K8300" t="str">
        <f t="shared" si="1491"/>
        <v>809</v>
      </c>
      <c r="L8300">
        <v>555.66</v>
      </c>
    </row>
    <row r="8301" spans="1:12" x14ac:dyDescent="0.25">
      <c r="A8301" t="str">
        <f t="shared" si="1487"/>
        <v>89301000</v>
      </c>
      <c r="B8301" t="str">
        <f t="shared" si="1489"/>
        <v>89383000</v>
      </c>
      <c r="C8301" t="str">
        <f t="shared" si="1490"/>
        <v>89383002</v>
      </c>
      <c r="D8301">
        <v>89301212</v>
      </c>
      <c r="E8301" t="str">
        <f>"8156044468"</f>
        <v>8156044468</v>
      </c>
      <c r="F8301" s="1">
        <v>45135</v>
      </c>
      <c r="G8301" t="str">
        <f>"89514"</f>
        <v>89514</v>
      </c>
      <c r="H8301">
        <v>1</v>
      </c>
      <c r="I8301">
        <v>378</v>
      </c>
      <c r="J8301">
        <v>0</v>
      </c>
      <c r="K8301" t="str">
        <f t="shared" si="1491"/>
        <v>809</v>
      </c>
      <c r="L8301">
        <v>555.66</v>
      </c>
    </row>
    <row r="8302" spans="1:12" x14ac:dyDescent="0.25">
      <c r="A8302" t="str">
        <f t="shared" si="1487"/>
        <v>89301000</v>
      </c>
      <c r="B8302" t="str">
        <f t="shared" si="1489"/>
        <v>89383000</v>
      </c>
      <c r="C8302" t="str">
        <f t="shared" si="1490"/>
        <v>89383002</v>
      </c>
      <c r="D8302">
        <v>89301212</v>
      </c>
      <c r="E8302" t="str">
        <f>"6053030896"</f>
        <v>6053030896</v>
      </c>
      <c r="F8302" s="1">
        <v>45135</v>
      </c>
      <c r="G8302" t="str">
        <f>"89512"</f>
        <v>89512</v>
      </c>
      <c r="H8302">
        <v>1</v>
      </c>
      <c r="I8302">
        <v>283</v>
      </c>
      <c r="J8302">
        <v>0</v>
      </c>
      <c r="K8302" t="str">
        <f t="shared" si="1491"/>
        <v>809</v>
      </c>
      <c r="L8302">
        <v>416.01</v>
      </c>
    </row>
    <row r="8303" spans="1:12" x14ac:dyDescent="0.25">
      <c r="A8303" t="str">
        <f t="shared" si="1487"/>
        <v>89301000</v>
      </c>
      <c r="B8303" t="str">
        <f t="shared" si="1489"/>
        <v>89383000</v>
      </c>
      <c r="C8303" t="str">
        <f t="shared" si="1490"/>
        <v>89383002</v>
      </c>
      <c r="D8303">
        <v>89301212</v>
      </c>
      <c r="E8303" t="str">
        <f>"6053030896"</f>
        <v>6053030896</v>
      </c>
      <c r="F8303" s="1">
        <v>45135</v>
      </c>
      <c r="G8303" t="str">
        <f>"89513"</f>
        <v>89513</v>
      </c>
      <c r="H8303">
        <v>1</v>
      </c>
      <c r="I8303">
        <v>378</v>
      </c>
      <c r="J8303">
        <v>0</v>
      </c>
      <c r="K8303" t="str">
        <f t="shared" si="1491"/>
        <v>809</v>
      </c>
      <c r="L8303">
        <v>555.66</v>
      </c>
    </row>
    <row r="8304" spans="1:12" x14ac:dyDescent="0.25">
      <c r="A8304" t="str">
        <f t="shared" si="1487"/>
        <v>89301000</v>
      </c>
      <c r="B8304" t="str">
        <f t="shared" si="1489"/>
        <v>89383000</v>
      </c>
      <c r="C8304" t="str">
        <f t="shared" si="1490"/>
        <v>89383002</v>
      </c>
      <c r="D8304">
        <v>89301212</v>
      </c>
      <c r="E8304" t="str">
        <f>"6053030896"</f>
        <v>6053030896</v>
      </c>
      <c r="F8304" s="1">
        <v>45135</v>
      </c>
      <c r="G8304" t="str">
        <f>"89514"</f>
        <v>89514</v>
      </c>
      <c r="H8304">
        <v>1</v>
      </c>
      <c r="I8304">
        <v>378</v>
      </c>
      <c r="J8304">
        <v>0</v>
      </c>
      <c r="K8304" t="str">
        <f t="shared" si="1491"/>
        <v>809</v>
      </c>
      <c r="L8304">
        <v>555.66</v>
      </c>
    </row>
    <row r="8305" spans="1:12" x14ac:dyDescent="0.25">
      <c r="A8305" t="str">
        <f t="shared" si="1487"/>
        <v>89301000</v>
      </c>
      <c r="B8305" t="str">
        <f>"89434000"</f>
        <v>89434000</v>
      </c>
      <c r="C8305" t="str">
        <f>"89434000"</f>
        <v>89434000</v>
      </c>
      <c r="D8305">
        <v>89301037</v>
      </c>
      <c r="E8305" t="str">
        <f>"6151181091"</f>
        <v>6151181091</v>
      </c>
      <c r="F8305" s="1">
        <v>45117</v>
      </c>
      <c r="G8305" t="str">
        <f>"89513"</f>
        <v>89513</v>
      </c>
      <c r="H8305">
        <v>1</v>
      </c>
      <c r="I8305">
        <v>378</v>
      </c>
      <c r="J8305">
        <v>0</v>
      </c>
      <c r="K8305" t="str">
        <f t="shared" si="1491"/>
        <v>809</v>
      </c>
      <c r="L8305">
        <v>555.66</v>
      </c>
    </row>
    <row r="8306" spans="1:12" x14ac:dyDescent="0.25">
      <c r="A8306" t="str">
        <f t="shared" si="1487"/>
        <v>89301000</v>
      </c>
      <c r="B8306" t="str">
        <f>"89434000"</f>
        <v>89434000</v>
      </c>
      <c r="C8306" t="str">
        <f>"89434000"</f>
        <v>89434000</v>
      </c>
      <c r="D8306">
        <v>89301037</v>
      </c>
      <c r="E8306" t="str">
        <f>"6151181091"</f>
        <v>6151181091</v>
      </c>
      <c r="F8306" s="1">
        <v>45117</v>
      </c>
      <c r="G8306" t="str">
        <f>"89514"</f>
        <v>89514</v>
      </c>
      <c r="H8306">
        <v>1</v>
      </c>
      <c r="I8306">
        <v>378</v>
      </c>
      <c r="J8306">
        <v>0</v>
      </c>
      <c r="K8306" t="str">
        <f t="shared" si="1491"/>
        <v>809</v>
      </c>
      <c r="L8306">
        <v>555.66</v>
      </c>
    </row>
    <row r="8307" spans="1:12" x14ac:dyDescent="0.25">
      <c r="A8307" t="str">
        <f t="shared" si="1487"/>
        <v>89301000</v>
      </c>
      <c r="B8307" t="str">
        <f>"93223000"</f>
        <v>93223000</v>
      </c>
      <c r="C8307" t="str">
        <f>"93223001"</f>
        <v>93223001</v>
      </c>
      <c r="D8307">
        <v>89301292</v>
      </c>
      <c r="E8307" t="str">
        <f>"0903206150"</f>
        <v>0903206150</v>
      </c>
      <c r="F8307" s="1">
        <v>45114</v>
      </c>
      <c r="G8307" t="str">
        <f>"89111"</f>
        <v>89111</v>
      </c>
      <c r="H8307">
        <v>1</v>
      </c>
      <c r="I8307">
        <v>172</v>
      </c>
      <c r="J8307">
        <v>0</v>
      </c>
      <c r="K8307" t="str">
        <f t="shared" si="1491"/>
        <v>809</v>
      </c>
      <c r="L8307">
        <v>252.84</v>
      </c>
    </row>
    <row r="8308" spans="1:12" x14ac:dyDescent="0.25">
      <c r="A8308" t="str">
        <f t="shared" si="1487"/>
        <v>89301000</v>
      </c>
      <c r="B8308" t="str">
        <f>"89511000"</f>
        <v>89511000</v>
      </c>
      <c r="C8308" t="str">
        <f>"89511001"</f>
        <v>89511001</v>
      </c>
      <c r="D8308">
        <v>89301012</v>
      </c>
      <c r="E8308" t="str">
        <f>"6354061714"</f>
        <v>6354061714</v>
      </c>
      <c r="F8308" s="1">
        <v>45128</v>
      </c>
      <c r="G8308" t="str">
        <f>"09135"</f>
        <v>09135</v>
      </c>
      <c r="H8308">
        <v>1</v>
      </c>
      <c r="I8308">
        <v>179</v>
      </c>
      <c r="J8308">
        <v>0</v>
      </c>
      <c r="K8308" t="str">
        <f t="shared" si="1491"/>
        <v>809</v>
      </c>
      <c r="L8308">
        <v>263.13</v>
      </c>
    </row>
    <row r="8309" spans="1:12" x14ac:dyDescent="0.25">
      <c r="A8309" t="str">
        <f t="shared" si="1487"/>
        <v>89301000</v>
      </c>
      <c r="B8309" t="str">
        <f>"88805000"</f>
        <v>88805000</v>
      </c>
      <c r="C8309" t="str">
        <f>"88805001"</f>
        <v>88805001</v>
      </c>
      <c r="D8309">
        <v>89301167</v>
      </c>
      <c r="E8309" t="str">
        <f>"5707200807"</f>
        <v>5707200807</v>
      </c>
      <c r="F8309" s="1">
        <v>45132</v>
      </c>
      <c r="G8309" t="str">
        <f>"09119"</f>
        <v>09119</v>
      </c>
      <c r="H8309">
        <v>1</v>
      </c>
      <c r="I8309">
        <v>43</v>
      </c>
      <c r="J8309">
        <v>0</v>
      </c>
      <c r="K8309" t="str">
        <f>"801"</f>
        <v>801</v>
      </c>
      <c r="L8309">
        <v>54.18</v>
      </c>
    </row>
    <row r="8310" spans="1:12" x14ac:dyDescent="0.25">
      <c r="A8310" t="str">
        <f t="shared" si="1487"/>
        <v>89301000</v>
      </c>
      <c r="B8310" t="str">
        <f>"88805000"</f>
        <v>88805000</v>
      </c>
      <c r="C8310" t="str">
        <f>"88805014"</f>
        <v>88805014</v>
      </c>
      <c r="D8310">
        <v>89301282</v>
      </c>
      <c r="E8310" t="str">
        <f>"8002215782"</f>
        <v>8002215782</v>
      </c>
      <c r="F8310" s="1">
        <v>45117</v>
      </c>
      <c r="G8310" t="str">
        <f>"94345"</f>
        <v>94345</v>
      </c>
      <c r="H8310">
        <v>1</v>
      </c>
      <c r="I8310">
        <v>4662</v>
      </c>
      <c r="J8310">
        <v>0</v>
      </c>
      <c r="K8310" t="str">
        <f>"816"</f>
        <v>816</v>
      </c>
      <c r="L8310">
        <v>4195.8</v>
      </c>
    </row>
    <row r="8311" spans="1:12" x14ac:dyDescent="0.25">
      <c r="A8311" t="str">
        <f t="shared" si="1487"/>
        <v>89301000</v>
      </c>
      <c r="B8311" t="str">
        <f>"88805000"</f>
        <v>88805000</v>
      </c>
      <c r="C8311" t="str">
        <f>"88805017"</f>
        <v>88805017</v>
      </c>
      <c r="D8311">
        <v>89301036</v>
      </c>
      <c r="E8311" t="str">
        <f>"0061305739"</f>
        <v>0061305739</v>
      </c>
      <c r="F8311" s="1">
        <v>45135</v>
      </c>
      <c r="G8311" t="str">
        <f>"82036"</f>
        <v>82036</v>
      </c>
      <c r="H8311">
        <v>2</v>
      </c>
      <c r="I8311">
        <v>3034</v>
      </c>
      <c r="J8311">
        <v>0</v>
      </c>
      <c r="K8311" t="str">
        <f>"802"</f>
        <v>802</v>
      </c>
      <c r="L8311">
        <v>2942.98</v>
      </c>
    </row>
    <row r="8312" spans="1:12" x14ac:dyDescent="0.25">
      <c r="A8312" t="str">
        <f t="shared" si="1487"/>
        <v>89301000</v>
      </c>
      <c r="B8312" t="str">
        <f>"88805000"</f>
        <v>88805000</v>
      </c>
      <c r="C8312" t="str">
        <f>"88805017"</f>
        <v>88805017</v>
      </c>
      <c r="D8312">
        <v>89301036</v>
      </c>
      <c r="E8312" t="str">
        <f>"0061305739"</f>
        <v>0061305739</v>
      </c>
      <c r="F8312" s="1">
        <v>45135</v>
      </c>
      <c r="G8312" t="str">
        <f>"82034"</f>
        <v>82034</v>
      </c>
      <c r="H8312">
        <v>1</v>
      </c>
      <c r="I8312">
        <v>354</v>
      </c>
      <c r="J8312">
        <v>0</v>
      </c>
      <c r="K8312" t="str">
        <f>"802"</f>
        <v>802</v>
      </c>
      <c r="L8312">
        <v>343.38</v>
      </c>
    </row>
    <row r="8313" spans="1:12" x14ac:dyDescent="0.25">
      <c r="A8313" t="str">
        <f t="shared" si="1487"/>
        <v>89301000</v>
      </c>
      <c r="B8313" t="str">
        <f t="shared" ref="B8313:C8329" si="1492">"91970116"</f>
        <v>91970116</v>
      </c>
      <c r="C8313" t="str">
        <f t="shared" si="1492"/>
        <v>91970116</v>
      </c>
      <c r="D8313">
        <v>89301167</v>
      </c>
      <c r="E8313" t="str">
        <f t="shared" ref="E8313:E8334" si="1493">"530220073"</f>
        <v>530220073</v>
      </c>
      <c r="F8313" s="1">
        <v>45135</v>
      </c>
      <c r="G8313" t="str">
        <f>"97111"</f>
        <v>97111</v>
      </c>
      <c r="H8313">
        <v>1</v>
      </c>
      <c r="I8313">
        <v>19</v>
      </c>
      <c r="J8313">
        <v>0</v>
      </c>
      <c r="K8313" t="str">
        <f t="shared" ref="K8313:K8329" si="1494">"801"</f>
        <v>801</v>
      </c>
      <c r="L8313">
        <v>23.94</v>
      </c>
    </row>
    <row r="8314" spans="1:12" x14ac:dyDescent="0.25">
      <c r="A8314" t="str">
        <f t="shared" si="1487"/>
        <v>89301000</v>
      </c>
      <c r="B8314" t="str">
        <f t="shared" si="1492"/>
        <v>91970116</v>
      </c>
      <c r="C8314" t="str">
        <f t="shared" si="1492"/>
        <v>91970116</v>
      </c>
      <c r="D8314">
        <v>89301167</v>
      </c>
      <c r="E8314" t="str">
        <f t="shared" si="1493"/>
        <v>530220073</v>
      </c>
      <c r="F8314" s="1">
        <v>45135</v>
      </c>
      <c r="G8314" t="str">
        <f>"81625"</f>
        <v>81625</v>
      </c>
      <c r="H8314">
        <v>1</v>
      </c>
      <c r="I8314">
        <v>21</v>
      </c>
      <c r="J8314">
        <v>0</v>
      </c>
      <c r="K8314" t="str">
        <f t="shared" si="1494"/>
        <v>801</v>
      </c>
      <c r="L8314">
        <v>17.64</v>
      </c>
    </row>
    <row r="8315" spans="1:12" x14ac:dyDescent="0.25">
      <c r="A8315" t="str">
        <f t="shared" si="1487"/>
        <v>89301000</v>
      </c>
      <c r="B8315" t="str">
        <f t="shared" si="1492"/>
        <v>91970116</v>
      </c>
      <c r="C8315" t="str">
        <f t="shared" si="1492"/>
        <v>91970116</v>
      </c>
      <c r="D8315">
        <v>89301167</v>
      </c>
      <c r="E8315" t="str">
        <f t="shared" si="1493"/>
        <v>530220073</v>
      </c>
      <c r="F8315" s="1">
        <v>45135</v>
      </c>
      <c r="G8315" t="str">
        <f>"81621"</f>
        <v>81621</v>
      </c>
      <c r="H8315">
        <v>1</v>
      </c>
      <c r="I8315">
        <v>19</v>
      </c>
      <c r="J8315">
        <v>0</v>
      </c>
      <c r="K8315" t="str">
        <f t="shared" si="1494"/>
        <v>801</v>
      </c>
      <c r="L8315">
        <v>15.96</v>
      </c>
    </row>
    <row r="8316" spans="1:12" x14ac:dyDescent="0.25">
      <c r="A8316" t="str">
        <f t="shared" si="1487"/>
        <v>89301000</v>
      </c>
      <c r="B8316" t="str">
        <f t="shared" si="1492"/>
        <v>91970116</v>
      </c>
      <c r="C8316" t="str">
        <f t="shared" si="1492"/>
        <v>91970116</v>
      </c>
      <c r="D8316">
        <v>89301167</v>
      </c>
      <c r="E8316" t="str">
        <f t="shared" si="1493"/>
        <v>530220073</v>
      </c>
      <c r="F8316" s="1">
        <v>45135</v>
      </c>
      <c r="G8316" t="str">
        <f>"81499"</f>
        <v>81499</v>
      </c>
      <c r="H8316">
        <v>1</v>
      </c>
      <c r="I8316">
        <v>18</v>
      </c>
      <c r="J8316">
        <v>0</v>
      </c>
      <c r="K8316" t="str">
        <f t="shared" si="1494"/>
        <v>801</v>
      </c>
      <c r="L8316">
        <v>15.12</v>
      </c>
    </row>
    <row r="8317" spans="1:12" x14ac:dyDescent="0.25">
      <c r="A8317" t="str">
        <f t="shared" si="1487"/>
        <v>89301000</v>
      </c>
      <c r="B8317" t="str">
        <f t="shared" si="1492"/>
        <v>91970116</v>
      </c>
      <c r="C8317" t="str">
        <f t="shared" si="1492"/>
        <v>91970116</v>
      </c>
      <c r="D8317">
        <v>89301167</v>
      </c>
      <c r="E8317" t="str">
        <f t="shared" si="1493"/>
        <v>530220073</v>
      </c>
      <c r="F8317" s="1">
        <v>45135</v>
      </c>
      <c r="G8317" t="str">
        <f>"81523"</f>
        <v>81523</v>
      </c>
      <c r="H8317">
        <v>1</v>
      </c>
      <c r="I8317">
        <v>23</v>
      </c>
      <c r="J8317">
        <v>0</v>
      </c>
      <c r="K8317" t="str">
        <f t="shared" si="1494"/>
        <v>801</v>
      </c>
      <c r="L8317">
        <v>19.32</v>
      </c>
    </row>
    <row r="8318" spans="1:12" x14ac:dyDescent="0.25">
      <c r="A8318" t="str">
        <f t="shared" si="1487"/>
        <v>89301000</v>
      </c>
      <c r="B8318" t="str">
        <f t="shared" si="1492"/>
        <v>91970116</v>
      </c>
      <c r="C8318" t="str">
        <f t="shared" si="1492"/>
        <v>91970116</v>
      </c>
      <c r="D8318">
        <v>89301167</v>
      </c>
      <c r="E8318" t="str">
        <f t="shared" si="1493"/>
        <v>530220073</v>
      </c>
      <c r="F8318" s="1">
        <v>45135</v>
      </c>
      <c r="G8318" t="str">
        <f>"81361"</f>
        <v>81361</v>
      </c>
      <c r="H8318">
        <v>1</v>
      </c>
      <c r="I8318">
        <v>17</v>
      </c>
      <c r="J8318">
        <v>0</v>
      </c>
      <c r="K8318" t="str">
        <f t="shared" si="1494"/>
        <v>801</v>
      </c>
      <c r="L8318">
        <v>14.28</v>
      </c>
    </row>
    <row r="8319" spans="1:12" x14ac:dyDescent="0.25">
      <c r="A8319" t="str">
        <f t="shared" si="1487"/>
        <v>89301000</v>
      </c>
      <c r="B8319" t="str">
        <f t="shared" si="1492"/>
        <v>91970116</v>
      </c>
      <c r="C8319" t="str">
        <f t="shared" si="1492"/>
        <v>91970116</v>
      </c>
      <c r="D8319">
        <v>89301167</v>
      </c>
      <c r="E8319" t="str">
        <f t="shared" si="1493"/>
        <v>530220073</v>
      </c>
      <c r="F8319" s="1">
        <v>45135</v>
      </c>
      <c r="G8319" t="str">
        <f>"81337"</f>
        <v>81337</v>
      </c>
      <c r="H8319">
        <v>1</v>
      </c>
      <c r="I8319">
        <v>20</v>
      </c>
      <c r="J8319">
        <v>0</v>
      </c>
      <c r="K8319" t="str">
        <f t="shared" si="1494"/>
        <v>801</v>
      </c>
      <c r="L8319">
        <v>16.8</v>
      </c>
    </row>
    <row r="8320" spans="1:12" x14ac:dyDescent="0.25">
      <c r="A8320" t="str">
        <f t="shared" si="1487"/>
        <v>89301000</v>
      </c>
      <c r="B8320" t="str">
        <f t="shared" si="1492"/>
        <v>91970116</v>
      </c>
      <c r="C8320" t="str">
        <f t="shared" si="1492"/>
        <v>91970116</v>
      </c>
      <c r="D8320">
        <v>89301167</v>
      </c>
      <c r="E8320" t="str">
        <f t="shared" si="1493"/>
        <v>530220073</v>
      </c>
      <c r="F8320" s="1">
        <v>45135</v>
      </c>
      <c r="G8320" t="str">
        <f>"81357"</f>
        <v>81357</v>
      </c>
      <c r="H8320">
        <v>1</v>
      </c>
      <c r="I8320">
        <v>20</v>
      </c>
      <c r="J8320">
        <v>0</v>
      </c>
      <c r="K8320" t="str">
        <f t="shared" si="1494"/>
        <v>801</v>
      </c>
      <c r="L8320">
        <v>16.8</v>
      </c>
    </row>
    <row r="8321" spans="1:12" x14ac:dyDescent="0.25">
      <c r="A8321" t="str">
        <f t="shared" si="1487"/>
        <v>89301000</v>
      </c>
      <c r="B8321" t="str">
        <f t="shared" si="1492"/>
        <v>91970116</v>
      </c>
      <c r="C8321" t="str">
        <f t="shared" si="1492"/>
        <v>91970116</v>
      </c>
      <c r="D8321">
        <v>89301167</v>
      </c>
      <c r="E8321" t="str">
        <f t="shared" si="1493"/>
        <v>530220073</v>
      </c>
      <c r="F8321" s="1">
        <v>45135</v>
      </c>
      <c r="G8321" t="str">
        <f>"81421"</f>
        <v>81421</v>
      </c>
      <c r="H8321">
        <v>1</v>
      </c>
      <c r="I8321">
        <v>19</v>
      </c>
      <c r="J8321">
        <v>0</v>
      </c>
      <c r="K8321" t="str">
        <f t="shared" si="1494"/>
        <v>801</v>
      </c>
      <c r="L8321">
        <v>15.96</v>
      </c>
    </row>
    <row r="8322" spans="1:12" x14ac:dyDescent="0.25">
      <c r="A8322" t="str">
        <f t="shared" ref="A8322:A8385" si="1495">"89301000"</f>
        <v>89301000</v>
      </c>
      <c r="B8322" t="str">
        <f t="shared" si="1492"/>
        <v>91970116</v>
      </c>
      <c r="C8322" t="str">
        <f t="shared" si="1492"/>
        <v>91970116</v>
      </c>
      <c r="D8322">
        <v>89301167</v>
      </c>
      <c r="E8322" t="str">
        <f t="shared" si="1493"/>
        <v>530220073</v>
      </c>
      <c r="F8322" s="1">
        <v>45135</v>
      </c>
      <c r="G8322" t="str">
        <f>"81439"</f>
        <v>81439</v>
      </c>
      <c r="H8322">
        <v>1</v>
      </c>
      <c r="I8322">
        <v>16</v>
      </c>
      <c r="J8322">
        <v>0</v>
      </c>
      <c r="K8322" t="str">
        <f t="shared" si="1494"/>
        <v>801</v>
      </c>
      <c r="L8322">
        <v>13.44</v>
      </c>
    </row>
    <row r="8323" spans="1:12" x14ac:dyDescent="0.25">
      <c r="A8323" t="str">
        <f t="shared" si="1495"/>
        <v>89301000</v>
      </c>
      <c r="B8323" t="str">
        <f t="shared" si="1492"/>
        <v>91970116</v>
      </c>
      <c r="C8323" t="str">
        <f t="shared" si="1492"/>
        <v>91970116</v>
      </c>
      <c r="D8323">
        <v>89301167</v>
      </c>
      <c r="E8323" t="str">
        <f t="shared" si="1493"/>
        <v>530220073</v>
      </c>
      <c r="F8323" s="1">
        <v>45135</v>
      </c>
      <c r="G8323" t="str">
        <f>"81435"</f>
        <v>81435</v>
      </c>
      <c r="H8323">
        <v>1</v>
      </c>
      <c r="I8323">
        <v>22</v>
      </c>
      <c r="J8323">
        <v>0</v>
      </c>
      <c r="K8323" t="str">
        <f t="shared" si="1494"/>
        <v>801</v>
      </c>
      <c r="L8323">
        <v>18.48</v>
      </c>
    </row>
    <row r="8324" spans="1:12" x14ac:dyDescent="0.25">
      <c r="A8324" t="str">
        <f t="shared" si="1495"/>
        <v>89301000</v>
      </c>
      <c r="B8324" t="str">
        <f t="shared" si="1492"/>
        <v>91970116</v>
      </c>
      <c r="C8324" t="str">
        <f t="shared" si="1492"/>
        <v>91970116</v>
      </c>
      <c r="D8324">
        <v>89301167</v>
      </c>
      <c r="E8324" t="str">
        <f t="shared" si="1493"/>
        <v>530220073</v>
      </c>
      <c r="F8324" s="1">
        <v>45135</v>
      </c>
      <c r="G8324" t="str">
        <f>"91153"</f>
        <v>91153</v>
      </c>
      <c r="H8324">
        <v>1</v>
      </c>
      <c r="I8324">
        <v>153</v>
      </c>
      <c r="J8324">
        <v>0</v>
      </c>
      <c r="K8324" t="str">
        <f t="shared" si="1494"/>
        <v>801</v>
      </c>
      <c r="L8324">
        <v>128.52000000000001</v>
      </c>
    </row>
    <row r="8325" spans="1:12" x14ac:dyDescent="0.25">
      <c r="A8325" t="str">
        <f t="shared" si="1495"/>
        <v>89301000</v>
      </c>
      <c r="B8325" t="str">
        <f t="shared" si="1492"/>
        <v>91970116</v>
      </c>
      <c r="C8325" t="str">
        <f t="shared" si="1492"/>
        <v>91970116</v>
      </c>
      <c r="D8325">
        <v>89301167</v>
      </c>
      <c r="E8325" t="str">
        <f t="shared" si="1493"/>
        <v>530220073</v>
      </c>
      <c r="F8325" s="1">
        <v>45135</v>
      </c>
      <c r="G8325" t="str">
        <f>"81511"</f>
        <v>81511</v>
      </c>
      <c r="H8325">
        <v>1</v>
      </c>
      <c r="I8325">
        <v>10</v>
      </c>
      <c r="J8325">
        <v>0</v>
      </c>
      <c r="K8325" t="str">
        <f t="shared" si="1494"/>
        <v>801</v>
      </c>
      <c r="L8325">
        <v>8.4</v>
      </c>
    </row>
    <row r="8326" spans="1:12" x14ac:dyDescent="0.25">
      <c r="A8326" t="str">
        <f t="shared" si="1495"/>
        <v>89301000</v>
      </c>
      <c r="B8326" t="str">
        <f t="shared" si="1492"/>
        <v>91970116</v>
      </c>
      <c r="C8326" t="str">
        <f t="shared" si="1492"/>
        <v>91970116</v>
      </c>
      <c r="D8326">
        <v>89301167</v>
      </c>
      <c r="E8326" t="str">
        <f t="shared" si="1493"/>
        <v>530220073</v>
      </c>
      <c r="F8326" s="1">
        <v>45135</v>
      </c>
      <c r="G8326" t="str">
        <f>"81593"</f>
        <v>81593</v>
      </c>
      <c r="H8326">
        <v>1</v>
      </c>
      <c r="I8326">
        <v>22</v>
      </c>
      <c r="J8326">
        <v>0</v>
      </c>
      <c r="K8326" t="str">
        <f t="shared" si="1494"/>
        <v>801</v>
      </c>
      <c r="L8326">
        <v>18.48</v>
      </c>
    </row>
    <row r="8327" spans="1:12" x14ac:dyDescent="0.25">
      <c r="A8327" t="str">
        <f t="shared" si="1495"/>
        <v>89301000</v>
      </c>
      <c r="B8327" t="str">
        <f t="shared" si="1492"/>
        <v>91970116</v>
      </c>
      <c r="C8327" t="str">
        <f t="shared" si="1492"/>
        <v>91970116</v>
      </c>
      <c r="D8327">
        <v>89301167</v>
      </c>
      <c r="E8327" t="str">
        <f t="shared" si="1493"/>
        <v>530220073</v>
      </c>
      <c r="F8327" s="1">
        <v>45135</v>
      </c>
      <c r="G8327" t="str">
        <f>"81393"</f>
        <v>81393</v>
      </c>
      <c r="H8327">
        <v>1</v>
      </c>
      <c r="I8327">
        <v>24</v>
      </c>
      <c r="J8327">
        <v>0</v>
      </c>
      <c r="K8327" t="str">
        <f t="shared" si="1494"/>
        <v>801</v>
      </c>
      <c r="L8327">
        <v>20.16</v>
      </c>
    </row>
    <row r="8328" spans="1:12" x14ac:dyDescent="0.25">
      <c r="A8328" t="str">
        <f t="shared" si="1495"/>
        <v>89301000</v>
      </c>
      <c r="B8328" t="str">
        <f t="shared" si="1492"/>
        <v>91970116</v>
      </c>
      <c r="C8328" t="str">
        <f t="shared" si="1492"/>
        <v>91970116</v>
      </c>
      <c r="D8328">
        <v>89301167</v>
      </c>
      <c r="E8328" t="str">
        <f t="shared" si="1493"/>
        <v>530220073</v>
      </c>
      <c r="F8328" s="1">
        <v>45135</v>
      </c>
      <c r="G8328" t="str">
        <f>"81469"</f>
        <v>81469</v>
      </c>
      <c r="H8328">
        <v>1</v>
      </c>
      <c r="I8328">
        <v>16</v>
      </c>
      <c r="J8328">
        <v>0</v>
      </c>
      <c r="K8328" t="str">
        <f t="shared" si="1494"/>
        <v>801</v>
      </c>
      <c r="L8328">
        <v>13.44</v>
      </c>
    </row>
    <row r="8329" spans="1:12" x14ac:dyDescent="0.25">
      <c r="A8329" t="str">
        <f t="shared" si="1495"/>
        <v>89301000</v>
      </c>
      <c r="B8329" t="str">
        <f t="shared" si="1492"/>
        <v>91970116</v>
      </c>
      <c r="C8329" t="str">
        <f t="shared" si="1492"/>
        <v>91970116</v>
      </c>
      <c r="D8329">
        <v>89301167</v>
      </c>
      <c r="E8329" t="str">
        <f t="shared" si="1493"/>
        <v>530220073</v>
      </c>
      <c r="F8329" s="1">
        <v>45135</v>
      </c>
      <c r="G8329" t="str">
        <f>"81249"</f>
        <v>81249</v>
      </c>
      <c r="H8329">
        <v>1</v>
      </c>
      <c r="I8329">
        <v>334</v>
      </c>
      <c r="J8329">
        <v>0</v>
      </c>
      <c r="K8329" t="str">
        <f t="shared" si="1494"/>
        <v>801</v>
      </c>
      <c r="L8329">
        <v>280.56</v>
      </c>
    </row>
    <row r="8330" spans="1:12" x14ac:dyDescent="0.25">
      <c r="A8330" t="str">
        <f t="shared" si="1495"/>
        <v>89301000</v>
      </c>
      <c r="B8330" t="str">
        <f>"91970116"</f>
        <v>91970116</v>
      </c>
      <c r="C8330" t="str">
        <f>"91970115"</f>
        <v>91970115</v>
      </c>
      <c r="D8330">
        <v>89301167</v>
      </c>
      <c r="E8330" t="str">
        <f t="shared" si="1493"/>
        <v>530220073</v>
      </c>
      <c r="F8330" s="1">
        <v>45135</v>
      </c>
      <c r="G8330" t="str">
        <f>"09119"</f>
        <v>09119</v>
      </c>
      <c r="H8330">
        <v>1</v>
      </c>
      <c r="I8330">
        <v>43</v>
      </c>
      <c r="J8330">
        <v>0</v>
      </c>
      <c r="K8330" t="str">
        <f>"818"</f>
        <v>818</v>
      </c>
      <c r="L8330">
        <v>54.18</v>
      </c>
    </row>
    <row r="8331" spans="1:12" x14ac:dyDescent="0.25">
      <c r="A8331" t="str">
        <f t="shared" si="1495"/>
        <v>89301000</v>
      </c>
      <c r="B8331" t="str">
        <f>"91970116"</f>
        <v>91970116</v>
      </c>
      <c r="C8331" t="str">
        <f>"91970115"</f>
        <v>91970115</v>
      </c>
      <c r="D8331">
        <v>89301167</v>
      </c>
      <c r="E8331" t="str">
        <f t="shared" si="1493"/>
        <v>530220073</v>
      </c>
      <c r="F8331" s="1">
        <v>45135</v>
      </c>
      <c r="G8331" t="str">
        <f>"96163"</f>
        <v>96163</v>
      </c>
      <c r="H8331">
        <v>1</v>
      </c>
      <c r="I8331">
        <v>28</v>
      </c>
      <c r="J8331">
        <v>0</v>
      </c>
      <c r="K8331" t="str">
        <f>"818"</f>
        <v>818</v>
      </c>
      <c r="L8331">
        <v>27.16</v>
      </c>
    </row>
    <row r="8332" spans="1:12" x14ac:dyDescent="0.25">
      <c r="A8332" t="str">
        <f t="shared" si="1495"/>
        <v>89301000</v>
      </c>
      <c r="B8332" t="str">
        <f>"91970116"</f>
        <v>91970116</v>
      </c>
      <c r="C8332" t="str">
        <f>"91970115"</f>
        <v>91970115</v>
      </c>
      <c r="D8332">
        <v>89301167</v>
      </c>
      <c r="E8332" t="str">
        <f t="shared" si="1493"/>
        <v>530220073</v>
      </c>
      <c r="F8332" s="1">
        <v>45135</v>
      </c>
      <c r="G8332" t="str">
        <f>"96711"</f>
        <v>96711</v>
      </c>
      <c r="H8332">
        <v>1</v>
      </c>
      <c r="I8332">
        <v>28</v>
      </c>
      <c r="J8332">
        <v>0</v>
      </c>
      <c r="K8332" t="str">
        <f>"818"</f>
        <v>818</v>
      </c>
      <c r="L8332">
        <v>27.16</v>
      </c>
    </row>
    <row r="8333" spans="1:12" x14ac:dyDescent="0.25">
      <c r="A8333" t="str">
        <f t="shared" si="1495"/>
        <v>89301000</v>
      </c>
      <c r="B8333" t="str">
        <f>"91970116"</f>
        <v>91970116</v>
      </c>
      <c r="C8333" t="str">
        <f>"91970115"</f>
        <v>91970115</v>
      </c>
      <c r="D8333">
        <v>89301167</v>
      </c>
      <c r="E8333" t="str">
        <f t="shared" si="1493"/>
        <v>530220073</v>
      </c>
      <c r="F8333" s="1">
        <v>45135</v>
      </c>
      <c r="G8333" t="str">
        <f>"96713"</f>
        <v>96713</v>
      </c>
      <c r="H8333">
        <v>1</v>
      </c>
      <c r="I8333">
        <v>14</v>
      </c>
      <c r="J8333">
        <v>0</v>
      </c>
      <c r="K8333" t="str">
        <f>"818"</f>
        <v>818</v>
      </c>
      <c r="L8333">
        <v>13.58</v>
      </c>
    </row>
    <row r="8334" spans="1:12" x14ac:dyDescent="0.25">
      <c r="A8334" t="str">
        <f t="shared" si="1495"/>
        <v>89301000</v>
      </c>
      <c r="B8334" t="str">
        <f>"91970116"</f>
        <v>91970116</v>
      </c>
      <c r="C8334" t="str">
        <f>"91970115"</f>
        <v>91970115</v>
      </c>
      <c r="D8334">
        <v>89301167</v>
      </c>
      <c r="E8334" t="str">
        <f t="shared" si="1493"/>
        <v>530220073</v>
      </c>
      <c r="F8334" s="1">
        <v>45135</v>
      </c>
      <c r="G8334" t="str">
        <f>"96315"</f>
        <v>96315</v>
      </c>
      <c r="H8334">
        <v>1</v>
      </c>
      <c r="I8334">
        <v>30</v>
      </c>
      <c r="J8334">
        <v>0</v>
      </c>
      <c r="K8334" t="str">
        <f>"818"</f>
        <v>818</v>
      </c>
      <c r="L8334">
        <v>29.1</v>
      </c>
    </row>
    <row r="8335" spans="1:12" x14ac:dyDescent="0.25">
      <c r="A8335" t="str">
        <f t="shared" si="1495"/>
        <v>89301000</v>
      </c>
      <c r="B8335" t="str">
        <f t="shared" ref="B8335:B8340" si="1496">"85200000"</f>
        <v>85200000</v>
      </c>
      <c r="C8335" t="str">
        <f>"85200315"</f>
        <v>85200315</v>
      </c>
      <c r="D8335">
        <v>89301212</v>
      </c>
      <c r="E8335" t="str">
        <f>"455409426"</f>
        <v>455409426</v>
      </c>
      <c r="F8335" s="1">
        <v>45111</v>
      </c>
      <c r="G8335" t="str">
        <f>"89131"</f>
        <v>89131</v>
      </c>
      <c r="H8335">
        <v>1</v>
      </c>
      <c r="I8335">
        <v>190</v>
      </c>
      <c r="J8335">
        <v>0</v>
      </c>
      <c r="K8335" t="str">
        <f>"809"</f>
        <v>809</v>
      </c>
      <c r="L8335">
        <v>279.3</v>
      </c>
    </row>
    <row r="8336" spans="1:12" x14ac:dyDescent="0.25">
      <c r="A8336" t="str">
        <f t="shared" si="1495"/>
        <v>89301000</v>
      </c>
      <c r="B8336" t="str">
        <f t="shared" si="1496"/>
        <v>85200000</v>
      </c>
      <c r="C8336" t="str">
        <f>"85200315"</f>
        <v>85200315</v>
      </c>
      <c r="D8336">
        <v>89301212</v>
      </c>
      <c r="E8336" t="str">
        <f>"455409426"</f>
        <v>455409426</v>
      </c>
      <c r="F8336" s="1">
        <v>45111</v>
      </c>
      <c r="G8336" t="str">
        <f>"89513"</f>
        <v>89513</v>
      </c>
      <c r="H8336">
        <v>1</v>
      </c>
      <c r="I8336">
        <v>378</v>
      </c>
      <c r="J8336">
        <v>0</v>
      </c>
      <c r="K8336" t="str">
        <f>"809"</f>
        <v>809</v>
      </c>
      <c r="L8336">
        <v>555.66</v>
      </c>
    </row>
    <row r="8337" spans="1:12" x14ac:dyDescent="0.25">
      <c r="A8337" t="str">
        <f t="shared" si="1495"/>
        <v>89301000</v>
      </c>
      <c r="B8337" t="str">
        <f t="shared" si="1496"/>
        <v>85200000</v>
      </c>
      <c r="C8337" t="str">
        <f>"85200315"</f>
        <v>85200315</v>
      </c>
      <c r="D8337">
        <v>89301212</v>
      </c>
      <c r="E8337" t="str">
        <f>"455409426"</f>
        <v>455409426</v>
      </c>
      <c r="F8337" s="1">
        <v>45111</v>
      </c>
      <c r="G8337" t="str">
        <f>"89514"</f>
        <v>89514</v>
      </c>
      <c r="H8337">
        <v>1</v>
      </c>
      <c r="I8337">
        <v>378</v>
      </c>
      <c r="J8337">
        <v>0</v>
      </c>
      <c r="K8337" t="str">
        <f>"809"</f>
        <v>809</v>
      </c>
      <c r="L8337">
        <v>555.66</v>
      </c>
    </row>
    <row r="8338" spans="1:12" x14ac:dyDescent="0.25">
      <c r="A8338" t="str">
        <f t="shared" si="1495"/>
        <v>89301000</v>
      </c>
      <c r="B8338" t="str">
        <f t="shared" si="1496"/>
        <v>85200000</v>
      </c>
      <c r="C8338" t="str">
        <f>"85200332"</f>
        <v>85200332</v>
      </c>
      <c r="D8338">
        <v>89301167</v>
      </c>
      <c r="E8338" t="str">
        <f>"6056171154"</f>
        <v>6056171154</v>
      </c>
      <c r="F8338" s="1">
        <v>45124</v>
      </c>
      <c r="G8338" t="str">
        <f>"81499"</f>
        <v>81499</v>
      </c>
      <c r="H8338">
        <v>1</v>
      </c>
      <c r="I8338">
        <v>18</v>
      </c>
      <c r="J8338">
        <v>0</v>
      </c>
      <c r="K8338" t="str">
        <f>"801"</f>
        <v>801</v>
      </c>
      <c r="L8338">
        <v>15.12</v>
      </c>
    </row>
    <row r="8339" spans="1:12" x14ac:dyDescent="0.25">
      <c r="A8339" t="str">
        <f t="shared" si="1495"/>
        <v>89301000</v>
      </c>
      <c r="B8339" t="str">
        <f t="shared" si="1496"/>
        <v>85200000</v>
      </c>
      <c r="C8339" t="str">
        <f>"85200332"</f>
        <v>85200332</v>
      </c>
      <c r="D8339">
        <v>89301167</v>
      </c>
      <c r="E8339" t="str">
        <f>"6056171154"</f>
        <v>6056171154</v>
      </c>
      <c r="F8339" s="1">
        <v>45124</v>
      </c>
      <c r="G8339" t="str">
        <f>"81621"</f>
        <v>81621</v>
      </c>
      <c r="H8339">
        <v>1</v>
      </c>
      <c r="I8339">
        <v>19</v>
      </c>
      <c r="J8339">
        <v>0</v>
      </c>
      <c r="K8339" t="str">
        <f>"801"</f>
        <v>801</v>
      </c>
      <c r="L8339">
        <v>15.96</v>
      </c>
    </row>
    <row r="8340" spans="1:12" x14ac:dyDescent="0.25">
      <c r="A8340" t="str">
        <f t="shared" si="1495"/>
        <v>89301000</v>
      </c>
      <c r="B8340" t="str">
        <f t="shared" si="1496"/>
        <v>85200000</v>
      </c>
      <c r="C8340" t="str">
        <f>"85200332"</f>
        <v>85200332</v>
      </c>
      <c r="D8340">
        <v>89301167</v>
      </c>
      <c r="E8340" t="str">
        <f>"6056171154"</f>
        <v>6056171154</v>
      </c>
      <c r="F8340" s="1">
        <v>45124</v>
      </c>
      <c r="G8340" t="str">
        <f>"97111"</f>
        <v>97111</v>
      </c>
      <c r="H8340">
        <v>1</v>
      </c>
      <c r="I8340">
        <v>19</v>
      </c>
      <c r="J8340">
        <v>0</v>
      </c>
      <c r="K8340" t="str">
        <f>"801"</f>
        <v>801</v>
      </c>
      <c r="L8340">
        <v>23.94</v>
      </c>
    </row>
    <row r="8341" spans="1:12" x14ac:dyDescent="0.25">
      <c r="A8341" t="str">
        <f t="shared" si="1495"/>
        <v>89301000</v>
      </c>
      <c r="B8341" t="str">
        <f t="shared" ref="B8341:B8346" si="1497">"44564000"</f>
        <v>44564000</v>
      </c>
      <c r="C8341" t="str">
        <f t="shared" ref="C8341:C8346" si="1498">"44564004"</f>
        <v>44564004</v>
      </c>
      <c r="D8341">
        <v>89301375</v>
      </c>
      <c r="E8341" t="str">
        <f t="shared" ref="E8341:E8346" si="1499">"480804115"</f>
        <v>480804115</v>
      </c>
      <c r="F8341" s="1">
        <v>45125</v>
      </c>
      <c r="G8341" t="str">
        <f>"87217"</f>
        <v>87217</v>
      </c>
      <c r="H8341">
        <v>2</v>
      </c>
      <c r="I8341">
        <v>430</v>
      </c>
      <c r="J8341">
        <v>0</v>
      </c>
      <c r="K8341" t="str">
        <f t="shared" ref="K8341:K8346" si="1500">"807"</f>
        <v>807</v>
      </c>
      <c r="L8341">
        <v>361.2</v>
      </c>
    </row>
    <row r="8342" spans="1:12" x14ac:dyDescent="0.25">
      <c r="A8342" t="str">
        <f t="shared" si="1495"/>
        <v>89301000</v>
      </c>
      <c r="B8342" t="str">
        <f t="shared" si="1497"/>
        <v>44564000</v>
      </c>
      <c r="C8342" t="str">
        <f t="shared" si="1498"/>
        <v>44564004</v>
      </c>
      <c r="D8342">
        <v>89301375</v>
      </c>
      <c r="E8342" t="str">
        <f t="shared" si="1499"/>
        <v>480804115</v>
      </c>
      <c r="F8342" s="1">
        <v>45125</v>
      </c>
      <c r="G8342" t="str">
        <f>"87231"</f>
        <v>87231</v>
      </c>
      <c r="H8342">
        <v>9</v>
      </c>
      <c r="I8342">
        <v>3429</v>
      </c>
      <c r="J8342">
        <v>0</v>
      </c>
      <c r="K8342" t="str">
        <f t="shared" si="1500"/>
        <v>807</v>
      </c>
      <c r="L8342">
        <v>2880.36</v>
      </c>
    </row>
    <row r="8343" spans="1:12" x14ac:dyDescent="0.25">
      <c r="A8343" t="str">
        <f t="shared" si="1495"/>
        <v>89301000</v>
      </c>
      <c r="B8343" t="str">
        <f t="shared" si="1497"/>
        <v>44564000</v>
      </c>
      <c r="C8343" t="str">
        <f t="shared" si="1498"/>
        <v>44564004</v>
      </c>
      <c r="D8343">
        <v>89301375</v>
      </c>
      <c r="E8343" t="str">
        <f t="shared" si="1499"/>
        <v>480804115</v>
      </c>
      <c r="F8343" s="1">
        <v>45125</v>
      </c>
      <c r="G8343" t="str">
        <f>"87231"</f>
        <v>87231</v>
      </c>
      <c r="H8343">
        <v>9</v>
      </c>
      <c r="I8343">
        <v>3429</v>
      </c>
      <c r="J8343">
        <v>0</v>
      </c>
      <c r="K8343" t="str">
        <f t="shared" si="1500"/>
        <v>807</v>
      </c>
      <c r="L8343">
        <v>2880.36</v>
      </c>
    </row>
    <row r="8344" spans="1:12" x14ac:dyDescent="0.25">
      <c r="A8344" t="str">
        <f t="shared" si="1495"/>
        <v>89301000</v>
      </c>
      <c r="B8344" t="str">
        <f t="shared" si="1497"/>
        <v>44564000</v>
      </c>
      <c r="C8344" t="str">
        <f t="shared" si="1498"/>
        <v>44564004</v>
      </c>
      <c r="D8344">
        <v>89301375</v>
      </c>
      <c r="E8344" t="str">
        <f t="shared" si="1499"/>
        <v>480804115</v>
      </c>
      <c r="F8344" s="1">
        <v>45125</v>
      </c>
      <c r="G8344" t="str">
        <f>"87231"</f>
        <v>87231</v>
      </c>
      <c r="H8344">
        <v>2</v>
      </c>
      <c r="I8344">
        <v>762</v>
      </c>
      <c r="J8344">
        <v>0</v>
      </c>
      <c r="K8344" t="str">
        <f t="shared" si="1500"/>
        <v>807</v>
      </c>
      <c r="L8344">
        <v>640.08000000000004</v>
      </c>
    </row>
    <row r="8345" spans="1:12" x14ac:dyDescent="0.25">
      <c r="A8345" t="str">
        <f t="shared" si="1495"/>
        <v>89301000</v>
      </c>
      <c r="B8345" t="str">
        <f t="shared" si="1497"/>
        <v>44564000</v>
      </c>
      <c r="C8345" t="str">
        <f t="shared" si="1498"/>
        <v>44564004</v>
      </c>
      <c r="D8345">
        <v>89301375</v>
      </c>
      <c r="E8345" t="str">
        <f t="shared" si="1499"/>
        <v>480804115</v>
      </c>
      <c r="F8345" s="1">
        <v>45125</v>
      </c>
      <c r="G8345" t="str">
        <f>"87613"</f>
        <v>87613</v>
      </c>
      <c r="H8345">
        <v>1</v>
      </c>
      <c r="I8345">
        <v>436</v>
      </c>
      <c r="J8345">
        <v>0</v>
      </c>
      <c r="K8345" t="str">
        <f t="shared" si="1500"/>
        <v>807</v>
      </c>
      <c r="L8345">
        <v>366.24</v>
      </c>
    </row>
    <row r="8346" spans="1:12" x14ac:dyDescent="0.25">
      <c r="A8346" t="str">
        <f t="shared" si="1495"/>
        <v>89301000</v>
      </c>
      <c r="B8346" t="str">
        <f t="shared" si="1497"/>
        <v>44564000</v>
      </c>
      <c r="C8346" t="str">
        <f t="shared" si="1498"/>
        <v>44564004</v>
      </c>
      <c r="D8346">
        <v>89301375</v>
      </c>
      <c r="E8346" t="str">
        <f t="shared" si="1499"/>
        <v>480804115</v>
      </c>
      <c r="F8346" s="1">
        <v>45125</v>
      </c>
      <c r="G8346" t="str">
        <f>"87617"</f>
        <v>87617</v>
      </c>
      <c r="H8346">
        <v>1</v>
      </c>
      <c r="I8346">
        <v>3750</v>
      </c>
      <c r="J8346">
        <v>0</v>
      </c>
      <c r="K8346" t="str">
        <f t="shared" si="1500"/>
        <v>807</v>
      </c>
      <c r="L8346">
        <v>3150</v>
      </c>
    </row>
    <row r="8347" spans="1:12" x14ac:dyDescent="0.25">
      <c r="A8347" t="str">
        <f t="shared" si="1495"/>
        <v>89301000</v>
      </c>
      <c r="B8347" t="str">
        <f t="shared" ref="B8347:B8385" si="1501">"72077000"</f>
        <v>72077000</v>
      </c>
      <c r="C8347" t="str">
        <f t="shared" ref="C8347:C8385" si="1502">"72077001"</f>
        <v>72077001</v>
      </c>
      <c r="D8347">
        <v>89301152</v>
      </c>
      <c r="E8347" t="str">
        <f>"6509221565"</f>
        <v>6509221565</v>
      </c>
      <c r="F8347" s="1">
        <v>45118</v>
      </c>
      <c r="G8347" t="str">
        <f>"91465"</f>
        <v>91465</v>
      </c>
      <c r="H8347">
        <v>1</v>
      </c>
      <c r="I8347">
        <v>1412</v>
      </c>
      <c r="J8347">
        <v>0</v>
      </c>
      <c r="K8347" t="str">
        <f t="shared" ref="K8347:K8385" si="1503">"813"</f>
        <v>813</v>
      </c>
      <c r="L8347">
        <v>1186.08</v>
      </c>
    </row>
    <row r="8348" spans="1:12" x14ac:dyDescent="0.25">
      <c r="A8348" t="str">
        <f t="shared" si="1495"/>
        <v>89301000</v>
      </c>
      <c r="B8348" t="str">
        <f t="shared" si="1501"/>
        <v>72077000</v>
      </c>
      <c r="C8348" t="str">
        <f t="shared" si="1502"/>
        <v>72077001</v>
      </c>
      <c r="D8348">
        <v>89301152</v>
      </c>
      <c r="E8348" t="str">
        <f>"535312046"</f>
        <v>535312046</v>
      </c>
      <c r="F8348" s="1">
        <v>45111</v>
      </c>
      <c r="G8348" t="str">
        <f>"91219"</f>
        <v>91219</v>
      </c>
      <c r="H8348">
        <v>3</v>
      </c>
      <c r="I8348">
        <v>1029</v>
      </c>
      <c r="J8348">
        <v>0</v>
      </c>
      <c r="K8348" t="str">
        <f t="shared" si="1503"/>
        <v>813</v>
      </c>
      <c r="L8348">
        <v>864.36</v>
      </c>
    </row>
    <row r="8349" spans="1:12" x14ac:dyDescent="0.25">
      <c r="A8349" t="str">
        <f t="shared" si="1495"/>
        <v>89301000</v>
      </c>
      <c r="B8349" t="str">
        <f t="shared" si="1501"/>
        <v>72077000</v>
      </c>
      <c r="C8349" t="str">
        <f t="shared" si="1502"/>
        <v>72077001</v>
      </c>
      <c r="D8349">
        <v>89301152</v>
      </c>
      <c r="E8349" t="str">
        <f>"9412136151"</f>
        <v>9412136151</v>
      </c>
      <c r="F8349" s="1">
        <v>45118</v>
      </c>
      <c r="G8349" t="str">
        <f>"91465"</f>
        <v>91465</v>
      </c>
      <c r="H8349">
        <v>1</v>
      </c>
      <c r="I8349">
        <v>1412</v>
      </c>
      <c r="J8349">
        <v>0</v>
      </c>
      <c r="K8349" t="str">
        <f t="shared" si="1503"/>
        <v>813</v>
      </c>
      <c r="L8349">
        <v>1186.08</v>
      </c>
    </row>
    <row r="8350" spans="1:12" x14ac:dyDescent="0.25">
      <c r="A8350" t="str">
        <f t="shared" si="1495"/>
        <v>89301000</v>
      </c>
      <c r="B8350" t="str">
        <f t="shared" si="1501"/>
        <v>72077000</v>
      </c>
      <c r="C8350" t="str">
        <f t="shared" si="1502"/>
        <v>72077001</v>
      </c>
      <c r="D8350">
        <v>89301152</v>
      </c>
      <c r="E8350" t="str">
        <f>"9654256194"</f>
        <v>9654256194</v>
      </c>
      <c r="F8350" s="1">
        <v>45118</v>
      </c>
      <c r="G8350" t="str">
        <f>"91465"</f>
        <v>91465</v>
      </c>
      <c r="H8350">
        <v>1</v>
      </c>
      <c r="I8350">
        <v>1412</v>
      </c>
      <c r="J8350">
        <v>0</v>
      </c>
      <c r="K8350" t="str">
        <f t="shared" si="1503"/>
        <v>813</v>
      </c>
      <c r="L8350">
        <v>1186.08</v>
      </c>
    </row>
    <row r="8351" spans="1:12" x14ac:dyDescent="0.25">
      <c r="A8351" t="str">
        <f t="shared" si="1495"/>
        <v>89301000</v>
      </c>
      <c r="B8351" t="str">
        <f t="shared" si="1501"/>
        <v>72077000</v>
      </c>
      <c r="C8351" t="str">
        <f t="shared" si="1502"/>
        <v>72077001</v>
      </c>
      <c r="D8351">
        <v>89301152</v>
      </c>
      <c r="E8351" t="str">
        <f>"5552241893"</f>
        <v>5552241893</v>
      </c>
      <c r="F8351" s="1">
        <v>45120</v>
      </c>
      <c r="G8351" t="str">
        <f>"91197"</f>
        <v>91197</v>
      </c>
      <c r="H8351">
        <v>1</v>
      </c>
      <c r="I8351">
        <v>1048</v>
      </c>
      <c r="J8351">
        <v>0</v>
      </c>
      <c r="K8351" t="str">
        <f t="shared" si="1503"/>
        <v>813</v>
      </c>
      <c r="L8351">
        <v>880.32</v>
      </c>
    </row>
    <row r="8352" spans="1:12" x14ac:dyDescent="0.25">
      <c r="A8352" t="str">
        <f t="shared" si="1495"/>
        <v>89301000</v>
      </c>
      <c r="B8352" t="str">
        <f t="shared" si="1501"/>
        <v>72077000</v>
      </c>
      <c r="C8352" t="str">
        <f t="shared" si="1502"/>
        <v>72077001</v>
      </c>
      <c r="D8352">
        <v>89301152</v>
      </c>
      <c r="E8352" t="str">
        <f>"5552241893"</f>
        <v>5552241893</v>
      </c>
      <c r="F8352" s="1">
        <v>45120</v>
      </c>
      <c r="G8352" t="str">
        <f>"91465"</f>
        <v>91465</v>
      </c>
      <c r="H8352">
        <v>1</v>
      </c>
      <c r="I8352">
        <v>1412</v>
      </c>
      <c r="J8352">
        <v>0</v>
      </c>
      <c r="K8352" t="str">
        <f t="shared" si="1503"/>
        <v>813</v>
      </c>
      <c r="L8352">
        <v>1186.08</v>
      </c>
    </row>
    <row r="8353" spans="1:12" x14ac:dyDescent="0.25">
      <c r="A8353" t="str">
        <f t="shared" si="1495"/>
        <v>89301000</v>
      </c>
      <c r="B8353" t="str">
        <f t="shared" si="1501"/>
        <v>72077000</v>
      </c>
      <c r="C8353" t="str">
        <f t="shared" si="1502"/>
        <v>72077001</v>
      </c>
      <c r="D8353">
        <v>89301152</v>
      </c>
      <c r="E8353" t="str">
        <f>"5552241893"</f>
        <v>5552241893</v>
      </c>
      <c r="F8353" s="1">
        <v>45121</v>
      </c>
      <c r="G8353" t="str">
        <f>"91219"</f>
        <v>91219</v>
      </c>
      <c r="H8353">
        <v>3</v>
      </c>
      <c r="I8353">
        <v>1029</v>
      </c>
      <c r="J8353">
        <v>0</v>
      </c>
      <c r="K8353" t="str">
        <f t="shared" si="1503"/>
        <v>813</v>
      </c>
      <c r="L8353">
        <v>864.36</v>
      </c>
    </row>
    <row r="8354" spans="1:12" x14ac:dyDescent="0.25">
      <c r="A8354" t="str">
        <f t="shared" si="1495"/>
        <v>89301000</v>
      </c>
      <c r="B8354" t="str">
        <f t="shared" si="1501"/>
        <v>72077000</v>
      </c>
      <c r="C8354" t="str">
        <f t="shared" si="1502"/>
        <v>72077001</v>
      </c>
      <c r="D8354">
        <v>89301152</v>
      </c>
      <c r="E8354" t="str">
        <f>"8055295347"</f>
        <v>8055295347</v>
      </c>
      <c r="F8354" s="1">
        <v>45120</v>
      </c>
      <c r="G8354" t="str">
        <f>"91197"</f>
        <v>91197</v>
      </c>
      <c r="H8354">
        <v>1</v>
      </c>
      <c r="I8354">
        <v>1048</v>
      </c>
      <c r="J8354">
        <v>0</v>
      </c>
      <c r="K8354" t="str">
        <f t="shared" si="1503"/>
        <v>813</v>
      </c>
      <c r="L8354">
        <v>880.32</v>
      </c>
    </row>
    <row r="8355" spans="1:12" x14ac:dyDescent="0.25">
      <c r="A8355" t="str">
        <f t="shared" si="1495"/>
        <v>89301000</v>
      </c>
      <c r="B8355" t="str">
        <f t="shared" si="1501"/>
        <v>72077000</v>
      </c>
      <c r="C8355" t="str">
        <f t="shared" si="1502"/>
        <v>72077001</v>
      </c>
      <c r="D8355">
        <v>89301152</v>
      </c>
      <c r="E8355" t="str">
        <f>"8055295347"</f>
        <v>8055295347</v>
      </c>
      <c r="F8355" s="1">
        <v>45125</v>
      </c>
      <c r="G8355" t="str">
        <f>"91465"</f>
        <v>91465</v>
      </c>
      <c r="H8355">
        <v>1</v>
      </c>
      <c r="I8355">
        <v>1412</v>
      </c>
      <c r="J8355">
        <v>0</v>
      </c>
      <c r="K8355" t="str">
        <f t="shared" si="1503"/>
        <v>813</v>
      </c>
      <c r="L8355">
        <v>1186.08</v>
      </c>
    </row>
    <row r="8356" spans="1:12" x14ac:dyDescent="0.25">
      <c r="A8356" t="str">
        <f t="shared" si="1495"/>
        <v>89301000</v>
      </c>
      <c r="B8356" t="str">
        <f t="shared" si="1501"/>
        <v>72077000</v>
      </c>
      <c r="C8356" t="str">
        <f t="shared" si="1502"/>
        <v>72077001</v>
      </c>
      <c r="D8356">
        <v>89301152</v>
      </c>
      <c r="E8356" t="str">
        <f>"9054266166"</f>
        <v>9054266166</v>
      </c>
      <c r="F8356" s="1">
        <v>45121</v>
      </c>
      <c r="G8356" t="str">
        <f>"91171"</f>
        <v>91171</v>
      </c>
      <c r="H8356">
        <v>1</v>
      </c>
      <c r="I8356">
        <v>362</v>
      </c>
      <c r="J8356">
        <v>0</v>
      </c>
      <c r="K8356" t="str">
        <f t="shared" si="1503"/>
        <v>813</v>
      </c>
      <c r="L8356">
        <v>304.08</v>
      </c>
    </row>
    <row r="8357" spans="1:12" x14ac:dyDescent="0.25">
      <c r="A8357" t="str">
        <f t="shared" si="1495"/>
        <v>89301000</v>
      </c>
      <c r="B8357" t="str">
        <f t="shared" si="1501"/>
        <v>72077000</v>
      </c>
      <c r="C8357" t="str">
        <f t="shared" si="1502"/>
        <v>72077001</v>
      </c>
      <c r="D8357">
        <v>89301152</v>
      </c>
      <c r="E8357" t="str">
        <f>"9054266166"</f>
        <v>9054266166</v>
      </c>
      <c r="F8357" s="1">
        <v>45121</v>
      </c>
      <c r="G8357" t="str">
        <f>"91175"</f>
        <v>91175</v>
      </c>
      <c r="H8357">
        <v>1</v>
      </c>
      <c r="I8357">
        <v>362</v>
      </c>
      <c r="J8357">
        <v>0</v>
      </c>
      <c r="K8357" t="str">
        <f t="shared" si="1503"/>
        <v>813</v>
      </c>
      <c r="L8357">
        <v>304.08</v>
      </c>
    </row>
    <row r="8358" spans="1:12" x14ac:dyDescent="0.25">
      <c r="A8358" t="str">
        <f t="shared" si="1495"/>
        <v>89301000</v>
      </c>
      <c r="B8358" t="str">
        <f t="shared" si="1501"/>
        <v>72077000</v>
      </c>
      <c r="C8358" t="str">
        <f t="shared" si="1502"/>
        <v>72077001</v>
      </c>
      <c r="D8358">
        <v>89301152</v>
      </c>
      <c r="E8358" t="str">
        <f>"9054266166"</f>
        <v>9054266166</v>
      </c>
      <c r="F8358" s="1">
        <v>45124</v>
      </c>
      <c r="G8358" t="str">
        <f>"91577"</f>
        <v>91577</v>
      </c>
      <c r="H8358">
        <v>1</v>
      </c>
      <c r="I8358">
        <v>398</v>
      </c>
      <c r="J8358">
        <v>0</v>
      </c>
      <c r="K8358" t="str">
        <f t="shared" si="1503"/>
        <v>813</v>
      </c>
      <c r="L8358">
        <v>334.32</v>
      </c>
    </row>
    <row r="8359" spans="1:12" x14ac:dyDescent="0.25">
      <c r="A8359" t="str">
        <f t="shared" si="1495"/>
        <v>89301000</v>
      </c>
      <c r="B8359" t="str">
        <f t="shared" si="1501"/>
        <v>72077000</v>
      </c>
      <c r="C8359" t="str">
        <f t="shared" si="1502"/>
        <v>72077001</v>
      </c>
      <c r="D8359">
        <v>89301152</v>
      </c>
      <c r="E8359" t="str">
        <f>"9054266166"</f>
        <v>9054266166</v>
      </c>
      <c r="F8359" s="1">
        <v>45127</v>
      </c>
      <c r="G8359" t="str">
        <f>"91485"</f>
        <v>91485</v>
      </c>
      <c r="H8359">
        <v>1</v>
      </c>
      <c r="I8359">
        <v>268</v>
      </c>
      <c r="J8359">
        <v>0</v>
      </c>
      <c r="K8359" t="str">
        <f t="shared" si="1503"/>
        <v>813</v>
      </c>
      <c r="L8359">
        <v>225.12</v>
      </c>
    </row>
    <row r="8360" spans="1:12" x14ac:dyDescent="0.25">
      <c r="A8360" t="str">
        <f t="shared" si="1495"/>
        <v>89301000</v>
      </c>
      <c r="B8360" t="str">
        <f t="shared" si="1501"/>
        <v>72077000</v>
      </c>
      <c r="C8360" t="str">
        <f t="shared" si="1502"/>
        <v>72077001</v>
      </c>
      <c r="D8360">
        <v>89301152</v>
      </c>
      <c r="E8360" t="str">
        <f>"7605175303"</f>
        <v>7605175303</v>
      </c>
      <c r="F8360" s="1">
        <v>45128</v>
      </c>
      <c r="G8360" t="str">
        <f>"91197"</f>
        <v>91197</v>
      </c>
      <c r="H8360">
        <v>1</v>
      </c>
      <c r="I8360">
        <v>1048</v>
      </c>
      <c r="J8360">
        <v>0</v>
      </c>
      <c r="K8360" t="str">
        <f t="shared" si="1503"/>
        <v>813</v>
      </c>
      <c r="L8360">
        <v>880.32</v>
      </c>
    </row>
    <row r="8361" spans="1:12" x14ac:dyDescent="0.25">
      <c r="A8361" t="str">
        <f t="shared" si="1495"/>
        <v>89301000</v>
      </c>
      <c r="B8361" t="str">
        <f t="shared" si="1501"/>
        <v>72077000</v>
      </c>
      <c r="C8361" t="str">
        <f t="shared" si="1502"/>
        <v>72077001</v>
      </c>
      <c r="D8361">
        <v>89301152</v>
      </c>
      <c r="E8361" t="str">
        <f>"7605175303"</f>
        <v>7605175303</v>
      </c>
      <c r="F8361" s="1">
        <v>45128</v>
      </c>
      <c r="G8361" t="str">
        <f>"91219"</f>
        <v>91219</v>
      </c>
      <c r="H8361">
        <v>1</v>
      </c>
      <c r="I8361">
        <v>343</v>
      </c>
      <c r="J8361">
        <v>0</v>
      </c>
      <c r="K8361" t="str">
        <f t="shared" si="1503"/>
        <v>813</v>
      </c>
      <c r="L8361">
        <v>288.12</v>
      </c>
    </row>
    <row r="8362" spans="1:12" x14ac:dyDescent="0.25">
      <c r="A8362" t="str">
        <f t="shared" si="1495"/>
        <v>89301000</v>
      </c>
      <c r="B8362" t="str">
        <f t="shared" si="1501"/>
        <v>72077000</v>
      </c>
      <c r="C8362" t="str">
        <f t="shared" si="1502"/>
        <v>72077001</v>
      </c>
      <c r="D8362">
        <v>89301152</v>
      </c>
      <c r="E8362" t="str">
        <f>"7605175303"</f>
        <v>7605175303</v>
      </c>
      <c r="F8362" s="1">
        <v>45128</v>
      </c>
      <c r="G8362" t="str">
        <f>"91219"</f>
        <v>91219</v>
      </c>
      <c r="H8362">
        <v>1</v>
      </c>
      <c r="I8362">
        <v>343</v>
      </c>
      <c r="J8362">
        <v>0</v>
      </c>
      <c r="K8362" t="str">
        <f t="shared" si="1503"/>
        <v>813</v>
      </c>
      <c r="L8362">
        <v>288.12</v>
      </c>
    </row>
    <row r="8363" spans="1:12" x14ac:dyDescent="0.25">
      <c r="A8363" t="str">
        <f t="shared" si="1495"/>
        <v>89301000</v>
      </c>
      <c r="B8363" t="str">
        <f t="shared" si="1501"/>
        <v>72077000</v>
      </c>
      <c r="C8363" t="str">
        <f t="shared" si="1502"/>
        <v>72077001</v>
      </c>
      <c r="D8363">
        <v>89301152</v>
      </c>
      <c r="E8363" t="str">
        <f>"7605175303"</f>
        <v>7605175303</v>
      </c>
      <c r="F8363" s="1">
        <v>45128</v>
      </c>
      <c r="G8363" t="str">
        <f>"91219"</f>
        <v>91219</v>
      </c>
      <c r="H8363">
        <v>1</v>
      </c>
      <c r="I8363">
        <v>343</v>
      </c>
      <c r="J8363">
        <v>0</v>
      </c>
      <c r="K8363" t="str">
        <f t="shared" si="1503"/>
        <v>813</v>
      </c>
      <c r="L8363">
        <v>288.12</v>
      </c>
    </row>
    <row r="8364" spans="1:12" x14ac:dyDescent="0.25">
      <c r="A8364" t="str">
        <f t="shared" si="1495"/>
        <v>89301000</v>
      </c>
      <c r="B8364" t="str">
        <f t="shared" si="1501"/>
        <v>72077000</v>
      </c>
      <c r="C8364" t="str">
        <f t="shared" si="1502"/>
        <v>72077001</v>
      </c>
      <c r="D8364">
        <v>89301152</v>
      </c>
      <c r="E8364" t="str">
        <f>"7605175303"</f>
        <v>7605175303</v>
      </c>
      <c r="F8364" s="1">
        <v>45132</v>
      </c>
      <c r="G8364" t="str">
        <f>"91465"</f>
        <v>91465</v>
      </c>
      <c r="H8364">
        <v>1</v>
      </c>
      <c r="I8364">
        <v>1412</v>
      </c>
      <c r="J8364">
        <v>0</v>
      </c>
      <c r="K8364" t="str">
        <f t="shared" si="1503"/>
        <v>813</v>
      </c>
      <c r="L8364">
        <v>1186.08</v>
      </c>
    </row>
    <row r="8365" spans="1:12" x14ac:dyDescent="0.25">
      <c r="A8365" t="str">
        <f t="shared" si="1495"/>
        <v>89301000</v>
      </c>
      <c r="B8365" t="str">
        <f t="shared" si="1501"/>
        <v>72077000</v>
      </c>
      <c r="C8365" t="str">
        <f t="shared" si="1502"/>
        <v>72077001</v>
      </c>
      <c r="D8365">
        <v>89301107</v>
      </c>
      <c r="E8365" t="str">
        <f>"2257280674"</f>
        <v>2257280674</v>
      </c>
      <c r="F8365" s="1">
        <v>45134</v>
      </c>
      <c r="G8365" t="str">
        <f>"91171"</f>
        <v>91171</v>
      </c>
      <c r="H8365">
        <v>1</v>
      </c>
      <c r="I8365">
        <v>362</v>
      </c>
      <c r="J8365">
        <v>0</v>
      </c>
      <c r="K8365" t="str">
        <f t="shared" si="1503"/>
        <v>813</v>
      </c>
      <c r="L8365">
        <v>304.08</v>
      </c>
    </row>
    <row r="8366" spans="1:12" x14ac:dyDescent="0.25">
      <c r="A8366" t="str">
        <f t="shared" si="1495"/>
        <v>89301000</v>
      </c>
      <c r="B8366" t="str">
        <f t="shared" si="1501"/>
        <v>72077000</v>
      </c>
      <c r="C8366" t="str">
        <f t="shared" si="1502"/>
        <v>72077001</v>
      </c>
      <c r="D8366">
        <v>89301107</v>
      </c>
      <c r="E8366" t="str">
        <f>"2257280674"</f>
        <v>2257280674</v>
      </c>
      <c r="F8366" s="1">
        <v>45134</v>
      </c>
      <c r="G8366" t="str">
        <f>"91171"</f>
        <v>91171</v>
      </c>
      <c r="H8366">
        <v>1</v>
      </c>
      <c r="I8366">
        <v>362</v>
      </c>
      <c r="J8366">
        <v>0</v>
      </c>
      <c r="K8366" t="str">
        <f t="shared" si="1503"/>
        <v>813</v>
      </c>
      <c r="L8366">
        <v>304.08</v>
      </c>
    </row>
    <row r="8367" spans="1:12" x14ac:dyDescent="0.25">
      <c r="A8367" t="str">
        <f t="shared" si="1495"/>
        <v>89301000</v>
      </c>
      <c r="B8367" t="str">
        <f t="shared" si="1501"/>
        <v>72077000</v>
      </c>
      <c r="C8367" t="str">
        <f t="shared" si="1502"/>
        <v>72077001</v>
      </c>
      <c r="D8367">
        <v>89301107</v>
      </c>
      <c r="E8367" t="str">
        <f>"2257280674"</f>
        <v>2257280674</v>
      </c>
      <c r="F8367" s="1">
        <v>45134</v>
      </c>
      <c r="G8367" t="str">
        <f>"91171"</f>
        <v>91171</v>
      </c>
      <c r="H8367">
        <v>1</v>
      </c>
      <c r="I8367">
        <v>362</v>
      </c>
      <c r="J8367">
        <v>0</v>
      </c>
      <c r="K8367" t="str">
        <f t="shared" si="1503"/>
        <v>813</v>
      </c>
      <c r="L8367">
        <v>304.08</v>
      </c>
    </row>
    <row r="8368" spans="1:12" x14ac:dyDescent="0.25">
      <c r="A8368" t="str">
        <f t="shared" si="1495"/>
        <v>89301000</v>
      </c>
      <c r="B8368" t="str">
        <f t="shared" si="1501"/>
        <v>72077000</v>
      </c>
      <c r="C8368" t="str">
        <f t="shared" si="1502"/>
        <v>72077001</v>
      </c>
      <c r="D8368">
        <v>89301152</v>
      </c>
      <c r="E8368" t="str">
        <f>"9155305753"</f>
        <v>9155305753</v>
      </c>
      <c r="F8368" s="1">
        <v>45133</v>
      </c>
      <c r="G8368" t="str">
        <f>"91197"</f>
        <v>91197</v>
      </c>
      <c r="H8368">
        <v>1</v>
      </c>
      <c r="I8368">
        <v>1048</v>
      </c>
      <c r="J8368">
        <v>0</v>
      </c>
      <c r="K8368" t="str">
        <f t="shared" si="1503"/>
        <v>813</v>
      </c>
      <c r="L8368">
        <v>880.32</v>
      </c>
    </row>
    <row r="8369" spans="1:12" x14ac:dyDescent="0.25">
      <c r="A8369" t="str">
        <f t="shared" si="1495"/>
        <v>89301000</v>
      </c>
      <c r="B8369" t="str">
        <f t="shared" si="1501"/>
        <v>72077000</v>
      </c>
      <c r="C8369" t="str">
        <f t="shared" si="1502"/>
        <v>72077001</v>
      </c>
      <c r="D8369">
        <v>89301152</v>
      </c>
      <c r="E8369" t="str">
        <f>"9155305753"</f>
        <v>9155305753</v>
      </c>
      <c r="F8369" s="1">
        <v>45135</v>
      </c>
      <c r="G8369" t="str">
        <f>"91465"</f>
        <v>91465</v>
      </c>
      <c r="H8369">
        <v>1</v>
      </c>
      <c r="I8369">
        <v>1412</v>
      </c>
      <c r="J8369">
        <v>0</v>
      </c>
      <c r="K8369" t="str">
        <f t="shared" si="1503"/>
        <v>813</v>
      </c>
      <c r="L8369">
        <v>1186.08</v>
      </c>
    </row>
    <row r="8370" spans="1:12" x14ac:dyDescent="0.25">
      <c r="A8370" t="str">
        <f t="shared" si="1495"/>
        <v>89301000</v>
      </c>
      <c r="B8370" t="str">
        <f t="shared" si="1501"/>
        <v>72077000</v>
      </c>
      <c r="C8370" t="str">
        <f t="shared" si="1502"/>
        <v>72077001</v>
      </c>
      <c r="D8370">
        <v>89301107</v>
      </c>
      <c r="E8370" t="str">
        <f>"1553310451"</f>
        <v>1553310451</v>
      </c>
      <c r="F8370" s="1">
        <v>45133</v>
      </c>
      <c r="G8370" t="str">
        <f>"91197"</f>
        <v>91197</v>
      </c>
      <c r="H8370">
        <v>1</v>
      </c>
      <c r="I8370">
        <v>1048</v>
      </c>
      <c r="J8370">
        <v>0</v>
      </c>
      <c r="K8370" t="str">
        <f t="shared" si="1503"/>
        <v>813</v>
      </c>
      <c r="L8370">
        <v>880.32</v>
      </c>
    </row>
    <row r="8371" spans="1:12" x14ac:dyDescent="0.25">
      <c r="A8371" t="str">
        <f t="shared" si="1495"/>
        <v>89301000</v>
      </c>
      <c r="B8371" t="str">
        <f t="shared" si="1501"/>
        <v>72077000</v>
      </c>
      <c r="C8371" t="str">
        <f t="shared" si="1502"/>
        <v>72077001</v>
      </c>
      <c r="D8371">
        <v>89301152</v>
      </c>
      <c r="E8371" t="str">
        <f>"425326473"</f>
        <v>425326473</v>
      </c>
      <c r="F8371" s="1">
        <v>45133</v>
      </c>
      <c r="G8371" t="str">
        <f>"91197"</f>
        <v>91197</v>
      </c>
      <c r="H8371">
        <v>1</v>
      </c>
      <c r="I8371">
        <v>1048</v>
      </c>
      <c r="J8371">
        <v>0</v>
      </c>
      <c r="K8371" t="str">
        <f t="shared" si="1503"/>
        <v>813</v>
      </c>
      <c r="L8371">
        <v>880.32</v>
      </c>
    </row>
    <row r="8372" spans="1:12" x14ac:dyDescent="0.25">
      <c r="A8372" t="str">
        <f t="shared" si="1495"/>
        <v>89301000</v>
      </c>
      <c r="B8372" t="str">
        <f t="shared" si="1501"/>
        <v>72077000</v>
      </c>
      <c r="C8372" t="str">
        <f t="shared" si="1502"/>
        <v>72077001</v>
      </c>
      <c r="D8372">
        <v>89301152</v>
      </c>
      <c r="E8372" t="str">
        <f>"425326473"</f>
        <v>425326473</v>
      </c>
      <c r="F8372" s="1">
        <v>45135</v>
      </c>
      <c r="G8372" t="str">
        <f>"91465"</f>
        <v>91465</v>
      </c>
      <c r="H8372">
        <v>1</v>
      </c>
      <c r="I8372">
        <v>1412</v>
      </c>
      <c r="J8372">
        <v>0</v>
      </c>
      <c r="K8372" t="str">
        <f t="shared" si="1503"/>
        <v>813</v>
      </c>
      <c r="L8372">
        <v>1186.08</v>
      </c>
    </row>
    <row r="8373" spans="1:12" x14ac:dyDescent="0.25">
      <c r="A8373" t="str">
        <f t="shared" si="1495"/>
        <v>89301000</v>
      </c>
      <c r="B8373" t="str">
        <f t="shared" si="1501"/>
        <v>72077000</v>
      </c>
      <c r="C8373" t="str">
        <f t="shared" si="1502"/>
        <v>72077001</v>
      </c>
      <c r="D8373">
        <v>89301152</v>
      </c>
      <c r="E8373" t="str">
        <f>"7304034463"</f>
        <v>7304034463</v>
      </c>
      <c r="F8373" s="1">
        <v>45138</v>
      </c>
      <c r="G8373" t="str">
        <f>"91197"</f>
        <v>91197</v>
      </c>
      <c r="H8373">
        <v>1</v>
      </c>
      <c r="I8373">
        <v>1048</v>
      </c>
      <c r="J8373">
        <v>0</v>
      </c>
      <c r="K8373" t="str">
        <f t="shared" si="1503"/>
        <v>813</v>
      </c>
      <c r="L8373">
        <v>880.32</v>
      </c>
    </row>
    <row r="8374" spans="1:12" x14ac:dyDescent="0.25">
      <c r="A8374" t="str">
        <f t="shared" si="1495"/>
        <v>89301000</v>
      </c>
      <c r="B8374" t="str">
        <f t="shared" si="1501"/>
        <v>72077000</v>
      </c>
      <c r="C8374" t="str">
        <f t="shared" si="1502"/>
        <v>72077001</v>
      </c>
      <c r="D8374">
        <v>89301152</v>
      </c>
      <c r="E8374" t="str">
        <f>"9254225717"</f>
        <v>9254225717</v>
      </c>
      <c r="F8374" s="1">
        <v>45138</v>
      </c>
      <c r="G8374" t="str">
        <f>"91197"</f>
        <v>91197</v>
      </c>
      <c r="H8374">
        <v>1</v>
      </c>
      <c r="I8374">
        <v>1048</v>
      </c>
      <c r="J8374">
        <v>0</v>
      </c>
      <c r="K8374" t="str">
        <f t="shared" si="1503"/>
        <v>813</v>
      </c>
      <c r="L8374">
        <v>880.32</v>
      </c>
    </row>
    <row r="8375" spans="1:12" x14ac:dyDescent="0.25">
      <c r="A8375" t="str">
        <f t="shared" si="1495"/>
        <v>89301000</v>
      </c>
      <c r="B8375" t="str">
        <f t="shared" si="1501"/>
        <v>72077000</v>
      </c>
      <c r="C8375" t="str">
        <f t="shared" si="1502"/>
        <v>72077001</v>
      </c>
      <c r="D8375">
        <v>89301152</v>
      </c>
      <c r="E8375" t="str">
        <f>"6759130532"</f>
        <v>6759130532</v>
      </c>
      <c r="F8375" s="1">
        <v>45138</v>
      </c>
      <c r="G8375" t="str">
        <f>"91197"</f>
        <v>91197</v>
      </c>
      <c r="H8375">
        <v>1</v>
      </c>
      <c r="I8375">
        <v>1048</v>
      </c>
      <c r="J8375">
        <v>0</v>
      </c>
      <c r="K8375" t="str">
        <f t="shared" si="1503"/>
        <v>813</v>
      </c>
      <c r="L8375">
        <v>880.32</v>
      </c>
    </row>
    <row r="8376" spans="1:12" x14ac:dyDescent="0.25">
      <c r="A8376" t="str">
        <f t="shared" si="1495"/>
        <v>89301000</v>
      </c>
      <c r="B8376" t="str">
        <f t="shared" si="1501"/>
        <v>72077000</v>
      </c>
      <c r="C8376" t="str">
        <f t="shared" si="1502"/>
        <v>72077001</v>
      </c>
      <c r="D8376">
        <v>89301152</v>
      </c>
      <c r="E8376" t="str">
        <f t="shared" ref="E8376:E8383" si="1504">"6509221565"</f>
        <v>6509221565</v>
      </c>
      <c r="F8376" s="1">
        <v>45103</v>
      </c>
      <c r="G8376" t="str">
        <f>"91197"</f>
        <v>91197</v>
      </c>
      <c r="H8376">
        <v>1</v>
      </c>
      <c r="I8376">
        <v>1048</v>
      </c>
      <c r="J8376">
        <v>0</v>
      </c>
      <c r="K8376" t="str">
        <f t="shared" si="1503"/>
        <v>813</v>
      </c>
      <c r="L8376">
        <v>880.32</v>
      </c>
    </row>
    <row r="8377" spans="1:12" x14ac:dyDescent="0.25">
      <c r="A8377" t="str">
        <f t="shared" si="1495"/>
        <v>89301000</v>
      </c>
      <c r="B8377" t="str">
        <f t="shared" si="1501"/>
        <v>72077000</v>
      </c>
      <c r="C8377" t="str">
        <f t="shared" si="1502"/>
        <v>72077001</v>
      </c>
      <c r="D8377">
        <v>89301152</v>
      </c>
      <c r="E8377" t="str">
        <f t="shared" si="1504"/>
        <v>6509221565</v>
      </c>
      <c r="F8377" s="1">
        <v>45105</v>
      </c>
      <c r="G8377" t="str">
        <f t="shared" ref="G8377:G8383" si="1505">"91219"</f>
        <v>91219</v>
      </c>
      <c r="H8377">
        <v>1</v>
      </c>
      <c r="I8377">
        <v>343</v>
      </c>
      <c r="J8377">
        <v>0</v>
      </c>
      <c r="K8377" t="str">
        <f t="shared" si="1503"/>
        <v>813</v>
      </c>
      <c r="L8377">
        <v>288.12</v>
      </c>
    </row>
    <row r="8378" spans="1:12" x14ac:dyDescent="0.25">
      <c r="A8378" t="str">
        <f t="shared" si="1495"/>
        <v>89301000</v>
      </c>
      <c r="B8378" t="str">
        <f t="shared" si="1501"/>
        <v>72077000</v>
      </c>
      <c r="C8378" t="str">
        <f t="shared" si="1502"/>
        <v>72077001</v>
      </c>
      <c r="D8378">
        <v>89301152</v>
      </c>
      <c r="E8378" t="str">
        <f t="shared" si="1504"/>
        <v>6509221565</v>
      </c>
      <c r="F8378" s="1">
        <v>45105</v>
      </c>
      <c r="G8378" t="str">
        <f t="shared" si="1505"/>
        <v>91219</v>
      </c>
      <c r="H8378">
        <v>1</v>
      </c>
      <c r="I8378">
        <v>343</v>
      </c>
      <c r="J8378">
        <v>0</v>
      </c>
      <c r="K8378" t="str">
        <f t="shared" si="1503"/>
        <v>813</v>
      </c>
      <c r="L8378">
        <v>288.12</v>
      </c>
    </row>
    <row r="8379" spans="1:12" x14ac:dyDescent="0.25">
      <c r="A8379" t="str">
        <f t="shared" si="1495"/>
        <v>89301000</v>
      </c>
      <c r="B8379" t="str">
        <f t="shared" si="1501"/>
        <v>72077000</v>
      </c>
      <c r="C8379" t="str">
        <f t="shared" si="1502"/>
        <v>72077001</v>
      </c>
      <c r="D8379">
        <v>89301152</v>
      </c>
      <c r="E8379" t="str">
        <f t="shared" si="1504"/>
        <v>6509221565</v>
      </c>
      <c r="F8379" s="1">
        <v>45105</v>
      </c>
      <c r="G8379" t="str">
        <f t="shared" si="1505"/>
        <v>91219</v>
      </c>
      <c r="H8379">
        <v>1</v>
      </c>
      <c r="I8379">
        <v>343</v>
      </c>
      <c r="J8379">
        <v>0</v>
      </c>
      <c r="K8379" t="str">
        <f t="shared" si="1503"/>
        <v>813</v>
      </c>
      <c r="L8379">
        <v>288.12</v>
      </c>
    </row>
    <row r="8380" spans="1:12" x14ac:dyDescent="0.25">
      <c r="A8380" t="str">
        <f t="shared" si="1495"/>
        <v>89301000</v>
      </c>
      <c r="B8380" t="str">
        <f t="shared" si="1501"/>
        <v>72077000</v>
      </c>
      <c r="C8380" t="str">
        <f t="shared" si="1502"/>
        <v>72077001</v>
      </c>
      <c r="D8380">
        <v>89301152</v>
      </c>
      <c r="E8380" t="str">
        <f t="shared" si="1504"/>
        <v>6509221565</v>
      </c>
      <c r="F8380" s="1">
        <v>45105</v>
      </c>
      <c r="G8380" t="str">
        <f t="shared" si="1505"/>
        <v>91219</v>
      </c>
      <c r="H8380">
        <v>1</v>
      </c>
      <c r="I8380">
        <v>343</v>
      </c>
      <c r="J8380">
        <v>0</v>
      </c>
      <c r="K8380" t="str">
        <f t="shared" si="1503"/>
        <v>813</v>
      </c>
      <c r="L8380">
        <v>288.12</v>
      </c>
    </row>
    <row r="8381" spans="1:12" x14ac:dyDescent="0.25">
      <c r="A8381" t="str">
        <f t="shared" si="1495"/>
        <v>89301000</v>
      </c>
      <c r="B8381" t="str">
        <f t="shared" si="1501"/>
        <v>72077000</v>
      </c>
      <c r="C8381" t="str">
        <f t="shared" si="1502"/>
        <v>72077001</v>
      </c>
      <c r="D8381">
        <v>89301152</v>
      </c>
      <c r="E8381" t="str">
        <f t="shared" si="1504"/>
        <v>6509221565</v>
      </c>
      <c r="F8381" s="1">
        <v>45105</v>
      </c>
      <c r="G8381" t="str">
        <f t="shared" si="1505"/>
        <v>91219</v>
      </c>
      <c r="H8381">
        <v>1</v>
      </c>
      <c r="I8381">
        <v>343</v>
      </c>
      <c r="J8381">
        <v>0</v>
      </c>
      <c r="K8381" t="str">
        <f t="shared" si="1503"/>
        <v>813</v>
      </c>
      <c r="L8381">
        <v>288.12</v>
      </c>
    </row>
    <row r="8382" spans="1:12" x14ac:dyDescent="0.25">
      <c r="A8382" t="str">
        <f t="shared" si="1495"/>
        <v>89301000</v>
      </c>
      <c r="B8382" t="str">
        <f t="shared" si="1501"/>
        <v>72077000</v>
      </c>
      <c r="C8382" t="str">
        <f t="shared" si="1502"/>
        <v>72077001</v>
      </c>
      <c r="D8382">
        <v>89301152</v>
      </c>
      <c r="E8382" t="str">
        <f t="shared" si="1504"/>
        <v>6509221565</v>
      </c>
      <c r="F8382" s="1">
        <v>45105</v>
      </c>
      <c r="G8382" t="str">
        <f t="shared" si="1505"/>
        <v>91219</v>
      </c>
      <c r="H8382">
        <v>1</v>
      </c>
      <c r="I8382">
        <v>343</v>
      </c>
      <c r="J8382">
        <v>0</v>
      </c>
      <c r="K8382" t="str">
        <f t="shared" si="1503"/>
        <v>813</v>
      </c>
      <c r="L8382">
        <v>288.12</v>
      </c>
    </row>
    <row r="8383" spans="1:12" x14ac:dyDescent="0.25">
      <c r="A8383" t="str">
        <f t="shared" si="1495"/>
        <v>89301000</v>
      </c>
      <c r="B8383" t="str">
        <f t="shared" si="1501"/>
        <v>72077000</v>
      </c>
      <c r="C8383" t="str">
        <f t="shared" si="1502"/>
        <v>72077001</v>
      </c>
      <c r="D8383">
        <v>89301152</v>
      </c>
      <c r="E8383" t="str">
        <f t="shared" si="1504"/>
        <v>6509221565</v>
      </c>
      <c r="F8383" s="1">
        <v>45105</v>
      </c>
      <c r="G8383" t="str">
        <f t="shared" si="1505"/>
        <v>91219</v>
      </c>
      <c r="H8383">
        <v>1</v>
      </c>
      <c r="I8383">
        <v>343</v>
      </c>
      <c r="J8383">
        <v>0</v>
      </c>
      <c r="K8383" t="str">
        <f t="shared" si="1503"/>
        <v>813</v>
      </c>
      <c r="L8383">
        <v>288.12</v>
      </c>
    </row>
    <row r="8384" spans="1:12" x14ac:dyDescent="0.25">
      <c r="A8384" t="str">
        <f t="shared" si="1495"/>
        <v>89301000</v>
      </c>
      <c r="B8384" t="str">
        <f t="shared" si="1501"/>
        <v>72077000</v>
      </c>
      <c r="C8384" t="str">
        <f t="shared" si="1502"/>
        <v>72077001</v>
      </c>
      <c r="D8384">
        <v>89301152</v>
      </c>
      <c r="E8384" t="str">
        <f>"9412136151"</f>
        <v>9412136151</v>
      </c>
      <c r="F8384" s="1">
        <v>45107</v>
      </c>
      <c r="G8384" t="str">
        <f>"91197"</f>
        <v>91197</v>
      </c>
      <c r="H8384">
        <v>1</v>
      </c>
      <c r="I8384">
        <v>1048</v>
      </c>
      <c r="J8384">
        <v>0</v>
      </c>
      <c r="K8384" t="str">
        <f t="shared" si="1503"/>
        <v>813</v>
      </c>
      <c r="L8384">
        <v>880.32</v>
      </c>
    </row>
    <row r="8385" spans="1:12" x14ac:dyDescent="0.25">
      <c r="A8385" t="str">
        <f t="shared" si="1495"/>
        <v>89301000</v>
      </c>
      <c r="B8385" t="str">
        <f t="shared" si="1501"/>
        <v>72077000</v>
      </c>
      <c r="C8385" t="str">
        <f t="shared" si="1502"/>
        <v>72077001</v>
      </c>
      <c r="D8385">
        <v>89301152</v>
      </c>
      <c r="E8385" t="str">
        <f>"9654256194"</f>
        <v>9654256194</v>
      </c>
      <c r="F8385" s="1">
        <v>45107</v>
      </c>
      <c r="G8385" t="str">
        <f>"91197"</f>
        <v>91197</v>
      </c>
      <c r="H8385">
        <v>1</v>
      </c>
      <c r="I8385">
        <v>1048</v>
      </c>
      <c r="J8385">
        <v>0</v>
      </c>
      <c r="K8385" t="str">
        <f t="shared" si="1503"/>
        <v>813</v>
      </c>
      <c r="L8385">
        <v>880.32</v>
      </c>
    </row>
    <row r="8386" spans="1:12" x14ac:dyDescent="0.25">
      <c r="A8386" t="str">
        <f t="shared" ref="A8386:A8449" si="1506">"89301000"</f>
        <v>89301000</v>
      </c>
      <c r="B8386" t="str">
        <f t="shared" ref="B8386:B8417" si="1507">"95202000"</f>
        <v>95202000</v>
      </c>
      <c r="C8386" t="str">
        <f t="shared" ref="C8386:C8417" si="1508">"95202096"</f>
        <v>95202096</v>
      </c>
      <c r="D8386">
        <v>89301167</v>
      </c>
      <c r="E8386" t="str">
        <f t="shared" ref="E8386:E8403" si="1509">"521204004"</f>
        <v>521204004</v>
      </c>
      <c r="F8386" s="1">
        <v>45117</v>
      </c>
      <c r="G8386" t="str">
        <f>"81329"</f>
        <v>81329</v>
      </c>
      <c r="H8386">
        <v>1</v>
      </c>
      <c r="I8386">
        <v>17</v>
      </c>
      <c r="J8386">
        <v>0</v>
      </c>
      <c r="K8386" t="str">
        <f t="shared" ref="K8386:K8417" si="1510">"801"</f>
        <v>801</v>
      </c>
      <c r="L8386">
        <v>14.28</v>
      </c>
    </row>
    <row r="8387" spans="1:12" x14ac:dyDescent="0.25">
      <c r="A8387" t="str">
        <f t="shared" si="1506"/>
        <v>89301000</v>
      </c>
      <c r="B8387" t="str">
        <f t="shared" si="1507"/>
        <v>95202000</v>
      </c>
      <c r="C8387" t="str">
        <f t="shared" si="1508"/>
        <v>95202096</v>
      </c>
      <c r="D8387">
        <v>89301167</v>
      </c>
      <c r="E8387" t="str">
        <f t="shared" si="1509"/>
        <v>521204004</v>
      </c>
      <c r="F8387" s="1">
        <v>45117</v>
      </c>
      <c r="G8387" t="str">
        <f>"81337"</f>
        <v>81337</v>
      </c>
      <c r="H8387">
        <v>1</v>
      </c>
      <c r="I8387">
        <v>20</v>
      </c>
      <c r="J8387">
        <v>0</v>
      </c>
      <c r="K8387" t="str">
        <f t="shared" si="1510"/>
        <v>801</v>
      </c>
      <c r="L8387">
        <v>16.8</v>
      </c>
    </row>
    <row r="8388" spans="1:12" x14ac:dyDescent="0.25">
      <c r="A8388" t="str">
        <f t="shared" si="1506"/>
        <v>89301000</v>
      </c>
      <c r="B8388" t="str">
        <f t="shared" si="1507"/>
        <v>95202000</v>
      </c>
      <c r="C8388" t="str">
        <f t="shared" si="1508"/>
        <v>95202096</v>
      </c>
      <c r="D8388">
        <v>89301167</v>
      </c>
      <c r="E8388" t="str">
        <f t="shared" si="1509"/>
        <v>521204004</v>
      </c>
      <c r="F8388" s="1">
        <v>45117</v>
      </c>
      <c r="G8388" t="str">
        <f>"81357"</f>
        <v>81357</v>
      </c>
      <c r="H8388">
        <v>1</v>
      </c>
      <c r="I8388">
        <v>20</v>
      </c>
      <c r="J8388">
        <v>0</v>
      </c>
      <c r="K8388" t="str">
        <f t="shared" si="1510"/>
        <v>801</v>
      </c>
      <c r="L8388">
        <v>16.8</v>
      </c>
    </row>
    <row r="8389" spans="1:12" x14ac:dyDescent="0.25">
      <c r="A8389" t="str">
        <f t="shared" si="1506"/>
        <v>89301000</v>
      </c>
      <c r="B8389" t="str">
        <f t="shared" si="1507"/>
        <v>95202000</v>
      </c>
      <c r="C8389" t="str">
        <f t="shared" si="1508"/>
        <v>95202096</v>
      </c>
      <c r="D8389">
        <v>89301167</v>
      </c>
      <c r="E8389" t="str">
        <f t="shared" si="1509"/>
        <v>521204004</v>
      </c>
      <c r="F8389" s="1">
        <v>45117</v>
      </c>
      <c r="G8389" t="str">
        <f>"81361"</f>
        <v>81361</v>
      </c>
      <c r="H8389">
        <v>1</v>
      </c>
      <c r="I8389">
        <v>17</v>
      </c>
      <c r="J8389">
        <v>0</v>
      </c>
      <c r="K8389" t="str">
        <f t="shared" si="1510"/>
        <v>801</v>
      </c>
      <c r="L8389">
        <v>14.28</v>
      </c>
    </row>
    <row r="8390" spans="1:12" x14ac:dyDescent="0.25">
      <c r="A8390" t="str">
        <f t="shared" si="1506"/>
        <v>89301000</v>
      </c>
      <c r="B8390" t="str">
        <f t="shared" si="1507"/>
        <v>95202000</v>
      </c>
      <c r="C8390" t="str">
        <f t="shared" si="1508"/>
        <v>95202096</v>
      </c>
      <c r="D8390">
        <v>89301167</v>
      </c>
      <c r="E8390" t="str">
        <f t="shared" si="1509"/>
        <v>521204004</v>
      </c>
      <c r="F8390" s="1">
        <v>45117</v>
      </c>
      <c r="G8390" t="str">
        <f>"81365"</f>
        <v>81365</v>
      </c>
      <c r="H8390">
        <v>1</v>
      </c>
      <c r="I8390">
        <v>16</v>
      </c>
      <c r="J8390">
        <v>0</v>
      </c>
      <c r="K8390" t="str">
        <f t="shared" si="1510"/>
        <v>801</v>
      </c>
      <c r="L8390">
        <v>13.44</v>
      </c>
    </row>
    <row r="8391" spans="1:12" x14ac:dyDescent="0.25">
      <c r="A8391" t="str">
        <f t="shared" si="1506"/>
        <v>89301000</v>
      </c>
      <c r="B8391" t="str">
        <f t="shared" si="1507"/>
        <v>95202000</v>
      </c>
      <c r="C8391" t="str">
        <f t="shared" si="1508"/>
        <v>95202096</v>
      </c>
      <c r="D8391">
        <v>89301167</v>
      </c>
      <c r="E8391" t="str">
        <f t="shared" si="1509"/>
        <v>521204004</v>
      </c>
      <c r="F8391" s="1">
        <v>45117</v>
      </c>
      <c r="G8391" t="str">
        <f>"81383"</f>
        <v>81383</v>
      </c>
      <c r="H8391">
        <v>1</v>
      </c>
      <c r="I8391">
        <v>24</v>
      </c>
      <c r="J8391">
        <v>0</v>
      </c>
      <c r="K8391" t="str">
        <f t="shared" si="1510"/>
        <v>801</v>
      </c>
      <c r="L8391">
        <v>20.16</v>
      </c>
    </row>
    <row r="8392" spans="1:12" x14ac:dyDescent="0.25">
      <c r="A8392" t="str">
        <f t="shared" si="1506"/>
        <v>89301000</v>
      </c>
      <c r="B8392" t="str">
        <f t="shared" si="1507"/>
        <v>95202000</v>
      </c>
      <c r="C8392" t="str">
        <f t="shared" si="1508"/>
        <v>95202096</v>
      </c>
      <c r="D8392">
        <v>89301167</v>
      </c>
      <c r="E8392" t="str">
        <f t="shared" si="1509"/>
        <v>521204004</v>
      </c>
      <c r="F8392" s="1">
        <v>45117</v>
      </c>
      <c r="G8392" t="str">
        <f>"81393"</f>
        <v>81393</v>
      </c>
      <c r="H8392">
        <v>1</v>
      </c>
      <c r="I8392">
        <v>24</v>
      </c>
      <c r="J8392">
        <v>0</v>
      </c>
      <c r="K8392" t="str">
        <f t="shared" si="1510"/>
        <v>801</v>
      </c>
      <c r="L8392">
        <v>20.16</v>
      </c>
    </row>
    <row r="8393" spans="1:12" x14ac:dyDescent="0.25">
      <c r="A8393" t="str">
        <f t="shared" si="1506"/>
        <v>89301000</v>
      </c>
      <c r="B8393" t="str">
        <f t="shared" si="1507"/>
        <v>95202000</v>
      </c>
      <c r="C8393" t="str">
        <f t="shared" si="1508"/>
        <v>95202096</v>
      </c>
      <c r="D8393">
        <v>89301167</v>
      </c>
      <c r="E8393" t="str">
        <f t="shared" si="1509"/>
        <v>521204004</v>
      </c>
      <c r="F8393" s="1">
        <v>45117</v>
      </c>
      <c r="G8393" t="str">
        <f>"81421"</f>
        <v>81421</v>
      </c>
      <c r="H8393">
        <v>1</v>
      </c>
      <c r="I8393">
        <v>19</v>
      </c>
      <c r="J8393">
        <v>0</v>
      </c>
      <c r="K8393" t="str">
        <f t="shared" si="1510"/>
        <v>801</v>
      </c>
      <c r="L8393">
        <v>15.96</v>
      </c>
    </row>
    <row r="8394" spans="1:12" x14ac:dyDescent="0.25">
      <c r="A8394" t="str">
        <f t="shared" si="1506"/>
        <v>89301000</v>
      </c>
      <c r="B8394" t="str">
        <f t="shared" si="1507"/>
        <v>95202000</v>
      </c>
      <c r="C8394" t="str">
        <f t="shared" si="1508"/>
        <v>95202096</v>
      </c>
      <c r="D8394">
        <v>89301167</v>
      </c>
      <c r="E8394" t="str">
        <f t="shared" si="1509"/>
        <v>521204004</v>
      </c>
      <c r="F8394" s="1">
        <v>45117</v>
      </c>
      <c r="G8394" t="str">
        <f>"81435"</f>
        <v>81435</v>
      </c>
      <c r="H8394">
        <v>1</v>
      </c>
      <c r="I8394">
        <v>22</v>
      </c>
      <c r="J8394">
        <v>0</v>
      </c>
      <c r="K8394" t="str">
        <f t="shared" si="1510"/>
        <v>801</v>
      </c>
      <c r="L8394">
        <v>18.48</v>
      </c>
    </row>
    <row r="8395" spans="1:12" x14ac:dyDescent="0.25">
      <c r="A8395" t="str">
        <f t="shared" si="1506"/>
        <v>89301000</v>
      </c>
      <c r="B8395" t="str">
        <f t="shared" si="1507"/>
        <v>95202000</v>
      </c>
      <c r="C8395" t="str">
        <f t="shared" si="1508"/>
        <v>95202096</v>
      </c>
      <c r="D8395">
        <v>89301167</v>
      </c>
      <c r="E8395" t="str">
        <f t="shared" si="1509"/>
        <v>521204004</v>
      </c>
      <c r="F8395" s="1">
        <v>45117</v>
      </c>
      <c r="G8395" t="str">
        <f>"81439"</f>
        <v>81439</v>
      </c>
      <c r="H8395">
        <v>1</v>
      </c>
      <c r="I8395">
        <v>16</v>
      </c>
      <c r="J8395">
        <v>0</v>
      </c>
      <c r="K8395" t="str">
        <f t="shared" si="1510"/>
        <v>801</v>
      </c>
      <c r="L8395">
        <v>13.44</v>
      </c>
    </row>
    <row r="8396" spans="1:12" x14ac:dyDescent="0.25">
      <c r="A8396" t="str">
        <f t="shared" si="1506"/>
        <v>89301000</v>
      </c>
      <c r="B8396" t="str">
        <f t="shared" si="1507"/>
        <v>95202000</v>
      </c>
      <c r="C8396" t="str">
        <f t="shared" si="1508"/>
        <v>95202096</v>
      </c>
      <c r="D8396">
        <v>89301167</v>
      </c>
      <c r="E8396" t="str">
        <f t="shared" si="1509"/>
        <v>521204004</v>
      </c>
      <c r="F8396" s="1">
        <v>45117</v>
      </c>
      <c r="G8396" t="str">
        <f>"81469"</f>
        <v>81469</v>
      </c>
      <c r="H8396">
        <v>1</v>
      </c>
      <c r="I8396">
        <v>16</v>
      </c>
      <c r="J8396">
        <v>0</v>
      </c>
      <c r="K8396" t="str">
        <f t="shared" si="1510"/>
        <v>801</v>
      </c>
      <c r="L8396">
        <v>13.44</v>
      </c>
    </row>
    <row r="8397" spans="1:12" x14ac:dyDescent="0.25">
      <c r="A8397" t="str">
        <f t="shared" si="1506"/>
        <v>89301000</v>
      </c>
      <c r="B8397" t="str">
        <f t="shared" si="1507"/>
        <v>95202000</v>
      </c>
      <c r="C8397" t="str">
        <f t="shared" si="1508"/>
        <v>95202096</v>
      </c>
      <c r="D8397">
        <v>89301167</v>
      </c>
      <c r="E8397" t="str">
        <f t="shared" si="1509"/>
        <v>521204004</v>
      </c>
      <c r="F8397" s="1">
        <v>45117</v>
      </c>
      <c r="G8397" t="str">
        <f>"81499"</f>
        <v>81499</v>
      </c>
      <c r="H8397">
        <v>1</v>
      </c>
      <c r="I8397">
        <v>18</v>
      </c>
      <c r="J8397">
        <v>0</v>
      </c>
      <c r="K8397" t="str">
        <f t="shared" si="1510"/>
        <v>801</v>
      </c>
      <c r="L8397">
        <v>15.12</v>
      </c>
    </row>
    <row r="8398" spans="1:12" x14ac:dyDescent="0.25">
      <c r="A8398" t="str">
        <f t="shared" si="1506"/>
        <v>89301000</v>
      </c>
      <c r="B8398" t="str">
        <f t="shared" si="1507"/>
        <v>95202000</v>
      </c>
      <c r="C8398" t="str">
        <f t="shared" si="1508"/>
        <v>95202096</v>
      </c>
      <c r="D8398">
        <v>89301167</v>
      </c>
      <c r="E8398" t="str">
        <f t="shared" si="1509"/>
        <v>521204004</v>
      </c>
      <c r="F8398" s="1">
        <v>45117</v>
      </c>
      <c r="G8398" t="str">
        <f>"81593"</f>
        <v>81593</v>
      </c>
      <c r="H8398">
        <v>1</v>
      </c>
      <c r="I8398">
        <v>22</v>
      </c>
      <c r="J8398">
        <v>0</v>
      </c>
      <c r="K8398" t="str">
        <f t="shared" si="1510"/>
        <v>801</v>
      </c>
      <c r="L8398">
        <v>18.48</v>
      </c>
    </row>
    <row r="8399" spans="1:12" x14ac:dyDescent="0.25">
      <c r="A8399" t="str">
        <f t="shared" si="1506"/>
        <v>89301000</v>
      </c>
      <c r="B8399" t="str">
        <f t="shared" si="1507"/>
        <v>95202000</v>
      </c>
      <c r="C8399" t="str">
        <f t="shared" si="1508"/>
        <v>95202096</v>
      </c>
      <c r="D8399">
        <v>89301167</v>
      </c>
      <c r="E8399" t="str">
        <f t="shared" si="1509"/>
        <v>521204004</v>
      </c>
      <c r="F8399" s="1">
        <v>45117</v>
      </c>
      <c r="G8399" t="str">
        <f>"81621"</f>
        <v>81621</v>
      </c>
      <c r="H8399">
        <v>1</v>
      </c>
      <c r="I8399">
        <v>19</v>
      </c>
      <c r="J8399">
        <v>0</v>
      </c>
      <c r="K8399" t="str">
        <f t="shared" si="1510"/>
        <v>801</v>
      </c>
      <c r="L8399">
        <v>15.96</v>
      </c>
    </row>
    <row r="8400" spans="1:12" x14ac:dyDescent="0.25">
      <c r="A8400" t="str">
        <f t="shared" si="1506"/>
        <v>89301000</v>
      </c>
      <c r="B8400" t="str">
        <f t="shared" si="1507"/>
        <v>95202000</v>
      </c>
      <c r="C8400" t="str">
        <f t="shared" si="1508"/>
        <v>95202096</v>
      </c>
      <c r="D8400">
        <v>89301167</v>
      </c>
      <c r="E8400" t="str">
        <f t="shared" si="1509"/>
        <v>521204004</v>
      </c>
      <c r="F8400" s="1">
        <v>45117</v>
      </c>
      <c r="G8400" t="str">
        <f>"81625"</f>
        <v>81625</v>
      </c>
      <c r="H8400">
        <v>1</v>
      </c>
      <c r="I8400">
        <v>21</v>
      </c>
      <c r="J8400">
        <v>0</v>
      </c>
      <c r="K8400" t="str">
        <f t="shared" si="1510"/>
        <v>801</v>
      </c>
      <c r="L8400">
        <v>17.64</v>
      </c>
    </row>
    <row r="8401" spans="1:12" x14ac:dyDescent="0.25">
      <c r="A8401" t="str">
        <f t="shared" si="1506"/>
        <v>89301000</v>
      </c>
      <c r="B8401" t="str">
        <f t="shared" si="1507"/>
        <v>95202000</v>
      </c>
      <c r="C8401" t="str">
        <f t="shared" si="1508"/>
        <v>95202096</v>
      </c>
      <c r="D8401">
        <v>89301167</v>
      </c>
      <c r="E8401" t="str">
        <f t="shared" si="1509"/>
        <v>521204004</v>
      </c>
      <c r="F8401" s="1">
        <v>45117</v>
      </c>
      <c r="G8401" t="str">
        <f>"91153"</f>
        <v>91153</v>
      </c>
      <c r="H8401">
        <v>1</v>
      </c>
      <c r="I8401">
        <v>153</v>
      </c>
      <c r="J8401">
        <v>0</v>
      </c>
      <c r="K8401" t="str">
        <f t="shared" si="1510"/>
        <v>801</v>
      </c>
      <c r="L8401">
        <v>128.52000000000001</v>
      </c>
    </row>
    <row r="8402" spans="1:12" x14ac:dyDescent="0.25">
      <c r="A8402" t="str">
        <f t="shared" si="1506"/>
        <v>89301000</v>
      </c>
      <c r="B8402" t="str">
        <f t="shared" si="1507"/>
        <v>95202000</v>
      </c>
      <c r="C8402" t="str">
        <f t="shared" si="1508"/>
        <v>95202096</v>
      </c>
      <c r="D8402">
        <v>89301167</v>
      </c>
      <c r="E8402" t="str">
        <f t="shared" si="1509"/>
        <v>521204004</v>
      </c>
      <c r="F8402" s="1">
        <v>45117</v>
      </c>
      <c r="G8402" t="str">
        <f>"93221"</f>
        <v>93221</v>
      </c>
      <c r="H8402">
        <v>1</v>
      </c>
      <c r="I8402">
        <v>190</v>
      </c>
      <c r="J8402">
        <v>0</v>
      </c>
      <c r="K8402" t="str">
        <f t="shared" si="1510"/>
        <v>801</v>
      </c>
      <c r="L8402">
        <v>159.6</v>
      </c>
    </row>
    <row r="8403" spans="1:12" x14ac:dyDescent="0.25">
      <c r="A8403" t="str">
        <f t="shared" si="1506"/>
        <v>89301000</v>
      </c>
      <c r="B8403" t="str">
        <f t="shared" si="1507"/>
        <v>95202000</v>
      </c>
      <c r="C8403" t="str">
        <f t="shared" si="1508"/>
        <v>95202096</v>
      </c>
      <c r="D8403">
        <v>89301167</v>
      </c>
      <c r="E8403" t="str">
        <f t="shared" si="1509"/>
        <v>521204004</v>
      </c>
      <c r="F8403" s="1">
        <v>45117</v>
      </c>
      <c r="G8403" t="str">
        <f>"97111"</f>
        <v>97111</v>
      </c>
      <c r="H8403">
        <v>1</v>
      </c>
      <c r="I8403">
        <v>19</v>
      </c>
      <c r="J8403">
        <v>0</v>
      </c>
      <c r="K8403" t="str">
        <f t="shared" si="1510"/>
        <v>801</v>
      </c>
      <c r="L8403">
        <v>23.94</v>
      </c>
    </row>
    <row r="8404" spans="1:12" x14ac:dyDescent="0.25">
      <c r="A8404" t="str">
        <f t="shared" si="1506"/>
        <v>89301000</v>
      </c>
      <c r="B8404" t="str">
        <f t="shared" si="1507"/>
        <v>95202000</v>
      </c>
      <c r="C8404" t="str">
        <f t="shared" si="1508"/>
        <v>95202096</v>
      </c>
      <c r="D8404">
        <v>89301082</v>
      </c>
      <c r="E8404" t="str">
        <f>"8459215776"</f>
        <v>8459215776</v>
      </c>
      <c r="F8404" s="1">
        <v>45110</v>
      </c>
      <c r="G8404" t="str">
        <f>"93159"</f>
        <v>93159</v>
      </c>
      <c r="H8404">
        <v>1</v>
      </c>
      <c r="I8404">
        <v>197</v>
      </c>
      <c r="J8404">
        <v>0</v>
      </c>
      <c r="K8404" t="str">
        <f t="shared" si="1510"/>
        <v>801</v>
      </c>
      <c r="L8404">
        <v>165.48</v>
      </c>
    </row>
    <row r="8405" spans="1:12" x14ac:dyDescent="0.25">
      <c r="A8405" t="str">
        <f t="shared" si="1506"/>
        <v>89301000</v>
      </c>
      <c r="B8405" t="str">
        <f t="shared" si="1507"/>
        <v>95202000</v>
      </c>
      <c r="C8405" t="str">
        <f t="shared" si="1508"/>
        <v>95202096</v>
      </c>
      <c r="D8405">
        <v>89301082</v>
      </c>
      <c r="E8405" t="str">
        <f>"8459215776"</f>
        <v>8459215776</v>
      </c>
      <c r="F8405" s="1">
        <v>45110</v>
      </c>
      <c r="G8405" t="str">
        <f>"97111"</f>
        <v>97111</v>
      </c>
      <c r="H8405">
        <v>1</v>
      </c>
      <c r="I8405">
        <v>19</v>
      </c>
      <c r="J8405">
        <v>0</v>
      </c>
      <c r="K8405" t="str">
        <f t="shared" si="1510"/>
        <v>801</v>
      </c>
      <c r="L8405">
        <v>23.94</v>
      </c>
    </row>
    <row r="8406" spans="1:12" x14ac:dyDescent="0.25">
      <c r="A8406" t="str">
        <f t="shared" si="1506"/>
        <v>89301000</v>
      </c>
      <c r="B8406" t="str">
        <f t="shared" si="1507"/>
        <v>95202000</v>
      </c>
      <c r="C8406" t="str">
        <f t="shared" si="1508"/>
        <v>95202096</v>
      </c>
      <c r="D8406">
        <v>89301167</v>
      </c>
      <c r="E8406" t="str">
        <f t="shared" ref="E8406:E8422" si="1511">"5707200807"</f>
        <v>5707200807</v>
      </c>
      <c r="F8406" s="1">
        <v>45132</v>
      </c>
      <c r="G8406" t="str">
        <f>"81329"</f>
        <v>81329</v>
      </c>
      <c r="H8406">
        <v>1</v>
      </c>
      <c r="I8406">
        <v>17</v>
      </c>
      <c r="J8406">
        <v>0</v>
      </c>
      <c r="K8406" t="str">
        <f t="shared" si="1510"/>
        <v>801</v>
      </c>
      <c r="L8406">
        <v>14.28</v>
      </c>
    </row>
    <row r="8407" spans="1:12" x14ac:dyDescent="0.25">
      <c r="A8407" t="str">
        <f t="shared" si="1506"/>
        <v>89301000</v>
      </c>
      <c r="B8407" t="str">
        <f t="shared" si="1507"/>
        <v>95202000</v>
      </c>
      <c r="C8407" t="str">
        <f t="shared" si="1508"/>
        <v>95202096</v>
      </c>
      <c r="D8407">
        <v>89301167</v>
      </c>
      <c r="E8407" t="str">
        <f t="shared" si="1511"/>
        <v>5707200807</v>
      </c>
      <c r="F8407" s="1">
        <v>45132</v>
      </c>
      <c r="G8407" t="str">
        <f>"81337"</f>
        <v>81337</v>
      </c>
      <c r="H8407">
        <v>1</v>
      </c>
      <c r="I8407">
        <v>20</v>
      </c>
      <c r="J8407">
        <v>0</v>
      </c>
      <c r="K8407" t="str">
        <f t="shared" si="1510"/>
        <v>801</v>
      </c>
      <c r="L8407">
        <v>16.8</v>
      </c>
    </row>
    <row r="8408" spans="1:12" x14ac:dyDescent="0.25">
      <c r="A8408" t="str">
        <f t="shared" si="1506"/>
        <v>89301000</v>
      </c>
      <c r="B8408" t="str">
        <f t="shared" si="1507"/>
        <v>95202000</v>
      </c>
      <c r="C8408" t="str">
        <f t="shared" si="1508"/>
        <v>95202096</v>
      </c>
      <c r="D8408">
        <v>89301167</v>
      </c>
      <c r="E8408" t="str">
        <f t="shared" si="1511"/>
        <v>5707200807</v>
      </c>
      <c r="F8408" s="1">
        <v>45132</v>
      </c>
      <c r="G8408" t="str">
        <f>"81357"</f>
        <v>81357</v>
      </c>
      <c r="H8408">
        <v>1</v>
      </c>
      <c r="I8408">
        <v>20</v>
      </c>
      <c r="J8408">
        <v>0</v>
      </c>
      <c r="K8408" t="str">
        <f t="shared" si="1510"/>
        <v>801</v>
      </c>
      <c r="L8408">
        <v>16.8</v>
      </c>
    </row>
    <row r="8409" spans="1:12" x14ac:dyDescent="0.25">
      <c r="A8409" t="str">
        <f t="shared" si="1506"/>
        <v>89301000</v>
      </c>
      <c r="B8409" t="str">
        <f t="shared" si="1507"/>
        <v>95202000</v>
      </c>
      <c r="C8409" t="str">
        <f t="shared" si="1508"/>
        <v>95202096</v>
      </c>
      <c r="D8409">
        <v>89301167</v>
      </c>
      <c r="E8409" t="str">
        <f t="shared" si="1511"/>
        <v>5707200807</v>
      </c>
      <c r="F8409" s="1">
        <v>45132</v>
      </c>
      <c r="G8409" t="str">
        <f>"81365"</f>
        <v>81365</v>
      </c>
      <c r="H8409">
        <v>1</v>
      </c>
      <c r="I8409">
        <v>16</v>
      </c>
      <c r="J8409">
        <v>0</v>
      </c>
      <c r="K8409" t="str">
        <f t="shared" si="1510"/>
        <v>801</v>
      </c>
      <c r="L8409">
        <v>13.44</v>
      </c>
    </row>
    <row r="8410" spans="1:12" x14ac:dyDescent="0.25">
      <c r="A8410" t="str">
        <f t="shared" si="1506"/>
        <v>89301000</v>
      </c>
      <c r="B8410" t="str">
        <f t="shared" si="1507"/>
        <v>95202000</v>
      </c>
      <c r="C8410" t="str">
        <f t="shared" si="1508"/>
        <v>95202096</v>
      </c>
      <c r="D8410">
        <v>89301167</v>
      </c>
      <c r="E8410" t="str">
        <f t="shared" si="1511"/>
        <v>5707200807</v>
      </c>
      <c r="F8410" s="1">
        <v>45132</v>
      </c>
      <c r="G8410" t="str">
        <f>"81383"</f>
        <v>81383</v>
      </c>
      <c r="H8410">
        <v>1</v>
      </c>
      <c r="I8410">
        <v>24</v>
      </c>
      <c r="J8410">
        <v>0</v>
      </c>
      <c r="K8410" t="str">
        <f t="shared" si="1510"/>
        <v>801</v>
      </c>
      <c r="L8410">
        <v>20.16</v>
      </c>
    </row>
    <row r="8411" spans="1:12" x14ac:dyDescent="0.25">
      <c r="A8411" t="str">
        <f t="shared" si="1506"/>
        <v>89301000</v>
      </c>
      <c r="B8411" t="str">
        <f t="shared" si="1507"/>
        <v>95202000</v>
      </c>
      <c r="C8411" t="str">
        <f t="shared" si="1508"/>
        <v>95202096</v>
      </c>
      <c r="D8411">
        <v>89301167</v>
      </c>
      <c r="E8411" t="str">
        <f t="shared" si="1511"/>
        <v>5707200807</v>
      </c>
      <c r="F8411" s="1">
        <v>45132</v>
      </c>
      <c r="G8411" t="str">
        <f>"81393"</f>
        <v>81393</v>
      </c>
      <c r="H8411">
        <v>1</v>
      </c>
      <c r="I8411">
        <v>24</v>
      </c>
      <c r="J8411">
        <v>0</v>
      </c>
      <c r="K8411" t="str">
        <f t="shared" si="1510"/>
        <v>801</v>
      </c>
      <c r="L8411">
        <v>20.16</v>
      </c>
    </row>
    <row r="8412" spans="1:12" x14ac:dyDescent="0.25">
      <c r="A8412" t="str">
        <f t="shared" si="1506"/>
        <v>89301000</v>
      </c>
      <c r="B8412" t="str">
        <f t="shared" si="1507"/>
        <v>95202000</v>
      </c>
      <c r="C8412" t="str">
        <f t="shared" si="1508"/>
        <v>95202096</v>
      </c>
      <c r="D8412">
        <v>89301167</v>
      </c>
      <c r="E8412" t="str">
        <f t="shared" si="1511"/>
        <v>5707200807</v>
      </c>
      <c r="F8412" s="1">
        <v>45132</v>
      </c>
      <c r="G8412" t="str">
        <f>"81421"</f>
        <v>81421</v>
      </c>
      <c r="H8412">
        <v>1</v>
      </c>
      <c r="I8412">
        <v>19</v>
      </c>
      <c r="J8412">
        <v>0</v>
      </c>
      <c r="K8412" t="str">
        <f t="shared" si="1510"/>
        <v>801</v>
      </c>
      <c r="L8412">
        <v>15.96</v>
      </c>
    </row>
    <row r="8413" spans="1:12" x14ac:dyDescent="0.25">
      <c r="A8413" t="str">
        <f t="shared" si="1506"/>
        <v>89301000</v>
      </c>
      <c r="B8413" t="str">
        <f t="shared" si="1507"/>
        <v>95202000</v>
      </c>
      <c r="C8413" t="str">
        <f t="shared" si="1508"/>
        <v>95202096</v>
      </c>
      <c r="D8413">
        <v>89301167</v>
      </c>
      <c r="E8413" t="str">
        <f t="shared" si="1511"/>
        <v>5707200807</v>
      </c>
      <c r="F8413" s="1">
        <v>45132</v>
      </c>
      <c r="G8413" t="str">
        <f>"81435"</f>
        <v>81435</v>
      </c>
      <c r="H8413">
        <v>1</v>
      </c>
      <c r="I8413">
        <v>22</v>
      </c>
      <c r="J8413">
        <v>0</v>
      </c>
      <c r="K8413" t="str">
        <f t="shared" si="1510"/>
        <v>801</v>
      </c>
      <c r="L8413">
        <v>18.48</v>
      </c>
    </row>
    <row r="8414" spans="1:12" x14ac:dyDescent="0.25">
      <c r="A8414" t="str">
        <f t="shared" si="1506"/>
        <v>89301000</v>
      </c>
      <c r="B8414" t="str">
        <f t="shared" si="1507"/>
        <v>95202000</v>
      </c>
      <c r="C8414" t="str">
        <f t="shared" si="1508"/>
        <v>95202096</v>
      </c>
      <c r="D8414">
        <v>89301167</v>
      </c>
      <c r="E8414" t="str">
        <f t="shared" si="1511"/>
        <v>5707200807</v>
      </c>
      <c r="F8414" s="1">
        <v>45132</v>
      </c>
      <c r="G8414" t="str">
        <f>"81439"</f>
        <v>81439</v>
      </c>
      <c r="H8414">
        <v>1</v>
      </c>
      <c r="I8414">
        <v>16</v>
      </c>
      <c r="J8414">
        <v>0</v>
      </c>
      <c r="K8414" t="str">
        <f t="shared" si="1510"/>
        <v>801</v>
      </c>
      <c r="L8414">
        <v>13.44</v>
      </c>
    </row>
    <row r="8415" spans="1:12" x14ac:dyDescent="0.25">
      <c r="A8415" t="str">
        <f t="shared" si="1506"/>
        <v>89301000</v>
      </c>
      <c r="B8415" t="str">
        <f t="shared" si="1507"/>
        <v>95202000</v>
      </c>
      <c r="C8415" t="str">
        <f t="shared" si="1508"/>
        <v>95202096</v>
      </c>
      <c r="D8415">
        <v>89301167</v>
      </c>
      <c r="E8415" t="str">
        <f t="shared" si="1511"/>
        <v>5707200807</v>
      </c>
      <c r="F8415" s="1">
        <v>45132</v>
      </c>
      <c r="G8415" t="str">
        <f>"81465"</f>
        <v>81465</v>
      </c>
      <c r="H8415">
        <v>1</v>
      </c>
      <c r="I8415">
        <v>21</v>
      </c>
      <c r="J8415">
        <v>0</v>
      </c>
      <c r="K8415" t="str">
        <f t="shared" si="1510"/>
        <v>801</v>
      </c>
      <c r="L8415">
        <v>17.64</v>
      </c>
    </row>
    <row r="8416" spans="1:12" x14ac:dyDescent="0.25">
      <c r="A8416" t="str">
        <f t="shared" si="1506"/>
        <v>89301000</v>
      </c>
      <c r="B8416" t="str">
        <f t="shared" si="1507"/>
        <v>95202000</v>
      </c>
      <c r="C8416" t="str">
        <f t="shared" si="1508"/>
        <v>95202096</v>
      </c>
      <c r="D8416">
        <v>89301167</v>
      </c>
      <c r="E8416" t="str">
        <f t="shared" si="1511"/>
        <v>5707200807</v>
      </c>
      <c r="F8416" s="1">
        <v>45132</v>
      </c>
      <c r="G8416" t="str">
        <f>"81469"</f>
        <v>81469</v>
      </c>
      <c r="H8416">
        <v>1</v>
      </c>
      <c r="I8416">
        <v>16</v>
      </c>
      <c r="J8416">
        <v>0</v>
      </c>
      <c r="K8416" t="str">
        <f t="shared" si="1510"/>
        <v>801</v>
      </c>
      <c r="L8416">
        <v>13.44</v>
      </c>
    </row>
    <row r="8417" spans="1:12" x14ac:dyDescent="0.25">
      <c r="A8417" t="str">
        <f t="shared" si="1506"/>
        <v>89301000</v>
      </c>
      <c r="B8417" t="str">
        <f t="shared" si="1507"/>
        <v>95202000</v>
      </c>
      <c r="C8417" t="str">
        <f t="shared" si="1508"/>
        <v>95202096</v>
      </c>
      <c r="D8417">
        <v>89301167</v>
      </c>
      <c r="E8417" t="str">
        <f t="shared" si="1511"/>
        <v>5707200807</v>
      </c>
      <c r="F8417" s="1">
        <v>45132</v>
      </c>
      <c r="G8417" t="str">
        <f>"81499"</f>
        <v>81499</v>
      </c>
      <c r="H8417">
        <v>1</v>
      </c>
      <c r="I8417">
        <v>18</v>
      </c>
      <c r="J8417">
        <v>0</v>
      </c>
      <c r="K8417" t="str">
        <f t="shared" si="1510"/>
        <v>801</v>
      </c>
      <c r="L8417">
        <v>15.12</v>
      </c>
    </row>
    <row r="8418" spans="1:12" x14ac:dyDescent="0.25">
      <c r="A8418" t="str">
        <f t="shared" si="1506"/>
        <v>89301000</v>
      </c>
      <c r="B8418" t="str">
        <f t="shared" ref="B8418:B8449" si="1512">"95202000"</f>
        <v>95202000</v>
      </c>
      <c r="C8418" t="str">
        <f t="shared" ref="C8418:C8449" si="1513">"95202096"</f>
        <v>95202096</v>
      </c>
      <c r="D8418">
        <v>89301167</v>
      </c>
      <c r="E8418" t="str">
        <f t="shared" si="1511"/>
        <v>5707200807</v>
      </c>
      <c r="F8418" s="1">
        <v>45132</v>
      </c>
      <c r="G8418" t="str">
        <f>"81593"</f>
        <v>81593</v>
      </c>
      <c r="H8418">
        <v>1</v>
      </c>
      <c r="I8418">
        <v>22</v>
      </c>
      <c r="J8418">
        <v>0</v>
      </c>
      <c r="K8418" t="str">
        <f t="shared" ref="K8418:K8449" si="1514">"801"</f>
        <v>801</v>
      </c>
      <c r="L8418">
        <v>18.48</v>
      </c>
    </row>
    <row r="8419" spans="1:12" x14ac:dyDescent="0.25">
      <c r="A8419" t="str">
        <f t="shared" si="1506"/>
        <v>89301000</v>
      </c>
      <c r="B8419" t="str">
        <f t="shared" si="1512"/>
        <v>95202000</v>
      </c>
      <c r="C8419" t="str">
        <f t="shared" si="1513"/>
        <v>95202096</v>
      </c>
      <c r="D8419">
        <v>89301167</v>
      </c>
      <c r="E8419" t="str">
        <f t="shared" si="1511"/>
        <v>5707200807</v>
      </c>
      <c r="F8419" s="1">
        <v>45132</v>
      </c>
      <c r="G8419" t="str">
        <f>"81621"</f>
        <v>81621</v>
      </c>
      <c r="H8419">
        <v>1</v>
      </c>
      <c r="I8419">
        <v>19</v>
      </c>
      <c r="J8419">
        <v>0</v>
      </c>
      <c r="K8419" t="str">
        <f t="shared" si="1514"/>
        <v>801</v>
      </c>
      <c r="L8419">
        <v>15.96</v>
      </c>
    </row>
    <row r="8420" spans="1:12" x14ac:dyDescent="0.25">
      <c r="A8420" t="str">
        <f t="shared" si="1506"/>
        <v>89301000</v>
      </c>
      <c r="B8420" t="str">
        <f t="shared" si="1512"/>
        <v>95202000</v>
      </c>
      <c r="C8420" t="str">
        <f t="shared" si="1513"/>
        <v>95202096</v>
      </c>
      <c r="D8420">
        <v>89301167</v>
      </c>
      <c r="E8420" t="str">
        <f t="shared" si="1511"/>
        <v>5707200807</v>
      </c>
      <c r="F8420" s="1">
        <v>45132</v>
      </c>
      <c r="G8420" t="str">
        <f>"91153"</f>
        <v>91153</v>
      </c>
      <c r="H8420">
        <v>1</v>
      </c>
      <c r="I8420">
        <v>153</v>
      </c>
      <c r="J8420">
        <v>0</v>
      </c>
      <c r="K8420" t="str">
        <f t="shared" si="1514"/>
        <v>801</v>
      </c>
      <c r="L8420">
        <v>128.52000000000001</v>
      </c>
    </row>
    <row r="8421" spans="1:12" x14ac:dyDescent="0.25">
      <c r="A8421" t="str">
        <f t="shared" si="1506"/>
        <v>89301000</v>
      </c>
      <c r="B8421" t="str">
        <f t="shared" si="1512"/>
        <v>95202000</v>
      </c>
      <c r="C8421" t="str">
        <f t="shared" si="1513"/>
        <v>95202096</v>
      </c>
      <c r="D8421">
        <v>89301167</v>
      </c>
      <c r="E8421" t="str">
        <f t="shared" si="1511"/>
        <v>5707200807</v>
      </c>
      <c r="F8421" s="1">
        <v>45132</v>
      </c>
      <c r="G8421" t="str">
        <f>"93221"</f>
        <v>93221</v>
      </c>
      <c r="H8421">
        <v>1</v>
      </c>
      <c r="I8421">
        <v>190</v>
      </c>
      <c r="J8421">
        <v>0</v>
      </c>
      <c r="K8421" t="str">
        <f t="shared" si="1514"/>
        <v>801</v>
      </c>
      <c r="L8421">
        <v>159.6</v>
      </c>
    </row>
    <row r="8422" spans="1:12" x14ac:dyDescent="0.25">
      <c r="A8422" t="str">
        <f t="shared" si="1506"/>
        <v>89301000</v>
      </c>
      <c r="B8422" t="str">
        <f t="shared" si="1512"/>
        <v>95202000</v>
      </c>
      <c r="C8422" t="str">
        <f t="shared" si="1513"/>
        <v>95202096</v>
      </c>
      <c r="D8422">
        <v>89301167</v>
      </c>
      <c r="E8422" t="str">
        <f t="shared" si="1511"/>
        <v>5707200807</v>
      </c>
      <c r="F8422" s="1">
        <v>45132</v>
      </c>
      <c r="G8422" t="str">
        <f>"97111"</f>
        <v>97111</v>
      </c>
      <c r="H8422">
        <v>1</v>
      </c>
      <c r="I8422">
        <v>19</v>
      </c>
      <c r="J8422">
        <v>0</v>
      </c>
      <c r="K8422" t="str">
        <f t="shared" si="1514"/>
        <v>801</v>
      </c>
      <c r="L8422">
        <v>23.94</v>
      </c>
    </row>
    <row r="8423" spans="1:12" x14ac:dyDescent="0.25">
      <c r="A8423" t="str">
        <f t="shared" si="1506"/>
        <v>89301000</v>
      </c>
      <c r="B8423" t="str">
        <f t="shared" si="1512"/>
        <v>95202000</v>
      </c>
      <c r="C8423" t="str">
        <f t="shared" si="1513"/>
        <v>95202096</v>
      </c>
      <c r="D8423">
        <v>89301167</v>
      </c>
      <c r="E8423" t="str">
        <f t="shared" ref="E8423:E8441" si="1515">"6109280386"</f>
        <v>6109280386</v>
      </c>
      <c r="F8423" s="1">
        <v>45127</v>
      </c>
      <c r="G8423" t="str">
        <f>"81329"</f>
        <v>81329</v>
      </c>
      <c r="H8423">
        <v>1</v>
      </c>
      <c r="I8423">
        <v>17</v>
      </c>
      <c r="J8423">
        <v>0</v>
      </c>
      <c r="K8423" t="str">
        <f t="shared" si="1514"/>
        <v>801</v>
      </c>
      <c r="L8423">
        <v>14.28</v>
      </c>
    </row>
    <row r="8424" spans="1:12" x14ac:dyDescent="0.25">
      <c r="A8424" t="str">
        <f t="shared" si="1506"/>
        <v>89301000</v>
      </c>
      <c r="B8424" t="str">
        <f t="shared" si="1512"/>
        <v>95202000</v>
      </c>
      <c r="C8424" t="str">
        <f t="shared" si="1513"/>
        <v>95202096</v>
      </c>
      <c r="D8424">
        <v>89301167</v>
      </c>
      <c r="E8424" t="str">
        <f t="shared" si="1515"/>
        <v>6109280386</v>
      </c>
      <c r="F8424" s="1">
        <v>45127</v>
      </c>
      <c r="G8424" t="str">
        <f>"81337"</f>
        <v>81337</v>
      </c>
      <c r="H8424">
        <v>1</v>
      </c>
      <c r="I8424">
        <v>20</v>
      </c>
      <c r="J8424">
        <v>0</v>
      </c>
      <c r="K8424" t="str">
        <f t="shared" si="1514"/>
        <v>801</v>
      </c>
      <c r="L8424">
        <v>16.8</v>
      </c>
    </row>
    <row r="8425" spans="1:12" x14ac:dyDescent="0.25">
      <c r="A8425" t="str">
        <f t="shared" si="1506"/>
        <v>89301000</v>
      </c>
      <c r="B8425" t="str">
        <f t="shared" si="1512"/>
        <v>95202000</v>
      </c>
      <c r="C8425" t="str">
        <f t="shared" si="1513"/>
        <v>95202096</v>
      </c>
      <c r="D8425">
        <v>89301167</v>
      </c>
      <c r="E8425" t="str">
        <f t="shared" si="1515"/>
        <v>6109280386</v>
      </c>
      <c r="F8425" s="1">
        <v>45127</v>
      </c>
      <c r="G8425" t="str">
        <f>"81357"</f>
        <v>81357</v>
      </c>
      <c r="H8425">
        <v>1</v>
      </c>
      <c r="I8425">
        <v>20</v>
      </c>
      <c r="J8425">
        <v>0</v>
      </c>
      <c r="K8425" t="str">
        <f t="shared" si="1514"/>
        <v>801</v>
      </c>
      <c r="L8425">
        <v>16.8</v>
      </c>
    </row>
    <row r="8426" spans="1:12" x14ac:dyDescent="0.25">
      <c r="A8426" t="str">
        <f t="shared" si="1506"/>
        <v>89301000</v>
      </c>
      <c r="B8426" t="str">
        <f t="shared" si="1512"/>
        <v>95202000</v>
      </c>
      <c r="C8426" t="str">
        <f t="shared" si="1513"/>
        <v>95202096</v>
      </c>
      <c r="D8426">
        <v>89301167</v>
      </c>
      <c r="E8426" t="str">
        <f t="shared" si="1515"/>
        <v>6109280386</v>
      </c>
      <c r="F8426" s="1">
        <v>45127</v>
      </c>
      <c r="G8426" t="str">
        <f>"81361"</f>
        <v>81361</v>
      </c>
      <c r="H8426">
        <v>1</v>
      </c>
      <c r="I8426">
        <v>17</v>
      </c>
      <c r="J8426">
        <v>0</v>
      </c>
      <c r="K8426" t="str">
        <f t="shared" si="1514"/>
        <v>801</v>
      </c>
      <c r="L8426">
        <v>14.28</v>
      </c>
    </row>
    <row r="8427" spans="1:12" x14ac:dyDescent="0.25">
      <c r="A8427" t="str">
        <f t="shared" si="1506"/>
        <v>89301000</v>
      </c>
      <c r="B8427" t="str">
        <f t="shared" si="1512"/>
        <v>95202000</v>
      </c>
      <c r="C8427" t="str">
        <f t="shared" si="1513"/>
        <v>95202096</v>
      </c>
      <c r="D8427">
        <v>89301167</v>
      </c>
      <c r="E8427" t="str">
        <f t="shared" si="1515"/>
        <v>6109280386</v>
      </c>
      <c r="F8427" s="1">
        <v>45127</v>
      </c>
      <c r="G8427" t="str">
        <f>"81383"</f>
        <v>81383</v>
      </c>
      <c r="H8427">
        <v>1</v>
      </c>
      <c r="I8427">
        <v>24</v>
      </c>
      <c r="J8427">
        <v>0</v>
      </c>
      <c r="K8427" t="str">
        <f t="shared" si="1514"/>
        <v>801</v>
      </c>
      <c r="L8427">
        <v>20.16</v>
      </c>
    </row>
    <row r="8428" spans="1:12" x14ac:dyDescent="0.25">
      <c r="A8428" t="str">
        <f t="shared" si="1506"/>
        <v>89301000</v>
      </c>
      <c r="B8428" t="str">
        <f t="shared" si="1512"/>
        <v>95202000</v>
      </c>
      <c r="C8428" t="str">
        <f t="shared" si="1513"/>
        <v>95202096</v>
      </c>
      <c r="D8428">
        <v>89301167</v>
      </c>
      <c r="E8428" t="str">
        <f t="shared" si="1515"/>
        <v>6109280386</v>
      </c>
      <c r="F8428" s="1">
        <v>45127</v>
      </c>
      <c r="G8428" t="str">
        <f>"81393"</f>
        <v>81393</v>
      </c>
      <c r="H8428">
        <v>1</v>
      </c>
      <c r="I8428">
        <v>24</v>
      </c>
      <c r="J8428">
        <v>0</v>
      </c>
      <c r="K8428" t="str">
        <f t="shared" si="1514"/>
        <v>801</v>
      </c>
      <c r="L8428">
        <v>20.16</v>
      </c>
    </row>
    <row r="8429" spans="1:12" x14ac:dyDescent="0.25">
      <c r="A8429" t="str">
        <f t="shared" si="1506"/>
        <v>89301000</v>
      </c>
      <c r="B8429" t="str">
        <f t="shared" si="1512"/>
        <v>95202000</v>
      </c>
      <c r="C8429" t="str">
        <f t="shared" si="1513"/>
        <v>95202096</v>
      </c>
      <c r="D8429">
        <v>89301167</v>
      </c>
      <c r="E8429" t="str">
        <f t="shared" si="1515"/>
        <v>6109280386</v>
      </c>
      <c r="F8429" s="1">
        <v>45127</v>
      </c>
      <c r="G8429" t="str">
        <f>"81421"</f>
        <v>81421</v>
      </c>
      <c r="H8429">
        <v>1</v>
      </c>
      <c r="I8429">
        <v>19</v>
      </c>
      <c r="J8429">
        <v>0</v>
      </c>
      <c r="K8429" t="str">
        <f t="shared" si="1514"/>
        <v>801</v>
      </c>
      <c r="L8429">
        <v>15.96</v>
      </c>
    </row>
    <row r="8430" spans="1:12" x14ac:dyDescent="0.25">
      <c r="A8430" t="str">
        <f t="shared" si="1506"/>
        <v>89301000</v>
      </c>
      <c r="B8430" t="str">
        <f t="shared" si="1512"/>
        <v>95202000</v>
      </c>
      <c r="C8430" t="str">
        <f t="shared" si="1513"/>
        <v>95202096</v>
      </c>
      <c r="D8430">
        <v>89301167</v>
      </c>
      <c r="E8430" t="str">
        <f t="shared" si="1515"/>
        <v>6109280386</v>
      </c>
      <c r="F8430" s="1">
        <v>45127</v>
      </c>
      <c r="G8430" t="str">
        <f>"81435"</f>
        <v>81435</v>
      </c>
      <c r="H8430">
        <v>1</v>
      </c>
      <c r="I8430">
        <v>22</v>
      </c>
      <c r="J8430">
        <v>0</v>
      </c>
      <c r="K8430" t="str">
        <f t="shared" si="1514"/>
        <v>801</v>
      </c>
      <c r="L8430">
        <v>18.48</v>
      </c>
    </row>
    <row r="8431" spans="1:12" x14ac:dyDescent="0.25">
      <c r="A8431" t="str">
        <f t="shared" si="1506"/>
        <v>89301000</v>
      </c>
      <c r="B8431" t="str">
        <f t="shared" si="1512"/>
        <v>95202000</v>
      </c>
      <c r="C8431" t="str">
        <f t="shared" si="1513"/>
        <v>95202096</v>
      </c>
      <c r="D8431">
        <v>89301167</v>
      </c>
      <c r="E8431" t="str">
        <f t="shared" si="1515"/>
        <v>6109280386</v>
      </c>
      <c r="F8431" s="1">
        <v>45127</v>
      </c>
      <c r="G8431" t="str">
        <f>"81439"</f>
        <v>81439</v>
      </c>
      <c r="H8431">
        <v>1</v>
      </c>
      <c r="I8431">
        <v>16</v>
      </c>
      <c r="J8431">
        <v>0</v>
      </c>
      <c r="K8431" t="str">
        <f t="shared" si="1514"/>
        <v>801</v>
      </c>
      <c r="L8431">
        <v>13.44</v>
      </c>
    </row>
    <row r="8432" spans="1:12" x14ac:dyDescent="0.25">
      <c r="A8432" t="str">
        <f t="shared" si="1506"/>
        <v>89301000</v>
      </c>
      <c r="B8432" t="str">
        <f t="shared" si="1512"/>
        <v>95202000</v>
      </c>
      <c r="C8432" t="str">
        <f t="shared" si="1513"/>
        <v>95202096</v>
      </c>
      <c r="D8432">
        <v>89301167</v>
      </c>
      <c r="E8432" t="str">
        <f t="shared" si="1515"/>
        <v>6109280386</v>
      </c>
      <c r="F8432" s="1">
        <v>45127</v>
      </c>
      <c r="G8432" t="str">
        <f>"81469"</f>
        <v>81469</v>
      </c>
      <c r="H8432">
        <v>1</v>
      </c>
      <c r="I8432">
        <v>16</v>
      </c>
      <c r="J8432">
        <v>0</v>
      </c>
      <c r="K8432" t="str">
        <f t="shared" si="1514"/>
        <v>801</v>
      </c>
      <c r="L8432">
        <v>13.44</v>
      </c>
    </row>
    <row r="8433" spans="1:12" x14ac:dyDescent="0.25">
      <c r="A8433" t="str">
        <f t="shared" si="1506"/>
        <v>89301000</v>
      </c>
      <c r="B8433" t="str">
        <f t="shared" si="1512"/>
        <v>95202000</v>
      </c>
      <c r="C8433" t="str">
        <f t="shared" si="1513"/>
        <v>95202096</v>
      </c>
      <c r="D8433">
        <v>89301167</v>
      </c>
      <c r="E8433" t="str">
        <f t="shared" si="1515"/>
        <v>6109280386</v>
      </c>
      <c r="F8433" s="1">
        <v>45127</v>
      </c>
      <c r="G8433" t="str">
        <f>"81499"</f>
        <v>81499</v>
      </c>
      <c r="H8433">
        <v>1</v>
      </c>
      <c r="I8433">
        <v>18</v>
      </c>
      <c r="J8433">
        <v>0</v>
      </c>
      <c r="K8433" t="str">
        <f t="shared" si="1514"/>
        <v>801</v>
      </c>
      <c r="L8433">
        <v>15.12</v>
      </c>
    </row>
    <row r="8434" spans="1:12" x14ac:dyDescent="0.25">
      <c r="A8434" t="str">
        <f t="shared" si="1506"/>
        <v>89301000</v>
      </c>
      <c r="B8434" t="str">
        <f t="shared" si="1512"/>
        <v>95202000</v>
      </c>
      <c r="C8434" t="str">
        <f t="shared" si="1513"/>
        <v>95202096</v>
      </c>
      <c r="D8434">
        <v>89301167</v>
      </c>
      <c r="E8434" t="str">
        <f t="shared" si="1515"/>
        <v>6109280386</v>
      </c>
      <c r="F8434" s="1">
        <v>45127</v>
      </c>
      <c r="G8434" t="str">
        <f>"81563"</f>
        <v>81563</v>
      </c>
      <c r="H8434">
        <v>1</v>
      </c>
      <c r="I8434">
        <v>14</v>
      </c>
      <c r="J8434">
        <v>0</v>
      </c>
      <c r="K8434" t="str">
        <f t="shared" si="1514"/>
        <v>801</v>
      </c>
      <c r="L8434">
        <v>11.76</v>
      </c>
    </row>
    <row r="8435" spans="1:12" x14ac:dyDescent="0.25">
      <c r="A8435" t="str">
        <f t="shared" si="1506"/>
        <v>89301000</v>
      </c>
      <c r="B8435" t="str">
        <f t="shared" si="1512"/>
        <v>95202000</v>
      </c>
      <c r="C8435" t="str">
        <f t="shared" si="1513"/>
        <v>95202096</v>
      </c>
      <c r="D8435">
        <v>89301167</v>
      </c>
      <c r="E8435" t="str">
        <f t="shared" si="1515"/>
        <v>6109280386</v>
      </c>
      <c r="F8435" s="1">
        <v>45127</v>
      </c>
      <c r="G8435" t="str">
        <f>"81593"</f>
        <v>81593</v>
      </c>
      <c r="H8435">
        <v>1</v>
      </c>
      <c r="I8435">
        <v>22</v>
      </c>
      <c r="J8435">
        <v>0</v>
      </c>
      <c r="K8435" t="str">
        <f t="shared" si="1514"/>
        <v>801</v>
      </c>
      <c r="L8435">
        <v>18.48</v>
      </c>
    </row>
    <row r="8436" spans="1:12" x14ac:dyDescent="0.25">
      <c r="A8436" t="str">
        <f t="shared" si="1506"/>
        <v>89301000</v>
      </c>
      <c r="B8436" t="str">
        <f t="shared" si="1512"/>
        <v>95202000</v>
      </c>
      <c r="C8436" t="str">
        <f t="shared" si="1513"/>
        <v>95202096</v>
      </c>
      <c r="D8436">
        <v>89301167</v>
      </c>
      <c r="E8436" t="str">
        <f t="shared" si="1515"/>
        <v>6109280386</v>
      </c>
      <c r="F8436" s="1">
        <v>45127</v>
      </c>
      <c r="G8436" t="str">
        <f>"81621"</f>
        <v>81621</v>
      </c>
      <c r="H8436">
        <v>1</v>
      </c>
      <c r="I8436">
        <v>19</v>
      </c>
      <c r="J8436">
        <v>0</v>
      </c>
      <c r="K8436" t="str">
        <f t="shared" si="1514"/>
        <v>801</v>
      </c>
      <c r="L8436">
        <v>15.96</v>
      </c>
    </row>
    <row r="8437" spans="1:12" x14ac:dyDescent="0.25">
      <c r="A8437" t="str">
        <f t="shared" si="1506"/>
        <v>89301000</v>
      </c>
      <c r="B8437" t="str">
        <f t="shared" si="1512"/>
        <v>95202000</v>
      </c>
      <c r="C8437" t="str">
        <f t="shared" si="1513"/>
        <v>95202096</v>
      </c>
      <c r="D8437">
        <v>89301167</v>
      </c>
      <c r="E8437" t="str">
        <f t="shared" si="1515"/>
        <v>6109280386</v>
      </c>
      <c r="F8437" s="1">
        <v>45127</v>
      </c>
      <c r="G8437" t="str">
        <f>"81625"</f>
        <v>81625</v>
      </c>
      <c r="H8437">
        <v>1</v>
      </c>
      <c r="I8437">
        <v>21</v>
      </c>
      <c r="J8437">
        <v>0</v>
      </c>
      <c r="K8437" t="str">
        <f t="shared" si="1514"/>
        <v>801</v>
      </c>
      <c r="L8437">
        <v>17.64</v>
      </c>
    </row>
    <row r="8438" spans="1:12" x14ac:dyDescent="0.25">
      <c r="A8438" t="str">
        <f t="shared" si="1506"/>
        <v>89301000</v>
      </c>
      <c r="B8438" t="str">
        <f t="shared" si="1512"/>
        <v>95202000</v>
      </c>
      <c r="C8438" t="str">
        <f t="shared" si="1513"/>
        <v>95202096</v>
      </c>
      <c r="D8438">
        <v>89301167</v>
      </c>
      <c r="E8438" t="str">
        <f t="shared" si="1515"/>
        <v>6109280386</v>
      </c>
      <c r="F8438" s="1">
        <v>45127</v>
      </c>
      <c r="G8438" t="str">
        <f>"91153"</f>
        <v>91153</v>
      </c>
      <c r="H8438">
        <v>1</v>
      </c>
      <c r="I8438">
        <v>153</v>
      </c>
      <c r="J8438">
        <v>0</v>
      </c>
      <c r="K8438" t="str">
        <f t="shared" si="1514"/>
        <v>801</v>
      </c>
      <c r="L8438">
        <v>128.52000000000001</v>
      </c>
    </row>
    <row r="8439" spans="1:12" x14ac:dyDescent="0.25">
      <c r="A8439" t="str">
        <f t="shared" si="1506"/>
        <v>89301000</v>
      </c>
      <c r="B8439" t="str">
        <f t="shared" si="1512"/>
        <v>95202000</v>
      </c>
      <c r="C8439" t="str">
        <f t="shared" si="1513"/>
        <v>95202096</v>
      </c>
      <c r="D8439">
        <v>89301167</v>
      </c>
      <c r="E8439" t="str">
        <f t="shared" si="1515"/>
        <v>6109280386</v>
      </c>
      <c r="F8439" s="1">
        <v>45127</v>
      </c>
      <c r="G8439" t="str">
        <f>"93189"</f>
        <v>93189</v>
      </c>
      <c r="H8439">
        <v>1</v>
      </c>
      <c r="I8439">
        <v>191</v>
      </c>
      <c r="J8439">
        <v>0</v>
      </c>
      <c r="K8439" t="str">
        <f t="shared" si="1514"/>
        <v>801</v>
      </c>
      <c r="L8439">
        <v>160.44</v>
      </c>
    </row>
    <row r="8440" spans="1:12" x14ac:dyDescent="0.25">
      <c r="A8440" t="str">
        <f t="shared" si="1506"/>
        <v>89301000</v>
      </c>
      <c r="B8440" t="str">
        <f t="shared" si="1512"/>
        <v>95202000</v>
      </c>
      <c r="C8440" t="str">
        <f t="shared" si="1513"/>
        <v>95202096</v>
      </c>
      <c r="D8440">
        <v>89301167</v>
      </c>
      <c r="E8440" t="str">
        <f t="shared" si="1515"/>
        <v>6109280386</v>
      </c>
      <c r="F8440" s="1">
        <v>45127</v>
      </c>
      <c r="G8440" t="str">
        <f>"93195"</f>
        <v>93195</v>
      </c>
      <c r="H8440">
        <v>1</v>
      </c>
      <c r="I8440">
        <v>183</v>
      </c>
      <c r="J8440">
        <v>0</v>
      </c>
      <c r="K8440" t="str">
        <f t="shared" si="1514"/>
        <v>801</v>
      </c>
      <c r="L8440">
        <v>153.72</v>
      </c>
    </row>
    <row r="8441" spans="1:12" x14ac:dyDescent="0.25">
      <c r="A8441" t="str">
        <f t="shared" si="1506"/>
        <v>89301000</v>
      </c>
      <c r="B8441" t="str">
        <f t="shared" si="1512"/>
        <v>95202000</v>
      </c>
      <c r="C8441" t="str">
        <f t="shared" si="1513"/>
        <v>95202096</v>
      </c>
      <c r="D8441">
        <v>89301167</v>
      </c>
      <c r="E8441" t="str">
        <f t="shared" si="1515"/>
        <v>6109280386</v>
      </c>
      <c r="F8441" s="1">
        <v>45127</v>
      </c>
      <c r="G8441" t="str">
        <f>"97111"</f>
        <v>97111</v>
      </c>
      <c r="H8441">
        <v>1</v>
      </c>
      <c r="I8441">
        <v>19</v>
      </c>
      <c r="J8441">
        <v>0</v>
      </c>
      <c r="K8441" t="str">
        <f t="shared" si="1514"/>
        <v>801</v>
      </c>
      <c r="L8441">
        <v>23.94</v>
      </c>
    </row>
    <row r="8442" spans="1:12" x14ac:dyDescent="0.25">
      <c r="A8442" t="str">
        <f t="shared" si="1506"/>
        <v>89301000</v>
      </c>
      <c r="B8442" t="str">
        <f t="shared" si="1512"/>
        <v>95202000</v>
      </c>
      <c r="C8442" t="str">
        <f t="shared" si="1513"/>
        <v>95202096</v>
      </c>
      <c r="D8442">
        <v>89301167</v>
      </c>
      <c r="E8442" t="str">
        <f t="shared" ref="E8442:E8457" si="1516">"521204004"</f>
        <v>521204004</v>
      </c>
      <c r="F8442" s="1">
        <v>45138</v>
      </c>
      <c r="G8442" t="str">
        <f>"81337"</f>
        <v>81337</v>
      </c>
      <c r="H8442">
        <v>1</v>
      </c>
      <c r="I8442">
        <v>20</v>
      </c>
      <c r="J8442">
        <v>0</v>
      </c>
      <c r="K8442" t="str">
        <f t="shared" si="1514"/>
        <v>801</v>
      </c>
      <c r="L8442">
        <v>16.8</v>
      </c>
    </row>
    <row r="8443" spans="1:12" x14ac:dyDescent="0.25">
      <c r="A8443" t="str">
        <f t="shared" si="1506"/>
        <v>89301000</v>
      </c>
      <c r="B8443" t="str">
        <f t="shared" si="1512"/>
        <v>95202000</v>
      </c>
      <c r="C8443" t="str">
        <f t="shared" si="1513"/>
        <v>95202096</v>
      </c>
      <c r="D8443">
        <v>89301167</v>
      </c>
      <c r="E8443" t="str">
        <f t="shared" si="1516"/>
        <v>521204004</v>
      </c>
      <c r="F8443" s="1">
        <v>45138</v>
      </c>
      <c r="G8443" t="str">
        <f>"81357"</f>
        <v>81357</v>
      </c>
      <c r="H8443">
        <v>1</v>
      </c>
      <c r="I8443">
        <v>20</v>
      </c>
      <c r="J8443">
        <v>0</v>
      </c>
      <c r="K8443" t="str">
        <f t="shared" si="1514"/>
        <v>801</v>
      </c>
      <c r="L8443">
        <v>16.8</v>
      </c>
    </row>
    <row r="8444" spans="1:12" x14ac:dyDescent="0.25">
      <c r="A8444" t="str">
        <f t="shared" si="1506"/>
        <v>89301000</v>
      </c>
      <c r="B8444" t="str">
        <f t="shared" si="1512"/>
        <v>95202000</v>
      </c>
      <c r="C8444" t="str">
        <f t="shared" si="1513"/>
        <v>95202096</v>
      </c>
      <c r="D8444">
        <v>89301167</v>
      </c>
      <c r="E8444" t="str">
        <f t="shared" si="1516"/>
        <v>521204004</v>
      </c>
      <c r="F8444" s="1">
        <v>45138</v>
      </c>
      <c r="G8444" t="str">
        <f>"81383"</f>
        <v>81383</v>
      </c>
      <c r="H8444">
        <v>1</v>
      </c>
      <c r="I8444">
        <v>24</v>
      </c>
      <c r="J8444">
        <v>0</v>
      </c>
      <c r="K8444" t="str">
        <f t="shared" si="1514"/>
        <v>801</v>
      </c>
      <c r="L8444">
        <v>20.16</v>
      </c>
    </row>
    <row r="8445" spans="1:12" x14ac:dyDescent="0.25">
      <c r="A8445" t="str">
        <f t="shared" si="1506"/>
        <v>89301000</v>
      </c>
      <c r="B8445" t="str">
        <f t="shared" si="1512"/>
        <v>95202000</v>
      </c>
      <c r="C8445" t="str">
        <f t="shared" si="1513"/>
        <v>95202096</v>
      </c>
      <c r="D8445">
        <v>89301167</v>
      </c>
      <c r="E8445" t="str">
        <f t="shared" si="1516"/>
        <v>521204004</v>
      </c>
      <c r="F8445" s="1">
        <v>45138</v>
      </c>
      <c r="G8445" t="str">
        <f>"81393"</f>
        <v>81393</v>
      </c>
      <c r="H8445">
        <v>1</v>
      </c>
      <c r="I8445">
        <v>24</v>
      </c>
      <c r="J8445">
        <v>0</v>
      </c>
      <c r="K8445" t="str">
        <f t="shared" si="1514"/>
        <v>801</v>
      </c>
      <c r="L8445">
        <v>20.16</v>
      </c>
    </row>
    <row r="8446" spans="1:12" x14ac:dyDescent="0.25">
      <c r="A8446" t="str">
        <f t="shared" si="1506"/>
        <v>89301000</v>
      </c>
      <c r="B8446" t="str">
        <f t="shared" si="1512"/>
        <v>95202000</v>
      </c>
      <c r="C8446" t="str">
        <f t="shared" si="1513"/>
        <v>95202096</v>
      </c>
      <c r="D8446">
        <v>89301167</v>
      </c>
      <c r="E8446" t="str">
        <f t="shared" si="1516"/>
        <v>521204004</v>
      </c>
      <c r="F8446" s="1">
        <v>45138</v>
      </c>
      <c r="G8446" t="str">
        <f>"81421"</f>
        <v>81421</v>
      </c>
      <c r="H8446">
        <v>1</v>
      </c>
      <c r="I8446">
        <v>19</v>
      </c>
      <c r="J8446">
        <v>0</v>
      </c>
      <c r="K8446" t="str">
        <f t="shared" si="1514"/>
        <v>801</v>
      </c>
      <c r="L8446">
        <v>15.96</v>
      </c>
    </row>
    <row r="8447" spans="1:12" x14ac:dyDescent="0.25">
      <c r="A8447" t="str">
        <f t="shared" si="1506"/>
        <v>89301000</v>
      </c>
      <c r="B8447" t="str">
        <f t="shared" si="1512"/>
        <v>95202000</v>
      </c>
      <c r="C8447" t="str">
        <f t="shared" si="1513"/>
        <v>95202096</v>
      </c>
      <c r="D8447">
        <v>89301167</v>
      </c>
      <c r="E8447" t="str">
        <f t="shared" si="1516"/>
        <v>521204004</v>
      </c>
      <c r="F8447" s="1">
        <v>45138</v>
      </c>
      <c r="G8447" t="str">
        <f>"81435"</f>
        <v>81435</v>
      </c>
      <c r="H8447">
        <v>1</v>
      </c>
      <c r="I8447">
        <v>22</v>
      </c>
      <c r="J8447">
        <v>0</v>
      </c>
      <c r="K8447" t="str">
        <f t="shared" si="1514"/>
        <v>801</v>
      </c>
      <c r="L8447">
        <v>18.48</v>
      </c>
    </row>
    <row r="8448" spans="1:12" x14ac:dyDescent="0.25">
      <c r="A8448" t="str">
        <f t="shared" si="1506"/>
        <v>89301000</v>
      </c>
      <c r="B8448" t="str">
        <f t="shared" si="1512"/>
        <v>95202000</v>
      </c>
      <c r="C8448" t="str">
        <f t="shared" si="1513"/>
        <v>95202096</v>
      </c>
      <c r="D8448">
        <v>89301167</v>
      </c>
      <c r="E8448" t="str">
        <f t="shared" si="1516"/>
        <v>521204004</v>
      </c>
      <c r="F8448" s="1">
        <v>45138</v>
      </c>
      <c r="G8448" t="str">
        <f>"81439"</f>
        <v>81439</v>
      </c>
      <c r="H8448">
        <v>1</v>
      </c>
      <c r="I8448">
        <v>16</v>
      </c>
      <c r="J8448">
        <v>0</v>
      </c>
      <c r="K8448" t="str">
        <f t="shared" si="1514"/>
        <v>801</v>
      </c>
      <c r="L8448">
        <v>13.44</v>
      </c>
    </row>
    <row r="8449" spans="1:12" x14ac:dyDescent="0.25">
      <c r="A8449" t="str">
        <f t="shared" si="1506"/>
        <v>89301000</v>
      </c>
      <c r="B8449" t="str">
        <f t="shared" si="1512"/>
        <v>95202000</v>
      </c>
      <c r="C8449" t="str">
        <f t="shared" si="1513"/>
        <v>95202096</v>
      </c>
      <c r="D8449">
        <v>89301167</v>
      </c>
      <c r="E8449" t="str">
        <f t="shared" si="1516"/>
        <v>521204004</v>
      </c>
      <c r="F8449" s="1">
        <v>45138</v>
      </c>
      <c r="G8449" t="str">
        <f>"81469"</f>
        <v>81469</v>
      </c>
      <c r="H8449">
        <v>1</v>
      </c>
      <c r="I8449">
        <v>16</v>
      </c>
      <c r="J8449">
        <v>0</v>
      </c>
      <c r="K8449" t="str">
        <f t="shared" si="1514"/>
        <v>801</v>
      </c>
      <c r="L8449">
        <v>13.44</v>
      </c>
    </row>
    <row r="8450" spans="1:12" x14ac:dyDescent="0.25">
      <c r="A8450" t="str">
        <f t="shared" ref="A8450:A8513" si="1517">"89301000"</f>
        <v>89301000</v>
      </c>
      <c r="B8450" t="str">
        <f t="shared" ref="B8450:B8460" si="1518">"95202000"</f>
        <v>95202000</v>
      </c>
      <c r="C8450" t="str">
        <f t="shared" ref="C8450:C8456" si="1519">"95202096"</f>
        <v>95202096</v>
      </c>
      <c r="D8450">
        <v>89301167</v>
      </c>
      <c r="E8450" t="str">
        <f t="shared" si="1516"/>
        <v>521204004</v>
      </c>
      <c r="F8450" s="1">
        <v>45138</v>
      </c>
      <c r="G8450" t="str">
        <f>"81499"</f>
        <v>81499</v>
      </c>
      <c r="H8450">
        <v>1</v>
      </c>
      <c r="I8450">
        <v>18</v>
      </c>
      <c r="J8450">
        <v>0</v>
      </c>
      <c r="K8450" t="str">
        <f t="shared" ref="K8450:K8456" si="1520">"801"</f>
        <v>801</v>
      </c>
      <c r="L8450">
        <v>15.12</v>
      </c>
    </row>
    <row r="8451" spans="1:12" x14ac:dyDescent="0.25">
      <c r="A8451" t="str">
        <f t="shared" si="1517"/>
        <v>89301000</v>
      </c>
      <c r="B8451" t="str">
        <f t="shared" si="1518"/>
        <v>95202000</v>
      </c>
      <c r="C8451" t="str">
        <f t="shared" si="1519"/>
        <v>95202096</v>
      </c>
      <c r="D8451">
        <v>89301167</v>
      </c>
      <c r="E8451" t="str">
        <f t="shared" si="1516"/>
        <v>521204004</v>
      </c>
      <c r="F8451" s="1">
        <v>45138</v>
      </c>
      <c r="G8451" t="str">
        <f>"81593"</f>
        <v>81593</v>
      </c>
      <c r="H8451">
        <v>1</v>
      </c>
      <c r="I8451">
        <v>22</v>
      </c>
      <c r="J8451">
        <v>0</v>
      </c>
      <c r="K8451" t="str">
        <f t="shared" si="1520"/>
        <v>801</v>
      </c>
      <c r="L8451">
        <v>18.48</v>
      </c>
    </row>
    <row r="8452" spans="1:12" x14ac:dyDescent="0.25">
      <c r="A8452" t="str">
        <f t="shared" si="1517"/>
        <v>89301000</v>
      </c>
      <c r="B8452" t="str">
        <f t="shared" si="1518"/>
        <v>95202000</v>
      </c>
      <c r="C8452" t="str">
        <f t="shared" si="1519"/>
        <v>95202096</v>
      </c>
      <c r="D8452">
        <v>89301167</v>
      </c>
      <c r="E8452" t="str">
        <f t="shared" si="1516"/>
        <v>521204004</v>
      </c>
      <c r="F8452" s="1">
        <v>45138</v>
      </c>
      <c r="G8452" t="str">
        <f>"81621"</f>
        <v>81621</v>
      </c>
      <c r="H8452">
        <v>1</v>
      </c>
      <c r="I8452">
        <v>19</v>
      </c>
      <c r="J8452">
        <v>0</v>
      </c>
      <c r="K8452" t="str">
        <f t="shared" si="1520"/>
        <v>801</v>
      </c>
      <c r="L8452">
        <v>15.96</v>
      </c>
    </row>
    <row r="8453" spans="1:12" x14ac:dyDescent="0.25">
      <c r="A8453" t="str">
        <f t="shared" si="1517"/>
        <v>89301000</v>
      </c>
      <c r="B8453" t="str">
        <f t="shared" si="1518"/>
        <v>95202000</v>
      </c>
      <c r="C8453" t="str">
        <f t="shared" si="1519"/>
        <v>95202096</v>
      </c>
      <c r="D8453">
        <v>89301167</v>
      </c>
      <c r="E8453" t="str">
        <f t="shared" si="1516"/>
        <v>521204004</v>
      </c>
      <c r="F8453" s="1">
        <v>45138</v>
      </c>
      <c r="G8453" t="str">
        <f>"91153"</f>
        <v>91153</v>
      </c>
      <c r="H8453">
        <v>1</v>
      </c>
      <c r="I8453">
        <v>153</v>
      </c>
      <c r="J8453">
        <v>0</v>
      </c>
      <c r="K8453" t="str">
        <f t="shared" si="1520"/>
        <v>801</v>
      </c>
      <c r="L8453">
        <v>128.52000000000001</v>
      </c>
    </row>
    <row r="8454" spans="1:12" x14ac:dyDescent="0.25">
      <c r="A8454" t="str">
        <f t="shared" si="1517"/>
        <v>89301000</v>
      </c>
      <c r="B8454" t="str">
        <f t="shared" si="1518"/>
        <v>95202000</v>
      </c>
      <c r="C8454" t="str">
        <f t="shared" si="1519"/>
        <v>95202096</v>
      </c>
      <c r="D8454">
        <v>89301167</v>
      </c>
      <c r="E8454" t="str">
        <f t="shared" si="1516"/>
        <v>521204004</v>
      </c>
      <c r="F8454" s="1">
        <v>45138</v>
      </c>
      <c r="G8454" t="str">
        <f>"93189"</f>
        <v>93189</v>
      </c>
      <c r="H8454">
        <v>1</v>
      </c>
      <c r="I8454">
        <v>191</v>
      </c>
      <c r="J8454">
        <v>0</v>
      </c>
      <c r="K8454" t="str">
        <f t="shared" si="1520"/>
        <v>801</v>
      </c>
      <c r="L8454">
        <v>160.44</v>
      </c>
    </row>
    <row r="8455" spans="1:12" x14ac:dyDescent="0.25">
      <c r="A8455" t="str">
        <f t="shared" si="1517"/>
        <v>89301000</v>
      </c>
      <c r="B8455" t="str">
        <f t="shared" si="1518"/>
        <v>95202000</v>
      </c>
      <c r="C8455" t="str">
        <f t="shared" si="1519"/>
        <v>95202096</v>
      </c>
      <c r="D8455">
        <v>89301167</v>
      </c>
      <c r="E8455" t="str">
        <f t="shared" si="1516"/>
        <v>521204004</v>
      </c>
      <c r="F8455" s="1">
        <v>45138</v>
      </c>
      <c r="G8455" t="str">
        <f>"93195"</f>
        <v>93195</v>
      </c>
      <c r="H8455">
        <v>1</v>
      </c>
      <c r="I8455">
        <v>183</v>
      </c>
      <c r="J8455">
        <v>0</v>
      </c>
      <c r="K8455" t="str">
        <f t="shared" si="1520"/>
        <v>801</v>
      </c>
      <c r="L8455">
        <v>153.72</v>
      </c>
    </row>
    <row r="8456" spans="1:12" x14ac:dyDescent="0.25">
      <c r="A8456" t="str">
        <f t="shared" si="1517"/>
        <v>89301000</v>
      </c>
      <c r="B8456" t="str">
        <f t="shared" si="1518"/>
        <v>95202000</v>
      </c>
      <c r="C8456" t="str">
        <f t="shared" si="1519"/>
        <v>95202096</v>
      </c>
      <c r="D8456">
        <v>89301167</v>
      </c>
      <c r="E8456" t="str">
        <f t="shared" si="1516"/>
        <v>521204004</v>
      </c>
      <c r="F8456" s="1">
        <v>45138</v>
      </c>
      <c r="G8456" t="str">
        <f>"97111"</f>
        <v>97111</v>
      </c>
      <c r="H8456">
        <v>1</v>
      </c>
      <c r="I8456">
        <v>19</v>
      </c>
      <c r="J8456">
        <v>0</v>
      </c>
      <c r="K8456" t="str">
        <f t="shared" si="1520"/>
        <v>801</v>
      </c>
      <c r="L8456">
        <v>23.94</v>
      </c>
    </row>
    <row r="8457" spans="1:12" x14ac:dyDescent="0.25">
      <c r="A8457" t="str">
        <f t="shared" si="1517"/>
        <v>89301000</v>
      </c>
      <c r="B8457" t="str">
        <f t="shared" si="1518"/>
        <v>95202000</v>
      </c>
      <c r="C8457" t="str">
        <f>"95202818"</f>
        <v>95202818</v>
      </c>
      <c r="D8457">
        <v>89301167</v>
      </c>
      <c r="E8457" t="str">
        <f t="shared" si="1516"/>
        <v>521204004</v>
      </c>
      <c r="F8457" s="1">
        <v>45117</v>
      </c>
      <c r="G8457" t="str">
        <f>"96167"</f>
        <v>96167</v>
      </c>
      <c r="H8457">
        <v>1</v>
      </c>
      <c r="I8457">
        <v>67</v>
      </c>
      <c r="J8457">
        <v>0</v>
      </c>
      <c r="K8457" t="str">
        <f>"818"</f>
        <v>818</v>
      </c>
      <c r="L8457">
        <v>64.989999999999995</v>
      </c>
    </row>
    <row r="8458" spans="1:12" x14ac:dyDescent="0.25">
      <c r="A8458" t="str">
        <f t="shared" si="1517"/>
        <v>89301000</v>
      </c>
      <c r="B8458" t="str">
        <f t="shared" si="1518"/>
        <v>95202000</v>
      </c>
      <c r="C8458" t="str">
        <f>"95202818"</f>
        <v>95202818</v>
      </c>
      <c r="D8458">
        <v>89301167</v>
      </c>
      <c r="E8458" t="str">
        <f>"6109280386"</f>
        <v>6109280386</v>
      </c>
      <c r="F8458" s="1">
        <v>45127</v>
      </c>
      <c r="G8458" t="str">
        <f>"96167"</f>
        <v>96167</v>
      </c>
      <c r="H8458">
        <v>1</v>
      </c>
      <c r="I8458">
        <v>67</v>
      </c>
      <c r="J8458">
        <v>0</v>
      </c>
      <c r="K8458" t="str">
        <f>"818"</f>
        <v>818</v>
      </c>
      <c r="L8458">
        <v>64.989999999999995</v>
      </c>
    </row>
    <row r="8459" spans="1:12" x14ac:dyDescent="0.25">
      <c r="A8459" t="str">
        <f t="shared" si="1517"/>
        <v>89301000</v>
      </c>
      <c r="B8459" t="str">
        <f t="shared" si="1518"/>
        <v>95202000</v>
      </c>
      <c r="C8459" t="str">
        <f>"95202818"</f>
        <v>95202818</v>
      </c>
      <c r="D8459">
        <v>89301167</v>
      </c>
      <c r="E8459" t="str">
        <f>"521204004"</f>
        <v>521204004</v>
      </c>
      <c r="F8459" s="1">
        <v>45138</v>
      </c>
      <c r="G8459" t="str">
        <f>"96167"</f>
        <v>96167</v>
      </c>
      <c r="H8459">
        <v>1</v>
      </c>
      <c r="I8459">
        <v>67</v>
      </c>
      <c r="J8459">
        <v>0</v>
      </c>
      <c r="K8459" t="str">
        <f>"818"</f>
        <v>818</v>
      </c>
      <c r="L8459">
        <v>64.989999999999995</v>
      </c>
    </row>
    <row r="8460" spans="1:12" x14ac:dyDescent="0.25">
      <c r="A8460" t="str">
        <f t="shared" si="1517"/>
        <v>89301000</v>
      </c>
      <c r="B8460" t="str">
        <f t="shared" si="1518"/>
        <v>95202000</v>
      </c>
      <c r="C8460" t="str">
        <f>"95202818"</f>
        <v>95202818</v>
      </c>
      <c r="D8460">
        <v>89301167</v>
      </c>
      <c r="E8460" t="str">
        <f>"5707200807"</f>
        <v>5707200807</v>
      </c>
      <c r="F8460" s="1">
        <v>45132</v>
      </c>
      <c r="G8460" t="str">
        <f>"96167"</f>
        <v>96167</v>
      </c>
      <c r="H8460">
        <v>1</v>
      </c>
      <c r="I8460">
        <v>67</v>
      </c>
      <c r="J8460">
        <v>0</v>
      </c>
      <c r="K8460" t="str">
        <f>"818"</f>
        <v>818</v>
      </c>
      <c r="L8460">
        <v>64.989999999999995</v>
      </c>
    </row>
    <row r="8461" spans="1:12" x14ac:dyDescent="0.25">
      <c r="A8461" t="str">
        <f t="shared" si="1517"/>
        <v>89301000</v>
      </c>
      <c r="B8461" t="str">
        <f t="shared" ref="B8461:B8474" si="1521">"93201000"</f>
        <v>93201000</v>
      </c>
      <c r="C8461" t="str">
        <f t="shared" ref="C8461:C8466" si="1522">"93201350"</f>
        <v>93201350</v>
      </c>
      <c r="D8461">
        <v>89301212</v>
      </c>
      <c r="E8461" t="str">
        <f>"515124381"</f>
        <v>515124381</v>
      </c>
      <c r="F8461" s="1">
        <v>45119</v>
      </c>
      <c r="G8461" t="str">
        <f>"89180"</f>
        <v>89180</v>
      </c>
      <c r="H8461">
        <v>2</v>
      </c>
      <c r="I8461">
        <v>762</v>
      </c>
      <c r="J8461">
        <v>0</v>
      </c>
      <c r="K8461" t="str">
        <f t="shared" ref="K8461:K8466" si="1523">"809"</f>
        <v>809</v>
      </c>
      <c r="L8461">
        <v>1120.1400000000001</v>
      </c>
    </row>
    <row r="8462" spans="1:12" x14ac:dyDescent="0.25">
      <c r="A8462" t="str">
        <f t="shared" si="1517"/>
        <v>89301000</v>
      </c>
      <c r="B8462" t="str">
        <f t="shared" si="1521"/>
        <v>93201000</v>
      </c>
      <c r="C8462" t="str">
        <f t="shared" si="1522"/>
        <v>93201350</v>
      </c>
      <c r="D8462">
        <v>89301212</v>
      </c>
      <c r="E8462" t="str">
        <f>"515124381"</f>
        <v>515124381</v>
      </c>
      <c r="F8462" s="1">
        <v>45119</v>
      </c>
      <c r="G8462" t="str">
        <f>"89512"</f>
        <v>89512</v>
      </c>
      <c r="H8462">
        <v>1</v>
      </c>
      <c r="I8462">
        <v>283</v>
      </c>
      <c r="J8462">
        <v>0</v>
      </c>
      <c r="K8462" t="str">
        <f t="shared" si="1523"/>
        <v>809</v>
      </c>
      <c r="L8462">
        <v>416.01</v>
      </c>
    </row>
    <row r="8463" spans="1:12" x14ac:dyDescent="0.25">
      <c r="A8463" t="str">
        <f t="shared" si="1517"/>
        <v>89301000</v>
      </c>
      <c r="B8463" t="str">
        <f t="shared" si="1521"/>
        <v>93201000</v>
      </c>
      <c r="C8463" t="str">
        <f t="shared" si="1522"/>
        <v>93201350</v>
      </c>
      <c r="D8463">
        <v>89301212</v>
      </c>
      <c r="E8463" t="str">
        <f>"5753110099"</f>
        <v>5753110099</v>
      </c>
      <c r="F8463" s="1">
        <v>45121</v>
      </c>
      <c r="G8463" t="str">
        <f>"89512"</f>
        <v>89512</v>
      </c>
      <c r="H8463">
        <v>1</v>
      </c>
      <c r="I8463">
        <v>283</v>
      </c>
      <c r="J8463">
        <v>0</v>
      </c>
      <c r="K8463" t="str">
        <f t="shared" si="1523"/>
        <v>809</v>
      </c>
      <c r="L8463">
        <v>416.01</v>
      </c>
    </row>
    <row r="8464" spans="1:12" x14ac:dyDescent="0.25">
      <c r="A8464" t="str">
        <f t="shared" si="1517"/>
        <v>89301000</v>
      </c>
      <c r="B8464" t="str">
        <f t="shared" si="1521"/>
        <v>93201000</v>
      </c>
      <c r="C8464" t="str">
        <f t="shared" si="1522"/>
        <v>93201350</v>
      </c>
      <c r="D8464">
        <v>89301212</v>
      </c>
      <c r="E8464" t="str">
        <f>"5753110099"</f>
        <v>5753110099</v>
      </c>
      <c r="F8464" s="1">
        <v>45121</v>
      </c>
      <c r="G8464" t="str">
        <f>"89180"</f>
        <v>89180</v>
      </c>
      <c r="H8464">
        <v>2</v>
      </c>
      <c r="I8464">
        <v>762</v>
      </c>
      <c r="J8464">
        <v>0</v>
      </c>
      <c r="K8464" t="str">
        <f t="shared" si="1523"/>
        <v>809</v>
      </c>
      <c r="L8464">
        <v>1120.1400000000001</v>
      </c>
    </row>
    <row r="8465" spans="1:12" x14ac:dyDescent="0.25">
      <c r="A8465" t="str">
        <f t="shared" si="1517"/>
        <v>89301000</v>
      </c>
      <c r="B8465" t="str">
        <f t="shared" si="1521"/>
        <v>93201000</v>
      </c>
      <c r="C8465" t="str">
        <f t="shared" si="1522"/>
        <v>93201350</v>
      </c>
      <c r="D8465">
        <v>89301215</v>
      </c>
      <c r="E8465" t="str">
        <f>"5559210976"</f>
        <v>5559210976</v>
      </c>
      <c r="F8465" s="1">
        <v>45124</v>
      </c>
      <c r="G8465" t="str">
        <f>"89180"</f>
        <v>89180</v>
      </c>
      <c r="H8465">
        <v>2</v>
      </c>
      <c r="I8465">
        <v>762</v>
      </c>
      <c r="J8465">
        <v>0</v>
      </c>
      <c r="K8465" t="str">
        <f t="shared" si="1523"/>
        <v>809</v>
      </c>
      <c r="L8465">
        <v>1120.1400000000001</v>
      </c>
    </row>
    <row r="8466" spans="1:12" x14ac:dyDescent="0.25">
      <c r="A8466" t="str">
        <f t="shared" si="1517"/>
        <v>89301000</v>
      </c>
      <c r="B8466" t="str">
        <f t="shared" si="1521"/>
        <v>93201000</v>
      </c>
      <c r="C8466" t="str">
        <f t="shared" si="1522"/>
        <v>93201350</v>
      </c>
      <c r="D8466">
        <v>89301212</v>
      </c>
      <c r="E8466" t="str">
        <f>"5559210976"</f>
        <v>5559210976</v>
      </c>
      <c r="F8466" s="1">
        <v>45124</v>
      </c>
      <c r="G8466" t="str">
        <f>"89512"</f>
        <v>89512</v>
      </c>
      <c r="H8466">
        <v>1</v>
      </c>
      <c r="I8466">
        <v>283</v>
      </c>
      <c r="J8466">
        <v>0</v>
      </c>
      <c r="K8466" t="str">
        <f t="shared" si="1523"/>
        <v>809</v>
      </c>
      <c r="L8466">
        <v>416.01</v>
      </c>
    </row>
    <row r="8467" spans="1:12" x14ac:dyDescent="0.25">
      <c r="A8467" t="str">
        <f t="shared" si="1517"/>
        <v>89301000</v>
      </c>
      <c r="B8467" t="str">
        <f t="shared" si="1521"/>
        <v>93201000</v>
      </c>
      <c r="C8467" t="str">
        <f t="shared" ref="C8467:C8474" si="1524">"93201355"</f>
        <v>93201355</v>
      </c>
      <c r="D8467">
        <v>89301062</v>
      </c>
      <c r="E8467" t="str">
        <f>"7357025786"</f>
        <v>7357025786</v>
      </c>
      <c r="F8467" s="1">
        <v>45121</v>
      </c>
      <c r="G8467" t="str">
        <f>"89713"</f>
        <v>89713</v>
      </c>
      <c r="H8467">
        <v>2</v>
      </c>
      <c r="I8467">
        <v>10822</v>
      </c>
      <c r="J8467">
        <v>0</v>
      </c>
      <c r="K8467" t="str">
        <f t="shared" ref="K8467:K8474" si="1525">"810"</f>
        <v>810</v>
      </c>
      <c r="L8467">
        <v>7034.3</v>
      </c>
    </row>
    <row r="8468" spans="1:12" x14ac:dyDescent="0.25">
      <c r="A8468" t="str">
        <f t="shared" si="1517"/>
        <v>89301000</v>
      </c>
      <c r="B8468" t="str">
        <f t="shared" si="1521"/>
        <v>93201000</v>
      </c>
      <c r="C8468" t="str">
        <f t="shared" si="1524"/>
        <v>93201355</v>
      </c>
      <c r="D8468">
        <v>89301062</v>
      </c>
      <c r="E8468" t="str">
        <f>"7357025786"</f>
        <v>7357025786</v>
      </c>
      <c r="F8468" s="1">
        <v>45121</v>
      </c>
      <c r="G8468" t="str">
        <f>"0054253"</f>
        <v>0054253</v>
      </c>
      <c r="H8468">
        <v>1</v>
      </c>
      <c r="J8468">
        <v>843.46</v>
      </c>
      <c r="K8468" t="str">
        <f t="shared" si="1525"/>
        <v>810</v>
      </c>
      <c r="L8468">
        <v>843.46</v>
      </c>
    </row>
    <row r="8469" spans="1:12" x14ac:dyDescent="0.25">
      <c r="A8469" t="str">
        <f t="shared" si="1517"/>
        <v>89301000</v>
      </c>
      <c r="B8469" t="str">
        <f t="shared" si="1521"/>
        <v>93201000</v>
      </c>
      <c r="C8469" t="str">
        <f t="shared" si="1524"/>
        <v>93201355</v>
      </c>
      <c r="D8469">
        <v>89301172</v>
      </c>
      <c r="E8469" t="str">
        <f>"7553235734"</f>
        <v>7553235734</v>
      </c>
      <c r="F8469" s="1">
        <v>45135</v>
      </c>
      <c r="G8469" t="str">
        <f>"89725"</f>
        <v>89725</v>
      </c>
      <c r="H8469">
        <v>1</v>
      </c>
      <c r="I8469">
        <v>2863</v>
      </c>
      <c r="J8469">
        <v>0</v>
      </c>
      <c r="K8469" t="str">
        <f t="shared" si="1525"/>
        <v>810</v>
      </c>
      <c r="L8469">
        <v>1860.95</v>
      </c>
    </row>
    <row r="8470" spans="1:12" x14ac:dyDescent="0.25">
      <c r="A8470" t="str">
        <f t="shared" si="1517"/>
        <v>89301000</v>
      </c>
      <c r="B8470" t="str">
        <f t="shared" si="1521"/>
        <v>93201000</v>
      </c>
      <c r="C8470" t="str">
        <f t="shared" si="1524"/>
        <v>93201355</v>
      </c>
      <c r="D8470">
        <v>89301172</v>
      </c>
      <c r="E8470" t="str">
        <f>"7553235734"</f>
        <v>7553235734</v>
      </c>
      <c r="F8470" s="1">
        <v>45135</v>
      </c>
      <c r="G8470" t="str">
        <f>"89713"</f>
        <v>89713</v>
      </c>
      <c r="H8470">
        <v>1</v>
      </c>
      <c r="I8470">
        <v>5411</v>
      </c>
      <c r="J8470">
        <v>0</v>
      </c>
      <c r="K8470" t="str">
        <f t="shared" si="1525"/>
        <v>810</v>
      </c>
      <c r="L8470">
        <v>3517.15</v>
      </c>
    </row>
    <row r="8471" spans="1:12" x14ac:dyDescent="0.25">
      <c r="A8471" t="str">
        <f t="shared" si="1517"/>
        <v>89301000</v>
      </c>
      <c r="B8471" t="str">
        <f t="shared" si="1521"/>
        <v>93201000</v>
      </c>
      <c r="C8471" t="str">
        <f t="shared" si="1524"/>
        <v>93201355</v>
      </c>
      <c r="D8471">
        <v>89301172</v>
      </c>
      <c r="E8471" t="str">
        <f>"7553235734"</f>
        <v>7553235734</v>
      </c>
      <c r="F8471" s="1">
        <v>45135</v>
      </c>
      <c r="G8471" t="str">
        <f>"89713"</f>
        <v>89713</v>
      </c>
      <c r="H8471">
        <v>1</v>
      </c>
      <c r="I8471">
        <v>5411</v>
      </c>
      <c r="J8471">
        <v>0</v>
      </c>
      <c r="K8471" t="str">
        <f t="shared" si="1525"/>
        <v>810</v>
      </c>
      <c r="L8471">
        <v>3517.15</v>
      </c>
    </row>
    <row r="8472" spans="1:12" x14ac:dyDescent="0.25">
      <c r="A8472" t="str">
        <f t="shared" si="1517"/>
        <v>89301000</v>
      </c>
      <c r="B8472" t="str">
        <f t="shared" si="1521"/>
        <v>93201000</v>
      </c>
      <c r="C8472" t="str">
        <f t="shared" si="1524"/>
        <v>93201355</v>
      </c>
      <c r="D8472">
        <v>89301172</v>
      </c>
      <c r="E8472" t="str">
        <f>"8106295769"</f>
        <v>8106295769</v>
      </c>
      <c r="F8472" s="1">
        <v>45132</v>
      </c>
      <c r="G8472" t="str">
        <f>"89713"</f>
        <v>89713</v>
      </c>
      <c r="H8472">
        <v>1</v>
      </c>
      <c r="I8472">
        <v>5411</v>
      </c>
      <c r="J8472">
        <v>0</v>
      </c>
      <c r="K8472" t="str">
        <f t="shared" si="1525"/>
        <v>810</v>
      </c>
      <c r="L8472">
        <v>3517.15</v>
      </c>
    </row>
    <row r="8473" spans="1:12" x14ac:dyDescent="0.25">
      <c r="A8473" t="str">
        <f t="shared" si="1517"/>
        <v>89301000</v>
      </c>
      <c r="B8473" t="str">
        <f t="shared" si="1521"/>
        <v>93201000</v>
      </c>
      <c r="C8473" t="str">
        <f t="shared" si="1524"/>
        <v>93201355</v>
      </c>
      <c r="D8473">
        <v>89301172</v>
      </c>
      <c r="E8473" t="str">
        <f>"8106295769"</f>
        <v>8106295769</v>
      </c>
      <c r="F8473" s="1">
        <v>45132</v>
      </c>
      <c r="G8473" t="str">
        <f>"89725"</f>
        <v>89725</v>
      </c>
      <c r="H8473">
        <v>1</v>
      </c>
      <c r="I8473">
        <v>2863</v>
      </c>
      <c r="J8473">
        <v>0</v>
      </c>
      <c r="K8473" t="str">
        <f t="shared" si="1525"/>
        <v>810</v>
      </c>
      <c r="L8473">
        <v>1860.95</v>
      </c>
    </row>
    <row r="8474" spans="1:12" x14ac:dyDescent="0.25">
      <c r="A8474" t="str">
        <f t="shared" si="1517"/>
        <v>89301000</v>
      </c>
      <c r="B8474" t="str">
        <f t="shared" si="1521"/>
        <v>93201000</v>
      </c>
      <c r="C8474" t="str">
        <f t="shared" si="1524"/>
        <v>93201355</v>
      </c>
      <c r="D8474">
        <v>89301172</v>
      </c>
      <c r="E8474" t="str">
        <f>"8106295769"</f>
        <v>8106295769</v>
      </c>
      <c r="F8474" s="1">
        <v>45132</v>
      </c>
      <c r="G8474" t="str">
        <f>"89713"</f>
        <v>89713</v>
      </c>
      <c r="H8474">
        <v>1</v>
      </c>
      <c r="I8474">
        <v>5411</v>
      </c>
      <c r="J8474">
        <v>0</v>
      </c>
      <c r="K8474" t="str">
        <f t="shared" si="1525"/>
        <v>810</v>
      </c>
      <c r="L8474">
        <v>3517.15</v>
      </c>
    </row>
    <row r="8475" spans="1:12" x14ac:dyDescent="0.25">
      <c r="A8475" t="str">
        <f t="shared" si="1517"/>
        <v>89301000</v>
      </c>
      <c r="B8475" t="str">
        <f>"86102000"</f>
        <v>86102000</v>
      </c>
      <c r="C8475" t="str">
        <f>"86102496"</f>
        <v>86102496</v>
      </c>
      <c r="D8475">
        <v>89301112</v>
      </c>
      <c r="E8475" t="str">
        <f>"5952260633"</f>
        <v>5952260633</v>
      </c>
      <c r="F8475" s="1">
        <v>45118</v>
      </c>
      <c r="G8475" t="str">
        <f>"89123"</f>
        <v>89123</v>
      </c>
      <c r="H8475">
        <v>1</v>
      </c>
      <c r="I8475">
        <v>141</v>
      </c>
      <c r="J8475">
        <v>0</v>
      </c>
      <c r="K8475" t="str">
        <f>"809"</f>
        <v>809</v>
      </c>
      <c r="L8475">
        <v>207.27</v>
      </c>
    </row>
    <row r="8476" spans="1:12" x14ac:dyDescent="0.25">
      <c r="A8476" t="str">
        <f t="shared" si="1517"/>
        <v>89301000</v>
      </c>
      <c r="B8476" t="str">
        <f>"86102000"</f>
        <v>86102000</v>
      </c>
      <c r="C8476" t="str">
        <f>"86102476"</f>
        <v>86102476</v>
      </c>
      <c r="D8476">
        <v>89301082</v>
      </c>
      <c r="E8476" t="str">
        <f>"8252224948"</f>
        <v>8252224948</v>
      </c>
      <c r="F8476" s="1">
        <v>45131</v>
      </c>
      <c r="G8476" t="str">
        <f>"09119"</f>
        <v>09119</v>
      </c>
      <c r="H8476">
        <v>1</v>
      </c>
      <c r="I8476">
        <v>43</v>
      </c>
      <c r="J8476">
        <v>0</v>
      </c>
      <c r="K8476" t="str">
        <f>"801"</f>
        <v>801</v>
      </c>
      <c r="L8476">
        <v>54.18</v>
      </c>
    </row>
    <row r="8477" spans="1:12" x14ac:dyDescent="0.25">
      <c r="A8477" t="str">
        <f t="shared" si="1517"/>
        <v>89301000</v>
      </c>
      <c r="B8477" t="str">
        <f>"86102000"</f>
        <v>86102000</v>
      </c>
      <c r="C8477" t="str">
        <f>"86102476"</f>
        <v>86102476</v>
      </c>
      <c r="D8477">
        <v>89301082</v>
      </c>
      <c r="E8477" t="str">
        <f>"8252224948"</f>
        <v>8252224948</v>
      </c>
      <c r="F8477" s="1">
        <v>45131</v>
      </c>
      <c r="G8477" t="str">
        <f>"93159"</f>
        <v>93159</v>
      </c>
      <c r="H8477">
        <v>1</v>
      </c>
      <c r="I8477">
        <v>197</v>
      </c>
      <c r="J8477">
        <v>0</v>
      </c>
      <c r="K8477" t="str">
        <f>"801"</f>
        <v>801</v>
      </c>
      <c r="L8477">
        <v>165.48</v>
      </c>
    </row>
    <row r="8478" spans="1:12" x14ac:dyDescent="0.25">
      <c r="A8478" t="str">
        <f t="shared" si="1517"/>
        <v>89301000</v>
      </c>
      <c r="B8478" t="str">
        <f>"86102000"</f>
        <v>86102000</v>
      </c>
      <c r="C8478" t="str">
        <f>"86102476"</f>
        <v>86102476</v>
      </c>
      <c r="D8478">
        <v>89301082</v>
      </c>
      <c r="E8478" t="str">
        <f>"8252224948"</f>
        <v>8252224948</v>
      </c>
      <c r="F8478" s="1">
        <v>45131</v>
      </c>
      <c r="G8478" t="str">
        <f>"97111"</f>
        <v>97111</v>
      </c>
      <c r="H8478">
        <v>1</v>
      </c>
      <c r="I8478">
        <v>19</v>
      </c>
      <c r="J8478">
        <v>0</v>
      </c>
      <c r="K8478" t="str">
        <f>"801"</f>
        <v>801</v>
      </c>
      <c r="L8478">
        <v>23.94</v>
      </c>
    </row>
    <row r="8479" spans="1:12" x14ac:dyDescent="0.25">
      <c r="A8479" t="str">
        <f t="shared" si="1517"/>
        <v>89301000</v>
      </c>
      <c r="B8479" t="str">
        <f t="shared" ref="B8479:B8514" si="1526">"89895000"</f>
        <v>89895000</v>
      </c>
      <c r="C8479" t="str">
        <f t="shared" ref="C8479:C8514" si="1527">"89895002"</f>
        <v>89895002</v>
      </c>
      <c r="D8479">
        <v>89301212</v>
      </c>
      <c r="E8479" t="str">
        <f>"476121453"</f>
        <v>476121453</v>
      </c>
      <c r="F8479" s="1">
        <v>45126</v>
      </c>
      <c r="G8479" t="str">
        <f>"89180"</f>
        <v>89180</v>
      </c>
      <c r="H8479">
        <v>2</v>
      </c>
      <c r="I8479">
        <v>762</v>
      </c>
      <c r="J8479">
        <v>0</v>
      </c>
      <c r="K8479" t="str">
        <f t="shared" ref="K8479:K8514" si="1528">"809"</f>
        <v>809</v>
      </c>
      <c r="L8479">
        <v>1120.1400000000001</v>
      </c>
    </row>
    <row r="8480" spans="1:12" x14ac:dyDescent="0.25">
      <c r="A8480" t="str">
        <f t="shared" si="1517"/>
        <v>89301000</v>
      </c>
      <c r="B8480" t="str">
        <f t="shared" si="1526"/>
        <v>89895000</v>
      </c>
      <c r="C8480" t="str">
        <f t="shared" si="1527"/>
        <v>89895002</v>
      </c>
      <c r="D8480">
        <v>89301215</v>
      </c>
      <c r="E8480" t="str">
        <f>"506123270"</f>
        <v>506123270</v>
      </c>
      <c r="F8480" s="1">
        <v>45118</v>
      </c>
      <c r="G8480" t="str">
        <f>"89513"</f>
        <v>89513</v>
      </c>
      <c r="H8480">
        <v>1</v>
      </c>
      <c r="I8480">
        <v>378</v>
      </c>
      <c r="J8480">
        <v>0</v>
      </c>
      <c r="K8480" t="str">
        <f t="shared" si="1528"/>
        <v>809</v>
      </c>
      <c r="L8480">
        <v>555.66</v>
      </c>
    </row>
    <row r="8481" spans="1:12" x14ac:dyDescent="0.25">
      <c r="A8481" t="str">
        <f t="shared" si="1517"/>
        <v>89301000</v>
      </c>
      <c r="B8481" t="str">
        <f t="shared" si="1526"/>
        <v>89895000</v>
      </c>
      <c r="C8481" t="str">
        <f t="shared" si="1527"/>
        <v>89895002</v>
      </c>
      <c r="D8481">
        <v>89301215</v>
      </c>
      <c r="E8481" t="str">
        <f>"506123270"</f>
        <v>506123270</v>
      </c>
      <c r="F8481" s="1">
        <v>45118</v>
      </c>
      <c r="G8481" t="str">
        <f>"89514"</f>
        <v>89514</v>
      </c>
      <c r="H8481">
        <v>1</v>
      </c>
      <c r="I8481">
        <v>378</v>
      </c>
      <c r="J8481">
        <v>0</v>
      </c>
      <c r="K8481" t="str">
        <f t="shared" si="1528"/>
        <v>809</v>
      </c>
      <c r="L8481">
        <v>555.66</v>
      </c>
    </row>
    <row r="8482" spans="1:12" x14ac:dyDescent="0.25">
      <c r="A8482" t="str">
        <f t="shared" si="1517"/>
        <v>89301000</v>
      </c>
      <c r="B8482" t="str">
        <f t="shared" si="1526"/>
        <v>89895000</v>
      </c>
      <c r="C8482" t="str">
        <f t="shared" si="1527"/>
        <v>89895002</v>
      </c>
      <c r="D8482">
        <v>89301212</v>
      </c>
      <c r="E8482" t="str">
        <f>"525606072"</f>
        <v>525606072</v>
      </c>
      <c r="F8482" s="1">
        <v>45131</v>
      </c>
      <c r="G8482" t="str">
        <f>"89180"</f>
        <v>89180</v>
      </c>
      <c r="H8482">
        <v>2</v>
      </c>
      <c r="I8482">
        <v>762</v>
      </c>
      <c r="J8482">
        <v>0</v>
      </c>
      <c r="K8482" t="str">
        <f t="shared" si="1528"/>
        <v>809</v>
      </c>
      <c r="L8482">
        <v>1120.1400000000001</v>
      </c>
    </row>
    <row r="8483" spans="1:12" x14ac:dyDescent="0.25">
      <c r="A8483" t="str">
        <f t="shared" si="1517"/>
        <v>89301000</v>
      </c>
      <c r="B8483" t="str">
        <f t="shared" si="1526"/>
        <v>89895000</v>
      </c>
      <c r="C8483" t="str">
        <f t="shared" si="1527"/>
        <v>89895002</v>
      </c>
      <c r="D8483">
        <v>89301212</v>
      </c>
      <c r="E8483" t="str">
        <f>"525606072"</f>
        <v>525606072</v>
      </c>
      <c r="F8483" s="1">
        <v>45131</v>
      </c>
      <c r="G8483" t="str">
        <f>"89513"</f>
        <v>89513</v>
      </c>
      <c r="H8483">
        <v>1</v>
      </c>
      <c r="I8483">
        <v>378</v>
      </c>
      <c r="J8483">
        <v>0</v>
      </c>
      <c r="K8483" t="str">
        <f t="shared" si="1528"/>
        <v>809</v>
      </c>
      <c r="L8483">
        <v>555.66</v>
      </c>
    </row>
    <row r="8484" spans="1:12" x14ac:dyDescent="0.25">
      <c r="A8484" t="str">
        <f t="shared" si="1517"/>
        <v>89301000</v>
      </c>
      <c r="B8484" t="str">
        <f t="shared" si="1526"/>
        <v>89895000</v>
      </c>
      <c r="C8484" t="str">
        <f t="shared" si="1527"/>
        <v>89895002</v>
      </c>
      <c r="D8484">
        <v>89301212</v>
      </c>
      <c r="E8484" t="str">
        <f>"525606072"</f>
        <v>525606072</v>
      </c>
      <c r="F8484" s="1">
        <v>45131</v>
      </c>
      <c r="G8484" t="str">
        <f>"89514"</f>
        <v>89514</v>
      </c>
      <c r="H8484">
        <v>1</v>
      </c>
      <c r="I8484">
        <v>378</v>
      </c>
      <c r="J8484">
        <v>0</v>
      </c>
      <c r="K8484" t="str">
        <f t="shared" si="1528"/>
        <v>809</v>
      </c>
      <c r="L8484">
        <v>555.66</v>
      </c>
    </row>
    <row r="8485" spans="1:12" x14ac:dyDescent="0.25">
      <c r="A8485" t="str">
        <f t="shared" si="1517"/>
        <v>89301000</v>
      </c>
      <c r="B8485" t="str">
        <f t="shared" si="1526"/>
        <v>89895000</v>
      </c>
      <c r="C8485" t="str">
        <f t="shared" si="1527"/>
        <v>89895002</v>
      </c>
      <c r="D8485">
        <v>89301212</v>
      </c>
      <c r="E8485" t="str">
        <f>"5752161382"</f>
        <v>5752161382</v>
      </c>
      <c r="F8485" s="1">
        <v>45117</v>
      </c>
      <c r="G8485" t="str">
        <f>"89512"</f>
        <v>89512</v>
      </c>
      <c r="H8485">
        <v>1</v>
      </c>
      <c r="I8485">
        <v>283</v>
      </c>
      <c r="J8485">
        <v>0</v>
      </c>
      <c r="K8485" t="str">
        <f t="shared" si="1528"/>
        <v>809</v>
      </c>
      <c r="L8485">
        <v>416.01</v>
      </c>
    </row>
    <row r="8486" spans="1:12" x14ac:dyDescent="0.25">
      <c r="A8486" t="str">
        <f t="shared" si="1517"/>
        <v>89301000</v>
      </c>
      <c r="B8486" t="str">
        <f t="shared" si="1526"/>
        <v>89895000</v>
      </c>
      <c r="C8486" t="str">
        <f t="shared" si="1527"/>
        <v>89895002</v>
      </c>
      <c r="D8486">
        <v>89301212</v>
      </c>
      <c r="E8486" t="str">
        <f>"5753151415"</f>
        <v>5753151415</v>
      </c>
      <c r="F8486" s="1">
        <v>45117</v>
      </c>
      <c r="G8486" t="str">
        <f>"89180"</f>
        <v>89180</v>
      </c>
      <c r="H8486">
        <v>2</v>
      </c>
      <c r="I8486">
        <v>762</v>
      </c>
      <c r="J8486">
        <v>0</v>
      </c>
      <c r="K8486" t="str">
        <f t="shared" si="1528"/>
        <v>809</v>
      </c>
      <c r="L8486">
        <v>1120.1400000000001</v>
      </c>
    </row>
    <row r="8487" spans="1:12" x14ac:dyDescent="0.25">
      <c r="A8487" t="str">
        <f t="shared" si="1517"/>
        <v>89301000</v>
      </c>
      <c r="B8487" t="str">
        <f t="shared" si="1526"/>
        <v>89895000</v>
      </c>
      <c r="C8487" t="str">
        <f t="shared" si="1527"/>
        <v>89895002</v>
      </c>
      <c r="D8487">
        <v>89301212</v>
      </c>
      <c r="E8487" t="str">
        <f>"5753151415"</f>
        <v>5753151415</v>
      </c>
      <c r="F8487" s="1">
        <v>45117</v>
      </c>
      <c r="G8487" t="str">
        <f>"89513"</f>
        <v>89513</v>
      </c>
      <c r="H8487">
        <v>1</v>
      </c>
      <c r="I8487">
        <v>378</v>
      </c>
      <c r="J8487">
        <v>0</v>
      </c>
      <c r="K8487" t="str">
        <f t="shared" si="1528"/>
        <v>809</v>
      </c>
      <c r="L8487">
        <v>555.66</v>
      </c>
    </row>
    <row r="8488" spans="1:12" x14ac:dyDescent="0.25">
      <c r="A8488" t="str">
        <f t="shared" si="1517"/>
        <v>89301000</v>
      </c>
      <c r="B8488" t="str">
        <f t="shared" si="1526"/>
        <v>89895000</v>
      </c>
      <c r="C8488" t="str">
        <f t="shared" si="1527"/>
        <v>89895002</v>
      </c>
      <c r="D8488">
        <v>89301212</v>
      </c>
      <c r="E8488" t="str">
        <f>"5753151415"</f>
        <v>5753151415</v>
      </c>
      <c r="F8488" s="1">
        <v>45117</v>
      </c>
      <c r="G8488" t="str">
        <f>"89514"</f>
        <v>89514</v>
      </c>
      <c r="H8488">
        <v>1</v>
      </c>
      <c r="I8488">
        <v>378</v>
      </c>
      <c r="J8488">
        <v>0</v>
      </c>
      <c r="K8488" t="str">
        <f t="shared" si="1528"/>
        <v>809</v>
      </c>
      <c r="L8488">
        <v>555.66</v>
      </c>
    </row>
    <row r="8489" spans="1:12" x14ac:dyDescent="0.25">
      <c r="A8489" t="str">
        <f t="shared" si="1517"/>
        <v>89301000</v>
      </c>
      <c r="B8489" t="str">
        <f t="shared" si="1526"/>
        <v>89895000</v>
      </c>
      <c r="C8489" t="str">
        <f t="shared" si="1527"/>
        <v>89895002</v>
      </c>
      <c r="D8489">
        <v>89301212</v>
      </c>
      <c r="E8489" t="str">
        <f>"5854030611"</f>
        <v>5854030611</v>
      </c>
      <c r="F8489" s="1">
        <v>45128</v>
      </c>
      <c r="G8489" t="str">
        <f>"89514"</f>
        <v>89514</v>
      </c>
      <c r="H8489">
        <v>1</v>
      </c>
      <c r="I8489">
        <v>378</v>
      </c>
      <c r="J8489">
        <v>0</v>
      </c>
      <c r="K8489" t="str">
        <f t="shared" si="1528"/>
        <v>809</v>
      </c>
      <c r="L8489">
        <v>555.66</v>
      </c>
    </row>
    <row r="8490" spans="1:12" x14ac:dyDescent="0.25">
      <c r="A8490" t="str">
        <f t="shared" si="1517"/>
        <v>89301000</v>
      </c>
      <c r="B8490" t="str">
        <f t="shared" si="1526"/>
        <v>89895000</v>
      </c>
      <c r="C8490" t="str">
        <f t="shared" si="1527"/>
        <v>89895002</v>
      </c>
      <c r="D8490">
        <v>89301212</v>
      </c>
      <c r="E8490" t="str">
        <f>"5854030611"</f>
        <v>5854030611</v>
      </c>
      <c r="F8490" s="1">
        <v>45128</v>
      </c>
      <c r="G8490" t="str">
        <f>"89513"</f>
        <v>89513</v>
      </c>
      <c r="H8490">
        <v>1</v>
      </c>
      <c r="I8490">
        <v>378</v>
      </c>
      <c r="J8490">
        <v>0</v>
      </c>
      <c r="K8490" t="str">
        <f t="shared" si="1528"/>
        <v>809</v>
      </c>
      <c r="L8490">
        <v>555.66</v>
      </c>
    </row>
    <row r="8491" spans="1:12" x14ac:dyDescent="0.25">
      <c r="A8491" t="str">
        <f t="shared" si="1517"/>
        <v>89301000</v>
      </c>
      <c r="B8491" t="str">
        <f t="shared" si="1526"/>
        <v>89895000</v>
      </c>
      <c r="C8491" t="str">
        <f t="shared" si="1527"/>
        <v>89895002</v>
      </c>
      <c r="D8491">
        <v>89301212</v>
      </c>
      <c r="E8491" t="str">
        <f>"5854030611"</f>
        <v>5854030611</v>
      </c>
      <c r="F8491" s="1">
        <v>45135</v>
      </c>
      <c r="G8491" t="str">
        <f>"89512"</f>
        <v>89512</v>
      </c>
      <c r="H8491">
        <v>1</v>
      </c>
      <c r="I8491">
        <v>283</v>
      </c>
      <c r="J8491">
        <v>0</v>
      </c>
      <c r="K8491" t="str">
        <f t="shared" si="1528"/>
        <v>809</v>
      </c>
      <c r="L8491">
        <v>416.01</v>
      </c>
    </row>
    <row r="8492" spans="1:12" x14ac:dyDescent="0.25">
      <c r="A8492" t="str">
        <f t="shared" si="1517"/>
        <v>89301000</v>
      </c>
      <c r="B8492" t="str">
        <f t="shared" si="1526"/>
        <v>89895000</v>
      </c>
      <c r="C8492" t="str">
        <f t="shared" si="1527"/>
        <v>89895002</v>
      </c>
      <c r="D8492">
        <v>89301212</v>
      </c>
      <c r="E8492" t="str">
        <f>"6458160852"</f>
        <v>6458160852</v>
      </c>
      <c r="F8492" s="1">
        <v>45135</v>
      </c>
      <c r="G8492" t="str">
        <f>"89513"</f>
        <v>89513</v>
      </c>
      <c r="H8492">
        <v>1</v>
      </c>
      <c r="I8492">
        <v>378</v>
      </c>
      <c r="J8492">
        <v>0</v>
      </c>
      <c r="K8492" t="str">
        <f t="shared" si="1528"/>
        <v>809</v>
      </c>
      <c r="L8492">
        <v>555.66</v>
      </c>
    </row>
    <row r="8493" spans="1:12" x14ac:dyDescent="0.25">
      <c r="A8493" t="str">
        <f t="shared" si="1517"/>
        <v>89301000</v>
      </c>
      <c r="B8493" t="str">
        <f t="shared" si="1526"/>
        <v>89895000</v>
      </c>
      <c r="C8493" t="str">
        <f t="shared" si="1527"/>
        <v>89895002</v>
      </c>
      <c r="D8493">
        <v>89301212</v>
      </c>
      <c r="E8493" t="str">
        <f>"6458160852"</f>
        <v>6458160852</v>
      </c>
      <c r="F8493" s="1">
        <v>45135</v>
      </c>
      <c r="G8493" t="str">
        <f>"89180"</f>
        <v>89180</v>
      </c>
      <c r="H8493">
        <v>2</v>
      </c>
      <c r="I8493">
        <v>762</v>
      </c>
      <c r="J8493">
        <v>0</v>
      </c>
      <c r="K8493" t="str">
        <f t="shared" si="1528"/>
        <v>809</v>
      </c>
      <c r="L8493">
        <v>1120.1400000000001</v>
      </c>
    </row>
    <row r="8494" spans="1:12" x14ac:dyDescent="0.25">
      <c r="A8494" t="str">
        <f t="shared" si="1517"/>
        <v>89301000</v>
      </c>
      <c r="B8494" t="str">
        <f t="shared" si="1526"/>
        <v>89895000</v>
      </c>
      <c r="C8494" t="str">
        <f t="shared" si="1527"/>
        <v>89895002</v>
      </c>
      <c r="D8494">
        <v>89301212</v>
      </c>
      <c r="E8494" t="str">
        <f>"6458160852"</f>
        <v>6458160852</v>
      </c>
      <c r="F8494" s="1">
        <v>45135</v>
      </c>
      <c r="G8494" t="str">
        <f>"89514"</f>
        <v>89514</v>
      </c>
      <c r="H8494">
        <v>1</v>
      </c>
      <c r="I8494">
        <v>378</v>
      </c>
      <c r="J8494">
        <v>0</v>
      </c>
      <c r="K8494" t="str">
        <f t="shared" si="1528"/>
        <v>809</v>
      </c>
      <c r="L8494">
        <v>555.66</v>
      </c>
    </row>
    <row r="8495" spans="1:12" x14ac:dyDescent="0.25">
      <c r="A8495" t="str">
        <f t="shared" si="1517"/>
        <v>89301000</v>
      </c>
      <c r="B8495" t="str">
        <f t="shared" si="1526"/>
        <v>89895000</v>
      </c>
      <c r="C8495" t="str">
        <f t="shared" si="1527"/>
        <v>89895002</v>
      </c>
      <c r="D8495">
        <v>89301212</v>
      </c>
      <c r="E8495" t="str">
        <f>"6458160852"</f>
        <v>6458160852</v>
      </c>
      <c r="F8495" s="1">
        <v>45135</v>
      </c>
      <c r="G8495" t="str">
        <f>"89512"</f>
        <v>89512</v>
      </c>
      <c r="H8495">
        <v>1</v>
      </c>
      <c r="I8495">
        <v>283</v>
      </c>
      <c r="J8495">
        <v>0</v>
      </c>
      <c r="K8495" t="str">
        <f t="shared" si="1528"/>
        <v>809</v>
      </c>
      <c r="L8495">
        <v>416.01</v>
      </c>
    </row>
    <row r="8496" spans="1:12" x14ac:dyDescent="0.25">
      <c r="A8496" t="str">
        <f t="shared" si="1517"/>
        <v>89301000</v>
      </c>
      <c r="B8496" t="str">
        <f t="shared" si="1526"/>
        <v>89895000</v>
      </c>
      <c r="C8496" t="str">
        <f t="shared" si="1527"/>
        <v>89895002</v>
      </c>
      <c r="D8496">
        <v>89301212</v>
      </c>
      <c r="E8496" t="str">
        <f>"6551151420"</f>
        <v>6551151420</v>
      </c>
      <c r="F8496" s="1">
        <v>45111</v>
      </c>
      <c r="G8496" t="str">
        <f>"89513"</f>
        <v>89513</v>
      </c>
      <c r="H8496">
        <v>1</v>
      </c>
      <c r="I8496">
        <v>378</v>
      </c>
      <c r="J8496">
        <v>0</v>
      </c>
      <c r="K8496" t="str">
        <f t="shared" si="1528"/>
        <v>809</v>
      </c>
      <c r="L8496">
        <v>555.66</v>
      </c>
    </row>
    <row r="8497" spans="1:12" x14ac:dyDescent="0.25">
      <c r="A8497" t="str">
        <f t="shared" si="1517"/>
        <v>89301000</v>
      </c>
      <c r="B8497" t="str">
        <f t="shared" si="1526"/>
        <v>89895000</v>
      </c>
      <c r="C8497" t="str">
        <f t="shared" si="1527"/>
        <v>89895002</v>
      </c>
      <c r="D8497">
        <v>89301212</v>
      </c>
      <c r="E8497" t="str">
        <f>"6551151420"</f>
        <v>6551151420</v>
      </c>
      <c r="F8497" s="1">
        <v>45111</v>
      </c>
      <c r="G8497" t="str">
        <f>"89514"</f>
        <v>89514</v>
      </c>
      <c r="H8497">
        <v>1</v>
      </c>
      <c r="I8497">
        <v>378</v>
      </c>
      <c r="J8497">
        <v>0</v>
      </c>
      <c r="K8497" t="str">
        <f t="shared" si="1528"/>
        <v>809</v>
      </c>
      <c r="L8497">
        <v>555.66</v>
      </c>
    </row>
    <row r="8498" spans="1:12" x14ac:dyDescent="0.25">
      <c r="A8498" t="str">
        <f t="shared" si="1517"/>
        <v>89301000</v>
      </c>
      <c r="B8498" t="str">
        <f t="shared" si="1526"/>
        <v>89895000</v>
      </c>
      <c r="C8498" t="str">
        <f t="shared" si="1527"/>
        <v>89895002</v>
      </c>
      <c r="D8498">
        <v>89301212</v>
      </c>
      <c r="E8498" t="str">
        <f>"6558271093"</f>
        <v>6558271093</v>
      </c>
      <c r="F8498" s="1">
        <v>45134</v>
      </c>
      <c r="G8498" t="str">
        <f>"89512"</f>
        <v>89512</v>
      </c>
      <c r="H8498">
        <v>1</v>
      </c>
      <c r="I8498">
        <v>283</v>
      </c>
      <c r="J8498">
        <v>0</v>
      </c>
      <c r="K8498" t="str">
        <f t="shared" si="1528"/>
        <v>809</v>
      </c>
      <c r="L8498">
        <v>416.01</v>
      </c>
    </row>
    <row r="8499" spans="1:12" x14ac:dyDescent="0.25">
      <c r="A8499" t="str">
        <f t="shared" si="1517"/>
        <v>89301000</v>
      </c>
      <c r="B8499" t="str">
        <f t="shared" si="1526"/>
        <v>89895000</v>
      </c>
      <c r="C8499" t="str">
        <f t="shared" si="1527"/>
        <v>89895002</v>
      </c>
      <c r="D8499">
        <v>89301212</v>
      </c>
      <c r="E8499" t="str">
        <f t="shared" ref="E8499:E8507" si="1529">"6559031644"</f>
        <v>6559031644</v>
      </c>
      <c r="F8499" s="1">
        <v>45111</v>
      </c>
      <c r="G8499" t="str">
        <f>"89313"</f>
        <v>89313</v>
      </c>
      <c r="H8499">
        <v>1</v>
      </c>
      <c r="I8499">
        <v>420</v>
      </c>
      <c r="J8499">
        <v>0</v>
      </c>
      <c r="K8499" t="str">
        <f t="shared" si="1528"/>
        <v>809</v>
      </c>
      <c r="L8499">
        <v>617.4</v>
      </c>
    </row>
    <row r="8500" spans="1:12" x14ac:dyDescent="0.25">
      <c r="A8500" t="str">
        <f t="shared" si="1517"/>
        <v>89301000</v>
      </c>
      <c r="B8500" t="str">
        <f t="shared" si="1526"/>
        <v>89895000</v>
      </c>
      <c r="C8500" t="str">
        <f t="shared" si="1527"/>
        <v>89895002</v>
      </c>
      <c r="D8500">
        <v>89301212</v>
      </c>
      <c r="E8500" t="str">
        <f t="shared" si="1529"/>
        <v>6559031644</v>
      </c>
      <c r="F8500" s="1">
        <v>45111</v>
      </c>
      <c r="G8500" t="str">
        <f>"89512"</f>
        <v>89512</v>
      </c>
      <c r="H8500">
        <v>1</v>
      </c>
      <c r="I8500">
        <v>283</v>
      </c>
      <c r="J8500">
        <v>0</v>
      </c>
      <c r="K8500" t="str">
        <f t="shared" si="1528"/>
        <v>809</v>
      </c>
      <c r="L8500">
        <v>416.01</v>
      </c>
    </row>
    <row r="8501" spans="1:12" x14ac:dyDescent="0.25">
      <c r="A8501" t="str">
        <f t="shared" si="1517"/>
        <v>89301000</v>
      </c>
      <c r="B8501" t="str">
        <f t="shared" si="1526"/>
        <v>89895000</v>
      </c>
      <c r="C8501" t="str">
        <f t="shared" si="1527"/>
        <v>89895002</v>
      </c>
      <c r="D8501">
        <v>89301212</v>
      </c>
      <c r="E8501" t="str">
        <f t="shared" si="1529"/>
        <v>6559031644</v>
      </c>
      <c r="F8501" s="1">
        <v>45111</v>
      </c>
      <c r="G8501" t="str">
        <f>"0082409"</f>
        <v>0082409</v>
      </c>
      <c r="H8501">
        <v>1</v>
      </c>
      <c r="J8501">
        <v>702</v>
      </c>
      <c r="K8501" t="str">
        <f t="shared" si="1528"/>
        <v>809</v>
      </c>
      <c r="L8501">
        <v>702</v>
      </c>
    </row>
    <row r="8502" spans="1:12" x14ac:dyDescent="0.25">
      <c r="A8502" t="str">
        <f t="shared" si="1517"/>
        <v>89301000</v>
      </c>
      <c r="B8502" t="str">
        <f t="shared" si="1526"/>
        <v>89895000</v>
      </c>
      <c r="C8502" t="str">
        <f t="shared" si="1527"/>
        <v>89895002</v>
      </c>
      <c r="D8502">
        <v>89301212</v>
      </c>
      <c r="E8502" t="str">
        <f t="shared" si="1529"/>
        <v>6559031644</v>
      </c>
      <c r="F8502" s="1">
        <v>45111</v>
      </c>
      <c r="G8502" t="str">
        <f>"0093109"</f>
        <v>0093109</v>
      </c>
      <c r="H8502">
        <v>0.1</v>
      </c>
      <c r="J8502">
        <v>26.08</v>
      </c>
      <c r="K8502" t="str">
        <f t="shared" si="1528"/>
        <v>809</v>
      </c>
      <c r="L8502">
        <v>26.08</v>
      </c>
    </row>
    <row r="8503" spans="1:12" x14ac:dyDescent="0.25">
      <c r="A8503" t="str">
        <f t="shared" si="1517"/>
        <v>89301000</v>
      </c>
      <c r="B8503" t="str">
        <f t="shared" si="1526"/>
        <v>89895000</v>
      </c>
      <c r="C8503" t="str">
        <f t="shared" si="1527"/>
        <v>89895002</v>
      </c>
      <c r="D8503">
        <v>89301212</v>
      </c>
      <c r="E8503" t="str">
        <f t="shared" si="1529"/>
        <v>6559031644</v>
      </c>
      <c r="F8503" s="1">
        <v>45135</v>
      </c>
      <c r="G8503" t="str">
        <f>"89180"</f>
        <v>89180</v>
      </c>
      <c r="H8503">
        <v>1</v>
      </c>
      <c r="I8503">
        <v>381</v>
      </c>
      <c r="J8503">
        <v>0</v>
      </c>
      <c r="K8503" t="str">
        <f t="shared" si="1528"/>
        <v>809</v>
      </c>
      <c r="L8503">
        <v>560.07000000000005</v>
      </c>
    </row>
    <row r="8504" spans="1:12" x14ac:dyDescent="0.25">
      <c r="A8504" t="str">
        <f t="shared" si="1517"/>
        <v>89301000</v>
      </c>
      <c r="B8504" t="str">
        <f t="shared" si="1526"/>
        <v>89895000</v>
      </c>
      <c r="C8504" t="str">
        <f t="shared" si="1527"/>
        <v>89895002</v>
      </c>
      <c r="D8504">
        <v>89301212</v>
      </c>
      <c r="E8504" t="str">
        <f t="shared" si="1529"/>
        <v>6559031644</v>
      </c>
      <c r="F8504" s="1">
        <v>45135</v>
      </c>
      <c r="G8504" t="str">
        <f>"89335"</f>
        <v>89335</v>
      </c>
      <c r="H8504">
        <v>1</v>
      </c>
      <c r="I8504">
        <v>185</v>
      </c>
      <c r="J8504">
        <v>0</v>
      </c>
      <c r="K8504" t="str">
        <f t="shared" si="1528"/>
        <v>809</v>
      </c>
      <c r="L8504">
        <v>271.95</v>
      </c>
    </row>
    <row r="8505" spans="1:12" x14ac:dyDescent="0.25">
      <c r="A8505" t="str">
        <f t="shared" si="1517"/>
        <v>89301000</v>
      </c>
      <c r="B8505" t="str">
        <f t="shared" si="1526"/>
        <v>89895000</v>
      </c>
      <c r="C8505" t="str">
        <f t="shared" si="1527"/>
        <v>89895002</v>
      </c>
      <c r="D8505">
        <v>89301212</v>
      </c>
      <c r="E8505" t="str">
        <f t="shared" si="1529"/>
        <v>6559031644</v>
      </c>
      <c r="F8505" s="1">
        <v>45135</v>
      </c>
      <c r="G8505" t="str">
        <f>"89512"</f>
        <v>89512</v>
      </c>
      <c r="H8505">
        <v>1</v>
      </c>
      <c r="I8505">
        <v>283</v>
      </c>
      <c r="J8505">
        <v>0</v>
      </c>
      <c r="K8505" t="str">
        <f t="shared" si="1528"/>
        <v>809</v>
      </c>
      <c r="L8505">
        <v>416.01</v>
      </c>
    </row>
    <row r="8506" spans="1:12" x14ac:dyDescent="0.25">
      <c r="A8506" t="str">
        <f t="shared" si="1517"/>
        <v>89301000</v>
      </c>
      <c r="B8506" t="str">
        <f t="shared" si="1526"/>
        <v>89895000</v>
      </c>
      <c r="C8506" t="str">
        <f t="shared" si="1527"/>
        <v>89895002</v>
      </c>
      <c r="D8506">
        <v>89301212</v>
      </c>
      <c r="E8506" t="str">
        <f t="shared" si="1529"/>
        <v>6559031644</v>
      </c>
      <c r="F8506" s="1">
        <v>45135</v>
      </c>
      <c r="G8506" t="str">
        <f>"0000502"</f>
        <v>0000502</v>
      </c>
      <c r="H8506">
        <v>0.1</v>
      </c>
      <c r="J8506">
        <v>6.97</v>
      </c>
      <c r="K8506" t="str">
        <f t="shared" si="1528"/>
        <v>809</v>
      </c>
      <c r="L8506">
        <v>6.97</v>
      </c>
    </row>
    <row r="8507" spans="1:12" x14ac:dyDescent="0.25">
      <c r="A8507" t="str">
        <f t="shared" si="1517"/>
        <v>89301000</v>
      </c>
      <c r="B8507" t="str">
        <f t="shared" si="1526"/>
        <v>89895000</v>
      </c>
      <c r="C8507" t="str">
        <f t="shared" si="1527"/>
        <v>89895002</v>
      </c>
      <c r="D8507">
        <v>89301212</v>
      </c>
      <c r="E8507" t="str">
        <f t="shared" si="1529"/>
        <v>6559031644</v>
      </c>
      <c r="F8507" s="1">
        <v>45135</v>
      </c>
      <c r="G8507" t="str">
        <f>"0082502"</f>
        <v>0082502</v>
      </c>
      <c r="H8507">
        <v>1</v>
      </c>
      <c r="J8507">
        <v>2093</v>
      </c>
      <c r="K8507" t="str">
        <f t="shared" si="1528"/>
        <v>809</v>
      </c>
      <c r="L8507">
        <v>2093</v>
      </c>
    </row>
    <row r="8508" spans="1:12" x14ac:dyDescent="0.25">
      <c r="A8508" t="str">
        <f t="shared" si="1517"/>
        <v>89301000</v>
      </c>
      <c r="B8508" t="str">
        <f t="shared" si="1526"/>
        <v>89895000</v>
      </c>
      <c r="C8508" t="str">
        <f t="shared" si="1527"/>
        <v>89895002</v>
      </c>
      <c r="D8508">
        <v>89301212</v>
      </c>
      <c r="E8508" t="str">
        <f>"7162182236"</f>
        <v>7162182236</v>
      </c>
      <c r="F8508" s="1">
        <v>45131</v>
      </c>
      <c r="G8508" t="str">
        <f>"89512"</f>
        <v>89512</v>
      </c>
      <c r="H8508">
        <v>1</v>
      </c>
      <c r="I8508">
        <v>283</v>
      </c>
      <c r="J8508">
        <v>0</v>
      </c>
      <c r="K8508" t="str">
        <f t="shared" si="1528"/>
        <v>809</v>
      </c>
      <c r="L8508">
        <v>416.01</v>
      </c>
    </row>
    <row r="8509" spans="1:12" x14ac:dyDescent="0.25">
      <c r="A8509" t="str">
        <f t="shared" si="1517"/>
        <v>89301000</v>
      </c>
      <c r="B8509" t="str">
        <f t="shared" si="1526"/>
        <v>89895000</v>
      </c>
      <c r="C8509" t="str">
        <f t="shared" si="1527"/>
        <v>89895002</v>
      </c>
      <c r="D8509">
        <v>89301212</v>
      </c>
      <c r="E8509" t="str">
        <f>"7162182236"</f>
        <v>7162182236</v>
      </c>
      <c r="F8509" s="1">
        <v>45131</v>
      </c>
      <c r="G8509" t="str">
        <f>"89513"</f>
        <v>89513</v>
      </c>
      <c r="H8509">
        <v>1</v>
      </c>
      <c r="I8509">
        <v>378</v>
      </c>
      <c r="J8509">
        <v>0</v>
      </c>
      <c r="K8509" t="str">
        <f t="shared" si="1528"/>
        <v>809</v>
      </c>
      <c r="L8509">
        <v>555.66</v>
      </c>
    </row>
    <row r="8510" spans="1:12" x14ac:dyDescent="0.25">
      <c r="A8510" t="str">
        <f t="shared" si="1517"/>
        <v>89301000</v>
      </c>
      <c r="B8510" t="str">
        <f t="shared" si="1526"/>
        <v>89895000</v>
      </c>
      <c r="C8510" t="str">
        <f t="shared" si="1527"/>
        <v>89895002</v>
      </c>
      <c r="D8510">
        <v>89301212</v>
      </c>
      <c r="E8510" t="str">
        <f>"7162182236"</f>
        <v>7162182236</v>
      </c>
      <c r="F8510" s="1">
        <v>45131</v>
      </c>
      <c r="G8510" t="str">
        <f>"89514"</f>
        <v>89514</v>
      </c>
      <c r="H8510">
        <v>1</v>
      </c>
      <c r="I8510">
        <v>378</v>
      </c>
      <c r="J8510">
        <v>0</v>
      </c>
      <c r="K8510" t="str">
        <f t="shared" si="1528"/>
        <v>809</v>
      </c>
      <c r="L8510">
        <v>555.66</v>
      </c>
    </row>
    <row r="8511" spans="1:12" x14ac:dyDescent="0.25">
      <c r="A8511" t="str">
        <f t="shared" si="1517"/>
        <v>89301000</v>
      </c>
      <c r="B8511" t="str">
        <f t="shared" si="1526"/>
        <v>89895000</v>
      </c>
      <c r="C8511" t="str">
        <f t="shared" si="1527"/>
        <v>89895002</v>
      </c>
      <c r="D8511">
        <v>89301212</v>
      </c>
      <c r="E8511" t="str">
        <f>"7553055708"</f>
        <v>7553055708</v>
      </c>
      <c r="F8511" s="1">
        <v>45128</v>
      </c>
      <c r="G8511" t="str">
        <f>"89513"</f>
        <v>89513</v>
      </c>
      <c r="H8511">
        <v>1</v>
      </c>
      <c r="I8511">
        <v>378</v>
      </c>
      <c r="J8511">
        <v>0</v>
      </c>
      <c r="K8511" t="str">
        <f t="shared" si="1528"/>
        <v>809</v>
      </c>
      <c r="L8511">
        <v>555.66</v>
      </c>
    </row>
    <row r="8512" spans="1:12" x14ac:dyDescent="0.25">
      <c r="A8512" t="str">
        <f t="shared" si="1517"/>
        <v>89301000</v>
      </c>
      <c r="B8512" t="str">
        <f t="shared" si="1526"/>
        <v>89895000</v>
      </c>
      <c r="C8512" t="str">
        <f t="shared" si="1527"/>
        <v>89895002</v>
      </c>
      <c r="D8512">
        <v>89301212</v>
      </c>
      <c r="E8512" t="str">
        <f>"7553055708"</f>
        <v>7553055708</v>
      </c>
      <c r="F8512" s="1">
        <v>45128</v>
      </c>
      <c r="G8512" t="str">
        <f>"09135"</f>
        <v>09135</v>
      </c>
      <c r="H8512">
        <v>1</v>
      </c>
      <c r="I8512">
        <v>179</v>
      </c>
      <c r="J8512">
        <v>0</v>
      </c>
      <c r="K8512" t="str">
        <f t="shared" si="1528"/>
        <v>809</v>
      </c>
      <c r="L8512">
        <v>263.13</v>
      </c>
    </row>
    <row r="8513" spans="1:12" x14ac:dyDescent="0.25">
      <c r="A8513" t="str">
        <f t="shared" si="1517"/>
        <v>89301000</v>
      </c>
      <c r="B8513" t="str">
        <f t="shared" si="1526"/>
        <v>89895000</v>
      </c>
      <c r="C8513" t="str">
        <f t="shared" si="1527"/>
        <v>89895002</v>
      </c>
      <c r="D8513">
        <v>89301212</v>
      </c>
      <c r="E8513" t="str">
        <f>"7553055708"</f>
        <v>7553055708</v>
      </c>
      <c r="F8513" s="1">
        <v>45128</v>
      </c>
      <c r="G8513" t="str">
        <f>"89514"</f>
        <v>89514</v>
      </c>
      <c r="H8513">
        <v>1</v>
      </c>
      <c r="I8513">
        <v>378</v>
      </c>
      <c r="J8513">
        <v>0</v>
      </c>
      <c r="K8513" t="str">
        <f t="shared" si="1528"/>
        <v>809</v>
      </c>
      <c r="L8513">
        <v>555.66</v>
      </c>
    </row>
    <row r="8514" spans="1:12" x14ac:dyDescent="0.25">
      <c r="A8514" t="str">
        <f t="shared" ref="A8514:A8577" si="1530">"89301000"</f>
        <v>89301000</v>
      </c>
      <c r="B8514" t="str">
        <f t="shared" si="1526"/>
        <v>89895000</v>
      </c>
      <c r="C8514" t="str">
        <f t="shared" si="1527"/>
        <v>89895002</v>
      </c>
      <c r="D8514">
        <v>89301212</v>
      </c>
      <c r="E8514" t="str">
        <f>"7653245303"</f>
        <v>7653245303</v>
      </c>
      <c r="F8514" s="1">
        <v>45128</v>
      </c>
      <c r="G8514" t="str">
        <f>"89512"</f>
        <v>89512</v>
      </c>
      <c r="H8514">
        <v>1</v>
      </c>
      <c r="I8514">
        <v>283</v>
      </c>
      <c r="J8514">
        <v>0</v>
      </c>
      <c r="K8514" t="str">
        <f t="shared" si="1528"/>
        <v>809</v>
      </c>
      <c r="L8514">
        <v>416.01</v>
      </c>
    </row>
    <row r="8515" spans="1:12" x14ac:dyDescent="0.25">
      <c r="A8515" t="str">
        <f t="shared" si="1530"/>
        <v>89301000</v>
      </c>
      <c r="B8515" t="str">
        <f>"77001000"</f>
        <v>77001000</v>
      </c>
      <c r="C8515" t="str">
        <f>"77001073"</f>
        <v>77001073</v>
      </c>
      <c r="D8515">
        <v>89301312</v>
      </c>
      <c r="E8515" t="str">
        <f>"7159095306"</f>
        <v>7159095306</v>
      </c>
      <c r="F8515" s="1">
        <v>45138</v>
      </c>
      <c r="G8515" t="str">
        <f>"89713"</f>
        <v>89713</v>
      </c>
      <c r="H8515">
        <v>1</v>
      </c>
      <c r="I8515">
        <v>5411</v>
      </c>
      <c r="J8515">
        <v>0</v>
      </c>
      <c r="K8515" t="str">
        <f>"810"</f>
        <v>810</v>
      </c>
      <c r="L8515">
        <v>3517.15</v>
      </c>
    </row>
    <row r="8516" spans="1:12" x14ac:dyDescent="0.25">
      <c r="A8516" t="str">
        <f t="shared" si="1530"/>
        <v>89301000</v>
      </c>
      <c r="B8516" t="str">
        <f t="shared" ref="B8516:B8547" si="1531">"10510000"</f>
        <v>10510000</v>
      </c>
      <c r="C8516" t="str">
        <f t="shared" ref="C8516:C8547" si="1532">"10510001"</f>
        <v>10510001</v>
      </c>
      <c r="D8516">
        <v>89301101</v>
      </c>
      <c r="E8516" t="str">
        <f>"2006080098"</f>
        <v>2006080098</v>
      </c>
      <c r="F8516" s="1">
        <v>45121</v>
      </c>
      <c r="G8516" t="str">
        <f>"82057"</f>
        <v>82057</v>
      </c>
      <c r="H8516">
        <v>6</v>
      </c>
      <c r="I8516">
        <v>306</v>
      </c>
      <c r="J8516">
        <v>0</v>
      </c>
      <c r="K8516" t="str">
        <f t="shared" ref="K8516:K8547" si="1533">"802"</f>
        <v>802</v>
      </c>
      <c r="L8516">
        <v>296.82</v>
      </c>
    </row>
    <row r="8517" spans="1:12" x14ac:dyDescent="0.25">
      <c r="A8517" t="str">
        <f t="shared" si="1530"/>
        <v>89301000</v>
      </c>
      <c r="B8517" t="str">
        <f t="shared" si="1531"/>
        <v>10510000</v>
      </c>
      <c r="C8517" t="str">
        <f t="shared" si="1532"/>
        <v>10510001</v>
      </c>
      <c r="D8517">
        <v>89301101</v>
      </c>
      <c r="E8517" t="str">
        <f>"2006080098"</f>
        <v>2006080098</v>
      </c>
      <c r="F8517" s="1">
        <v>45121</v>
      </c>
      <c r="G8517" t="str">
        <f>"82057"</f>
        <v>82057</v>
      </c>
      <c r="H8517">
        <v>6</v>
      </c>
      <c r="I8517">
        <v>306</v>
      </c>
      <c r="J8517">
        <v>0</v>
      </c>
      <c r="K8517" t="str">
        <f t="shared" si="1533"/>
        <v>802</v>
      </c>
      <c r="L8517">
        <v>296.82</v>
      </c>
    </row>
    <row r="8518" spans="1:12" x14ac:dyDescent="0.25">
      <c r="A8518" t="str">
        <f t="shared" si="1530"/>
        <v>89301000</v>
      </c>
      <c r="B8518" t="str">
        <f t="shared" si="1531"/>
        <v>10510000</v>
      </c>
      <c r="C8518" t="str">
        <f t="shared" si="1532"/>
        <v>10510001</v>
      </c>
      <c r="D8518">
        <v>89301101</v>
      </c>
      <c r="E8518" t="str">
        <f>"2006080098"</f>
        <v>2006080098</v>
      </c>
      <c r="F8518" s="1">
        <v>45122</v>
      </c>
      <c r="G8518" t="str">
        <f>"82036"</f>
        <v>82036</v>
      </c>
      <c r="H8518">
        <v>2</v>
      </c>
      <c r="I8518">
        <v>3034</v>
      </c>
      <c r="J8518">
        <v>0</v>
      </c>
      <c r="K8518" t="str">
        <f t="shared" si="1533"/>
        <v>802</v>
      </c>
      <c r="L8518">
        <v>2942.98</v>
      </c>
    </row>
    <row r="8519" spans="1:12" x14ac:dyDescent="0.25">
      <c r="A8519" t="str">
        <f t="shared" si="1530"/>
        <v>89301000</v>
      </c>
      <c r="B8519" t="str">
        <f t="shared" si="1531"/>
        <v>10510000</v>
      </c>
      <c r="C8519" t="str">
        <f t="shared" si="1532"/>
        <v>10510001</v>
      </c>
      <c r="D8519">
        <v>89301202</v>
      </c>
      <c r="E8519" t="str">
        <f>"9006254884"</f>
        <v>9006254884</v>
      </c>
      <c r="F8519" s="1">
        <v>45114</v>
      </c>
      <c r="G8519" t="str">
        <f>"82145"</f>
        <v>82145</v>
      </c>
      <c r="H8519">
        <v>6</v>
      </c>
      <c r="I8519">
        <v>354</v>
      </c>
      <c r="J8519">
        <v>0</v>
      </c>
      <c r="K8519" t="str">
        <f t="shared" si="1533"/>
        <v>802</v>
      </c>
      <c r="L8519">
        <v>343.38</v>
      </c>
    </row>
    <row r="8520" spans="1:12" x14ac:dyDescent="0.25">
      <c r="A8520" t="str">
        <f t="shared" si="1530"/>
        <v>89301000</v>
      </c>
      <c r="B8520" t="str">
        <f t="shared" si="1531"/>
        <v>10510000</v>
      </c>
      <c r="C8520" t="str">
        <f t="shared" si="1532"/>
        <v>10510001</v>
      </c>
      <c r="D8520">
        <v>89301202</v>
      </c>
      <c r="E8520" t="str">
        <f>"9006254884"</f>
        <v>9006254884</v>
      </c>
      <c r="F8520" s="1">
        <v>45114</v>
      </c>
      <c r="G8520" t="str">
        <f>"82111"</f>
        <v>82111</v>
      </c>
      <c r="H8520">
        <v>1</v>
      </c>
      <c r="I8520">
        <v>37</v>
      </c>
      <c r="J8520">
        <v>0</v>
      </c>
      <c r="K8520" t="str">
        <f t="shared" si="1533"/>
        <v>802</v>
      </c>
      <c r="L8520">
        <v>35.89</v>
      </c>
    </row>
    <row r="8521" spans="1:12" x14ac:dyDescent="0.25">
      <c r="A8521" t="str">
        <f t="shared" si="1530"/>
        <v>89301000</v>
      </c>
      <c r="B8521" t="str">
        <f t="shared" si="1531"/>
        <v>10510000</v>
      </c>
      <c r="C8521" t="str">
        <f t="shared" si="1532"/>
        <v>10510001</v>
      </c>
      <c r="D8521">
        <v>89301202</v>
      </c>
      <c r="E8521" t="str">
        <f>"9006254884"</f>
        <v>9006254884</v>
      </c>
      <c r="F8521" s="1">
        <v>45114</v>
      </c>
      <c r="G8521" t="str">
        <f>"82079"</f>
        <v>82079</v>
      </c>
      <c r="H8521">
        <v>1</v>
      </c>
      <c r="I8521">
        <v>333</v>
      </c>
      <c r="J8521">
        <v>0</v>
      </c>
      <c r="K8521" t="str">
        <f t="shared" si="1533"/>
        <v>802</v>
      </c>
      <c r="L8521">
        <v>323.01</v>
      </c>
    </row>
    <row r="8522" spans="1:12" x14ac:dyDescent="0.25">
      <c r="A8522" t="str">
        <f t="shared" si="1530"/>
        <v>89301000</v>
      </c>
      <c r="B8522" t="str">
        <f t="shared" si="1531"/>
        <v>10510000</v>
      </c>
      <c r="C8522" t="str">
        <f t="shared" si="1532"/>
        <v>10510001</v>
      </c>
      <c r="D8522">
        <v>89301202</v>
      </c>
      <c r="E8522" t="str">
        <f>"9006254884"</f>
        <v>9006254884</v>
      </c>
      <c r="F8522" s="1">
        <v>45114</v>
      </c>
      <c r="G8522" t="str">
        <f>"82113"</f>
        <v>82113</v>
      </c>
      <c r="H8522">
        <v>1</v>
      </c>
      <c r="I8522">
        <v>363</v>
      </c>
      <c r="J8522">
        <v>0</v>
      </c>
      <c r="K8522" t="str">
        <f t="shared" si="1533"/>
        <v>802</v>
      </c>
      <c r="L8522">
        <v>352.11</v>
      </c>
    </row>
    <row r="8523" spans="1:12" x14ac:dyDescent="0.25">
      <c r="A8523" t="str">
        <f t="shared" si="1530"/>
        <v>89301000</v>
      </c>
      <c r="B8523" t="str">
        <f t="shared" si="1531"/>
        <v>10510000</v>
      </c>
      <c r="C8523" t="str">
        <f t="shared" si="1532"/>
        <v>10510001</v>
      </c>
      <c r="D8523">
        <v>89301202</v>
      </c>
      <c r="E8523" t="str">
        <f>"9006254884"</f>
        <v>9006254884</v>
      </c>
      <c r="F8523" s="1">
        <v>45111</v>
      </c>
      <c r="G8523" t="str">
        <f>"97111"</f>
        <v>97111</v>
      </c>
      <c r="H8523">
        <v>1</v>
      </c>
      <c r="I8523">
        <v>19</v>
      </c>
      <c r="J8523">
        <v>0</v>
      </c>
      <c r="K8523" t="str">
        <f t="shared" si="1533"/>
        <v>802</v>
      </c>
      <c r="L8523">
        <v>23.94</v>
      </c>
    </row>
    <row r="8524" spans="1:12" x14ac:dyDescent="0.25">
      <c r="A8524" t="str">
        <f t="shared" si="1530"/>
        <v>89301000</v>
      </c>
      <c r="B8524" t="str">
        <f t="shared" si="1531"/>
        <v>10510000</v>
      </c>
      <c r="C8524" t="str">
        <f t="shared" si="1532"/>
        <v>10510001</v>
      </c>
      <c r="D8524">
        <v>89301202</v>
      </c>
      <c r="E8524" t="str">
        <f>"0002135826"</f>
        <v>0002135826</v>
      </c>
      <c r="F8524" s="1">
        <v>45111</v>
      </c>
      <c r="G8524" t="str">
        <f>"97111"</f>
        <v>97111</v>
      </c>
      <c r="H8524">
        <v>1</v>
      </c>
      <c r="I8524">
        <v>19</v>
      </c>
      <c r="J8524">
        <v>0</v>
      </c>
      <c r="K8524" t="str">
        <f t="shared" si="1533"/>
        <v>802</v>
      </c>
      <c r="L8524">
        <v>23.94</v>
      </c>
    </row>
    <row r="8525" spans="1:12" x14ac:dyDescent="0.25">
      <c r="A8525" t="str">
        <f t="shared" si="1530"/>
        <v>89301000</v>
      </c>
      <c r="B8525" t="str">
        <f t="shared" si="1531"/>
        <v>10510000</v>
      </c>
      <c r="C8525" t="str">
        <f t="shared" si="1532"/>
        <v>10510001</v>
      </c>
      <c r="D8525">
        <v>89301202</v>
      </c>
      <c r="E8525" t="str">
        <f>"0002135826"</f>
        <v>0002135826</v>
      </c>
      <c r="F8525" s="1">
        <v>45114</v>
      </c>
      <c r="G8525" t="str">
        <f>"82113"</f>
        <v>82113</v>
      </c>
      <c r="H8525">
        <v>1</v>
      </c>
      <c r="I8525">
        <v>363</v>
      </c>
      <c r="J8525">
        <v>0</v>
      </c>
      <c r="K8525" t="str">
        <f t="shared" si="1533"/>
        <v>802</v>
      </c>
      <c r="L8525">
        <v>352.11</v>
      </c>
    </row>
    <row r="8526" spans="1:12" x14ac:dyDescent="0.25">
      <c r="A8526" t="str">
        <f t="shared" si="1530"/>
        <v>89301000</v>
      </c>
      <c r="B8526" t="str">
        <f t="shared" si="1531"/>
        <v>10510000</v>
      </c>
      <c r="C8526" t="str">
        <f t="shared" si="1532"/>
        <v>10510001</v>
      </c>
      <c r="D8526">
        <v>89301202</v>
      </c>
      <c r="E8526" t="str">
        <f>"0002135826"</f>
        <v>0002135826</v>
      </c>
      <c r="F8526" s="1">
        <v>45114</v>
      </c>
      <c r="G8526" t="str">
        <f>"82079"</f>
        <v>82079</v>
      </c>
      <c r="H8526">
        <v>1</v>
      </c>
      <c r="I8526">
        <v>333</v>
      </c>
      <c r="J8526">
        <v>0</v>
      </c>
      <c r="K8526" t="str">
        <f t="shared" si="1533"/>
        <v>802</v>
      </c>
      <c r="L8526">
        <v>323.01</v>
      </c>
    </row>
    <row r="8527" spans="1:12" x14ac:dyDescent="0.25">
      <c r="A8527" t="str">
        <f t="shared" si="1530"/>
        <v>89301000</v>
      </c>
      <c r="B8527" t="str">
        <f t="shared" si="1531"/>
        <v>10510000</v>
      </c>
      <c r="C8527" t="str">
        <f t="shared" si="1532"/>
        <v>10510001</v>
      </c>
      <c r="D8527">
        <v>89301202</v>
      </c>
      <c r="E8527" t="str">
        <f>"0002135826"</f>
        <v>0002135826</v>
      </c>
      <c r="F8527" s="1">
        <v>45114</v>
      </c>
      <c r="G8527" t="str">
        <f>"82111"</f>
        <v>82111</v>
      </c>
      <c r="H8527">
        <v>1</v>
      </c>
      <c r="I8527">
        <v>37</v>
      </c>
      <c r="J8527">
        <v>0</v>
      </c>
      <c r="K8527" t="str">
        <f t="shared" si="1533"/>
        <v>802</v>
      </c>
      <c r="L8527">
        <v>35.89</v>
      </c>
    </row>
    <row r="8528" spans="1:12" x14ac:dyDescent="0.25">
      <c r="A8528" t="str">
        <f t="shared" si="1530"/>
        <v>89301000</v>
      </c>
      <c r="B8528" t="str">
        <f t="shared" si="1531"/>
        <v>10510000</v>
      </c>
      <c r="C8528" t="str">
        <f t="shared" si="1532"/>
        <v>10510001</v>
      </c>
      <c r="D8528">
        <v>89301202</v>
      </c>
      <c r="E8528" t="str">
        <f>"0002135826"</f>
        <v>0002135826</v>
      </c>
      <c r="F8528" s="1">
        <v>45114</v>
      </c>
      <c r="G8528" t="str">
        <f>"82145"</f>
        <v>82145</v>
      </c>
      <c r="H8528">
        <v>1</v>
      </c>
      <c r="I8528">
        <v>59</v>
      </c>
      <c r="J8528">
        <v>0</v>
      </c>
      <c r="K8528" t="str">
        <f t="shared" si="1533"/>
        <v>802</v>
      </c>
      <c r="L8528">
        <v>57.23</v>
      </c>
    </row>
    <row r="8529" spans="1:12" x14ac:dyDescent="0.25">
      <c r="A8529" t="str">
        <f t="shared" si="1530"/>
        <v>89301000</v>
      </c>
      <c r="B8529" t="str">
        <f t="shared" si="1531"/>
        <v>10510000</v>
      </c>
      <c r="C8529" t="str">
        <f t="shared" si="1532"/>
        <v>10510001</v>
      </c>
      <c r="D8529">
        <v>89301202</v>
      </c>
      <c r="E8529" t="str">
        <f>"8604145814"</f>
        <v>8604145814</v>
      </c>
      <c r="F8529" s="1">
        <v>45132</v>
      </c>
      <c r="G8529" t="str">
        <f>"82111"</f>
        <v>82111</v>
      </c>
      <c r="H8529">
        <v>1</v>
      </c>
      <c r="I8529">
        <v>37</v>
      </c>
      <c r="J8529">
        <v>0</v>
      </c>
      <c r="K8529" t="str">
        <f t="shared" si="1533"/>
        <v>802</v>
      </c>
      <c r="L8529">
        <v>35.89</v>
      </c>
    </row>
    <row r="8530" spans="1:12" x14ac:dyDescent="0.25">
      <c r="A8530" t="str">
        <f t="shared" si="1530"/>
        <v>89301000</v>
      </c>
      <c r="B8530" t="str">
        <f t="shared" si="1531"/>
        <v>10510000</v>
      </c>
      <c r="C8530" t="str">
        <f t="shared" si="1532"/>
        <v>10510001</v>
      </c>
      <c r="D8530">
        <v>89301202</v>
      </c>
      <c r="E8530" t="str">
        <f>"8604145814"</f>
        <v>8604145814</v>
      </c>
      <c r="F8530" s="1">
        <v>45132</v>
      </c>
      <c r="G8530" t="str">
        <f>"82145"</f>
        <v>82145</v>
      </c>
      <c r="H8530">
        <v>1</v>
      </c>
      <c r="I8530">
        <v>59</v>
      </c>
      <c r="J8530">
        <v>0</v>
      </c>
      <c r="K8530" t="str">
        <f t="shared" si="1533"/>
        <v>802</v>
      </c>
      <c r="L8530">
        <v>57.23</v>
      </c>
    </row>
    <row r="8531" spans="1:12" x14ac:dyDescent="0.25">
      <c r="A8531" t="str">
        <f t="shared" si="1530"/>
        <v>89301000</v>
      </c>
      <c r="B8531" t="str">
        <f t="shared" si="1531"/>
        <v>10510000</v>
      </c>
      <c r="C8531" t="str">
        <f t="shared" si="1532"/>
        <v>10510001</v>
      </c>
      <c r="D8531">
        <v>89301202</v>
      </c>
      <c r="E8531" t="str">
        <f>"8604145814"</f>
        <v>8604145814</v>
      </c>
      <c r="F8531" s="1">
        <v>45132</v>
      </c>
      <c r="G8531" t="str">
        <f>"82079"</f>
        <v>82079</v>
      </c>
      <c r="H8531">
        <v>1</v>
      </c>
      <c r="I8531">
        <v>333</v>
      </c>
      <c r="J8531">
        <v>0</v>
      </c>
      <c r="K8531" t="str">
        <f t="shared" si="1533"/>
        <v>802</v>
      </c>
      <c r="L8531">
        <v>323.01</v>
      </c>
    </row>
    <row r="8532" spans="1:12" x14ac:dyDescent="0.25">
      <c r="A8532" t="str">
        <f t="shared" si="1530"/>
        <v>89301000</v>
      </c>
      <c r="B8532" t="str">
        <f t="shared" si="1531"/>
        <v>10510000</v>
      </c>
      <c r="C8532" t="str">
        <f t="shared" si="1532"/>
        <v>10510001</v>
      </c>
      <c r="D8532">
        <v>89301202</v>
      </c>
      <c r="E8532" t="str">
        <f>"8604145814"</f>
        <v>8604145814</v>
      </c>
      <c r="F8532" s="1">
        <v>45131</v>
      </c>
      <c r="G8532" t="str">
        <f>"97111"</f>
        <v>97111</v>
      </c>
      <c r="H8532">
        <v>1</v>
      </c>
      <c r="I8532">
        <v>19</v>
      </c>
      <c r="J8532">
        <v>0</v>
      </c>
      <c r="K8532" t="str">
        <f t="shared" si="1533"/>
        <v>802</v>
      </c>
      <c r="L8532">
        <v>23.94</v>
      </c>
    </row>
    <row r="8533" spans="1:12" x14ac:dyDescent="0.25">
      <c r="A8533" t="str">
        <f t="shared" si="1530"/>
        <v>89301000</v>
      </c>
      <c r="B8533" t="str">
        <f t="shared" si="1531"/>
        <v>10510000</v>
      </c>
      <c r="C8533" t="str">
        <f t="shared" si="1532"/>
        <v>10510001</v>
      </c>
      <c r="D8533">
        <v>89301202</v>
      </c>
      <c r="E8533" t="str">
        <f>"8604145814"</f>
        <v>8604145814</v>
      </c>
      <c r="F8533" s="1">
        <v>45132</v>
      </c>
      <c r="G8533" t="str">
        <f>"82113"</f>
        <v>82113</v>
      </c>
      <c r="H8533">
        <v>1</v>
      </c>
      <c r="I8533">
        <v>363</v>
      </c>
      <c r="J8533">
        <v>0</v>
      </c>
      <c r="K8533" t="str">
        <f t="shared" si="1533"/>
        <v>802</v>
      </c>
      <c r="L8533">
        <v>352.11</v>
      </c>
    </row>
    <row r="8534" spans="1:12" x14ac:dyDescent="0.25">
      <c r="A8534" t="str">
        <f t="shared" si="1530"/>
        <v>89301000</v>
      </c>
      <c r="B8534" t="str">
        <f t="shared" si="1531"/>
        <v>10510000</v>
      </c>
      <c r="C8534" t="str">
        <f t="shared" si="1532"/>
        <v>10510001</v>
      </c>
      <c r="D8534">
        <v>89301355</v>
      </c>
      <c r="E8534" t="str">
        <f>"0310125706"</f>
        <v>0310125706</v>
      </c>
      <c r="F8534" s="1">
        <v>45126</v>
      </c>
      <c r="G8534" t="str">
        <f>"82137"</f>
        <v>82137</v>
      </c>
      <c r="H8534">
        <v>1</v>
      </c>
      <c r="I8534">
        <v>1606</v>
      </c>
      <c r="J8534">
        <v>0</v>
      </c>
      <c r="K8534" t="str">
        <f t="shared" si="1533"/>
        <v>802</v>
      </c>
      <c r="L8534">
        <v>1557.82</v>
      </c>
    </row>
    <row r="8535" spans="1:12" x14ac:dyDescent="0.25">
      <c r="A8535" t="str">
        <f t="shared" si="1530"/>
        <v>89301000</v>
      </c>
      <c r="B8535" t="str">
        <f t="shared" si="1531"/>
        <v>10510000</v>
      </c>
      <c r="C8535" t="str">
        <f t="shared" si="1532"/>
        <v>10510001</v>
      </c>
      <c r="D8535">
        <v>89301355</v>
      </c>
      <c r="E8535" t="str">
        <f>"0310125706"</f>
        <v>0310125706</v>
      </c>
      <c r="F8535" s="1">
        <v>45126</v>
      </c>
      <c r="G8535" t="str">
        <f>"82077"</f>
        <v>82077</v>
      </c>
      <c r="H8535">
        <v>2</v>
      </c>
      <c r="I8535">
        <v>702</v>
      </c>
      <c r="J8535">
        <v>0</v>
      </c>
      <c r="K8535" t="str">
        <f t="shared" si="1533"/>
        <v>802</v>
      </c>
      <c r="L8535">
        <v>680.94</v>
      </c>
    </row>
    <row r="8536" spans="1:12" x14ac:dyDescent="0.25">
      <c r="A8536" t="str">
        <f t="shared" si="1530"/>
        <v>89301000</v>
      </c>
      <c r="B8536" t="str">
        <f t="shared" si="1531"/>
        <v>10510000</v>
      </c>
      <c r="C8536" t="str">
        <f t="shared" si="1532"/>
        <v>10510001</v>
      </c>
      <c r="D8536">
        <v>89301355</v>
      </c>
      <c r="E8536" t="str">
        <f>"0310125706"</f>
        <v>0310125706</v>
      </c>
      <c r="F8536" s="1">
        <v>45126</v>
      </c>
      <c r="G8536" t="str">
        <f>"82077"</f>
        <v>82077</v>
      </c>
      <c r="H8536">
        <v>2</v>
      </c>
      <c r="I8536">
        <v>702</v>
      </c>
      <c r="J8536">
        <v>0</v>
      </c>
      <c r="K8536" t="str">
        <f t="shared" si="1533"/>
        <v>802</v>
      </c>
      <c r="L8536">
        <v>680.94</v>
      </c>
    </row>
    <row r="8537" spans="1:12" x14ac:dyDescent="0.25">
      <c r="A8537" t="str">
        <f t="shared" si="1530"/>
        <v>89301000</v>
      </c>
      <c r="B8537" t="str">
        <f t="shared" si="1531"/>
        <v>10510000</v>
      </c>
      <c r="C8537" t="str">
        <f t="shared" si="1532"/>
        <v>10510001</v>
      </c>
      <c r="D8537">
        <v>89301355</v>
      </c>
      <c r="E8537" t="str">
        <f>"0310125706"</f>
        <v>0310125706</v>
      </c>
      <c r="F8537" s="1">
        <v>45125</v>
      </c>
      <c r="G8537" t="str">
        <f>"82077"</f>
        <v>82077</v>
      </c>
      <c r="H8537">
        <v>1</v>
      </c>
      <c r="I8537">
        <v>351</v>
      </c>
      <c r="J8537">
        <v>0</v>
      </c>
      <c r="K8537" t="str">
        <f t="shared" si="1533"/>
        <v>802</v>
      </c>
      <c r="L8537">
        <v>340.47</v>
      </c>
    </row>
    <row r="8538" spans="1:12" x14ac:dyDescent="0.25">
      <c r="A8538" t="str">
        <f t="shared" si="1530"/>
        <v>89301000</v>
      </c>
      <c r="B8538" t="str">
        <f t="shared" si="1531"/>
        <v>10510000</v>
      </c>
      <c r="C8538" t="str">
        <f t="shared" si="1532"/>
        <v>10510001</v>
      </c>
      <c r="D8538">
        <v>89301171</v>
      </c>
      <c r="E8538" t="str">
        <f>"9657145718"</f>
        <v>9657145718</v>
      </c>
      <c r="F8538" s="1">
        <v>45118</v>
      </c>
      <c r="G8538" t="str">
        <f>"82034"</f>
        <v>82034</v>
      </c>
      <c r="H8538">
        <v>1</v>
      </c>
      <c r="I8538">
        <v>354</v>
      </c>
      <c r="J8538">
        <v>0</v>
      </c>
      <c r="K8538" t="str">
        <f t="shared" si="1533"/>
        <v>802</v>
      </c>
      <c r="L8538">
        <v>343.38</v>
      </c>
    </row>
    <row r="8539" spans="1:12" x14ac:dyDescent="0.25">
      <c r="A8539" t="str">
        <f t="shared" si="1530"/>
        <v>89301000</v>
      </c>
      <c r="B8539" t="str">
        <f t="shared" si="1531"/>
        <v>10510000</v>
      </c>
      <c r="C8539" t="str">
        <f t="shared" si="1532"/>
        <v>10510001</v>
      </c>
      <c r="D8539">
        <v>89301171</v>
      </c>
      <c r="E8539" t="str">
        <f>"9657145718"</f>
        <v>9657145718</v>
      </c>
      <c r="F8539" s="1">
        <v>45118</v>
      </c>
      <c r="G8539" t="str">
        <f>"82041"</f>
        <v>82041</v>
      </c>
      <c r="H8539">
        <v>1</v>
      </c>
      <c r="I8539">
        <v>1096</v>
      </c>
      <c r="J8539">
        <v>0</v>
      </c>
      <c r="K8539" t="str">
        <f t="shared" si="1533"/>
        <v>802</v>
      </c>
      <c r="L8539">
        <v>1063.1199999999999</v>
      </c>
    </row>
    <row r="8540" spans="1:12" x14ac:dyDescent="0.25">
      <c r="A8540" t="str">
        <f t="shared" si="1530"/>
        <v>89301000</v>
      </c>
      <c r="B8540" t="str">
        <f t="shared" si="1531"/>
        <v>10510000</v>
      </c>
      <c r="C8540" t="str">
        <f t="shared" si="1532"/>
        <v>10510001</v>
      </c>
      <c r="D8540">
        <v>89301171</v>
      </c>
      <c r="E8540" t="str">
        <f>"9657145718"</f>
        <v>9657145718</v>
      </c>
      <c r="F8540" s="1">
        <v>45118</v>
      </c>
      <c r="G8540" t="str">
        <f>"82041"</f>
        <v>82041</v>
      </c>
      <c r="H8540">
        <v>1</v>
      </c>
      <c r="I8540">
        <v>1096</v>
      </c>
      <c r="J8540">
        <v>0</v>
      </c>
      <c r="K8540" t="str">
        <f t="shared" si="1533"/>
        <v>802</v>
      </c>
      <c r="L8540">
        <v>1063.1199999999999</v>
      </c>
    </row>
    <row r="8541" spans="1:12" x14ac:dyDescent="0.25">
      <c r="A8541" t="str">
        <f t="shared" si="1530"/>
        <v>89301000</v>
      </c>
      <c r="B8541" t="str">
        <f t="shared" si="1531"/>
        <v>10510000</v>
      </c>
      <c r="C8541" t="str">
        <f t="shared" si="1532"/>
        <v>10510001</v>
      </c>
      <c r="D8541">
        <v>89301171</v>
      </c>
      <c r="E8541" t="str">
        <f>"7654295352"</f>
        <v>7654295352</v>
      </c>
      <c r="F8541" s="1">
        <v>45126</v>
      </c>
      <c r="G8541" t="str">
        <f>"82041"</f>
        <v>82041</v>
      </c>
      <c r="H8541">
        <v>1</v>
      </c>
      <c r="I8541">
        <v>1096</v>
      </c>
      <c r="J8541">
        <v>0</v>
      </c>
      <c r="K8541" t="str">
        <f t="shared" si="1533"/>
        <v>802</v>
      </c>
      <c r="L8541">
        <v>1063.1199999999999</v>
      </c>
    </row>
    <row r="8542" spans="1:12" x14ac:dyDescent="0.25">
      <c r="A8542" t="str">
        <f t="shared" si="1530"/>
        <v>89301000</v>
      </c>
      <c r="B8542" t="str">
        <f t="shared" si="1531"/>
        <v>10510000</v>
      </c>
      <c r="C8542" t="str">
        <f t="shared" si="1532"/>
        <v>10510001</v>
      </c>
      <c r="D8542">
        <v>89301171</v>
      </c>
      <c r="E8542" t="str">
        <f>"7654295352"</f>
        <v>7654295352</v>
      </c>
      <c r="F8542" s="1">
        <v>45126</v>
      </c>
      <c r="G8542" t="str">
        <f>"82041"</f>
        <v>82041</v>
      </c>
      <c r="H8542">
        <v>1</v>
      </c>
      <c r="I8542">
        <v>1096</v>
      </c>
      <c r="J8542">
        <v>0</v>
      </c>
      <c r="K8542" t="str">
        <f t="shared" si="1533"/>
        <v>802</v>
      </c>
      <c r="L8542">
        <v>1063.1199999999999</v>
      </c>
    </row>
    <row r="8543" spans="1:12" x14ac:dyDescent="0.25">
      <c r="A8543" t="str">
        <f t="shared" si="1530"/>
        <v>89301000</v>
      </c>
      <c r="B8543" t="str">
        <f t="shared" si="1531"/>
        <v>10510000</v>
      </c>
      <c r="C8543" t="str">
        <f t="shared" si="1532"/>
        <v>10510001</v>
      </c>
      <c r="D8543">
        <v>89301171</v>
      </c>
      <c r="E8543" t="str">
        <f>"7654295352"</f>
        <v>7654295352</v>
      </c>
      <c r="F8543" s="1">
        <v>45126</v>
      </c>
      <c r="G8543" t="str">
        <f>"82034"</f>
        <v>82034</v>
      </c>
      <c r="H8543">
        <v>1</v>
      </c>
      <c r="I8543">
        <v>354</v>
      </c>
      <c r="J8543">
        <v>0</v>
      </c>
      <c r="K8543" t="str">
        <f t="shared" si="1533"/>
        <v>802</v>
      </c>
      <c r="L8543">
        <v>343.38</v>
      </c>
    </row>
    <row r="8544" spans="1:12" x14ac:dyDescent="0.25">
      <c r="A8544" t="str">
        <f t="shared" si="1530"/>
        <v>89301000</v>
      </c>
      <c r="B8544" t="str">
        <f t="shared" si="1531"/>
        <v>10510000</v>
      </c>
      <c r="C8544" t="str">
        <f t="shared" si="1532"/>
        <v>10510001</v>
      </c>
      <c r="D8544">
        <v>89301171</v>
      </c>
      <c r="E8544" t="str">
        <f>"8160155333"</f>
        <v>8160155333</v>
      </c>
      <c r="F8544" s="1">
        <v>45126</v>
      </c>
      <c r="G8544" t="str">
        <f>"82041"</f>
        <v>82041</v>
      </c>
      <c r="H8544">
        <v>1</v>
      </c>
      <c r="I8544">
        <v>1096</v>
      </c>
      <c r="J8544">
        <v>0</v>
      </c>
      <c r="K8544" t="str">
        <f t="shared" si="1533"/>
        <v>802</v>
      </c>
      <c r="L8544">
        <v>1063.1199999999999</v>
      </c>
    </row>
    <row r="8545" spans="1:12" x14ac:dyDescent="0.25">
      <c r="A8545" t="str">
        <f t="shared" si="1530"/>
        <v>89301000</v>
      </c>
      <c r="B8545" t="str">
        <f t="shared" si="1531"/>
        <v>10510000</v>
      </c>
      <c r="C8545" t="str">
        <f t="shared" si="1532"/>
        <v>10510001</v>
      </c>
      <c r="D8545">
        <v>89301171</v>
      </c>
      <c r="E8545" t="str">
        <f>"8160155333"</f>
        <v>8160155333</v>
      </c>
      <c r="F8545" s="1">
        <v>45126</v>
      </c>
      <c r="G8545" t="str">
        <f>"82041"</f>
        <v>82041</v>
      </c>
      <c r="H8545">
        <v>1</v>
      </c>
      <c r="I8545">
        <v>1096</v>
      </c>
      <c r="J8545">
        <v>0</v>
      </c>
      <c r="K8545" t="str">
        <f t="shared" si="1533"/>
        <v>802</v>
      </c>
      <c r="L8545">
        <v>1063.1199999999999</v>
      </c>
    </row>
    <row r="8546" spans="1:12" x14ac:dyDescent="0.25">
      <c r="A8546" t="str">
        <f t="shared" si="1530"/>
        <v>89301000</v>
      </c>
      <c r="B8546" t="str">
        <f t="shared" si="1531"/>
        <v>10510000</v>
      </c>
      <c r="C8546" t="str">
        <f t="shared" si="1532"/>
        <v>10510001</v>
      </c>
      <c r="D8546">
        <v>89301171</v>
      </c>
      <c r="E8546" t="str">
        <f>"8160155333"</f>
        <v>8160155333</v>
      </c>
      <c r="F8546" s="1">
        <v>45126</v>
      </c>
      <c r="G8546" t="str">
        <f>"82034"</f>
        <v>82034</v>
      </c>
      <c r="H8546">
        <v>1</v>
      </c>
      <c r="I8546">
        <v>354</v>
      </c>
      <c r="J8546">
        <v>0</v>
      </c>
      <c r="K8546" t="str">
        <f t="shared" si="1533"/>
        <v>802</v>
      </c>
      <c r="L8546">
        <v>343.38</v>
      </c>
    </row>
    <row r="8547" spans="1:12" x14ac:dyDescent="0.25">
      <c r="A8547" t="str">
        <f t="shared" si="1530"/>
        <v>89301000</v>
      </c>
      <c r="B8547" t="str">
        <f t="shared" si="1531"/>
        <v>10510000</v>
      </c>
      <c r="C8547" t="str">
        <f t="shared" si="1532"/>
        <v>10510001</v>
      </c>
      <c r="D8547">
        <v>89301171</v>
      </c>
      <c r="E8547" t="str">
        <f>"9654095715"</f>
        <v>9654095715</v>
      </c>
      <c r="F8547" s="1">
        <v>45126</v>
      </c>
      <c r="G8547" t="str">
        <f>"82041"</f>
        <v>82041</v>
      </c>
      <c r="H8547">
        <v>1</v>
      </c>
      <c r="I8547">
        <v>1096</v>
      </c>
      <c r="J8547">
        <v>0</v>
      </c>
      <c r="K8547" t="str">
        <f t="shared" si="1533"/>
        <v>802</v>
      </c>
      <c r="L8547">
        <v>1063.1199999999999</v>
      </c>
    </row>
    <row r="8548" spans="1:12" x14ac:dyDescent="0.25">
      <c r="A8548" t="str">
        <f t="shared" si="1530"/>
        <v>89301000</v>
      </c>
      <c r="B8548" t="str">
        <f t="shared" ref="B8548:B8580" si="1534">"10510000"</f>
        <v>10510000</v>
      </c>
      <c r="C8548" t="str">
        <f t="shared" ref="C8548:C8580" si="1535">"10510001"</f>
        <v>10510001</v>
      </c>
      <c r="D8548">
        <v>89301171</v>
      </c>
      <c r="E8548" t="str">
        <f>"9654095715"</f>
        <v>9654095715</v>
      </c>
      <c r="F8548" s="1">
        <v>45126</v>
      </c>
      <c r="G8548" t="str">
        <f>"82041"</f>
        <v>82041</v>
      </c>
      <c r="H8548">
        <v>1</v>
      </c>
      <c r="I8548">
        <v>1096</v>
      </c>
      <c r="J8548">
        <v>0</v>
      </c>
      <c r="K8548" t="str">
        <f t="shared" ref="K8548:K8580" si="1536">"802"</f>
        <v>802</v>
      </c>
      <c r="L8548">
        <v>1063.1199999999999</v>
      </c>
    </row>
    <row r="8549" spans="1:12" x14ac:dyDescent="0.25">
      <c r="A8549" t="str">
        <f t="shared" si="1530"/>
        <v>89301000</v>
      </c>
      <c r="B8549" t="str">
        <f t="shared" si="1534"/>
        <v>10510000</v>
      </c>
      <c r="C8549" t="str">
        <f t="shared" si="1535"/>
        <v>10510001</v>
      </c>
      <c r="D8549">
        <v>89301171</v>
      </c>
      <c r="E8549" t="str">
        <f>"9654095715"</f>
        <v>9654095715</v>
      </c>
      <c r="F8549" s="1">
        <v>45126</v>
      </c>
      <c r="G8549" t="str">
        <f>"82034"</f>
        <v>82034</v>
      </c>
      <c r="H8549">
        <v>1</v>
      </c>
      <c r="I8549">
        <v>354</v>
      </c>
      <c r="J8549">
        <v>0</v>
      </c>
      <c r="K8549" t="str">
        <f t="shared" si="1536"/>
        <v>802</v>
      </c>
      <c r="L8549">
        <v>343.38</v>
      </c>
    </row>
    <row r="8550" spans="1:12" x14ac:dyDescent="0.25">
      <c r="A8550" t="str">
        <f t="shared" si="1530"/>
        <v>89301000</v>
      </c>
      <c r="B8550" t="str">
        <f t="shared" si="1534"/>
        <v>10510000</v>
      </c>
      <c r="C8550" t="str">
        <f t="shared" si="1535"/>
        <v>10510001</v>
      </c>
      <c r="D8550">
        <v>89301171</v>
      </c>
      <c r="E8550" t="str">
        <f>"7801105323"</f>
        <v>7801105323</v>
      </c>
      <c r="F8550" s="1">
        <v>45126</v>
      </c>
      <c r="G8550" t="str">
        <f>"82034"</f>
        <v>82034</v>
      </c>
      <c r="H8550">
        <v>1</v>
      </c>
      <c r="I8550">
        <v>354</v>
      </c>
      <c r="J8550">
        <v>0</v>
      </c>
      <c r="K8550" t="str">
        <f t="shared" si="1536"/>
        <v>802</v>
      </c>
      <c r="L8550">
        <v>343.38</v>
      </c>
    </row>
    <row r="8551" spans="1:12" x14ac:dyDescent="0.25">
      <c r="A8551" t="str">
        <f t="shared" si="1530"/>
        <v>89301000</v>
      </c>
      <c r="B8551" t="str">
        <f t="shared" si="1534"/>
        <v>10510000</v>
      </c>
      <c r="C8551" t="str">
        <f t="shared" si="1535"/>
        <v>10510001</v>
      </c>
      <c r="D8551">
        <v>89301171</v>
      </c>
      <c r="E8551" t="str">
        <f>"7801105323"</f>
        <v>7801105323</v>
      </c>
      <c r="F8551" s="1">
        <v>45126</v>
      </c>
      <c r="G8551" t="str">
        <f>"82041"</f>
        <v>82041</v>
      </c>
      <c r="H8551">
        <v>1</v>
      </c>
      <c r="I8551">
        <v>1096</v>
      </c>
      <c r="J8551">
        <v>0</v>
      </c>
      <c r="K8551" t="str">
        <f t="shared" si="1536"/>
        <v>802</v>
      </c>
      <c r="L8551">
        <v>1063.1199999999999</v>
      </c>
    </row>
    <row r="8552" spans="1:12" x14ac:dyDescent="0.25">
      <c r="A8552" t="str">
        <f t="shared" si="1530"/>
        <v>89301000</v>
      </c>
      <c r="B8552" t="str">
        <f t="shared" si="1534"/>
        <v>10510000</v>
      </c>
      <c r="C8552" t="str">
        <f t="shared" si="1535"/>
        <v>10510001</v>
      </c>
      <c r="D8552">
        <v>89301171</v>
      </c>
      <c r="E8552" t="str">
        <f>"7801105323"</f>
        <v>7801105323</v>
      </c>
      <c r="F8552" s="1">
        <v>45126</v>
      </c>
      <c r="G8552" t="str">
        <f>"82041"</f>
        <v>82041</v>
      </c>
      <c r="H8552">
        <v>1</v>
      </c>
      <c r="I8552">
        <v>1096</v>
      </c>
      <c r="J8552">
        <v>0</v>
      </c>
      <c r="K8552" t="str">
        <f t="shared" si="1536"/>
        <v>802</v>
      </c>
      <c r="L8552">
        <v>1063.1199999999999</v>
      </c>
    </row>
    <row r="8553" spans="1:12" x14ac:dyDescent="0.25">
      <c r="A8553" t="str">
        <f t="shared" si="1530"/>
        <v>89301000</v>
      </c>
      <c r="B8553" t="str">
        <f t="shared" si="1534"/>
        <v>10510000</v>
      </c>
      <c r="C8553" t="str">
        <f t="shared" si="1535"/>
        <v>10510001</v>
      </c>
      <c r="D8553">
        <v>89301171</v>
      </c>
      <c r="E8553" t="str">
        <f>"8707295795"</f>
        <v>8707295795</v>
      </c>
      <c r="F8553" s="1">
        <v>45133</v>
      </c>
      <c r="G8553" t="str">
        <f>"82034"</f>
        <v>82034</v>
      </c>
      <c r="H8553">
        <v>1</v>
      </c>
      <c r="I8553">
        <v>354</v>
      </c>
      <c r="J8553">
        <v>0</v>
      </c>
      <c r="K8553" t="str">
        <f t="shared" si="1536"/>
        <v>802</v>
      </c>
      <c r="L8553">
        <v>343.38</v>
      </c>
    </row>
    <row r="8554" spans="1:12" x14ac:dyDescent="0.25">
      <c r="A8554" t="str">
        <f t="shared" si="1530"/>
        <v>89301000</v>
      </c>
      <c r="B8554" t="str">
        <f t="shared" si="1534"/>
        <v>10510000</v>
      </c>
      <c r="C8554" t="str">
        <f t="shared" si="1535"/>
        <v>10510001</v>
      </c>
      <c r="D8554">
        <v>89301171</v>
      </c>
      <c r="E8554" t="str">
        <f>"8707295795"</f>
        <v>8707295795</v>
      </c>
      <c r="F8554" s="1">
        <v>45133</v>
      </c>
      <c r="G8554" t="str">
        <f>"82041"</f>
        <v>82041</v>
      </c>
      <c r="H8554">
        <v>1</v>
      </c>
      <c r="I8554">
        <v>1096</v>
      </c>
      <c r="J8554">
        <v>0</v>
      </c>
      <c r="K8554" t="str">
        <f t="shared" si="1536"/>
        <v>802</v>
      </c>
      <c r="L8554">
        <v>1063.1199999999999</v>
      </c>
    </row>
    <row r="8555" spans="1:12" x14ac:dyDescent="0.25">
      <c r="A8555" t="str">
        <f t="shared" si="1530"/>
        <v>89301000</v>
      </c>
      <c r="B8555" t="str">
        <f t="shared" si="1534"/>
        <v>10510000</v>
      </c>
      <c r="C8555" t="str">
        <f t="shared" si="1535"/>
        <v>10510001</v>
      </c>
      <c r="D8555">
        <v>89301171</v>
      </c>
      <c r="E8555" t="str">
        <f>"8707295795"</f>
        <v>8707295795</v>
      </c>
      <c r="F8555" s="1">
        <v>45133</v>
      </c>
      <c r="G8555" t="str">
        <f>"82041"</f>
        <v>82041</v>
      </c>
      <c r="H8555">
        <v>1</v>
      </c>
      <c r="I8555">
        <v>1096</v>
      </c>
      <c r="J8555">
        <v>0</v>
      </c>
      <c r="K8555" t="str">
        <f t="shared" si="1536"/>
        <v>802</v>
      </c>
      <c r="L8555">
        <v>1063.1199999999999</v>
      </c>
    </row>
    <row r="8556" spans="1:12" x14ac:dyDescent="0.25">
      <c r="A8556" t="str">
        <f t="shared" si="1530"/>
        <v>89301000</v>
      </c>
      <c r="B8556" t="str">
        <f t="shared" si="1534"/>
        <v>10510000</v>
      </c>
      <c r="C8556" t="str">
        <f t="shared" si="1535"/>
        <v>10510001</v>
      </c>
      <c r="D8556">
        <v>89301171</v>
      </c>
      <c r="E8556" t="str">
        <f>"405927442"</f>
        <v>405927442</v>
      </c>
      <c r="F8556" s="1">
        <v>45133</v>
      </c>
      <c r="G8556" t="str">
        <f>"82041"</f>
        <v>82041</v>
      </c>
      <c r="H8556">
        <v>1</v>
      </c>
      <c r="I8556">
        <v>1096</v>
      </c>
      <c r="J8556">
        <v>0</v>
      </c>
      <c r="K8556" t="str">
        <f t="shared" si="1536"/>
        <v>802</v>
      </c>
      <c r="L8556">
        <v>1063.1199999999999</v>
      </c>
    </row>
    <row r="8557" spans="1:12" x14ac:dyDescent="0.25">
      <c r="A8557" t="str">
        <f t="shared" si="1530"/>
        <v>89301000</v>
      </c>
      <c r="B8557" t="str">
        <f t="shared" si="1534"/>
        <v>10510000</v>
      </c>
      <c r="C8557" t="str">
        <f t="shared" si="1535"/>
        <v>10510001</v>
      </c>
      <c r="D8557">
        <v>89301171</v>
      </c>
      <c r="E8557" t="str">
        <f>"405927442"</f>
        <v>405927442</v>
      </c>
      <c r="F8557" s="1">
        <v>45133</v>
      </c>
      <c r="G8557" t="str">
        <f>"82041"</f>
        <v>82041</v>
      </c>
      <c r="H8557">
        <v>1</v>
      </c>
      <c r="I8557">
        <v>1096</v>
      </c>
      <c r="J8557">
        <v>0</v>
      </c>
      <c r="K8557" t="str">
        <f t="shared" si="1536"/>
        <v>802</v>
      </c>
      <c r="L8557">
        <v>1063.1199999999999</v>
      </c>
    </row>
    <row r="8558" spans="1:12" x14ac:dyDescent="0.25">
      <c r="A8558" t="str">
        <f t="shared" si="1530"/>
        <v>89301000</v>
      </c>
      <c r="B8558" t="str">
        <f t="shared" si="1534"/>
        <v>10510000</v>
      </c>
      <c r="C8558" t="str">
        <f t="shared" si="1535"/>
        <v>10510001</v>
      </c>
      <c r="D8558">
        <v>89301171</v>
      </c>
      <c r="E8558" t="str">
        <f>"405927442"</f>
        <v>405927442</v>
      </c>
      <c r="F8558" s="1">
        <v>45133</v>
      </c>
      <c r="G8558" t="str">
        <f>"82034"</f>
        <v>82034</v>
      </c>
      <c r="H8558">
        <v>1</v>
      </c>
      <c r="I8558">
        <v>354</v>
      </c>
      <c r="J8558">
        <v>0</v>
      </c>
      <c r="K8558" t="str">
        <f t="shared" si="1536"/>
        <v>802</v>
      </c>
      <c r="L8558">
        <v>343.38</v>
      </c>
    </row>
    <row r="8559" spans="1:12" x14ac:dyDescent="0.25">
      <c r="A8559" t="str">
        <f t="shared" si="1530"/>
        <v>89301000</v>
      </c>
      <c r="B8559" t="str">
        <f t="shared" si="1534"/>
        <v>10510000</v>
      </c>
      <c r="C8559" t="str">
        <f t="shared" si="1535"/>
        <v>10510001</v>
      </c>
      <c r="D8559">
        <v>89301171</v>
      </c>
      <c r="E8559" t="str">
        <f>"7154045327"</f>
        <v>7154045327</v>
      </c>
      <c r="F8559" s="1">
        <v>45133</v>
      </c>
      <c r="G8559" t="str">
        <f>"82034"</f>
        <v>82034</v>
      </c>
      <c r="H8559">
        <v>1</v>
      </c>
      <c r="I8559">
        <v>354</v>
      </c>
      <c r="J8559">
        <v>0</v>
      </c>
      <c r="K8559" t="str">
        <f t="shared" si="1536"/>
        <v>802</v>
      </c>
      <c r="L8559">
        <v>343.38</v>
      </c>
    </row>
    <row r="8560" spans="1:12" x14ac:dyDescent="0.25">
      <c r="A8560" t="str">
        <f t="shared" si="1530"/>
        <v>89301000</v>
      </c>
      <c r="B8560" t="str">
        <f t="shared" si="1534"/>
        <v>10510000</v>
      </c>
      <c r="C8560" t="str">
        <f t="shared" si="1535"/>
        <v>10510001</v>
      </c>
      <c r="D8560">
        <v>89301171</v>
      </c>
      <c r="E8560" t="str">
        <f>"7154045327"</f>
        <v>7154045327</v>
      </c>
      <c r="F8560" s="1">
        <v>45133</v>
      </c>
      <c r="G8560" t="str">
        <f>"82041"</f>
        <v>82041</v>
      </c>
      <c r="H8560">
        <v>1</v>
      </c>
      <c r="I8560">
        <v>1096</v>
      </c>
      <c r="J8560">
        <v>0</v>
      </c>
      <c r="K8560" t="str">
        <f t="shared" si="1536"/>
        <v>802</v>
      </c>
      <c r="L8560">
        <v>1063.1199999999999</v>
      </c>
    </row>
    <row r="8561" spans="1:12" x14ac:dyDescent="0.25">
      <c r="A8561" t="str">
        <f t="shared" si="1530"/>
        <v>89301000</v>
      </c>
      <c r="B8561" t="str">
        <f t="shared" si="1534"/>
        <v>10510000</v>
      </c>
      <c r="C8561" t="str">
        <f t="shared" si="1535"/>
        <v>10510001</v>
      </c>
      <c r="D8561">
        <v>89301171</v>
      </c>
      <c r="E8561" t="str">
        <f>"7154045327"</f>
        <v>7154045327</v>
      </c>
      <c r="F8561" s="1">
        <v>45133</v>
      </c>
      <c r="G8561" t="str">
        <f>"82041"</f>
        <v>82041</v>
      </c>
      <c r="H8561">
        <v>1</v>
      </c>
      <c r="I8561">
        <v>1096</v>
      </c>
      <c r="J8561">
        <v>0</v>
      </c>
      <c r="K8561" t="str">
        <f t="shared" si="1536"/>
        <v>802</v>
      </c>
      <c r="L8561">
        <v>1063.1199999999999</v>
      </c>
    </row>
    <row r="8562" spans="1:12" x14ac:dyDescent="0.25">
      <c r="A8562" t="str">
        <f t="shared" si="1530"/>
        <v>89301000</v>
      </c>
      <c r="B8562" t="str">
        <f t="shared" si="1534"/>
        <v>10510000</v>
      </c>
      <c r="C8562" t="str">
        <f t="shared" si="1535"/>
        <v>10510001</v>
      </c>
      <c r="D8562">
        <v>89301171</v>
      </c>
      <c r="E8562" t="str">
        <f>"6754111826"</f>
        <v>6754111826</v>
      </c>
      <c r="F8562" s="1">
        <v>45133</v>
      </c>
      <c r="G8562" t="str">
        <f>"82041"</f>
        <v>82041</v>
      </c>
      <c r="H8562">
        <v>1</v>
      </c>
      <c r="I8562">
        <v>1096</v>
      </c>
      <c r="J8562">
        <v>0</v>
      </c>
      <c r="K8562" t="str">
        <f t="shared" si="1536"/>
        <v>802</v>
      </c>
      <c r="L8562">
        <v>1063.1199999999999</v>
      </c>
    </row>
    <row r="8563" spans="1:12" x14ac:dyDescent="0.25">
      <c r="A8563" t="str">
        <f t="shared" si="1530"/>
        <v>89301000</v>
      </c>
      <c r="B8563" t="str">
        <f t="shared" si="1534"/>
        <v>10510000</v>
      </c>
      <c r="C8563" t="str">
        <f t="shared" si="1535"/>
        <v>10510001</v>
      </c>
      <c r="D8563">
        <v>89301171</v>
      </c>
      <c r="E8563" t="str">
        <f>"6754111826"</f>
        <v>6754111826</v>
      </c>
      <c r="F8563" s="1">
        <v>45133</v>
      </c>
      <c r="G8563" t="str">
        <f>"82041"</f>
        <v>82041</v>
      </c>
      <c r="H8563">
        <v>1</v>
      </c>
      <c r="I8563">
        <v>1096</v>
      </c>
      <c r="J8563">
        <v>0</v>
      </c>
      <c r="K8563" t="str">
        <f t="shared" si="1536"/>
        <v>802</v>
      </c>
      <c r="L8563">
        <v>1063.1199999999999</v>
      </c>
    </row>
    <row r="8564" spans="1:12" x14ac:dyDescent="0.25">
      <c r="A8564" t="str">
        <f t="shared" si="1530"/>
        <v>89301000</v>
      </c>
      <c r="B8564" t="str">
        <f t="shared" si="1534"/>
        <v>10510000</v>
      </c>
      <c r="C8564" t="str">
        <f t="shared" si="1535"/>
        <v>10510001</v>
      </c>
      <c r="D8564">
        <v>89301171</v>
      </c>
      <c r="E8564" t="str">
        <f>"6754111826"</f>
        <v>6754111826</v>
      </c>
      <c r="F8564" s="1">
        <v>45133</v>
      </c>
      <c r="G8564" t="str">
        <f>"82034"</f>
        <v>82034</v>
      </c>
      <c r="H8564">
        <v>1</v>
      </c>
      <c r="I8564">
        <v>354</v>
      </c>
      <c r="J8564">
        <v>0</v>
      </c>
      <c r="K8564" t="str">
        <f t="shared" si="1536"/>
        <v>802</v>
      </c>
      <c r="L8564">
        <v>343.38</v>
      </c>
    </row>
    <row r="8565" spans="1:12" x14ac:dyDescent="0.25">
      <c r="A8565" t="str">
        <f t="shared" si="1530"/>
        <v>89301000</v>
      </c>
      <c r="B8565" t="str">
        <f t="shared" si="1534"/>
        <v>10510000</v>
      </c>
      <c r="C8565" t="str">
        <f t="shared" si="1535"/>
        <v>10510001</v>
      </c>
      <c r="D8565">
        <v>89301171</v>
      </c>
      <c r="E8565" t="str">
        <f>"8154144207"</f>
        <v>8154144207</v>
      </c>
      <c r="F8565" s="1">
        <v>45133</v>
      </c>
      <c r="G8565" t="str">
        <f>"82034"</f>
        <v>82034</v>
      </c>
      <c r="H8565">
        <v>1</v>
      </c>
      <c r="I8565">
        <v>354</v>
      </c>
      <c r="J8565">
        <v>0</v>
      </c>
      <c r="K8565" t="str">
        <f t="shared" si="1536"/>
        <v>802</v>
      </c>
      <c r="L8565">
        <v>343.38</v>
      </c>
    </row>
    <row r="8566" spans="1:12" x14ac:dyDescent="0.25">
      <c r="A8566" t="str">
        <f t="shared" si="1530"/>
        <v>89301000</v>
      </c>
      <c r="B8566" t="str">
        <f t="shared" si="1534"/>
        <v>10510000</v>
      </c>
      <c r="C8566" t="str">
        <f t="shared" si="1535"/>
        <v>10510001</v>
      </c>
      <c r="D8566">
        <v>89301171</v>
      </c>
      <c r="E8566" t="str">
        <f>"8154144207"</f>
        <v>8154144207</v>
      </c>
      <c r="F8566" s="1">
        <v>45133</v>
      </c>
      <c r="G8566" t="str">
        <f>"82041"</f>
        <v>82041</v>
      </c>
      <c r="H8566">
        <v>1</v>
      </c>
      <c r="I8566">
        <v>1096</v>
      </c>
      <c r="J8566">
        <v>0</v>
      </c>
      <c r="K8566" t="str">
        <f t="shared" si="1536"/>
        <v>802</v>
      </c>
      <c r="L8566">
        <v>1063.1199999999999</v>
      </c>
    </row>
    <row r="8567" spans="1:12" x14ac:dyDescent="0.25">
      <c r="A8567" t="str">
        <f t="shared" si="1530"/>
        <v>89301000</v>
      </c>
      <c r="B8567" t="str">
        <f t="shared" si="1534"/>
        <v>10510000</v>
      </c>
      <c r="C8567" t="str">
        <f t="shared" si="1535"/>
        <v>10510001</v>
      </c>
      <c r="D8567">
        <v>89301171</v>
      </c>
      <c r="E8567" t="str">
        <f>"8154144207"</f>
        <v>8154144207</v>
      </c>
      <c r="F8567" s="1">
        <v>45133</v>
      </c>
      <c r="G8567" t="str">
        <f>"82041"</f>
        <v>82041</v>
      </c>
      <c r="H8567">
        <v>1</v>
      </c>
      <c r="I8567">
        <v>1096</v>
      </c>
      <c r="J8567">
        <v>0</v>
      </c>
      <c r="K8567" t="str">
        <f t="shared" si="1536"/>
        <v>802</v>
      </c>
      <c r="L8567">
        <v>1063.1199999999999</v>
      </c>
    </row>
    <row r="8568" spans="1:12" x14ac:dyDescent="0.25">
      <c r="A8568" t="str">
        <f t="shared" si="1530"/>
        <v>89301000</v>
      </c>
      <c r="B8568" t="str">
        <f t="shared" si="1534"/>
        <v>10510000</v>
      </c>
      <c r="C8568" t="str">
        <f t="shared" si="1535"/>
        <v>10510001</v>
      </c>
      <c r="D8568">
        <v>89301171</v>
      </c>
      <c r="E8568" t="str">
        <f>"6855080067"</f>
        <v>6855080067</v>
      </c>
      <c r="F8568" s="1">
        <v>45133</v>
      </c>
      <c r="G8568" t="str">
        <f>"82034"</f>
        <v>82034</v>
      </c>
      <c r="H8568">
        <v>1</v>
      </c>
      <c r="I8568">
        <v>354</v>
      </c>
      <c r="J8568">
        <v>0</v>
      </c>
      <c r="K8568" t="str">
        <f t="shared" si="1536"/>
        <v>802</v>
      </c>
      <c r="L8568">
        <v>343.38</v>
      </c>
    </row>
    <row r="8569" spans="1:12" x14ac:dyDescent="0.25">
      <c r="A8569" t="str">
        <f t="shared" si="1530"/>
        <v>89301000</v>
      </c>
      <c r="B8569" t="str">
        <f t="shared" si="1534"/>
        <v>10510000</v>
      </c>
      <c r="C8569" t="str">
        <f t="shared" si="1535"/>
        <v>10510001</v>
      </c>
      <c r="D8569">
        <v>89301171</v>
      </c>
      <c r="E8569" t="str">
        <f>"6855080067"</f>
        <v>6855080067</v>
      </c>
      <c r="F8569" s="1">
        <v>45133</v>
      </c>
      <c r="G8569" t="str">
        <f>"82041"</f>
        <v>82041</v>
      </c>
      <c r="H8569">
        <v>1</v>
      </c>
      <c r="I8569">
        <v>1096</v>
      </c>
      <c r="J8569">
        <v>0</v>
      </c>
      <c r="K8569" t="str">
        <f t="shared" si="1536"/>
        <v>802</v>
      </c>
      <c r="L8569">
        <v>1063.1199999999999</v>
      </c>
    </row>
    <row r="8570" spans="1:12" x14ac:dyDescent="0.25">
      <c r="A8570" t="str">
        <f t="shared" si="1530"/>
        <v>89301000</v>
      </c>
      <c r="B8570" t="str">
        <f t="shared" si="1534"/>
        <v>10510000</v>
      </c>
      <c r="C8570" t="str">
        <f t="shared" si="1535"/>
        <v>10510001</v>
      </c>
      <c r="D8570">
        <v>89301171</v>
      </c>
      <c r="E8570" t="str">
        <f>"6855080067"</f>
        <v>6855080067</v>
      </c>
      <c r="F8570" s="1">
        <v>45133</v>
      </c>
      <c r="G8570" t="str">
        <f>"82041"</f>
        <v>82041</v>
      </c>
      <c r="H8570">
        <v>1</v>
      </c>
      <c r="I8570">
        <v>1096</v>
      </c>
      <c r="J8570">
        <v>0</v>
      </c>
      <c r="K8570" t="str">
        <f t="shared" si="1536"/>
        <v>802</v>
      </c>
      <c r="L8570">
        <v>1063.1199999999999</v>
      </c>
    </row>
    <row r="8571" spans="1:12" x14ac:dyDescent="0.25">
      <c r="A8571" t="str">
        <f t="shared" si="1530"/>
        <v>89301000</v>
      </c>
      <c r="B8571" t="str">
        <f t="shared" si="1534"/>
        <v>10510000</v>
      </c>
      <c r="C8571" t="str">
        <f t="shared" si="1535"/>
        <v>10510001</v>
      </c>
      <c r="D8571">
        <v>89301091</v>
      </c>
      <c r="E8571" t="str">
        <f>"2303180275"</f>
        <v>2303180275</v>
      </c>
      <c r="F8571" s="1">
        <v>45012</v>
      </c>
      <c r="G8571" t="str">
        <f>"82113"</f>
        <v>82113</v>
      </c>
      <c r="H8571">
        <v>1</v>
      </c>
      <c r="I8571">
        <v>363</v>
      </c>
      <c r="J8571">
        <v>0</v>
      </c>
      <c r="K8571" t="str">
        <f t="shared" si="1536"/>
        <v>802</v>
      </c>
      <c r="L8571">
        <v>352.11</v>
      </c>
    </row>
    <row r="8572" spans="1:12" x14ac:dyDescent="0.25">
      <c r="A8572" t="str">
        <f t="shared" si="1530"/>
        <v>89301000</v>
      </c>
      <c r="B8572" t="str">
        <f t="shared" si="1534"/>
        <v>10510000</v>
      </c>
      <c r="C8572" t="str">
        <f t="shared" si="1535"/>
        <v>10510001</v>
      </c>
      <c r="D8572">
        <v>89301091</v>
      </c>
      <c r="E8572" t="str">
        <f>"2303180275"</f>
        <v>2303180275</v>
      </c>
      <c r="F8572" s="1">
        <v>45012</v>
      </c>
      <c r="G8572" t="str">
        <f>"82079"</f>
        <v>82079</v>
      </c>
      <c r="H8572">
        <v>1</v>
      </c>
      <c r="I8572">
        <v>333</v>
      </c>
      <c r="J8572">
        <v>0</v>
      </c>
      <c r="K8572" t="str">
        <f t="shared" si="1536"/>
        <v>802</v>
      </c>
      <c r="L8572">
        <v>323.01</v>
      </c>
    </row>
    <row r="8573" spans="1:12" x14ac:dyDescent="0.25">
      <c r="A8573" t="str">
        <f t="shared" si="1530"/>
        <v>89301000</v>
      </c>
      <c r="B8573" t="str">
        <f t="shared" si="1534"/>
        <v>10510000</v>
      </c>
      <c r="C8573" t="str">
        <f t="shared" si="1535"/>
        <v>10510001</v>
      </c>
      <c r="D8573">
        <v>89301091</v>
      </c>
      <c r="E8573" t="str">
        <f>"2303180275"</f>
        <v>2303180275</v>
      </c>
      <c r="F8573" s="1">
        <v>45012</v>
      </c>
      <c r="G8573" t="str">
        <f>"82111"</f>
        <v>82111</v>
      </c>
      <c r="H8573">
        <v>1</v>
      </c>
      <c r="I8573">
        <v>37</v>
      </c>
      <c r="J8573">
        <v>0</v>
      </c>
      <c r="K8573" t="str">
        <f t="shared" si="1536"/>
        <v>802</v>
      </c>
      <c r="L8573">
        <v>35.89</v>
      </c>
    </row>
    <row r="8574" spans="1:12" x14ac:dyDescent="0.25">
      <c r="A8574" t="str">
        <f t="shared" si="1530"/>
        <v>89301000</v>
      </c>
      <c r="B8574" t="str">
        <f t="shared" si="1534"/>
        <v>10510000</v>
      </c>
      <c r="C8574" t="str">
        <f t="shared" si="1535"/>
        <v>10510001</v>
      </c>
      <c r="D8574">
        <v>89301091</v>
      </c>
      <c r="E8574" t="str">
        <f>"2303180275"</f>
        <v>2303180275</v>
      </c>
      <c r="F8574" s="1">
        <v>45009</v>
      </c>
      <c r="G8574" t="str">
        <f>"82111"</f>
        <v>82111</v>
      </c>
      <c r="H8574">
        <v>1</v>
      </c>
      <c r="I8574">
        <v>37</v>
      </c>
      <c r="J8574">
        <v>0</v>
      </c>
      <c r="K8574" t="str">
        <f t="shared" si="1536"/>
        <v>802</v>
      </c>
      <c r="L8574">
        <v>35.89</v>
      </c>
    </row>
    <row r="8575" spans="1:12" x14ac:dyDescent="0.25">
      <c r="A8575" t="str">
        <f t="shared" si="1530"/>
        <v>89301000</v>
      </c>
      <c r="B8575" t="str">
        <f t="shared" si="1534"/>
        <v>10510000</v>
      </c>
      <c r="C8575" t="str">
        <f t="shared" si="1535"/>
        <v>10510001</v>
      </c>
      <c r="D8575">
        <v>89301081</v>
      </c>
      <c r="E8575" t="str">
        <f>"9160242025"</f>
        <v>9160242025</v>
      </c>
      <c r="F8575" s="1">
        <v>45048</v>
      </c>
      <c r="G8575" t="str">
        <f>"82113"</f>
        <v>82113</v>
      </c>
      <c r="H8575">
        <v>1</v>
      </c>
      <c r="I8575">
        <v>363</v>
      </c>
      <c r="J8575">
        <v>0</v>
      </c>
      <c r="K8575" t="str">
        <f t="shared" si="1536"/>
        <v>802</v>
      </c>
      <c r="L8575">
        <v>352.11</v>
      </c>
    </row>
    <row r="8576" spans="1:12" x14ac:dyDescent="0.25">
      <c r="A8576" t="str">
        <f t="shared" si="1530"/>
        <v>89301000</v>
      </c>
      <c r="B8576" t="str">
        <f t="shared" si="1534"/>
        <v>10510000</v>
      </c>
      <c r="C8576" t="str">
        <f t="shared" si="1535"/>
        <v>10510001</v>
      </c>
      <c r="D8576">
        <v>89301081</v>
      </c>
      <c r="E8576" t="str">
        <f>"9160242025"</f>
        <v>9160242025</v>
      </c>
      <c r="F8576" s="1">
        <v>45048</v>
      </c>
      <c r="G8576" t="str">
        <f>"82079"</f>
        <v>82079</v>
      </c>
      <c r="H8576">
        <v>1</v>
      </c>
      <c r="I8576">
        <v>333</v>
      </c>
      <c r="J8576">
        <v>0</v>
      </c>
      <c r="K8576" t="str">
        <f t="shared" si="1536"/>
        <v>802</v>
      </c>
      <c r="L8576">
        <v>323.01</v>
      </c>
    </row>
    <row r="8577" spans="1:12" x14ac:dyDescent="0.25">
      <c r="A8577" t="str">
        <f t="shared" si="1530"/>
        <v>89301000</v>
      </c>
      <c r="B8577" t="str">
        <f t="shared" si="1534"/>
        <v>10510000</v>
      </c>
      <c r="C8577" t="str">
        <f t="shared" si="1535"/>
        <v>10510001</v>
      </c>
      <c r="D8577">
        <v>89301081</v>
      </c>
      <c r="E8577" t="str">
        <f>"9160242025"</f>
        <v>9160242025</v>
      </c>
      <c r="F8577" s="1">
        <v>45048</v>
      </c>
      <c r="G8577" t="str">
        <f>"82111"</f>
        <v>82111</v>
      </c>
      <c r="H8577">
        <v>1</v>
      </c>
      <c r="I8577">
        <v>37</v>
      </c>
      <c r="J8577">
        <v>0</v>
      </c>
      <c r="K8577" t="str">
        <f t="shared" si="1536"/>
        <v>802</v>
      </c>
      <c r="L8577">
        <v>35.89</v>
      </c>
    </row>
    <row r="8578" spans="1:12" x14ac:dyDescent="0.25">
      <c r="A8578" t="str">
        <f t="shared" ref="A8578:A8641" si="1537">"89301000"</f>
        <v>89301000</v>
      </c>
      <c r="B8578" t="str">
        <f t="shared" si="1534"/>
        <v>10510000</v>
      </c>
      <c r="C8578" t="str">
        <f t="shared" si="1535"/>
        <v>10510001</v>
      </c>
      <c r="D8578">
        <v>89301091</v>
      </c>
      <c r="E8578" t="str">
        <f>"2354230307"</f>
        <v>2354230307</v>
      </c>
      <c r="F8578" s="1">
        <v>45048</v>
      </c>
      <c r="G8578" t="str">
        <f>"82111"</f>
        <v>82111</v>
      </c>
      <c r="H8578">
        <v>1</v>
      </c>
      <c r="I8578">
        <v>37</v>
      </c>
      <c r="J8578">
        <v>0</v>
      </c>
      <c r="K8578" t="str">
        <f t="shared" si="1536"/>
        <v>802</v>
      </c>
      <c r="L8578">
        <v>35.89</v>
      </c>
    </row>
    <row r="8579" spans="1:12" x14ac:dyDescent="0.25">
      <c r="A8579" t="str">
        <f t="shared" si="1537"/>
        <v>89301000</v>
      </c>
      <c r="B8579" t="str">
        <f t="shared" si="1534"/>
        <v>10510000</v>
      </c>
      <c r="C8579" t="str">
        <f t="shared" si="1535"/>
        <v>10510001</v>
      </c>
      <c r="D8579">
        <v>89301091</v>
      </c>
      <c r="E8579" t="str">
        <f>"2354230307"</f>
        <v>2354230307</v>
      </c>
      <c r="F8579" s="1">
        <v>45048</v>
      </c>
      <c r="G8579" t="str">
        <f>"82079"</f>
        <v>82079</v>
      </c>
      <c r="H8579">
        <v>1</v>
      </c>
      <c r="I8579">
        <v>333</v>
      </c>
      <c r="J8579">
        <v>0</v>
      </c>
      <c r="K8579" t="str">
        <f t="shared" si="1536"/>
        <v>802</v>
      </c>
      <c r="L8579">
        <v>323.01</v>
      </c>
    </row>
    <row r="8580" spans="1:12" x14ac:dyDescent="0.25">
      <c r="A8580" t="str">
        <f t="shared" si="1537"/>
        <v>89301000</v>
      </c>
      <c r="B8580" t="str">
        <f t="shared" si="1534"/>
        <v>10510000</v>
      </c>
      <c r="C8580" t="str">
        <f t="shared" si="1535"/>
        <v>10510001</v>
      </c>
      <c r="D8580">
        <v>89301091</v>
      </c>
      <c r="E8580" t="str">
        <f>"2354230307"</f>
        <v>2354230307</v>
      </c>
      <c r="F8580" s="1">
        <v>45048</v>
      </c>
      <c r="G8580" t="str">
        <f>"82113"</f>
        <v>82113</v>
      </c>
      <c r="H8580">
        <v>1</v>
      </c>
      <c r="I8580">
        <v>363</v>
      </c>
      <c r="J8580">
        <v>0</v>
      </c>
      <c r="K8580" t="str">
        <f t="shared" si="1536"/>
        <v>802</v>
      </c>
      <c r="L8580">
        <v>352.11</v>
      </c>
    </row>
    <row r="8581" spans="1:12" x14ac:dyDescent="0.25">
      <c r="A8581" t="str">
        <f t="shared" si="1537"/>
        <v>89301000</v>
      </c>
      <c r="B8581" t="str">
        <f t="shared" ref="B8581:B8644" si="1538">"72100000"</f>
        <v>72100000</v>
      </c>
      <c r="C8581" t="str">
        <f t="shared" ref="C8581:C8644" si="1539">"72100632"</f>
        <v>72100632</v>
      </c>
      <c r="D8581">
        <v>89301091</v>
      </c>
      <c r="E8581" t="str">
        <f>"2302220437"</f>
        <v>2302220437</v>
      </c>
      <c r="F8581" s="1">
        <v>44986</v>
      </c>
      <c r="G8581" t="str">
        <f t="shared" ref="G8581:G8612" si="1540">"94297"</f>
        <v>94297</v>
      </c>
      <c r="H8581">
        <v>1</v>
      </c>
      <c r="I8581">
        <v>304</v>
      </c>
      <c r="J8581">
        <v>0</v>
      </c>
      <c r="K8581" t="str">
        <f t="shared" ref="K8581:K8644" si="1541">"816"</f>
        <v>816</v>
      </c>
      <c r="L8581">
        <v>304</v>
      </c>
    </row>
    <row r="8582" spans="1:12" x14ac:dyDescent="0.25">
      <c r="A8582" t="str">
        <f t="shared" si="1537"/>
        <v>89301000</v>
      </c>
      <c r="B8582" t="str">
        <f t="shared" si="1538"/>
        <v>72100000</v>
      </c>
      <c r="C8582" t="str">
        <f t="shared" si="1539"/>
        <v>72100632</v>
      </c>
      <c r="D8582">
        <v>89301091</v>
      </c>
      <c r="E8582" t="str">
        <f>"2352220497"</f>
        <v>2352220497</v>
      </c>
      <c r="F8582" s="1">
        <v>44986</v>
      </c>
      <c r="G8582" t="str">
        <f t="shared" si="1540"/>
        <v>94297</v>
      </c>
      <c r="H8582">
        <v>1</v>
      </c>
      <c r="I8582">
        <v>304</v>
      </c>
      <c r="J8582">
        <v>0</v>
      </c>
      <c r="K8582" t="str">
        <f t="shared" si="1541"/>
        <v>816</v>
      </c>
      <c r="L8582">
        <v>304</v>
      </c>
    </row>
    <row r="8583" spans="1:12" x14ac:dyDescent="0.25">
      <c r="A8583" t="str">
        <f t="shared" si="1537"/>
        <v>89301000</v>
      </c>
      <c r="B8583" t="str">
        <f t="shared" si="1538"/>
        <v>72100000</v>
      </c>
      <c r="C8583" t="str">
        <f t="shared" si="1539"/>
        <v>72100632</v>
      </c>
      <c r="D8583">
        <v>89301091</v>
      </c>
      <c r="E8583" t="str">
        <f>"2352230672"</f>
        <v>2352230672</v>
      </c>
      <c r="F8583" s="1">
        <v>44986</v>
      </c>
      <c r="G8583" t="str">
        <f t="shared" si="1540"/>
        <v>94297</v>
      </c>
      <c r="H8583">
        <v>1</v>
      </c>
      <c r="I8583">
        <v>304</v>
      </c>
      <c r="J8583">
        <v>0</v>
      </c>
      <c r="K8583" t="str">
        <f t="shared" si="1541"/>
        <v>816</v>
      </c>
      <c r="L8583">
        <v>304</v>
      </c>
    </row>
    <row r="8584" spans="1:12" x14ac:dyDescent="0.25">
      <c r="A8584" t="str">
        <f t="shared" si="1537"/>
        <v>89301000</v>
      </c>
      <c r="B8584" t="str">
        <f t="shared" si="1538"/>
        <v>72100000</v>
      </c>
      <c r="C8584" t="str">
        <f t="shared" si="1539"/>
        <v>72100632</v>
      </c>
      <c r="D8584">
        <v>89301091</v>
      </c>
      <c r="E8584" t="str">
        <f>"2302230425"</f>
        <v>2302230425</v>
      </c>
      <c r="F8584" s="1">
        <v>44986</v>
      </c>
      <c r="G8584" t="str">
        <f t="shared" si="1540"/>
        <v>94297</v>
      </c>
      <c r="H8584">
        <v>1</v>
      </c>
      <c r="I8584">
        <v>304</v>
      </c>
      <c r="J8584">
        <v>0</v>
      </c>
      <c r="K8584" t="str">
        <f t="shared" si="1541"/>
        <v>816</v>
      </c>
      <c r="L8584">
        <v>304</v>
      </c>
    </row>
    <row r="8585" spans="1:12" x14ac:dyDescent="0.25">
      <c r="A8585" t="str">
        <f t="shared" si="1537"/>
        <v>89301000</v>
      </c>
      <c r="B8585" t="str">
        <f t="shared" si="1538"/>
        <v>72100000</v>
      </c>
      <c r="C8585" t="str">
        <f t="shared" si="1539"/>
        <v>72100632</v>
      </c>
      <c r="D8585">
        <v>89301091</v>
      </c>
      <c r="E8585" t="str">
        <f>"2352230683"</f>
        <v>2352230683</v>
      </c>
      <c r="F8585" s="1">
        <v>44986</v>
      </c>
      <c r="G8585" t="str">
        <f t="shared" si="1540"/>
        <v>94297</v>
      </c>
      <c r="H8585">
        <v>1</v>
      </c>
      <c r="I8585">
        <v>304</v>
      </c>
      <c r="J8585">
        <v>0</v>
      </c>
      <c r="K8585" t="str">
        <f t="shared" si="1541"/>
        <v>816</v>
      </c>
      <c r="L8585">
        <v>304</v>
      </c>
    </row>
    <row r="8586" spans="1:12" x14ac:dyDescent="0.25">
      <c r="A8586" t="str">
        <f t="shared" si="1537"/>
        <v>89301000</v>
      </c>
      <c r="B8586" t="str">
        <f t="shared" si="1538"/>
        <v>72100000</v>
      </c>
      <c r="C8586" t="str">
        <f t="shared" si="1539"/>
        <v>72100632</v>
      </c>
      <c r="D8586">
        <v>89301091</v>
      </c>
      <c r="E8586" t="str">
        <f>"2302240072"</f>
        <v>2302240072</v>
      </c>
      <c r="F8586" s="1">
        <v>44986</v>
      </c>
      <c r="G8586" t="str">
        <f t="shared" si="1540"/>
        <v>94297</v>
      </c>
      <c r="H8586">
        <v>1</v>
      </c>
      <c r="I8586">
        <v>304</v>
      </c>
      <c r="J8586">
        <v>0</v>
      </c>
      <c r="K8586" t="str">
        <f t="shared" si="1541"/>
        <v>816</v>
      </c>
      <c r="L8586">
        <v>304</v>
      </c>
    </row>
    <row r="8587" spans="1:12" x14ac:dyDescent="0.25">
      <c r="A8587" t="str">
        <f t="shared" si="1537"/>
        <v>89301000</v>
      </c>
      <c r="B8587" t="str">
        <f t="shared" si="1538"/>
        <v>72100000</v>
      </c>
      <c r="C8587" t="str">
        <f t="shared" si="1539"/>
        <v>72100632</v>
      </c>
      <c r="D8587">
        <v>89301091</v>
      </c>
      <c r="E8587" t="str">
        <f>"8355205353"</f>
        <v>8355205353</v>
      </c>
      <c r="F8587" s="1">
        <v>44986</v>
      </c>
      <c r="G8587" t="str">
        <f t="shared" si="1540"/>
        <v>94297</v>
      </c>
      <c r="H8587">
        <v>1</v>
      </c>
      <c r="I8587">
        <v>304</v>
      </c>
      <c r="J8587">
        <v>0</v>
      </c>
      <c r="K8587" t="str">
        <f t="shared" si="1541"/>
        <v>816</v>
      </c>
      <c r="L8587">
        <v>304</v>
      </c>
    </row>
    <row r="8588" spans="1:12" x14ac:dyDescent="0.25">
      <c r="A8588" t="str">
        <f t="shared" si="1537"/>
        <v>89301000</v>
      </c>
      <c r="B8588" t="str">
        <f t="shared" si="1538"/>
        <v>72100000</v>
      </c>
      <c r="C8588" t="str">
        <f t="shared" si="1539"/>
        <v>72100632</v>
      </c>
      <c r="D8588">
        <v>89301091</v>
      </c>
      <c r="E8588" t="str">
        <f>"8562017574"</f>
        <v>8562017574</v>
      </c>
      <c r="F8588" s="1">
        <v>44986</v>
      </c>
      <c r="G8588" t="str">
        <f t="shared" si="1540"/>
        <v>94297</v>
      </c>
      <c r="H8588">
        <v>1</v>
      </c>
      <c r="I8588">
        <v>304</v>
      </c>
      <c r="J8588">
        <v>0</v>
      </c>
      <c r="K8588" t="str">
        <f t="shared" si="1541"/>
        <v>816</v>
      </c>
      <c r="L8588">
        <v>304</v>
      </c>
    </row>
    <row r="8589" spans="1:12" x14ac:dyDescent="0.25">
      <c r="A8589" t="str">
        <f t="shared" si="1537"/>
        <v>89301000</v>
      </c>
      <c r="B8589" t="str">
        <f t="shared" si="1538"/>
        <v>72100000</v>
      </c>
      <c r="C8589" t="str">
        <f t="shared" si="1539"/>
        <v>72100632</v>
      </c>
      <c r="D8589">
        <v>89301091</v>
      </c>
      <c r="E8589" t="str">
        <f>"8761186236"</f>
        <v>8761186236</v>
      </c>
      <c r="F8589" s="1">
        <v>44987</v>
      </c>
      <c r="G8589" t="str">
        <f t="shared" si="1540"/>
        <v>94297</v>
      </c>
      <c r="H8589">
        <v>1</v>
      </c>
      <c r="I8589">
        <v>304</v>
      </c>
      <c r="J8589">
        <v>0</v>
      </c>
      <c r="K8589" t="str">
        <f t="shared" si="1541"/>
        <v>816</v>
      </c>
      <c r="L8589">
        <v>304</v>
      </c>
    </row>
    <row r="8590" spans="1:12" x14ac:dyDescent="0.25">
      <c r="A8590" t="str">
        <f t="shared" si="1537"/>
        <v>89301000</v>
      </c>
      <c r="B8590" t="str">
        <f t="shared" si="1538"/>
        <v>72100000</v>
      </c>
      <c r="C8590" t="str">
        <f t="shared" si="1539"/>
        <v>72100632</v>
      </c>
      <c r="D8590">
        <v>89301091</v>
      </c>
      <c r="E8590" t="str">
        <f>"9154156066"</f>
        <v>9154156066</v>
      </c>
      <c r="F8590" s="1">
        <v>44987</v>
      </c>
      <c r="G8590" t="str">
        <f t="shared" si="1540"/>
        <v>94297</v>
      </c>
      <c r="H8590">
        <v>1</v>
      </c>
      <c r="I8590">
        <v>304</v>
      </c>
      <c r="J8590">
        <v>0</v>
      </c>
      <c r="K8590" t="str">
        <f t="shared" si="1541"/>
        <v>816</v>
      </c>
      <c r="L8590">
        <v>304</v>
      </c>
    </row>
    <row r="8591" spans="1:12" x14ac:dyDescent="0.25">
      <c r="A8591" t="str">
        <f t="shared" si="1537"/>
        <v>89301000</v>
      </c>
      <c r="B8591" t="str">
        <f t="shared" si="1538"/>
        <v>72100000</v>
      </c>
      <c r="C8591" t="str">
        <f t="shared" si="1539"/>
        <v>72100632</v>
      </c>
      <c r="D8591">
        <v>89301091</v>
      </c>
      <c r="E8591" t="str">
        <f>"2352270393"</f>
        <v>2352270393</v>
      </c>
      <c r="F8591" s="1">
        <v>44991</v>
      </c>
      <c r="G8591" t="str">
        <f t="shared" si="1540"/>
        <v>94297</v>
      </c>
      <c r="H8591">
        <v>1</v>
      </c>
      <c r="I8591">
        <v>304</v>
      </c>
      <c r="J8591">
        <v>0</v>
      </c>
      <c r="K8591" t="str">
        <f t="shared" si="1541"/>
        <v>816</v>
      </c>
      <c r="L8591">
        <v>304</v>
      </c>
    </row>
    <row r="8592" spans="1:12" x14ac:dyDescent="0.25">
      <c r="A8592" t="str">
        <f t="shared" si="1537"/>
        <v>89301000</v>
      </c>
      <c r="B8592" t="str">
        <f t="shared" si="1538"/>
        <v>72100000</v>
      </c>
      <c r="C8592" t="str">
        <f t="shared" si="1539"/>
        <v>72100632</v>
      </c>
      <c r="D8592">
        <v>89301091</v>
      </c>
      <c r="E8592" t="str">
        <f>"2302280068"</f>
        <v>2302280068</v>
      </c>
      <c r="F8592" s="1">
        <v>44991</v>
      </c>
      <c r="G8592" t="str">
        <f t="shared" si="1540"/>
        <v>94297</v>
      </c>
      <c r="H8592">
        <v>1</v>
      </c>
      <c r="I8592">
        <v>304</v>
      </c>
      <c r="J8592">
        <v>0</v>
      </c>
      <c r="K8592" t="str">
        <f t="shared" si="1541"/>
        <v>816</v>
      </c>
      <c r="L8592">
        <v>304</v>
      </c>
    </row>
    <row r="8593" spans="1:12" x14ac:dyDescent="0.25">
      <c r="A8593" t="str">
        <f t="shared" si="1537"/>
        <v>89301000</v>
      </c>
      <c r="B8593" t="str">
        <f t="shared" si="1538"/>
        <v>72100000</v>
      </c>
      <c r="C8593" t="str">
        <f t="shared" si="1539"/>
        <v>72100632</v>
      </c>
      <c r="D8593">
        <v>89301091</v>
      </c>
      <c r="E8593" t="str">
        <f>"2302280090"</f>
        <v>2302280090</v>
      </c>
      <c r="F8593" s="1">
        <v>44992</v>
      </c>
      <c r="G8593" t="str">
        <f t="shared" si="1540"/>
        <v>94297</v>
      </c>
      <c r="H8593">
        <v>1</v>
      </c>
      <c r="I8593">
        <v>304</v>
      </c>
      <c r="J8593">
        <v>0</v>
      </c>
      <c r="K8593" t="str">
        <f t="shared" si="1541"/>
        <v>816</v>
      </c>
      <c r="L8593">
        <v>304</v>
      </c>
    </row>
    <row r="8594" spans="1:12" x14ac:dyDescent="0.25">
      <c r="A8594" t="str">
        <f t="shared" si="1537"/>
        <v>89301000</v>
      </c>
      <c r="B8594" t="str">
        <f t="shared" si="1538"/>
        <v>72100000</v>
      </c>
      <c r="C8594" t="str">
        <f t="shared" si="1539"/>
        <v>72100632</v>
      </c>
      <c r="D8594">
        <v>89301091</v>
      </c>
      <c r="E8594" t="str">
        <f>"2302280772"</f>
        <v>2302280772</v>
      </c>
      <c r="F8594" s="1">
        <v>44992</v>
      </c>
      <c r="G8594" t="str">
        <f t="shared" si="1540"/>
        <v>94297</v>
      </c>
      <c r="H8594">
        <v>1</v>
      </c>
      <c r="I8594">
        <v>304</v>
      </c>
      <c r="J8594">
        <v>0</v>
      </c>
      <c r="K8594" t="str">
        <f t="shared" si="1541"/>
        <v>816</v>
      </c>
      <c r="L8594">
        <v>304</v>
      </c>
    </row>
    <row r="8595" spans="1:12" x14ac:dyDescent="0.25">
      <c r="A8595" t="str">
        <f t="shared" si="1537"/>
        <v>89301000</v>
      </c>
      <c r="B8595" t="str">
        <f t="shared" si="1538"/>
        <v>72100000</v>
      </c>
      <c r="C8595" t="str">
        <f t="shared" si="1539"/>
        <v>72100632</v>
      </c>
      <c r="D8595">
        <v>89301091</v>
      </c>
      <c r="E8595" t="str">
        <f>"2352280546"</f>
        <v>2352280546</v>
      </c>
      <c r="F8595" s="1">
        <v>44992</v>
      </c>
      <c r="G8595" t="str">
        <f t="shared" si="1540"/>
        <v>94297</v>
      </c>
      <c r="H8595">
        <v>1</v>
      </c>
      <c r="I8595">
        <v>304</v>
      </c>
      <c r="J8595">
        <v>0</v>
      </c>
      <c r="K8595" t="str">
        <f t="shared" si="1541"/>
        <v>816</v>
      </c>
      <c r="L8595">
        <v>304</v>
      </c>
    </row>
    <row r="8596" spans="1:12" x14ac:dyDescent="0.25">
      <c r="A8596" t="str">
        <f t="shared" si="1537"/>
        <v>89301000</v>
      </c>
      <c r="B8596" t="str">
        <f t="shared" si="1538"/>
        <v>72100000</v>
      </c>
      <c r="C8596" t="str">
        <f t="shared" si="1539"/>
        <v>72100632</v>
      </c>
      <c r="D8596">
        <v>89301091</v>
      </c>
      <c r="E8596" t="str">
        <f>"2353010528"</f>
        <v>2353010528</v>
      </c>
      <c r="F8596" s="1">
        <v>44993</v>
      </c>
      <c r="G8596" t="str">
        <f t="shared" si="1540"/>
        <v>94297</v>
      </c>
      <c r="H8596">
        <v>1</v>
      </c>
      <c r="I8596">
        <v>304</v>
      </c>
      <c r="J8596">
        <v>0</v>
      </c>
      <c r="K8596" t="str">
        <f t="shared" si="1541"/>
        <v>816</v>
      </c>
      <c r="L8596">
        <v>304</v>
      </c>
    </row>
    <row r="8597" spans="1:12" x14ac:dyDescent="0.25">
      <c r="A8597" t="str">
        <f t="shared" si="1537"/>
        <v>89301000</v>
      </c>
      <c r="B8597" t="str">
        <f t="shared" si="1538"/>
        <v>72100000</v>
      </c>
      <c r="C8597" t="str">
        <f t="shared" si="1539"/>
        <v>72100632</v>
      </c>
      <c r="D8597">
        <v>89301091</v>
      </c>
      <c r="E8597" t="str">
        <f>"2303010688"</f>
        <v>2303010688</v>
      </c>
      <c r="F8597" s="1">
        <v>44993</v>
      </c>
      <c r="G8597" t="str">
        <f t="shared" si="1540"/>
        <v>94297</v>
      </c>
      <c r="H8597">
        <v>1</v>
      </c>
      <c r="I8597">
        <v>304</v>
      </c>
      <c r="J8597">
        <v>0</v>
      </c>
      <c r="K8597" t="str">
        <f t="shared" si="1541"/>
        <v>816</v>
      </c>
      <c r="L8597">
        <v>304</v>
      </c>
    </row>
    <row r="8598" spans="1:12" x14ac:dyDescent="0.25">
      <c r="A8598" t="str">
        <f t="shared" si="1537"/>
        <v>89301000</v>
      </c>
      <c r="B8598" t="str">
        <f t="shared" si="1538"/>
        <v>72100000</v>
      </c>
      <c r="C8598" t="str">
        <f t="shared" si="1539"/>
        <v>72100632</v>
      </c>
      <c r="D8598">
        <v>89301091</v>
      </c>
      <c r="E8598" t="str">
        <f>"2353030064"</f>
        <v>2353030064</v>
      </c>
      <c r="F8598" s="1">
        <v>44993</v>
      </c>
      <c r="G8598" t="str">
        <f t="shared" si="1540"/>
        <v>94297</v>
      </c>
      <c r="H8598">
        <v>1</v>
      </c>
      <c r="I8598">
        <v>304</v>
      </c>
      <c r="J8598">
        <v>0</v>
      </c>
      <c r="K8598" t="str">
        <f t="shared" si="1541"/>
        <v>816</v>
      </c>
      <c r="L8598">
        <v>304</v>
      </c>
    </row>
    <row r="8599" spans="1:12" x14ac:dyDescent="0.25">
      <c r="A8599" t="str">
        <f t="shared" si="1537"/>
        <v>89301000</v>
      </c>
      <c r="B8599" t="str">
        <f t="shared" si="1538"/>
        <v>72100000</v>
      </c>
      <c r="C8599" t="str">
        <f t="shared" si="1539"/>
        <v>72100632</v>
      </c>
      <c r="D8599">
        <v>89301091</v>
      </c>
      <c r="E8599" t="str">
        <f>"8854235775"</f>
        <v>8854235775</v>
      </c>
      <c r="F8599" s="1">
        <v>44993</v>
      </c>
      <c r="G8599" t="str">
        <f t="shared" si="1540"/>
        <v>94297</v>
      </c>
      <c r="H8599">
        <v>1</v>
      </c>
      <c r="I8599">
        <v>304</v>
      </c>
      <c r="J8599">
        <v>0</v>
      </c>
      <c r="K8599" t="str">
        <f t="shared" si="1541"/>
        <v>816</v>
      </c>
      <c r="L8599">
        <v>304</v>
      </c>
    </row>
    <row r="8600" spans="1:12" x14ac:dyDescent="0.25">
      <c r="A8600" t="str">
        <f t="shared" si="1537"/>
        <v>89301000</v>
      </c>
      <c r="B8600" t="str">
        <f t="shared" si="1538"/>
        <v>72100000</v>
      </c>
      <c r="C8600" t="str">
        <f t="shared" si="1539"/>
        <v>72100632</v>
      </c>
      <c r="D8600">
        <v>89301091</v>
      </c>
      <c r="E8600" t="str">
        <f>"8657085767"</f>
        <v>8657085767</v>
      </c>
      <c r="F8600" s="1">
        <v>44994</v>
      </c>
      <c r="G8600" t="str">
        <f t="shared" si="1540"/>
        <v>94297</v>
      </c>
      <c r="H8600">
        <v>1</v>
      </c>
      <c r="I8600">
        <v>304</v>
      </c>
      <c r="J8600">
        <v>0</v>
      </c>
      <c r="K8600" t="str">
        <f t="shared" si="1541"/>
        <v>816</v>
      </c>
      <c r="L8600">
        <v>304</v>
      </c>
    </row>
    <row r="8601" spans="1:12" x14ac:dyDescent="0.25">
      <c r="A8601" t="str">
        <f t="shared" si="1537"/>
        <v>89301000</v>
      </c>
      <c r="B8601" t="str">
        <f t="shared" si="1538"/>
        <v>72100000</v>
      </c>
      <c r="C8601" t="str">
        <f t="shared" si="1539"/>
        <v>72100632</v>
      </c>
      <c r="D8601">
        <v>89301091</v>
      </c>
      <c r="E8601" t="str">
        <f>"9155305775"</f>
        <v>9155305775</v>
      </c>
      <c r="F8601" s="1">
        <v>44994</v>
      </c>
      <c r="G8601" t="str">
        <f t="shared" si="1540"/>
        <v>94297</v>
      </c>
      <c r="H8601">
        <v>1</v>
      </c>
      <c r="I8601">
        <v>304</v>
      </c>
      <c r="J8601">
        <v>0</v>
      </c>
      <c r="K8601" t="str">
        <f t="shared" si="1541"/>
        <v>816</v>
      </c>
      <c r="L8601">
        <v>304</v>
      </c>
    </row>
    <row r="8602" spans="1:12" x14ac:dyDescent="0.25">
      <c r="A8602" t="str">
        <f t="shared" si="1537"/>
        <v>89301000</v>
      </c>
      <c r="B8602" t="str">
        <f t="shared" si="1538"/>
        <v>72100000</v>
      </c>
      <c r="C8602" t="str">
        <f t="shared" si="1539"/>
        <v>72100632</v>
      </c>
      <c r="D8602">
        <v>89301091</v>
      </c>
      <c r="E8602" t="str">
        <f>"0156306293"</f>
        <v>0156306293</v>
      </c>
      <c r="F8602" s="1">
        <v>44994</v>
      </c>
      <c r="G8602" t="str">
        <f t="shared" si="1540"/>
        <v>94297</v>
      </c>
      <c r="H8602">
        <v>1</v>
      </c>
      <c r="I8602">
        <v>304</v>
      </c>
      <c r="J8602">
        <v>0</v>
      </c>
      <c r="K8602" t="str">
        <f t="shared" si="1541"/>
        <v>816</v>
      </c>
      <c r="L8602">
        <v>304</v>
      </c>
    </row>
    <row r="8603" spans="1:12" x14ac:dyDescent="0.25">
      <c r="A8603" t="str">
        <f t="shared" si="1537"/>
        <v>89301000</v>
      </c>
      <c r="B8603" t="str">
        <f t="shared" si="1538"/>
        <v>72100000</v>
      </c>
      <c r="C8603" t="str">
        <f t="shared" si="1539"/>
        <v>72100632</v>
      </c>
      <c r="D8603">
        <v>89301091</v>
      </c>
      <c r="E8603" t="str">
        <f>"9157135702"</f>
        <v>9157135702</v>
      </c>
      <c r="F8603" s="1">
        <v>44994</v>
      </c>
      <c r="G8603" t="str">
        <f t="shared" si="1540"/>
        <v>94297</v>
      </c>
      <c r="H8603">
        <v>1</v>
      </c>
      <c r="I8603">
        <v>304</v>
      </c>
      <c r="J8603">
        <v>0</v>
      </c>
      <c r="K8603" t="str">
        <f t="shared" si="1541"/>
        <v>816</v>
      </c>
      <c r="L8603">
        <v>304</v>
      </c>
    </row>
    <row r="8604" spans="1:12" x14ac:dyDescent="0.25">
      <c r="A8604" t="str">
        <f t="shared" si="1537"/>
        <v>89301000</v>
      </c>
      <c r="B8604" t="str">
        <f t="shared" si="1538"/>
        <v>72100000</v>
      </c>
      <c r="C8604" t="str">
        <f t="shared" si="1539"/>
        <v>72100632</v>
      </c>
      <c r="D8604">
        <v>89301091</v>
      </c>
      <c r="E8604" t="str">
        <f>"2303050464"</f>
        <v>2303050464</v>
      </c>
      <c r="F8604" s="1">
        <v>44995</v>
      </c>
      <c r="G8604" t="str">
        <f t="shared" si="1540"/>
        <v>94297</v>
      </c>
      <c r="H8604">
        <v>1</v>
      </c>
      <c r="I8604">
        <v>304</v>
      </c>
      <c r="J8604">
        <v>0</v>
      </c>
      <c r="K8604" t="str">
        <f t="shared" si="1541"/>
        <v>816</v>
      </c>
      <c r="L8604">
        <v>304</v>
      </c>
    </row>
    <row r="8605" spans="1:12" x14ac:dyDescent="0.25">
      <c r="A8605" t="str">
        <f t="shared" si="1537"/>
        <v>89301000</v>
      </c>
      <c r="B8605" t="str">
        <f t="shared" si="1538"/>
        <v>72100000</v>
      </c>
      <c r="C8605" t="str">
        <f t="shared" si="1539"/>
        <v>72100632</v>
      </c>
      <c r="D8605">
        <v>89301091</v>
      </c>
      <c r="E8605" t="str">
        <f>"2353060039"</f>
        <v>2353060039</v>
      </c>
      <c r="F8605" s="1">
        <v>44995</v>
      </c>
      <c r="G8605" t="str">
        <f t="shared" si="1540"/>
        <v>94297</v>
      </c>
      <c r="H8605">
        <v>1</v>
      </c>
      <c r="I8605">
        <v>304</v>
      </c>
      <c r="J8605">
        <v>0</v>
      </c>
      <c r="K8605" t="str">
        <f t="shared" si="1541"/>
        <v>816</v>
      </c>
      <c r="L8605">
        <v>304</v>
      </c>
    </row>
    <row r="8606" spans="1:12" x14ac:dyDescent="0.25">
      <c r="A8606" t="str">
        <f t="shared" si="1537"/>
        <v>89301000</v>
      </c>
      <c r="B8606" t="str">
        <f t="shared" si="1538"/>
        <v>72100000</v>
      </c>
      <c r="C8606" t="str">
        <f t="shared" si="1539"/>
        <v>72100632</v>
      </c>
      <c r="D8606">
        <v>89301091</v>
      </c>
      <c r="E8606" t="str">
        <f>"2303060562"</f>
        <v>2303060562</v>
      </c>
      <c r="F8606" s="1">
        <v>44998</v>
      </c>
      <c r="G8606" t="str">
        <f t="shared" si="1540"/>
        <v>94297</v>
      </c>
      <c r="H8606">
        <v>1</v>
      </c>
      <c r="I8606">
        <v>304</v>
      </c>
      <c r="J8606">
        <v>0</v>
      </c>
      <c r="K8606" t="str">
        <f t="shared" si="1541"/>
        <v>816</v>
      </c>
      <c r="L8606">
        <v>304</v>
      </c>
    </row>
    <row r="8607" spans="1:12" x14ac:dyDescent="0.25">
      <c r="A8607" t="str">
        <f t="shared" si="1537"/>
        <v>89301000</v>
      </c>
      <c r="B8607" t="str">
        <f t="shared" si="1538"/>
        <v>72100000</v>
      </c>
      <c r="C8607" t="str">
        <f t="shared" si="1539"/>
        <v>72100632</v>
      </c>
      <c r="D8607">
        <v>89301091</v>
      </c>
      <c r="E8607" t="str">
        <f>"2353060501"</f>
        <v>2353060501</v>
      </c>
      <c r="F8607" s="1">
        <v>44998</v>
      </c>
      <c r="G8607" t="str">
        <f t="shared" si="1540"/>
        <v>94297</v>
      </c>
      <c r="H8607">
        <v>1</v>
      </c>
      <c r="I8607">
        <v>304</v>
      </c>
      <c r="J8607">
        <v>0</v>
      </c>
      <c r="K8607" t="str">
        <f t="shared" si="1541"/>
        <v>816</v>
      </c>
      <c r="L8607">
        <v>304</v>
      </c>
    </row>
    <row r="8608" spans="1:12" x14ac:dyDescent="0.25">
      <c r="A8608" t="str">
        <f t="shared" si="1537"/>
        <v>89301000</v>
      </c>
      <c r="B8608" t="str">
        <f t="shared" si="1538"/>
        <v>72100000</v>
      </c>
      <c r="C8608" t="str">
        <f t="shared" si="1539"/>
        <v>72100632</v>
      </c>
      <c r="D8608">
        <v>89301091</v>
      </c>
      <c r="E8608" t="str">
        <f>"2303070088"</f>
        <v>2303070088</v>
      </c>
      <c r="F8608" s="1">
        <v>44999</v>
      </c>
      <c r="G8608" t="str">
        <f t="shared" si="1540"/>
        <v>94297</v>
      </c>
      <c r="H8608">
        <v>1</v>
      </c>
      <c r="I8608">
        <v>304</v>
      </c>
      <c r="J8608">
        <v>0</v>
      </c>
      <c r="K8608" t="str">
        <f t="shared" si="1541"/>
        <v>816</v>
      </c>
      <c r="L8608">
        <v>304</v>
      </c>
    </row>
    <row r="8609" spans="1:12" x14ac:dyDescent="0.25">
      <c r="A8609" t="str">
        <f t="shared" si="1537"/>
        <v>89301000</v>
      </c>
      <c r="B8609" t="str">
        <f t="shared" si="1538"/>
        <v>72100000</v>
      </c>
      <c r="C8609" t="str">
        <f t="shared" si="1539"/>
        <v>72100632</v>
      </c>
      <c r="D8609">
        <v>89301091</v>
      </c>
      <c r="E8609" t="str">
        <f>"2303070660"</f>
        <v>2303070660</v>
      </c>
      <c r="F8609" s="1">
        <v>44999</v>
      </c>
      <c r="G8609" t="str">
        <f t="shared" si="1540"/>
        <v>94297</v>
      </c>
      <c r="H8609">
        <v>1</v>
      </c>
      <c r="I8609">
        <v>304</v>
      </c>
      <c r="J8609">
        <v>0</v>
      </c>
      <c r="K8609" t="str">
        <f t="shared" si="1541"/>
        <v>816</v>
      </c>
      <c r="L8609">
        <v>304</v>
      </c>
    </row>
    <row r="8610" spans="1:12" x14ac:dyDescent="0.25">
      <c r="A8610" t="str">
        <f t="shared" si="1537"/>
        <v>89301000</v>
      </c>
      <c r="B8610" t="str">
        <f t="shared" si="1538"/>
        <v>72100000</v>
      </c>
      <c r="C8610" t="str">
        <f t="shared" si="1539"/>
        <v>72100632</v>
      </c>
      <c r="D8610">
        <v>89301091</v>
      </c>
      <c r="E8610" t="str">
        <f>"2303080087"</f>
        <v>2303080087</v>
      </c>
      <c r="F8610" s="1">
        <v>45000</v>
      </c>
      <c r="G8610" t="str">
        <f t="shared" si="1540"/>
        <v>94297</v>
      </c>
      <c r="H8610">
        <v>1</v>
      </c>
      <c r="I8610">
        <v>304</v>
      </c>
      <c r="J8610">
        <v>0</v>
      </c>
      <c r="K8610" t="str">
        <f t="shared" si="1541"/>
        <v>816</v>
      </c>
      <c r="L8610">
        <v>304</v>
      </c>
    </row>
    <row r="8611" spans="1:12" x14ac:dyDescent="0.25">
      <c r="A8611" t="str">
        <f t="shared" si="1537"/>
        <v>89301000</v>
      </c>
      <c r="B8611" t="str">
        <f t="shared" si="1538"/>
        <v>72100000</v>
      </c>
      <c r="C8611" t="str">
        <f t="shared" si="1539"/>
        <v>72100632</v>
      </c>
      <c r="D8611">
        <v>89301091</v>
      </c>
      <c r="E8611" t="str">
        <f>"2353080125"</f>
        <v>2353080125</v>
      </c>
      <c r="F8611" s="1">
        <v>45000</v>
      </c>
      <c r="G8611" t="str">
        <f t="shared" si="1540"/>
        <v>94297</v>
      </c>
      <c r="H8611">
        <v>1</v>
      </c>
      <c r="I8611">
        <v>304</v>
      </c>
      <c r="J8611">
        <v>0</v>
      </c>
      <c r="K8611" t="str">
        <f t="shared" si="1541"/>
        <v>816</v>
      </c>
      <c r="L8611">
        <v>304</v>
      </c>
    </row>
    <row r="8612" spans="1:12" x14ac:dyDescent="0.25">
      <c r="A8612" t="str">
        <f t="shared" si="1537"/>
        <v>89301000</v>
      </c>
      <c r="B8612" t="str">
        <f t="shared" si="1538"/>
        <v>72100000</v>
      </c>
      <c r="C8612" t="str">
        <f t="shared" si="1539"/>
        <v>72100632</v>
      </c>
      <c r="D8612">
        <v>89301091</v>
      </c>
      <c r="E8612" t="str">
        <f>"2353080785"</f>
        <v>2353080785</v>
      </c>
      <c r="F8612" s="1">
        <v>45000</v>
      </c>
      <c r="G8612" t="str">
        <f t="shared" si="1540"/>
        <v>94297</v>
      </c>
      <c r="H8612">
        <v>1</v>
      </c>
      <c r="I8612">
        <v>304</v>
      </c>
      <c r="J8612">
        <v>0</v>
      </c>
      <c r="K8612" t="str">
        <f t="shared" si="1541"/>
        <v>816</v>
      </c>
      <c r="L8612">
        <v>304</v>
      </c>
    </row>
    <row r="8613" spans="1:12" x14ac:dyDescent="0.25">
      <c r="A8613" t="str">
        <f t="shared" si="1537"/>
        <v>89301000</v>
      </c>
      <c r="B8613" t="str">
        <f t="shared" si="1538"/>
        <v>72100000</v>
      </c>
      <c r="C8613" t="str">
        <f t="shared" si="1539"/>
        <v>72100632</v>
      </c>
      <c r="D8613">
        <v>89301091</v>
      </c>
      <c r="E8613" t="str">
        <f>"2303090603"</f>
        <v>2303090603</v>
      </c>
      <c r="F8613" s="1">
        <v>45000</v>
      </c>
      <c r="G8613" t="str">
        <f t="shared" ref="G8613:G8644" si="1542">"94297"</f>
        <v>94297</v>
      </c>
      <c r="H8613">
        <v>1</v>
      </c>
      <c r="I8613">
        <v>304</v>
      </c>
      <c r="J8613">
        <v>0</v>
      </c>
      <c r="K8613" t="str">
        <f t="shared" si="1541"/>
        <v>816</v>
      </c>
      <c r="L8613">
        <v>304</v>
      </c>
    </row>
    <row r="8614" spans="1:12" x14ac:dyDescent="0.25">
      <c r="A8614" t="str">
        <f t="shared" si="1537"/>
        <v>89301000</v>
      </c>
      <c r="B8614" t="str">
        <f t="shared" si="1538"/>
        <v>72100000</v>
      </c>
      <c r="C8614" t="str">
        <f t="shared" si="1539"/>
        <v>72100632</v>
      </c>
      <c r="D8614">
        <v>89301091</v>
      </c>
      <c r="E8614" t="str">
        <f>"2303090636"</f>
        <v>2303090636</v>
      </c>
      <c r="F8614" s="1">
        <v>45000</v>
      </c>
      <c r="G8614" t="str">
        <f t="shared" si="1542"/>
        <v>94297</v>
      </c>
      <c r="H8614">
        <v>1</v>
      </c>
      <c r="I8614">
        <v>304</v>
      </c>
      <c r="J8614">
        <v>0</v>
      </c>
      <c r="K8614" t="str">
        <f t="shared" si="1541"/>
        <v>816</v>
      </c>
      <c r="L8614">
        <v>304</v>
      </c>
    </row>
    <row r="8615" spans="1:12" x14ac:dyDescent="0.25">
      <c r="A8615" t="str">
        <f t="shared" si="1537"/>
        <v>89301000</v>
      </c>
      <c r="B8615" t="str">
        <f t="shared" si="1538"/>
        <v>72100000</v>
      </c>
      <c r="C8615" t="str">
        <f t="shared" si="1539"/>
        <v>72100632</v>
      </c>
      <c r="D8615">
        <v>89301091</v>
      </c>
      <c r="E8615" t="str">
        <f>"2303090658"</f>
        <v>2303090658</v>
      </c>
      <c r="F8615" s="1">
        <v>45001</v>
      </c>
      <c r="G8615" t="str">
        <f t="shared" si="1542"/>
        <v>94297</v>
      </c>
      <c r="H8615">
        <v>1</v>
      </c>
      <c r="I8615">
        <v>304</v>
      </c>
      <c r="J8615">
        <v>0</v>
      </c>
      <c r="K8615" t="str">
        <f t="shared" si="1541"/>
        <v>816</v>
      </c>
      <c r="L8615">
        <v>304</v>
      </c>
    </row>
    <row r="8616" spans="1:12" x14ac:dyDescent="0.25">
      <c r="A8616" t="str">
        <f t="shared" si="1537"/>
        <v>89301000</v>
      </c>
      <c r="B8616" t="str">
        <f t="shared" si="1538"/>
        <v>72100000</v>
      </c>
      <c r="C8616" t="str">
        <f t="shared" si="1539"/>
        <v>72100632</v>
      </c>
      <c r="D8616">
        <v>89301091</v>
      </c>
      <c r="E8616" t="str">
        <f>"7751285454"</f>
        <v>7751285454</v>
      </c>
      <c r="F8616" s="1">
        <v>45001</v>
      </c>
      <c r="G8616" t="str">
        <f t="shared" si="1542"/>
        <v>94297</v>
      </c>
      <c r="H8616">
        <v>1</v>
      </c>
      <c r="I8616">
        <v>304</v>
      </c>
      <c r="J8616">
        <v>0</v>
      </c>
      <c r="K8616" t="str">
        <f t="shared" si="1541"/>
        <v>816</v>
      </c>
      <c r="L8616">
        <v>304</v>
      </c>
    </row>
    <row r="8617" spans="1:12" x14ac:dyDescent="0.25">
      <c r="A8617" t="str">
        <f t="shared" si="1537"/>
        <v>89301000</v>
      </c>
      <c r="B8617" t="str">
        <f t="shared" si="1538"/>
        <v>72100000</v>
      </c>
      <c r="C8617" t="str">
        <f t="shared" si="1539"/>
        <v>72100632</v>
      </c>
      <c r="D8617">
        <v>89301091</v>
      </c>
      <c r="E8617" t="str">
        <f>"9453023954"</f>
        <v>9453023954</v>
      </c>
      <c r="F8617" s="1">
        <v>45001</v>
      </c>
      <c r="G8617" t="str">
        <f t="shared" si="1542"/>
        <v>94297</v>
      </c>
      <c r="H8617">
        <v>1</v>
      </c>
      <c r="I8617">
        <v>304</v>
      </c>
      <c r="J8617">
        <v>0</v>
      </c>
      <c r="K8617" t="str">
        <f t="shared" si="1541"/>
        <v>816</v>
      </c>
      <c r="L8617">
        <v>304</v>
      </c>
    </row>
    <row r="8618" spans="1:12" x14ac:dyDescent="0.25">
      <c r="A8618" t="str">
        <f t="shared" si="1537"/>
        <v>89301000</v>
      </c>
      <c r="B8618" t="str">
        <f t="shared" si="1538"/>
        <v>72100000</v>
      </c>
      <c r="C8618" t="str">
        <f t="shared" si="1539"/>
        <v>72100632</v>
      </c>
      <c r="D8618">
        <v>89301091</v>
      </c>
      <c r="E8618" t="str">
        <f>"2353150096"</f>
        <v>2353150096</v>
      </c>
      <c r="F8618" s="1">
        <v>45007</v>
      </c>
      <c r="G8618" t="str">
        <f t="shared" si="1542"/>
        <v>94297</v>
      </c>
      <c r="H8618">
        <v>1</v>
      </c>
      <c r="I8618">
        <v>304</v>
      </c>
      <c r="J8618">
        <v>0</v>
      </c>
      <c r="K8618" t="str">
        <f t="shared" si="1541"/>
        <v>816</v>
      </c>
      <c r="L8618">
        <v>304</v>
      </c>
    </row>
    <row r="8619" spans="1:12" x14ac:dyDescent="0.25">
      <c r="A8619" t="str">
        <f t="shared" si="1537"/>
        <v>89301000</v>
      </c>
      <c r="B8619" t="str">
        <f t="shared" si="1538"/>
        <v>72100000</v>
      </c>
      <c r="C8619" t="str">
        <f t="shared" si="1539"/>
        <v>72100632</v>
      </c>
      <c r="D8619">
        <v>89301091</v>
      </c>
      <c r="E8619" t="str">
        <f>"2353150569"</f>
        <v>2353150569</v>
      </c>
      <c r="F8619" s="1">
        <v>45007</v>
      </c>
      <c r="G8619" t="str">
        <f t="shared" si="1542"/>
        <v>94297</v>
      </c>
      <c r="H8619">
        <v>1</v>
      </c>
      <c r="I8619">
        <v>304</v>
      </c>
      <c r="J8619">
        <v>0</v>
      </c>
      <c r="K8619" t="str">
        <f t="shared" si="1541"/>
        <v>816</v>
      </c>
      <c r="L8619">
        <v>304</v>
      </c>
    </row>
    <row r="8620" spans="1:12" x14ac:dyDescent="0.25">
      <c r="A8620" t="str">
        <f t="shared" si="1537"/>
        <v>89301000</v>
      </c>
      <c r="B8620" t="str">
        <f t="shared" si="1538"/>
        <v>72100000</v>
      </c>
      <c r="C8620" t="str">
        <f t="shared" si="1539"/>
        <v>72100632</v>
      </c>
      <c r="D8620">
        <v>89301091</v>
      </c>
      <c r="E8620" t="str">
        <f>"2303150663"</f>
        <v>2303150663</v>
      </c>
      <c r="F8620" s="1">
        <v>45007</v>
      </c>
      <c r="G8620" t="str">
        <f t="shared" si="1542"/>
        <v>94297</v>
      </c>
      <c r="H8620">
        <v>1</v>
      </c>
      <c r="I8620">
        <v>304</v>
      </c>
      <c r="J8620">
        <v>0</v>
      </c>
      <c r="K8620" t="str">
        <f t="shared" si="1541"/>
        <v>816</v>
      </c>
      <c r="L8620">
        <v>304</v>
      </c>
    </row>
    <row r="8621" spans="1:12" x14ac:dyDescent="0.25">
      <c r="A8621" t="str">
        <f t="shared" si="1537"/>
        <v>89301000</v>
      </c>
      <c r="B8621" t="str">
        <f t="shared" si="1538"/>
        <v>72100000</v>
      </c>
      <c r="C8621" t="str">
        <f t="shared" si="1539"/>
        <v>72100632</v>
      </c>
      <c r="D8621">
        <v>89301091</v>
      </c>
      <c r="E8621" t="str">
        <f>"2303150674"</f>
        <v>2303150674</v>
      </c>
      <c r="F8621" s="1">
        <v>45007</v>
      </c>
      <c r="G8621" t="str">
        <f t="shared" si="1542"/>
        <v>94297</v>
      </c>
      <c r="H8621">
        <v>1</v>
      </c>
      <c r="I8621">
        <v>304</v>
      </c>
      <c r="J8621">
        <v>0</v>
      </c>
      <c r="K8621" t="str">
        <f t="shared" si="1541"/>
        <v>816</v>
      </c>
      <c r="L8621">
        <v>304</v>
      </c>
    </row>
    <row r="8622" spans="1:12" x14ac:dyDescent="0.25">
      <c r="A8622" t="str">
        <f t="shared" si="1537"/>
        <v>89301000</v>
      </c>
      <c r="B8622" t="str">
        <f t="shared" si="1538"/>
        <v>72100000</v>
      </c>
      <c r="C8622" t="str">
        <f t="shared" si="1539"/>
        <v>72100632</v>
      </c>
      <c r="D8622">
        <v>89301091</v>
      </c>
      <c r="E8622" t="str">
        <f>"8658045451"</f>
        <v>8658045451</v>
      </c>
      <c r="F8622" s="1">
        <v>45007</v>
      </c>
      <c r="G8622" t="str">
        <f t="shared" si="1542"/>
        <v>94297</v>
      </c>
      <c r="H8622">
        <v>1</v>
      </c>
      <c r="I8622">
        <v>304</v>
      </c>
      <c r="J8622">
        <v>0</v>
      </c>
      <c r="K8622" t="str">
        <f t="shared" si="1541"/>
        <v>816</v>
      </c>
      <c r="L8622">
        <v>304</v>
      </c>
    </row>
    <row r="8623" spans="1:12" x14ac:dyDescent="0.25">
      <c r="A8623" t="str">
        <f t="shared" si="1537"/>
        <v>89301000</v>
      </c>
      <c r="B8623" t="str">
        <f t="shared" si="1538"/>
        <v>72100000</v>
      </c>
      <c r="C8623" t="str">
        <f t="shared" si="1539"/>
        <v>72100632</v>
      </c>
      <c r="D8623">
        <v>89301091</v>
      </c>
      <c r="E8623" t="str">
        <f>"8857135837"</f>
        <v>8857135837</v>
      </c>
      <c r="F8623" s="1">
        <v>45007</v>
      </c>
      <c r="G8623" t="str">
        <f t="shared" si="1542"/>
        <v>94297</v>
      </c>
      <c r="H8623">
        <v>1</v>
      </c>
      <c r="I8623">
        <v>304</v>
      </c>
      <c r="J8623">
        <v>0</v>
      </c>
      <c r="K8623" t="str">
        <f t="shared" si="1541"/>
        <v>816</v>
      </c>
      <c r="L8623">
        <v>304</v>
      </c>
    </row>
    <row r="8624" spans="1:12" x14ac:dyDescent="0.25">
      <c r="A8624" t="str">
        <f t="shared" si="1537"/>
        <v>89301000</v>
      </c>
      <c r="B8624" t="str">
        <f t="shared" si="1538"/>
        <v>72100000</v>
      </c>
      <c r="C8624" t="str">
        <f t="shared" si="1539"/>
        <v>72100632</v>
      </c>
      <c r="D8624">
        <v>89301091</v>
      </c>
      <c r="E8624" t="str">
        <f>"9762135735"</f>
        <v>9762135735</v>
      </c>
      <c r="F8624" s="1">
        <v>45008</v>
      </c>
      <c r="G8624" t="str">
        <f t="shared" si="1542"/>
        <v>94297</v>
      </c>
      <c r="H8624">
        <v>1</v>
      </c>
      <c r="I8624">
        <v>304</v>
      </c>
      <c r="J8624">
        <v>0</v>
      </c>
      <c r="K8624" t="str">
        <f t="shared" si="1541"/>
        <v>816</v>
      </c>
      <c r="L8624">
        <v>304</v>
      </c>
    </row>
    <row r="8625" spans="1:12" x14ac:dyDescent="0.25">
      <c r="A8625" t="str">
        <f t="shared" si="1537"/>
        <v>89301000</v>
      </c>
      <c r="B8625" t="str">
        <f t="shared" si="1538"/>
        <v>72100000</v>
      </c>
      <c r="C8625" t="str">
        <f t="shared" si="1539"/>
        <v>72100632</v>
      </c>
      <c r="D8625">
        <v>89301091</v>
      </c>
      <c r="E8625" t="str">
        <f>"8456215306"</f>
        <v>8456215306</v>
      </c>
      <c r="F8625" s="1">
        <v>45008</v>
      </c>
      <c r="G8625" t="str">
        <f t="shared" si="1542"/>
        <v>94297</v>
      </c>
      <c r="H8625">
        <v>1</v>
      </c>
      <c r="I8625">
        <v>304</v>
      </c>
      <c r="J8625">
        <v>0</v>
      </c>
      <c r="K8625" t="str">
        <f t="shared" si="1541"/>
        <v>816</v>
      </c>
      <c r="L8625">
        <v>304</v>
      </c>
    </row>
    <row r="8626" spans="1:12" x14ac:dyDescent="0.25">
      <c r="A8626" t="str">
        <f t="shared" si="1537"/>
        <v>89301000</v>
      </c>
      <c r="B8626" t="str">
        <f t="shared" si="1538"/>
        <v>72100000</v>
      </c>
      <c r="C8626" t="str">
        <f t="shared" si="1539"/>
        <v>72100632</v>
      </c>
      <c r="D8626">
        <v>89301091</v>
      </c>
      <c r="E8626" t="str">
        <f>"2303190351"</f>
        <v>2303190351</v>
      </c>
      <c r="F8626" s="1">
        <v>45012</v>
      </c>
      <c r="G8626" t="str">
        <f t="shared" si="1542"/>
        <v>94297</v>
      </c>
      <c r="H8626">
        <v>1</v>
      </c>
      <c r="I8626">
        <v>304</v>
      </c>
      <c r="J8626">
        <v>0</v>
      </c>
      <c r="K8626" t="str">
        <f t="shared" si="1541"/>
        <v>816</v>
      </c>
      <c r="L8626">
        <v>304</v>
      </c>
    </row>
    <row r="8627" spans="1:12" x14ac:dyDescent="0.25">
      <c r="A8627" t="str">
        <f t="shared" si="1537"/>
        <v>89301000</v>
      </c>
      <c r="B8627" t="str">
        <f t="shared" si="1538"/>
        <v>72100000</v>
      </c>
      <c r="C8627" t="str">
        <f t="shared" si="1539"/>
        <v>72100632</v>
      </c>
      <c r="D8627">
        <v>89301091</v>
      </c>
      <c r="E8627" t="str">
        <f>"2353190411"</f>
        <v>2353190411</v>
      </c>
      <c r="F8627" s="1">
        <v>45012</v>
      </c>
      <c r="G8627" t="str">
        <f t="shared" si="1542"/>
        <v>94297</v>
      </c>
      <c r="H8627">
        <v>1</v>
      </c>
      <c r="I8627">
        <v>304</v>
      </c>
      <c r="J8627">
        <v>0</v>
      </c>
      <c r="K8627" t="str">
        <f t="shared" si="1541"/>
        <v>816</v>
      </c>
      <c r="L8627">
        <v>304</v>
      </c>
    </row>
    <row r="8628" spans="1:12" x14ac:dyDescent="0.25">
      <c r="A8628" t="str">
        <f t="shared" si="1537"/>
        <v>89301000</v>
      </c>
      <c r="B8628" t="str">
        <f t="shared" si="1538"/>
        <v>72100000</v>
      </c>
      <c r="C8628" t="str">
        <f t="shared" si="1539"/>
        <v>72100632</v>
      </c>
      <c r="D8628">
        <v>89301091</v>
      </c>
      <c r="E8628" t="str">
        <f>"2353210112"</f>
        <v>2353210112</v>
      </c>
      <c r="F8628" s="1">
        <v>45013</v>
      </c>
      <c r="G8628" t="str">
        <f t="shared" si="1542"/>
        <v>94297</v>
      </c>
      <c r="H8628">
        <v>1</v>
      </c>
      <c r="I8628">
        <v>304</v>
      </c>
      <c r="J8628">
        <v>0</v>
      </c>
      <c r="K8628" t="str">
        <f t="shared" si="1541"/>
        <v>816</v>
      </c>
      <c r="L8628">
        <v>304</v>
      </c>
    </row>
    <row r="8629" spans="1:12" x14ac:dyDescent="0.25">
      <c r="A8629" t="str">
        <f t="shared" si="1537"/>
        <v>89301000</v>
      </c>
      <c r="B8629" t="str">
        <f t="shared" si="1538"/>
        <v>72100000</v>
      </c>
      <c r="C8629" t="str">
        <f t="shared" si="1539"/>
        <v>72100632</v>
      </c>
      <c r="D8629">
        <v>89301091</v>
      </c>
      <c r="E8629" t="str">
        <f>"2303210052"</f>
        <v>2303210052</v>
      </c>
      <c r="F8629" s="1">
        <v>45013</v>
      </c>
      <c r="G8629" t="str">
        <f t="shared" si="1542"/>
        <v>94297</v>
      </c>
      <c r="H8629">
        <v>1</v>
      </c>
      <c r="I8629">
        <v>304</v>
      </c>
      <c r="J8629">
        <v>0</v>
      </c>
      <c r="K8629" t="str">
        <f t="shared" si="1541"/>
        <v>816</v>
      </c>
      <c r="L8629">
        <v>304</v>
      </c>
    </row>
    <row r="8630" spans="1:12" x14ac:dyDescent="0.25">
      <c r="A8630" t="str">
        <f t="shared" si="1537"/>
        <v>89301000</v>
      </c>
      <c r="B8630" t="str">
        <f t="shared" si="1538"/>
        <v>72100000</v>
      </c>
      <c r="C8630" t="str">
        <f t="shared" si="1539"/>
        <v>72100632</v>
      </c>
      <c r="D8630">
        <v>89301091</v>
      </c>
      <c r="E8630" t="str">
        <f>"2353210596"</f>
        <v>2353210596</v>
      </c>
      <c r="F8630" s="1">
        <v>45013</v>
      </c>
      <c r="G8630" t="str">
        <f t="shared" si="1542"/>
        <v>94297</v>
      </c>
      <c r="H8630">
        <v>1</v>
      </c>
      <c r="I8630">
        <v>304</v>
      </c>
      <c r="J8630">
        <v>0</v>
      </c>
      <c r="K8630" t="str">
        <f t="shared" si="1541"/>
        <v>816</v>
      </c>
      <c r="L8630">
        <v>304</v>
      </c>
    </row>
    <row r="8631" spans="1:12" x14ac:dyDescent="0.25">
      <c r="A8631" t="str">
        <f t="shared" si="1537"/>
        <v>89301000</v>
      </c>
      <c r="B8631" t="str">
        <f t="shared" si="1538"/>
        <v>72100000</v>
      </c>
      <c r="C8631" t="str">
        <f t="shared" si="1539"/>
        <v>72100632</v>
      </c>
      <c r="D8631">
        <v>89301091</v>
      </c>
      <c r="E8631" t="str">
        <f>"2303220051"</f>
        <v>2303220051</v>
      </c>
      <c r="F8631" s="1">
        <v>45013</v>
      </c>
      <c r="G8631" t="str">
        <f t="shared" si="1542"/>
        <v>94297</v>
      </c>
      <c r="H8631">
        <v>1</v>
      </c>
      <c r="I8631">
        <v>304</v>
      </c>
      <c r="J8631">
        <v>0</v>
      </c>
      <c r="K8631" t="str">
        <f t="shared" si="1541"/>
        <v>816</v>
      </c>
      <c r="L8631">
        <v>304</v>
      </c>
    </row>
    <row r="8632" spans="1:12" x14ac:dyDescent="0.25">
      <c r="A8632" t="str">
        <f t="shared" si="1537"/>
        <v>89301000</v>
      </c>
      <c r="B8632" t="str">
        <f t="shared" si="1538"/>
        <v>72100000</v>
      </c>
      <c r="C8632" t="str">
        <f t="shared" si="1539"/>
        <v>72100632</v>
      </c>
      <c r="D8632">
        <v>89301091</v>
      </c>
      <c r="E8632" t="str">
        <f>"2353230682"</f>
        <v>2353230682</v>
      </c>
      <c r="F8632" s="1">
        <v>45014</v>
      </c>
      <c r="G8632" t="str">
        <f t="shared" si="1542"/>
        <v>94297</v>
      </c>
      <c r="H8632">
        <v>1</v>
      </c>
      <c r="I8632">
        <v>304</v>
      </c>
      <c r="J8632">
        <v>0</v>
      </c>
      <c r="K8632" t="str">
        <f t="shared" si="1541"/>
        <v>816</v>
      </c>
      <c r="L8632">
        <v>304</v>
      </c>
    </row>
    <row r="8633" spans="1:12" x14ac:dyDescent="0.25">
      <c r="A8633" t="str">
        <f t="shared" si="1537"/>
        <v>89301000</v>
      </c>
      <c r="B8633" t="str">
        <f t="shared" si="1538"/>
        <v>72100000</v>
      </c>
      <c r="C8633" t="str">
        <f t="shared" si="1539"/>
        <v>72100632</v>
      </c>
      <c r="D8633">
        <v>89301091</v>
      </c>
      <c r="E8633" t="str">
        <f>"2353230726"</f>
        <v>2353230726</v>
      </c>
      <c r="F8633" s="1">
        <v>45014</v>
      </c>
      <c r="G8633" t="str">
        <f t="shared" si="1542"/>
        <v>94297</v>
      </c>
      <c r="H8633">
        <v>1</v>
      </c>
      <c r="I8633">
        <v>304</v>
      </c>
      <c r="J8633">
        <v>0</v>
      </c>
      <c r="K8633" t="str">
        <f t="shared" si="1541"/>
        <v>816</v>
      </c>
      <c r="L8633">
        <v>304</v>
      </c>
    </row>
    <row r="8634" spans="1:12" x14ac:dyDescent="0.25">
      <c r="A8634" t="str">
        <f t="shared" si="1537"/>
        <v>89301000</v>
      </c>
      <c r="B8634" t="str">
        <f t="shared" si="1538"/>
        <v>72100000</v>
      </c>
      <c r="C8634" t="str">
        <f t="shared" si="1539"/>
        <v>72100632</v>
      </c>
      <c r="D8634">
        <v>89301091</v>
      </c>
      <c r="E8634" t="str">
        <f>"9952026172"</f>
        <v>9952026172</v>
      </c>
      <c r="F8634" s="1">
        <v>45014</v>
      </c>
      <c r="G8634" t="str">
        <f t="shared" si="1542"/>
        <v>94297</v>
      </c>
      <c r="H8634">
        <v>1</v>
      </c>
      <c r="I8634">
        <v>304</v>
      </c>
      <c r="J8634">
        <v>0</v>
      </c>
      <c r="K8634" t="str">
        <f t="shared" si="1541"/>
        <v>816</v>
      </c>
      <c r="L8634">
        <v>304</v>
      </c>
    </row>
    <row r="8635" spans="1:12" x14ac:dyDescent="0.25">
      <c r="A8635" t="str">
        <f t="shared" si="1537"/>
        <v>89301000</v>
      </c>
      <c r="B8635" t="str">
        <f t="shared" si="1538"/>
        <v>72100000</v>
      </c>
      <c r="C8635" t="str">
        <f t="shared" si="1539"/>
        <v>72100632</v>
      </c>
      <c r="D8635">
        <v>89301091</v>
      </c>
      <c r="E8635" t="str">
        <f>"9353054854"</f>
        <v>9353054854</v>
      </c>
      <c r="F8635" s="1">
        <v>45014</v>
      </c>
      <c r="G8635" t="str">
        <f t="shared" si="1542"/>
        <v>94297</v>
      </c>
      <c r="H8635">
        <v>1</v>
      </c>
      <c r="I8635">
        <v>304</v>
      </c>
      <c r="J8635">
        <v>0</v>
      </c>
      <c r="K8635" t="str">
        <f t="shared" si="1541"/>
        <v>816</v>
      </c>
      <c r="L8635">
        <v>304</v>
      </c>
    </row>
    <row r="8636" spans="1:12" x14ac:dyDescent="0.25">
      <c r="A8636" t="str">
        <f t="shared" si="1537"/>
        <v>89301000</v>
      </c>
      <c r="B8636" t="str">
        <f t="shared" si="1538"/>
        <v>72100000</v>
      </c>
      <c r="C8636" t="str">
        <f t="shared" si="1539"/>
        <v>72100632</v>
      </c>
      <c r="D8636">
        <v>89301091</v>
      </c>
      <c r="E8636" t="str">
        <f>"9852032586"</f>
        <v>9852032586</v>
      </c>
      <c r="F8636" s="1">
        <v>44959</v>
      </c>
      <c r="G8636" t="str">
        <f t="shared" si="1542"/>
        <v>94297</v>
      </c>
      <c r="H8636">
        <v>1</v>
      </c>
      <c r="I8636">
        <v>304</v>
      </c>
      <c r="J8636">
        <v>0</v>
      </c>
      <c r="K8636" t="str">
        <f t="shared" si="1541"/>
        <v>816</v>
      </c>
      <c r="L8636">
        <v>304</v>
      </c>
    </row>
    <row r="8637" spans="1:12" x14ac:dyDescent="0.25">
      <c r="A8637" t="str">
        <f t="shared" si="1537"/>
        <v>89301000</v>
      </c>
      <c r="B8637" t="str">
        <f t="shared" si="1538"/>
        <v>72100000</v>
      </c>
      <c r="C8637" t="str">
        <f t="shared" si="1539"/>
        <v>72100632</v>
      </c>
      <c r="D8637">
        <v>89301091</v>
      </c>
      <c r="E8637" t="str">
        <f>"9757024860"</f>
        <v>9757024860</v>
      </c>
      <c r="F8637" s="1">
        <v>44959</v>
      </c>
      <c r="G8637" t="str">
        <f t="shared" si="1542"/>
        <v>94297</v>
      </c>
      <c r="H8637">
        <v>1</v>
      </c>
      <c r="I8637">
        <v>304</v>
      </c>
      <c r="J8637">
        <v>0</v>
      </c>
      <c r="K8637" t="str">
        <f t="shared" si="1541"/>
        <v>816</v>
      </c>
      <c r="L8637">
        <v>304</v>
      </c>
    </row>
    <row r="8638" spans="1:12" x14ac:dyDescent="0.25">
      <c r="A8638" t="str">
        <f t="shared" si="1537"/>
        <v>89301000</v>
      </c>
      <c r="B8638" t="str">
        <f t="shared" si="1538"/>
        <v>72100000</v>
      </c>
      <c r="C8638" t="str">
        <f t="shared" si="1539"/>
        <v>72100632</v>
      </c>
      <c r="D8638">
        <v>89301091</v>
      </c>
      <c r="E8638" t="str">
        <f>"9652286171"</f>
        <v>9652286171</v>
      </c>
      <c r="F8638" s="1">
        <v>44959</v>
      </c>
      <c r="G8638" t="str">
        <f t="shared" si="1542"/>
        <v>94297</v>
      </c>
      <c r="H8638">
        <v>1</v>
      </c>
      <c r="I8638">
        <v>304</v>
      </c>
      <c r="J8638">
        <v>0</v>
      </c>
      <c r="K8638" t="str">
        <f t="shared" si="1541"/>
        <v>816</v>
      </c>
      <c r="L8638">
        <v>304</v>
      </c>
    </row>
    <row r="8639" spans="1:12" x14ac:dyDescent="0.25">
      <c r="A8639" t="str">
        <f t="shared" si="1537"/>
        <v>89301000</v>
      </c>
      <c r="B8639" t="str">
        <f t="shared" si="1538"/>
        <v>72100000</v>
      </c>
      <c r="C8639" t="str">
        <f t="shared" si="1539"/>
        <v>72100632</v>
      </c>
      <c r="D8639">
        <v>89301091</v>
      </c>
      <c r="E8639" t="str">
        <f>"0255205720"</f>
        <v>0255205720</v>
      </c>
      <c r="F8639" s="1">
        <v>44960</v>
      </c>
      <c r="G8639" t="str">
        <f t="shared" si="1542"/>
        <v>94297</v>
      </c>
      <c r="H8639">
        <v>1</v>
      </c>
      <c r="I8639">
        <v>304</v>
      </c>
      <c r="J8639">
        <v>0</v>
      </c>
      <c r="K8639" t="str">
        <f t="shared" si="1541"/>
        <v>816</v>
      </c>
      <c r="L8639">
        <v>304</v>
      </c>
    </row>
    <row r="8640" spans="1:12" x14ac:dyDescent="0.25">
      <c r="A8640" t="str">
        <f t="shared" si="1537"/>
        <v>89301000</v>
      </c>
      <c r="B8640" t="str">
        <f t="shared" si="1538"/>
        <v>72100000</v>
      </c>
      <c r="C8640" t="str">
        <f t="shared" si="1539"/>
        <v>72100632</v>
      </c>
      <c r="D8640">
        <v>89301091</v>
      </c>
      <c r="E8640" t="str">
        <f>"2301300100"</f>
        <v>2301300100</v>
      </c>
      <c r="F8640" s="1">
        <v>44963</v>
      </c>
      <c r="G8640" t="str">
        <f t="shared" si="1542"/>
        <v>94297</v>
      </c>
      <c r="H8640">
        <v>1</v>
      </c>
      <c r="I8640">
        <v>304</v>
      </c>
      <c r="J8640">
        <v>0</v>
      </c>
      <c r="K8640" t="str">
        <f t="shared" si="1541"/>
        <v>816</v>
      </c>
      <c r="L8640">
        <v>304</v>
      </c>
    </row>
    <row r="8641" spans="1:12" x14ac:dyDescent="0.25">
      <c r="A8641" t="str">
        <f t="shared" si="1537"/>
        <v>89301000</v>
      </c>
      <c r="B8641" t="str">
        <f t="shared" si="1538"/>
        <v>72100000</v>
      </c>
      <c r="C8641" t="str">
        <f t="shared" si="1539"/>
        <v>72100632</v>
      </c>
      <c r="D8641">
        <v>89301091</v>
      </c>
      <c r="E8641" t="str">
        <f>"2351300589"</f>
        <v>2351300589</v>
      </c>
      <c r="F8641" s="1">
        <v>44963</v>
      </c>
      <c r="G8641" t="str">
        <f t="shared" si="1542"/>
        <v>94297</v>
      </c>
      <c r="H8641">
        <v>1</v>
      </c>
      <c r="I8641">
        <v>304</v>
      </c>
      <c r="J8641">
        <v>0</v>
      </c>
      <c r="K8641" t="str">
        <f t="shared" si="1541"/>
        <v>816</v>
      </c>
      <c r="L8641">
        <v>304</v>
      </c>
    </row>
    <row r="8642" spans="1:12" x14ac:dyDescent="0.25">
      <c r="A8642" t="str">
        <f t="shared" ref="A8642:A8705" si="1543">"89301000"</f>
        <v>89301000</v>
      </c>
      <c r="B8642" t="str">
        <f t="shared" si="1538"/>
        <v>72100000</v>
      </c>
      <c r="C8642" t="str">
        <f t="shared" si="1539"/>
        <v>72100632</v>
      </c>
      <c r="D8642">
        <v>89301091</v>
      </c>
      <c r="E8642" t="str">
        <f>"2301300529"</f>
        <v>2301300529</v>
      </c>
      <c r="F8642" s="1">
        <v>44963</v>
      </c>
      <c r="G8642" t="str">
        <f t="shared" si="1542"/>
        <v>94297</v>
      </c>
      <c r="H8642">
        <v>1</v>
      </c>
      <c r="I8642">
        <v>304</v>
      </c>
      <c r="J8642">
        <v>0</v>
      </c>
      <c r="K8642" t="str">
        <f t="shared" si="1541"/>
        <v>816</v>
      </c>
      <c r="L8642">
        <v>304</v>
      </c>
    </row>
    <row r="8643" spans="1:12" x14ac:dyDescent="0.25">
      <c r="A8643" t="str">
        <f t="shared" si="1543"/>
        <v>89301000</v>
      </c>
      <c r="B8643" t="str">
        <f t="shared" si="1538"/>
        <v>72100000</v>
      </c>
      <c r="C8643" t="str">
        <f t="shared" si="1539"/>
        <v>72100632</v>
      </c>
      <c r="D8643">
        <v>89301091</v>
      </c>
      <c r="E8643" t="str">
        <f>"2301300540"</f>
        <v>2301300540</v>
      </c>
      <c r="F8643" s="1">
        <v>44963</v>
      </c>
      <c r="G8643" t="str">
        <f t="shared" si="1542"/>
        <v>94297</v>
      </c>
      <c r="H8643">
        <v>1</v>
      </c>
      <c r="I8643">
        <v>304</v>
      </c>
      <c r="J8643">
        <v>0</v>
      </c>
      <c r="K8643" t="str">
        <f t="shared" si="1541"/>
        <v>816</v>
      </c>
      <c r="L8643">
        <v>304</v>
      </c>
    </row>
    <row r="8644" spans="1:12" x14ac:dyDescent="0.25">
      <c r="A8644" t="str">
        <f t="shared" si="1543"/>
        <v>89301000</v>
      </c>
      <c r="B8644" t="str">
        <f t="shared" si="1538"/>
        <v>72100000</v>
      </c>
      <c r="C8644" t="str">
        <f t="shared" si="1539"/>
        <v>72100632</v>
      </c>
      <c r="D8644">
        <v>89301091</v>
      </c>
      <c r="E8644" t="str">
        <f>"2301300551"</f>
        <v>2301300551</v>
      </c>
      <c r="F8644" s="1">
        <v>44963</v>
      </c>
      <c r="G8644" t="str">
        <f t="shared" si="1542"/>
        <v>94297</v>
      </c>
      <c r="H8644">
        <v>1</v>
      </c>
      <c r="I8644">
        <v>304</v>
      </c>
      <c r="J8644">
        <v>0</v>
      </c>
      <c r="K8644" t="str">
        <f t="shared" si="1541"/>
        <v>816</v>
      </c>
      <c r="L8644">
        <v>304</v>
      </c>
    </row>
    <row r="8645" spans="1:12" x14ac:dyDescent="0.25">
      <c r="A8645" t="str">
        <f t="shared" si="1543"/>
        <v>89301000</v>
      </c>
      <c r="B8645" t="str">
        <f t="shared" ref="B8645:B8708" si="1544">"72100000"</f>
        <v>72100000</v>
      </c>
      <c r="C8645" t="str">
        <f t="shared" ref="C8645:C8708" si="1545">"72100632"</f>
        <v>72100632</v>
      </c>
      <c r="D8645">
        <v>89301091</v>
      </c>
      <c r="E8645" t="str">
        <f>"2301300562"</f>
        <v>2301300562</v>
      </c>
      <c r="F8645" s="1">
        <v>44964</v>
      </c>
      <c r="G8645" t="str">
        <f t="shared" ref="G8645:G8679" si="1546">"94297"</f>
        <v>94297</v>
      </c>
      <c r="H8645">
        <v>1</v>
      </c>
      <c r="I8645">
        <v>304</v>
      </c>
      <c r="J8645">
        <v>0</v>
      </c>
      <c r="K8645" t="str">
        <f t="shared" ref="K8645:K8708" si="1547">"816"</f>
        <v>816</v>
      </c>
      <c r="L8645">
        <v>304</v>
      </c>
    </row>
    <row r="8646" spans="1:12" x14ac:dyDescent="0.25">
      <c r="A8646" t="str">
        <f t="shared" si="1543"/>
        <v>89301000</v>
      </c>
      <c r="B8646" t="str">
        <f t="shared" si="1544"/>
        <v>72100000</v>
      </c>
      <c r="C8646" t="str">
        <f t="shared" si="1545"/>
        <v>72100632</v>
      </c>
      <c r="D8646">
        <v>89301091</v>
      </c>
      <c r="E8646" t="str">
        <f>"2301310462"</f>
        <v>2301310462</v>
      </c>
      <c r="F8646" s="1">
        <v>44964</v>
      </c>
      <c r="G8646" t="str">
        <f t="shared" si="1546"/>
        <v>94297</v>
      </c>
      <c r="H8646">
        <v>1</v>
      </c>
      <c r="I8646">
        <v>304</v>
      </c>
      <c r="J8646">
        <v>0</v>
      </c>
      <c r="K8646" t="str">
        <f t="shared" si="1547"/>
        <v>816</v>
      </c>
      <c r="L8646">
        <v>304</v>
      </c>
    </row>
    <row r="8647" spans="1:12" x14ac:dyDescent="0.25">
      <c r="A8647" t="str">
        <f t="shared" si="1543"/>
        <v>89301000</v>
      </c>
      <c r="B8647" t="str">
        <f t="shared" si="1544"/>
        <v>72100000</v>
      </c>
      <c r="C8647" t="str">
        <f t="shared" si="1545"/>
        <v>72100632</v>
      </c>
      <c r="D8647">
        <v>89301091</v>
      </c>
      <c r="E8647" t="str">
        <f>"2301310473"</f>
        <v>2301310473</v>
      </c>
      <c r="F8647" s="1">
        <v>44964</v>
      </c>
      <c r="G8647" t="str">
        <f t="shared" si="1546"/>
        <v>94297</v>
      </c>
      <c r="H8647">
        <v>1</v>
      </c>
      <c r="I8647">
        <v>304</v>
      </c>
      <c r="J8647">
        <v>0</v>
      </c>
      <c r="K8647" t="str">
        <f t="shared" si="1547"/>
        <v>816</v>
      </c>
      <c r="L8647">
        <v>304</v>
      </c>
    </row>
    <row r="8648" spans="1:12" x14ac:dyDescent="0.25">
      <c r="A8648" t="str">
        <f t="shared" si="1543"/>
        <v>89301000</v>
      </c>
      <c r="B8648" t="str">
        <f t="shared" si="1544"/>
        <v>72100000</v>
      </c>
      <c r="C8648" t="str">
        <f t="shared" si="1545"/>
        <v>72100632</v>
      </c>
      <c r="D8648">
        <v>89301091</v>
      </c>
      <c r="E8648" t="str">
        <f>"2302010491"</f>
        <v>2302010491</v>
      </c>
      <c r="F8648" s="1">
        <v>44965</v>
      </c>
      <c r="G8648" t="str">
        <f t="shared" si="1546"/>
        <v>94297</v>
      </c>
      <c r="H8648">
        <v>1</v>
      </c>
      <c r="I8648">
        <v>304</v>
      </c>
      <c r="J8648">
        <v>0</v>
      </c>
      <c r="K8648" t="str">
        <f t="shared" si="1547"/>
        <v>816</v>
      </c>
      <c r="L8648">
        <v>304</v>
      </c>
    </row>
    <row r="8649" spans="1:12" x14ac:dyDescent="0.25">
      <c r="A8649" t="str">
        <f t="shared" si="1543"/>
        <v>89301000</v>
      </c>
      <c r="B8649" t="str">
        <f t="shared" si="1544"/>
        <v>72100000</v>
      </c>
      <c r="C8649" t="str">
        <f t="shared" si="1545"/>
        <v>72100632</v>
      </c>
      <c r="D8649">
        <v>89301091</v>
      </c>
      <c r="E8649" t="str">
        <f>"2352010397"</f>
        <v>2352010397</v>
      </c>
      <c r="F8649" s="1">
        <v>44965</v>
      </c>
      <c r="G8649" t="str">
        <f t="shared" si="1546"/>
        <v>94297</v>
      </c>
      <c r="H8649">
        <v>1</v>
      </c>
      <c r="I8649">
        <v>304</v>
      </c>
      <c r="J8649">
        <v>0</v>
      </c>
      <c r="K8649" t="str">
        <f t="shared" si="1547"/>
        <v>816</v>
      </c>
      <c r="L8649">
        <v>304</v>
      </c>
    </row>
    <row r="8650" spans="1:12" x14ac:dyDescent="0.25">
      <c r="A8650" t="str">
        <f t="shared" si="1543"/>
        <v>89301000</v>
      </c>
      <c r="B8650" t="str">
        <f t="shared" si="1544"/>
        <v>72100000</v>
      </c>
      <c r="C8650" t="str">
        <f t="shared" si="1545"/>
        <v>72100632</v>
      </c>
      <c r="D8650">
        <v>89301091</v>
      </c>
      <c r="E8650" t="str">
        <f>"2352020077"</f>
        <v>2352020077</v>
      </c>
      <c r="F8650" s="1">
        <v>44965</v>
      </c>
      <c r="G8650" t="str">
        <f t="shared" si="1546"/>
        <v>94297</v>
      </c>
      <c r="H8650">
        <v>1</v>
      </c>
      <c r="I8650">
        <v>304</v>
      </c>
      <c r="J8650">
        <v>0</v>
      </c>
      <c r="K8650" t="str">
        <f t="shared" si="1547"/>
        <v>816</v>
      </c>
      <c r="L8650">
        <v>304</v>
      </c>
    </row>
    <row r="8651" spans="1:12" x14ac:dyDescent="0.25">
      <c r="A8651" t="str">
        <f t="shared" si="1543"/>
        <v>89301000</v>
      </c>
      <c r="B8651" t="str">
        <f t="shared" si="1544"/>
        <v>72100000</v>
      </c>
      <c r="C8651" t="str">
        <f t="shared" si="1545"/>
        <v>72100632</v>
      </c>
      <c r="D8651">
        <v>89301091</v>
      </c>
      <c r="E8651" t="str">
        <f>"9352016157"</f>
        <v>9352016157</v>
      </c>
      <c r="F8651" s="1">
        <v>44966</v>
      </c>
      <c r="G8651" t="str">
        <f t="shared" si="1546"/>
        <v>94297</v>
      </c>
      <c r="H8651">
        <v>1</v>
      </c>
      <c r="I8651">
        <v>304</v>
      </c>
      <c r="J8651">
        <v>0</v>
      </c>
      <c r="K8651" t="str">
        <f t="shared" si="1547"/>
        <v>816</v>
      </c>
      <c r="L8651">
        <v>304</v>
      </c>
    </row>
    <row r="8652" spans="1:12" x14ac:dyDescent="0.25">
      <c r="A8652" t="str">
        <f t="shared" si="1543"/>
        <v>89301000</v>
      </c>
      <c r="B8652" t="str">
        <f t="shared" si="1544"/>
        <v>72100000</v>
      </c>
      <c r="C8652" t="str">
        <f t="shared" si="1545"/>
        <v>72100632</v>
      </c>
      <c r="D8652">
        <v>89301091</v>
      </c>
      <c r="E8652" t="str">
        <f>"9154265758"</f>
        <v>9154265758</v>
      </c>
      <c r="F8652" s="1">
        <v>44966</v>
      </c>
      <c r="G8652" t="str">
        <f t="shared" si="1546"/>
        <v>94297</v>
      </c>
      <c r="H8652">
        <v>1</v>
      </c>
      <c r="I8652">
        <v>304</v>
      </c>
      <c r="J8652">
        <v>0</v>
      </c>
      <c r="K8652" t="str">
        <f t="shared" si="1547"/>
        <v>816</v>
      </c>
      <c r="L8652">
        <v>304</v>
      </c>
    </row>
    <row r="8653" spans="1:12" x14ac:dyDescent="0.25">
      <c r="A8653" t="str">
        <f t="shared" si="1543"/>
        <v>89301000</v>
      </c>
      <c r="B8653" t="str">
        <f t="shared" si="1544"/>
        <v>72100000</v>
      </c>
      <c r="C8653" t="str">
        <f t="shared" si="1545"/>
        <v>72100632</v>
      </c>
      <c r="D8653">
        <v>89301091</v>
      </c>
      <c r="E8653" t="str">
        <f>"9852225372"</f>
        <v>9852225372</v>
      </c>
      <c r="F8653" s="1">
        <v>44966</v>
      </c>
      <c r="G8653" t="str">
        <f t="shared" si="1546"/>
        <v>94297</v>
      </c>
      <c r="H8653">
        <v>1</v>
      </c>
      <c r="I8653">
        <v>304</v>
      </c>
      <c r="J8653">
        <v>0</v>
      </c>
      <c r="K8653" t="str">
        <f t="shared" si="1547"/>
        <v>816</v>
      </c>
      <c r="L8653">
        <v>304</v>
      </c>
    </row>
    <row r="8654" spans="1:12" x14ac:dyDescent="0.25">
      <c r="A8654" t="str">
        <f t="shared" si="1543"/>
        <v>89301000</v>
      </c>
      <c r="B8654" t="str">
        <f t="shared" si="1544"/>
        <v>72100000</v>
      </c>
      <c r="C8654" t="str">
        <f t="shared" si="1545"/>
        <v>72100632</v>
      </c>
      <c r="D8654">
        <v>89301091</v>
      </c>
      <c r="E8654" t="str">
        <f>"2301310275"</f>
        <v>2301310275</v>
      </c>
      <c r="F8654" s="1">
        <v>44967</v>
      </c>
      <c r="G8654" t="str">
        <f t="shared" si="1546"/>
        <v>94297</v>
      </c>
      <c r="H8654">
        <v>1</v>
      </c>
      <c r="I8654">
        <v>304</v>
      </c>
      <c r="J8654">
        <v>0</v>
      </c>
      <c r="K8654" t="str">
        <f t="shared" si="1547"/>
        <v>816</v>
      </c>
      <c r="L8654">
        <v>304</v>
      </c>
    </row>
    <row r="8655" spans="1:12" x14ac:dyDescent="0.25">
      <c r="A8655" t="str">
        <f t="shared" si="1543"/>
        <v>89301000</v>
      </c>
      <c r="B8655" t="str">
        <f t="shared" si="1544"/>
        <v>72100000</v>
      </c>
      <c r="C8655" t="str">
        <f t="shared" si="1545"/>
        <v>72100632</v>
      </c>
      <c r="D8655">
        <v>89301091</v>
      </c>
      <c r="E8655" t="str">
        <f>"2352060073"</f>
        <v>2352060073</v>
      </c>
      <c r="F8655" s="1">
        <v>44967</v>
      </c>
      <c r="G8655" t="str">
        <f t="shared" si="1546"/>
        <v>94297</v>
      </c>
      <c r="H8655">
        <v>1</v>
      </c>
      <c r="I8655">
        <v>304</v>
      </c>
      <c r="J8655">
        <v>0</v>
      </c>
      <c r="K8655" t="str">
        <f t="shared" si="1547"/>
        <v>816</v>
      </c>
      <c r="L8655">
        <v>304</v>
      </c>
    </row>
    <row r="8656" spans="1:12" x14ac:dyDescent="0.25">
      <c r="A8656" t="str">
        <f t="shared" si="1543"/>
        <v>89301000</v>
      </c>
      <c r="B8656" t="str">
        <f t="shared" si="1544"/>
        <v>72100000</v>
      </c>
      <c r="C8656" t="str">
        <f t="shared" si="1545"/>
        <v>72100632</v>
      </c>
      <c r="D8656">
        <v>89301091</v>
      </c>
      <c r="E8656" t="str">
        <f>"2352060590"</f>
        <v>2352060590</v>
      </c>
      <c r="F8656" s="1">
        <v>44970</v>
      </c>
      <c r="G8656" t="str">
        <f t="shared" si="1546"/>
        <v>94297</v>
      </c>
      <c r="H8656">
        <v>1</v>
      </c>
      <c r="I8656">
        <v>304</v>
      </c>
      <c r="J8656">
        <v>0</v>
      </c>
      <c r="K8656" t="str">
        <f t="shared" si="1547"/>
        <v>816</v>
      </c>
      <c r="L8656">
        <v>304</v>
      </c>
    </row>
    <row r="8657" spans="1:12" x14ac:dyDescent="0.25">
      <c r="A8657" t="str">
        <f t="shared" si="1543"/>
        <v>89301000</v>
      </c>
      <c r="B8657" t="str">
        <f t="shared" si="1544"/>
        <v>72100000</v>
      </c>
      <c r="C8657" t="str">
        <f t="shared" si="1545"/>
        <v>72100632</v>
      </c>
      <c r="D8657">
        <v>89301091</v>
      </c>
      <c r="E8657" t="str">
        <f>"2302070540"</f>
        <v>2302070540</v>
      </c>
      <c r="F8657" s="1">
        <v>44971</v>
      </c>
      <c r="G8657" t="str">
        <f t="shared" si="1546"/>
        <v>94297</v>
      </c>
      <c r="H8657">
        <v>1</v>
      </c>
      <c r="I8657">
        <v>304</v>
      </c>
      <c r="J8657">
        <v>0</v>
      </c>
      <c r="K8657" t="str">
        <f t="shared" si="1547"/>
        <v>816</v>
      </c>
      <c r="L8657">
        <v>304</v>
      </c>
    </row>
    <row r="8658" spans="1:12" x14ac:dyDescent="0.25">
      <c r="A8658" t="str">
        <f t="shared" si="1543"/>
        <v>89301000</v>
      </c>
      <c r="B8658" t="str">
        <f t="shared" si="1544"/>
        <v>72100000</v>
      </c>
      <c r="C8658" t="str">
        <f t="shared" si="1545"/>
        <v>72100632</v>
      </c>
      <c r="D8658">
        <v>89301091</v>
      </c>
      <c r="E8658" t="str">
        <f>"2302070551"</f>
        <v>2302070551</v>
      </c>
      <c r="F8658" s="1">
        <v>44971</v>
      </c>
      <c r="G8658" t="str">
        <f t="shared" si="1546"/>
        <v>94297</v>
      </c>
      <c r="H8658">
        <v>1</v>
      </c>
      <c r="I8658">
        <v>304</v>
      </c>
      <c r="J8658">
        <v>0</v>
      </c>
      <c r="K8658" t="str">
        <f t="shared" si="1547"/>
        <v>816</v>
      </c>
      <c r="L8658">
        <v>304</v>
      </c>
    </row>
    <row r="8659" spans="1:12" x14ac:dyDescent="0.25">
      <c r="A8659" t="str">
        <f t="shared" si="1543"/>
        <v>89301000</v>
      </c>
      <c r="B8659" t="str">
        <f t="shared" si="1544"/>
        <v>72100000</v>
      </c>
      <c r="C8659" t="str">
        <f t="shared" si="1545"/>
        <v>72100632</v>
      </c>
      <c r="D8659">
        <v>89301091</v>
      </c>
      <c r="E8659" t="str">
        <f>"2302080066"</f>
        <v>2302080066</v>
      </c>
      <c r="F8659" s="1">
        <v>44971</v>
      </c>
      <c r="G8659" t="str">
        <f t="shared" si="1546"/>
        <v>94297</v>
      </c>
      <c r="H8659">
        <v>1</v>
      </c>
      <c r="I8659">
        <v>304</v>
      </c>
      <c r="J8659">
        <v>0</v>
      </c>
      <c r="K8659" t="str">
        <f t="shared" si="1547"/>
        <v>816</v>
      </c>
      <c r="L8659">
        <v>304</v>
      </c>
    </row>
    <row r="8660" spans="1:12" x14ac:dyDescent="0.25">
      <c r="A8660" t="str">
        <f t="shared" si="1543"/>
        <v>89301000</v>
      </c>
      <c r="B8660" t="str">
        <f t="shared" si="1544"/>
        <v>72100000</v>
      </c>
      <c r="C8660" t="str">
        <f t="shared" si="1545"/>
        <v>72100632</v>
      </c>
      <c r="D8660">
        <v>89301091</v>
      </c>
      <c r="E8660" t="str">
        <f>"2352080709"</f>
        <v>2352080709</v>
      </c>
      <c r="F8660" s="1">
        <v>44972</v>
      </c>
      <c r="G8660" t="str">
        <f t="shared" si="1546"/>
        <v>94297</v>
      </c>
      <c r="H8660">
        <v>1</v>
      </c>
      <c r="I8660">
        <v>304</v>
      </c>
      <c r="J8660">
        <v>0</v>
      </c>
      <c r="K8660" t="str">
        <f t="shared" si="1547"/>
        <v>816</v>
      </c>
      <c r="L8660">
        <v>304</v>
      </c>
    </row>
    <row r="8661" spans="1:12" x14ac:dyDescent="0.25">
      <c r="A8661" t="str">
        <f t="shared" si="1543"/>
        <v>89301000</v>
      </c>
      <c r="B8661" t="str">
        <f t="shared" si="1544"/>
        <v>72100000</v>
      </c>
      <c r="C8661" t="str">
        <f t="shared" si="1545"/>
        <v>72100632</v>
      </c>
      <c r="D8661">
        <v>89301091</v>
      </c>
      <c r="E8661" t="str">
        <f>"2302090362"</f>
        <v>2302090362</v>
      </c>
      <c r="F8661" s="1">
        <v>44972</v>
      </c>
      <c r="G8661" t="str">
        <f t="shared" si="1546"/>
        <v>94297</v>
      </c>
      <c r="H8661">
        <v>1</v>
      </c>
      <c r="I8661">
        <v>304</v>
      </c>
      <c r="J8661">
        <v>0</v>
      </c>
      <c r="K8661" t="str">
        <f t="shared" si="1547"/>
        <v>816</v>
      </c>
      <c r="L8661">
        <v>304</v>
      </c>
    </row>
    <row r="8662" spans="1:12" x14ac:dyDescent="0.25">
      <c r="A8662" t="str">
        <f t="shared" si="1543"/>
        <v>89301000</v>
      </c>
      <c r="B8662" t="str">
        <f t="shared" si="1544"/>
        <v>72100000</v>
      </c>
      <c r="C8662" t="str">
        <f t="shared" si="1545"/>
        <v>72100632</v>
      </c>
      <c r="D8662">
        <v>89301091</v>
      </c>
      <c r="E8662" t="str">
        <f>"2302100064"</f>
        <v>2302100064</v>
      </c>
      <c r="F8662" s="1">
        <v>44972</v>
      </c>
      <c r="G8662" t="str">
        <f t="shared" si="1546"/>
        <v>94297</v>
      </c>
      <c r="H8662">
        <v>1</v>
      </c>
      <c r="I8662">
        <v>304</v>
      </c>
      <c r="J8662">
        <v>0</v>
      </c>
      <c r="K8662" t="str">
        <f t="shared" si="1547"/>
        <v>816</v>
      </c>
      <c r="L8662">
        <v>304</v>
      </c>
    </row>
    <row r="8663" spans="1:12" x14ac:dyDescent="0.25">
      <c r="A8663" t="str">
        <f t="shared" si="1543"/>
        <v>89301000</v>
      </c>
      <c r="B8663" t="str">
        <f t="shared" si="1544"/>
        <v>72100000</v>
      </c>
      <c r="C8663" t="str">
        <f t="shared" si="1545"/>
        <v>72100632</v>
      </c>
      <c r="D8663">
        <v>89301091</v>
      </c>
      <c r="E8663" t="str">
        <f>"8759026232"</f>
        <v>8759026232</v>
      </c>
      <c r="F8663" s="1">
        <v>44973</v>
      </c>
      <c r="G8663" t="str">
        <f t="shared" si="1546"/>
        <v>94297</v>
      </c>
      <c r="H8663">
        <v>1</v>
      </c>
      <c r="I8663">
        <v>304</v>
      </c>
      <c r="J8663">
        <v>0</v>
      </c>
      <c r="K8663" t="str">
        <f t="shared" si="1547"/>
        <v>816</v>
      </c>
      <c r="L8663">
        <v>304</v>
      </c>
    </row>
    <row r="8664" spans="1:12" x14ac:dyDescent="0.25">
      <c r="A8664" t="str">
        <f t="shared" si="1543"/>
        <v>89301000</v>
      </c>
      <c r="B8664" t="str">
        <f t="shared" si="1544"/>
        <v>72100000</v>
      </c>
      <c r="C8664" t="str">
        <f t="shared" si="1545"/>
        <v>72100632</v>
      </c>
      <c r="D8664">
        <v>89301091</v>
      </c>
      <c r="E8664" t="str">
        <f>"2352120331"</f>
        <v>2352120331</v>
      </c>
      <c r="F8664" s="1">
        <v>44974</v>
      </c>
      <c r="G8664" t="str">
        <f t="shared" si="1546"/>
        <v>94297</v>
      </c>
      <c r="H8664">
        <v>1</v>
      </c>
      <c r="I8664">
        <v>304</v>
      </c>
      <c r="J8664">
        <v>0</v>
      </c>
      <c r="K8664" t="str">
        <f t="shared" si="1547"/>
        <v>816</v>
      </c>
      <c r="L8664">
        <v>304</v>
      </c>
    </row>
    <row r="8665" spans="1:12" x14ac:dyDescent="0.25">
      <c r="A8665" t="str">
        <f t="shared" si="1543"/>
        <v>89301000</v>
      </c>
      <c r="B8665" t="str">
        <f t="shared" si="1544"/>
        <v>72100000</v>
      </c>
      <c r="C8665" t="str">
        <f t="shared" si="1545"/>
        <v>72100632</v>
      </c>
      <c r="D8665">
        <v>89301091</v>
      </c>
      <c r="E8665" t="str">
        <f>"2302130094"</f>
        <v>2302130094</v>
      </c>
      <c r="F8665" s="1">
        <v>44977</v>
      </c>
      <c r="G8665" t="str">
        <f t="shared" si="1546"/>
        <v>94297</v>
      </c>
      <c r="H8665">
        <v>1</v>
      </c>
      <c r="I8665">
        <v>304</v>
      </c>
      <c r="J8665">
        <v>0</v>
      </c>
      <c r="K8665" t="str">
        <f t="shared" si="1547"/>
        <v>816</v>
      </c>
      <c r="L8665">
        <v>304</v>
      </c>
    </row>
    <row r="8666" spans="1:12" x14ac:dyDescent="0.25">
      <c r="A8666" t="str">
        <f t="shared" si="1543"/>
        <v>89301000</v>
      </c>
      <c r="B8666" t="str">
        <f t="shared" si="1544"/>
        <v>72100000</v>
      </c>
      <c r="C8666" t="str">
        <f t="shared" si="1545"/>
        <v>72100632</v>
      </c>
      <c r="D8666">
        <v>89301091</v>
      </c>
      <c r="E8666" t="str">
        <f>"8960135723"</f>
        <v>8960135723</v>
      </c>
      <c r="F8666" s="1">
        <v>44978</v>
      </c>
      <c r="G8666" t="str">
        <f t="shared" si="1546"/>
        <v>94297</v>
      </c>
      <c r="H8666">
        <v>1</v>
      </c>
      <c r="I8666">
        <v>304</v>
      </c>
      <c r="J8666">
        <v>0</v>
      </c>
      <c r="K8666" t="str">
        <f t="shared" si="1547"/>
        <v>816</v>
      </c>
      <c r="L8666">
        <v>304</v>
      </c>
    </row>
    <row r="8667" spans="1:12" x14ac:dyDescent="0.25">
      <c r="A8667" t="str">
        <f t="shared" si="1543"/>
        <v>89301000</v>
      </c>
      <c r="B8667" t="str">
        <f t="shared" si="1544"/>
        <v>72100000</v>
      </c>
      <c r="C8667" t="str">
        <f t="shared" si="1545"/>
        <v>72100632</v>
      </c>
      <c r="D8667">
        <v>89301091</v>
      </c>
      <c r="E8667" t="str">
        <f>"2302140544"</f>
        <v>2302140544</v>
      </c>
      <c r="F8667" s="1">
        <v>44978</v>
      </c>
      <c r="G8667" t="str">
        <f t="shared" si="1546"/>
        <v>94297</v>
      </c>
      <c r="H8667">
        <v>1</v>
      </c>
      <c r="I8667">
        <v>304</v>
      </c>
      <c r="J8667">
        <v>0</v>
      </c>
      <c r="K8667" t="str">
        <f t="shared" si="1547"/>
        <v>816</v>
      </c>
      <c r="L8667">
        <v>304</v>
      </c>
    </row>
    <row r="8668" spans="1:12" x14ac:dyDescent="0.25">
      <c r="A8668" t="str">
        <f t="shared" si="1543"/>
        <v>89301000</v>
      </c>
      <c r="B8668" t="str">
        <f t="shared" si="1544"/>
        <v>72100000</v>
      </c>
      <c r="C8668" t="str">
        <f t="shared" si="1545"/>
        <v>72100632</v>
      </c>
      <c r="D8668">
        <v>89301091</v>
      </c>
      <c r="E8668" t="str">
        <f>"2302160674"</f>
        <v>2302160674</v>
      </c>
      <c r="F8668" s="1">
        <v>44979</v>
      </c>
      <c r="G8668" t="str">
        <f t="shared" si="1546"/>
        <v>94297</v>
      </c>
      <c r="H8668">
        <v>1</v>
      </c>
      <c r="I8668">
        <v>304</v>
      </c>
      <c r="J8668">
        <v>0</v>
      </c>
      <c r="K8668" t="str">
        <f t="shared" si="1547"/>
        <v>816</v>
      </c>
      <c r="L8668">
        <v>304</v>
      </c>
    </row>
    <row r="8669" spans="1:12" x14ac:dyDescent="0.25">
      <c r="A8669" t="str">
        <f t="shared" si="1543"/>
        <v>89301000</v>
      </c>
      <c r="B8669" t="str">
        <f t="shared" si="1544"/>
        <v>72100000</v>
      </c>
      <c r="C8669" t="str">
        <f t="shared" si="1545"/>
        <v>72100632</v>
      </c>
      <c r="D8669">
        <v>89301091</v>
      </c>
      <c r="E8669" t="str">
        <f>"9556045719"</f>
        <v>9556045719</v>
      </c>
      <c r="F8669" s="1">
        <v>44979</v>
      </c>
      <c r="G8669" t="str">
        <f t="shared" si="1546"/>
        <v>94297</v>
      </c>
      <c r="H8669">
        <v>1</v>
      </c>
      <c r="I8669">
        <v>304</v>
      </c>
      <c r="J8669">
        <v>0</v>
      </c>
      <c r="K8669" t="str">
        <f t="shared" si="1547"/>
        <v>816</v>
      </c>
      <c r="L8669">
        <v>304</v>
      </c>
    </row>
    <row r="8670" spans="1:12" x14ac:dyDescent="0.25">
      <c r="A8670" t="str">
        <f t="shared" si="1543"/>
        <v>89301000</v>
      </c>
      <c r="B8670" t="str">
        <f t="shared" si="1544"/>
        <v>72100000</v>
      </c>
      <c r="C8670" t="str">
        <f t="shared" si="1545"/>
        <v>72100632</v>
      </c>
      <c r="D8670">
        <v>89301091</v>
      </c>
      <c r="E8670" t="str">
        <f>"9556045719"</f>
        <v>9556045719</v>
      </c>
      <c r="F8670" s="1">
        <v>44979</v>
      </c>
      <c r="G8670" t="str">
        <f t="shared" si="1546"/>
        <v>94297</v>
      </c>
      <c r="H8670">
        <v>1</v>
      </c>
      <c r="I8670">
        <v>304</v>
      </c>
      <c r="J8670">
        <v>0</v>
      </c>
      <c r="K8670" t="str">
        <f t="shared" si="1547"/>
        <v>816</v>
      </c>
      <c r="L8670">
        <v>304</v>
      </c>
    </row>
    <row r="8671" spans="1:12" x14ac:dyDescent="0.25">
      <c r="A8671" t="str">
        <f t="shared" si="1543"/>
        <v>89301000</v>
      </c>
      <c r="B8671" t="str">
        <f t="shared" si="1544"/>
        <v>72100000</v>
      </c>
      <c r="C8671" t="str">
        <f t="shared" si="1545"/>
        <v>72100632</v>
      </c>
      <c r="D8671">
        <v>89301091</v>
      </c>
      <c r="E8671" t="str">
        <f>"8358314481"</f>
        <v>8358314481</v>
      </c>
      <c r="F8671" s="1">
        <v>44980</v>
      </c>
      <c r="G8671" t="str">
        <f t="shared" si="1546"/>
        <v>94297</v>
      </c>
      <c r="H8671">
        <v>1</v>
      </c>
      <c r="I8671">
        <v>304</v>
      </c>
      <c r="J8671">
        <v>0</v>
      </c>
      <c r="K8671" t="str">
        <f t="shared" si="1547"/>
        <v>816</v>
      </c>
      <c r="L8671">
        <v>304</v>
      </c>
    </row>
    <row r="8672" spans="1:12" x14ac:dyDescent="0.25">
      <c r="A8672" t="str">
        <f t="shared" si="1543"/>
        <v>89301000</v>
      </c>
      <c r="B8672" t="str">
        <f t="shared" si="1544"/>
        <v>72100000</v>
      </c>
      <c r="C8672" t="str">
        <f t="shared" si="1545"/>
        <v>72100632</v>
      </c>
      <c r="D8672">
        <v>89301091</v>
      </c>
      <c r="E8672" t="str">
        <f>"9951275719"</f>
        <v>9951275719</v>
      </c>
      <c r="F8672" s="1">
        <v>44980</v>
      </c>
      <c r="G8672" t="str">
        <f t="shared" si="1546"/>
        <v>94297</v>
      </c>
      <c r="H8672">
        <v>1</v>
      </c>
      <c r="I8672">
        <v>304</v>
      </c>
      <c r="J8672">
        <v>0</v>
      </c>
      <c r="K8672" t="str">
        <f t="shared" si="1547"/>
        <v>816</v>
      </c>
      <c r="L8672">
        <v>304</v>
      </c>
    </row>
    <row r="8673" spans="1:12" x14ac:dyDescent="0.25">
      <c r="A8673" t="str">
        <f t="shared" si="1543"/>
        <v>89301000</v>
      </c>
      <c r="B8673" t="str">
        <f t="shared" si="1544"/>
        <v>72100000</v>
      </c>
      <c r="C8673" t="str">
        <f t="shared" si="1545"/>
        <v>72100632</v>
      </c>
      <c r="D8673">
        <v>89301091</v>
      </c>
      <c r="E8673" t="str">
        <f>"2302190264"</f>
        <v>2302190264</v>
      </c>
      <c r="F8673" s="1">
        <v>44981</v>
      </c>
      <c r="G8673" t="str">
        <f t="shared" si="1546"/>
        <v>94297</v>
      </c>
      <c r="H8673">
        <v>1</v>
      </c>
      <c r="I8673">
        <v>304</v>
      </c>
      <c r="J8673">
        <v>0</v>
      </c>
      <c r="K8673" t="str">
        <f t="shared" si="1547"/>
        <v>816</v>
      </c>
      <c r="L8673">
        <v>304</v>
      </c>
    </row>
    <row r="8674" spans="1:12" x14ac:dyDescent="0.25">
      <c r="A8674" t="str">
        <f t="shared" si="1543"/>
        <v>89301000</v>
      </c>
      <c r="B8674" t="str">
        <f t="shared" si="1544"/>
        <v>72100000</v>
      </c>
      <c r="C8674" t="str">
        <f t="shared" si="1545"/>
        <v>72100632</v>
      </c>
      <c r="D8674">
        <v>89301091</v>
      </c>
      <c r="E8674" t="str">
        <f>"2352190335"</f>
        <v>2352190335</v>
      </c>
      <c r="F8674" s="1">
        <v>44981</v>
      </c>
      <c r="G8674" t="str">
        <f t="shared" si="1546"/>
        <v>94297</v>
      </c>
      <c r="H8674">
        <v>1</v>
      </c>
      <c r="I8674">
        <v>304</v>
      </c>
      <c r="J8674">
        <v>0</v>
      </c>
      <c r="K8674" t="str">
        <f t="shared" si="1547"/>
        <v>816</v>
      </c>
      <c r="L8674">
        <v>304</v>
      </c>
    </row>
    <row r="8675" spans="1:12" x14ac:dyDescent="0.25">
      <c r="A8675" t="str">
        <f t="shared" si="1543"/>
        <v>89301000</v>
      </c>
      <c r="B8675" t="str">
        <f t="shared" si="1544"/>
        <v>72100000</v>
      </c>
      <c r="C8675" t="str">
        <f t="shared" si="1545"/>
        <v>72100632</v>
      </c>
      <c r="D8675">
        <v>89301091</v>
      </c>
      <c r="E8675" t="str">
        <f>"2302190308"</f>
        <v>2302190308</v>
      </c>
      <c r="F8675" s="1">
        <v>44981</v>
      </c>
      <c r="G8675" t="str">
        <f t="shared" si="1546"/>
        <v>94297</v>
      </c>
      <c r="H8675">
        <v>1</v>
      </c>
      <c r="I8675">
        <v>304</v>
      </c>
      <c r="J8675">
        <v>0</v>
      </c>
      <c r="K8675" t="str">
        <f t="shared" si="1547"/>
        <v>816</v>
      </c>
      <c r="L8675">
        <v>304</v>
      </c>
    </row>
    <row r="8676" spans="1:12" x14ac:dyDescent="0.25">
      <c r="A8676" t="str">
        <f t="shared" si="1543"/>
        <v>89301000</v>
      </c>
      <c r="B8676" t="str">
        <f t="shared" si="1544"/>
        <v>72100000</v>
      </c>
      <c r="C8676" t="str">
        <f t="shared" si="1545"/>
        <v>72100632</v>
      </c>
      <c r="D8676">
        <v>89301091</v>
      </c>
      <c r="E8676" t="str">
        <f>"2302200692"</f>
        <v>2302200692</v>
      </c>
      <c r="F8676" s="1">
        <v>44984</v>
      </c>
      <c r="G8676" t="str">
        <f t="shared" si="1546"/>
        <v>94297</v>
      </c>
      <c r="H8676">
        <v>1</v>
      </c>
      <c r="I8676">
        <v>304</v>
      </c>
      <c r="J8676">
        <v>0</v>
      </c>
      <c r="K8676" t="str">
        <f t="shared" si="1547"/>
        <v>816</v>
      </c>
      <c r="L8676">
        <v>304</v>
      </c>
    </row>
    <row r="8677" spans="1:12" x14ac:dyDescent="0.25">
      <c r="A8677" t="str">
        <f t="shared" si="1543"/>
        <v>89301000</v>
      </c>
      <c r="B8677" t="str">
        <f t="shared" si="1544"/>
        <v>72100000</v>
      </c>
      <c r="C8677" t="str">
        <f t="shared" si="1545"/>
        <v>72100632</v>
      </c>
      <c r="D8677">
        <v>89301091</v>
      </c>
      <c r="E8677" t="str">
        <f>"2302210823"</f>
        <v>2302210823</v>
      </c>
      <c r="F8677" s="1">
        <v>44985</v>
      </c>
      <c r="G8677" t="str">
        <f t="shared" si="1546"/>
        <v>94297</v>
      </c>
      <c r="H8677">
        <v>1</v>
      </c>
      <c r="I8677">
        <v>304</v>
      </c>
      <c r="J8677">
        <v>0</v>
      </c>
      <c r="K8677" t="str">
        <f t="shared" si="1547"/>
        <v>816</v>
      </c>
      <c r="L8677">
        <v>304</v>
      </c>
    </row>
    <row r="8678" spans="1:12" x14ac:dyDescent="0.25">
      <c r="A8678" t="str">
        <f t="shared" si="1543"/>
        <v>89301000</v>
      </c>
      <c r="B8678" t="str">
        <f t="shared" si="1544"/>
        <v>72100000</v>
      </c>
      <c r="C8678" t="str">
        <f t="shared" si="1545"/>
        <v>72100632</v>
      </c>
      <c r="D8678">
        <v>89301091</v>
      </c>
      <c r="E8678" t="str">
        <f>"2352210564"</f>
        <v>2352210564</v>
      </c>
      <c r="F8678" s="1">
        <v>44985</v>
      </c>
      <c r="G8678" t="str">
        <f t="shared" si="1546"/>
        <v>94297</v>
      </c>
      <c r="H8678">
        <v>1</v>
      </c>
      <c r="I8678">
        <v>304</v>
      </c>
      <c r="J8678">
        <v>0</v>
      </c>
      <c r="K8678" t="str">
        <f t="shared" si="1547"/>
        <v>816</v>
      </c>
      <c r="L8678">
        <v>304</v>
      </c>
    </row>
    <row r="8679" spans="1:12" x14ac:dyDescent="0.25">
      <c r="A8679" t="str">
        <f t="shared" si="1543"/>
        <v>89301000</v>
      </c>
      <c r="B8679" t="str">
        <f t="shared" si="1544"/>
        <v>72100000</v>
      </c>
      <c r="C8679" t="str">
        <f t="shared" si="1545"/>
        <v>72100632</v>
      </c>
      <c r="D8679">
        <v>89301091</v>
      </c>
      <c r="E8679" t="str">
        <f>"2302210856"</f>
        <v>2302210856</v>
      </c>
      <c r="F8679" s="1">
        <v>44985</v>
      </c>
      <c r="G8679" t="str">
        <f t="shared" si="1546"/>
        <v>94297</v>
      </c>
      <c r="H8679">
        <v>1</v>
      </c>
      <c r="I8679">
        <v>304</v>
      </c>
      <c r="J8679">
        <v>0</v>
      </c>
      <c r="K8679" t="str">
        <f t="shared" si="1547"/>
        <v>816</v>
      </c>
      <c r="L8679">
        <v>304</v>
      </c>
    </row>
    <row r="8680" spans="1:12" x14ac:dyDescent="0.25">
      <c r="A8680" t="str">
        <f t="shared" si="1543"/>
        <v>89301000</v>
      </c>
      <c r="B8680" t="str">
        <f t="shared" si="1544"/>
        <v>72100000</v>
      </c>
      <c r="C8680" t="str">
        <f t="shared" si="1545"/>
        <v>72100632</v>
      </c>
      <c r="D8680">
        <v>89301282</v>
      </c>
      <c r="E8680" t="str">
        <f>"1605160282"</f>
        <v>1605160282</v>
      </c>
      <c r="F8680" s="1">
        <v>44992</v>
      </c>
      <c r="G8680" t="str">
        <f>"94982"</f>
        <v>94982</v>
      </c>
      <c r="H8680">
        <v>1</v>
      </c>
      <c r="I8680">
        <v>0</v>
      </c>
      <c r="J8680">
        <v>27500</v>
      </c>
      <c r="K8680" t="str">
        <f t="shared" si="1547"/>
        <v>816</v>
      </c>
      <c r="L8680">
        <v>27500</v>
      </c>
    </row>
    <row r="8681" spans="1:12" x14ac:dyDescent="0.25">
      <c r="A8681" t="str">
        <f t="shared" si="1543"/>
        <v>89301000</v>
      </c>
      <c r="B8681" t="str">
        <f t="shared" si="1544"/>
        <v>72100000</v>
      </c>
      <c r="C8681" t="str">
        <f t="shared" si="1545"/>
        <v>72100632</v>
      </c>
      <c r="D8681">
        <v>89301282</v>
      </c>
      <c r="E8681" t="str">
        <f>"1605160282"</f>
        <v>1605160282</v>
      </c>
      <c r="F8681" s="1">
        <v>44992</v>
      </c>
      <c r="G8681" t="str">
        <f>"94996"</f>
        <v>94996</v>
      </c>
      <c r="H8681">
        <v>1</v>
      </c>
      <c r="I8681">
        <v>0</v>
      </c>
      <c r="J8681">
        <v>0</v>
      </c>
      <c r="K8681" t="str">
        <f t="shared" si="1547"/>
        <v>816</v>
      </c>
      <c r="L8681">
        <v>0</v>
      </c>
    </row>
    <row r="8682" spans="1:12" x14ac:dyDescent="0.25">
      <c r="A8682" t="str">
        <f t="shared" si="1543"/>
        <v>89301000</v>
      </c>
      <c r="B8682" t="str">
        <f t="shared" si="1544"/>
        <v>72100000</v>
      </c>
      <c r="C8682" t="str">
        <f t="shared" si="1545"/>
        <v>72100632</v>
      </c>
      <c r="D8682">
        <v>89301091</v>
      </c>
      <c r="E8682" t="str">
        <f>"2305250453"</f>
        <v>2305250453</v>
      </c>
      <c r="F8682" s="1">
        <v>45078</v>
      </c>
      <c r="G8682" t="str">
        <f t="shared" ref="G8682:G8713" si="1548">"94297"</f>
        <v>94297</v>
      </c>
      <c r="H8682">
        <v>1</v>
      </c>
      <c r="I8682">
        <v>304</v>
      </c>
      <c r="J8682">
        <v>0</v>
      </c>
      <c r="K8682" t="str">
        <f t="shared" si="1547"/>
        <v>816</v>
      </c>
      <c r="L8682">
        <v>304</v>
      </c>
    </row>
    <row r="8683" spans="1:12" x14ac:dyDescent="0.25">
      <c r="A8683" t="str">
        <f t="shared" si="1543"/>
        <v>89301000</v>
      </c>
      <c r="B8683" t="str">
        <f t="shared" si="1544"/>
        <v>72100000</v>
      </c>
      <c r="C8683" t="str">
        <f t="shared" si="1545"/>
        <v>72100632</v>
      </c>
      <c r="D8683">
        <v>89301091</v>
      </c>
      <c r="E8683" t="str">
        <f>"2355280444"</f>
        <v>2355280444</v>
      </c>
      <c r="F8683" s="1">
        <v>45079</v>
      </c>
      <c r="G8683" t="str">
        <f t="shared" si="1548"/>
        <v>94297</v>
      </c>
      <c r="H8683">
        <v>1</v>
      </c>
      <c r="I8683">
        <v>304</v>
      </c>
      <c r="J8683">
        <v>0</v>
      </c>
      <c r="K8683" t="str">
        <f t="shared" si="1547"/>
        <v>816</v>
      </c>
      <c r="L8683">
        <v>304</v>
      </c>
    </row>
    <row r="8684" spans="1:12" x14ac:dyDescent="0.25">
      <c r="A8684" t="str">
        <f t="shared" si="1543"/>
        <v>89301000</v>
      </c>
      <c r="B8684" t="str">
        <f t="shared" si="1544"/>
        <v>72100000</v>
      </c>
      <c r="C8684" t="str">
        <f t="shared" si="1545"/>
        <v>72100632</v>
      </c>
      <c r="D8684">
        <v>89301091</v>
      </c>
      <c r="E8684" t="str">
        <f>"2355280466"</f>
        <v>2355280466</v>
      </c>
      <c r="F8684" s="1">
        <v>45079</v>
      </c>
      <c r="G8684" t="str">
        <f t="shared" si="1548"/>
        <v>94297</v>
      </c>
      <c r="H8684">
        <v>1</v>
      </c>
      <c r="I8684">
        <v>304</v>
      </c>
      <c r="J8684">
        <v>0</v>
      </c>
      <c r="K8684" t="str">
        <f t="shared" si="1547"/>
        <v>816</v>
      </c>
      <c r="L8684">
        <v>304</v>
      </c>
    </row>
    <row r="8685" spans="1:12" x14ac:dyDescent="0.25">
      <c r="A8685" t="str">
        <f t="shared" si="1543"/>
        <v>89301000</v>
      </c>
      <c r="B8685" t="str">
        <f t="shared" si="1544"/>
        <v>72100000</v>
      </c>
      <c r="C8685" t="str">
        <f t="shared" si="1545"/>
        <v>72100632</v>
      </c>
      <c r="D8685">
        <v>89301091</v>
      </c>
      <c r="E8685" t="str">
        <f>"2305280285"</f>
        <v>2305280285</v>
      </c>
      <c r="F8685" s="1">
        <v>45079</v>
      </c>
      <c r="G8685" t="str">
        <f t="shared" si="1548"/>
        <v>94297</v>
      </c>
      <c r="H8685">
        <v>1</v>
      </c>
      <c r="I8685">
        <v>304</v>
      </c>
      <c r="J8685">
        <v>0</v>
      </c>
      <c r="K8685" t="str">
        <f t="shared" si="1547"/>
        <v>816</v>
      </c>
      <c r="L8685">
        <v>304</v>
      </c>
    </row>
    <row r="8686" spans="1:12" x14ac:dyDescent="0.25">
      <c r="A8686" t="str">
        <f t="shared" si="1543"/>
        <v>89301000</v>
      </c>
      <c r="B8686" t="str">
        <f t="shared" si="1544"/>
        <v>72100000</v>
      </c>
      <c r="C8686" t="str">
        <f t="shared" si="1545"/>
        <v>72100632</v>
      </c>
      <c r="D8686">
        <v>89301091</v>
      </c>
      <c r="E8686" t="str">
        <f>"2305290515"</f>
        <v>2305290515</v>
      </c>
      <c r="F8686" s="1">
        <v>45082</v>
      </c>
      <c r="G8686" t="str">
        <f t="shared" si="1548"/>
        <v>94297</v>
      </c>
      <c r="H8686">
        <v>1</v>
      </c>
      <c r="I8686">
        <v>304</v>
      </c>
      <c r="J8686">
        <v>0</v>
      </c>
      <c r="K8686" t="str">
        <f t="shared" si="1547"/>
        <v>816</v>
      </c>
      <c r="L8686">
        <v>304</v>
      </c>
    </row>
    <row r="8687" spans="1:12" x14ac:dyDescent="0.25">
      <c r="A8687" t="str">
        <f t="shared" si="1543"/>
        <v>89301000</v>
      </c>
      <c r="B8687" t="str">
        <f t="shared" si="1544"/>
        <v>72100000</v>
      </c>
      <c r="C8687" t="str">
        <f t="shared" si="1545"/>
        <v>72100632</v>
      </c>
      <c r="D8687">
        <v>89301091</v>
      </c>
      <c r="E8687" t="str">
        <f>"2355290454"</f>
        <v>2355290454</v>
      </c>
      <c r="F8687" s="1">
        <v>45082</v>
      </c>
      <c r="G8687" t="str">
        <f t="shared" si="1548"/>
        <v>94297</v>
      </c>
      <c r="H8687">
        <v>1</v>
      </c>
      <c r="I8687">
        <v>304</v>
      </c>
      <c r="J8687">
        <v>0</v>
      </c>
      <c r="K8687" t="str">
        <f t="shared" si="1547"/>
        <v>816</v>
      </c>
      <c r="L8687">
        <v>304</v>
      </c>
    </row>
    <row r="8688" spans="1:12" x14ac:dyDescent="0.25">
      <c r="A8688" t="str">
        <f t="shared" si="1543"/>
        <v>89301000</v>
      </c>
      <c r="B8688" t="str">
        <f t="shared" si="1544"/>
        <v>72100000</v>
      </c>
      <c r="C8688" t="str">
        <f t="shared" si="1545"/>
        <v>72100632</v>
      </c>
      <c r="D8688">
        <v>89301091</v>
      </c>
      <c r="E8688" t="str">
        <f>"2305290537"</f>
        <v>2305290537</v>
      </c>
      <c r="F8688" s="1">
        <v>45082</v>
      </c>
      <c r="G8688" t="str">
        <f t="shared" si="1548"/>
        <v>94297</v>
      </c>
      <c r="H8688">
        <v>1</v>
      </c>
      <c r="I8688">
        <v>304</v>
      </c>
      <c r="J8688">
        <v>0</v>
      </c>
      <c r="K8688" t="str">
        <f t="shared" si="1547"/>
        <v>816</v>
      </c>
      <c r="L8688">
        <v>304</v>
      </c>
    </row>
    <row r="8689" spans="1:12" x14ac:dyDescent="0.25">
      <c r="A8689" t="str">
        <f t="shared" si="1543"/>
        <v>89301000</v>
      </c>
      <c r="B8689" t="str">
        <f t="shared" si="1544"/>
        <v>72100000</v>
      </c>
      <c r="C8689" t="str">
        <f t="shared" si="1545"/>
        <v>72100632</v>
      </c>
      <c r="D8689">
        <v>89301091</v>
      </c>
      <c r="E8689" t="str">
        <f>"8356550521"</f>
        <v>8356550521</v>
      </c>
      <c r="F8689" s="1">
        <v>45084</v>
      </c>
      <c r="G8689" t="str">
        <f t="shared" si="1548"/>
        <v>94297</v>
      </c>
      <c r="H8689">
        <v>1</v>
      </c>
      <c r="I8689">
        <v>304</v>
      </c>
      <c r="J8689">
        <v>0</v>
      </c>
      <c r="K8689" t="str">
        <f t="shared" si="1547"/>
        <v>816</v>
      </c>
      <c r="L8689">
        <v>304</v>
      </c>
    </row>
    <row r="8690" spans="1:12" x14ac:dyDescent="0.25">
      <c r="A8690" t="str">
        <f t="shared" si="1543"/>
        <v>89301000</v>
      </c>
      <c r="B8690" t="str">
        <f t="shared" si="1544"/>
        <v>72100000</v>
      </c>
      <c r="C8690" t="str">
        <f t="shared" si="1545"/>
        <v>72100632</v>
      </c>
      <c r="D8690">
        <v>89301091</v>
      </c>
      <c r="E8690" t="str">
        <f>"9561025716"</f>
        <v>9561025716</v>
      </c>
      <c r="F8690" s="1">
        <v>45084</v>
      </c>
      <c r="G8690" t="str">
        <f t="shared" si="1548"/>
        <v>94297</v>
      </c>
      <c r="H8690">
        <v>1</v>
      </c>
      <c r="I8690">
        <v>304</v>
      </c>
      <c r="J8690">
        <v>0</v>
      </c>
      <c r="K8690" t="str">
        <f t="shared" si="1547"/>
        <v>816</v>
      </c>
      <c r="L8690">
        <v>304</v>
      </c>
    </row>
    <row r="8691" spans="1:12" x14ac:dyDescent="0.25">
      <c r="A8691" t="str">
        <f t="shared" si="1543"/>
        <v>89301000</v>
      </c>
      <c r="B8691" t="str">
        <f t="shared" si="1544"/>
        <v>72100000</v>
      </c>
      <c r="C8691" t="str">
        <f t="shared" si="1545"/>
        <v>72100632</v>
      </c>
      <c r="D8691">
        <v>89301091</v>
      </c>
      <c r="E8691" t="str">
        <f>"9757095733"</f>
        <v>9757095733</v>
      </c>
      <c r="F8691" s="1">
        <v>45084</v>
      </c>
      <c r="G8691" t="str">
        <f t="shared" si="1548"/>
        <v>94297</v>
      </c>
      <c r="H8691">
        <v>1</v>
      </c>
      <c r="I8691">
        <v>304</v>
      </c>
      <c r="J8691">
        <v>0</v>
      </c>
      <c r="K8691" t="str">
        <f t="shared" si="1547"/>
        <v>816</v>
      </c>
      <c r="L8691">
        <v>304</v>
      </c>
    </row>
    <row r="8692" spans="1:12" x14ac:dyDescent="0.25">
      <c r="A8692" t="str">
        <f t="shared" si="1543"/>
        <v>89301000</v>
      </c>
      <c r="B8692" t="str">
        <f t="shared" si="1544"/>
        <v>72100000</v>
      </c>
      <c r="C8692" t="str">
        <f t="shared" si="1545"/>
        <v>72100632</v>
      </c>
      <c r="D8692">
        <v>89301091</v>
      </c>
      <c r="E8692" t="str">
        <f>"9657126160"</f>
        <v>9657126160</v>
      </c>
      <c r="F8692" s="1">
        <v>45084</v>
      </c>
      <c r="G8692" t="str">
        <f t="shared" si="1548"/>
        <v>94297</v>
      </c>
      <c r="H8692">
        <v>1</v>
      </c>
      <c r="I8692">
        <v>304</v>
      </c>
      <c r="J8692">
        <v>0</v>
      </c>
      <c r="K8692" t="str">
        <f t="shared" si="1547"/>
        <v>816</v>
      </c>
      <c r="L8692">
        <v>304</v>
      </c>
    </row>
    <row r="8693" spans="1:12" x14ac:dyDescent="0.25">
      <c r="A8693" t="str">
        <f t="shared" si="1543"/>
        <v>89301000</v>
      </c>
      <c r="B8693" t="str">
        <f t="shared" si="1544"/>
        <v>72100000</v>
      </c>
      <c r="C8693" t="str">
        <f t="shared" si="1545"/>
        <v>72100632</v>
      </c>
      <c r="D8693">
        <v>89301091</v>
      </c>
      <c r="E8693" t="str">
        <f>"8856075767"</f>
        <v>8856075767</v>
      </c>
      <c r="F8693" s="1">
        <v>45084</v>
      </c>
      <c r="G8693" t="str">
        <f t="shared" si="1548"/>
        <v>94297</v>
      </c>
      <c r="H8693">
        <v>1</v>
      </c>
      <c r="I8693">
        <v>304</v>
      </c>
      <c r="J8693">
        <v>0</v>
      </c>
      <c r="K8693" t="str">
        <f t="shared" si="1547"/>
        <v>816</v>
      </c>
      <c r="L8693">
        <v>304</v>
      </c>
    </row>
    <row r="8694" spans="1:12" x14ac:dyDescent="0.25">
      <c r="A8694" t="str">
        <f t="shared" si="1543"/>
        <v>89301000</v>
      </c>
      <c r="B8694" t="str">
        <f t="shared" si="1544"/>
        <v>72100000</v>
      </c>
      <c r="C8694" t="str">
        <f t="shared" si="1545"/>
        <v>72100632</v>
      </c>
      <c r="D8694">
        <v>89301091</v>
      </c>
      <c r="E8694" t="str">
        <f>"8951195726"</f>
        <v>8951195726</v>
      </c>
      <c r="F8694" s="1">
        <v>45084</v>
      </c>
      <c r="G8694" t="str">
        <f t="shared" si="1548"/>
        <v>94297</v>
      </c>
      <c r="H8694">
        <v>1</v>
      </c>
      <c r="I8694">
        <v>304</v>
      </c>
      <c r="J8694">
        <v>0</v>
      </c>
      <c r="K8694" t="str">
        <f t="shared" si="1547"/>
        <v>816</v>
      </c>
      <c r="L8694">
        <v>304</v>
      </c>
    </row>
    <row r="8695" spans="1:12" x14ac:dyDescent="0.25">
      <c r="A8695" t="str">
        <f t="shared" si="1543"/>
        <v>89301000</v>
      </c>
      <c r="B8695" t="str">
        <f t="shared" si="1544"/>
        <v>72100000</v>
      </c>
      <c r="C8695" t="str">
        <f t="shared" si="1545"/>
        <v>72100632</v>
      </c>
      <c r="D8695">
        <v>89301091</v>
      </c>
      <c r="E8695" t="str">
        <f>"0260035743"</f>
        <v>0260035743</v>
      </c>
      <c r="F8695" s="1">
        <v>45085</v>
      </c>
      <c r="G8695" t="str">
        <f t="shared" si="1548"/>
        <v>94297</v>
      </c>
      <c r="H8695">
        <v>1</v>
      </c>
      <c r="I8695">
        <v>304</v>
      </c>
      <c r="J8695">
        <v>0</v>
      </c>
      <c r="K8695" t="str">
        <f t="shared" si="1547"/>
        <v>816</v>
      </c>
      <c r="L8695">
        <v>304</v>
      </c>
    </row>
    <row r="8696" spans="1:12" x14ac:dyDescent="0.25">
      <c r="A8696" t="str">
        <f t="shared" si="1543"/>
        <v>89301000</v>
      </c>
      <c r="B8696" t="str">
        <f t="shared" si="1544"/>
        <v>72100000</v>
      </c>
      <c r="C8696" t="str">
        <f t="shared" si="1545"/>
        <v>72100632</v>
      </c>
      <c r="D8696">
        <v>89301091</v>
      </c>
      <c r="E8696" t="str">
        <f>"8254265371"</f>
        <v>8254265371</v>
      </c>
      <c r="F8696" s="1">
        <v>45085</v>
      </c>
      <c r="G8696" t="str">
        <f t="shared" si="1548"/>
        <v>94297</v>
      </c>
      <c r="H8696">
        <v>1</v>
      </c>
      <c r="I8696">
        <v>304</v>
      </c>
      <c r="J8696">
        <v>0</v>
      </c>
      <c r="K8696" t="str">
        <f t="shared" si="1547"/>
        <v>816</v>
      </c>
      <c r="L8696">
        <v>304</v>
      </c>
    </row>
    <row r="8697" spans="1:12" x14ac:dyDescent="0.25">
      <c r="A8697" t="str">
        <f t="shared" si="1543"/>
        <v>89301000</v>
      </c>
      <c r="B8697" t="str">
        <f t="shared" si="1544"/>
        <v>72100000</v>
      </c>
      <c r="C8697" t="str">
        <f t="shared" si="1545"/>
        <v>72100632</v>
      </c>
      <c r="D8697">
        <v>89301091</v>
      </c>
      <c r="E8697" t="str">
        <f>"2306050494"</f>
        <v>2306050494</v>
      </c>
      <c r="F8697" s="1">
        <v>45090</v>
      </c>
      <c r="G8697" t="str">
        <f t="shared" si="1548"/>
        <v>94297</v>
      </c>
      <c r="H8697">
        <v>1</v>
      </c>
      <c r="I8697">
        <v>304</v>
      </c>
      <c r="J8697">
        <v>0</v>
      </c>
      <c r="K8697" t="str">
        <f t="shared" si="1547"/>
        <v>816</v>
      </c>
      <c r="L8697">
        <v>304</v>
      </c>
    </row>
    <row r="8698" spans="1:12" x14ac:dyDescent="0.25">
      <c r="A8698" t="str">
        <f t="shared" si="1543"/>
        <v>89301000</v>
      </c>
      <c r="B8698" t="str">
        <f t="shared" si="1544"/>
        <v>72100000</v>
      </c>
      <c r="C8698" t="str">
        <f t="shared" si="1545"/>
        <v>72100632</v>
      </c>
      <c r="D8698">
        <v>89301091</v>
      </c>
      <c r="E8698" t="str">
        <f>"2356060531"</f>
        <v>2356060531</v>
      </c>
      <c r="F8698" s="1">
        <v>45090</v>
      </c>
      <c r="G8698" t="str">
        <f t="shared" si="1548"/>
        <v>94297</v>
      </c>
      <c r="H8698">
        <v>1</v>
      </c>
      <c r="I8698">
        <v>304</v>
      </c>
      <c r="J8698">
        <v>0</v>
      </c>
      <c r="K8698" t="str">
        <f t="shared" si="1547"/>
        <v>816</v>
      </c>
      <c r="L8698">
        <v>304</v>
      </c>
    </row>
    <row r="8699" spans="1:12" x14ac:dyDescent="0.25">
      <c r="A8699" t="str">
        <f t="shared" si="1543"/>
        <v>89301000</v>
      </c>
      <c r="B8699" t="str">
        <f t="shared" si="1544"/>
        <v>72100000</v>
      </c>
      <c r="C8699" t="str">
        <f t="shared" si="1545"/>
        <v>72100632</v>
      </c>
      <c r="D8699">
        <v>89301091</v>
      </c>
      <c r="E8699" t="str">
        <f>"2356060542"</f>
        <v>2356060542</v>
      </c>
      <c r="F8699" s="1">
        <v>45090</v>
      </c>
      <c r="G8699" t="str">
        <f t="shared" si="1548"/>
        <v>94297</v>
      </c>
      <c r="H8699">
        <v>1</v>
      </c>
      <c r="I8699">
        <v>304</v>
      </c>
      <c r="J8699">
        <v>0</v>
      </c>
      <c r="K8699" t="str">
        <f t="shared" si="1547"/>
        <v>816</v>
      </c>
      <c r="L8699">
        <v>304</v>
      </c>
    </row>
    <row r="8700" spans="1:12" x14ac:dyDescent="0.25">
      <c r="A8700" t="str">
        <f t="shared" si="1543"/>
        <v>89301000</v>
      </c>
      <c r="B8700" t="str">
        <f t="shared" si="1544"/>
        <v>72100000</v>
      </c>
      <c r="C8700" t="str">
        <f t="shared" si="1545"/>
        <v>72100632</v>
      </c>
      <c r="D8700">
        <v>89301091</v>
      </c>
      <c r="E8700" t="str">
        <f>"2356070057"</f>
        <v>2356070057</v>
      </c>
      <c r="F8700" s="1">
        <v>45091</v>
      </c>
      <c r="G8700" t="str">
        <f t="shared" si="1548"/>
        <v>94297</v>
      </c>
      <c r="H8700">
        <v>1</v>
      </c>
      <c r="I8700">
        <v>304</v>
      </c>
      <c r="J8700">
        <v>0</v>
      </c>
      <c r="K8700" t="str">
        <f t="shared" si="1547"/>
        <v>816</v>
      </c>
      <c r="L8700">
        <v>304</v>
      </c>
    </row>
    <row r="8701" spans="1:12" x14ac:dyDescent="0.25">
      <c r="A8701" t="str">
        <f t="shared" si="1543"/>
        <v>89301000</v>
      </c>
      <c r="B8701" t="str">
        <f t="shared" si="1544"/>
        <v>72100000</v>
      </c>
      <c r="C8701" t="str">
        <f t="shared" si="1545"/>
        <v>72100632</v>
      </c>
      <c r="D8701">
        <v>89301091</v>
      </c>
      <c r="E8701" t="str">
        <f>"2356070717"</f>
        <v>2356070717</v>
      </c>
      <c r="F8701" s="1">
        <v>45091</v>
      </c>
      <c r="G8701" t="str">
        <f t="shared" si="1548"/>
        <v>94297</v>
      </c>
      <c r="H8701">
        <v>1</v>
      </c>
      <c r="I8701">
        <v>304</v>
      </c>
      <c r="J8701">
        <v>0</v>
      </c>
      <c r="K8701" t="str">
        <f t="shared" si="1547"/>
        <v>816</v>
      </c>
      <c r="L8701">
        <v>304</v>
      </c>
    </row>
    <row r="8702" spans="1:12" x14ac:dyDescent="0.25">
      <c r="A8702" t="str">
        <f t="shared" si="1543"/>
        <v>89301000</v>
      </c>
      <c r="B8702" t="str">
        <f t="shared" si="1544"/>
        <v>72100000</v>
      </c>
      <c r="C8702" t="str">
        <f t="shared" si="1545"/>
        <v>72100632</v>
      </c>
      <c r="D8702">
        <v>89301091</v>
      </c>
      <c r="E8702" t="str">
        <f>"2306070602"</f>
        <v>2306070602</v>
      </c>
      <c r="F8702" s="1">
        <v>45091</v>
      </c>
      <c r="G8702" t="str">
        <f t="shared" si="1548"/>
        <v>94297</v>
      </c>
      <c r="H8702">
        <v>1</v>
      </c>
      <c r="I8702">
        <v>304</v>
      </c>
      <c r="J8702">
        <v>0</v>
      </c>
      <c r="K8702" t="str">
        <f t="shared" si="1547"/>
        <v>816</v>
      </c>
      <c r="L8702">
        <v>304</v>
      </c>
    </row>
    <row r="8703" spans="1:12" x14ac:dyDescent="0.25">
      <c r="A8703" t="str">
        <f t="shared" si="1543"/>
        <v>89301000</v>
      </c>
      <c r="B8703" t="str">
        <f t="shared" si="1544"/>
        <v>72100000</v>
      </c>
      <c r="C8703" t="str">
        <f t="shared" si="1545"/>
        <v>72100632</v>
      </c>
      <c r="D8703">
        <v>89301091</v>
      </c>
      <c r="E8703" t="str">
        <f>"2306080326"</f>
        <v>2306080326</v>
      </c>
      <c r="F8703" s="1">
        <v>45091</v>
      </c>
      <c r="G8703" t="str">
        <f t="shared" si="1548"/>
        <v>94297</v>
      </c>
      <c r="H8703">
        <v>1</v>
      </c>
      <c r="I8703">
        <v>304</v>
      </c>
      <c r="J8703">
        <v>0</v>
      </c>
      <c r="K8703" t="str">
        <f t="shared" si="1547"/>
        <v>816</v>
      </c>
      <c r="L8703">
        <v>304</v>
      </c>
    </row>
    <row r="8704" spans="1:12" x14ac:dyDescent="0.25">
      <c r="A8704" t="str">
        <f t="shared" si="1543"/>
        <v>89301000</v>
      </c>
      <c r="B8704" t="str">
        <f t="shared" si="1544"/>
        <v>72100000</v>
      </c>
      <c r="C8704" t="str">
        <f t="shared" si="1545"/>
        <v>72100632</v>
      </c>
      <c r="D8704">
        <v>89301091</v>
      </c>
      <c r="E8704" t="str">
        <f>"2356080320"</f>
        <v>2356080320</v>
      </c>
      <c r="F8704" s="1">
        <v>45091</v>
      </c>
      <c r="G8704" t="str">
        <f t="shared" si="1548"/>
        <v>94297</v>
      </c>
      <c r="H8704">
        <v>1</v>
      </c>
      <c r="I8704">
        <v>304</v>
      </c>
      <c r="J8704">
        <v>0</v>
      </c>
      <c r="K8704" t="str">
        <f t="shared" si="1547"/>
        <v>816</v>
      </c>
      <c r="L8704">
        <v>304</v>
      </c>
    </row>
    <row r="8705" spans="1:12" x14ac:dyDescent="0.25">
      <c r="A8705" t="str">
        <f t="shared" si="1543"/>
        <v>89301000</v>
      </c>
      <c r="B8705" t="str">
        <f t="shared" si="1544"/>
        <v>72100000</v>
      </c>
      <c r="C8705" t="str">
        <f t="shared" si="1545"/>
        <v>72100632</v>
      </c>
      <c r="D8705">
        <v>89301091</v>
      </c>
      <c r="E8705" t="str">
        <f>"2306080381"</f>
        <v>2306080381</v>
      </c>
      <c r="F8705" s="1">
        <v>45091</v>
      </c>
      <c r="G8705" t="str">
        <f t="shared" si="1548"/>
        <v>94297</v>
      </c>
      <c r="H8705">
        <v>1</v>
      </c>
      <c r="I8705">
        <v>304</v>
      </c>
      <c r="J8705">
        <v>0</v>
      </c>
      <c r="K8705" t="str">
        <f t="shared" si="1547"/>
        <v>816</v>
      </c>
      <c r="L8705">
        <v>304</v>
      </c>
    </row>
    <row r="8706" spans="1:12" x14ac:dyDescent="0.25">
      <c r="A8706" t="str">
        <f t="shared" ref="A8706:A8769" si="1549">"89301000"</f>
        <v>89301000</v>
      </c>
      <c r="B8706" t="str">
        <f t="shared" si="1544"/>
        <v>72100000</v>
      </c>
      <c r="C8706" t="str">
        <f t="shared" si="1545"/>
        <v>72100632</v>
      </c>
      <c r="D8706">
        <v>89301091</v>
      </c>
      <c r="E8706" t="str">
        <f>"9855095701"</f>
        <v>9855095701</v>
      </c>
      <c r="F8706" s="1">
        <v>45091</v>
      </c>
      <c r="G8706" t="str">
        <f t="shared" si="1548"/>
        <v>94297</v>
      </c>
      <c r="H8706">
        <v>1</v>
      </c>
      <c r="I8706">
        <v>304</v>
      </c>
      <c r="J8706">
        <v>0</v>
      </c>
      <c r="K8706" t="str">
        <f t="shared" si="1547"/>
        <v>816</v>
      </c>
      <c r="L8706">
        <v>304</v>
      </c>
    </row>
    <row r="8707" spans="1:12" x14ac:dyDescent="0.25">
      <c r="A8707" t="str">
        <f t="shared" si="1549"/>
        <v>89301000</v>
      </c>
      <c r="B8707" t="str">
        <f t="shared" si="1544"/>
        <v>72100000</v>
      </c>
      <c r="C8707" t="str">
        <f t="shared" si="1545"/>
        <v>72100632</v>
      </c>
      <c r="D8707">
        <v>89301091</v>
      </c>
      <c r="E8707" t="str">
        <f>"9554064113"</f>
        <v>9554064113</v>
      </c>
      <c r="F8707" s="1">
        <v>45092</v>
      </c>
      <c r="G8707" t="str">
        <f t="shared" si="1548"/>
        <v>94297</v>
      </c>
      <c r="H8707">
        <v>1</v>
      </c>
      <c r="I8707">
        <v>304</v>
      </c>
      <c r="J8707">
        <v>0</v>
      </c>
      <c r="K8707" t="str">
        <f t="shared" si="1547"/>
        <v>816</v>
      </c>
      <c r="L8707">
        <v>304</v>
      </c>
    </row>
    <row r="8708" spans="1:12" x14ac:dyDescent="0.25">
      <c r="A8708" t="str">
        <f t="shared" si="1549"/>
        <v>89301000</v>
      </c>
      <c r="B8708" t="str">
        <f t="shared" si="1544"/>
        <v>72100000</v>
      </c>
      <c r="C8708" t="str">
        <f t="shared" si="1545"/>
        <v>72100632</v>
      </c>
      <c r="D8708">
        <v>89301091</v>
      </c>
      <c r="E8708" t="str">
        <f>"2306110367"</f>
        <v>2306110367</v>
      </c>
      <c r="F8708" s="1">
        <v>45093</v>
      </c>
      <c r="G8708" t="str">
        <f t="shared" si="1548"/>
        <v>94297</v>
      </c>
      <c r="H8708">
        <v>1</v>
      </c>
      <c r="I8708">
        <v>304</v>
      </c>
      <c r="J8708">
        <v>0</v>
      </c>
      <c r="K8708" t="str">
        <f t="shared" si="1547"/>
        <v>816</v>
      </c>
      <c r="L8708">
        <v>304</v>
      </c>
    </row>
    <row r="8709" spans="1:12" x14ac:dyDescent="0.25">
      <c r="A8709" t="str">
        <f t="shared" si="1549"/>
        <v>89301000</v>
      </c>
      <c r="B8709" t="str">
        <f t="shared" ref="B8709:B8772" si="1550">"72100000"</f>
        <v>72100000</v>
      </c>
      <c r="C8709" t="str">
        <f t="shared" ref="C8709:C8772" si="1551">"72100632"</f>
        <v>72100632</v>
      </c>
      <c r="D8709">
        <v>89301091</v>
      </c>
      <c r="E8709" t="str">
        <f>"2356110240"</f>
        <v>2356110240</v>
      </c>
      <c r="F8709" s="1">
        <v>45093</v>
      </c>
      <c r="G8709" t="str">
        <f t="shared" si="1548"/>
        <v>94297</v>
      </c>
      <c r="H8709">
        <v>1</v>
      </c>
      <c r="I8709">
        <v>304</v>
      </c>
      <c r="J8709">
        <v>0</v>
      </c>
      <c r="K8709" t="str">
        <f t="shared" ref="K8709:K8772" si="1552">"816"</f>
        <v>816</v>
      </c>
      <c r="L8709">
        <v>304</v>
      </c>
    </row>
    <row r="8710" spans="1:12" x14ac:dyDescent="0.25">
      <c r="A8710" t="str">
        <f t="shared" si="1549"/>
        <v>89301000</v>
      </c>
      <c r="B8710" t="str">
        <f t="shared" si="1550"/>
        <v>72100000</v>
      </c>
      <c r="C8710" t="str">
        <f t="shared" si="1551"/>
        <v>72100632</v>
      </c>
      <c r="D8710">
        <v>89301091</v>
      </c>
      <c r="E8710" t="str">
        <f>"9959116145"</f>
        <v>9959116145</v>
      </c>
      <c r="F8710" s="1">
        <v>45098</v>
      </c>
      <c r="G8710" t="str">
        <f t="shared" si="1548"/>
        <v>94297</v>
      </c>
      <c r="H8710">
        <v>1</v>
      </c>
      <c r="I8710">
        <v>304</v>
      </c>
      <c r="J8710">
        <v>0</v>
      </c>
      <c r="K8710" t="str">
        <f t="shared" si="1552"/>
        <v>816</v>
      </c>
      <c r="L8710">
        <v>304</v>
      </c>
    </row>
    <row r="8711" spans="1:12" x14ac:dyDescent="0.25">
      <c r="A8711" t="str">
        <f t="shared" si="1549"/>
        <v>89301000</v>
      </c>
      <c r="B8711" t="str">
        <f t="shared" si="1550"/>
        <v>72100000</v>
      </c>
      <c r="C8711" t="str">
        <f t="shared" si="1551"/>
        <v>72100632</v>
      </c>
      <c r="D8711">
        <v>89301091</v>
      </c>
      <c r="E8711" t="str">
        <f>"9559065714"</f>
        <v>9559065714</v>
      </c>
      <c r="F8711" s="1">
        <v>45098</v>
      </c>
      <c r="G8711" t="str">
        <f t="shared" si="1548"/>
        <v>94297</v>
      </c>
      <c r="H8711">
        <v>1</v>
      </c>
      <c r="I8711">
        <v>304</v>
      </c>
      <c r="J8711">
        <v>0</v>
      </c>
      <c r="K8711" t="str">
        <f t="shared" si="1552"/>
        <v>816</v>
      </c>
      <c r="L8711">
        <v>304</v>
      </c>
    </row>
    <row r="8712" spans="1:12" x14ac:dyDescent="0.25">
      <c r="A8712" t="str">
        <f t="shared" si="1549"/>
        <v>89301000</v>
      </c>
      <c r="B8712" t="str">
        <f t="shared" si="1550"/>
        <v>72100000</v>
      </c>
      <c r="C8712" t="str">
        <f t="shared" si="1551"/>
        <v>72100632</v>
      </c>
      <c r="D8712">
        <v>89301091</v>
      </c>
      <c r="E8712" t="str">
        <f>"2306140353"</f>
        <v>2306140353</v>
      </c>
      <c r="F8712" s="1">
        <v>45098</v>
      </c>
      <c r="G8712" t="str">
        <f t="shared" si="1548"/>
        <v>94297</v>
      </c>
      <c r="H8712">
        <v>1</v>
      </c>
      <c r="I8712">
        <v>304</v>
      </c>
      <c r="J8712">
        <v>0</v>
      </c>
      <c r="K8712" t="str">
        <f t="shared" si="1552"/>
        <v>816</v>
      </c>
      <c r="L8712">
        <v>304</v>
      </c>
    </row>
    <row r="8713" spans="1:12" x14ac:dyDescent="0.25">
      <c r="A8713" t="str">
        <f t="shared" si="1549"/>
        <v>89301000</v>
      </c>
      <c r="B8713" t="str">
        <f t="shared" si="1550"/>
        <v>72100000</v>
      </c>
      <c r="C8713" t="str">
        <f t="shared" si="1551"/>
        <v>72100632</v>
      </c>
      <c r="D8713">
        <v>89301091</v>
      </c>
      <c r="E8713" t="str">
        <f>"8557165793"</f>
        <v>8557165793</v>
      </c>
      <c r="F8713" s="1">
        <v>45099</v>
      </c>
      <c r="G8713" t="str">
        <f t="shared" si="1548"/>
        <v>94297</v>
      </c>
      <c r="H8713">
        <v>1</v>
      </c>
      <c r="I8713">
        <v>304</v>
      </c>
      <c r="J8713">
        <v>0</v>
      </c>
      <c r="K8713" t="str">
        <f t="shared" si="1552"/>
        <v>816</v>
      </c>
      <c r="L8713">
        <v>304</v>
      </c>
    </row>
    <row r="8714" spans="1:12" x14ac:dyDescent="0.25">
      <c r="A8714" t="str">
        <f t="shared" si="1549"/>
        <v>89301000</v>
      </c>
      <c r="B8714" t="str">
        <f t="shared" si="1550"/>
        <v>72100000</v>
      </c>
      <c r="C8714" t="str">
        <f t="shared" si="1551"/>
        <v>72100632</v>
      </c>
      <c r="D8714">
        <v>89301091</v>
      </c>
      <c r="E8714" t="str">
        <f>"8259194592"</f>
        <v>8259194592</v>
      </c>
      <c r="F8714" s="1">
        <v>45099</v>
      </c>
      <c r="G8714" t="str">
        <f t="shared" ref="G8714:G8745" si="1553">"94297"</f>
        <v>94297</v>
      </c>
      <c r="H8714">
        <v>1</v>
      </c>
      <c r="I8714">
        <v>304</v>
      </c>
      <c r="J8714">
        <v>0</v>
      </c>
      <c r="K8714" t="str">
        <f t="shared" si="1552"/>
        <v>816</v>
      </c>
      <c r="L8714">
        <v>304</v>
      </c>
    </row>
    <row r="8715" spans="1:12" x14ac:dyDescent="0.25">
      <c r="A8715" t="str">
        <f t="shared" si="1549"/>
        <v>89301000</v>
      </c>
      <c r="B8715" t="str">
        <f t="shared" si="1550"/>
        <v>72100000</v>
      </c>
      <c r="C8715" t="str">
        <f t="shared" si="1551"/>
        <v>72100632</v>
      </c>
      <c r="D8715">
        <v>89301091</v>
      </c>
      <c r="E8715" t="str">
        <f>"2306190458"</f>
        <v>2306190458</v>
      </c>
      <c r="F8715" s="1">
        <v>45103</v>
      </c>
      <c r="G8715" t="str">
        <f t="shared" si="1553"/>
        <v>94297</v>
      </c>
      <c r="H8715">
        <v>1</v>
      </c>
      <c r="I8715">
        <v>304</v>
      </c>
      <c r="J8715">
        <v>0</v>
      </c>
      <c r="K8715" t="str">
        <f t="shared" si="1552"/>
        <v>816</v>
      </c>
      <c r="L8715">
        <v>304</v>
      </c>
    </row>
    <row r="8716" spans="1:12" x14ac:dyDescent="0.25">
      <c r="A8716" t="str">
        <f t="shared" si="1549"/>
        <v>89301000</v>
      </c>
      <c r="B8716" t="str">
        <f t="shared" si="1550"/>
        <v>72100000</v>
      </c>
      <c r="C8716" t="str">
        <f t="shared" si="1551"/>
        <v>72100632</v>
      </c>
      <c r="D8716">
        <v>89301091</v>
      </c>
      <c r="E8716" t="str">
        <f>"2306220763"</f>
        <v>2306220763</v>
      </c>
      <c r="F8716" s="1">
        <v>45105</v>
      </c>
      <c r="G8716" t="str">
        <f t="shared" si="1553"/>
        <v>94297</v>
      </c>
      <c r="H8716">
        <v>1</v>
      </c>
      <c r="I8716">
        <v>304</v>
      </c>
      <c r="J8716">
        <v>0</v>
      </c>
      <c r="K8716" t="str">
        <f t="shared" si="1552"/>
        <v>816</v>
      </c>
      <c r="L8716">
        <v>304</v>
      </c>
    </row>
    <row r="8717" spans="1:12" x14ac:dyDescent="0.25">
      <c r="A8717" t="str">
        <f t="shared" si="1549"/>
        <v>89301000</v>
      </c>
      <c r="B8717" t="str">
        <f t="shared" si="1550"/>
        <v>72100000</v>
      </c>
      <c r="C8717" t="str">
        <f t="shared" si="1551"/>
        <v>72100632</v>
      </c>
      <c r="D8717">
        <v>89301091</v>
      </c>
      <c r="E8717" t="str">
        <f>"2356220603"</f>
        <v>2356220603</v>
      </c>
      <c r="F8717" s="1">
        <v>45105</v>
      </c>
      <c r="G8717" t="str">
        <f t="shared" si="1553"/>
        <v>94297</v>
      </c>
      <c r="H8717">
        <v>1</v>
      </c>
      <c r="I8717">
        <v>304</v>
      </c>
      <c r="J8717">
        <v>0</v>
      </c>
      <c r="K8717" t="str">
        <f t="shared" si="1552"/>
        <v>816</v>
      </c>
      <c r="L8717">
        <v>304</v>
      </c>
    </row>
    <row r="8718" spans="1:12" x14ac:dyDescent="0.25">
      <c r="A8718" t="str">
        <f t="shared" si="1549"/>
        <v>89301000</v>
      </c>
      <c r="B8718" t="str">
        <f t="shared" si="1550"/>
        <v>72100000</v>
      </c>
      <c r="C8718" t="str">
        <f t="shared" si="1551"/>
        <v>72100632</v>
      </c>
      <c r="D8718">
        <v>89301091</v>
      </c>
      <c r="E8718" t="str">
        <f>"2306220774"</f>
        <v>2306220774</v>
      </c>
      <c r="F8718" s="1">
        <v>45105</v>
      </c>
      <c r="G8718" t="str">
        <f t="shared" si="1553"/>
        <v>94297</v>
      </c>
      <c r="H8718">
        <v>1</v>
      </c>
      <c r="I8718">
        <v>304</v>
      </c>
      <c r="J8718">
        <v>0</v>
      </c>
      <c r="K8718" t="str">
        <f t="shared" si="1552"/>
        <v>816</v>
      </c>
      <c r="L8718">
        <v>304</v>
      </c>
    </row>
    <row r="8719" spans="1:12" x14ac:dyDescent="0.25">
      <c r="A8719" t="str">
        <f t="shared" si="1549"/>
        <v>89301000</v>
      </c>
      <c r="B8719" t="str">
        <f t="shared" si="1550"/>
        <v>72100000</v>
      </c>
      <c r="C8719" t="str">
        <f t="shared" si="1551"/>
        <v>72100632</v>
      </c>
      <c r="D8719">
        <v>89301091</v>
      </c>
      <c r="E8719" t="str">
        <f>"8754284957"</f>
        <v>8754284957</v>
      </c>
      <c r="F8719" s="1">
        <v>45105</v>
      </c>
      <c r="G8719" t="str">
        <f t="shared" si="1553"/>
        <v>94297</v>
      </c>
      <c r="H8719">
        <v>1</v>
      </c>
      <c r="I8719">
        <v>304</v>
      </c>
      <c r="J8719">
        <v>0</v>
      </c>
      <c r="K8719" t="str">
        <f t="shared" si="1552"/>
        <v>816</v>
      </c>
      <c r="L8719">
        <v>304</v>
      </c>
    </row>
    <row r="8720" spans="1:12" x14ac:dyDescent="0.25">
      <c r="A8720" t="str">
        <f t="shared" si="1549"/>
        <v>89301000</v>
      </c>
      <c r="B8720" t="str">
        <f t="shared" si="1550"/>
        <v>72100000</v>
      </c>
      <c r="C8720" t="str">
        <f t="shared" si="1551"/>
        <v>72100632</v>
      </c>
      <c r="D8720">
        <v>89301091</v>
      </c>
      <c r="E8720" t="str">
        <f>"9555066103"</f>
        <v>9555066103</v>
      </c>
      <c r="F8720" s="1">
        <v>45106</v>
      </c>
      <c r="G8720" t="str">
        <f t="shared" si="1553"/>
        <v>94297</v>
      </c>
      <c r="H8720">
        <v>1</v>
      </c>
      <c r="I8720">
        <v>304</v>
      </c>
      <c r="J8720">
        <v>0</v>
      </c>
      <c r="K8720" t="str">
        <f t="shared" si="1552"/>
        <v>816</v>
      </c>
      <c r="L8720">
        <v>304</v>
      </c>
    </row>
    <row r="8721" spans="1:12" x14ac:dyDescent="0.25">
      <c r="A8721" t="str">
        <f t="shared" si="1549"/>
        <v>89301000</v>
      </c>
      <c r="B8721" t="str">
        <f t="shared" si="1550"/>
        <v>72100000</v>
      </c>
      <c r="C8721" t="str">
        <f t="shared" si="1551"/>
        <v>72100632</v>
      </c>
      <c r="D8721">
        <v>89301091</v>
      </c>
      <c r="E8721" t="str">
        <f>"9357165719"</f>
        <v>9357165719</v>
      </c>
      <c r="F8721" s="1">
        <v>45106</v>
      </c>
      <c r="G8721" t="str">
        <f t="shared" si="1553"/>
        <v>94297</v>
      </c>
      <c r="H8721">
        <v>1</v>
      </c>
      <c r="I8721">
        <v>304</v>
      </c>
      <c r="J8721">
        <v>0</v>
      </c>
      <c r="K8721" t="str">
        <f t="shared" si="1552"/>
        <v>816</v>
      </c>
      <c r="L8721">
        <v>304</v>
      </c>
    </row>
    <row r="8722" spans="1:12" x14ac:dyDescent="0.25">
      <c r="A8722" t="str">
        <f t="shared" si="1549"/>
        <v>89301000</v>
      </c>
      <c r="B8722" t="str">
        <f t="shared" si="1550"/>
        <v>72100000</v>
      </c>
      <c r="C8722" t="str">
        <f t="shared" si="1551"/>
        <v>72100632</v>
      </c>
      <c r="D8722">
        <v>89301093</v>
      </c>
      <c r="E8722" t="str">
        <f>"8658224916"</f>
        <v>8658224916</v>
      </c>
      <c r="F8722" s="1">
        <v>45048</v>
      </c>
      <c r="G8722" t="str">
        <f t="shared" si="1553"/>
        <v>94297</v>
      </c>
      <c r="H8722">
        <v>1</v>
      </c>
      <c r="I8722">
        <v>304</v>
      </c>
      <c r="J8722">
        <v>0</v>
      </c>
      <c r="K8722" t="str">
        <f t="shared" si="1552"/>
        <v>816</v>
      </c>
      <c r="L8722">
        <v>304</v>
      </c>
    </row>
    <row r="8723" spans="1:12" x14ac:dyDescent="0.25">
      <c r="A8723" t="str">
        <f t="shared" si="1549"/>
        <v>89301000</v>
      </c>
      <c r="B8723" t="str">
        <f t="shared" si="1550"/>
        <v>72100000</v>
      </c>
      <c r="C8723" t="str">
        <f t="shared" si="1551"/>
        <v>72100632</v>
      </c>
      <c r="D8723">
        <v>89301091</v>
      </c>
      <c r="E8723" t="str">
        <f>"2354230285"</f>
        <v>2354230285</v>
      </c>
      <c r="F8723" s="1">
        <v>45048</v>
      </c>
      <c r="G8723" t="str">
        <f t="shared" si="1553"/>
        <v>94297</v>
      </c>
      <c r="H8723">
        <v>1</v>
      </c>
      <c r="I8723">
        <v>304</v>
      </c>
      <c r="J8723">
        <v>0</v>
      </c>
      <c r="K8723" t="str">
        <f t="shared" si="1552"/>
        <v>816</v>
      </c>
      <c r="L8723">
        <v>304</v>
      </c>
    </row>
    <row r="8724" spans="1:12" x14ac:dyDescent="0.25">
      <c r="A8724" t="str">
        <f t="shared" si="1549"/>
        <v>89301000</v>
      </c>
      <c r="B8724" t="str">
        <f t="shared" si="1550"/>
        <v>72100000</v>
      </c>
      <c r="C8724" t="str">
        <f t="shared" si="1551"/>
        <v>72100632</v>
      </c>
      <c r="D8724">
        <v>89301091</v>
      </c>
      <c r="E8724" t="str">
        <f>"2304240565"</f>
        <v>2304240565</v>
      </c>
      <c r="F8724" s="1">
        <v>45048</v>
      </c>
      <c r="G8724" t="str">
        <f t="shared" si="1553"/>
        <v>94297</v>
      </c>
      <c r="H8724">
        <v>1</v>
      </c>
      <c r="I8724">
        <v>304</v>
      </c>
      <c r="J8724">
        <v>0</v>
      </c>
      <c r="K8724" t="str">
        <f t="shared" si="1552"/>
        <v>816</v>
      </c>
      <c r="L8724">
        <v>304</v>
      </c>
    </row>
    <row r="8725" spans="1:12" x14ac:dyDescent="0.25">
      <c r="A8725" t="str">
        <f t="shared" si="1549"/>
        <v>89301000</v>
      </c>
      <c r="B8725" t="str">
        <f t="shared" si="1550"/>
        <v>72100000</v>
      </c>
      <c r="C8725" t="str">
        <f t="shared" si="1551"/>
        <v>72100632</v>
      </c>
      <c r="D8725">
        <v>89301091</v>
      </c>
      <c r="E8725" t="str">
        <f>"2354240504"</f>
        <v>2354240504</v>
      </c>
      <c r="F8725" s="1">
        <v>45049</v>
      </c>
      <c r="G8725" t="str">
        <f t="shared" si="1553"/>
        <v>94297</v>
      </c>
      <c r="H8725">
        <v>1</v>
      </c>
      <c r="I8725">
        <v>304</v>
      </c>
      <c r="J8725">
        <v>0</v>
      </c>
      <c r="K8725" t="str">
        <f t="shared" si="1552"/>
        <v>816</v>
      </c>
      <c r="L8725">
        <v>304</v>
      </c>
    </row>
    <row r="8726" spans="1:12" x14ac:dyDescent="0.25">
      <c r="A8726" t="str">
        <f t="shared" si="1549"/>
        <v>89301000</v>
      </c>
      <c r="B8726" t="str">
        <f t="shared" si="1550"/>
        <v>72100000</v>
      </c>
      <c r="C8726" t="str">
        <f t="shared" si="1551"/>
        <v>72100632</v>
      </c>
      <c r="D8726">
        <v>89301091</v>
      </c>
      <c r="E8726" t="str">
        <f>"2354250063"</f>
        <v>2354250063</v>
      </c>
      <c r="F8726" s="1">
        <v>45049</v>
      </c>
      <c r="G8726" t="str">
        <f t="shared" si="1553"/>
        <v>94297</v>
      </c>
      <c r="H8726">
        <v>1</v>
      </c>
      <c r="I8726">
        <v>304</v>
      </c>
      <c r="J8726">
        <v>0</v>
      </c>
      <c r="K8726" t="str">
        <f t="shared" si="1552"/>
        <v>816</v>
      </c>
      <c r="L8726">
        <v>304</v>
      </c>
    </row>
    <row r="8727" spans="1:12" x14ac:dyDescent="0.25">
      <c r="A8727" t="str">
        <f t="shared" si="1549"/>
        <v>89301000</v>
      </c>
      <c r="B8727" t="str">
        <f t="shared" si="1550"/>
        <v>72100000</v>
      </c>
      <c r="C8727" t="str">
        <f t="shared" si="1551"/>
        <v>72100632</v>
      </c>
      <c r="D8727">
        <v>89301091</v>
      </c>
      <c r="E8727" t="str">
        <f>"2354250448"</f>
        <v>2354250448</v>
      </c>
      <c r="F8727" s="1">
        <v>45049</v>
      </c>
      <c r="G8727" t="str">
        <f t="shared" si="1553"/>
        <v>94297</v>
      </c>
      <c r="H8727">
        <v>1</v>
      </c>
      <c r="I8727">
        <v>304</v>
      </c>
      <c r="J8727">
        <v>0</v>
      </c>
      <c r="K8727" t="str">
        <f t="shared" si="1552"/>
        <v>816</v>
      </c>
      <c r="L8727">
        <v>304</v>
      </c>
    </row>
    <row r="8728" spans="1:12" x14ac:dyDescent="0.25">
      <c r="A8728" t="str">
        <f t="shared" si="1549"/>
        <v>89301000</v>
      </c>
      <c r="B8728" t="str">
        <f t="shared" si="1550"/>
        <v>72100000</v>
      </c>
      <c r="C8728" t="str">
        <f t="shared" si="1551"/>
        <v>72100632</v>
      </c>
      <c r="D8728">
        <v>89301091</v>
      </c>
      <c r="E8728" t="str">
        <f>"2354200497"</f>
        <v>2354200497</v>
      </c>
      <c r="F8728" s="1">
        <v>45050</v>
      </c>
      <c r="G8728" t="str">
        <f t="shared" si="1553"/>
        <v>94297</v>
      </c>
      <c r="H8728">
        <v>1</v>
      </c>
      <c r="I8728">
        <v>304</v>
      </c>
      <c r="J8728">
        <v>0</v>
      </c>
      <c r="K8728" t="str">
        <f t="shared" si="1552"/>
        <v>816</v>
      </c>
      <c r="L8728">
        <v>304</v>
      </c>
    </row>
    <row r="8729" spans="1:12" x14ac:dyDescent="0.25">
      <c r="A8729" t="str">
        <f t="shared" si="1549"/>
        <v>89301000</v>
      </c>
      <c r="B8729" t="str">
        <f t="shared" si="1550"/>
        <v>72100000</v>
      </c>
      <c r="C8729" t="str">
        <f t="shared" si="1551"/>
        <v>72100632</v>
      </c>
      <c r="D8729">
        <v>89301091</v>
      </c>
      <c r="E8729" t="str">
        <f>"2304260442"</f>
        <v>2304260442</v>
      </c>
      <c r="F8729" s="1">
        <v>45050</v>
      </c>
      <c r="G8729" t="str">
        <f t="shared" si="1553"/>
        <v>94297</v>
      </c>
      <c r="H8729">
        <v>1</v>
      </c>
      <c r="I8729">
        <v>304</v>
      </c>
      <c r="J8729">
        <v>0</v>
      </c>
      <c r="K8729" t="str">
        <f t="shared" si="1552"/>
        <v>816</v>
      </c>
      <c r="L8729">
        <v>304</v>
      </c>
    </row>
    <row r="8730" spans="1:12" x14ac:dyDescent="0.25">
      <c r="A8730" t="str">
        <f t="shared" si="1549"/>
        <v>89301000</v>
      </c>
      <c r="B8730" t="str">
        <f t="shared" si="1550"/>
        <v>72100000</v>
      </c>
      <c r="C8730" t="str">
        <f t="shared" si="1551"/>
        <v>72100632</v>
      </c>
      <c r="D8730">
        <v>89301091</v>
      </c>
      <c r="E8730" t="str">
        <f>"2304260464"</f>
        <v>2304260464</v>
      </c>
      <c r="F8730" s="1">
        <v>45050</v>
      </c>
      <c r="G8730" t="str">
        <f t="shared" si="1553"/>
        <v>94297</v>
      </c>
      <c r="H8730">
        <v>1</v>
      </c>
      <c r="I8730">
        <v>304</v>
      </c>
      <c r="J8730">
        <v>0</v>
      </c>
      <c r="K8730" t="str">
        <f t="shared" si="1552"/>
        <v>816</v>
      </c>
      <c r="L8730">
        <v>304</v>
      </c>
    </row>
    <row r="8731" spans="1:12" x14ac:dyDescent="0.25">
      <c r="A8731" t="str">
        <f t="shared" si="1549"/>
        <v>89301000</v>
      </c>
      <c r="B8731" t="str">
        <f t="shared" si="1550"/>
        <v>72100000</v>
      </c>
      <c r="C8731" t="str">
        <f t="shared" si="1551"/>
        <v>72100632</v>
      </c>
      <c r="D8731">
        <v>89301091</v>
      </c>
      <c r="E8731" t="str">
        <f>"2354270523"</f>
        <v>2354270523</v>
      </c>
      <c r="F8731" s="1">
        <v>45050</v>
      </c>
      <c r="G8731" t="str">
        <f t="shared" si="1553"/>
        <v>94297</v>
      </c>
      <c r="H8731">
        <v>1</v>
      </c>
      <c r="I8731">
        <v>304</v>
      </c>
      <c r="J8731">
        <v>0</v>
      </c>
      <c r="K8731" t="str">
        <f t="shared" si="1552"/>
        <v>816</v>
      </c>
      <c r="L8731">
        <v>304</v>
      </c>
    </row>
    <row r="8732" spans="1:12" x14ac:dyDescent="0.25">
      <c r="A8732" t="str">
        <f t="shared" si="1549"/>
        <v>89301000</v>
      </c>
      <c r="B8732" t="str">
        <f t="shared" si="1550"/>
        <v>72100000</v>
      </c>
      <c r="C8732" t="str">
        <f t="shared" si="1551"/>
        <v>72100632</v>
      </c>
      <c r="D8732">
        <v>89301091</v>
      </c>
      <c r="E8732" t="str">
        <f>"9655295716"</f>
        <v>9655295716</v>
      </c>
      <c r="F8732" s="1">
        <v>45050</v>
      </c>
      <c r="G8732" t="str">
        <f t="shared" si="1553"/>
        <v>94297</v>
      </c>
      <c r="H8732">
        <v>1</v>
      </c>
      <c r="I8732">
        <v>304</v>
      </c>
      <c r="J8732">
        <v>0</v>
      </c>
      <c r="K8732" t="str">
        <f t="shared" si="1552"/>
        <v>816</v>
      </c>
      <c r="L8732">
        <v>304</v>
      </c>
    </row>
    <row r="8733" spans="1:12" x14ac:dyDescent="0.25">
      <c r="A8733" t="str">
        <f t="shared" si="1549"/>
        <v>89301000</v>
      </c>
      <c r="B8733" t="str">
        <f t="shared" si="1550"/>
        <v>72100000</v>
      </c>
      <c r="C8733" t="str">
        <f t="shared" si="1551"/>
        <v>72100632</v>
      </c>
      <c r="D8733">
        <v>89301091</v>
      </c>
      <c r="E8733" t="str">
        <f>"9062295374"</f>
        <v>9062295374</v>
      </c>
      <c r="F8733" s="1">
        <v>45050</v>
      </c>
      <c r="G8733" t="str">
        <f t="shared" si="1553"/>
        <v>94297</v>
      </c>
      <c r="H8733">
        <v>1</v>
      </c>
      <c r="I8733">
        <v>304</v>
      </c>
      <c r="J8733">
        <v>0</v>
      </c>
      <c r="K8733" t="str">
        <f t="shared" si="1552"/>
        <v>816</v>
      </c>
      <c r="L8733">
        <v>304</v>
      </c>
    </row>
    <row r="8734" spans="1:12" x14ac:dyDescent="0.25">
      <c r="A8734" t="str">
        <f t="shared" si="1549"/>
        <v>89301000</v>
      </c>
      <c r="B8734" t="str">
        <f t="shared" si="1550"/>
        <v>72100000</v>
      </c>
      <c r="C8734" t="str">
        <f t="shared" si="1551"/>
        <v>72100632</v>
      </c>
      <c r="D8734">
        <v>89301091</v>
      </c>
      <c r="E8734" t="str">
        <f>"9654256150"</f>
        <v>9654256150</v>
      </c>
      <c r="F8734" s="1">
        <v>45051</v>
      </c>
      <c r="G8734" t="str">
        <f t="shared" si="1553"/>
        <v>94297</v>
      </c>
      <c r="H8734">
        <v>1</v>
      </c>
      <c r="I8734">
        <v>304</v>
      </c>
      <c r="J8734">
        <v>0</v>
      </c>
      <c r="K8734" t="str">
        <f t="shared" si="1552"/>
        <v>816</v>
      </c>
      <c r="L8734">
        <v>304</v>
      </c>
    </row>
    <row r="8735" spans="1:12" x14ac:dyDescent="0.25">
      <c r="A8735" t="str">
        <f t="shared" si="1549"/>
        <v>89301000</v>
      </c>
      <c r="B8735" t="str">
        <f t="shared" si="1550"/>
        <v>72100000</v>
      </c>
      <c r="C8735" t="str">
        <f t="shared" si="1551"/>
        <v>72100632</v>
      </c>
      <c r="D8735">
        <v>89301091</v>
      </c>
      <c r="E8735" t="str">
        <f>"2305010356"</f>
        <v>2305010356</v>
      </c>
      <c r="F8735" s="1">
        <v>45055</v>
      </c>
      <c r="G8735" t="str">
        <f t="shared" si="1553"/>
        <v>94297</v>
      </c>
      <c r="H8735">
        <v>1</v>
      </c>
      <c r="I8735">
        <v>304</v>
      </c>
      <c r="J8735">
        <v>0</v>
      </c>
      <c r="K8735" t="str">
        <f t="shared" si="1552"/>
        <v>816</v>
      </c>
      <c r="L8735">
        <v>304</v>
      </c>
    </row>
    <row r="8736" spans="1:12" x14ac:dyDescent="0.25">
      <c r="A8736" t="str">
        <f t="shared" si="1549"/>
        <v>89301000</v>
      </c>
      <c r="B8736" t="str">
        <f t="shared" si="1550"/>
        <v>72100000</v>
      </c>
      <c r="C8736" t="str">
        <f t="shared" si="1551"/>
        <v>72100632</v>
      </c>
      <c r="D8736">
        <v>89301091</v>
      </c>
      <c r="E8736" t="str">
        <f>"2355010317"</f>
        <v>2355010317</v>
      </c>
      <c r="F8736" s="1">
        <v>45055</v>
      </c>
      <c r="G8736" t="str">
        <f t="shared" si="1553"/>
        <v>94297</v>
      </c>
      <c r="H8736">
        <v>1</v>
      </c>
      <c r="I8736">
        <v>304</v>
      </c>
      <c r="J8736">
        <v>0</v>
      </c>
      <c r="K8736" t="str">
        <f t="shared" si="1552"/>
        <v>816</v>
      </c>
      <c r="L8736">
        <v>304</v>
      </c>
    </row>
    <row r="8737" spans="1:12" x14ac:dyDescent="0.25">
      <c r="A8737" t="str">
        <f t="shared" si="1549"/>
        <v>89301000</v>
      </c>
      <c r="B8737" t="str">
        <f t="shared" si="1550"/>
        <v>72100000</v>
      </c>
      <c r="C8737" t="str">
        <f t="shared" si="1551"/>
        <v>72100632</v>
      </c>
      <c r="D8737">
        <v>89301091</v>
      </c>
      <c r="E8737" t="str">
        <f>"2355020602"</f>
        <v>2355020602</v>
      </c>
      <c r="F8737" s="1">
        <v>45056</v>
      </c>
      <c r="G8737" t="str">
        <f t="shared" si="1553"/>
        <v>94297</v>
      </c>
      <c r="H8737">
        <v>1</v>
      </c>
      <c r="I8737">
        <v>304</v>
      </c>
      <c r="J8737">
        <v>0</v>
      </c>
      <c r="K8737" t="str">
        <f t="shared" si="1552"/>
        <v>816</v>
      </c>
      <c r="L8737">
        <v>304</v>
      </c>
    </row>
    <row r="8738" spans="1:12" x14ac:dyDescent="0.25">
      <c r="A8738" t="str">
        <f t="shared" si="1549"/>
        <v>89301000</v>
      </c>
      <c r="B8738" t="str">
        <f t="shared" si="1550"/>
        <v>72100000</v>
      </c>
      <c r="C8738" t="str">
        <f t="shared" si="1551"/>
        <v>72100632</v>
      </c>
      <c r="D8738">
        <v>89301091</v>
      </c>
      <c r="E8738" t="str">
        <f>"2355020613"</f>
        <v>2355020613</v>
      </c>
      <c r="F8738" s="1">
        <v>45056</v>
      </c>
      <c r="G8738" t="str">
        <f t="shared" si="1553"/>
        <v>94297</v>
      </c>
      <c r="H8738">
        <v>1</v>
      </c>
      <c r="I8738">
        <v>304</v>
      </c>
      <c r="J8738">
        <v>0</v>
      </c>
      <c r="K8738" t="str">
        <f t="shared" si="1552"/>
        <v>816</v>
      </c>
      <c r="L8738">
        <v>304</v>
      </c>
    </row>
    <row r="8739" spans="1:12" x14ac:dyDescent="0.25">
      <c r="A8739" t="str">
        <f t="shared" si="1549"/>
        <v>89301000</v>
      </c>
      <c r="B8739" t="str">
        <f t="shared" si="1550"/>
        <v>72100000</v>
      </c>
      <c r="C8739" t="str">
        <f t="shared" si="1551"/>
        <v>72100632</v>
      </c>
      <c r="D8739">
        <v>89301091</v>
      </c>
      <c r="E8739" t="str">
        <f>"2355020624"</f>
        <v>2355020624</v>
      </c>
      <c r="F8739" s="1">
        <v>45056</v>
      </c>
      <c r="G8739" t="str">
        <f t="shared" si="1553"/>
        <v>94297</v>
      </c>
      <c r="H8739">
        <v>1</v>
      </c>
      <c r="I8739">
        <v>304</v>
      </c>
      <c r="J8739">
        <v>0</v>
      </c>
      <c r="K8739" t="str">
        <f t="shared" si="1552"/>
        <v>816</v>
      </c>
      <c r="L8739">
        <v>304</v>
      </c>
    </row>
    <row r="8740" spans="1:12" x14ac:dyDescent="0.25">
      <c r="A8740" t="str">
        <f t="shared" si="1549"/>
        <v>89301000</v>
      </c>
      <c r="B8740" t="str">
        <f t="shared" si="1550"/>
        <v>72100000</v>
      </c>
      <c r="C8740" t="str">
        <f t="shared" si="1551"/>
        <v>72100632</v>
      </c>
      <c r="D8740">
        <v>89301091</v>
      </c>
      <c r="E8740" t="str">
        <f>"2305020586"</f>
        <v>2305020586</v>
      </c>
      <c r="F8740" s="1">
        <v>45056</v>
      </c>
      <c r="G8740" t="str">
        <f t="shared" si="1553"/>
        <v>94297</v>
      </c>
      <c r="H8740">
        <v>1</v>
      </c>
      <c r="I8740">
        <v>304</v>
      </c>
      <c r="J8740">
        <v>0</v>
      </c>
      <c r="K8740" t="str">
        <f t="shared" si="1552"/>
        <v>816</v>
      </c>
      <c r="L8740">
        <v>304</v>
      </c>
    </row>
    <row r="8741" spans="1:12" x14ac:dyDescent="0.25">
      <c r="A8741" t="str">
        <f t="shared" si="1549"/>
        <v>89301000</v>
      </c>
      <c r="B8741" t="str">
        <f t="shared" si="1550"/>
        <v>72100000</v>
      </c>
      <c r="C8741" t="str">
        <f t="shared" si="1551"/>
        <v>72100632</v>
      </c>
      <c r="D8741">
        <v>89301091</v>
      </c>
      <c r="E8741" t="str">
        <f>"2305030574"</f>
        <v>2305030574</v>
      </c>
      <c r="F8741" s="1">
        <v>45057</v>
      </c>
      <c r="G8741" t="str">
        <f t="shared" si="1553"/>
        <v>94297</v>
      </c>
      <c r="H8741">
        <v>1</v>
      </c>
      <c r="I8741">
        <v>304</v>
      </c>
      <c r="J8741">
        <v>0</v>
      </c>
      <c r="K8741" t="str">
        <f t="shared" si="1552"/>
        <v>816</v>
      </c>
      <c r="L8741">
        <v>304</v>
      </c>
    </row>
    <row r="8742" spans="1:12" x14ac:dyDescent="0.25">
      <c r="A8742" t="str">
        <f t="shared" si="1549"/>
        <v>89301000</v>
      </c>
      <c r="B8742" t="str">
        <f t="shared" si="1550"/>
        <v>72100000</v>
      </c>
      <c r="C8742" t="str">
        <f t="shared" si="1551"/>
        <v>72100632</v>
      </c>
      <c r="D8742">
        <v>89301091</v>
      </c>
      <c r="E8742" t="str">
        <f>"2355040545"</f>
        <v>2355040545</v>
      </c>
      <c r="F8742" s="1">
        <v>45057</v>
      </c>
      <c r="G8742" t="str">
        <f t="shared" si="1553"/>
        <v>94297</v>
      </c>
      <c r="H8742">
        <v>1</v>
      </c>
      <c r="I8742">
        <v>304</v>
      </c>
      <c r="J8742">
        <v>0</v>
      </c>
      <c r="K8742" t="str">
        <f t="shared" si="1552"/>
        <v>816</v>
      </c>
      <c r="L8742">
        <v>304</v>
      </c>
    </row>
    <row r="8743" spans="1:12" x14ac:dyDescent="0.25">
      <c r="A8743" t="str">
        <f t="shared" si="1549"/>
        <v>89301000</v>
      </c>
      <c r="B8743" t="str">
        <f t="shared" si="1550"/>
        <v>72100000</v>
      </c>
      <c r="C8743" t="str">
        <f t="shared" si="1551"/>
        <v>72100632</v>
      </c>
      <c r="D8743">
        <v>89301091</v>
      </c>
      <c r="E8743" t="str">
        <f>"9351314841"</f>
        <v>9351314841</v>
      </c>
      <c r="F8743" s="1">
        <v>45057</v>
      </c>
      <c r="G8743" t="str">
        <f t="shared" si="1553"/>
        <v>94297</v>
      </c>
      <c r="H8743">
        <v>1</v>
      </c>
      <c r="I8743">
        <v>304</v>
      </c>
      <c r="J8743">
        <v>0</v>
      </c>
      <c r="K8743" t="str">
        <f t="shared" si="1552"/>
        <v>816</v>
      </c>
      <c r="L8743">
        <v>304</v>
      </c>
    </row>
    <row r="8744" spans="1:12" x14ac:dyDescent="0.25">
      <c r="A8744" t="str">
        <f t="shared" si="1549"/>
        <v>89301000</v>
      </c>
      <c r="B8744" t="str">
        <f t="shared" si="1550"/>
        <v>72100000</v>
      </c>
      <c r="C8744" t="str">
        <f t="shared" si="1551"/>
        <v>72100632</v>
      </c>
      <c r="D8744">
        <v>89301091</v>
      </c>
      <c r="E8744" t="str">
        <f>"8255104484"</f>
        <v>8255104484</v>
      </c>
      <c r="F8744" s="1">
        <v>45057</v>
      </c>
      <c r="G8744" t="str">
        <f t="shared" si="1553"/>
        <v>94297</v>
      </c>
      <c r="H8744">
        <v>1</v>
      </c>
      <c r="I8744">
        <v>304</v>
      </c>
      <c r="J8744">
        <v>0</v>
      </c>
      <c r="K8744" t="str">
        <f t="shared" si="1552"/>
        <v>816</v>
      </c>
      <c r="L8744">
        <v>304</v>
      </c>
    </row>
    <row r="8745" spans="1:12" x14ac:dyDescent="0.25">
      <c r="A8745" t="str">
        <f t="shared" si="1549"/>
        <v>89301000</v>
      </c>
      <c r="B8745" t="str">
        <f t="shared" si="1550"/>
        <v>72100000</v>
      </c>
      <c r="C8745" t="str">
        <f t="shared" si="1551"/>
        <v>72100632</v>
      </c>
      <c r="D8745">
        <v>89301091</v>
      </c>
      <c r="E8745" t="str">
        <f>"9653044841"</f>
        <v>9653044841</v>
      </c>
      <c r="F8745" s="1">
        <v>45057</v>
      </c>
      <c r="G8745" t="str">
        <f t="shared" si="1553"/>
        <v>94297</v>
      </c>
      <c r="H8745">
        <v>1</v>
      </c>
      <c r="I8745">
        <v>304</v>
      </c>
      <c r="J8745">
        <v>0</v>
      </c>
      <c r="K8745" t="str">
        <f t="shared" si="1552"/>
        <v>816</v>
      </c>
      <c r="L8745">
        <v>304</v>
      </c>
    </row>
    <row r="8746" spans="1:12" x14ac:dyDescent="0.25">
      <c r="A8746" t="str">
        <f t="shared" si="1549"/>
        <v>89301000</v>
      </c>
      <c r="B8746" t="str">
        <f t="shared" si="1550"/>
        <v>72100000</v>
      </c>
      <c r="C8746" t="str">
        <f t="shared" si="1551"/>
        <v>72100632</v>
      </c>
      <c r="D8746">
        <v>89301091</v>
      </c>
      <c r="E8746" t="str">
        <f>"9152234850"</f>
        <v>9152234850</v>
      </c>
      <c r="F8746" s="1">
        <v>45057</v>
      </c>
      <c r="G8746" t="str">
        <f t="shared" ref="G8746:G8772" si="1554">"94297"</f>
        <v>94297</v>
      </c>
      <c r="H8746">
        <v>1</v>
      </c>
      <c r="I8746">
        <v>304</v>
      </c>
      <c r="J8746">
        <v>0</v>
      </c>
      <c r="K8746" t="str">
        <f t="shared" si="1552"/>
        <v>816</v>
      </c>
      <c r="L8746">
        <v>304</v>
      </c>
    </row>
    <row r="8747" spans="1:12" x14ac:dyDescent="0.25">
      <c r="A8747" t="str">
        <f t="shared" si="1549"/>
        <v>89301000</v>
      </c>
      <c r="B8747" t="str">
        <f t="shared" si="1550"/>
        <v>72100000</v>
      </c>
      <c r="C8747" t="str">
        <f t="shared" si="1551"/>
        <v>72100632</v>
      </c>
      <c r="D8747">
        <v>89301091</v>
      </c>
      <c r="E8747" t="str">
        <f>"8954156079"</f>
        <v>8954156079</v>
      </c>
      <c r="F8747" s="1">
        <v>45058</v>
      </c>
      <c r="G8747" t="str">
        <f t="shared" si="1554"/>
        <v>94297</v>
      </c>
      <c r="H8747">
        <v>1</v>
      </c>
      <c r="I8747">
        <v>304</v>
      </c>
      <c r="J8747">
        <v>0</v>
      </c>
      <c r="K8747" t="str">
        <f t="shared" si="1552"/>
        <v>816</v>
      </c>
      <c r="L8747">
        <v>304</v>
      </c>
    </row>
    <row r="8748" spans="1:12" x14ac:dyDescent="0.25">
      <c r="A8748" t="str">
        <f t="shared" si="1549"/>
        <v>89301000</v>
      </c>
      <c r="B8748" t="str">
        <f t="shared" si="1550"/>
        <v>72100000</v>
      </c>
      <c r="C8748" t="str">
        <f t="shared" si="1551"/>
        <v>72100632</v>
      </c>
      <c r="D8748">
        <v>89301091</v>
      </c>
      <c r="E8748" t="str">
        <f>"9254215740"</f>
        <v>9254215740</v>
      </c>
      <c r="F8748" s="1">
        <v>45058</v>
      </c>
      <c r="G8748" t="str">
        <f t="shared" si="1554"/>
        <v>94297</v>
      </c>
      <c r="H8748">
        <v>1</v>
      </c>
      <c r="I8748">
        <v>304</v>
      </c>
      <c r="J8748">
        <v>0</v>
      </c>
      <c r="K8748" t="str">
        <f t="shared" si="1552"/>
        <v>816</v>
      </c>
      <c r="L8748">
        <v>304</v>
      </c>
    </row>
    <row r="8749" spans="1:12" x14ac:dyDescent="0.25">
      <c r="A8749" t="str">
        <f t="shared" si="1549"/>
        <v>89301000</v>
      </c>
      <c r="B8749" t="str">
        <f t="shared" si="1550"/>
        <v>72100000</v>
      </c>
      <c r="C8749" t="str">
        <f t="shared" si="1551"/>
        <v>72100632</v>
      </c>
      <c r="D8749">
        <v>89301091</v>
      </c>
      <c r="E8749" t="str">
        <f>"2305080338"</f>
        <v>2305080338</v>
      </c>
      <c r="F8749" s="1">
        <v>45061</v>
      </c>
      <c r="G8749" t="str">
        <f t="shared" si="1554"/>
        <v>94297</v>
      </c>
      <c r="H8749">
        <v>1</v>
      </c>
      <c r="I8749">
        <v>304</v>
      </c>
      <c r="J8749">
        <v>0</v>
      </c>
      <c r="K8749" t="str">
        <f t="shared" si="1552"/>
        <v>816</v>
      </c>
      <c r="L8749">
        <v>304</v>
      </c>
    </row>
    <row r="8750" spans="1:12" x14ac:dyDescent="0.25">
      <c r="A8750" t="str">
        <f t="shared" si="1549"/>
        <v>89301000</v>
      </c>
      <c r="B8750" t="str">
        <f t="shared" si="1550"/>
        <v>72100000</v>
      </c>
      <c r="C8750" t="str">
        <f t="shared" si="1551"/>
        <v>72100632</v>
      </c>
      <c r="D8750">
        <v>89301091</v>
      </c>
      <c r="E8750" t="str">
        <f>"2355090045"</f>
        <v>2355090045</v>
      </c>
      <c r="F8750" s="1">
        <v>45061</v>
      </c>
      <c r="G8750" t="str">
        <f t="shared" si="1554"/>
        <v>94297</v>
      </c>
      <c r="H8750">
        <v>1</v>
      </c>
      <c r="I8750">
        <v>304</v>
      </c>
      <c r="J8750">
        <v>0</v>
      </c>
      <c r="K8750" t="str">
        <f t="shared" si="1552"/>
        <v>816</v>
      </c>
      <c r="L8750">
        <v>304</v>
      </c>
    </row>
    <row r="8751" spans="1:12" x14ac:dyDescent="0.25">
      <c r="A8751" t="str">
        <f t="shared" si="1549"/>
        <v>89301000</v>
      </c>
      <c r="B8751" t="str">
        <f t="shared" si="1550"/>
        <v>72100000</v>
      </c>
      <c r="C8751" t="str">
        <f t="shared" si="1551"/>
        <v>72100632</v>
      </c>
      <c r="D8751">
        <v>89301091</v>
      </c>
      <c r="E8751" t="str">
        <f>"9257275709"</f>
        <v>9257275709</v>
      </c>
      <c r="F8751" s="1">
        <v>45062</v>
      </c>
      <c r="G8751" t="str">
        <f t="shared" si="1554"/>
        <v>94297</v>
      </c>
      <c r="H8751">
        <v>1</v>
      </c>
      <c r="I8751">
        <v>304</v>
      </c>
      <c r="J8751">
        <v>0</v>
      </c>
      <c r="K8751" t="str">
        <f t="shared" si="1552"/>
        <v>816</v>
      </c>
      <c r="L8751">
        <v>304</v>
      </c>
    </row>
    <row r="8752" spans="1:12" x14ac:dyDescent="0.25">
      <c r="A8752" t="str">
        <f t="shared" si="1549"/>
        <v>89301000</v>
      </c>
      <c r="B8752" t="str">
        <f t="shared" si="1550"/>
        <v>72100000</v>
      </c>
      <c r="C8752" t="str">
        <f t="shared" si="1551"/>
        <v>72100632</v>
      </c>
      <c r="D8752">
        <v>89301091</v>
      </c>
      <c r="E8752" t="str">
        <f>"8655122520"</f>
        <v>8655122520</v>
      </c>
      <c r="F8752" s="1">
        <v>45062</v>
      </c>
      <c r="G8752" t="str">
        <f t="shared" si="1554"/>
        <v>94297</v>
      </c>
      <c r="H8752">
        <v>1</v>
      </c>
      <c r="I8752">
        <v>304</v>
      </c>
      <c r="J8752">
        <v>0</v>
      </c>
      <c r="K8752" t="str">
        <f t="shared" si="1552"/>
        <v>816</v>
      </c>
      <c r="L8752">
        <v>304</v>
      </c>
    </row>
    <row r="8753" spans="1:12" x14ac:dyDescent="0.25">
      <c r="A8753" t="str">
        <f t="shared" si="1549"/>
        <v>89301000</v>
      </c>
      <c r="B8753" t="str">
        <f t="shared" si="1550"/>
        <v>72100000</v>
      </c>
      <c r="C8753" t="str">
        <f t="shared" si="1551"/>
        <v>72100632</v>
      </c>
      <c r="D8753">
        <v>89301091</v>
      </c>
      <c r="E8753" t="str">
        <f>"2305090502"</f>
        <v>2305090502</v>
      </c>
      <c r="F8753" s="1">
        <v>45062</v>
      </c>
      <c r="G8753" t="str">
        <f t="shared" si="1554"/>
        <v>94297</v>
      </c>
      <c r="H8753">
        <v>1</v>
      </c>
      <c r="I8753">
        <v>304</v>
      </c>
      <c r="J8753">
        <v>0</v>
      </c>
      <c r="K8753" t="str">
        <f t="shared" si="1552"/>
        <v>816</v>
      </c>
      <c r="L8753">
        <v>304</v>
      </c>
    </row>
    <row r="8754" spans="1:12" x14ac:dyDescent="0.25">
      <c r="A8754" t="str">
        <f t="shared" si="1549"/>
        <v>89301000</v>
      </c>
      <c r="B8754" t="str">
        <f t="shared" si="1550"/>
        <v>72100000</v>
      </c>
      <c r="C8754" t="str">
        <f t="shared" si="1551"/>
        <v>72100632</v>
      </c>
      <c r="D8754">
        <v>89301091</v>
      </c>
      <c r="E8754" t="str">
        <f>"2355090573"</f>
        <v>2355090573</v>
      </c>
      <c r="F8754" s="1">
        <v>45062</v>
      </c>
      <c r="G8754" t="str">
        <f t="shared" si="1554"/>
        <v>94297</v>
      </c>
      <c r="H8754">
        <v>1</v>
      </c>
      <c r="I8754">
        <v>304</v>
      </c>
      <c r="J8754">
        <v>0</v>
      </c>
      <c r="K8754" t="str">
        <f t="shared" si="1552"/>
        <v>816</v>
      </c>
      <c r="L8754">
        <v>304</v>
      </c>
    </row>
    <row r="8755" spans="1:12" x14ac:dyDescent="0.25">
      <c r="A8755" t="str">
        <f t="shared" si="1549"/>
        <v>89301000</v>
      </c>
      <c r="B8755" t="str">
        <f t="shared" si="1550"/>
        <v>72100000</v>
      </c>
      <c r="C8755" t="str">
        <f t="shared" si="1551"/>
        <v>72100632</v>
      </c>
      <c r="D8755">
        <v>89301091</v>
      </c>
      <c r="E8755" t="str">
        <f>"2305100710"</f>
        <v>2305100710</v>
      </c>
      <c r="F8755" s="1">
        <v>45063</v>
      </c>
      <c r="G8755" t="str">
        <f t="shared" si="1554"/>
        <v>94297</v>
      </c>
      <c r="H8755">
        <v>1</v>
      </c>
      <c r="I8755">
        <v>304</v>
      </c>
      <c r="J8755">
        <v>0</v>
      </c>
      <c r="K8755" t="str">
        <f t="shared" si="1552"/>
        <v>816</v>
      </c>
      <c r="L8755">
        <v>304</v>
      </c>
    </row>
    <row r="8756" spans="1:12" x14ac:dyDescent="0.25">
      <c r="A8756" t="str">
        <f t="shared" si="1549"/>
        <v>89301000</v>
      </c>
      <c r="B8756" t="str">
        <f t="shared" si="1550"/>
        <v>72100000</v>
      </c>
      <c r="C8756" t="str">
        <f t="shared" si="1551"/>
        <v>72100632</v>
      </c>
      <c r="D8756">
        <v>89301091</v>
      </c>
      <c r="E8756" t="str">
        <f>"2355110109"</f>
        <v>2355110109</v>
      </c>
      <c r="F8756" s="1">
        <v>45063</v>
      </c>
      <c r="G8756" t="str">
        <f t="shared" si="1554"/>
        <v>94297</v>
      </c>
      <c r="H8756">
        <v>1</v>
      </c>
      <c r="I8756">
        <v>304</v>
      </c>
      <c r="J8756">
        <v>0</v>
      </c>
      <c r="K8756" t="str">
        <f t="shared" si="1552"/>
        <v>816</v>
      </c>
      <c r="L8756">
        <v>304</v>
      </c>
    </row>
    <row r="8757" spans="1:12" x14ac:dyDescent="0.25">
      <c r="A8757" t="str">
        <f t="shared" si="1549"/>
        <v>89301000</v>
      </c>
      <c r="B8757" t="str">
        <f t="shared" si="1550"/>
        <v>72100000</v>
      </c>
      <c r="C8757" t="str">
        <f t="shared" si="1551"/>
        <v>72100632</v>
      </c>
      <c r="D8757">
        <v>89301091</v>
      </c>
      <c r="E8757" t="str">
        <f>"2305110555"</f>
        <v>2305110555</v>
      </c>
      <c r="F8757" s="1">
        <v>45063</v>
      </c>
      <c r="G8757" t="str">
        <f t="shared" si="1554"/>
        <v>94297</v>
      </c>
      <c r="H8757">
        <v>1</v>
      </c>
      <c r="I8757">
        <v>304</v>
      </c>
      <c r="J8757">
        <v>0</v>
      </c>
      <c r="K8757" t="str">
        <f t="shared" si="1552"/>
        <v>816</v>
      </c>
      <c r="L8757">
        <v>304</v>
      </c>
    </row>
    <row r="8758" spans="1:12" x14ac:dyDescent="0.25">
      <c r="A8758" t="str">
        <f t="shared" si="1549"/>
        <v>89301000</v>
      </c>
      <c r="B8758" t="str">
        <f t="shared" si="1550"/>
        <v>72100000</v>
      </c>
      <c r="C8758" t="str">
        <f t="shared" si="1551"/>
        <v>72100632</v>
      </c>
      <c r="D8758">
        <v>89301091</v>
      </c>
      <c r="E8758" t="str">
        <f>"2305110544"</f>
        <v>2305110544</v>
      </c>
      <c r="F8758" s="1">
        <v>45063</v>
      </c>
      <c r="G8758" t="str">
        <f t="shared" si="1554"/>
        <v>94297</v>
      </c>
      <c r="H8758">
        <v>1</v>
      </c>
      <c r="I8758">
        <v>304</v>
      </c>
      <c r="J8758">
        <v>0</v>
      </c>
      <c r="K8758" t="str">
        <f t="shared" si="1552"/>
        <v>816</v>
      </c>
      <c r="L8758">
        <v>304</v>
      </c>
    </row>
    <row r="8759" spans="1:12" x14ac:dyDescent="0.25">
      <c r="A8759" t="str">
        <f t="shared" si="1549"/>
        <v>89301000</v>
      </c>
      <c r="B8759" t="str">
        <f t="shared" si="1550"/>
        <v>72100000</v>
      </c>
      <c r="C8759" t="str">
        <f t="shared" si="1551"/>
        <v>72100632</v>
      </c>
      <c r="D8759">
        <v>89301091</v>
      </c>
      <c r="E8759" t="str">
        <f>"2355110571"</f>
        <v>2355110571</v>
      </c>
      <c r="F8759" s="1">
        <v>45063</v>
      </c>
      <c r="G8759" t="str">
        <f t="shared" si="1554"/>
        <v>94297</v>
      </c>
      <c r="H8759">
        <v>1</v>
      </c>
      <c r="I8759">
        <v>304</v>
      </c>
      <c r="J8759">
        <v>0</v>
      </c>
      <c r="K8759" t="str">
        <f t="shared" si="1552"/>
        <v>816</v>
      </c>
      <c r="L8759">
        <v>304</v>
      </c>
    </row>
    <row r="8760" spans="1:12" x14ac:dyDescent="0.25">
      <c r="A8760" t="str">
        <f t="shared" si="1549"/>
        <v>89301000</v>
      </c>
      <c r="B8760" t="str">
        <f t="shared" si="1550"/>
        <v>72100000</v>
      </c>
      <c r="C8760" t="str">
        <f t="shared" si="1551"/>
        <v>72100632</v>
      </c>
      <c r="D8760">
        <v>89301091</v>
      </c>
      <c r="E8760" t="str">
        <f>"2305140354"</f>
        <v>2305140354</v>
      </c>
      <c r="F8760" s="1">
        <v>45065</v>
      </c>
      <c r="G8760" t="str">
        <f t="shared" si="1554"/>
        <v>94297</v>
      </c>
      <c r="H8760">
        <v>1</v>
      </c>
      <c r="I8760">
        <v>304</v>
      </c>
      <c r="J8760">
        <v>0</v>
      </c>
      <c r="K8760" t="str">
        <f t="shared" si="1552"/>
        <v>816</v>
      </c>
      <c r="L8760">
        <v>304</v>
      </c>
    </row>
    <row r="8761" spans="1:12" x14ac:dyDescent="0.25">
      <c r="A8761" t="str">
        <f t="shared" si="1549"/>
        <v>89301000</v>
      </c>
      <c r="B8761" t="str">
        <f t="shared" si="1550"/>
        <v>72100000</v>
      </c>
      <c r="C8761" t="str">
        <f t="shared" si="1551"/>
        <v>72100632</v>
      </c>
      <c r="D8761">
        <v>89301091</v>
      </c>
      <c r="E8761" t="str">
        <f>"2355150446"</f>
        <v>2355150446</v>
      </c>
      <c r="F8761" s="1">
        <v>45068</v>
      </c>
      <c r="G8761" t="str">
        <f t="shared" si="1554"/>
        <v>94297</v>
      </c>
      <c r="H8761">
        <v>1</v>
      </c>
      <c r="I8761">
        <v>304</v>
      </c>
      <c r="J8761">
        <v>0</v>
      </c>
      <c r="K8761" t="str">
        <f t="shared" si="1552"/>
        <v>816</v>
      </c>
      <c r="L8761">
        <v>304</v>
      </c>
    </row>
    <row r="8762" spans="1:12" x14ac:dyDescent="0.25">
      <c r="A8762" t="str">
        <f t="shared" si="1549"/>
        <v>89301000</v>
      </c>
      <c r="B8762" t="str">
        <f t="shared" si="1550"/>
        <v>72100000</v>
      </c>
      <c r="C8762" t="str">
        <f t="shared" si="1551"/>
        <v>72100632</v>
      </c>
      <c r="D8762">
        <v>89301091</v>
      </c>
      <c r="E8762" t="str">
        <f>"2305150529"</f>
        <v>2305150529</v>
      </c>
      <c r="F8762" s="1">
        <v>45068</v>
      </c>
      <c r="G8762" t="str">
        <f t="shared" si="1554"/>
        <v>94297</v>
      </c>
      <c r="H8762">
        <v>1</v>
      </c>
      <c r="I8762">
        <v>304</v>
      </c>
      <c r="J8762">
        <v>0</v>
      </c>
      <c r="K8762" t="str">
        <f t="shared" si="1552"/>
        <v>816</v>
      </c>
      <c r="L8762">
        <v>304</v>
      </c>
    </row>
    <row r="8763" spans="1:12" x14ac:dyDescent="0.25">
      <c r="A8763" t="str">
        <f t="shared" si="1549"/>
        <v>89301000</v>
      </c>
      <c r="B8763" t="str">
        <f t="shared" si="1550"/>
        <v>72100000</v>
      </c>
      <c r="C8763" t="str">
        <f t="shared" si="1551"/>
        <v>72100632</v>
      </c>
      <c r="D8763">
        <v>89301091</v>
      </c>
      <c r="E8763" t="str">
        <f>"2305160088"</f>
        <v>2305160088</v>
      </c>
      <c r="F8763" s="1">
        <v>45069</v>
      </c>
      <c r="G8763" t="str">
        <f t="shared" si="1554"/>
        <v>94297</v>
      </c>
      <c r="H8763">
        <v>1</v>
      </c>
      <c r="I8763">
        <v>304</v>
      </c>
      <c r="J8763">
        <v>0</v>
      </c>
      <c r="K8763" t="str">
        <f t="shared" si="1552"/>
        <v>816</v>
      </c>
      <c r="L8763">
        <v>304</v>
      </c>
    </row>
    <row r="8764" spans="1:12" x14ac:dyDescent="0.25">
      <c r="A8764" t="str">
        <f t="shared" si="1549"/>
        <v>89301000</v>
      </c>
      <c r="B8764" t="str">
        <f t="shared" si="1550"/>
        <v>72100000</v>
      </c>
      <c r="C8764" t="str">
        <f t="shared" si="1551"/>
        <v>72100632</v>
      </c>
      <c r="D8764">
        <v>89301091</v>
      </c>
      <c r="E8764" t="str">
        <f>"2305160550"</f>
        <v>2305160550</v>
      </c>
      <c r="F8764" s="1">
        <v>45069</v>
      </c>
      <c r="G8764" t="str">
        <f t="shared" si="1554"/>
        <v>94297</v>
      </c>
      <c r="H8764">
        <v>1</v>
      </c>
      <c r="I8764">
        <v>304</v>
      </c>
      <c r="J8764">
        <v>0</v>
      </c>
      <c r="K8764" t="str">
        <f t="shared" si="1552"/>
        <v>816</v>
      </c>
      <c r="L8764">
        <v>304</v>
      </c>
    </row>
    <row r="8765" spans="1:12" x14ac:dyDescent="0.25">
      <c r="A8765" t="str">
        <f t="shared" si="1549"/>
        <v>89301000</v>
      </c>
      <c r="B8765" t="str">
        <f t="shared" si="1550"/>
        <v>72100000</v>
      </c>
      <c r="C8765" t="str">
        <f t="shared" si="1551"/>
        <v>72100632</v>
      </c>
      <c r="D8765">
        <v>89301091</v>
      </c>
      <c r="E8765" t="str">
        <f>"2305160561"</f>
        <v>2305160561</v>
      </c>
      <c r="F8765" s="1">
        <v>45069</v>
      </c>
      <c r="G8765" t="str">
        <f t="shared" si="1554"/>
        <v>94297</v>
      </c>
      <c r="H8765">
        <v>1</v>
      </c>
      <c r="I8765">
        <v>304</v>
      </c>
      <c r="J8765">
        <v>0</v>
      </c>
      <c r="K8765" t="str">
        <f t="shared" si="1552"/>
        <v>816</v>
      </c>
      <c r="L8765">
        <v>304</v>
      </c>
    </row>
    <row r="8766" spans="1:12" x14ac:dyDescent="0.25">
      <c r="A8766" t="str">
        <f t="shared" si="1549"/>
        <v>89301000</v>
      </c>
      <c r="B8766" t="str">
        <f t="shared" si="1550"/>
        <v>72100000</v>
      </c>
      <c r="C8766" t="str">
        <f t="shared" si="1551"/>
        <v>72100632</v>
      </c>
      <c r="D8766">
        <v>89301091</v>
      </c>
      <c r="E8766" t="str">
        <f>"8553036239"</f>
        <v>8553036239</v>
      </c>
      <c r="F8766" s="1">
        <v>45070</v>
      </c>
      <c r="G8766" t="str">
        <f t="shared" si="1554"/>
        <v>94297</v>
      </c>
      <c r="H8766">
        <v>1</v>
      </c>
      <c r="I8766">
        <v>304</v>
      </c>
      <c r="J8766">
        <v>0</v>
      </c>
      <c r="K8766" t="str">
        <f t="shared" si="1552"/>
        <v>816</v>
      </c>
      <c r="L8766">
        <v>304</v>
      </c>
    </row>
    <row r="8767" spans="1:12" x14ac:dyDescent="0.25">
      <c r="A8767" t="str">
        <f t="shared" si="1549"/>
        <v>89301000</v>
      </c>
      <c r="B8767" t="str">
        <f t="shared" si="1550"/>
        <v>72100000</v>
      </c>
      <c r="C8767" t="str">
        <f t="shared" si="1551"/>
        <v>72100632</v>
      </c>
      <c r="D8767">
        <v>89301091</v>
      </c>
      <c r="E8767" t="str">
        <f>"2355170642"</f>
        <v>2355170642</v>
      </c>
      <c r="F8767" s="1">
        <v>45070</v>
      </c>
      <c r="G8767" t="str">
        <f t="shared" si="1554"/>
        <v>94297</v>
      </c>
      <c r="H8767">
        <v>1</v>
      </c>
      <c r="I8767">
        <v>304</v>
      </c>
      <c r="J8767">
        <v>0</v>
      </c>
      <c r="K8767" t="str">
        <f t="shared" si="1552"/>
        <v>816</v>
      </c>
      <c r="L8767">
        <v>304</v>
      </c>
    </row>
    <row r="8768" spans="1:12" x14ac:dyDescent="0.25">
      <c r="A8768" t="str">
        <f t="shared" si="1549"/>
        <v>89301000</v>
      </c>
      <c r="B8768" t="str">
        <f t="shared" si="1550"/>
        <v>72100000</v>
      </c>
      <c r="C8768" t="str">
        <f t="shared" si="1551"/>
        <v>72100632</v>
      </c>
      <c r="D8768">
        <v>89301091</v>
      </c>
      <c r="E8768" t="str">
        <f>"2355170686"</f>
        <v>2355170686</v>
      </c>
      <c r="F8768" s="1">
        <v>45070</v>
      </c>
      <c r="G8768" t="str">
        <f t="shared" si="1554"/>
        <v>94297</v>
      </c>
      <c r="H8768">
        <v>1</v>
      </c>
      <c r="I8768">
        <v>304</v>
      </c>
      <c r="J8768">
        <v>0</v>
      </c>
      <c r="K8768" t="str">
        <f t="shared" si="1552"/>
        <v>816</v>
      </c>
      <c r="L8768">
        <v>304</v>
      </c>
    </row>
    <row r="8769" spans="1:12" x14ac:dyDescent="0.25">
      <c r="A8769" t="str">
        <f t="shared" si="1549"/>
        <v>89301000</v>
      </c>
      <c r="B8769" t="str">
        <f t="shared" si="1550"/>
        <v>72100000</v>
      </c>
      <c r="C8769" t="str">
        <f t="shared" si="1551"/>
        <v>72100632</v>
      </c>
      <c r="D8769">
        <v>89301091</v>
      </c>
      <c r="E8769" t="str">
        <f>"2305180559"</f>
        <v>2305180559</v>
      </c>
      <c r="F8769" s="1">
        <v>45070</v>
      </c>
      <c r="G8769" t="str">
        <f t="shared" si="1554"/>
        <v>94297</v>
      </c>
      <c r="H8769">
        <v>1</v>
      </c>
      <c r="I8769">
        <v>304</v>
      </c>
      <c r="J8769">
        <v>0</v>
      </c>
      <c r="K8769" t="str">
        <f t="shared" si="1552"/>
        <v>816</v>
      </c>
      <c r="L8769">
        <v>304</v>
      </c>
    </row>
    <row r="8770" spans="1:12" x14ac:dyDescent="0.25">
      <c r="A8770" t="str">
        <f t="shared" ref="A8770:A8833" si="1555">"89301000"</f>
        <v>89301000</v>
      </c>
      <c r="B8770" t="str">
        <f t="shared" si="1550"/>
        <v>72100000</v>
      </c>
      <c r="C8770" t="str">
        <f t="shared" si="1551"/>
        <v>72100632</v>
      </c>
      <c r="D8770">
        <v>89301091</v>
      </c>
      <c r="E8770" t="str">
        <f>"2305180581"</f>
        <v>2305180581</v>
      </c>
      <c r="F8770" s="1">
        <v>45070</v>
      </c>
      <c r="G8770" t="str">
        <f t="shared" si="1554"/>
        <v>94297</v>
      </c>
      <c r="H8770">
        <v>1</v>
      </c>
      <c r="I8770">
        <v>304</v>
      </c>
      <c r="J8770">
        <v>0</v>
      </c>
      <c r="K8770" t="str">
        <f t="shared" si="1552"/>
        <v>816</v>
      </c>
      <c r="L8770">
        <v>304</v>
      </c>
    </row>
    <row r="8771" spans="1:12" x14ac:dyDescent="0.25">
      <c r="A8771" t="str">
        <f t="shared" si="1555"/>
        <v>89301000</v>
      </c>
      <c r="B8771" t="str">
        <f t="shared" si="1550"/>
        <v>72100000</v>
      </c>
      <c r="C8771" t="str">
        <f t="shared" si="1551"/>
        <v>72100632</v>
      </c>
      <c r="D8771">
        <v>89301091</v>
      </c>
      <c r="E8771" t="str">
        <f>"2355220637"</f>
        <v>2355220637</v>
      </c>
      <c r="F8771" s="1">
        <v>45075</v>
      </c>
      <c r="G8771" t="str">
        <f t="shared" si="1554"/>
        <v>94297</v>
      </c>
      <c r="H8771">
        <v>1</v>
      </c>
      <c r="I8771">
        <v>304</v>
      </c>
      <c r="J8771">
        <v>0</v>
      </c>
      <c r="K8771" t="str">
        <f t="shared" si="1552"/>
        <v>816</v>
      </c>
      <c r="L8771">
        <v>304</v>
      </c>
    </row>
    <row r="8772" spans="1:12" x14ac:dyDescent="0.25">
      <c r="A8772" t="str">
        <f t="shared" si="1555"/>
        <v>89301000</v>
      </c>
      <c r="B8772" t="str">
        <f t="shared" si="1550"/>
        <v>72100000</v>
      </c>
      <c r="C8772" t="str">
        <f t="shared" si="1551"/>
        <v>72100632</v>
      </c>
      <c r="D8772">
        <v>89301091</v>
      </c>
      <c r="E8772" t="str">
        <f>"2305210369"</f>
        <v>2305210369</v>
      </c>
      <c r="F8772" s="1">
        <v>45075</v>
      </c>
      <c r="G8772" t="str">
        <f t="shared" si="1554"/>
        <v>94297</v>
      </c>
      <c r="H8772">
        <v>1</v>
      </c>
      <c r="I8772">
        <v>304</v>
      </c>
      <c r="J8772">
        <v>0</v>
      </c>
      <c r="K8772" t="str">
        <f t="shared" si="1552"/>
        <v>816</v>
      </c>
      <c r="L8772">
        <v>304</v>
      </c>
    </row>
    <row r="8773" spans="1:12" x14ac:dyDescent="0.25">
      <c r="A8773" t="str">
        <f t="shared" si="1555"/>
        <v>89301000</v>
      </c>
      <c r="B8773" t="str">
        <f t="shared" ref="B8773:B8836" si="1556">"72100000"</f>
        <v>72100000</v>
      </c>
      <c r="C8773" t="str">
        <f t="shared" ref="C8773:C8836" si="1557">"72100632"</f>
        <v>72100632</v>
      </c>
      <c r="D8773">
        <v>89301282</v>
      </c>
      <c r="E8773" t="str">
        <f>"8751124910"</f>
        <v>8751124910</v>
      </c>
      <c r="F8773" s="1">
        <v>45057</v>
      </c>
      <c r="G8773" t="str">
        <f>"94996"</f>
        <v>94996</v>
      </c>
      <c r="H8773">
        <v>1</v>
      </c>
      <c r="I8773">
        <v>0</v>
      </c>
      <c r="J8773">
        <v>0</v>
      </c>
      <c r="K8773" t="str">
        <f t="shared" ref="K8773:K8836" si="1558">"816"</f>
        <v>816</v>
      </c>
      <c r="L8773">
        <v>0</v>
      </c>
    </row>
    <row r="8774" spans="1:12" x14ac:dyDescent="0.25">
      <c r="A8774" t="str">
        <f t="shared" si="1555"/>
        <v>89301000</v>
      </c>
      <c r="B8774" t="str">
        <f t="shared" si="1556"/>
        <v>72100000</v>
      </c>
      <c r="C8774" t="str">
        <f t="shared" si="1557"/>
        <v>72100632</v>
      </c>
      <c r="D8774">
        <v>89301282</v>
      </c>
      <c r="E8774" t="str">
        <f>"8751124910"</f>
        <v>8751124910</v>
      </c>
      <c r="F8774" s="1">
        <v>45057</v>
      </c>
      <c r="G8774" t="str">
        <f>"94982"</f>
        <v>94982</v>
      </c>
      <c r="H8774">
        <v>1</v>
      </c>
      <c r="I8774">
        <v>0</v>
      </c>
      <c r="J8774">
        <v>27500</v>
      </c>
      <c r="K8774" t="str">
        <f t="shared" si="1558"/>
        <v>816</v>
      </c>
      <c r="L8774">
        <v>27500</v>
      </c>
    </row>
    <row r="8775" spans="1:12" x14ac:dyDescent="0.25">
      <c r="A8775" t="str">
        <f t="shared" si="1555"/>
        <v>89301000</v>
      </c>
      <c r="B8775" t="str">
        <f t="shared" si="1556"/>
        <v>72100000</v>
      </c>
      <c r="C8775" t="str">
        <f t="shared" si="1557"/>
        <v>72100632</v>
      </c>
      <c r="D8775">
        <v>89301282</v>
      </c>
      <c r="E8775" t="str">
        <f>"7912124484"</f>
        <v>7912124484</v>
      </c>
      <c r="F8775" s="1">
        <v>45057</v>
      </c>
      <c r="G8775" t="str">
        <f>"94996"</f>
        <v>94996</v>
      </c>
      <c r="H8775">
        <v>1</v>
      </c>
      <c r="I8775">
        <v>0</v>
      </c>
      <c r="J8775">
        <v>0</v>
      </c>
      <c r="K8775" t="str">
        <f t="shared" si="1558"/>
        <v>816</v>
      </c>
      <c r="L8775">
        <v>0</v>
      </c>
    </row>
    <row r="8776" spans="1:12" x14ac:dyDescent="0.25">
      <c r="A8776" t="str">
        <f t="shared" si="1555"/>
        <v>89301000</v>
      </c>
      <c r="B8776" t="str">
        <f t="shared" si="1556"/>
        <v>72100000</v>
      </c>
      <c r="C8776" t="str">
        <f t="shared" si="1557"/>
        <v>72100632</v>
      </c>
      <c r="D8776">
        <v>89301282</v>
      </c>
      <c r="E8776" t="str">
        <f>"7912124484"</f>
        <v>7912124484</v>
      </c>
      <c r="F8776" s="1">
        <v>45057</v>
      </c>
      <c r="G8776" t="str">
        <f>"94982"</f>
        <v>94982</v>
      </c>
      <c r="H8776">
        <v>1</v>
      </c>
      <c r="I8776">
        <v>0</v>
      </c>
      <c r="J8776">
        <v>27500</v>
      </c>
      <c r="K8776" t="str">
        <f t="shared" si="1558"/>
        <v>816</v>
      </c>
      <c r="L8776">
        <v>27500</v>
      </c>
    </row>
    <row r="8777" spans="1:12" x14ac:dyDescent="0.25">
      <c r="A8777" t="str">
        <f t="shared" si="1555"/>
        <v>89301000</v>
      </c>
      <c r="B8777" t="str">
        <f t="shared" si="1556"/>
        <v>72100000</v>
      </c>
      <c r="C8777" t="str">
        <f t="shared" si="1557"/>
        <v>72100632</v>
      </c>
      <c r="D8777">
        <v>89301091</v>
      </c>
      <c r="E8777" t="str">
        <f>"2305230521"</f>
        <v>2305230521</v>
      </c>
      <c r="F8777" s="1">
        <v>45076</v>
      </c>
      <c r="G8777" t="str">
        <f t="shared" ref="G8777:G8808" si="1559">"94297"</f>
        <v>94297</v>
      </c>
      <c r="H8777">
        <v>1</v>
      </c>
      <c r="I8777">
        <v>304</v>
      </c>
      <c r="J8777">
        <v>0</v>
      </c>
      <c r="K8777" t="str">
        <f t="shared" si="1558"/>
        <v>816</v>
      </c>
      <c r="L8777">
        <v>304</v>
      </c>
    </row>
    <row r="8778" spans="1:12" x14ac:dyDescent="0.25">
      <c r="A8778" t="str">
        <f t="shared" si="1555"/>
        <v>89301000</v>
      </c>
      <c r="B8778" t="str">
        <f t="shared" si="1556"/>
        <v>72100000</v>
      </c>
      <c r="C8778" t="str">
        <f t="shared" si="1557"/>
        <v>72100632</v>
      </c>
      <c r="D8778">
        <v>89301091</v>
      </c>
      <c r="E8778" t="str">
        <f>"2305230554"</f>
        <v>2305230554</v>
      </c>
      <c r="F8778" s="1">
        <v>45076</v>
      </c>
      <c r="G8778" t="str">
        <f t="shared" si="1559"/>
        <v>94297</v>
      </c>
      <c r="H8778">
        <v>1</v>
      </c>
      <c r="I8778">
        <v>304</v>
      </c>
      <c r="J8778">
        <v>0</v>
      </c>
      <c r="K8778" t="str">
        <f t="shared" si="1558"/>
        <v>816</v>
      </c>
      <c r="L8778">
        <v>304</v>
      </c>
    </row>
    <row r="8779" spans="1:12" x14ac:dyDescent="0.25">
      <c r="A8779" t="str">
        <f t="shared" si="1555"/>
        <v>89301000</v>
      </c>
      <c r="B8779" t="str">
        <f t="shared" si="1556"/>
        <v>72100000</v>
      </c>
      <c r="C8779" t="str">
        <f t="shared" si="1557"/>
        <v>72100632</v>
      </c>
      <c r="D8779">
        <v>89301091</v>
      </c>
      <c r="E8779" t="str">
        <f>"2355250524"</f>
        <v>2355250524</v>
      </c>
      <c r="F8779" s="1">
        <v>45077</v>
      </c>
      <c r="G8779" t="str">
        <f t="shared" si="1559"/>
        <v>94297</v>
      </c>
      <c r="H8779">
        <v>1</v>
      </c>
      <c r="I8779">
        <v>304</v>
      </c>
      <c r="J8779">
        <v>0</v>
      </c>
      <c r="K8779" t="str">
        <f t="shared" si="1558"/>
        <v>816</v>
      </c>
      <c r="L8779">
        <v>304</v>
      </c>
    </row>
    <row r="8780" spans="1:12" x14ac:dyDescent="0.25">
      <c r="A8780" t="str">
        <f t="shared" si="1555"/>
        <v>89301000</v>
      </c>
      <c r="B8780" t="str">
        <f t="shared" si="1556"/>
        <v>72100000</v>
      </c>
      <c r="C8780" t="str">
        <f t="shared" si="1557"/>
        <v>72100632</v>
      </c>
      <c r="D8780">
        <v>89301091</v>
      </c>
      <c r="E8780" t="str">
        <f>"2355250535"</f>
        <v>2355250535</v>
      </c>
      <c r="F8780" s="1">
        <v>45077</v>
      </c>
      <c r="G8780" t="str">
        <f t="shared" si="1559"/>
        <v>94297</v>
      </c>
      <c r="H8780">
        <v>1</v>
      </c>
      <c r="I8780">
        <v>304</v>
      </c>
      <c r="J8780">
        <v>0</v>
      </c>
      <c r="K8780" t="str">
        <f t="shared" si="1558"/>
        <v>816</v>
      </c>
      <c r="L8780">
        <v>304</v>
      </c>
    </row>
    <row r="8781" spans="1:12" x14ac:dyDescent="0.25">
      <c r="A8781" t="str">
        <f t="shared" si="1555"/>
        <v>89301000</v>
      </c>
      <c r="B8781" t="str">
        <f t="shared" si="1556"/>
        <v>72100000</v>
      </c>
      <c r="C8781" t="str">
        <f t="shared" si="1557"/>
        <v>72100632</v>
      </c>
      <c r="D8781">
        <v>89301091</v>
      </c>
      <c r="E8781" t="str">
        <f>"2355250557"</f>
        <v>2355250557</v>
      </c>
      <c r="F8781" s="1">
        <v>45077</v>
      </c>
      <c r="G8781" t="str">
        <f t="shared" si="1559"/>
        <v>94297</v>
      </c>
      <c r="H8781">
        <v>1</v>
      </c>
      <c r="I8781">
        <v>304</v>
      </c>
      <c r="J8781">
        <v>0</v>
      </c>
      <c r="K8781" t="str">
        <f t="shared" si="1558"/>
        <v>816</v>
      </c>
      <c r="L8781">
        <v>304</v>
      </c>
    </row>
    <row r="8782" spans="1:12" x14ac:dyDescent="0.25">
      <c r="A8782" t="str">
        <f t="shared" si="1555"/>
        <v>89301000</v>
      </c>
      <c r="B8782" t="str">
        <f t="shared" si="1556"/>
        <v>72100000</v>
      </c>
      <c r="C8782" t="str">
        <f t="shared" si="1557"/>
        <v>72100632</v>
      </c>
      <c r="D8782">
        <v>89301091</v>
      </c>
      <c r="E8782" t="str">
        <f>"2355260072"</f>
        <v>2355260072</v>
      </c>
      <c r="F8782" s="1">
        <v>45077</v>
      </c>
      <c r="G8782" t="str">
        <f t="shared" si="1559"/>
        <v>94297</v>
      </c>
      <c r="H8782">
        <v>1</v>
      </c>
      <c r="I8782">
        <v>304</v>
      </c>
      <c r="J8782">
        <v>0</v>
      </c>
      <c r="K8782" t="str">
        <f t="shared" si="1558"/>
        <v>816</v>
      </c>
      <c r="L8782">
        <v>304</v>
      </c>
    </row>
    <row r="8783" spans="1:12" x14ac:dyDescent="0.25">
      <c r="A8783" t="str">
        <f t="shared" si="1555"/>
        <v>89301000</v>
      </c>
      <c r="B8783" t="str">
        <f t="shared" si="1556"/>
        <v>72100000</v>
      </c>
      <c r="C8783" t="str">
        <f t="shared" si="1557"/>
        <v>72100632</v>
      </c>
      <c r="D8783">
        <v>89301091</v>
      </c>
      <c r="E8783" t="str">
        <f>"9853096143"</f>
        <v>9853096143</v>
      </c>
      <c r="F8783" s="1">
        <v>45019</v>
      </c>
      <c r="G8783" t="str">
        <f t="shared" si="1559"/>
        <v>94297</v>
      </c>
      <c r="H8783">
        <v>1</v>
      </c>
      <c r="I8783">
        <v>304</v>
      </c>
      <c r="J8783">
        <v>0</v>
      </c>
      <c r="K8783" t="str">
        <f t="shared" si="1558"/>
        <v>816</v>
      </c>
      <c r="L8783">
        <v>304</v>
      </c>
    </row>
    <row r="8784" spans="1:12" x14ac:dyDescent="0.25">
      <c r="A8784" t="str">
        <f t="shared" si="1555"/>
        <v>89301000</v>
      </c>
      <c r="B8784" t="str">
        <f t="shared" si="1556"/>
        <v>72100000</v>
      </c>
      <c r="C8784" t="str">
        <f t="shared" si="1557"/>
        <v>72100632</v>
      </c>
      <c r="D8784">
        <v>89301091</v>
      </c>
      <c r="E8784" t="str">
        <f>"2353250317"</f>
        <v>2353250317</v>
      </c>
      <c r="F8784" s="1">
        <v>45019</v>
      </c>
      <c r="G8784" t="str">
        <f t="shared" si="1559"/>
        <v>94297</v>
      </c>
      <c r="H8784">
        <v>1</v>
      </c>
      <c r="I8784">
        <v>304</v>
      </c>
      <c r="J8784">
        <v>0</v>
      </c>
      <c r="K8784" t="str">
        <f t="shared" si="1558"/>
        <v>816</v>
      </c>
      <c r="L8784">
        <v>304</v>
      </c>
    </row>
    <row r="8785" spans="1:12" x14ac:dyDescent="0.25">
      <c r="A8785" t="str">
        <f t="shared" si="1555"/>
        <v>89301000</v>
      </c>
      <c r="B8785" t="str">
        <f t="shared" si="1556"/>
        <v>72100000</v>
      </c>
      <c r="C8785" t="str">
        <f t="shared" si="1557"/>
        <v>72100632</v>
      </c>
      <c r="D8785">
        <v>89301091</v>
      </c>
      <c r="E8785" t="str">
        <f>"2303270552"</f>
        <v>2303270552</v>
      </c>
      <c r="F8785" s="1">
        <v>45019</v>
      </c>
      <c r="G8785" t="str">
        <f t="shared" si="1559"/>
        <v>94297</v>
      </c>
      <c r="H8785">
        <v>1</v>
      </c>
      <c r="I8785">
        <v>304</v>
      </c>
      <c r="J8785">
        <v>0</v>
      </c>
      <c r="K8785" t="str">
        <f t="shared" si="1558"/>
        <v>816</v>
      </c>
      <c r="L8785">
        <v>304</v>
      </c>
    </row>
    <row r="8786" spans="1:12" x14ac:dyDescent="0.25">
      <c r="A8786" t="str">
        <f t="shared" si="1555"/>
        <v>89301000</v>
      </c>
      <c r="B8786" t="str">
        <f t="shared" si="1556"/>
        <v>72100000</v>
      </c>
      <c r="C8786" t="str">
        <f t="shared" si="1557"/>
        <v>72100632</v>
      </c>
      <c r="D8786">
        <v>89301091</v>
      </c>
      <c r="E8786" t="str">
        <f>"2303270618"</f>
        <v>2303270618</v>
      </c>
      <c r="F8786" s="1">
        <v>45019</v>
      </c>
      <c r="G8786" t="str">
        <f t="shared" si="1559"/>
        <v>94297</v>
      </c>
      <c r="H8786">
        <v>1</v>
      </c>
      <c r="I8786">
        <v>304</v>
      </c>
      <c r="J8786">
        <v>0</v>
      </c>
      <c r="K8786" t="str">
        <f t="shared" si="1558"/>
        <v>816</v>
      </c>
      <c r="L8786">
        <v>304</v>
      </c>
    </row>
    <row r="8787" spans="1:12" x14ac:dyDescent="0.25">
      <c r="A8787" t="str">
        <f t="shared" si="1555"/>
        <v>89301000</v>
      </c>
      <c r="B8787" t="str">
        <f t="shared" si="1556"/>
        <v>72100000</v>
      </c>
      <c r="C8787" t="str">
        <f t="shared" si="1557"/>
        <v>72100632</v>
      </c>
      <c r="D8787">
        <v>89301091</v>
      </c>
      <c r="E8787" t="str">
        <f>"2353280083"</f>
        <v>2353280083</v>
      </c>
      <c r="F8787" s="1">
        <v>45020</v>
      </c>
      <c r="G8787" t="str">
        <f t="shared" si="1559"/>
        <v>94297</v>
      </c>
      <c r="H8787">
        <v>1</v>
      </c>
      <c r="I8787">
        <v>304</v>
      </c>
      <c r="J8787">
        <v>0</v>
      </c>
      <c r="K8787" t="str">
        <f t="shared" si="1558"/>
        <v>816</v>
      </c>
      <c r="L8787">
        <v>304</v>
      </c>
    </row>
    <row r="8788" spans="1:12" x14ac:dyDescent="0.25">
      <c r="A8788" t="str">
        <f t="shared" si="1555"/>
        <v>89301000</v>
      </c>
      <c r="B8788" t="str">
        <f t="shared" si="1556"/>
        <v>72100000</v>
      </c>
      <c r="C8788" t="str">
        <f t="shared" si="1557"/>
        <v>72100632</v>
      </c>
      <c r="D8788">
        <v>89301091</v>
      </c>
      <c r="E8788" t="str">
        <f>"2353280699"</f>
        <v>2353280699</v>
      </c>
      <c r="F8788" s="1">
        <v>45020</v>
      </c>
      <c r="G8788" t="str">
        <f t="shared" si="1559"/>
        <v>94297</v>
      </c>
      <c r="H8788">
        <v>1</v>
      </c>
      <c r="I8788">
        <v>304</v>
      </c>
      <c r="J8788">
        <v>0</v>
      </c>
      <c r="K8788" t="str">
        <f t="shared" si="1558"/>
        <v>816</v>
      </c>
      <c r="L8788">
        <v>304</v>
      </c>
    </row>
    <row r="8789" spans="1:12" x14ac:dyDescent="0.25">
      <c r="A8789" t="str">
        <f t="shared" si="1555"/>
        <v>89301000</v>
      </c>
      <c r="B8789" t="str">
        <f t="shared" si="1556"/>
        <v>72100000</v>
      </c>
      <c r="C8789" t="str">
        <f t="shared" si="1557"/>
        <v>72100632</v>
      </c>
      <c r="D8789">
        <v>89301091</v>
      </c>
      <c r="E8789" t="str">
        <f>"2303280793"</f>
        <v>2303280793</v>
      </c>
      <c r="F8789" s="1">
        <v>45020</v>
      </c>
      <c r="G8789" t="str">
        <f t="shared" si="1559"/>
        <v>94297</v>
      </c>
      <c r="H8789">
        <v>1</v>
      </c>
      <c r="I8789">
        <v>304</v>
      </c>
      <c r="J8789">
        <v>0</v>
      </c>
      <c r="K8789" t="str">
        <f t="shared" si="1558"/>
        <v>816</v>
      </c>
      <c r="L8789">
        <v>304</v>
      </c>
    </row>
    <row r="8790" spans="1:12" x14ac:dyDescent="0.25">
      <c r="A8790" t="str">
        <f t="shared" si="1555"/>
        <v>89301000</v>
      </c>
      <c r="B8790" t="str">
        <f t="shared" si="1556"/>
        <v>72100000</v>
      </c>
      <c r="C8790" t="str">
        <f t="shared" si="1557"/>
        <v>72100632</v>
      </c>
      <c r="D8790">
        <v>89301091</v>
      </c>
      <c r="E8790" t="str">
        <f>"2353290071"</f>
        <v>2353290071</v>
      </c>
      <c r="F8790" s="1">
        <v>45021</v>
      </c>
      <c r="G8790" t="str">
        <f t="shared" si="1559"/>
        <v>94297</v>
      </c>
      <c r="H8790">
        <v>1</v>
      </c>
      <c r="I8790">
        <v>304</v>
      </c>
      <c r="J8790">
        <v>0</v>
      </c>
      <c r="K8790" t="str">
        <f t="shared" si="1558"/>
        <v>816</v>
      </c>
      <c r="L8790">
        <v>304</v>
      </c>
    </row>
    <row r="8791" spans="1:12" x14ac:dyDescent="0.25">
      <c r="A8791" t="str">
        <f t="shared" si="1555"/>
        <v>89301000</v>
      </c>
      <c r="B8791" t="str">
        <f t="shared" si="1556"/>
        <v>72100000</v>
      </c>
      <c r="C8791" t="str">
        <f t="shared" si="1557"/>
        <v>72100632</v>
      </c>
      <c r="D8791">
        <v>89301091</v>
      </c>
      <c r="E8791" t="str">
        <f>"2303300593"</f>
        <v>2303300593</v>
      </c>
      <c r="F8791" s="1">
        <v>45021</v>
      </c>
      <c r="G8791" t="str">
        <f t="shared" si="1559"/>
        <v>94297</v>
      </c>
      <c r="H8791">
        <v>1</v>
      </c>
      <c r="I8791">
        <v>304</v>
      </c>
      <c r="J8791">
        <v>0</v>
      </c>
      <c r="K8791" t="str">
        <f t="shared" si="1558"/>
        <v>816</v>
      </c>
      <c r="L8791">
        <v>304</v>
      </c>
    </row>
    <row r="8792" spans="1:12" x14ac:dyDescent="0.25">
      <c r="A8792" t="str">
        <f t="shared" si="1555"/>
        <v>89301000</v>
      </c>
      <c r="B8792" t="str">
        <f t="shared" si="1556"/>
        <v>72100000</v>
      </c>
      <c r="C8792" t="str">
        <f t="shared" si="1557"/>
        <v>72100632</v>
      </c>
      <c r="D8792">
        <v>89301091</v>
      </c>
      <c r="E8792" t="str">
        <f>"2303300604"</f>
        <v>2303300604</v>
      </c>
      <c r="F8792" s="1">
        <v>45021</v>
      </c>
      <c r="G8792" t="str">
        <f t="shared" si="1559"/>
        <v>94297</v>
      </c>
      <c r="H8792">
        <v>1</v>
      </c>
      <c r="I8792">
        <v>304</v>
      </c>
      <c r="J8792">
        <v>0</v>
      </c>
      <c r="K8792" t="str">
        <f t="shared" si="1558"/>
        <v>816</v>
      </c>
      <c r="L8792">
        <v>304</v>
      </c>
    </row>
    <row r="8793" spans="1:12" x14ac:dyDescent="0.25">
      <c r="A8793" t="str">
        <f t="shared" si="1555"/>
        <v>89301000</v>
      </c>
      <c r="B8793" t="str">
        <f t="shared" si="1556"/>
        <v>72100000</v>
      </c>
      <c r="C8793" t="str">
        <f t="shared" si="1557"/>
        <v>72100632</v>
      </c>
      <c r="D8793">
        <v>89301091</v>
      </c>
      <c r="E8793" t="str">
        <f>"2353300642"</f>
        <v>2353300642</v>
      </c>
      <c r="F8793" s="1">
        <v>45021</v>
      </c>
      <c r="G8793" t="str">
        <f t="shared" si="1559"/>
        <v>94297</v>
      </c>
      <c r="H8793">
        <v>1</v>
      </c>
      <c r="I8793">
        <v>304</v>
      </c>
      <c r="J8793">
        <v>0</v>
      </c>
      <c r="K8793" t="str">
        <f t="shared" si="1558"/>
        <v>816</v>
      </c>
      <c r="L8793">
        <v>304</v>
      </c>
    </row>
    <row r="8794" spans="1:12" x14ac:dyDescent="0.25">
      <c r="A8794" t="str">
        <f t="shared" si="1555"/>
        <v>89301000</v>
      </c>
      <c r="B8794" t="str">
        <f t="shared" si="1556"/>
        <v>72100000</v>
      </c>
      <c r="C8794" t="str">
        <f t="shared" si="1557"/>
        <v>72100632</v>
      </c>
      <c r="D8794">
        <v>89301091</v>
      </c>
      <c r="E8794" t="str">
        <f>"8453095332"</f>
        <v>8453095332</v>
      </c>
      <c r="F8794" s="1">
        <v>45021</v>
      </c>
      <c r="G8794" t="str">
        <f t="shared" si="1559"/>
        <v>94297</v>
      </c>
      <c r="H8794">
        <v>1</v>
      </c>
      <c r="I8794">
        <v>304</v>
      </c>
      <c r="J8794">
        <v>0</v>
      </c>
      <c r="K8794" t="str">
        <f t="shared" si="1558"/>
        <v>816</v>
      </c>
      <c r="L8794">
        <v>304</v>
      </c>
    </row>
    <row r="8795" spans="1:12" x14ac:dyDescent="0.25">
      <c r="A8795" t="str">
        <f t="shared" si="1555"/>
        <v>89301000</v>
      </c>
      <c r="B8795" t="str">
        <f t="shared" si="1556"/>
        <v>72100000</v>
      </c>
      <c r="C8795" t="str">
        <f t="shared" si="1557"/>
        <v>72100632</v>
      </c>
      <c r="D8795">
        <v>89301091</v>
      </c>
      <c r="E8795" t="str">
        <f>"9657235390"</f>
        <v>9657235390</v>
      </c>
      <c r="F8795" s="1">
        <v>45022</v>
      </c>
      <c r="G8795" t="str">
        <f t="shared" si="1559"/>
        <v>94297</v>
      </c>
      <c r="H8795">
        <v>1</v>
      </c>
      <c r="I8795">
        <v>304</v>
      </c>
      <c r="J8795">
        <v>0</v>
      </c>
      <c r="K8795" t="str">
        <f t="shared" si="1558"/>
        <v>816</v>
      </c>
      <c r="L8795">
        <v>304</v>
      </c>
    </row>
    <row r="8796" spans="1:12" x14ac:dyDescent="0.25">
      <c r="A8796" t="str">
        <f t="shared" si="1555"/>
        <v>89301000</v>
      </c>
      <c r="B8796" t="str">
        <f t="shared" si="1556"/>
        <v>72100000</v>
      </c>
      <c r="C8796" t="str">
        <f t="shared" si="1557"/>
        <v>72100632</v>
      </c>
      <c r="D8796">
        <v>89301091</v>
      </c>
      <c r="E8796" t="str">
        <f>"9657185714"</f>
        <v>9657185714</v>
      </c>
      <c r="F8796" s="1">
        <v>45022</v>
      </c>
      <c r="G8796" t="str">
        <f t="shared" si="1559"/>
        <v>94297</v>
      </c>
      <c r="H8796">
        <v>1</v>
      </c>
      <c r="I8796">
        <v>304</v>
      </c>
      <c r="J8796">
        <v>0</v>
      </c>
      <c r="K8796" t="str">
        <f t="shared" si="1558"/>
        <v>816</v>
      </c>
      <c r="L8796">
        <v>304</v>
      </c>
    </row>
    <row r="8797" spans="1:12" x14ac:dyDescent="0.25">
      <c r="A8797" t="str">
        <f t="shared" si="1555"/>
        <v>89301000</v>
      </c>
      <c r="B8797" t="str">
        <f t="shared" si="1556"/>
        <v>72100000</v>
      </c>
      <c r="C8797" t="str">
        <f t="shared" si="1557"/>
        <v>72100632</v>
      </c>
      <c r="D8797">
        <v>89301091</v>
      </c>
      <c r="E8797" t="str">
        <f>"2304020246"</f>
        <v>2304020246</v>
      </c>
      <c r="F8797" s="1">
        <v>45027</v>
      </c>
      <c r="G8797" t="str">
        <f t="shared" si="1559"/>
        <v>94297</v>
      </c>
      <c r="H8797">
        <v>1</v>
      </c>
      <c r="I8797">
        <v>304</v>
      </c>
      <c r="J8797">
        <v>0</v>
      </c>
      <c r="K8797" t="str">
        <f t="shared" si="1558"/>
        <v>816</v>
      </c>
      <c r="L8797">
        <v>304</v>
      </c>
    </row>
    <row r="8798" spans="1:12" x14ac:dyDescent="0.25">
      <c r="A8798" t="str">
        <f t="shared" si="1555"/>
        <v>89301000</v>
      </c>
      <c r="B8798" t="str">
        <f t="shared" si="1556"/>
        <v>72100000</v>
      </c>
      <c r="C8798" t="str">
        <f t="shared" si="1557"/>
        <v>72100632</v>
      </c>
      <c r="D8798">
        <v>89301091</v>
      </c>
      <c r="E8798" t="str">
        <f>"2304030421"</f>
        <v>2304030421</v>
      </c>
      <c r="F8798" s="1">
        <v>45028</v>
      </c>
      <c r="G8798" t="str">
        <f t="shared" si="1559"/>
        <v>94297</v>
      </c>
      <c r="H8798">
        <v>1</v>
      </c>
      <c r="I8798">
        <v>304</v>
      </c>
      <c r="J8798">
        <v>0</v>
      </c>
      <c r="K8798" t="str">
        <f t="shared" si="1558"/>
        <v>816</v>
      </c>
      <c r="L8798">
        <v>304</v>
      </c>
    </row>
    <row r="8799" spans="1:12" x14ac:dyDescent="0.25">
      <c r="A8799" t="str">
        <f t="shared" si="1555"/>
        <v>89301000</v>
      </c>
      <c r="B8799" t="str">
        <f t="shared" si="1556"/>
        <v>72100000</v>
      </c>
      <c r="C8799" t="str">
        <f t="shared" si="1557"/>
        <v>72100632</v>
      </c>
      <c r="D8799">
        <v>89301091</v>
      </c>
      <c r="E8799" t="str">
        <f>"2304030432"</f>
        <v>2304030432</v>
      </c>
      <c r="F8799" s="1">
        <v>45028</v>
      </c>
      <c r="G8799" t="str">
        <f t="shared" si="1559"/>
        <v>94297</v>
      </c>
      <c r="H8799">
        <v>1</v>
      </c>
      <c r="I8799">
        <v>304</v>
      </c>
      <c r="J8799">
        <v>0</v>
      </c>
      <c r="K8799" t="str">
        <f t="shared" si="1558"/>
        <v>816</v>
      </c>
      <c r="L8799">
        <v>304</v>
      </c>
    </row>
    <row r="8800" spans="1:12" x14ac:dyDescent="0.25">
      <c r="A8800" t="str">
        <f t="shared" si="1555"/>
        <v>89301000</v>
      </c>
      <c r="B8800" t="str">
        <f t="shared" si="1556"/>
        <v>72100000</v>
      </c>
      <c r="C8800" t="str">
        <f t="shared" si="1557"/>
        <v>72100632</v>
      </c>
      <c r="D8800">
        <v>89301091</v>
      </c>
      <c r="E8800" t="str">
        <f>"2304030443"</f>
        <v>2304030443</v>
      </c>
      <c r="F8800" s="1">
        <v>45028</v>
      </c>
      <c r="G8800" t="str">
        <f t="shared" si="1559"/>
        <v>94297</v>
      </c>
      <c r="H8800">
        <v>1</v>
      </c>
      <c r="I8800">
        <v>304</v>
      </c>
      <c r="J8800">
        <v>0</v>
      </c>
      <c r="K8800" t="str">
        <f t="shared" si="1558"/>
        <v>816</v>
      </c>
      <c r="L8800">
        <v>304</v>
      </c>
    </row>
    <row r="8801" spans="1:12" x14ac:dyDescent="0.25">
      <c r="A8801" t="str">
        <f t="shared" si="1555"/>
        <v>89301000</v>
      </c>
      <c r="B8801" t="str">
        <f t="shared" si="1556"/>
        <v>72100000</v>
      </c>
      <c r="C8801" t="str">
        <f t="shared" si="1557"/>
        <v>72100632</v>
      </c>
      <c r="D8801">
        <v>89301091</v>
      </c>
      <c r="E8801" t="str">
        <f>"9252035529"</f>
        <v>9252035529</v>
      </c>
      <c r="F8801" s="1">
        <v>45028</v>
      </c>
      <c r="G8801" t="str">
        <f t="shared" si="1559"/>
        <v>94297</v>
      </c>
      <c r="H8801">
        <v>1</v>
      </c>
      <c r="I8801">
        <v>304</v>
      </c>
      <c r="J8801">
        <v>0</v>
      </c>
      <c r="K8801" t="str">
        <f t="shared" si="1558"/>
        <v>816</v>
      </c>
      <c r="L8801">
        <v>304</v>
      </c>
    </row>
    <row r="8802" spans="1:12" x14ac:dyDescent="0.25">
      <c r="A8802" t="str">
        <f t="shared" si="1555"/>
        <v>89301000</v>
      </c>
      <c r="B8802" t="str">
        <f t="shared" si="1556"/>
        <v>72100000</v>
      </c>
      <c r="C8802" t="str">
        <f t="shared" si="1557"/>
        <v>72100632</v>
      </c>
      <c r="D8802">
        <v>89301091</v>
      </c>
      <c r="E8802" t="str">
        <f>"2354040084"</f>
        <v>2354040084</v>
      </c>
      <c r="F8802" s="1">
        <v>45029</v>
      </c>
      <c r="G8802" t="str">
        <f t="shared" si="1559"/>
        <v>94297</v>
      </c>
      <c r="H8802">
        <v>1</v>
      </c>
      <c r="I8802">
        <v>304</v>
      </c>
      <c r="J8802">
        <v>0</v>
      </c>
      <c r="K8802" t="str">
        <f t="shared" si="1558"/>
        <v>816</v>
      </c>
      <c r="L8802">
        <v>304</v>
      </c>
    </row>
    <row r="8803" spans="1:12" x14ac:dyDescent="0.25">
      <c r="A8803" t="str">
        <f t="shared" si="1555"/>
        <v>89301000</v>
      </c>
      <c r="B8803" t="str">
        <f t="shared" si="1556"/>
        <v>72100000</v>
      </c>
      <c r="C8803" t="str">
        <f t="shared" si="1557"/>
        <v>72100632</v>
      </c>
      <c r="D8803">
        <v>89301091</v>
      </c>
      <c r="E8803" t="str">
        <f>"2304040541"</f>
        <v>2304040541</v>
      </c>
      <c r="F8803" s="1">
        <v>45029</v>
      </c>
      <c r="G8803" t="str">
        <f t="shared" si="1559"/>
        <v>94297</v>
      </c>
      <c r="H8803">
        <v>1</v>
      </c>
      <c r="I8803">
        <v>304</v>
      </c>
      <c r="J8803">
        <v>0</v>
      </c>
      <c r="K8803" t="str">
        <f t="shared" si="1558"/>
        <v>816</v>
      </c>
      <c r="L8803">
        <v>304</v>
      </c>
    </row>
    <row r="8804" spans="1:12" x14ac:dyDescent="0.25">
      <c r="A8804" t="str">
        <f t="shared" si="1555"/>
        <v>89301000</v>
      </c>
      <c r="B8804" t="str">
        <f t="shared" si="1556"/>
        <v>72100000</v>
      </c>
      <c r="C8804" t="str">
        <f t="shared" si="1557"/>
        <v>72100632</v>
      </c>
      <c r="D8804">
        <v>89301091</v>
      </c>
      <c r="E8804" t="str">
        <f>"2304040552"</f>
        <v>2304040552</v>
      </c>
      <c r="F8804" s="1">
        <v>45029</v>
      </c>
      <c r="G8804" t="str">
        <f t="shared" si="1559"/>
        <v>94297</v>
      </c>
      <c r="H8804">
        <v>1</v>
      </c>
      <c r="I8804">
        <v>304</v>
      </c>
      <c r="J8804">
        <v>0</v>
      </c>
      <c r="K8804" t="str">
        <f t="shared" si="1558"/>
        <v>816</v>
      </c>
      <c r="L8804">
        <v>304</v>
      </c>
    </row>
    <row r="8805" spans="1:12" x14ac:dyDescent="0.25">
      <c r="A8805" t="str">
        <f t="shared" si="1555"/>
        <v>89301000</v>
      </c>
      <c r="B8805" t="str">
        <f t="shared" si="1556"/>
        <v>72100000</v>
      </c>
      <c r="C8805" t="str">
        <f t="shared" si="1557"/>
        <v>72100632</v>
      </c>
      <c r="D8805">
        <v>89301091</v>
      </c>
      <c r="E8805" t="str">
        <f>"2354040711"</f>
        <v>2354040711</v>
      </c>
      <c r="F8805" s="1">
        <v>45029</v>
      </c>
      <c r="G8805" t="str">
        <f t="shared" si="1559"/>
        <v>94297</v>
      </c>
      <c r="H8805">
        <v>1</v>
      </c>
      <c r="I8805">
        <v>304</v>
      </c>
      <c r="J8805">
        <v>0</v>
      </c>
      <c r="K8805" t="str">
        <f t="shared" si="1558"/>
        <v>816</v>
      </c>
      <c r="L8805">
        <v>304</v>
      </c>
    </row>
    <row r="8806" spans="1:12" x14ac:dyDescent="0.25">
      <c r="A8806" t="str">
        <f t="shared" si="1555"/>
        <v>89301000</v>
      </c>
      <c r="B8806" t="str">
        <f t="shared" si="1556"/>
        <v>72100000</v>
      </c>
      <c r="C8806" t="str">
        <f t="shared" si="1557"/>
        <v>72100632</v>
      </c>
      <c r="D8806">
        <v>89301091</v>
      </c>
      <c r="E8806" t="str">
        <f>"2354050083"</f>
        <v>2354050083</v>
      </c>
      <c r="F8806" s="1">
        <v>45029</v>
      </c>
      <c r="G8806" t="str">
        <f t="shared" si="1559"/>
        <v>94297</v>
      </c>
      <c r="H8806">
        <v>1</v>
      </c>
      <c r="I8806">
        <v>304</v>
      </c>
      <c r="J8806">
        <v>0</v>
      </c>
      <c r="K8806" t="str">
        <f t="shared" si="1558"/>
        <v>816</v>
      </c>
      <c r="L8806">
        <v>304</v>
      </c>
    </row>
    <row r="8807" spans="1:12" x14ac:dyDescent="0.25">
      <c r="A8807" t="str">
        <f t="shared" si="1555"/>
        <v>89301000</v>
      </c>
      <c r="B8807" t="str">
        <f t="shared" si="1556"/>
        <v>72100000</v>
      </c>
      <c r="C8807" t="str">
        <f t="shared" si="1557"/>
        <v>72100632</v>
      </c>
      <c r="D8807">
        <v>89301091</v>
      </c>
      <c r="E8807" t="str">
        <f>"2304050749"</f>
        <v>2304050749</v>
      </c>
      <c r="F8807" s="1">
        <v>45029</v>
      </c>
      <c r="G8807" t="str">
        <f t="shared" si="1559"/>
        <v>94297</v>
      </c>
      <c r="H8807">
        <v>1</v>
      </c>
      <c r="I8807">
        <v>304</v>
      </c>
      <c r="J8807">
        <v>0</v>
      </c>
      <c r="K8807" t="str">
        <f t="shared" si="1558"/>
        <v>816</v>
      </c>
      <c r="L8807">
        <v>304</v>
      </c>
    </row>
    <row r="8808" spans="1:12" x14ac:dyDescent="0.25">
      <c r="A8808" t="str">
        <f t="shared" si="1555"/>
        <v>89301000</v>
      </c>
      <c r="B8808" t="str">
        <f t="shared" si="1556"/>
        <v>72100000</v>
      </c>
      <c r="C8808" t="str">
        <f t="shared" si="1557"/>
        <v>72100632</v>
      </c>
      <c r="D8808">
        <v>89301091</v>
      </c>
      <c r="E8808" t="str">
        <f>"9152275704"</f>
        <v>9152275704</v>
      </c>
      <c r="F8808" s="1">
        <v>45029</v>
      </c>
      <c r="G8808" t="str">
        <f t="shared" si="1559"/>
        <v>94297</v>
      </c>
      <c r="H8808">
        <v>1</v>
      </c>
      <c r="I8808">
        <v>304</v>
      </c>
      <c r="J8808">
        <v>0</v>
      </c>
      <c r="K8808" t="str">
        <f t="shared" si="1558"/>
        <v>816</v>
      </c>
      <c r="L8808">
        <v>304</v>
      </c>
    </row>
    <row r="8809" spans="1:12" x14ac:dyDescent="0.25">
      <c r="A8809" t="str">
        <f t="shared" si="1555"/>
        <v>89301000</v>
      </c>
      <c r="B8809" t="str">
        <f t="shared" si="1556"/>
        <v>72100000</v>
      </c>
      <c r="C8809" t="str">
        <f t="shared" si="1557"/>
        <v>72100632</v>
      </c>
      <c r="D8809">
        <v>89301091</v>
      </c>
      <c r="E8809" t="str">
        <f>"9955025740"</f>
        <v>9955025740</v>
      </c>
      <c r="F8809" s="1">
        <v>45029</v>
      </c>
      <c r="G8809" t="str">
        <f t="shared" ref="G8809:G8840" si="1560">"94297"</f>
        <v>94297</v>
      </c>
      <c r="H8809">
        <v>1</v>
      </c>
      <c r="I8809">
        <v>304</v>
      </c>
      <c r="J8809">
        <v>0</v>
      </c>
      <c r="K8809" t="str">
        <f t="shared" si="1558"/>
        <v>816</v>
      </c>
      <c r="L8809">
        <v>304</v>
      </c>
    </row>
    <row r="8810" spans="1:12" x14ac:dyDescent="0.25">
      <c r="A8810" t="str">
        <f t="shared" si="1555"/>
        <v>89301000</v>
      </c>
      <c r="B8810" t="str">
        <f t="shared" si="1556"/>
        <v>72100000</v>
      </c>
      <c r="C8810" t="str">
        <f t="shared" si="1557"/>
        <v>72100632</v>
      </c>
      <c r="D8810">
        <v>89301091</v>
      </c>
      <c r="E8810" t="str">
        <f>"9453045899"</f>
        <v>9453045899</v>
      </c>
      <c r="F8810" s="1">
        <v>45030</v>
      </c>
      <c r="G8810" t="str">
        <f t="shared" si="1560"/>
        <v>94297</v>
      </c>
      <c r="H8810">
        <v>1</v>
      </c>
      <c r="I8810">
        <v>304</v>
      </c>
      <c r="J8810">
        <v>0</v>
      </c>
      <c r="K8810" t="str">
        <f t="shared" si="1558"/>
        <v>816</v>
      </c>
      <c r="L8810">
        <v>304</v>
      </c>
    </row>
    <row r="8811" spans="1:12" x14ac:dyDescent="0.25">
      <c r="A8811" t="str">
        <f t="shared" si="1555"/>
        <v>89301000</v>
      </c>
      <c r="B8811" t="str">
        <f t="shared" si="1556"/>
        <v>72100000</v>
      </c>
      <c r="C8811" t="str">
        <f t="shared" si="1557"/>
        <v>72100632</v>
      </c>
      <c r="D8811">
        <v>89301091</v>
      </c>
      <c r="E8811" t="str">
        <f>"8655095570"</f>
        <v>8655095570</v>
      </c>
      <c r="F8811" s="1">
        <v>45030</v>
      </c>
      <c r="G8811" t="str">
        <f t="shared" si="1560"/>
        <v>94297</v>
      </c>
      <c r="H8811">
        <v>1</v>
      </c>
      <c r="I8811">
        <v>304</v>
      </c>
      <c r="J8811">
        <v>0</v>
      </c>
      <c r="K8811" t="str">
        <f t="shared" si="1558"/>
        <v>816</v>
      </c>
      <c r="L8811">
        <v>304</v>
      </c>
    </row>
    <row r="8812" spans="1:12" x14ac:dyDescent="0.25">
      <c r="A8812" t="str">
        <f t="shared" si="1555"/>
        <v>89301000</v>
      </c>
      <c r="B8812" t="str">
        <f t="shared" si="1556"/>
        <v>72100000</v>
      </c>
      <c r="C8812" t="str">
        <f t="shared" si="1557"/>
        <v>72100632</v>
      </c>
      <c r="D8812">
        <v>89301091</v>
      </c>
      <c r="E8812" t="str">
        <f>"2304100293"</f>
        <v>2304100293</v>
      </c>
      <c r="F8812" s="1">
        <v>45033</v>
      </c>
      <c r="G8812" t="str">
        <f t="shared" si="1560"/>
        <v>94297</v>
      </c>
      <c r="H8812">
        <v>1</v>
      </c>
      <c r="I8812">
        <v>304</v>
      </c>
      <c r="J8812">
        <v>0</v>
      </c>
      <c r="K8812" t="str">
        <f t="shared" si="1558"/>
        <v>816</v>
      </c>
      <c r="L8812">
        <v>304</v>
      </c>
    </row>
    <row r="8813" spans="1:12" x14ac:dyDescent="0.25">
      <c r="A8813" t="str">
        <f t="shared" si="1555"/>
        <v>89301000</v>
      </c>
      <c r="B8813" t="str">
        <f t="shared" si="1556"/>
        <v>72100000</v>
      </c>
      <c r="C8813" t="str">
        <f t="shared" si="1557"/>
        <v>72100632</v>
      </c>
      <c r="D8813">
        <v>89301091</v>
      </c>
      <c r="E8813" t="str">
        <f>"2354100309"</f>
        <v>2354100309</v>
      </c>
      <c r="F8813" s="1">
        <v>45033</v>
      </c>
      <c r="G8813" t="str">
        <f t="shared" si="1560"/>
        <v>94297</v>
      </c>
      <c r="H8813">
        <v>1</v>
      </c>
      <c r="I8813">
        <v>304</v>
      </c>
      <c r="J8813">
        <v>0</v>
      </c>
      <c r="K8813" t="str">
        <f t="shared" si="1558"/>
        <v>816</v>
      </c>
      <c r="L8813">
        <v>304</v>
      </c>
    </row>
    <row r="8814" spans="1:12" x14ac:dyDescent="0.25">
      <c r="A8814" t="str">
        <f t="shared" si="1555"/>
        <v>89301000</v>
      </c>
      <c r="B8814" t="str">
        <f t="shared" si="1556"/>
        <v>72100000</v>
      </c>
      <c r="C8814" t="str">
        <f t="shared" si="1557"/>
        <v>72100632</v>
      </c>
      <c r="D8814">
        <v>89301091</v>
      </c>
      <c r="E8814" t="str">
        <f>"2304110446"</f>
        <v>2304110446</v>
      </c>
      <c r="F8814" s="1">
        <v>45034</v>
      </c>
      <c r="G8814" t="str">
        <f t="shared" si="1560"/>
        <v>94297</v>
      </c>
      <c r="H8814">
        <v>1</v>
      </c>
      <c r="I8814">
        <v>304</v>
      </c>
      <c r="J8814">
        <v>0</v>
      </c>
      <c r="K8814" t="str">
        <f t="shared" si="1558"/>
        <v>816</v>
      </c>
      <c r="L8814">
        <v>304</v>
      </c>
    </row>
    <row r="8815" spans="1:12" x14ac:dyDescent="0.25">
      <c r="A8815" t="str">
        <f t="shared" si="1555"/>
        <v>89301000</v>
      </c>
      <c r="B8815" t="str">
        <f t="shared" si="1556"/>
        <v>72100000</v>
      </c>
      <c r="C8815" t="str">
        <f t="shared" si="1557"/>
        <v>72100632</v>
      </c>
      <c r="D8815">
        <v>89301091</v>
      </c>
      <c r="E8815" t="str">
        <f>"2304110545"</f>
        <v>2304110545</v>
      </c>
      <c r="F8815" s="1">
        <v>45034</v>
      </c>
      <c r="G8815" t="str">
        <f t="shared" si="1560"/>
        <v>94297</v>
      </c>
      <c r="H8815">
        <v>1</v>
      </c>
      <c r="I8815">
        <v>304</v>
      </c>
      <c r="J8815">
        <v>0</v>
      </c>
      <c r="K8815" t="str">
        <f t="shared" si="1558"/>
        <v>816</v>
      </c>
      <c r="L8815">
        <v>304</v>
      </c>
    </row>
    <row r="8816" spans="1:12" x14ac:dyDescent="0.25">
      <c r="A8816" t="str">
        <f t="shared" si="1555"/>
        <v>89301000</v>
      </c>
      <c r="B8816" t="str">
        <f t="shared" si="1556"/>
        <v>72100000</v>
      </c>
      <c r="C8816" t="str">
        <f t="shared" si="1557"/>
        <v>72100632</v>
      </c>
      <c r="D8816">
        <v>89301091</v>
      </c>
      <c r="E8816" t="str">
        <f>"2354110627"</f>
        <v>2354110627</v>
      </c>
      <c r="F8816" s="1">
        <v>45034</v>
      </c>
      <c r="G8816" t="str">
        <f t="shared" si="1560"/>
        <v>94297</v>
      </c>
      <c r="H8816">
        <v>1</v>
      </c>
      <c r="I8816">
        <v>304</v>
      </c>
      <c r="J8816">
        <v>0</v>
      </c>
      <c r="K8816" t="str">
        <f t="shared" si="1558"/>
        <v>816</v>
      </c>
      <c r="L8816">
        <v>304</v>
      </c>
    </row>
    <row r="8817" spans="1:12" x14ac:dyDescent="0.25">
      <c r="A8817" t="str">
        <f t="shared" si="1555"/>
        <v>89301000</v>
      </c>
      <c r="B8817" t="str">
        <f t="shared" si="1556"/>
        <v>72100000</v>
      </c>
      <c r="C8817" t="str">
        <f t="shared" si="1557"/>
        <v>72100632</v>
      </c>
      <c r="D8817">
        <v>89301091</v>
      </c>
      <c r="E8817" t="str">
        <f>"9357044862"</f>
        <v>9357044862</v>
      </c>
      <c r="F8817" s="1">
        <v>45036</v>
      </c>
      <c r="G8817" t="str">
        <f t="shared" si="1560"/>
        <v>94297</v>
      </c>
      <c r="H8817">
        <v>1</v>
      </c>
      <c r="I8817">
        <v>304</v>
      </c>
      <c r="J8817">
        <v>0</v>
      </c>
      <c r="K8817" t="str">
        <f t="shared" si="1558"/>
        <v>816</v>
      </c>
      <c r="L8817">
        <v>304</v>
      </c>
    </row>
    <row r="8818" spans="1:12" x14ac:dyDescent="0.25">
      <c r="A8818" t="str">
        <f t="shared" si="1555"/>
        <v>89301000</v>
      </c>
      <c r="B8818" t="str">
        <f t="shared" si="1556"/>
        <v>72100000</v>
      </c>
      <c r="C8818" t="str">
        <f t="shared" si="1557"/>
        <v>72100632</v>
      </c>
      <c r="D8818">
        <v>89301091</v>
      </c>
      <c r="E8818" t="str">
        <f>"9257255711"</f>
        <v>9257255711</v>
      </c>
      <c r="F8818" s="1">
        <v>45036</v>
      </c>
      <c r="G8818" t="str">
        <f t="shared" si="1560"/>
        <v>94297</v>
      </c>
      <c r="H8818">
        <v>1</v>
      </c>
      <c r="I8818">
        <v>304</v>
      </c>
      <c r="J8818">
        <v>0</v>
      </c>
      <c r="K8818" t="str">
        <f t="shared" si="1558"/>
        <v>816</v>
      </c>
      <c r="L8818">
        <v>304</v>
      </c>
    </row>
    <row r="8819" spans="1:12" x14ac:dyDescent="0.25">
      <c r="A8819" t="str">
        <f t="shared" si="1555"/>
        <v>89301000</v>
      </c>
      <c r="B8819" t="str">
        <f t="shared" si="1556"/>
        <v>72100000</v>
      </c>
      <c r="C8819" t="str">
        <f t="shared" si="1557"/>
        <v>72100632</v>
      </c>
      <c r="D8819">
        <v>89301091</v>
      </c>
      <c r="E8819" t="str">
        <f>"2354120043"</f>
        <v>2354120043</v>
      </c>
      <c r="F8819" s="1">
        <v>45037</v>
      </c>
      <c r="G8819" t="str">
        <f t="shared" si="1560"/>
        <v>94297</v>
      </c>
      <c r="H8819">
        <v>1</v>
      </c>
      <c r="I8819">
        <v>304</v>
      </c>
      <c r="J8819">
        <v>0</v>
      </c>
      <c r="K8819" t="str">
        <f t="shared" si="1558"/>
        <v>816</v>
      </c>
      <c r="L8819">
        <v>304</v>
      </c>
    </row>
    <row r="8820" spans="1:12" x14ac:dyDescent="0.25">
      <c r="A8820" t="str">
        <f t="shared" si="1555"/>
        <v>89301000</v>
      </c>
      <c r="B8820" t="str">
        <f t="shared" si="1556"/>
        <v>72100000</v>
      </c>
      <c r="C8820" t="str">
        <f t="shared" si="1557"/>
        <v>72100632</v>
      </c>
      <c r="D8820">
        <v>89301091</v>
      </c>
      <c r="E8820" t="str">
        <f>"2304120093"</f>
        <v>2304120093</v>
      </c>
      <c r="F8820" s="1">
        <v>45037</v>
      </c>
      <c r="G8820" t="str">
        <f t="shared" si="1560"/>
        <v>94297</v>
      </c>
      <c r="H8820">
        <v>1</v>
      </c>
      <c r="I8820">
        <v>304</v>
      </c>
      <c r="J8820">
        <v>0</v>
      </c>
      <c r="K8820" t="str">
        <f t="shared" si="1558"/>
        <v>816</v>
      </c>
      <c r="L8820">
        <v>304</v>
      </c>
    </row>
    <row r="8821" spans="1:12" x14ac:dyDescent="0.25">
      <c r="A8821" t="str">
        <f t="shared" si="1555"/>
        <v>89301000</v>
      </c>
      <c r="B8821" t="str">
        <f t="shared" si="1556"/>
        <v>72100000</v>
      </c>
      <c r="C8821" t="str">
        <f t="shared" si="1557"/>
        <v>72100632</v>
      </c>
      <c r="D8821">
        <v>89301091</v>
      </c>
      <c r="E8821" t="str">
        <f>"2354120626"</f>
        <v>2354120626</v>
      </c>
      <c r="F8821" s="1">
        <v>45037</v>
      </c>
      <c r="G8821" t="str">
        <f t="shared" si="1560"/>
        <v>94297</v>
      </c>
      <c r="H8821">
        <v>1</v>
      </c>
      <c r="I8821">
        <v>304</v>
      </c>
      <c r="J8821">
        <v>0</v>
      </c>
      <c r="K8821" t="str">
        <f t="shared" si="1558"/>
        <v>816</v>
      </c>
      <c r="L8821">
        <v>304</v>
      </c>
    </row>
    <row r="8822" spans="1:12" x14ac:dyDescent="0.25">
      <c r="A8822" t="str">
        <f t="shared" si="1555"/>
        <v>89301000</v>
      </c>
      <c r="B8822" t="str">
        <f t="shared" si="1556"/>
        <v>72100000</v>
      </c>
      <c r="C8822" t="str">
        <f t="shared" si="1557"/>
        <v>72100632</v>
      </c>
      <c r="D8822">
        <v>89301091</v>
      </c>
      <c r="E8822" t="str">
        <f>"2354120637"</f>
        <v>2354120637</v>
      </c>
      <c r="F8822" s="1">
        <v>45037</v>
      </c>
      <c r="G8822" t="str">
        <f t="shared" si="1560"/>
        <v>94297</v>
      </c>
      <c r="H8822">
        <v>1</v>
      </c>
      <c r="I8822">
        <v>304</v>
      </c>
      <c r="J8822">
        <v>0</v>
      </c>
      <c r="K8822" t="str">
        <f t="shared" si="1558"/>
        <v>816</v>
      </c>
      <c r="L8822">
        <v>304</v>
      </c>
    </row>
    <row r="8823" spans="1:12" x14ac:dyDescent="0.25">
      <c r="A8823" t="str">
        <f t="shared" si="1555"/>
        <v>89301000</v>
      </c>
      <c r="B8823" t="str">
        <f t="shared" si="1556"/>
        <v>72100000</v>
      </c>
      <c r="C8823" t="str">
        <f t="shared" si="1557"/>
        <v>72100632</v>
      </c>
      <c r="D8823">
        <v>89301091</v>
      </c>
      <c r="E8823" t="str">
        <f>"2354130636"</f>
        <v>2354130636</v>
      </c>
      <c r="F8823" s="1">
        <v>45037</v>
      </c>
      <c r="G8823" t="str">
        <f t="shared" si="1560"/>
        <v>94297</v>
      </c>
      <c r="H8823">
        <v>1</v>
      </c>
      <c r="I8823">
        <v>304</v>
      </c>
      <c r="J8823">
        <v>0</v>
      </c>
      <c r="K8823" t="str">
        <f t="shared" si="1558"/>
        <v>816</v>
      </c>
      <c r="L8823">
        <v>304</v>
      </c>
    </row>
    <row r="8824" spans="1:12" x14ac:dyDescent="0.25">
      <c r="A8824" t="str">
        <f t="shared" si="1555"/>
        <v>89301000</v>
      </c>
      <c r="B8824" t="str">
        <f t="shared" si="1556"/>
        <v>72100000</v>
      </c>
      <c r="C8824" t="str">
        <f t="shared" si="1557"/>
        <v>72100632</v>
      </c>
      <c r="D8824">
        <v>89301091</v>
      </c>
      <c r="E8824" t="str">
        <f>"2304130488"</f>
        <v>2304130488</v>
      </c>
      <c r="F8824" s="1">
        <v>45037</v>
      </c>
      <c r="G8824" t="str">
        <f t="shared" si="1560"/>
        <v>94297</v>
      </c>
      <c r="H8824">
        <v>1</v>
      </c>
      <c r="I8824">
        <v>304</v>
      </c>
      <c r="J8824">
        <v>0</v>
      </c>
      <c r="K8824" t="str">
        <f t="shared" si="1558"/>
        <v>816</v>
      </c>
      <c r="L8824">
        <v>304</v>
      </c>
    </row>
    <row r="8825" spans="1:12" x14ac:dyDescent="0.25">
      <c r="A8825" t="str">
        <f t="shared" si="1555"/>
        <v>89301000</v>
      </c>
      <c r="B8825" t="str">
        <f t="shared" si="1556"/>
        <v>72100000</v>
      </c>
      <c r="C8825" t="str">
        <f t="shared" si="1557"/>
        <v>72100632</v>
      </c>
      <c r="D8825">
        <v>89301091</v>
      </c>
      <c r="E8825" t="str">
        <f>"2354130658"</f>
        <v>2354130658</v>
      </c>
      <c r="F8825" s="1">
        <v>45037</v>
      </c>
      <c r="G8825" t="str">
        <f t="shared" si="1560"/>
        <v>94297</v>
      </c>
      <c r="H8825">
        <v>1</v>
      </c>
      <c r="I8825">
        <v>304</v>
      </c>
      <c r="J8825">
        <v>0</v>
      </c>
      <c r="K8825" t="str">
        <f t="shared" si="1558"/>
        <v>816</v>
      </c>
      <c r="L8825">
        <v>304</v>
      </c>
    </row>
    <row r="8826" spans="1:12" x14ac:dyDescent="0.25">
      <c r="A8826" t="str">
        <f t="shared" si="1555"/>
        <v>89301000</v>
      </c>
      <c r="B8826" t="str">
        <f t="shared" si="1556"/>
        <v>72100000</v>
      </c>
      <c r="C8826" t="str">
        <f t="shared" si="1557"/>
        <v>72100632</v>
      </c>
      <c r="D8826">
        <v>89301091</v>
      </c>
      <c r="E8826" t="str">
        <f>"2304140113"</f>
        <v>2304140113</v>
      </c>
      <c r="F8826" s="1">
        <v>45037</v>
      </c>
      <c r="G8826" t="str">
        <f t="shared" si="1560"/>
        <v>94297</v>
      </c>
      <c r="H8826">
        <v>1</v>
      </c>
      <c r="I8826">
        <v>304</v>
      </c>
      <c r="J8826">
        <v>0</v>
      </c>
      <c r="K8826" t="str">
        <f t="shared" si="1558"/>
        <v>816</v>
      </c>
      <c r="L8826">
        <v>304</v>
      </c>
    </row>
    <row r="8827" spans="1:12" x14ac:dyDescent="0.25">
      <c r="A8827" t="str">
        <f t="shared" si="1555"/>
        <v>89301000</v>
      </c>
      <c r="B8827" t="str">
        <f t="shared" si="1556"/>
        <v>72100000</v>
      </c>
      <c r="C8827" t="str">
        <f t="shared" si="1557"/>
        <v>72100632</v>
      </c>
      <c r="D8827">
        <v>89301091</v>
      </c>
      <c r="E8827" t="str">
        <f>"8960043763"</f>
        <v>8960043763</v>
      </c>
      <c r="F8827" s="1">
        <v>45037</v>
      </c>
      <c r="G8827" t="str">
        <f t="shared" si="1560"/>
        <v>94297</v>
      </c>
      <c r="H8827">
        <v>1</v>
      </c>
      <c r="I8827">
        <v>304</v>
      </c>
      <c r="J8827">
        <v>0</v>
      </c>
      <c r="K8827" t="str">
        <f t="shared" si="1558"/>
        <v>816</v>
      </c>
      <c r="L8827">
        <v>304</v>
      </c>
    </row>
    <row r="8828" spans="1:12" x14ac:dyDescent="0.25">
      <c r="A8828" t="str">
        <f t="shared" si="1555"/>
        <v>89301000</v>
      </c>
      <c r="B8828" t="str">
        <f t="shared" si="1556"/>
        <v>72100000</v>
      </c>
      <c r="C8828" t="str">
        <f t="shared" si="1557"/>
        <v>72100632</v>
      </c>
      <c r="D8828">
        <v>89301091</v>
      </c>
      <c r="E8828" t="str">
        <f>"2354120648"</f>
        <v>2354120648</v>
      </c>
      <c r="F8828" s="1">
        <v>45037</v>
      </c>
      <c r="G8828" t="str">
        <f t="shared" si="1560"/>
        <v>94297</v>
      </c>
      <c r="H8828">
        <v>1</v>
      </c>
      <c r="I8828">
        <v>304</v>
      </c>
      <c r="J8828">
        <v>0</v>
      </c>
      <c r="K8828" t="str">
        <f t="shared" si="1558"/>
        <v>816</v>
      </c>
      <c r="L8828">
        <v>304</v>
      </c>
    </row>
    <row r="8829" spans="1:12" x14ac:dyDescent="0.25">
      <c r="A8829" t="str">
        <f t="shared" si="1555"/>
        <v>89301000</v>
      </c>
      <c r="B8829" t="str">
        <f t="shared" si="1556"/>
        <v>72100000</v>
      </c>
      <c r="C8829" t="str">
        <f t="shared" si="1557"/>
        <v>72100632</v>
      </c>
      <c r="D8829">
        <v>89301093</v>
      </c>
      <c r="E8829" t="str">
        <f>"9462074842"</f>
        <v>9462074842</v>
      </c>
      <c r="F8829" s="1">
        <v>45040</v>
      </c>
      <c r="G8829" t="str">
        <f t="shared" si="1560"/>
        <v>94297</v>
      </c>
      <c r="H8829">
        <v>1</v>
      </c>
      <c r="I8829">
        <v>304</v>
      </c>
      <c r="J8829">
        <v>0</v>
      </c>
      <c r="K8829" t="str">
        <f t="shared" si="1558"/>
        <v>816</v>
      </c>
      <c r="L8829">
        <v>304</v>
      </c>
    </row>
    <row r="8830" spans="1:12" x14ac:dyDescent="0.25">
      <c r="A8830" t="str">
        <f t="shared" si="1555"/>
        <v>89301000</v>
      </c>
      <c r="B8830" t="str">
        <f t="shared" si="1556"/>
        <v>72100000</v>
      </c>
      <c r="C8830" t="str">
        <f t="shared" si="1557"/>
        <v>72100632</v>
      </c>
      <c r="D8830">
        <v>89301091</v>
      </c>
      <c r="E8830" t="str">
        <f>"2354170533"</f>
        <v>2354170533</v>
      </c>
      <c r="F8830" s="1">
        <v>45040</v>
      </c>
      <c r="G8830" t="str">
        <f t="shared" si="1560"/>
        <v>94297</v>
      </c>
      <c r="H8830">
        <v>1</v>
      </c>
      <c r="I8830">
        <v>304</v>
      </c>
      <c r="J8830">
        <v>0</v>
      </c>
      <c r="K8830" t="str">
        <f t="shared" si="1558"/>
        <v>816</v>
      </c>
      <c r="L8830">
        <v>304</v>
      </c>
    </row>
    <row r="8831" spans="1:12" x14ac:dyDescent="0.25">
      <c r="A8831" t="str">
        <f t="shared" si="1555"/>
        <v>89301000</v>
      </c>
      <c r="B8831" t="str">
        <f t="shared" si="1556"/>
        <v>72100000</v>
      </c>
      <c r="C8831" t="str">
        <f t="shared" si="1557"/>
        <v>72100632</v>
      </c>
      <c r="D8831">
        <v>89301091</v>
      </c>
      <c r="E8831" t="str">
        <f>"2304170077"</f>
        <v>2304170077</v>
      </c>
      <c r="F8831" s="1">
        <v>45040</v>
      </c>
      <c r="G8831" t="str">
        <f t="shared" si="1560"/>
        <v>94297</v>
      </c>
      <c r="H8831">
        <v>1</v>
      </c>
      <c r="I8831">
        <v>304</v>
      </c>
      <c r="J8831">
        <v>0</v>
      </c>
      <c r="K8831" t="str">
        <f t="shared" si="1558"/>
        <v>816</v>
      </c>
      <c r="L8831">
        <v>304</v>
      </c>
    </row>
    <row r="8832" spans="1:12" x14ac:dyDescent="0.25">
      <c r="A8832" t="str">
        <f t="shared" si="1555"/>
        <v>89301000</v>
      </c>
      <c r="B8832" t="str">
        <f t="shared" si="1556"/>
        <v>72100000</v>
      </c>
      <c r="C8832" t="str">
        <f t="shared" si="1557"/>
        <v>72100632</v>
      </c>
      <c r="D8832">
        <v>89301091</v>
      </c>
      <c r="E8832" t="str">
        <f>"2354180609"</f>
        <v>2354180609</v>
      </c>
      <c r="F8832" s="1">
        <v>45041</v>
      </c>
      <c r="G8832" t="str">
        <f t="shared" si="1560"/>
        <v>94297</v>
      </c>
      <c r="H8832">
        <v>1</v>
      </c>
      <c r="I8832">
        <v>304</v>
      </c>
      <c r="J8832">
        <v>0</v>
      </c>
      <c r="K8832" t="str">
        <f t="shared" si="1558"/>
        <v>816</v>
      </c>
      <c r="L8832">
        <v>304</v>
      </c>
    </row>
    <row r="8833" spans="1:12" x14ac:dyDescent="0.25">
      <c r="A8833" t="str">
        <f t="shared" si="1555"/>
        <v>89301000</v>
      </c>
      <c r="B8833" t="str">
        <f t="shared" si="1556"/>
        <v>72100000</v>
      </c>
      <c r="C8833" t="str">
        <f t="shared" si="1557"/>
        <v>72100632</v>
      </c>
      <c r="D8833">
        <v>89301091</v>
      </c>
      <c r="E8833" t="str">
        <f>"2354180631"</f>
        <v>2354180631</v>
      </c>
      <c r="F8833" s="1">
        <v>45041</v>
      </c>
      <c r="G8833" t="str">
        <f t="shared" si="1560"/>
        <v>94297</v>
      </c>
      <c r="H8833">
        <v>1</v>
      </c>
      <c r="I8833">
        <v>304</v>
      </c>
      <c r="J8833">
        <v>0</v>
      </c>
      <c r="K8833" t="str">
        <f t="shared" si="1558"/>
        <v>816</v>
      </c>
      <c r="L8833">
        <v>304</v>
      </c>
    </row>
    <row r="8834" spans="1:12" x14ac:dyDescent="0.25">
      <c r="A8834" t="str">
        <f t="shared" ref="A8834:A8897" si="1561">"89301000"</f>
        <v>89301000</v>
      </c>
      <c r="B8834" t="str">
        <f t="shared" si="1556"/>
        <v>72100000</v>
      </c>
      <c r="C8834" t="str">
        <f t="shared" si="1557"/>
        <v>72100632</v>
      </c>
      <c r="D8834">
        <v>89301091</v>
      </c>
      <c r="E8834" t="str">
        <f>"9854284847"</f>
        <v>9854284847</v>
      </c>
      <c r="F8834" s="1">
        <v>45042</v>
      </c>
      <c r="G8834" t="str">
        <f t="shared" si="1560"/>
        <v>94297</v>
      </c>
      <c r="H8834">
        <v>1</v>
      </c>
      <c r="I8834">
        <v>304</v>
      </c>
      <c r="J8834">
        <v>0</v>
      </c>
      <c r="K8834" t="str">
        <f t="shared" si="1558"/>
        <v>816</v>
      </c>
      <c r="L8834">
        <v>304</v>
      </c>
    </row>
    <row r="8835" spans="1:12" x14ac:dyDescent="0.25">
      <c r="A8835" t="str">
        <f t="shared" si="1561"/>
        <v>89301000</v>
      </c>
      <c r="B8835" t="str">
        <f t="shared" si="1556"/>
        <v>72100000</v>
      </c>
      <c r="C8835" t="str">
        <f t="shared" si="1557"/>
        <v>72100632</v>
      </c>
      <c r="D8835">
        <v>89301091</v>
      </c>
      <c r="E8835" t="str">
        <f>"8861264907"</f>
        <v>8861264907</v>
      </c>
      <c r="F8835" s="1">
        <v>45042</v>
      </c>
      <c r="G8835" t="str">
        <f t="shared" si="1560"/>
        <v>94297</v>
      </c>
      <c r="H8835">
        <v>1</v>
      </c>
      <c r="I8835">
        <v>304</v>
      </c>
      <c r="J8835">
        <v>0</v>
      </c>
      <c r="K8835" t="str">
        <f t="shared" si="1558"/>
        <v>816</v>
      </c>
      <c r="L8835">
        <v>304</v>
      </c>
    </row>
    <row r="8836" spans="1:12" x14ac:dyDescent="0.25">
      <c r="A8836" t="str">
        <f t="shared" si="1561"/>
        <v>89301000</v>
      </c>
      <c r="B8836" t="str">
        <f t="shared" si="1556"/>
        <v>72100000</v>
      </c>
      <c r="C8836" t="str">
        <f t="shared" si="1557"/>
        <v>72100632</v>
      </c>
      <c r="D8836">
        <v>89301091</v>
      </c>
      <c r="E8836" t="str">
        <f>"2354190091"</f>
        <v>2354190091</v>
      </c>
      <c r="F8836" s="1">
        <v>45042</v>
      </c>
      <c r="G8836" t="str">
        <f t="shared" si="1560"/>
        <v>94297</v>
      </c>
      <c r="H8836">
        <v>1</v>
      </c>
      <c r="I8836">
        <v>304</v>
      </c>
      <c r="J8836">
        <v>0</v>
      </c>
      <c r="K8836" t="str">
        <f t="shared" si="1558"/>
        <v>816</v>
      </c>
      <c r="L8836">
        <v>304</v>
      </c>
    </row>
    <row r="8837" spans="1:12" x14ac:dyDescent="0.25">
      <c r="A8837" t="str">
        <f t="shared" si="1561"/>
        <v>89301000</v>
      </c>
      <c r="B8837" t="str">
        <f t="shared" ref="B8837:B8849" si="1562">"72100000"</f>
        <v>72100000</v>
      </c>
      <c r="C8837" t="str">
        <f t="shared" ref="C8837:C8849" si="1563">"72100632"</f>
        <v>72100632</v>
      </c>
      <c r="D8837">
        <v>89301091</v>
      </c>
      <c r="E8837" t="str">
        <f>"2354190586"</f>
        <v>2354190586</v>
      </c>
      <c r="F8837" s="1">
        <v>45042</v>
      </c>
      <c r="G8837" t="str">
        <f t="shared" si="1560"/>
        <v>94297</v>
      </c>
      <c r="H8837">
        <v>1</v>
      </c>
      <c r="I8837">
        <v>304</v>
      </c>
      <c r="J8837">
        <v>0</v>
      </c>
      <c r="K8837" t="str">
        <f t="shared" ref="K8837:K8849" si="1564">"816"</f>
        <v>816</v>
      </c>
      <c r="L8837">
        <v>304</v>
      </c>
    </row>
    <row r="8838" spans="1:12" x14ac:dyDescent="0.25">
      <c r="A8838" t="str">
        <f t="shared" si="1561"/>
        <v>89301000</v>
      </c>
      <c r="B8838" t="str">
        <f t="shared" si="1562"/>
        <v>72100000</v>
      </c>
      <c r="C8838" t="str">
        <f t="shared" si="1563"/>
        <v>72100632</v>
      </c>
      <c r="D8838">
        <v>89301091</v>
      </c>
      <c r="E8838" t="str">
        <f>"2354190619"</f>
        <v>2354190619</v>
      </c>
      <c r="F8838" s="1">
        <v>45042</v>
      </c>
      <c r="G8838" t="str">
        <f t="shared" si="1560"/>
        <v>94297</v>
      </c>
      <c r="H8838">
        <v>1</v>
      </c>
      <c r="I8838">
        <v>304</v>
      </c>
      <c r="J8838">
        <v>0</v>
      </c>
      <c r="K8838" t="str">
        <f t="shared" si="1564"/>
        <v>816</v>
      </c>
      <c r="L8838">
        <v>304</v>
      </c>
    </row>
    <row r="8839" spans="1:12" x14ac:dyDescent="0.25">
      <c r="A8839" t="str">
        <f t="shared" si="1561"/>
        <v>89301000</v>
      </c>
      <c r="B8839" t="str">
        <f t="shared" si="1562"/>
        <v>72100000</v>
      </c>
      <c r="C8839" t="str">
        <f t="shared" si="1563"/>
        <v>72100632</v>
      </c>
      <c r="D8839">
        <v>89301091</v>
      </c>
      <c r="E8839" t="str">
        <f>"2304190647"</f>
        <v>2304190647</v>
      </c>
      <c r="F8839" s="1">
        <v>45042</v>
      </c>
      <c r="G8839" t="str">
        <f t="shared" si="1560"/>
        <v>94297</v>
      </c>
      <c r="H8839">
        <v>1</v>
      </c>
      <c r="I8839">
        <v>304</v>
      </c>
      <c r="J8839">
        <v>0</v>
      </c>
      <c r="K8839" t="str">
        <f t="shared" si="1564"/>
        <v>816</v>
      </c>
      <c r="L8839">
        <v>304</v>
      </c>
    </row>
    <row r="8840" spans="1:12" x14ac:dyDescent="0.25">
      <c r="A8840" t="str">
        <f t="shared" si="1561"/>
        <v>89301000</v>
      </c>
      <c r="B8840" t="str">
        <f t="shared" si="1562"/>
        <v>72100000</v>
      </c>
      <c r="C8840" t="str">
        <f t="shared" si="1563"/>
        <v>72100632</v>
      </c>
      <c r="D8840">
        <v>89301091</v>
      </c>
      <c r="E8840" t="str">
        <f>"2304200602"</f>
        <v>2304200602</v>
      </c>
      <c r="F8840" s="1">
        <v>45042</v>
      </c>
      <c r="G8840" t="str">
        <f t="shared" si="1560"/>
        <v>94297</v>
      </c>
      <c r="H8840">
        <v>1</v>
      </c>
      <c r="I8840">
        <v>304</v>
      </c>
      <c r="J8840">
        <v>0</v>
      </c>
      <c r="K8840" t="str">
        <f t="shared" si="1564"/>
        <v>816</v>
      </c>
      <c r="L8840">
        <v>304</v>
      </c>
    </row>
    <row r="8841" spans="1:12" x14ac:dyDescent="0.25">
      <c r="A8841" t="str">
        <f t="shared" si="1561"/>
        <v>89301000</v>
      </c>
      <c r="B8841" t="str">
        <f t="shared" si="1562"/>
        <v>72100000</v>
      </c>
      <c r="C8841" t="str">
        <f t="shared" si="1563"/>
        <v>72100632</v>
      </c>
      <c r="D8841">
        <v>89301091</v>
      </c>
      <c r="E8841" t="str">
        <f>"2354200519"</f>
        <v>2354200519</v>
      </c>
      <c r="F8841" s="1">
        <v>45042</v>
      </c>
      <c r="G8841" t="str">
        <f t="shared" ref="G8841:G8849" si="1565">"94297"</f>
        <v>94297</v>
      </c>
      <c r="H8841">
        <v>1</v>
      </c>
      <c r="I8841">
        <v>304</v>
      </c>
      <c r="J8841">
        <v>0</v>
      </c>
      <c r="K8841" t="str">
        <f t="shared" si="1564"/>
        <v>816</v>
      </c>
      <c r="L8841">
        <v>304</v>
      </c>
    </row>
    <row r="8842" spans="1:12" x14ac:dyDescent="0.25">
      <c r="A8842" t="str">
        <f t="shared" si="1561"/>
        <v>89301000</v>
      </c>
      <c r="B8842" t="str">
        <f t="shared" si="1562"/>
        <v>72100000</v>
      </c>
      <c r="C8842" t="str">
        <f t="shared" si="1563"/>
        <v>72100632</v>
      </c>
      <c r="D8842">
        <v>89301091</v>
      </c>
      <c r="E8842" t="str">
        <f>"2354210375"</f>
        <v>2354210375</v>
      </c>
      <c r="F8842" s="1">
        <v>45042</v>
      </c>
      <c r="G8842" t="str">
        <f t="shared" si="1565"/>
        <v>94297</v>
      </c>
      <c r="H8842">
        <v>1</v>
      </c>
      <c r="I8842">
        <v>304</v>
      </c>
      <c r="J8842">
        <v>0</v>
      </c>
      <c r="K8842" t="str">
        <f t="shared" si="1564"/>
        <v>816</v>
      </c>
      <c r="L8842">
        <v>304</v>
      </c>
    </row>
    <row r="8843" spans="1:12" x14ac:dyDescent="0.25">
      <c r="A8843" t="str">
        <f t="shared" si="1561"/>
        <v>89301000</v>
      </c>
      <c r="B8843" t="str">
        <f t="shared" si="1562"/>
        <v>72100000</v>
      </c>
      <c r="C8843" t="str">
        <f t="shared" si="1563"/>
        <v>72100632</v>
      </c>
      <c r="D8843">
        <v>89301091</v>
      </c>
      <c r="E8843" t="str">
        <f>"9659255705"</f>
        <v>9659255705</v>
      </c>
      <c r="F8843" s="1">
        <v>45042</v>
      </c>
      <c r="G8843" t="str">
        <f t="shared" si="1565"/>
        <v>94297</v>
      </c>
      <c r="H8843">
        <v>1</v>
      </c>
      <c r="I8843">
        <v>304</v>
      </c>
      <c r="J8843">
        <v>0</v>
      </c>
      <c r="K8843" t="str">
        <f t="shared" si="1564"/>
        <v>816</v>
      </c>
      <c r="L8843">
        <v>304</v>
      </c>
    </row>
    <row r="8844" spans="1:12" x14ac:dyDescent="0.25">
      <c r="A8844" t="str">
        <f t="shared" si="1561"/>
        <v>89301000</v>
      </c>
      <c r="B8844" t="str">
        <f t="shared" si="1562"/>
        <v>72100000</v>
      </c>
      <c r="C8844" t="str">
        <f t="shared" si="1563"/>
        <v>72100632</v>
      </c>
      <c r="D8844">
        <v>89301091</v>
      </c>
      <c r="E8844" t="str">
        <f>"2354230197"</f>
        <v>2354230197</v>
      </c>
      <c r="F8844" s="1">
        <v>45044</v>
      </c>
      <c r="G8844" t="str">
        <f t="shared" si="1565"/>
        <v>94297</v>
      </c>
      <c r="H8844">
        <v>1</v>
      </c>
      <c r="I8844">
        <v>304</v>
      </c>
      <c r="J8844">
        <v>0</v>
      </c>
      <c r="K8844" t="str">
        <f t="shared" si="1564"/>
        <v>816</v>
      </c>
      <c r="L8844">
        <v>304</v>
      </c>
    </row>
    <row r="8845" spans="1:12" x14ac:dyDescent="0.25">
      <c r="A8845" t="str">
        <f t="shared" si="1561"/>
        <v>89301000</v>
      </c>
      <c r="B8845" t="str">
        <f t="shared" si="1562"/>
        <v>72100000</v>
      </c>
      <c r="C8845" t="str">
        <f t="shared" si="1563"/>
        <v>72100632</v>
      </c>
      <c r="D8845">
        <v>89301091</v>
      </c>
      <c r="E8845" t="str">
        <f>"2354230230"</f>
        <v>2354230230</v>
      </c>
      <c r="F8845" s="1">
        <v>45044</v>
      </c>
      <c r="G8845" t="str">
        <f t="shared" si="1565"/>
        <v>94297</v>
      </c>
      <c r="H8845">
        <v>1</v>
      </c>
      <c r="I8845">
        <v>304</v>
      </c>
      <c r="J8845">
        <v>0</v>
      </c>
      <c r="K8845" t="str">
        <f t="shared" si="1564"/>
        <v>816</v>
      </c>
      <c r="L8845">
        <v>304</v>
      </c>
    </row>
    <row r="8846" spans="1:12" x14ac:dyDescent="0.25">
      <c r="A8846" t="str">
        <f t="shared" si="1561"/>
        <v>89301000</v>
      </c>
      <c r="B8846" t="str">
        <f t="shared" si="1562"/>
        <v>72100000</v>
      </c>
      <c r="C8846" t="str">
        <f t="shared" si="1563"/>
        <v>72100632</v>
      </c>
      <c r="D8846">
        <v>89301091</v>
      </c>
      <c r="E8846" t="str">
        <f>"2354230296"</f>
        <v>2354230296</v>
      </c>
      <c r="F8846" s="1">
        <v>45044</v>
      </c>
      <c r="G8846" t="str">
        <f t="shared" si="1565"/>
        <v>94297</v>
      </c>
      <c r="H8846">
        <v>1</v>
      </c>
      <c r="I8846">
        <v>304</v>
      </c>
      <c r="J8846">
        <v>0</v>
      </c>
      <c r="K8846" t="str">
        <f t="shared" si="1564"/>
        <v>816</v>
      </c>
      <c r="L8846">
        <v>304</v>
      </c>
    </row>
    <row r="8847" spans="1:12" x14ac:dyDescent="0.25">
      <c r="A8847" t="str">
        <f t="shared" si="1561"/>
        <v>89301000</v>
      </c>
      <c r="B8847" t="str">
        <f t="shared" si="1562"/>
        <v>72100000</v>
      </c>
      <c r="C8847" t="str">
        <f t="shared" si="1563"/>
        <v>72100632</v>
      </c>
      <c r="D8847">
        <v>89301091</v>
      </c>
      <c r="E8847" t="str">
        <f>"2354230307"</f>
        <v>2354230307</v>
      </c>
      <c r="F8847" s="1">
        <v>45044</v>
      </c>
      <c r="G8847" t="str">
        <f t="shared" si="1565"/>
        <v>94297</v>
      </c>
      <c r="H8847">
        <v>1</v>
      </c>
      <c r="I8847">
        <v>304</v>
      </c>
      <c r="J8847">
        <v>0</v>
      </c>
      <c r="K8847" t="str">
        <f t="shared" si="1564"/>
        <v>816</v>
      </c>
      <c r="L8847">
        <v>304</v>
      </c>
    </row>
    <row r="8848" spans="1:12" x14ac:dyDescent="0.25">
      <c r="A8848" t="str">
        <f t="shared" si="1561"/>
        <v>89301000</v>
      </c>
      <c r="B8848" t="str">
        <f t="shared" si="1562"/>
        <v>72100000</v>
      </c>
      <c r="C8848" t="str">
        <f t="shared" si="1563"/>
        <v>72100632</v>
      </c>
      <c r="D8848">
        <v>89301091</v>
      </c>
      <c r="E8848" t="str">
        <f>"8359265321"</f>
        <v>8359265321</v>
      </c>
      <c r="F8848" s="1">
        <v>45044</v>
      </c>
      <c r="G8848" t="str">
        <f t="shared" si="1565"/>
        <v>94297</v>
      </c>
      <c r="H8848">
        <v>1</v>
      </c>
      <c r="I8848">
        <v>304</v>
      </c>
      <c r="J8848">
        <v>0</v>
      </c>
      <c r="K8848" t="str">
        <f t="shared" si="1564"/>
        <v>816</v>
      </c>
      <c r="L8848">
        <v>304</v>
      </c>
    </row>
    <row r="8849" spans="1:12" x14ac:dyDescent="0.25">
      <c r="A8849" t="str">
        <f t="shared" si="1561"/>
        <v>89301000</v>
      </c>
      <c r="B8849" t="str">
        <f t="shared" si="1562"/>
        <v>72100000</v>
      </c>
      <c r="C8849" t="str">
        <f t="shared" si="1563"/>
        <v>72100632</v>
      </c>
      <c r="D8849">
        <v>89301091</v>
      </c>
      <c r="E8849" t="str">
        <f>"9359245720"</f>
        <v>9359245720</v>
      </c>
      <c r="F8849" s="1">
        <v>45044</v>
      </c>
      <c r="G8849" t="str">
        <f t="shared" si="1565"/>
        <v>94297</v>
      </c>
      <c r="H8849">
        <v>1</v>
      </c>
      <c r="I8849">
        <v>304</v>
      </c>
      <c r="J8849">
        <v>0</v>
      </c>
      <c r="K8849" t="str">
        <f t="shared" si="1564"/>
        <v>816</v>
      </c>
      <c r="L8849">
        <v>304</v>
      </c>
    </row>
    <row r="8850" spans="1:12" x14ac:dyDescent="0.25">
      <c r="A8850" t="str">
        <f t="shared" si="1561"/>
        <v>89301000</v>
      </c>
      <c r="B8850" t="str">
        <f t="shared" ref="B8850:B8859" si="1566">"89903000"</f>
        <v>89903000</v>
      </c>
      <c r="C8850" t="str">
        <f>"89903504"</f>
        <v>89903504</v>
      </c>
      <c r="D8850">
        <v>89301172</v>
      </c>
      <c r="E8850" t="str">
        <f>"7606045788"</f>
        <v>7606045788</v>
      </c>
      <c r="F8850" s="1">
        <v>45114</v>
      </c>
      <c r="G8850" t="str">
        <f>"89713"</f>
        <v>89713</v>
      </c>
      <c r="H8850">
        <v>2</v>
      </c>
      <c r="I8850">
        <v>10822</v>
      </c>
      <c r="J8850">
        <v>0</v>
      </c>
      <c r="K8850" t="str">
        <f>"810"</f>
        <v>810</v>
      </c>
      <c r="L8850">
        <v>7034.3</v>
      </c>
    </row>
    <row r="8851" spans="1:12" x14ac:dyDescent="0.25">
      <c r="A8851" t="str">
        <f t="shared" si="1561"/>
        <v>89301000</v>
      </c>
      <c r="B8851" t="str">
        <f t="shared" si="1566"/>
        <v>89903000</v>
      </c>
      <c r="C8851" t="str">
        <f>"89903504"</f>
        <v>89903504</v>
      </c>
      <c r="D8851">
        <v>89301172</v>
      </c>
      <c r="E8851" t="str">
        <f>"7606045788"</f>
        <v>7606045788</v>
      </c>
      <c r="F8851" s="1">
        <v>45114</v>
      </c>
      <c r="G8851" t="str">
        <f>"89725"</f>
        <v>89725</v>
      </c>
      <c r="H8851">
        <v>1</v>
      </c>
      <c r="I8851">
        <v>2863</v>
      </c>
      <c r="J8851">
        <v>0</v>
      </c>
      <c r="K8851" t="str">
        <f>"810"</f>
        <v>810</v>
      </c>
      <c r="L8851">
        <v>1860.95</v>
      </c>
    </row>
    <row r="8852" spans="1:12" x14ac:dyDescent="0.25">
      <c r="A8852" t="str">
        <f t="shared" si="1561"/>
        <v>89301000</v>
      </c>
      <c r="B8852" t="str">
        <f t="shared" si="1566"/>
        <v>89903000</v>
      </c>
      <c r="C8852" t="str">
        <f>"89903504"</f>
        <v>89903504</v>
      </c>
      <c r="D8852">
        <v>89301172</v>
      </c>
      <c r="E8852" t="str">
        <f>"7606045788"</f>
        <v>7606045788</v>
      </c>
      <c r="F8852" s="1">
        <v>45114</v>
      </c>
      <c r="G8852" t="str">
        <f>"0054255"</f>
        <v>0054255</v>
      </c>
      <c r="H8852">
        <v>1</v>
      </c>
      <c r="J8852">
        <v>1686.92</v>
      </c>
      <c r="K8852" t="str">
        <f>"810"</f>
        <v>810</v>
      </c>
      <c r="L8852">
        <v>1686.92</v>
      </c>
    </row>
    <row r="8853" spans="1:12" x14ac:dyDescent="0.25">
      <c r="A8853" t="str">
        <f t="shared" si="1561"/>
        <v>89301000</v>
      </c>
      <c r="B8853" t="str">
        <f t="shared" si="1566"/>
        <v>89903000</v>
      </c>
      <c r="C8853" t="str">
        <f>"89903504"</f>
        <v>89903504</v>
      </c>
      <c r="D8853">
        <v>89301606</v>
      </c>
      <c r="E8853" t="str">
        <f>"7102155698"</f>
        <v>7102155698</v>
      </c>
      <c r="F8853" s="1">
        <v>45120</v>
      </c>
      <c r="G8853" t="str">
        <f>"89713"</f>
        <v>89713</v>
      </c>
      <c r="H8853">
        <v>1</v>
      </c>
      <c r="I8853">
        <v>5411</v>
      </c>
      <c r="J8853">
        <v>0</v>
      </c>
      <c r="K8853" t="str">
        <f>"810"</f>
        <v>810</v>
      </c>
      <c r="L8853">
        <v>3517.15</v>
      </c>
    </row>
    <row r="8854" spans="1:12" x14ac:dyDescent="0.25">
      <c r="A8854" t="str">
        <f t="shared" si="1561"/>
        <v>89301000</v>
      </c>
      <c r="B8854" t="str">
        <f t="shared" si="1566"/>
        <v>89903000</v>
      </c>
      <c r="C8854" t="str">
        <f t="shared" ref="C8854:C8859" si="1567">"89903503"</f>
        <v>89903503</v>
      </c>
      <c r="D8854">
        <v>89301062</v>
      </c>
      <c r="E8854" t="str">
        <f t="shared" ref="E8854:E8859" si="1568">"9554246141"</f>
        <v>9554246141</v>
      </c>
      <c r="F8854" s="1">
        <v>45114</v>
      </c>
      <c r="G8854" t="str">
        <f>"09233"</f>
        <v>09233</v>
      </c>
      <c r="H8854">
        <v>1</v>
      </c>
      <c r="I8854">
        <v>102</v>
      </c>
      <c r="J8854">
        <v>0</v>
      </c>
      <c r="K8854" t="str">
        <f t="shared" ref="K8854:K8859" si="1569">"809"</f>
        <v>809</v>
      </c>
      <c r="L8854">
        <v>149.94</v>
      </c>
    </row>
    <row r="8855" spans="1:12" x14ac:dyDescent="0.25">
      <c r="A8855" t="str">
        <f t="shared" si="1561"/>
        <v>89301000</v>
      </c>
      <c r="B8855" t="str">
        <f t="shared" si="1566"/>
        <v>89903000</v>
      </c>
      <c r="C8855" t="str">
        <f t="shared" si="1567"/>
        <v>89903503</v>
      </c>
      <c r="D8855">
        <v>89301062</v>
      </c>
      <c r="E8855" t="str">
        <f t="shared" si="1568"/>
        <v>9554246141</v>
      </c>
      <c r="F8855" s="1">
        <v>45114</v>
      </c>
      <c r="G8855" t="str">
        <f>"89311"</f>
        <v>89311</v>
      </c>
      <c r="H8855">
        <v>1</v>
      </c>
      <c r="I8855">
        <v>970</v>
      </c>
      <c r="J8855">
        <v>0</v>
      </c>
      <c r="K8855" t="str">
        <f t="shared" si="1569"/>
        <v>809</v>
      </c>
      <c r="L8855">
        <v>1425.9</v>
      </c>
    </row>
    <row r="8856" spans="1:12" x14ac:dyDescent="0.25">
      <c r="A8856" t="str">
        <f t="shared" si="1561"/>
        <v>89301000</v>
      </c>
      <c r="B8856" t="str">
        <f t="shared" si="1566"/>
        <v>89903000</v>
      </c>
      <c r="C8856" t="str">
        <f t="shared" si="1567"/>
        <v>89903503</v>
      </c>
      <c r="D8856">
        <v>89301062</v>
      </c>
      <c r="E8856" t="str">
        <f t="shared" si="1568"/>
        <v>9554246141</v>
      </c>
      <c r="F8856" s="1">
        <v>45114</v>
      </c>
      <c r="G8856" t="str">
        <f>"89615"</f>
        <v>89615</v>
      </c>
      <c r="H8856">
        <v>1</v>
      </c>
      <c r="I8856">
        <v>2199</v>
      </c>
      <c r="J8856">
        <v>0</v>
      </c>
      <c r="K8856" t="str">
        <f t="shared" si="1569"/>
        <v>809</v>
      </c>
      <c r="L8856">
        <v>1429.35</v>
      </c>
    </row>
    <row r="8857" spans="1:12" x14ac:dyDescent="0.25">
      <c r="A8857" t="str">
        <f t="shared" si="1561"/>
        <v>89301000</v>
      </c>
      <c r="B8857" t="str">
        <f t="shared" si="1566"/>
        <v>89903000</v>
      </c>
      <c r="C8857" t="str">
        <f t="shared" si="1567"/>
        <v>89903503</v>
      </c>
      <c r="D8857">
        <v>89301062</v>
      </c>
      <c r="E8857" t="str">
        <f t="shared" si="1568"/>
        <v>9554246141</v>
      </c>
      <c r="F8857" s="1">
        <v>45114</v>
      </c>
      <c r="G8857" t="str">
        <f>"0000502"</f>
        <v>0000502</v>
      </c>
      <c r="H8857">
        <v>0.1</v>
      </c>
      <c r="J8857">
        <v>6.97</v>
      </c>
      <c r="K8857" t="str">
        <f t="shared" si="1569"/>
        <v>809</v>
      </c>
      <c r="L8857">
        <v>6.97</v>
      </c>
    </row>
    <row r="8858" spans="1:12" x14ac:dyDescent="0.25">
      <c r="A8858" t="str">
        <f t="shared" si="1561"/>
        <v>89301000</v>
      </c>
      <c r="B8858" t="str">
        <f t="shared" si="1566"/>
        <v>89903000</v>
      </c>
      <c r="C8858" t="str">
        <f t="shared" si="1567"/>
        <v>89903503</v>
      </c>
      <c r="D8858">
        <v>89301062</v>
      </c>
      <c r="E8858" t="str">
        <f t="shared" si="1568"/>
        <v>9554246141</v>
      </c>
      <c r="F8858" s="1">
        <v>45114</v>
      </c>
      <c r="G8858" t="str">
        <f>"0096251"</f>
        <v>0096251</v>
      </c>
      <c r="H8858">
        <v>8.0000000000000002E-3</v>
      </c>
      <c r="J8858">
        <v>9.36</v>
      </c>
      <c r="K8858" t="str">
        <f t="shared" si="1569"/>
        <v>809</v>
      </c>
      <c r="L8858">
        <v>9.36</v>
      </c>
    </row>
    <row r="8859" spans="1:12" x14ac:dyDescent="0.25">
      <c r="A8859" t="str">
        <f t="shared" si="1561"/>
        <v>89301000</v>
      </c>
      <c r="B8859" t="str">
        <f t="shared" si="1566"/>
        <v>89903000</v>
      </c>
      <c r="C8859" t="str">
        <f t="shared" si="1567"/>
        <v>89903503</v>
      </c>
      <c r="D8859">
        <v>89301062</v>
      </c>
      <c r="E8859" t="str">
        <f t="shared" si="1568"/>
        <v>9554246141</v>
      </c>
      <c r="F8859" s="1">
        <v>45114</v>
      </c>
      <c r="G8859" t="str">
        <f>"0194183"</f>
        <v>0194183</v>
      </c>
      <c r="H8859">
        <v>1</v>
      </c>
      <c r="J8859">
        <v>53</v>
      </c>
      <c r="K8859" t="str">
        <f t="shared" si="1569"/>
        <v>809</v>
      </c>
      <c r="L8859">
        <v>53</v>
      </c>
    </row>
    <row r="8860" spans="1:12" x14ac:dyDescent="0.25">
      <c r="A8860" t="str">
        <f t="shared" si="1561"/>
        <v>89301000</v>
      </c>
      <c r="B8860" t="str">
        <f>"72100000"</f>
        <v>72100000</v>
      </c>
      <c r="C8860" t="str">
        <f>"72100632"</f>
        <v>72100632</v>
      </c>
      <c r="D8860">
        <v>89301091</v>
      </c>
      <c r="E8860" t="str">
        <f>"8957075743"</f>
        <v>8957075743</v>
      </c>
      <c r="F8860" s="1">
        <v>45114</v>
      </c>
      <c r="G8860" t="str">
        <f>"94297"</f>
        <v>94297</v>
      </c>
      <c r="H8860">
        <v>1</v>
      </c>
      <c r="I8860">
        <v>304</v>
      </c>
      <c r="J8860">
        <v>0</v>
      </c>
      <c r="K8860" t="str">
        <f>"816"</f>
        <v>816</v>
      </c>
      <c r="L8860">
        <v>304</v>
      </c>
    </row>
    <row r="8861" spans="1:12" x14ac:dyDescent="0.25">
      <c r="A8861" t="str">
        <f t="shared" si="1561"/>
        <v>89301000</v>
      </c>
      <c r="B8861" t="str">
        <f>"72100000"</f>
        <v>72100000</v>
      </c>
      <c r="C8861" t="str">
        <f>"72100632"</f>
        <v>72100632</v>
      </c>
      <c r="D8861">
        <v>89301091</v>
      </c>
      <c r="E8861" t="str">
        <f>"9655145709"</f>
        <v>9655145709</v>
      </c>
      <c r="F8861" s="1">
        <v>45114</v>
      </c>
      <c r="G8861" t="str">
        <f>"94297"</f>
        <v>94297</v>
      </c>
      <c r="H8861">
        <v>1</v>
      </c>
      <c r="I8861">
        <v>304</v>
      </c>
      <c r="J8861">
        <v>0</v>
      </c>
      <c r="K8861" t="str">
        <f>"816"</f>
        <v>816</v>
      </c>
      <c r="L8861">
        <v>304</v>
      </c>
    </row>
    <row r="8862" spans="1:12" x14ac:dyDescent="0.25">
      <c r="A8862" t="str">
        <f t="shared" si="1561"/>
        <v>89301000</v>
      </c>
      <c r="B8862" t="str">
        <f>"72100000"</f>
        <v>72100000</v>
      </c>
      <c r="C8862" t="str">
        <f>"72100632"</f>
        <v>72100632</v>
      </c>
      <c r="D8862">
        <v>89301091</v>
      </c>
      <c r="E8862" t="str">
        <f>"0260286158"</f>
        <v>0260286158</v>
      </c>
      <c r="F8862" s="1">
        <v>45117</v>
      </c>
      <c r="G8862" t="str">
        <f>"94297"</f>
        <v>94297</v>
      </c>
      <c r="H8862">
        <v>1</v>
      </c>
      <c r="I8862">
        <v>304</v>
      </c>
      <c r="J8862">
        <v>0</v>
      </c>
      <c r="K8862" t="str">
        <f>"816"</f>
        <v>816</v>
      </c>
      <c r="L8862">
        <v>304</v>
      </c>
    </row>
    <row r="8863" spans="1:12" x14ac:dyDescent="0.25">
      <c r="A8863" t="str">
        <f t="shared" si="1561"/>
        <v>89301000</v>
      </c>
      <c r="B8863" t="str">
        <f>"72100000"</f>
        <v>72100000</v>
      </c>
      <c r="C8863" t="str">
        <f>"72100632"</f>
        <v>72100632</v>
      </c>
      <c r="D8863">
        <v>89301091</v>
      </c>
      <c r="E8863" t="str">
        <f>"9054293281"</f>
        <v>9054293281</v>
      </c>
      <c r="F8863" s="1">
        <v>45119</v>
      </c>
      <c r="G8863" t="str">
        <f>"94297"</f>
        <v>94297</v>
      </c>
      <c r="H8863">
        <v>1</v>
      </c>
      <c r="I8863">
        <v>304</v>
      </c>
      <c r="J8863">
        <v>0</v>
      </c>
      <c r="K8863" t="str">
        <f>"816"</f>
        <v>816</v>
      </c>
      <c r="L8863">
        <v>304</v>
      </c>
    </row>
    <row r="8864" spans="1:12" x14ac:dyDescent="0.25">
      <c r="A8864" t="str">
        <f t="shared" si="1561"/>
        <v>89301000</v>
      </c>
      <c r="B8864" t="str">
        <f>"72100000"</f>
        <v>72100000</v>
      </c>
      <c r="C8864" t="str">
        <f>"72100632"</f>
        <v>72100632</v>
      </c>
      <c r="D8864">
        <v>89301091</v>
      </c>
      <c r="E8864" t="str">
        <f>"9554285158"</f>
        <v>9554285158</v>
      </c>
      <c r="F8864" s="1">
        <v>45128</v>
      </c>
      <c r="G8864" t="str">
        <f>"94297"</f>
        <v>94297</v>
      </c>
      <c r="H8864">
        <v>1</v>
      </c>
      <c r="I8864">
        <v>304</v>
      </c>
      <c r="J8864">
        <v>0</v>
      </c>
      <c r="K8864" t="str">
        <f>"816"</f>
        <v>816</v>
      </c>
      <c r="L8864">
        <v>304</v>
      </c>
    </row>
    <row r="8865" spans="1:12" x14ac:dyDescent="0.25">
      <c r="A8865" t="str">
        <f t="shared" si="1561"/>
        <v>89301000</v>
      </c>
      <c r="B8865" t="str">
        <f t="shared" ref="B8865:B8896" si="1570">"78006000"</f>
        <v>78006000</v>
      </c>
      <c r="C8865" t="str">
        <f>"78006832"</f>
        <v>78006832</v>
      </c>
      <c r="D8865">
        <v>89301037</v>
      </c>
      <c r="E8865" t="str">
        <f>"415817426"</f>
        <v>415817426</v>
      </c>
      <c r="F8865" s="1">
        <v>45035</v>
      </c>
      <c r="G8865" t="str">
        <f>"89713"</f>
        <v>89713</v>
      </c>
      <c r="H8865">
        <v>1</v>
      </c>
      <c r="I8865">
        <v>5411</v>
      </c>
      <c r="J8865">
        <v>0</v>
      </c>
      <c r="K8865" t="str">
        <f>"810"</f>
        <v>810</v>
      </c>
      <c r="L8865">
        <v>3517.15</v>
      </c>
    </row>
    <row r="8866" spans="1:12" x14ac:dyDescent="0.25">
      <c r="A8866" t="str">
        <f t="shared" si="1561"/>
        <v>89301000</v>
      </c>
      <c r="B8866" t="str">
        <f t="shared" si="1570"/>
        <v>78006000</v>
      </c>
      <c r="C8866" t="str">
        <f>"78006832"</f>
        <v>78006832</v>
      </c>
      <c r="D8866">
        <v>89301062</v>
      </c>
      <c r="E8866" t="str">
        <f>"7254205310"</f>
        <v>7254205310</v>
      </c>
      <c r="F8866" s="1">
        <v>45042</v>
      </c>
      <c r="G8866" t="str">
        <f>"89713"</f>
        <v>89713</v>
      </c>
      <c r="H8866">
        <v>1</v>
      </c>
      <c r="I8866">
        <v>5411</v>
      </c>
      <c r="J8866">
        <v>0</v>
      </c>
      <c r="K8866" t="str">
        <f>"810"</f>
        <v>810</v>
      </c>
      <c r="L8866">
        <v>3517.15</v>
      </c>
    </row>
    <row r="8867" spans="1:12" x14ac:dyDescent="0.25">
      <c r="A8867" t="str">
        <f t="shared" si="1561"/>
        <v>89301000</v>
      </c>
      <c r="B8867" t="str">
        <f t="shared" si="1570"/>
        <v>78006000</v>
      </c>
      <c r="C8867" t="str">
        <f>"78006832"</f>
        <v>78006832</v>
      </c>
      <c r="D8867">
        <v>89301062</v>
      </c>
      <c r="E8867" t="str">
        <f>"7254205310"</f>
        <v>7254205310</v>
      </c>
      <c r="F8867" s="1">
        <v>45042</v>
      </c>
      <c r="G8867" t="str">
        <f>"89725"</f>
        <v>89725</v>
      </c>
      <c r="H8867">
        <v>1</v>
      </c>
      <c r="I8867">
        <v>2863</v>
      </c>
      <c r="J8867">
        <v>0</v>
      </c>
      <c r="K8867" t="str">
        <f>"810"</f>
        <v>810</v>
      </c>
      <c r="L8867">
        <v>1860.95</v>
      </c>
    </row>
    <row r="8868" spans="1:12" x14ac:dyDescent="0.25">
      <c r="A8868" t="str">
        <f t="shared" si="1561"/>
        <v>89301000</v>
      </c>
      <c r="B8868" t="str">
        <f t="shared" si="1570"/>
        <v>78006000</v>
      </c>
      <c r="C8868" t="str">
        <f t="shared" ref="C8868:C8891" si="1571">"78006201"</f>
        <v>78006201</v>
      </c>
      <c r="D8868">
        <v>89301167</v>
      </c>
      <c r="E8868" t="str">
        <f t="shared" ref="E8868:E8873" si="1572">"5854210813"</f>
        <v>5854210813</v>
      </c>
      <c r="F8868" s="1">
        <v>45124</v>
      </c>
      <c r="G8868" t="str">
        <f>"81249"</f>
        <v>81249</v>
      </c>
      <c r="H8868">
        <v>1</v>
      </c>
      <c r="I8868">
        <v>334</v>
      </c>
      <c r="J8868">
        <v>0</v>
      </c>
      <c r="K8868" t="str">
        <f t="shared" ref="K8868:K8891" si="1573">"801"</f>
        <v>801</v>
      </c>
      <c r="L8868">
        <v>280.56</v>
      </c>
    </row>
    <row r="8869" spans="1:12" x14ac:dyDescent="0.25">
      <c r="A8869" t="str">
        <f t="shared" si="1561"/>
        <v>89301000</v>
      </c>
      <c r="B8869" t="str">
        <f t="shared" si="1570"/>
        <v>78006000</v>
      </c>
      <c r="C8869" t="str">
        <f t="shared" si="1571"/>
        <v>78006201</v>
      </c>
      <c r="D8869">
        <v>89301167</v>
      </c>
      <c r="E8869" t="str">
        <f t="shared" si="1572"/>
        <v>5854210813</v>
      </c>
      <c r="F8869" s="1">
        <v>45124</v>
      </c>
      <c r="G8869" t="str">
        <f>"81329"</f>
        <v>81329</v>
      </c>
      <c r="H8869">
        <v>1</v>
      </c>
      <c r="I8869">
        <v>17</v>
      </c>
      <c r="J8869">
        <v>0</v>
      </c>
      <c r="K8869" t="str">
        <f t="shared" si="1573"/>
        <v>801</v>
      </c>
      <c r="L8869">
        <v>14.28</v>
      </c>
    </row>
    <row r="8870" spans="1:12" x14ac:dyDescent="0.25">
      <c r="A8870" t="str">
        <f t="shared" si="1561"/>
        <v>89301000</v>
      </c>
      <c r="B8870" t="str">
        <f t="shared" si="1570"/>
        <v>78006000</v>
      </c>
      <c r="C8870" t="str">
        <f t="shared" si="1571"/>
        <v>78006201</v>
      </c>
      <c r="D8870">
        <v>89301167</v>
      </c>
      <c r="E8870" t="str">
        <f t="shared" si="1572"/>
        <v>5854210813</v>
      </c>
      <c r="F8870" s="1">
        <v>45124</v>
      </c>
      <c r="G8870" t="str">
        <f>"81383"</f>
        <v>81383</v>
      </c>
      <c r="H8870">
        <v>1</v>
      </c>
      <c r="I8870">
        <v>24</v>
      </c>
      <c r="J8870">
        <v>0</v>
      </c>
      <c r="K8870" t="str">
        <f t="shared" si="1573"/>
        <v>801</v>
      </c>
      <c r="L8870">
        <v>20.16</v>
      </c>
    </row>
    <row r="8871" spans="1:12" x14ac:dyDescent="0.25">
      <c r="A8871" t="str">
        <f t="shared" si="1561"/>
        <v>89301000</v>
      </c>
      <c r="B8871" t="str">
        <f t="shared" si="1570"/>
        <v>78006000</v>
      </c>
      <c r="C8871" t="str">
        <f t="shared" si="1571"/>
        <v>78006201</v>
      </c>
      <c r="D8871">
        <v>89301167</v>
      </c>
      <c r="E8871" t="str">
        <f t="shared" si="1572"/>
        <v>5854210813</v>
      </c>
      <c r="F8871" s="1">
        <v>45124</v>
      </c>
      <c r="G8871" t="str">
        <f>"81625"</f>
        <v>81625</v>
      </c>
      <c r="H8871">
        <v>1</v>
      </c>
      <c r="I8871">
        <v>21</v>
      </c>
      <c r="J8871">
        <v>0</v>
      </c>
      <c r="K8871" t="str">
        <f t="shared" si="1573"/>
        <v>801</v>
      </c>
      <c r="L8871">
        <v>17.64</v>
      </c>
    </row>
    <row r="8872" spans="1:12" x14ac:dyDescent="0.25">
      <c r="A8872" t="str">
        <f t="shared" si="1561"/>
        <v>89301000</v>
      </c>
      <c r="B8872" t="str">
        <f t="shared" si="1570"/>
        <v>78006000</v>
      </c>
      <c r="C8872" t="str">
        <f t="shared" si="1571"/>
        <v>78006201</v>
      </c>
      <c r="D8872">
        <v>89301167</v>
      </c>
      <c r="E8872" t="str">
        <f t="shared" si="1572"/>
        <v>5854210813</v>
      </c>
      <c r="F8872" s="1">
        <v>45124</v>
      </c>
      <c r="G8872" t="str">
        <f>"93131"</f>
        <v>93131</v>
      </c>
      <c r="H8872">
        <v>1</v>
      </c>
      <c r="I8872">
        <v>197</v>
      </c>
      <c r="J8872">
        <v>0</v>
      </c>
      <c r="K8872" t="str">
        <f t="shared" si="1573"/>
        <v>801</v>
      </c>
      <c r="L8872">
        <v>165.48</v>
      </c>
    </row>
    <row r="8873" spans="1:12" x14ac:dyDescent="0.25">
      <c r="A8873" t="str">
        <f t="shared" si="1561"/>
        <v>89301000</v>
      </c>
      <c r="B8873" t="str">
        <f t="shared" si="1570"/>
        <v>78006000</v>
      </c>
      <c r="C8873" t="str">
        <f t="shared" si="1571"/>
        <v>78006201</v>
      </c>
      <c r="D8873">
        <v>89301167</v>
      </c>
      <c r="E8873" t="str">
        <f t="shared" si="1572"/>
        <v>5854210813</v>
      </c>
      <c r="F8873" s="1">
        <v>45124</v>
      </c>
      <c r="G8873" t="str">
        <f>"97111"</f>
        <v>97111</v>
      </c>
      <c r="H8873">
        <v>1</v>
      </c>
      <c r="I8873">
        <v>19</v>
      </c>
      <c r="J8873">
        <v>0</v>
      </c>
      <c r="K8873" t="str">
        <f t="shared" si="1573"/>
        <v>801</v>
      </c>
      <c r="L8873">
        <v>23.94</v>
      </c>
    </row>
    <row r="8874" spans="1:12" x14ac:dyDescent="0.25">
      <c r="A8874" t="str">
        <f t="shared" si="1561"/>
        <v>89301000</v>
      </c>
      <c r="B8874" t="str">
        <f t="shared" si="1570"/>
        <v>78006000</v>
      </c>
      <c r="C8874" t="str">
        <f t="shared" si="1571"/>
        <v>78006201</v>
      </c>
      <c r="D8874">
        <v>89301171</v>
      </c>
      <c r="E8874" t="str">
        <f>"7654295352"</f>
        <v>7654295352</v>
      </c>
      <c r="F8874" s="1">
        <v>45120</v>
      </c>
      <c r="G8874" t="str">
        <f>"81703"</f>
        <v>81703</v>
      </c>
      <c r="H8874">
        <v>2</v>
      </c>
      <c r="I8874">
        <v>556</v>
      </c>
      <c r="J8874">
        <v>0</v>
      </c>
      <c r="K8874" t="str">
        <f t="shared" si="1573"/>
        <v>801</v>
      </c>
      <c r="L8874">
        <v>467.04</v>
      </c>
    </row>
    <row r="8875" spans="1:12" x14ac:dyDescent="0.25">
      <c r="A8875" t="str">
        <f t="shared" si="1561"/>
        <v>89301000</v>
      </c>
      <c r="B8875" t="str">
        <f t="shared" si="1570"/>
        <v>78006000</v>
      </c>
      <c r="C8875" t="str">
        <f t="shared" si="1571"/>
        <v>78006201</v>
      </c>
      <c r="D8875">
        <v>89301171</v>
      </c>
      <c r="E8875" t="str">
        <f>"8707295795"</f>
        <v>8707295795</v>
      </c>
      <c r="F8875" s="1">
        <v>45127</v>
      </c>
      <c r="G8875" t="str">
        <f>"81703"</f>
        <v>81703</v>
      </c>
      <c r="H8875">
        <v>2</v>
      </c>
      <c r="I8875">
        <v>556</v>
      </c>
      <c r="J8875">
        <v>0</v>
      </c>
      <c r="K8875" t="str">
        <f t="shared" si="1573"/>
        <v>801</v>
      </c>
      <c r="L8875">
        <v>467.04</v>
      </c>
    </row>
    <row r="8876" spans="1:12" x14ac:dyDescent="0.25">
      <c r="A8876" t="str">
        <f t="shared" si="1561"/>
        <v>89301000</v>
      </c>
      <c r="B8876" t="str">
        <f t="shared" si="1570"/>
        <v>78006000</v>
      </c>
      <c r="C8876" t="str">
        <f t="shared" si="1571"/>
        <v>78006201</v>
      </c>
      <c r="D8876">
        <v>89301171</v>
      </c>
      <c r="E8876" t="str">
        <f>"6754111826"</f>
        <v>6754111826</v>
      </c>
      <c r="F8876" s="1">
        <v>45129</v>
      </c>
      <c r="G8876" t="str">
        <f>"81703"</f>
        <v>81703</v>
      </c>
      <c r="H8876">
        <v>2</v>
      </c>
      <c r="I8876">
        <v>556</v>
      </c>
      <c r="J8876">
        <v>0</v>
      </c>
      <c r="K8876" t="str">
        <f t="shared" si="1573"/>
        <v>801</v>
      </c>
      <c r="L8876">
        <v>467.04</v>
      </c>
    </row>
    <row r="8877" spans="1:12" x14ac:dyDescent="0.25">
      <c r="A8877" t="str">
        <f t="shared" si="1561"/>
        <v>89301000</v>
      </c>
      <c r="B8877" t="str">
        <f t="shared" si="1570"/>
        <v>78006000</v>
      </c>
      <c r="C8877" t="str">
        <f t="shared" si="1571"/>
        <v>78006201</v>
      </c>
      <c r="D8877">
        <v>89301171</v>
      </c>
      <c r="E8877" t="str">
        <f>"6855080067"</f>
        <v>6855080067</v>
      </c>
      <c r="F8877" s="1">
        <v>45128</v>
      </c>
      <c r="G8877" t="str">
        <f>"81703"</f>
        <v>81703</v>
      </c>
      <c r="H8877">
        <v>2</v>
      </c>
      <c r="I8877">
        <v>556</v>
      </c>
      <c r="J8877">
        <v>0</v>
      </c>
      <c r="K8877" t="str">
        <f t="shared" si="1573"/>
        <v>801</v>
      </c>
      <c r="L8877">
        <v>467.04</v>
      </c>
    </row>
    <row r="8878" spans="1:12" x14ac:dyDescent="0.25">
      <c r="A8878" t="str">
        <f t="shared" si="1561"/>
        <v>89301000</v>
      </c>
      <c r="B8878" t="str">
        <f t="shared" si="1570"/>
        <v>78006000</v>
      </c>
      <c r="C8878" t="str">
        <f t="shared" si="1571"/>
        <v>78006201</v>
      </c>
      <c r="D8878">
        <v>89301082</v>
      </c>
      <c r="E8878" t="str">
        <f>"8660165822"</f>
        <v>8660165822</v>
      </c>
      <c r="F8878" s="1">
        <v>45138</v>
      </c>
      <c r="G8878" t="str">
        <f>"81707"</f>
        <v>81707</v>
      </c>
      <c r="H8878">
        <v>1</v>
      </c>
      <c r="I8878">
        <v>394</v>
      </c>
      <c r="J8878">
        <v>0</v>
      </c>
      <c r="K8878" t="str">
        <f t="shared" si="1573"/>
        <v>801</v>
      </c>
      <c r="L8878">
        <v>330.96</v>
      </c>
    </row>
    <row r="8879" spans="1:12" x14ac:dyDescent="0.25">
      <c r="A8879" t="str">
        <f t="shared" si="1561"/>
        <v>89301000</v>
      </c>
      <c r="B8879" t="str">
        <f t="shared" si="1570"/>
        <v>78006000</v>
      </c>
      <c r="C8879" t="str">
        <f t="shared" si="1571"/>
        <v>78006201</v>
      </c>
      <c r="D8879">
        <v>89301171</v>
      </c>
      <c r="E8879" t="str">
        <f>"6251240699"</f>
        <v>6251240699</v>
      </c>
      <c r="F8879" s="1">
        <v>45118</v>
      </c>
      <c r="G8879" t="str">
        <f>"97111"</f>
        <v>97111</v>
      </c>
      <c r="H8879">
        <v>1</v>
      </c>
      <c r="I8879">
        <v>19</v>
      </c>
      <c r="J8879">
        <v>0</v>
      </c>
      <c r="K8879" t="str">
        <f t="shared" si="1573"/>
        <v>801</v>
      </c>
      <c r="L8879">
        <v>23.94</v>
      </c>
    </row>
    <row r="8880" spans="1:12" x14ac:dyDescent="0.25">
      <c r="A8880" t="str">
        <f t="shared" si="1561"/>
        <v>89301000</v>
      </c>
      <c r="B8880" t="str">
        <f t="shared" si="1570"/>
        <v>78006000</v>
      </c>
      <c r="C8880" t="str">
        <f t="shared" si="1571"/>
        <v>78006201</v>
      </c>
      <c r="D8880">
        <v>89301171</v>
      </c>
      <c r="E8880" t="str">
        <f>"7654295352"</f>
        <v>7654295352</v>
      </c>
      <c r="F8880" s="1">
        <v>45131</v>
      </c>
      <c r="G8880" t="str">
        <f>"97111"</f>
        <v>97111</v>
      </c>
      <c r="H8880">
        <v>1</v>
      </c>
      <c r="I8880">
        <v>19</v>
      </c>
      <c r="J8880">
        <v>0</v>
      </c>
      <c r="K8880" t="str">
        <f t="shared" si="1573"/>
        <v>801</v>
      </c>
      <c r="L8880">
        <v>23.94</v>
      </c>
    </row>
    <row r="8881" spans="1:12" x14ac:dyDescent="0.25">
      <c r="A8881" t="str">
        <f t="shared" si="1561"/>
        <v>89301000</v>
      </c>
      <c r="B8881" t="str">
        <f t="shared" si="1570"/>
        <v>78006000</v>
      </c>
      <c r="C8881" t="str">
        <f t="shared" si="1571"/>
        <v>78006201</v>
      </c>
      <c r="D8881">
        <v>89301167</v>
      </c>
      <c r="E8881" t="str">
        <f t="shared" ref="E8881:E8892" si="1574">"5854210813"</f>
        <v>5854210813</v>
      </c>
      <c r="F8881" s="1">
        <v>45124</v>
      </c>
      <c r="G8881" t="str">
        <f>"81337"</f>
        <v>81337</v>
      </c>
      <c r="H8881">
        <v>1</v>
      </c>
      <c r="I8881">
        <v>20</v>
      </c>
      <c r="J8881">
        <v>0</v>
      </c>
      <c r="K8881" t="str">
        <f t="shared" si="1573"/>
        <v>801</v>
      </c>
      <c r="L8881">
        <v>16.8</v>
      </c>
    </row>
    <row r="8882" spans="1:12" x14ac:dyDescent="0.25">
      <c r="A8882" t="str">
        <f t="shared" si="1561"/>
        <v>89301000</v>
      </c>
      <c r="B8882" t="str">
        <f t="shared" si="1570"/>
        <v>78006000</v>
      </c>
      <c r="C8882" t="str">
        <f t="shared" si="1571"/>
        <v>78006201</v>
      </c>
      <c r="D8882">
        <v>89301167</v>
      </c>
      <c r="E8882" t="str">
        <f t="shared" si="1574"/>
        <v>5854210813</v>
      </c>
      <c r="F8882" s="1">
        <v>45124</v>
      </c>
      <c r="G8882" t="str">
        <f>"81357"</f>
        <v>81357</v>
      </c>
      <c r="H8882">
        <v>1</v>
      </c>
      <c r="I8882">
        <v>20</v>
      </c>
      <c r="J8882">
        <v>0</v>
      </c>
      <c r="K8882" t="str">
        <f t="shared" si="1573"/>
        <v>801</v>
      </c>
      <c r="L8882">
        <v>16.8</v>
      </c>
    </row>
    <row r="8883" spans="1:12" x14ac:dyDescent="0.25">
      <c r="A8883" t="str">
        <f t="shared" si="1561"/>
        <v>89301000</v>
      </c>
      <c r="B8883" t="str">
        <f t="shared" si="1570"/>
        <v>78006000</v>
      </c>
      <c r="C8883" t="str">
        <f t="shared" si="1571"/>
        <v>78006201</v>
      </c>
      <c r="D8883">
        <v>89301167</v>
      </c>
      <c r="E8883" t="str">
        <f t="shared" si="1574"/>
        <v>5854210813</v>
      </c>
      <c r="F8883" s="1">
        <v>45124</v>
      </c>
      <c r="G8883" t="str">
        <f>"81361"</f>
        <v>81361</v>
      </c>
      <c r="H8883">
        <v>1</v>
      </c>
      <c r="I8883">
        <v>17</v>
      </c>
      <c r="J8883">
        <v>0</v>
      </c>
      <c r="K8883" t="str">
        <f t="shared" si="1573"/>
        <v>801</v>
      </c>
      <c r="L8883">
        <v>14.28</v>
      </c>
    </row>
    <row r="8884" spans="1:12" x14ac:dyDescent="0.25">
      <c r="A8884" t="str">
        <f t="shared" si="1561"/>
        <v>89301000</v>
      </c>
      <c r="B8884" t="str">
        <f t="shared" si="1570"/>
        <v>78006000</v>
      </c>
      <c r="C8884" t="str">
        <f t="shared" si="1571"/>
        <v>78006201</v>
      </c>
      <c r="D8884">
        <v>89301167</v>
      </c>
      <c r="E8884" t="str">
        <f t="shared" si="1574"/>
        <v>5854210813</v>
      </c>
      <c r="F8884" s="1">
        <v>45124</v>
      </c>
      <c r="G8884" t="str">
        <f>"81393"</f>
        <v>81393</v>
      </c>
      <c r="H8884">
        <v>1</v>
      </c>
      <c r="I8884">
        <v>24</v>
      </c>
      <c r="J8884">
        <v>0</v>
      </c>
      <c r="K8884" t="str">
        <f t="shared" si="1573"/>
        <v>801</v>
      </c>
      <c r="L8884">
        <v>20.16</v>
      </c>
    </row>
    <row r="8885" spans="1:12" x14ac:dyDescent="0.25">
      <c r="A8885" t="str">
        <f t="shared" si="1561"/>
        <v>89301000</v>
      </c>
      <c r="B8885" t="str">
        <f t="shared" si="1570"/>
        <v>78006000</v>
      </c>
      <c r="C8885" t="str">
        <f t="shared" si="1571"/>
        <v>78006201</v>
      </c>
      <c r="D8885">
        <v>89301167</v>
      </c>
      <c r="E8885" t="str">
        <f t="shared" si="1574"/>
        <v>5854210813</v>
      </c>
      <c r="F8885" s="1">
        <v>45124</v>
      </c>
      <c r="G8885" t="str">
        <f>"81421"</f>
        <v>81421</v>
      </c>
      <c r="H8885">
        <v>1</v>
      </c>
      <c r="I8885">
        <v>19</v>
      </c>
      <c r="J8885">
        <v>0</v>
      </c>
      <c r="K8885" t="str">
        <f t="shared" si="1573"/>
        <v>801</v>
      </c>
      <c r="L8885">
        <v>15.96</v>
      </c>
    </row>
    <row r="8886" spans="1:12" x14ac:dyDescent="0.25">
      <c r="A8886" t="str">
        <f t="shared" si="1561"/>
        <v>89301000</v>
      </c>
      <c r="B8886" t="str">
        <f t="shared" si="1570"/>
        <v>78006000</v>
      </c>
      <c r="C8886" t="str">
        <f t="shared" si="1571"/>
        <v>78006201</v>
      </c>
      <c r="D8886">
        <v>89301167</v>
      </c>
      <c r="E8886" t="str">
        <f t="shared" si="1574"/>
        <v>5854210813</v>
      </c>
      <c r="F8886" s="1">
        <v>45124</v>
      </c>
      <c r="G8886" t="str">
        <f>"81435"</f>
        <v>81435</v>
      </c>
      <c r="H8886">
        <v>1</v>
      </c>
      <c r="I8886">
        <v>22</v>
      </c>
      <c r="J8886">
        <v>0</v>
      </c>
      <c r="K8886" t="str">
        <f t="shared" si="1573"/>
        <v>801</v>
      </c>
      <c r="L8886">
        <v>18.48</v>
      </c>
    </row>
    <row r="8887" spans="1:12" x14ac:dyDescent="0.25">
      <c r="A8887" t="str">
        <f t="shared" si="1561"/>
        <v>89301000</v>
      </c>
      <c r="B8887" t="str">
        <f t="shared" si="1570"/>
        <v>78006000</v>
      </c>
      <c r="C8887" t="str">
        <f t="shared" si="1571"/>
        <v>78006201</v>
      </c>
      <c r="D8887">
        <v>89301167</v>
      </c>
      <c r="E8887" t="str">
        <f t="shared" si="1574"/>
        <v>5854210813</v>
      </c>
      <c r="F8887" s="1">
        <v>45124</v>
      </c>
      <c r="G8887" t="str">
        <f>"81439"</f>
        <v>81439</v>
      </c>
      <c r="H8887">
        <v>1</v>
      </c>
      <c r="I8887">
        <v>16</v>
      </c>
      <c r="J8887">
        <v>0</v>
      </c>
      <c r="K8887" t="str">
        <f t="shared" si="1573"/>
        <v>801</v>
      </c>
      <c r="L8887">
        <v>13.44</v>
      </c>
    </row>
    <row r="8888" spans="1:12" x14ac:dyDescent="0.25">
      <c r="A8888" t="str">
        <f t="shared" si="1561"/>
        <v>89301000</v>
      </c>
      <c r="B8888" t="str">
        <f t="shared" si="1570"/>
        <v>78006000</v>
      </c>
      <c r="C8888" t="str">
        <f t="shared" si="1571"/>
        <v>78006201</v>
      </c>
      <c r="D8888">
        <v>89301167</v>
      </c>
      <c r="E8888" t="str">
        <f t="shared" si="1574"/>
        <v>5854210813</v>
      </c>
      <c r="F8888" s="1">
        <v>45124</v>
      </c>
      <c r="G8888" t="str">
        <f>"81469"</f>
        <v>81469</v>
      </c>
      <c r="H8888">
        <v>1</v>
      </c>
      <c r="I8888">
        <v>16</v>
      </c>
      <c r="J8888">
        <v>0</v>
      </c>
      <c r="K8888" t="str">
        <f t="shared" si="1573"/>
        <v>801</v>
      </c>
      <c r="L8888">
        <v>13.44</v>
      </c>
    </row>
    <row r="8889" spans="1:12" x14ac:dyDescent="0.25">
      <c r="A8889" t="str">
        <f t="shared" si="1561"/>
        <v>89301000</v>
      </c>
      <c r="B8889" t="str">
        <f t="shared" si="1570"/>
        <v>78006000</v>
      </c>
      <c r="C8889" t="str">
        <f t="shared" si="1571"/>
        <v>78006201</v>
      </c>
      <c r="D8889">
        <v>89301167</v>
      </c>
      <c r="E8889" t="str">
        <f t="shared" si="1574"/>
        <v>5854210813</v>
      </c>
      <c r="F8889" s="1">
        <v>45124</v>
      </c>
      <c r="G8889" t="str">
        <f>"81499"</f>
        <v>81499</v>
      </c>
      <c r="H8889">
        <v>1</v>
      </c>
      <c r="I8889">
        <v>18</v>
      </c>
      <c r="J8889">
        <v>0</v>
      </c>
      <c r="K8889" t="str">
        <f t="shared" si="1573"/>
        <v>801</v>
      </c>
      <c r="L8889">
        <v>15.12</v>
      </c>
    </row>
    <row r="8890" spans="1:12" x14ac:dyDescent="0.25">
      <c r="A8890" t="str">
        <f t="shared" si="1561"/>
        <v>89301000</v>
      </c>
      <c r="B8890" t="str">
        <f t="shared" si="1570"/>
        <v>78006000</v>
      </c>
      <c r="C8890" t="str">
        <f t="shared" si="1571"/>
        <v>78006201</v>
      </c>
      <c r="D8890">
        <v>89301167</v>
      </c>
      <c r="E8890" t="str">
        <f t="shared" si="1574"/>
        <v>5854210813</v>
      </c>
      <c r="F8890" s="1">
        <v>45124</v>
      </c>
      <c r="G8890" t="str">
        <f>"81593"</f>
        <v>81593</v>
      </c>
      <c r="H8890">
        <v>1</v>
      </c>
      <c r="I8890">
        <v>22</v>
      </c>
      <c r="J8890">
        <v>0</v>
      </c>
      <c r="K8890" t="str">
        <f t="shared" si="1573"/>
        <v>801</v>
      </c>
      <c r="L8890">
        <v>18.48</v>
      </c>
    </row>
    <row r="8891" spans="1:12" x14ac:dyDescent="0.25">
      <c r="A8891" t="str">
        <f t="shared" si="1561"/>
        <v>89301000</v>
      </c>
      <c r="B8891" t="str">
        <f t="shared" si="1570"/>
        <v>78006000</v>
      </c>
      <c r="C8891" t="str">
        <f t="shared" si="1571"/>
        <v>78006201</v>
      </c>
      <c r="D8891">
        <v>89301167</v>
      </c>
      <c r="E8891" t="str">
        <f t="shared" si="1574"/>
        <v>5854210813</v>
      </c>
      <c r="F8891" s="1">
        <v>45124</v>
      </c>
      <c r="G8891" t="str">
        <f>"81621"</f>
        <v>81621</v>
      </c>
      <c r="H8891">
        <v>1</v>
      </c>
      <c r="I8891">
        <v>19</v>
      </c>
      <c r="J8891">
        <v>0</v>
      </c>
      <c r="K8891" t="str">
        <f t="shared" si="1573"/>
        <v>801</v>
      </c>
      <c r="L8891">
        <v>15.96</v>
      </c>
    </row>
    <row r="8892" spans="1:12" x14ac:dyDescent="0.25">
      <c r="A8892" t="str">
        <f t="shared" si="1561"/>
        <v>89301000</v>
      </c>
      <c r="B8892" t="str">
        <f t="shared" si="1570"/>
        <v>78006000</v>
      </c>
      <c r="C8892" t="str">
        <f>"78006205"</f>
        <v>78006205</v>
      </c>
      <c r="D8892">
        <v>89301167</v>
      </c>
      <c r="E8892" t="str">
        <f t="shared" si="1574"/>
        <v>5854210813</v>
      </c>
      <c r="F8892" s="1">
        <v>45124</v>
      </c>
      <c r="G8892" t="str">
        <f>"96167"</f>
        <v>96167</v>
      </c>
      <c r="H8892">
        <v>1</v>
      </c>
      <c r="I8892">
        <v>67</v>
      </c>
      <c r="J8892">
        <v>0</v>
      </c>
      <c r="K8892" t="str">
        <f>"818"</f>
        <v>818</v>
      </c>
      <c r="L8892">
        <v>64.989999999999995</v>
      </c>
    </row>
    <row r="8893" spans="1:12" x14ac:dyDescent="0.25">
      <c r="A8893" t="str">
        <f t="shared" si="1561"/>
        <v>89301000</v>
      </c>
      <c r="B8893" t="str">
        <f t="shared" si="1570"/>
        <v>78006000</v>
      </c>
      <c r="C8893" t="str">
        <f t="shared" ref="C8893:C8900" si="1575">"78006832"</f>
        <v>78006832</v>
      </c>
      <c r="D8893">
        <v>89301062</v>
      </c>
      <c r="E8893" t="str">
        <f>"7458174889"</f>
        <v>7458174889</v>
      </c>
      <c r="F8893" s="1">
        <v>45110</v>
      </c>
      <c r="G8893" t="str">
        <f>"89713"</f>
        <v>89713</v>
      </c>
      <c r="H8893">
        <v>1</v>
      </c>
      <c r="I8893">
        <v>5411</v>
      </c>
      <c r="J8893">
        <v>0</v>
      </c>
      <c r="K8893" t="str">
        <f t="shared" ref="K8893:K8900" si="1576">"810"</f>
        <v>810</v>
      </c>
      <c r="L8893">
        <v>3517.15</v>
      </c>
    </row>
    <row r="8894" spans="1:12" x14ac:dyDescent="0.25">
      <c r="A8894" t="str">
        <f t="shared" si="1561"/>
        <v>89301000</v>
      </c>
      <c r="B8894" t="str">
        <f t="shared" si="1570"/>
        <v>78006000</v>
      </c>
      <c r="C8894" t="str">
        <f t="shared" si="1575"/>
        <v>78006832</v>
      </c>
      <c r="D8894">
        <v>89301062</v>
      </c>
      <c r="E8894" t="str">
        <f>"7458174889"</f>
        <v>7458174889</v>
      </c>
      <c r="F8894" s="1">
        <v>45110</v>
      </c>
      <c r="G8894" t="str">
        <f>"89725"</f>
        <v>89725</v>
      </c>
      <c r="H8894">
        <v>1</v>
      </c>
      <c r="I8894">
        <v>2863</v>
      </c>
      <c r="J8894">
        <v>0</v>
      </c>
      <c r="K8894" t="str">
        <f t="shared" si="1576"/>
        <v>810</v>
      </c>
      <c r="L8894">
        <v>1860.95</v>
      </c>
    </row>
    <row r="8895" spans="1:12" x14ac:dyDescent="0.25">
      <c r="A8895" t="str">
        <f t="shared" si="1561"/>
        <v>89301000</v>
      </c>
      <c r="B8895" t="str">
        <f t="shared" si="1570"/>
        <v>78006000</v>
      </c>
      <c r="C8895" t="str">
        <f t="shared" si="1575"/>
        <v>78006832</v>
      </c>
      <c r="D8895">
        <v>89301606</v>
      </c>
      <c r="E8895" t="str">
        <f>"515223058"</f>
        <v>515223058</v>
      </c>
      <c r="F8895" s="1">
        <v>45119</v>
      </c>
      <c r="G8895" t="str">
        <f t="shared" ref="G8895:G8900" si="1577">"89713"</f>
        <v>89713</v>
      </c>
      <c r="H8895">
        <v>1</v>
      </c>
      <c r="I8895">
        <v>5411</v>
      </c>
      <c r="J8895">
        <v>0</v>
      </c>
      <c r="K8895" t="str">
        <f t="shared" si="1576"/>
        <v>810</v>
      </c>
      <c r="L8895">
        <v>3517.15</v>
      </c>
    </row>
    <row r="8896" spans="1:12" x14ac:dyDescent="0.25">
      <c r="A8896" t="str">
        <f t="shared" si="1561"/>
        <v>89301000</v>
      </c>
      <c r="B8896" t="str">
        <f t="shared" si="1570"/>
        <v>78006000</v>
      </c>
      <c r="C8896" t="str">
        <f t="shared" si="1575"/>
        <v>78006832</v>
      </c>
      <c r="D8896">
        <v>89301062</v>
      </c>
      <c r="E8896" t="str">
        <f>"5711291432"</f>
        <v>5711291432</v>
      </c>
      <c r="F8896" s="1">
        <v>45124</v>
      </c>
      <c r="G8896" t="str">
        <f t="shared" si="1577"/>
        <v>89713</v>
      </c>
      <c r="H8896">
        <v>1</v>
      </c>
      <c r="I8896">
        <v>5411</v>
      </c>
      <c r="J8896">
        <v>0</v>
      </c>
      <c r="K8896" t="str">
        <f t="shared" si="1576"/>
        <v>810</v>
      </c>
      <c r="L8896">
        <v>3517.15</v>
      </c>
    </row>
    <row r="8897" spans="1:12" x14ac:dyDescent="0.25">
      <c r="A8897" t="str">
        <f t="shared" si="1561"/>
        <v>89301000</v>
      </c>
      <c r="B8897" t="str">
        <f t="shared" ref="B8897:B8921" si="1578">"78006000"</f>
        <v>78006000</v>
      </c>
      <c r="C8897" t="str">
        <f t="shared" si="1575"/>
        <v>78006832</v>
      </c>
      <c r="D8897">
        <v>89301312</v>
      </c>
      <c r="E8897" t="str">
        <f>"7901085313"</f>
        <v>7901085313</v>
      </c>
      <c r="F8897" s="1">
        <v>45124</v>
      </c>
      <c r="G8897" t="str">
        <f t="shared" si="1577"/>
        <v>89713</v>
      </c>
      <c r="H8897">
        <v>1</v>
      </c>
      <c r="I8897">
        <v>5411</v>
      </c>
      <c r="J8897">
        <v>0</v>
      </c>
      <c r="K8897" t="str">
        <f t="shared" si="1576"/>
        <v>810</v>
      </c>
      <c r="L8897">
        <v>3517.15</v>
      </c>
    </row>
    <row r="8898" spans="1:12" x14ac:dyDescent="0.25">
      <c r="A8898" t="str">
        <f t="shared" ref="A8898:A8961" si="1579">"89301000"</f>
        <v>89301000</v>
      </c>
      <c r="B8898" t="str">
        <f t="shared" si="1578"/>
        <v>78006000</v>
      </c>
      <c r="C8898" t="str">
        <f t="shared" si="1575"/>
        <v>78006832</v>
      </c>
      <c r="D8898">
        <v>89301112</v>
      </c>
      <c r="E8898" t="str">
        <f>"7411235326"</f>
        <v>7411235326</v>
      </c>
      <c r="F8898" s="1">
        <v>45125</v>
      </c>
      <c r="G8898" t="str">
        <f t="shared" si="1577"/>
        <v>89713</v>
      </c>
      <c r="H8898">
        <v>1</v>
      </c>
      <c r="I8898">
        <v>5411</v>
      </c>
      <c r="J8898">
        <v>0</v>
      </c>
      <c r="K8898" t="str">
        <f t="shared" si="1576"/>
        <v>810</v>
      </c>
      <c r="L8898">
        <v>3517.15</v>
      </c>
    </row>
    <row r="8899" spans="1:12" x14ac:dyDescent="0.25">
      <c r="A8899" t="str">
        <f t="shared" si="1579"/>
        <v>89301000</v>
      </c>
      <c r="B8899" t="str">
        <f t="shared" si="1578"/>
        <v>78006000</v>
      </c>
      <c r="C8899" t="str">
        <f t="shared" si="1575"/>
        <v>78006832</v>
      </c>
      <c r="D8899">
        <v>89301062</v>
      </c>
      <c r="E8899" t="str">
        <f>"6902251576"</f>
        <v>6902251576</v>
      </c>
      <c r="F8899" s="1">
        <v>45133</v>
      </c>
      <c r="G8899" t="str">
        <f t="shared" si="1577"/>
        <v>89713</v>
      </c>
      <c r="H8899">
        <v>1</v>
      </c>
      <c r="I8899">
        <v>5411</v>
      </c>
      <c r="J8899">
        <v>0</v>
      </c>
      <c r="K8899" t="str">
        <f t="shared" si="1576"/>
        <v>810</v>
      </c>
      <c r="L8899">
        <v>3517.15</v>
      </c>
    </row>
    <row r="8900" spans="1:12" x14ac:dyDescent="0.25">
      <c r="A8900" t="str">
        <f t="shared" si="1579"/>
        <v>89301000</v>
      </c>
      <c r="B8900" t="str">
        <f t="shared" si="1578"/>
        <v>78006000</v>
      </c>
      <c r="C8900" t="str">
        <f t="shared" si="1575"/>
        <v>78006832</v>
      </c>
      <c r="D8900">
        <v>89301062</v>
      </c>
      <c r="E8900" t="str">
        <f>"6902251576"</f>
        <v>6902251576</v>
      </c>
      <c r="F8900" s="1">
        <v>45133</v>
      </c>
      <c r="G8900" t="str">
        <f t="shared" si="1577"/>
        <v>89713</v>
      </c>
      <c r="H8900">
        <v>1</v>
      </c>
      <c r="I8900">
        <v>5411</v>
      </c>
      <c r="J8900">
        <v>0</v>
      </c>
      <c r="K8900" t="str">
        <f t="shared" si="1576"/>
        <v>810</v>
      </c>
      <c r="L8900">
        <v>3517.15</v>
      </c>
    </row>
    <row r="8901" spans="1:12" x14ac:dyDescent="0.25">
      <c r="A8901" t="str">
        <f t="shared" si="1579"/>
        <v>89301000</v>
      </c>
      <c r="B8901" t="str">
        <f t="shared" si="1578"/>
        <v>78006000</v>
      </c>
      <c r="C8901" t="str">
        <f>"78006831"</f>
        <v>78006831</v>
      </c>
      <c r="D8901">
        <v>89301215</v>
      </c>
      <c r="E8901" t="str">
        <f>"5854222110"</f>
        <v>5854222110</v>
      </c>
      <c r="F8901" s="1">
        <v>45126</v>
      </c>
      <c r="G8901" t="str">
        <f>"89513"</f>
        <v>89513</v>
      </c>
      <c r="H8901">
        <v>1</v>
      </c>
      <c r="I8901">
        <v>378</v>
      </c>
      <c r="J8901">
        <v>0</v>
      </c>
      <c r="K8901" t="str">
        <f>"809"</f>
        <v>809</v>
      </c>
      <c r="L8901">
        <v>555.66</v>
      </c>
    </row>
    <row r="8902" spans="1:12" x14ac:dyDescent="0.25">
      <c r="A8902" t="str">
        <f t="shared" si="1579"/>
        <v>89301000</v>
      </c>
      <c r="B8902" t="str">
        <f t="shared" si="1578"/>
        <v>78006000</v>
      </c>
      <c r="C8902" t="str">
        <f>"78006831"</f>
        <v>78006831</v>
      </c>
      <c r="D8902">
        <v>89301215</v>
      </c>
      <c r="E8902" t="str">
        <f>"5854222110"</f>
        <v>5854222110</v>
      </c>
      <c r="F8902" s="1">
        <v>45126</v>
      </c>
      <c r="G8902" t="str">
        <f>"89514"</f>
        <v>89514</v>
      </c>
      <c r="H8902">
        <v>1</v>
      </c>
      <c r="I8902">
        <v>378</v>
      </c>
      <c r="J8902">
        <v>0</v>
      </c>
      <c r="K8902" t="str">
        <f>"809"</f>
        <v>809</v>
      </c>
      <c r="L8902">
        <v>555.66</v>
      </c>
    </row>
    <row r="8903" spans="1:12" x14ac:dyDescent="0.25">
      <c r="A8903" t="str">
        <f t="shared" si="1579"/>
        <v>89301000</v>
      </c>
      <c r="B8903" t="str">
        <f t="shared" si="1578"/>
        <v>78006000</v>
      </c>
      <c r="C8903" t="str">
        <f>"78006531"</f>
        <v>78006531</v>
      </c>
      <c r="D8903">
        <v>89301062</v>
      </c>
      <c r="E8903" t="str">
        <f>"7459255331"</f>
        <v>7459255331</v>
      </c>
      <c r="F8903" s="1">
        <v>45124</v>
      </c>
      <c r="G8903" t="str">
        <f>"89119"</f>
        <v>89119</v>
      </c>
      <c r="H8903">
        <v>1</v>
      </c>
      <c r="I8903">
        <v>204</v>
      </c>
      <c r="J8903">
        <v>0</v>
      </c>
      <c r="K8903" t="str">
        <f>"809"</f>
        <v>809</v>
      </c>
      <c r="L8903">
        <v>299.88</v>
      </c>
    </row>
    <row r="8904" spans="1:12" x14ac:dyDescent="0.25">
      <c r="A8904" t="str">
        <f t="shared" si="1579"/>
        <v>89301000</v>
      </c>
      <c r="B8904" t="str">
        <f t="shared" si="1578"/>
        <v>78006000</v>
      </c>
      <c r="C8904" t="str">
        <f t="shared" ref="C8904:C8912" si="1580">"78006207"</f>
        <v>78006207</v>
      </c>
      <c r="D8904">
        <v>89301167</v>
      </c>
      <c r="E8904" t="str">
        <f>"5854210813"</f>
        <v>5854210813</v>
      </c>
      <c r="F8904" s="1">
        <v>45124</v>
      </c>
      <c r="G8904" t="str">
        <f>"91153"</f>
        <v>91153</v>
      </c>
      <c r="H8904">
        <v>1</v>
      </c>
      <c r="I8904">
        <v>153</v>
      </c>
      <c r="J8904">
        <v>0</v>
      </c>
      <c r="K8904" t="str">
        <f t="shared" ref="K8904:K8912" si="1581">"813"</f>
        <v>813</v>
      </c>
      <c r="L8904">
        <v>128.52000000000001</v>
      </c>
    </row>
    <row r="8905" spans="1:12" x14ac:dyDescent="0.25">
      <c r="A8905" t="str">
        <f t="shared" si="1579"/>
        <v>89301000</v>
      </c>
      <c r="B8905" t="str">
        <f t="shared" si="1578"/>
        <v>78006000</v>
      </c>
      <c r="C8905" t="str">
        <f t="shared" si="1580"/>
        <v>78006207</v>
      </c>
      <c r="D8905">
        <v>89301171</v>
      </c>
      <c r="E8905" t="str">
        <f>"8160155333"</f>
        <v>8160155333</v>
      </c>
      <c r="F8905" s="1">
        <v>45131</v>
      </c>
      <c r="G8905" t="str">
        <f t="shared" ref="G8905:G8912" si="1582">"91197"</f>
        <v>91197</v>
      </c>
      <c r="H8905">
        <v>6</v>
      </c>
      <c r="I8905">
        <v>6288</v>
      </c>
      <c r="J8905">
        <v>0</v>
      </c>
      <c r="K8905" t="str">
        <f t="shared" si="1581"/>
        <v>813</v>
      </c>
      <c r="L8905">
        <v>5281.92</v>
      </c>
    </row>
    <row r="8906" spans="1:12" x14ac:dyDescent="0.25">
      <c r="A8906" t="str">
        <f t="shared" si="1579"/>
        <v>89301000</v>
      </c>
      <c r="B8906" t="str">
        <f t="shared" si="1578"/>
        <v>78006000</v>
      </c>
      <c r="C8906" t="str">
        <f t="shared" si="1580"/>
        <v>78006207</v>
      </c>
      <c r="D8906">
        <v>89301171</v>
      </c>
      <c r="E8906" t="str">
        <f>"6251240699"</f>
        <v>6251240699</v>
      </c>
      <c r="F8906" s="1">
        <v>45118</v>
      </c>
      <c r="G8906" t="str">
        <f t="shared" si="1582"/>
        <v>91197</v>
      </c>
      <c r="H8906">
        <v>6</v>
      </c>
      <c r="I8906">
        <v>6288</v>
      </c>
      <c r="J8906">
        <v>0</v>
      </c>
      <c r="K8906" t="str">
        <f t="shared" si="1581"/>
        <v>813</v>
      </c>
      <c r="L8906">
        <v>5281.92</v>
      </c>
    </row>
    <row r="8907" spans="1:12" x14ac:dyDescent="0.25">
      <c r="A8907" t="str">
        <f t="shared" si="1579"/>
        <v>89301000</v>
      </c>
      <c r="B8907" t="str">
        <f t="shared" si="1578"/>
        <v>78006000</v>
      </c>
      <c r="C8907" t="str">
        <f t="shared" si="1580"/>
        <v>78006207</v>
      </c>
      <c r="D8907">
        <v>89301171</v>
      </c>
      <c r="E8907" t="str">
        <f>"7654295352"</f>
        <v>7654295352</v>
      </c>
      <c r="F8907" s="1">
        <v>45131</v>
      </c>
      <c r="G8907" t="str">
        <f t="shared" si="1582"/>
        <v>91197</v>
      </c>
      <c r="H8907">
        <v>6</v>
      </c>
      <c r="I8907">
        <v>6288</v>
      </c>
      <c r="J8907">
        <v>0</v>
      </c>
      <c r="K8907" t="str">
        <f t="shared" si="1581"/>
        <v>813</v>
      </c>
      <c r="L8907">
        <v>5281.92</v>
      </c>
    </row>
    <row r="8908" spans="1:12" x14ac:dyDescent="0.25">
      <c r="A8908" t="str">
        <f t="shared" si="1579"/>
        <v>89301000</v>
      </c>
      <c r="B8908" t="str">
        <f t="shared" si="1578"/>
        <v>78006000</v>
      </c>
      <c r="C8908" t="str">
        <f t="shared" si="1580"/>
        <v>78006207</v>
      </c>
      <c r="D8908">
        <v>89301171</v>
      </c>
      <c r="E8908" t="str">
        <f>"7562165622"</f>
        <v>7562165622</v>
      </c>
      <c r="F8908" s="1">
        <v>45111</v>
      </c>
      <c r="G8908" t="str">
        <f t="shared" si="1582"/>
        <v>91197</v>
      </c>
      <c r="H8908">
        <v>6</v>
      </c>
      <c r="I8908">
        <v>6288</v>
      </c>
      <c r="J8908">
        <v>0</v>
      </c>
      <c r="K8908" t="str">
        <f t="shared" si="1581"/>
        <v>813</v>
      </c>
      <c r="L8908">
        <v>5281.92</v>
      </c>
    </row>
    <row r="8909" spans="1:12" x14ac:dyDescent="0.25">
      <c r="A8909" t="str">
        <f t="shared" si="1579"/>
        <v>89301000</v>
      </c>
      <c r="B8909" t="str">
        <f t="shared" si="1578"/>
        <v>78006000</v>
      </c>
      <c r="C8909" t="str">
        <f t="shared" si="1580"/>
        <v>78006207</v>
      </c>
      <c r="D8909">
        <v>89301171</v>
      </c>
      <c r="E8909" t="str">
        <f>"6054272070"</f>
        <v>6054272070</v>
      </c>
      <c r="F8909" s="1">
        <v>45111</v>
      </c>
      <c r="G8909" t="str">
        <f t="shared" si="1582"/>
        <v>91197</v>
      </c>
      <c r="H8909">
        <v>6</v>
      </c>
      <c r="I8909">
        <v>6288</v>
      </c>
      <c r="J8909">
        <v>0</v>
      </c>
      <c r="K8909" t="str">
        <f t="shared" si="1581"/>
        <v>813</v>
      </c>
      <c r="L8909">
        <v>5281.92</v>
      </c>
    </row>
    <row r="8910" spans="1:12" x14ac:dyDescent="0.25">
      <c r="A8910" t="str">
        <f t="shared" si="1579"/>
        <v>89301000</v>
      </c>
      <c r="B8910" t="str">
        <f t="shared" si="1578"/>
        <v>78006000</v>
      </c>
      <c r="C8910" t="str">
        <f t="shared" si="1580"/>
        <v>78006207</v>
      </c>
      <c r="D8910">
        <v>89301171</v>
      </c>
      <c r="E8910" t="str">
        <f>"7801105323"</f>
        <v>7801105323</v>
      </c>
      <c r="F8910" s="1">
        <v>45131</v>
      </c>
      <c r="G8910" t="str">
        <f t="shared" si="1582"/>
        <v>91197</v>
      </c>
      <c r="H8910">
        <v>6</v>
      </c>
      <c r="I8910">
        <v>6288</v>
      </c>
      <c r="J8910">
        <v>0</v>
      </c>
      <c r="K8910" t="str">
        <f t="shared" si="1581"/>
        <v>813</v>
      </c>
      <c r="L8910">
        <v>5281.92</v>
      </c>
    </row>
    <row r="8911" spans="1:12" x14ac:dyDescent="0.25">
      <c r="A8911" t="str">
        <f t="shared" si="1579"/>
        <v>89301000</v>
      </c>
      <c r="B8911" t="str">
        <f t="shared" si="1578"/>
        <v>78006000</v>
      </c>
      <c r="C8911" t="str">
        <f t="shared" si="1580"/>
        <v>78006207</v>
      </c>
      <c r="D8911">
        <v>89301171</v>
      </c>
      <c r="E8911" t="str">
        <f>"9654095715"</f>
        <v>9654095715</v>
      </c>
      <c r="F8911" s="1">
        <v>45131</v>
      </c>
      <c r="G8911" t="str">
        <f t="shared" si="1582"/>
        <v>91197</v>
      </c>
      <c r="H8911">
        <v>6</v>
      </c>
      <c r="I8911">
        <v>6288</v>
      </c>
      <c r="J8911">
        <v>0</v>
      </c>
      <c r="K8911" t="str">
        <f t="shared" si="1581"/>
        <v>813</v>
      </c>
      <c r="L8911">
        <v>5281.92</v>
      </c>
    </row>
    <row r="8912" spans="1:12" x14ac:dyDescent="0.25">
      <c r="A8912" t="str">
        <f t="shared" si="1579"/>
        <v>89301000</v>
      </c>
      <c r="B8912" t="str">
        <f t="shared" si="1578"/>
        <v>78006000</v>
      </c>
      <c r="C8912" t="str">
        <f t="shared" si="1580"/>
        <v>78006207</v>
      </c>
      <c r="D8912">
        <v>89301171</v>
      </c>
      <c r="E8912" t="str">
        <f>"9657145718"</f>
        <v>9657145718</v>
      </c>
      <c r="F8912" s="1">
        <v>45126</v>
      </c>
      <c r="G8912" t="str">
        <f t="shared" si="1582"/>
        <v>91197</v>
      </c>
      <c r="H8912">
        <v>6</v>
      </c>
      <c r="I8912">
        <v>6288</v>
      </c>
      <c r="J8912">
        <v>0</v>
      </c>
      <c r="K8912" t="str">
        <f t="shared" si="1581"/>
        <v>813</v>
      </c>
      <c r="L8912">
        <v>5281.92</v>
      </c>
    </row>
    <row r="8913" spans="1:12" x14ac:dyDescent="0.25">
      <c r="A8913" t="str">
        <f t="shared" si="1579"/>
        <v>89301000</v>
      </c>
      <c r="B8913" t="str">
        <f t="shared" si="1578"/>
        <v>78006000</v>
      </c>
      <c r="C8913" t="str">
        <f>"78006231"</f>
        <v>78006231</v>
      </c>
      <c r="D8913">
        <v>89301212</v>
      </c>
      <c r="E8913" t="str">
        <f>"6652120508"</f>
        <v>6652120508</v>
      </c>
      <c r="F8913" s="1">
        <v>45126</v>
      </c>
      <c r="G8913" t="str">
        <f>"89615"</f>
        <v>89615</v>
      </c>
      <c r="H8913">
        <v>1</v>
      </c>
      <c r="I8913">
        <v>2199</v>
      </c>
      <c r="J8913">
        <v>0</v>
      </c>
      <c r="K8913" t="str">
        <f>"809"</f>
        <v>809</v>
      </c>
      <c r="L8913">
        <v>1429.35</v>
      </c>
    </row>
    <row r="8914" spans="1:12" x14ac:dyDescent="0.25">
      <c r="A8914" t="str">
        <f t="shared" si="1579"/>
        <v>89301000</v>
      </c>
      <c r="B8914" t="str">
        <f t="shared" si="1578"/>
        <v>78006000</v>
      </c>
      <c r="C8914" t="str">
        <f>"78006231"</f>
        <v>78006231</v>
      </c>
      <c r="D8914">
        <v>89301212</v>
      </c>
      <c r="E8914" t="str">
        <f>"8654184913"</f>
        <v>8654184913</v>
      </c>
      <c r="F8914" s="1">
        <v>45119</v>
      </c>
      <c r="G8914" t="str">
        <f>"89513"</f>
        <v>89513</v>
      </c>
      <c r="H8914">
        <v>1</v>
      </c>
      <c r="I8914">
        <v>378</v>
      </c>
      <c r="J8914">
        <v>0</v>
      </c>
      <c r="K8914" t="str">
        <f>"809"</f>
        <v>809</v>
      </c>
      <c r="L8914">
        <v>555.66</v>
      </c>
    </row>
    <row r="8915" spans="1:12" x14ac:dyDescent="0.25">
      <c r="A8915" t="str">
        <f t="shared" si="1579"/>
        <v>89301000</v>
      </c>
      <c r="B8915" t="str">
        <f t="shared" si="1578"/>
        <v>78006000</v>
      </c>
      <c r="C8915" t="str">
        <f>"78006231"</f>
        <v>78006231</v>
      </c>
      <c r="D8915">
        <v>89301212</v>
      </c>
      <c r="E8915" t="str">
        <f>"8654184913"</f>
        <v>8654184913</v>
      </c>
      <c r="F8915" s="1">
        <v>45119</v>
      </c>
      <c r="G8915" t="str">
        <f>"89514"</f>
        <v>89514</v>
      </c>
      <c r="H8915">
        <v>1</v>
      </c>
      <c r="I8915">
        <v>378</v>
      </c>
      <c r="J8915">
        <v>0</v>
      </c>
      <c r="K8915" t="str">
        <f>"809"</f>
        <v>809</v>
      </c>
      <c r="L8915">
        <v>555.66</v>
      </c>
    </row>
    <row r="8916" spans="1:12" x14ac:dyDescent="0.25">
      <c r="A8916" t="str">
        <f t="shared" si="1579"/>
        <v>89301000</v>
      </c>
      <c r="B8916" t="str">
        <f t="shared" si="1578"/>
        <v>78006000</v>
      </c>
      <c r="C8916" t="str">
        <f>"78006233"</f>
        <v>78006233</v>
      </c>
      <c r="D8916">
        <v>89301112</v>
      </c>
      <c r="E8916" t="str">
        <f>"7659124473"</f>
        <v>7659124473</v>
      </c>
      <c r="F8916" s="1">
        <v>45117</v>
      </c>
      <c r="G8916" t="str">
        <f>"89713"</f>
        <v>89713</v>
      </c>
      <c r="H8916">
        <v>1</v>
      </c>
      <c r="I8916">
        <v>5411</v>
      </c>
      <c r="J8916">
        <v>0</v>
      </c>
      <c r="K8916" t="str">
        <f t="shared" ref="K8916:K8921" si="1583">"810"</f>
        <v>810</v>
      </c>
      <c r="L8916">
        <v>3517.15</v>
      </c>
    </row>
    <row r="8917" spans="1:12" x14ac:dyDescent="0.25">
      <c r="A8917" t="str">
        <f t="shared" si="1579"/>
        <v>89301000</v>
      </c>
      <c r="B8917" t="str">
        <f t="shared" si="1578"/>
        <v>78006000</v>
      </c>
      <c r="C8917" t="str">
        <f>"78006233"</f>
        <v>78006233</v>
      </c>
      <c r="D8917">
        <v>89301172</v>
      </c>
      <c r="E8917" t="str">
        <f>"7659084455"</f>
        <v>7659084455</v>
      </c>
      <c r="F8917" s="1">
        <v>45118</v>
      </c>
      <c r="G8917" t="str">
        <f>"89713"</f>
        <v>89713</v>
      </c>
      <c r="H8917">
        <v>1</v>
      </c>
      <c r="I8917">
        <v>5411</v>
      </c>
      <c r="J8917">
        <v>0</v>
      </c>
      <c r="K8917" t="str">
        <f t="shared" si="1583"/>
        <v>810</v>
      </c>
      <c r="L8917">
        <v>3517.15</v>
      </c>
    </row>
    <row r="8918" spans="1:12" x14ac:dyDescent="0.25">
      <c r="A8918" t="str">
        <f t="shared" si="1579"/>
        <v>89301000</v>
      </c>
      <c r="B8918" t="str">
        <f t="shared" si="1578"/>
        <v>78006000</v>
      </c>
      <c r="C8918" t="str">
        <f>"78006233"</f>
        <v>78006233</v>
      </c>
      <c r="D8918">
        <v>89301172</v>
      </c>
      <c r="E8918" t="str">
        <f>"7659084455"</f>
        <v>7659084455</v>
      </c>
      <c r="F8918" s="1">
        <v>45118</v>
      </c>
      <c r="G8918" t="str">
        <f>"89725"</f>
        <v>89725</v>
      </c>
      <c r="H8918">
        <v>1</v>
      </c>
      <c r="I8918">
        <v>2863</v>
      </c>
      <c r="J8918">
        <v>0</v>
      </c>
      <c r="K8918" t="str">
        <f t="shared" si="1583"/>
        <v>810</v>
      </c>
      <c r="L8918">
        <v>1860.95</v>
      </c>
    </row>
    <row r="8919" spans="1:12" x14ac:dyDescent="0.25">
      <c r="A8919" t="str">
        <f t="shared" si="1579"/>
        <v>89301000</v>
      </c>
      <c r="B8919" t="str">
        <f t="shared" si="1578"/>
        <v>78006000</v>
      </c>
      <c r="C8919" t="str">
        <f>"78006233"</f>
        <v>78006233</v>
      </c>
      <c r="D8919">
        <v>89301606</v>
      </c>
      <c r="E8919" t="str">
        <f>"6254080393"</f>
        <v>6254080393</v>
      </c>
      <c r="F8919" s="1">
        <v>45124</v>
      </c>
      <c r="G8919" t="str">
        <f>"89713"</f>
        <v>89713</v>
      </c>
      <c r="H8919">
        <v>1</v>
      </c>
      <c r="I8919">
        <v>5411</v>
      </c>
      <c r="J8919">
        <v>0</v>
      </c>
      <c r="K8919" t="str">
        <f t="shared" si="1583"/>
        <v>810</v>
      </c>
      <c r="L8919">
        <v>3517.15</v>
      </c>
    </row>
    <row r="8920" spans="1:12" x14ac:dyDescent="0.25">
      <c r="A8920" t="str">
        <f t="shared" si="1579"/>
        <v>89301000</v>
      </c>
      <c r="B8920" t="str">
        <f t="shared" si="1578"/>
        <v>78006000</v>
      </c>
      <c r="C8920" t="str">
        <f>"78006233"</f>
        <v>78006233</v>
      </c>
      <c r="D8920">
        <v>89301606</v>
      </c>
      <c r="E8920" t="str">
        <f>"6254080393"</f>
        <v>6254080393</v>
      </c>
      <c r="F8920" s="1">
        <v>45124</v>
      </c>
      <c r="G8920" t="str">
        <f>"89725"</f>
        <v>89725</v>
      </c>
      <c r="H8920">
        <v>1</v>
      </c>
      <c r="I8920">
        <v>2863</v>
      </c>
      <c r="J8920">
        <v>0</v>
      </c>
      <c r="K8920" t="str">
        <f t="shared" si="1583"/>
        <v>810</v>
      </c>
      <c r="L8920">
        <v>1860.95</v>
      </c>
    </row>
    <row r="8921" spans="1:12" x14ac:dyDescent="0.25">
      <c r="A8921" t="str">
        <f t="shared" si="1579"/>
        <v>89301000</v>
      </c>
      <c r="B8921" t="str">
        <f t="shared" si="1578"/>
        <v>78006000</v>
      </c>
      <c r="C8921" t="str">
        <f>"78006532"</f>
        <v>78006532</v>
      </c>
      <c r="D8921">
        <v>89301062</v>
      </c>
      <c r="E8921" t="str">
        <f>"7459255331"</f>
        <v>7459255331</v>
      </c>
      <c r="F8921" s="1">
        <v>45126</v>
      </c>
      <c r="G8921" t="str">
        <f>"89713"</f>
        <v>89713</v>
      </c>
      <c r="H8921">
        <v>1</v>
      </c>
      <c r="I8921">
        <v>5411</v>
      </c>
      <c r="J8921">
        <v>0</v>
      </c>
      <c r="K8921" t="str">
        <f t="shared" si="1583"/>
        <v>810</v>
      </c>
      <c r="L8921">
        <v>3517.15</v>
      </c>
    </row>
    <row r="8922" spans="1:12" x14ac:dyDescent="0.25">
      <c r="A8922" t="str">
        <f t="shared" si="1579"/>
        <v>89301000</v>
      </c>
      <c r="B8922" t="str">
        <f t="shared" ref="B8922:B8937" si="1584">"91009000"</f>
        <v>91009000</v>
      </c>
      <c r="C8922" t="str">
        <f t="shared" ref="C8922:C8930" si="1585">"91009522"</f>
        <v>91009522</v>
      </c>
      <c r="D8922">
        <v>89301282</v>
      </c>
      <c r="E8922" t="str">
        <f>"0506216150"</f>
        <v>0506216150</v>
      </c>
      <c r="F8922" s="1">
        <v>45128</v>
      </c>
      <c r="G8922" t="str">
        <f>"94948"</f>
        <v>94948</v>
      </c>
      <c r="H8922">
        <v>2</v>
      </c>
      <c r="I8922">
        <v>0</v>
      </c>
      <c r="J8922">
        <v>0</v>
      </c>
      <c r="K8922" t="str">
        <f t="shared" ref="K8922:K8930" si="1586">"816"</f>
        <v>816</v>
      </c>
      <c r="L8922">
        <v>0</v>
      </c>
    </row>
    <row r="8923" spans="1:12" x14ac:dyDescent="0.25">
      <c r="A8923" t="str">
        <f t="shared" si="1579"/>
        <v>89301000</v>
      </c>
      <c r="B8923" t="str">
        <f t="shared" si="1584"/>
        <v>91009000</v>
      </c>
      <c r="C8923" t="str">
        <f t="shared" si="1585"/>
        <v>91009522</v>
      </c>
      <c r="D8923">
        <v>89301282</v>
      </c>
      <c r="E8923" t="str">
        <f>"0506216150"</f>
        <v>0506216150</v>
      </c>
      <c r="F8923" s="1">
        <v>45128</v>
      </c>
      <c r="G8923" t="str">
        <f>"94982"</f>
        <v>94982</v>
      </c>
      <c r="H8923">
        <v>1</v>
      </c>
      <c r="I8923">
        <v>0</v>
      </c>
      <c r="J8923">
        <v>27500</v>
      </c>
      <c r="K8923" t="str">
        <f t="shared" si="1586"/>
        <v>816</v>
      </c>
      <c r="L8923">
        <v>27500</v>
      </c>
    </row>
    <row r="8924" spans="1:12" x14ac:dyDescent="0.25">
      <c r="A8924" t="str">
        <f t="shared" si="1579"/>
        <v>89301000</v>
      </c>
      <c r="B8924" t="str">
        <f t="shared" si="1584"/>
        <v>91009000</v>
      </c>
      <c r="C8924" t="str">
        <f t="shared" si="1585"/>
        <v>91009522</v>
      </c>
      <c r="D8924">
        <v>89301282</v>
      </c>
      <c r="E8924" t="str">
        <f>"0506216150"</f>
        <v>0506216150</v>
      </c>
      <c r="F8924" s="1">
        <v>45128</v>
      </c>
      <c r="G8924" t="str">
        <f>"94996"</f>
        <v>94996</v>
      </c>
      <c r="H8924">
        <v>1</v>
      </c>
      <c r="I8924">
        <v>0</v>
      </c>
      <c r="J8924">
        <v>0</v>
      </c>
      <c r="K8924" t="str">
        <f t="shared" si="1586"/>
        <v>816</v>
      </c>
      <c r="L8924">
        <v>0</v>
      </c>
    </row>
    <row r="8925" spans="1:12" x14ac:dyDescent="0.25">
      <c r="A8925" t="str">
        <f t="shared" si="1579"/>
        <v>89301000</v>
      </c>
      <c r="B8925" t="str">
        <f t="shared" si="1584"/>
        <v>91009000</v>
      </c>
      <c r="C8925" t="str">
        <f t="shared" si="1585"/>
        <v>91009522</v>
      </c>
      <c r="D8925">
        <v>89301282</v>
      </c>
      <c r="E8925" t="str">
        <f>"2255091234"</f>
        <v>2255091234</v>
      </c>
      <c r="F8925" s="1">
        <v>45127</v>
      </c>
      <c r="G8925" t="str">
        <f>"94948"</f>
        <v>94948</v>
      </c>
      <c r="H8925">
        <v>2</v>
      </c>
      <c r="I8925">
        <v>0</v>
      </c>
      <c r="J8925">
        <v>0</v>
      </c>
      <c r="K8925" t="str">
        <f t="shared" si="1586"/>
        <v>816</v>
      </c>
      <c r="L8925">
        <v>0</v>
      </c>
    </row>
    <row r="8926" spans="1:12" x14ac:dyDescent="0.25">
      <c r="A8926" t="str">
        <f t="shared" si="1579"/>
        <v>89301000</v>
      </c>
      <c r="B8926" t="str">
        <f t="shared" si="1584"/>
        <v>91009000</v>
      </c>
      <c r="C8926" t="str">
        <f t="shared" si="1585"/>
        <v>91009522</v>
      </c>
      <c r="D8926">
        <v>89301282</v>
      </c>
      <c r="E8926" t="str">
        <f>"2255091234"</f>
        <v>2255091234</v>
      </c>
      <c r="F8926" s="1">
        <v>45127</v>
      </c>
      <c r="G8926" t="str">
        <f>"94982"</f>
        <v>94982</v>
      </c>
      <c r="H8926">
        <v>1</v>
      </c>
      <c r="I8926">
        <v>0</v>
      </c>
      <c r="J8926">
        <v>27500</v>
      </c>
      <c r="K8926" t="str">
        <f t="shared" si="1586"/>
        <v>816</v>
      </c>
      <c r="L8926">
        <v>27500</v>
      </c>
    </row>
    <row r="8927" spans="1:12" x14ac:dyDescent="0.25">
      <c r="A8927" t="str">
        <f t="shared" si="1579"/>
        <v>89301000</v>
      </c>
      <c r="B8927" t="str">
        <f t="shared" si="1584"/>
        <v>91009000</v>
      </c>
      <c r="C8927" t="str">
        <f t="shared" si="1585"/>
        <v>91009522</v>
      </c>
      <c r="D8927">
        <v>89301282</v>
      </c>
      <c r="E8927" t="str">
        <f>"2255091234"</f>
        <v>2255091234</v>
      </c>
      <c r="F8927" s="1">
        <v>45127</v>
      </c>
      <c r="G8927" t="str">
        <f>"94996"</f>
        <v>94996</v>
      </c>
      <c r="H8927">
        <v>1</v>
      </c>
      <c r="I8927">
        <v>0</v>
      </c>
      <c r="J8927">
        <v>0</v>
      </c>
      <c r="K8927" t="str">
        <f t="shared" si="1586"/>
        <v>816</v>
      </c>
      <c r="L8927">
        <v>0</v>
      </c>
    </row>
    <row r="8928" spans="1:12" x14ac:dyDescent="0.25">
      <c r="A8928" t="str">
        <f t="shared" si="1579"/>
        <v>89301000</v>
      </c>
      <c r="B8928" t="str">
        <f t="shared" si="1584"/>
        <v>91009000</v>
      </c>
      <c r="C8928" t="str">
        <f t="shared" si="1585"/>
        <v>91009522</v>
      </c>
      <c r="D8928">
        <v>89301282</v>
      </c>
      <c r="E8928" t="str">
        <f>"9058175709"</f>
        <v>9058175709</v>
      </c>
      <c r="F8928" s="1">
        <v>45128</v>
      </c>
      <c r="G8928" t="str">
        <f>"94948"</f>
        <v>94948</v>
      </c>
      <c r="H8928">
        <v>2</v>
      </c>
      <c r="I8928">
        <v>0</v>
      </c>
      <c r="J8928">
        <v>0</v>
      </c>
      <c r="K8928" t="str">
        <f t="shared" si="1586"/>
        <v>816</v>
      </c>
      <c r="L8928">
        <v>0</v>
      </c>
    </row>
    <row r="8929" spans="1:12" x14ac:dyDescent="0.25">
      <c r="A8929" t="str">
        <f t="shared" si="1579"/>
        <v>89301000</v>
      </c>
      <c r="B8929" t="str">
        <f t="shared" si="1584"/>
        <v>91009000</v>
      </c>
      <c r="C8929" t="str">
        <f t="shared" si="1585"/>
        <v>91009522</v>
      </c>
      <c r="D8929">
        <v>89301282</v>
      </c>
      <c r="E8929" t="str">
        <f>"9058175709"</f>
        <v>9058175709</v>
      </c>
      <c r="F8929" s="1">
        <v>45128</v>
      </c>
      <c r="G8929" t="str">
        <f>"94984"</f>
        <v>94984</v>
      </c>
      <c r="H8929">
        <v>1</v>
      </c>
      <c r="I8929">
        <v>0</v>
      </c>
      <c r="J8929">
        <v>57200</v>
      </c>
      <c r="K8929" t="str">
        <f t="shared" si="1586"/>
        <v>816</v>
      </c>
      <c r="L8929">
        <v>57200</v>
      </c>
    </row>
    <row r="8930" spans="1:12" x14ac:dyDescent="0.25">
      <c r="A8930" t="str">
        <f t="shared" si="1579"/>
        <v>89301000</v>
      </c>
      <c r="B8930" t="str">
        <f t="shared" si="1584"/>
        <v>91009000</v>
      </c>
      <c r="C8930" t="str">
        <f t="shared" si="1585"/>
        <v>91009522</v>
      </c>
      <c r="D8930">
        <v>89301282</v>
      </c>
      <c r="E8930" t="str">
        <f>"9058175709"</f>
        <v>9058175709</v>
      </c>
      <c r="F8930" s="1">
        <v>45128</v>
      </c>
      <c r="G8930" t="str">
        <f>"94996"</f>
        <v>94996</v>
      </c>
      <c r="H8930">
        <v>1</v>
      </c>
      <c r="I8930">
        <v>0</v>
      </c>
      <c r="J8930">
        <v>0</v>
      </c>
      <c r="K8930" t="str">
        <f t="shared" si="1586"/>
        <v>816</v>
      </c>
      <c r="L8930">
        <v>0</v>
      </c>
    </row>
    <row r="8931" spans="1:12" x14ac:dyDescent="0.25">
      <c r="A8931" t="str">
        <f t="shared" si="1579"/>
        <v>89301000</v>
      </c>
      <c r="B8931" t="str">
        <f t="shared" si="1584"/>
        <v>91009000</v>
      </c>
      <c r="C8931" t="str">
        <f>"91009605"</f>
        <v>91009605</v>
      </c>
      <c r="D8931">
        <v>89301101</v>
      </c>
      <c r="E8931" t="str">
        <f>"0508136079"</f>
        <v>0508136079</v>
      </c>
      <c r="F8931" s="1">
        <v>45111</v>
      </c>
      <c r="G8931" t="str">
        <f>"91431"</f>
        <v>91431</v>
      </c>
      <c r="H8931">
        <v>1</v>
      </c>
      <c r="I8931">
        <v>543</v>
      </c>
      <c r="J8931">
        <v>0</v>
      </c>
      <c r="K8931" t="str">
        <f>"818"</f>
        <v>818</v>
      </c>
      <c r="L8931">
        <v>526.71</v>
      </c>
    </row>
    <row r="8932" spans="1:12" x14ac:dyDescent="0.25">
      <c r="A8932" t="str">
        <f t="shared" si="1579"/>
        <v>89301000</v>
      </c>
      <c r="B8932" t="str">
        <f t="shared" si="1584"/>
        <v>91009000</v>
      </c>
      <c r="C8932" t="str">
        <f>"91009605"</f>
        <v>91009605</v>
      </c>
      <c r="D8932">
        <v>89301101</v>
      </c>
      <c r="E8932" t="str">
        <f>"0508136079"</f>
        <v>0508136079</v>
      </c>
      <c r="F8932" s="1">
        <v>45120</v>
      </c>
      <c r="G8932" t="str">
        <f>"22122"</f>
        <v>22122</v>
      </c>
      <c r="H8932">
        <v>1</v>
      </c>
      <c r="I8932">
        <v>588</v>
      </c>
      <c r="J8932">
        <v>0</v>
      </c>
      <c r="K8932" t="str">
        <f>"818"</f>
        <v>818</v>
      </c>
      <c r="L8932">
        <v>570.36</v>
      </c>
    </row>
    <row r="8933" spans="1:12" x14ac:dyDescent="0.25">
      <c r="A8933" t="str">
        <f t="shared" si="1579"/>
        <v>89301000</v>
      </c>
      <c r="B8933" t="str">
        <f t="shared" si="1584"/>
        <v>91009000</v>
      </c>
      <c r="C8933" t="str">
        <f>"91009605"</f>
        <v>91009605</v>
      </c>
      <c r="D8933">
        <v>89301101</v>
      </c>
      <c r="E8933" t="str">
        <f>"0508136079"</f>
        <v>0508136079</v>
      </c>
      <c r="F8933" s="1">
        <v>45120</v>
      </c>
      <c r="G8933" t="str">
        <f>"22123"</f>
        <v>22123</v>
      </c>
      <c r="H8933">
        <v>1</v>
      </c>
      <c r="I8933">
        <v>334</v>
      </c>
      <c r="J8933">
        <v>0</v>
      </c>
      <c r="K8933" t="str">
        <f>"818"</f>
        <v>818</v>
      </c>
      <c r="L8933">
        <v>323.98</v>
      </c>
    </row>
    <row r="8934" spans="1:12" x14ac:dyDescent="0.25">
      <c r="A8934" t="str">
        <f t="shared" si="1579"/>
        <v>89301000</v>
      </c>
      <c r="B8934" t="str">
        <f t="shared" si="1584"/>
        <v>91009000</v>
      </c>
      <c r="C8934" t="str">
        <f>"91009605"</f>
        <v>91009605</v>
      </c>
      <c r="D8934">
        <v>89301101</v>
      </c>
      <c r="E8934" t="str">
        <f>"0508136079"</f>
        <v>0508136079</v>
      </c>
      <c r="F8934" s="1">
        <v>45120</v>
      </c>
      <c r="G8934" t="str">
        <f>"22127"</f>
        <v>22127</v>
      </c>
      <c r="H8934">
        <v>1</v>
      </c>
      <c r="I8934">
        <v>340</v>
      </c>
      <c r="J8934">
        <v>0</v>
      </c>
      <c r="K8934" t="str">
        <f>"818"</f>
        <v>818</v>
      </c>
      <c r="L8934">
        <v>329.8</v>
      </c>
    </row>
    <row r="8935" spans="1:12" x14ac:dyDescent="0.25">
      <c r="A8935" t="str">
        <f t="shared" si="1579"/>
        <v>89301000</v>
      </c>
      <c r="B8935" t="str">
        <f t="shared" si="1584"/>
        <v>91009000</v>
      </c>
      <c r="C8935" t="str">
        <f>"91009581"</f>
        <v>91009581</v>
      </c>
      <c r="D8935">
        <v>89301212</v>
      </c>
      <c r="E8935" t="str">
        <f>"8556125776"</f>
        <v>8556125776</v>
      </c>
      <c r="F8935" s="1">
        <v>45118</v>
      </c>
      <c r="G8935" t="str">
        <f>"97111"</f>
        <v>97111</v>
      </c>
      <c r="H8935">
        <v>1</v>
      </c>
      <c r="I8935">
        <v>19</v>
      </c>
      <c r="J8935">
        <v>0</v>
      </c>
      <c r="K8935" t="str">
        <f>"801"</f>
        <v>801</v>
      </c>
      <c r="L8935">
        <v>23.94</v>
      </c>
    </row>
    <row r="8936" spans="1:12" x14ac:dyDescent="0.25">
      <c r="A8936" t="str">
        <f t="shared" si="1579"/>
        <v>89301000</v>
      </c>
      <c r="B8936" t="str">
        <f t="shared" si="1584"/>
        <v>91009000</v>
      </c>
      <c r="C8936" t="str">
        <f>"91009132"</f>
        <v>91009132</v>
      </c>
      <c r="D8936">
        <v>89301212</v>
      </c>
      <c r="E8936" t="str">
        <f>"8556125776"</f>
        <v>8556125776</v>
      </c>
      <c r="F8936" s="1">
        <v>45118</v>
      </c>
      <c r="G8936" t="str">
        <f>"92157"</f>
        <v>92157</v>
      </c>
      <c r="H8936">
        <v>1</v>
      </c>
      <c r="I8936">
        <v>1778</v>
      </c>
      <c r="J8936">
        <v>0</v>
      </c>
      <c r="K8936" t="str">
        <f>"812"</f>
        <v>812</v>
      </c>
      <c r="L8936">
        <v>1493.52</v>
      </c>
    </row>
    <row r="8937" spans="1:12" x14ac:dyDescent="0.25">
      <c r="A8937" t="str">
        <f t="shared" si="1579"/>
        <v>89301000</v>
      </c>
      <c r="B8937" t="str">
        <f t="shared" si="1584"/>
        <v>91009000</v>
      </c>
      <c r="C8937" t="str">
        <f>"91009132"</f>
        <v>91009132</v>
      </c>
      <c r="D8937">
        <v>89301212</v>
      </c>
      <c r="E8937" t="str">
        <f>"8556125776"</f>
        <v>8556125776</v>
      </c>
      <c r="F8937" s="1">
        <v>45118</v>
      </c>
      <c r="G8937" t="str">
        <f>"99111"</f>
        <v>99111</v>
      </c>
      <c r="H8937">
        <v>1</v>
      </c>
      <c r="I8937">
        <v>213</v>
      </c>
      <c r="J8937">
        <v>0</v>
      </c>
      <c r="K8937" t="str">
        <f>"812"</f>
        <v>812</v>
      </c>
      <c r="L8937">
        <v>178.92</v>
      </c>
    </row>
    <row r="8938" spans="1:12" x14ac:dyDescent="0.25">
      <c r="A8938" t="str">
        <f t="shared" si="1579"/>
        <v>89301000</v>
      </c>
      <c r="B8938" t="str">
        <f>"94101000"</f>
        <v>94101000</v>
      </c>
      <c r="C8938" t="str">
        <f>"94101858"</f>
        <v>94101858</v>
      </c>
      <c r="D8938">
        <v>89301082</v>
      </c>
      <c r="E8938" t="str">
        <f>"9556056268"</f>
        <v>9556056268</v>
      </c>
      <c r="F8938" s="1">
        <v>45138</v>
      </c>
      <c r="G8938" t="str">
        <f>"93159"</f>
        <v>93159</v>
      </c>
      <c r="H8938">
        <v>1</v>
      </c>
      <c r="I8938">
        <v>197</v>
      </c>
      <c r="J8938">
        <v>0</v>
      </c>
      <c r="K8938" t="str">
        <f>"801"</f>
        <v>801</v>
      </c>
      <c r="L8938">
        <v>165.48</v>
      </c>
    </row>
    <row r="8939" spans="1:12" x14ac:dyDescent="0.25">
      <c r="A8939" t="str">
        <f t="shared" si="1579"/>
        <v>89301000</v>
      </c>
      <c r="B8939" t="str">
        <f>"94101000"</f>
        <v>94101000</v>
      </c>
      <c r="C8939" t="str">
        <f>"94101858"</f>
        <v>94101858</v>
      </c>
      <c r="D8939">
        <v>89301082</v>
      </c>
      <c r="E8939" t="str">
        <f>"9556056268"</f>
        <v>9556056268</v>
      </c>
      <c r="F8939" s="1">
        <v>45138</v>
      </c>
      <c r="G8939" t="str">
        <f>"09119"</f>
        <v>09119</v>
      </c>
      <c r="H8939">
        <v>1</v>
      </c>
      <c r="I8939">
        <v>43</v>
      </c>
      <c r="J8939">
        <v>0</v>
      </c>
      <c r="K8939" t="str">
        <f>"801"</f>
        <v>801</v>
      </c>
      <c r="L8939">
        <v>54.18</v>
      </c>
    </row>
    <row r="8940" spans="1:12" x14ac:dyDescent="0.25">
      <c r="A8940" t="str">
        <f t="shared" si="1579"/>
        <v>89301000</v>
      </c>
      <c r="B8940" t="str">
        <f>"94101000"</f>
        <v>94101000</v>
      </c>
      <c r="C8940" t="str">
        <f>"94101858"</f>
        <v>94101858</v>
      </c>
      <c r="D8940">
        <v>89301082</v>
      </c>
      <c r="E8940" t="str">
        <f>"9556056268"</f>
        <v>9556056268</v>
      </c>
      <c r="F8940" s="1">
        <v>45138</v>
      </c>
      <c r="G8940" t="str">
        <f>"97111"</f>
        <v>97111</v>
      </c>
      <c r="H8940">
        <v>1</v>
      </c>
      <c r="I8940">
        <v>19</v>
      </c>
      <c r="J8940">
        <v>0</v>
      </c>
      <c r="K8940" t="str">
        <f>"801"</f>
        <v>801</v>
      </c>
      <c r="L8940">
        <v>23.94</v>
      </c>
    </row>
    <row r="8941" spans="1:12" x14ac:dyDescent="0.25">
      <c r="A8941" t="str">
        <f t="shared" si="1579"/>
        <v>89301000</v>
      </c>
      <c r="B8941" t="str">
        <f t="shared" ref="B8941:B9004" si="1587">"06539000"</f>
        <v>06539000</v>
      </c>
      <c r="C8941" t="str">
        <f>"06539001"</f>
        <v>06539001</v>
      </c>
      <c r="D8941">
        <v>89301171</v>
      </c>
      <c r="E8941" t="str">
        <f t="shared" ref="E8941:E8969" si="1588">"7502244497"</f>
        <v>7502244497</v>
      </c>
      <c r="F8941" s="1">
        <v>45086</v>
      </c>
      <c r="G8941" t="str">
        <f>"81329"</f>
        <v>81329</v>
      </c>
      <c r="H8941">
        <v>1</v>
      </c>
      <c r="I8941">
        <v>17</v>
      </c>
      <c r="J8941">
        <v>0</v>
      </c>
      <c r="K8941" t="str">
        <f>"801"</f>
        <v>801</v>
      </c>
      <c r="L8941">
        <v>14.28</v>
      </c>
    </row>
    <row r="8942" spans="1:12" x14ac:dyDescent="0.25">
      <c r="A8942" t="str">
        <f t="shared" si="1579"/>
        <v>89301000</v>
      </c>
      <c r="B8942" t="str">
        <f t="shared" si="1587"/>
        <v>06539000</v>
      </c>
      <c r="C8942" t="str">
        <f>"06539001"</f>
        <v>06539001</v>
      </c>
      <c r="D8942">
        <v>89301171</v>
      </c>
      <c r="E8942" t="str">
        <f t="shared" si="1588"/>
        <v>7502244497</v>
      </c>
      <c r="F8942" s="1">
        <v>45086</v>
      </c>
      <c r="G8942" t="str">
        <f>"81331"</f>
        <v>81331</v>
      </c>
      <c r="H8942">
        <v>1</v>
      </c>
      <c r="I8942">
        <v>193</v>
      </c>
      <c r="J8942">
        <v>0</v>
      </c>
      <c r="K8942" t="str">
        <f>"801"</f>
        <v>801</v>
      </c>
      <c r="L8942">
        <v>162.12</v>
      </c>
    </row>
    <row r="8943" spans="1:12" x14ac:dyDescent="0.25">
      <c r="A8943" t="str">
        <f t="shared" si="1579"/>
        <v>89301000</v>
      </c>
      <c r="B8943" t="str">
        <f t="shared" si="1587"/>
        <v>06539000</v>
      </c>
      <c r="C8943" t="str">
        <f t="shared" ref="C8943:C8969" si="1589">"06539003"</f>
        <v>06539003</v>
      </c>
      <c r="D8943">
        <v>89301171</v>
      </c>
      <c r="E8943" t="str">
        <f t="shared" si="1588"/>
        <v>7502244497</v>
      </c>
      <c r="F8943" s="1">
        <v>45089</v>
      </c>
      <c r="G8943" t="str">
        <f t="shared" ref="G8943:G8952" si="1590">"91413"</f>
        <v>91413</v>
      </c>
      <c r="H8943">
        <v>1</v>
      </c>
      <c r="I8943">
        <v>868</v>
      </c>
      <c r="J8943">
        <v>0</v>
      </c>
      <c r="K8943" t="str">
        <f t="shared" ref="K8943:K8969" si="1591">"813"</f>
        <v>813</v>
      </c>
      <c r="L8943">
        <v>729.12</v>
      </c>
    </row>
    <row r="8944" spans="1:12" x14ac:dyDescent="0.25">
      <c r="A8944" t="str">
        <f t="shared" si="1579"/>
        <v>89301000</v>
      </c>
      <c r="B8944" t="str">
        <f t="shared" si="1587"/>
        <v>06539000</v>
      </c>
      <c r="C8944" t="str">
        <f t="shared" si="1589"/>
        <v>06539003</v>
      </c>
      <c r="D8944">
        <v>89301171</v>
      </c>
      <c r="E8944" t="str">
        <f t="shared" si="1588"/>
        <v>7502244497</v>
      </c>
      <c r="F8944" s="1">
        <v>45089</v>
      </c>
      <c r="G8944" t="str">
        <f t="shared" si="1590"/>
        <v>91413</v>
      </c>
      <c r="H8944">
        <v>1</v>
      </c>
      <c r="I8944">
        <v>868</v>
      </c>
      <c r="J8944">
        <v>0</v>
      </c>
      <c r="K8944" t="str">
        <f t="shared" si="1591"/>
        <v>813</v>
      </c>
      <c r="L8944">
        <v>729.12</v>
      </c>
    </row>
    <row r="8945" spans="1:12" x14ac:dyDescent="0.25">
      <c r="A8945" t="str">
        <f t="shared" si="1579"/>
        <v>89301000</v>
      </c>
      <c r="B8945" t="str">
        <f t="shared" si="1587"/>
        <v>06539000</v>
      </c>
      <c r="C8945" t="str">
        <f t="shared" si="1589"/>
        <v>06539003</v>
      </c>
      <c r="D8945">
        <v>89301171</v>
      </c>
      <c r="E8945" t="str">
        <f t="shared" si="1588"/>
        <v>7502244497</v>
      </c>
      <c r="F8945" s="1">
        <v>45107</v>
      </c>
      <c r="G8945" t="str">
        <f t="shared" si="1590"/>
        <v>91413</v>
      </c>
      <c r="H8945">
        <v>1</v>
      </c>
      <c r="I8945">
        <v>868</v>
      </c>
      <c r="J8945">
        <v>0</v>
      </c>
      <c r="K8945" t="str">
        <f t="shared" si="1591"/>
        <v>813</v>
      </c>
      <c r="L8945">
        <v>729.12</v>
      </c>
    </row>
    <row r="8946" spans="1:12" x14ac:dyDescent="0.25">
      <c r="A8946" t="str">
        <f t="shared" si="1579"/>
        <v>89301000</v>
      </c>
      <c r="B8946" t="str">
        <f t="shared" si="1587"/>
        <v>06539000</v>
      </c>
      <c r="C8946" t="str">
        <f t="shared" si="1589"/>
        <v>06539003</v>
      </c>
      <c r="D8946">
        <v>89301171</v>
      </c>
      <c r="E8946" t="str">
        <f t="shared" si="1588"/>
        <v>7502244497</v>
      </c>
      <c r="F8946" s="1">
        <v>45107</v>
      </c>
      <c r="G8946" t="str">
        <f t="shared" si="1590"/>
        <v>91413</v>
      </c>
      <c r="H8946">
        <v>1</v>
      </c>
      <c r="I8946">
        <v>868</v>
      </c>
      <c r="J8946">
        <v>0</v>
      </c>
      <c r="K8946" t="str">
        <f t="shared" si="1591"/>
        <v>813</v>
      </c>
      <c r="L8946">
        <v>729.12</v>
      </c>
    </row>
    <row r="8947" spans="1:12" x14ac:dyDescent="0.25">
      <c r="A8947" t="str">
        <f t="shared" si="1579"/>
        <v>89301000</v>
      </c>
      <c r="B8947" t="str">
        <f t="shared" si="1587"/>
        <v>06539000</v>
      </c>
      <c r="C8947" t="str">
        <f t="shared" si="1589"/>
        <v>06539003</v>
      </c>
      <c r="D8947">
        <v>89301171</v>
      </c>
      <c r="E8947" t="str">
        <f t="shared" si="1588"/>
        <v>7502244497</v>
      </c>
      <c r="F8947" s="1">
        <v>45111</v>
      </c>
      <c r="G8947" t="str">
        <f t="shared" si="1590"/>
        <v>91413</v>
      </c>
      <c r="H8947">
        <v>1</v>
      </c>
      <c r="I8947">
        <v>868</v>
      </c>
      <c r="J8947">
        <v>0</v>
      </c>
      <c r="K8947" t="str">
        <f t="shared" si="1591"/>
        <v>813</v>
      </c>
      <c r="L8947">
        <v>729.12</v>
      </c>
    </row>
    <row r="8948" spans="1:12" x14ac:dyDescent="0.25">
      <c r="A8948" t="str">
        <f t="shared" si="1579"/>
        <v>89301000</v>
      </c>
      <c r="B8948" t="str">
        <f t="shared" si="1587"/>
        <v>06539000</v>
      </c>
      <c r="C8948" t="str">
        <f t="shared" si="1589"/>
        <v>06539003</v>
      </c>
      <c r="D8948">
        <v>89301171</v>
      </c>
      <c r="E8948" t="str">
        <f t="shared" si="1588"/>
        <v>7502244497</v>
      </c>
      <c r="F8948" s="1">
        <v>45111</v>
      </c>
      <c r="G8948" t="str">
        <f t="shared" si="1590"/>
        <v>91413</v>
      </c>
      <c r="H8948">
        <v>1</v>
      </c>
      <c r="I8948">
        <v>868</v>
      </c>
      <c r="J8948">
        <v>0</v>
      </c>
      <c r="K8948" t="str">
        <f t="shared" si="1591"/>
        <v>813</v>
      </c>
      <c r="L8948">
        <v>729.12</v>
      </c>
    </row>
    <row r="8949" spans="1:12" x14ac:dyDescent="0.25">
      <c r="A8949" t="str">
        <f t="shared" si="1579"/>
        <v>89301000</v>
      </c>
      <c r="B8949" t="str">
        <f t="shared" si="1587"/>
        <v>06539000</v>
      </c>
      <c r="C8949" t="str">
        <f t="shared" si="1589"/>
        <v>06539003</v>
      </c>
      <c r="D8949">
        <v>89301171</v>
      </c>
      <c r="E8949" t="str">
        <f t="shared" si="1588"/>
        <v>7502244497</v>
      </c>
      <c r="F8949" s="1">
        <v>45110</v>
      </c>
      <c r="G8949" t="str">
        <f t="shared" si="1590"/>
        <v>91413</v>
      </c>
      <c r="H8949">
        <v>1</v>
      </c>
      <c r="I8949">
        <v>868</v>
      </c>
      <c r="J8949">
        <v>0</v>
      </c>
      <c r="K8949" t="str">
        <f t="shared" si="1591"/>
        <v>813</v>
      </c>
      <c r="L8949">
        <v>729.12</v>
      </c>
    </row>
    <row r="8950" spans="1:12" x14ac:dyDescent="0.25">
      <c r="A8950" t="str">
        <f t="shared" si="1579"/>
        <v>89301000</v>
      </c>
      <c r="B8950" t="str">
        <f t="shared" si="1587"/>
        <v>06539000</v>
      </c>
      <c r="C8950" t="str">
        <f t="shared" si="1589"/>
        <v>06539003</v>
      </c>
      <c r="D8950">
        <v>89301171</v>
      </c>
      <c r="E8950" t="str">
        <f t="shared" si="1588"/>
        <v>7502244497</v>
      </c>
      <c r="F8950" s="1">
        <v>45110</v>
      </c>
      <c r="G8950" t="str">
        <f t="shared" si="1590"/>
        <v>91413</v>
      </c>
      <c r="H8950">
        <v>1</v>
      </c>
      <c r="I8950">
        <v>868</v>
      </c>
      <c r="J8950">
        <v>0</v>
      </c>
      <c r="K8950" t="str">
        <f t="shared" si="1591"/>
        <v>813</v>
      </c>
      <c r="L8950">
        <v>729.12</v>
      </c>
    </row>
    <row r="8951" spans="1:12" x14ac:dyDescent="0.25">
      <c r="A8951" t="str">
        <f t="shared" si="1579"/>
        <v>89301000</v>
      </c>
      <c r="B8951" t="str">
        <f t="shared" si="1587"/>
        <v>06539000</v>
      </c>
      <c r="C8951" t="str">
        <f t="shared" si="1589"/>
        <v>06539003</v>
      </c>
      <c r="D8951">
        <v>89301171</v>
      </c>
      <c r="E8951" t="str">
        <f t="shared" si="1588"/>
        <v>7502244497</v>
      </c>
      <c r="F8951" s="1">
        <v>45110</v>
      </c>
      <c r="G8951" t="str">
        <f t="shared" si="1590"/>
        <v>91413</v>
      </c>
      <c r="H8951">
        <v>1</v>
      </c>
      <c r="I8951">
        <v>868</v>
      </c>
      <c r="J8951">
        <v>0</v>
      </c>
      <c r="K8951" t="str">
        <f t="shared" si="1591"/>
        <v>813</v>
      </c>
      <c r="L8951">
        <v>729.12</v>
      </c>
    </row>
    <row r="8952" spans="1:12" x14ac:dyDescent="0.25">
      <c r="A8952" t="str">
        <f t="shared" si="1579"/>
        <v>89301000</v>
      </c>
      <c r="B8952" t="str">
        <f t="shared" si="1587"/>
        <v>06539000</v>
      </c>
      <c r="C8952" t="str">
        <f t="shared" si="1589"/>
        <v>06539003</v>
      </c>
      <c r="D8952">
        <v>89301171</v>
      </c>
      <c r="E8952" t="str">
        <f t="shared" si="1588"/>
        <v>7502244497</v>
      </c>
      <c r="F8952" s="1">
        <v>45110</v>
      </c>
      <c r="G8952" t="str">
        <f t="shared" si="1590"/>
        <v>91413</v>
      </c>
      <c r="H8952">
        <v>1</v>
      </c>
      <c r="I8952">
        <v>868</v>
      </c>
      <c r="J8952">
        <v>0</v>
      </c>
      <c r="K8952" t="str">
        <f t="shared" si="1591"/>
        <v>813</v>
      </c>
      <c r="L8952">
        <v>729.12</v>
      </c>
    </row>
    <row r="8953" spans="1:12" x14ac:dyDescent="0.25">
      <c r="A8953" t="str">
        <f t="shared" si="1579"/>
        <v>89301000</v>
      </c>
      <c r="B8953" t="str">
        <f t="shared" si="1587"/>
        <v>06539000</v>
      </c>
      <c r="C8953" t="str">
        <f t="shared" si="1589"/>
        <v>06539003</v>
      </c>
      <c r="D8953">
        <v>89301171</v>
      </c>
      <c r="E8953" t="str">
        <f t="shared" si="1588"/>
        <v>7502244497</v>
      </c>
      <c r="F8953" s="1">
        <v>45086</v>
      </c>
      <c r="G8953" t="str">
        <f t="shared" ref="G8953:G8958" si="1592">"91197"</f>
        <v>91197</v>
      </c>
      <c r="H8953">
        <v>1</v>
      </c>
      <c r="I8953">
        <v>1048</v>
      </c>
      <c r="J8953">
        <v>0</v>
      </c>
      <c r="K8953" t="str">
        <f t="shared" si="1591"/>
        <v>813</v>
      </c>
      <c r="L8953">
        <v>880.32</v>
      </c>
    </row>
    <row r="8954" spans="1:12" x14ac:dyDescent="0.25">
      <c r="A8954" t="str">
        <f t="shared" si="1579"/>
        <v>89301000</v>
      </c>
      <c r="B8954" t="str">
        <f t="shared" si="1587"/>
        <v>06539000</v>
      </c>
      <c r="C8954" t="str">
        <f t="shared" si="1589"/>
        <v>06539003</v>
      </c>
      <c r="D8954">
        <v>89301171</v>
      </c>
      <c r="E8954" t="str">
        <f t="shared" si="1588"/>
        <v>7502244497</v>
      </c>
      <c r="F8954" s="1">
        <v>45088</v>
      </c>
      <c r="G8954" t="str">
        <f t="shared" si="1592"/>
        <v>91197</v>
      </c>
      <c r="H8954">
        <v>1</v>
      </c>
      <c r="I8954">
        <v>1048</v>
      </c>
      <c r="J8954">
        <v>0</v>
      </c>
      <c r="K8954" t="str">
        <f t="shared" si="1591"/>
        <v>813</v>
      </c>
      <c r="L8954">
        <v>880.32</v>
      </c>
    </row>
    <row r="8955" spans="1:12" x14ac:dyDescent="0.25">
      <c r="A8955" t="str">
        <f t="shared" si="1579"/>
        <v>89301000</v>
      </c>
      <c r="B8955" t="str">
        <f t="shared" si="1587"/>
        <v>06539000</v>
      </c>
      <c r="C8955" t="str">
        <f t="shared" si="1589"/>
        <v>06539003</v>
      </c>
      <c r="D8955">
        <v>89301171</v>
      </c>
      <c r="E8955" t="str">
        <f t="shared" si="1588"/>
        <v>7502244497</v>
      </c>
      <c r="F8955" s="1">
        <v>45088</v>
      </c>
      <c r="G8955" t="str">
        <f t="shared" si="1592"/>
        <v>91197</v>
      </c>
      <c r="H8955">
        <v>1</v>
      </c>
      <c r="I8955">
        <v>1048</v>
      </c>
      <c r="J8955">
        <v>0</v>
      </c>
      <c r="K8955" t="str">
        <f t="shared" si="1591"/>
        <v>813</v>
      </c>
      <c r="L8955">
        <v>880.32</v>
      </c>
    </row>
    <row r="8956" spans="1:12" x14ac:dyDescent="0.25">
      <c r="A8956" t="str">
        <f t="shared" si="1579"/>
        <v>89301000</v>
      </c>
      <c r="B8956" t="str">
        <f t="shared" si="1587"/>
        <v>06539000</v>
      </c>
      <c r="C8956" t="str">
        <f t="shared" si="1589"/>
        <v>06539003</v>
      </c>
      <c r="D8956">
        <v>89301171</v>
      </c>
      <c r="E8956" t="str">
        <f t="shared" si="1588"/>
        <v>7502244497</v>
      </c>
      <c r="F8956" s="1">
        <v>45087</v>
      </c>
      <c r="G8956" t="str">
        <f t="shared" si="1592"/>
        <v>91197</v>
      </c>
      <c r="H8956">
        <v>1</v>
      </c>
      <c r="I8956">
        <v>1048</v>
      </c>
      <c r="J8956">
        <v>0</v>
      </c>
      <c r="K8956" t="str">
        <f t="shared" si="1591"/>
        <v>813</v>
      </c>
      <c r="L8956">
        <v>880.32</v>
      </c>
    </row>
    <row r="8957" spans="1:12" x14ac:dyDescent="0.25">
      <c r="A8957" t="str">
        <f t="shared" si="1579"/>
        <v>89301000</v>
      </c>
      <c r="B8957" t="str">
        <f t="shared" si="1587"/>
        <v>06539000</v>
      </c>
      <c r="C8957" t="str">
        <f t="shared" si="1589"/>
        <v>06539003</v>
      </c>
      <c r="D8957">
        <v>89301171</v>
      </c>
      <c r="E8957" t="str">
        <f t="shared" si="1588"/>
        <v>7502244497</v>
      </c>
      <c r="F8957" s="1">
        <v>45087</v>
      </c>
      <c r="G8957" t="str">
        <f t="shared" si="1592"/>
        <v>91197</v>
      </c>
      <c r="H8957">
        <v>1</v>
      </c>
      <c r="I8957">
        <v>1048</v>
      </c>
      <c r="J8957">
        <v>0</v>
      </c>
      <c r="K8957" t="str">
        <f t="shared" si="1591"/>
        <v>813</v>
      </c>
      <c r="L8957">
        <v>880.32</v>
      </c>
    </row>
    <row r="8958" spans="1:12" x14ac:dyDescent="0.25">
      <c r="A8958" t="str">
        <f t="shared" si="1579"/>
        <v>89301000</v>
      </c>
      <c r="B8958" t="str">
        <f t="shared" si="1587"/>
        <v>06539000</v>
      </c>
      <c r="C8958" t="str">
        <f t="shared" si="1589"/>
        <v>06539003</v>
      </c>
      <c r="D8958">
        <v>89301171</v>
      </c>
      <c r="E8958" t="str">
        <f t="shared" si="1588"/>
        <v>7502244497</v>
      </c>
      <c r="F8958" s="1">
        <v>45086</v>
      </c>
      <c r="G8958" t="str">
        <f t="shared" si="1592"/>
        <v>91197</v>
      </c>
      <c r="H8958">
        <v>1</v>
      </c>
      <c r="I8958">
        <v>1048</v>
      </c>
      <c r="J8958">
        <v>0</v>
      </c>
      <c r="K8958" t="str">
        <f t="shared" si="1591"/>
        <v>813</v>
      </c>
      <c r="L8958">
        <v>880.32</v>
      </c>
    </row>
    <row r="8959" spans="1:12" x14ac:dyDescent="0.25">
      <c r="A8959" t="str">
        <f t="shared" si="1579"/>
        <v>89301000</v>
      </c>
      <c r="B8959" t="str">
        <f t="shared" si="1587"/>
        <v>06539000</v>
      </c>
      <c r="C8959" t="str">
        <f t="shared" si="1589"/>
        <v>06539003</v>
      </c>
      <c r="D8959">
        <v>89301171</v>
      </c>
      <c r="E8959" t="str">
        <f t="shared" si="1588"/>
        <v>7502244497</v>
      </c>
      <c r="F8959" s="1">
        <v>45086</v>
      </c>
      <c r="G8959" t="str">
        <f>"91129"</f>
        <v>91129</v>
      </c>
      <c r="H8959">
        <v>1</v>
      </c>
      <c r="I8959">
        <v>175</v>
      </c>
      <c r="J8959">
        <v>0</v>
      </c>
      <c r="K8959" t="str">
        <f t="shared" si="1591"/>
        <v>813</v>
      </c>
      <c r="L8959">
        <v>147</v>
      </c>
    </row>
    <row r="8960" spans="1:12" x14ac:dyDescent="0.25">
      <c r="A8960" t="str">
        <f t="shared" si="1579"/>
        <v>89301000</v>
      </c>
      <c r="B8960" t="str">
        <f t="shared" si="1587"/>
        <v>06539000</v>
      </c>
      <c r="C8960" t="str">
        <f t="shared" si="1589"/>
        <v>06539003</v>
      </c>
      <c r="D8960">
        <v>89301171</v>
      </c>
      <c r="E8960" t="str">
        <f t="shared" si="1588"/>
        <v>7502244497</v>
      </c>
      <c r="F8960" s="1">
        <v>45086</v>
      </c>
      <c r="G8960" t="str">
        <f>"91131"</f>
        <v>91131</v>
      </c>
      <c r="H8960">
        <v>1</v>
      </c>
      <c r="I8960">
        <v>171</v>
      </c>
      <c r="J8960">
        <v>0</v>
      </c>
      <c r="K8960" t="str">
        <f t="shared" si="1591"/>
        <v>813</v>
      </c>
      <c r="L8960">
        <v>143.63999999999999</v>
      </c>
    </row>
    <row r="8961" spans="1:12" x14ac:dyDescent="0.25">
      <c r="A8961" t="str">
        <f t="shared" si="1579"/>
        <v>89301000</v>
      </c>
      <c r="B8961" t="str">
        <f t="shared" si="1587"/>
        <v>06539000</v>
      </c>
      <c r="C8961" t="str">
        <f t="shared" si="1589"/>
        <v>06539003</v>
      </c>
      <c r="D8961">
        <v>89301171</v>
      </c>
      <c r="E8961" t="str">
        <f t="shared" si="1588"/>
        <v>7502244497</v>
      </c>
      <c r="F8961" s="1">
        <v>45086</v>
      </c>
      <c r="G8961" t="str">
        <f>"91133"</f>
        <v>91133</v>
      </c>
      <c r="H8961">
        <v>1</v>
      </c>
      <c r="I8961">
        <v>177</v>
      </c>
      <c r="J8961">
        <v>0</v>
      </c>
      <c r="K8961" t="str">
        <f t="shared" si="1591"/>
        <v>813</v>
      </c>
      <c r="L8961">
        <v>148.68</v>
      </c>
    </row>
    <row r="8962" spans="1:12" x14ac:dyDescent="0.25">
      <c r="A8962" t="str">
        <f t="shared" ref="A8962:A9025" si="1593">"89301000"</f>
        <v>89301000</v>
      </c>
      <c r="B8962" t="str">
        <f t="shared" si="1587"/>
        <v>06539000</v>
      </c>
      <c r="C8962" t="str">
        <f t="shared" si="1589"/>
        <v>06539003</v>
      </c>
      <c r="D8962">
        <v>89301171</v>
      </c>
      <c r="E8962" t="str">
        <f t="shared" si="1588"/>
        <v>7502244497</v>
      </c>
      <c r="F8962" s="1">
        <v>45086</v>
      </c>
      <c r="G8962" t="str">
        <f>"91171"</f>
        <v>91171</v>
      </c>
      <c r="H8962">
        <v>1</v>
      </c>
      <c r="I8962">
        <v>362</v>
      </c>
      <c r="J8962">
        <v>0</v>
      </c>
      <c r="K8962" t="str">
        <f t="shared" si="1591"/>
        <v>813</v>
      </c>
      <c r="L8962">
        <v>304.08</v>
      </c>
    </row>
    <row r="8963" spans="1:12" x14ac:dyDescent="0.25">
      <c r="A8963" t="str">
        <f t="shared" si="1593"/>
        <v>89301000</v>
      </c>
      <c r="B8963" t="str">
        <f t="shared" si="1587"/>
        <v>06539000</v>
      </c>
      <c r="C8963" t="str">
        <f t="shared" si="1589"/>
        <v>06539003</v>
      </c>
      <c r="D8963">
        <v>89301171</v>
      </c>
      <c r="E8963" t="str">
        <f t="shared" si="1588"/>
        <v>7502244497</v>
      </c>
      <c r="F8963" s="1">
        <v>45086</v>
      </c>
      <c r="G8963" t="str">
        <f>"91173"</f>
        <v>91173</v>
      </c>
      <c r="H8963">
        <v>1</v>
      </c>
      <c r="I8963">
        <v>337</v>
      </c>
      <c r="J8963">
        <v>0</v>
      </c>
      <c r="K8963" t="str">
        <f t="shared" si="1591"/>
        <v>813</v>
      </c>
      <c r="L8963">
        <v>283.08</v>
      </c>
    </row>
    <row r="8964" spans="1:12" x14ac:dyDescent="0.25">
      <c r="A8964" t="str">
        <f t="shared" si="1593"/>
        <v>89301000</v>
      </c>
      <c r="B8964" t="str">
        <f t="shared" si="1587"/>
        <v>06539000</v>
      </c>
      <c r="C8964" t="str">
        <f t="shared" si="1589"/>
        <v>06539003</v>
      </c>
      <c r="D8964">
        <v>89301171</v>
      </c>
      <c r="E8964" t="str">
        <f t="shared" si="1588"/>
        <v>7502244497</v>
      </c>
      <c r="F8964" s="1">
        <v>45086</v>
      </c>
      <c r="G8964" t="str">
        <f>"91175"</f>
        <v>91175</v>
      </c>
      <c r="H8964">
        <v>1</v>
      </c>
      <c r="I8964">
        <v>362</v>
      </c>
      <c r="J8964">
        <v>0</v>
      </c>
      <c r="K8964" t="str">
        <f t="shared" si="1591"/>
        <v>813</v>
      </c>
      <c r="L8964">
        <v>304.08</v>
      </c>
    </row>
    <row r="8965" spans="1:12" x14ac:dyDescent="0.25">
      <c r="A8965" t="str">
        <f t="shared" si="1593"/>
        <v>89301000</v>
      </c>
      <c r="B8965" t="str">
        <f t="shared" si="1587"/>
        <v>06539000</v>
      </c>
      <c r="C8965" t="str">
        <f t="shared" si="1589"/>
        <v>06539003</v>
      </c>
      <c r="D8965">
        <v>89301171</v>
      </c>
      <c r="E8965" t="str">
        <f t="shared" si="1588"/>
        <v>7502244497</v>
      </c>
      <c r="F8965" s="1">
        <v>45087</v>
      </c>
      <c r="G8965" t="str">
        <f>"91167"</f>
        <v>91167</v>
      </c>
      <c r="H8965">
        <v>1</v>
      </c>
      <c r="I8965">
        <v>426</v>
      </c>
      <c r="J8965">
        <v>0</v>
      </c>
      <c r="K8965" t="str">
        <f t="shared" si="1591"/>
        <v>813</v>
      </c>
      <c r="L8965">
        <v>357.84</v>
      </c>
    </row>
    <row r="8966" spans="1:12" x14ac:dyDescent="0.25">
      <c r="A8966" t="str">
        <f t="shared" si="1593"/>
        <v>89301000</v>
      </c>
      <c r="B8966" t="str">
        <f t="shared" si="1587"/>
        <v>06539000</v>
      </c>
      <c r="C8966" t="str">
        <f t="shared" si="1589"/>
        <v>06539003</v>
      </c>
      <c r="D8966">
        <v>89301171</v>
      </c>
      <c r="E8966" t="str">
        <f t="shared" si="1588"/>
        <v>7502244497</v>
      </c>
      <c r="F8966" s="1">
        <v>45087</v>
      </c>
      <c r="G8966" t="str">
        <f>"91169"</f>
        <v>91169</v>
      </c>
      <c r="H8966">
        <v>1</v>
      </c>
      <c r="I8966">
        <v>426</v>
      </c>
      <c r="J8966">
        <v>0</v>
      </c>
      <c r="K8966" t="str">
        <f t="shared" si="1591"/>
        <v>813</v>
      </c>
      <c r="L8966">
        <v>357.84</v>
      </c>
    </row>
    <row r="8967" spans="1:12" x14ac:dyDescent="0.25">
      <c r="A8967" t="str">
        <f t="shared" si="1593"/>
        <v>89301000</v>
      </c>
      <c r="B8967" t="str">
        <f t="shared" si="1587"/>
        <v>06539000</v>
      </c>
      <c r="C8967" t="str">
        <f t="shared" si="1589"/>
        <v>06539003</v>
      </c>
      <c r="D8967">
        <v>89301171</v>
      </c>
      <c r="E8967" t="str">
        <f t="shared" si="1588"/>
        <v>7502244497</v>
      </c>
      <c r="F8967" s="1">
        <v>45086</v>
      </c>
      <c r="G8967" t="str">
        <f>"91167"</f>
        <v>91167</v>
      </c>
      <c r="H8967">
        <v>1</v>
      </c>
      <c r="I8967">
        <v>426</v>
      </c>
      <c r="J8967">
        <v>0</v>
      </c>
      <c r="K8967" t="str">
        <f t="shared" si="1591"/>
        <v>813</v>
      </c>
      <c r="L8967">
        <v>357.84</v>
      </c>
    </row>
    <row r="8968" spans="1:12" x14ac:dyDescent="0.25">
      <c r="A8968" t="str">
        <f t="shared" si="1593"/>
        <v>89301000</v>
      </c>
      <c r="B8968" t="str">
        <f t="shared" si="1587"/>
        <v>06539000</v>
      </c>
      <c r="C8968" t="str">
        <f t="shared" si="1589"/>
        <v>06539003</v>
      </c>
      <c r="D8968">
        <v>89301171</v>
      </c>
      <c r="E8968" t="str">
        <f t="shared" si="1588"/>
        <v>7502244497</v>
      </c>
      <c r="F8968" s="1">
        <v>45086</v>
      </c>
      <c r="G8968" t="str">
        <f>"91169"</f>
        <v>91169</v>
      </c>
      <c r="H8968">
        <v>1</v>
      </c>
      <c r="I8968">
        <v>426</v>
      </c>
      <c r="J8968">
        <v>0</v>
      </c>
      <c r="K8968" t="str">
        <f t="shared" si="1591"/>
        <v>813</v>
      </c>
      <c r="L8968">
        <v>357.84</v>
      </c>
    </row>
    <row r="8969" spans="1:12" x14ac:dyDescent="0.25">
      <c r="A8969" t="str">
        <f t="shared" si="1593"/>
        <v>89301000</v>
      </c>
      <c r="B8969" t="str">
        <f t="shared" si="1587"/>
        <v>06539000</v>
      </c>
      <c r="C8969" t="str">
        <f t="shared" si="1589"/>
        <v>06539003</v>
      </c>
      <c r="D8969">
        <v>89301171</v>
      </c>
      <c r="E8969" t="str">
        <f t="shared" si="1588"/>
        <v>7502244497</v>
      </c>
      <c r="F8969" s="1">
        <v>45091</v>
      </c>
      <c r="G8969" t="str">
        <f>"91475"</f>
        <v>91475</v>
      </c>
      <c r="H8969">
        <v>1</v>
      </c>
      <c r="I8969">
        <v>213</v>
      </c>
      <c r="J8969">
        <v>0</v>
      </c>
      <c r="K8969" t="str">
        <f t="shared" si="1591"/>
        <v>813</v>
      </c>
      <c r="L8969">
        <v>178.92</v>
      </c>
    </row>
    <row r="8970" spans="1:12" x14ac:dyDescent="0.25">
      <c r="A8970" t="str">
        <f t="shared" si="1593"/>
        <v>89301000</v>
      </c>
      <c r="B8970" t="str">
        <f t="shared" si="1587"/>
        <v>06539000</v>
      </c>
      <c r="C8970" t="str">
        <f>"06539001"</f>
        <v>06539001</v>
      </c>
      <c r="D8970">
        <v>89301171</v>
      </c>
      <c r="E8970" t="str">
        <f t="shared" ref="E8970:E9011" si="1594">"8953076154"</f>
        <v>8953076154</v>
      </c>
      <c r="F8970" s="1">
        <v>45086</v>
      </c>
      <c r="G8970" t="str">
        <f>"81329"</f>
        <v>81329</v>
      </c>
      <c r="H8970">
        <v>1</v>
      </c>
      <c r="I8970">
        <v>17</v>
      </c>
      <c r="J8970">
        <v>0</v>
      </c>
      <c r="K8970" t="str">
        <f>"801"</f>
        <v>801</v>
      </c>
      <c r="L8970">
        <v>14.28</v>
      </c>
    </row>
    <row r="8971" spans="1:12" x14ac:dyDescent="0.25">
      <c r="A8971" t="str">
        <f t="shared" si="1593"/>
        <v>89301000</v>
      </c>
      <c r="B8971" t="str">
        <f t="shared" si="1587"/>
        <v>06539000</v>
      </c>
      <c r="C8971" t="str">
        <f>"06539001"</f>
        <v>06539001</v>
      </c>
      <c r="D8971">
        <v>89301171</v>
      </c>
      <c r="E8971" t="str">
        <f t="shared" si="1594"/>
        <v>8953076154</v>
      </c>
      <c r="F8971" s="1">
        <v>45086</v>
      </c>
      <c r="G8971" t="str">
        <f>"81331"</f>
        <v>81331</v>
      </c>
      <c r="H8971">
        <v>1</v>
      </c>
      <c r="I8971">
        <v>193</v>
      </c>
      <c r="J8971">
        <v>0</v>
      </c>
      <c r="K8971" t="str">
        <f>"801"</f>
        <v>801</v>
      </c>
      <c r="L8971">
        <v>162.12</v>
      </c>
    </row>
    <row r="8972" spans="1:12" x14ac:dyDescent="0.25">
      <c r="A8972" t="str">
        <f t="shared" si="1593"/>
        <v>89301000</v>
      </c>
      <c r="B8972" t="str">
        <f t="shared" si="1587"/>
        <v>06539000</v>
      </c>
      <c r="C8972" t="str">
        <f t="shared" ref="C8972:C8979" si="1595">"06539002"</f>
        <v>06539002</v>
      </c>
      <c r="D8972">
        <v>89301171</v>
      </c>
      <c r="E8972" t="str">
        <f t="shared" si="1594"/>
        <v>8953076154</v>
      </c>
      <c r="F8972" s="1">
        <v>45086</v>
      </c>
      <c r="G8972" t="str">
        <f t="shared" ref="G8972:G8979" si="1596">"82097"</f>
        <v>82097</v>
      </c>
      <c r="H8972">
        <v>1</v>
      </c>
      <c r="I8972">
        <v>381</v>
      </c>
      <c r="J8972">
        <v>0</v>
      </c>
      <c r="K8972" t="str">
        <f t="shared" ref="K8972:K8979" si="1597">"802"</f>
        <v>802</v>
      </c>
      <c r="L8972">
        <v>369.57</v>
      </c>
    </row>
    <row r="8973" spans="1:12" x14ac:dyDescent="0.25">
      <c r="A8973" t="str">
        <f t="shared" si="1593"/>
        <v>89301000</v>
      </c>
      <c r="B8973" t="str">
        <f t="shared" si="1587"/>
        <v>06539000</v>
      </c>
      <c r="C8973" t="str">
        <f t="shared" si="1595"/>
        <v>06539002</v>
      </c>
      <c r="D8973">
        <v>89301171</v>
      </c>
      <c r="E8973" t="str">
        <f t="shared" si="1594"/>
        <v>8953076154</v>
      </c>
      <c r="F8973" s="1">
        <v>45086</v>
      </c>
      <c r="G8973" t="str">
        <f t="shared" si="1596"/>
        <v>82097</v>
      </c>
      <c r="H8973">
        <v>1</v>
      </c>
      <c r="I8973">
        <v>381</v>
      </c>
      <c r="J8973">
        <v>0</v>
      </c>
      <c r="K8973" t="str">
        <f t="shared" si="1597"/>
        <v>802</v>
      </c>
      <c r="L8973">
        <v>369.57</v>
      </c>
    </row>
    <row r="8974" spans="1:12" x14ac:dyDescent="0.25">
      <c r="A8974" t="str">
        <f t="shared" si="1593"/>
        <v>89301000</v>
      </c>
      <c r="B8974" t="str">
        <f t="shared" si="1587"/>
        <v>06539000</v>
      </c>
      <c r="C8974" t="str">
        <f t="shared" si="1595"/>
        <v>06539002</v>
      </c>
      <c r="D8974">
        <v>89301171</v>
      </c>
      <c r="E8974" t="str">
        <f t="shared" si="1594"/>
        <v>8953076154</v>
      </c>
      <c r="F8974" s="1">
        <v>45086</v>
      </c>
      <c r="G8974" t="str">
        <f t="shared" si="1596"/>
        <v>82097</v>
      </c>
      <c r="H8974">
        <v>1</v>
      </c>
      <c r="I8974">
        <v>381</v>
      </c>
      <c r="J8974">
        <v>0</v>
      </c>
      <c r="K8974" t="str">
        <f t="shared" si="1597"/>
        <v>802</v>
      </c>
      <c r="L8974">
        <v>369.57</v>
      </c>
    </row>
    <row r="8975" spans="1:12" x14ac:dyDescent="0.25">
      <c r="A8975" t="str">
        <f t="shared" si="1593"/>
        <v>89301000</v>
      </c>
      <c r="B8975" t="str">
        <f t="shared" si="1587"/>
        <v>06539000</v>
      </c>
      <c r="C8975" t="str">
        <f t="shared" si="1595"/>
        <v>06539002</v>
      </c>
      <c r="D8975">
        <v>89301171</v>
      </c>
      <c r="E8975" t="str">
        <f t="shared" si="1594"/>
        <v>8953076154</v>
      </c>
      <c r="F8975" s="1">
        <v>45086</v>
      </c>
      <c r="G8975" t="str">
        <f t="shared" si="1596"/>
        <v>82097</v>
      </c>
      <c r="H8975">
        <v>1</v>
      </c>
      <c r="I8975">
        <v>381</v>
      </c>
      <c r="J8975">
        <v>0</v>
      </c>
      <c r="K8975" t="str">
        <f t="shared" si="1597"/>
        <v>802</v>
      </c>
      <c r="L8975">
        <v>369.57</v>
      </c>
    </row>
    <row r="8976" spans="1:12" x14ac:dyDescent="0.25">
      <c r="A8976" t="str">
        <f t="shared" si="1593"/>
        <v>89301000</v>
      </c>
      <c r="B8976" t="str">
        <f t="shared" si="1587"/>
        <v>06539000</v>
      </c>
      <c r="C8976" t="str">
        <f t="shared" si="1595"/>
        <v>06539002</v>
      </c>
      <c r="D8976">
        <v>89301171</v>
      </c>
      <c r="E8976" t="str">
        <f t="shared" si="1594"/>
        <v>8953076154</v>
      </c>
      <c r="F8976" s="1">
        <v>45086</v>
      </c>
      <c r="G8976" t="str">
        <f t="shared" si="1596"/>
        <v>82097</v>
      </c>
      <c r="H8976">
        <v>1</v>
      </c>
      <c r="I8976">
        <v>381</v>
      </c>
      <c r="J8976">
        <v>0</v>
      </c>
      <c r="K8976" t="str">
        <f t="shared" si="1597"/>
        <v>802</v>
      </c>
      <c r="L8976">
        <v>369.57</v>
      </c>
    </row>
    <row r="8977" spans="1:12" x14ac:dyDescent="0.25">
      <c r="A8977" t="str">
        <f t="shared" si="1593"/>
        <v>89301000</v>
      </c>
      <c r="B8977" t="str">
        <f t="shared" si="1587"/>
        <v>06539000</v>
      </c>
      <c r="C8977" t="str">
        <f t="shared" si="1595"/>
        <v>06539002</v>
      </c>
      <c r="D8977">
        <v>89301171</v>
      </c>
      <c r="E8977" t="str">
        <f t="shared" si="1594"/>
        <v>8953076154</v>
      </c>
      <c r="F8977" s="1">
        <v>45086</v>
      </c>
      <c r="G8977" t="str">
        <f t="shared" si="1596"/>
        <v>82097</v>
      </c>
      <c r="H8977">
        <v>1</v>
      </c>
      <c r="I8977">
        <v>381</v>
      </c>
      <c r="J8977">
        <v>0</v>
      </c>
      <c r="K8977" t="str">
        <f t="shared" si="1597"/>
        <v>802</v>
      </c>
      <c r="L8977">
        <v>369.57</v>
      </c>
    </row>
    <row r="8978" spans="1:12" x14ac:dyDescent="0.25">
      <c r="A8978" t="str">
        <f t="shared" si="1593"/>
        <v>89301000</v>
      </c>
      <c r="B8978" t="str">
        <f t="shared" si="1587"/>
        <v>06539000</v>
      </c>
      <c r="C8978" t="str">
        <f t="shared" si="1595"/>
        <v>06539002</v>
      </c>
      <c r="D8978">
        <v>89301171</v>
      </c>
      <c r="E8978" t="str">
        <f t="shared" si="1594"/>
        <v>8953076154</v>
      </c>
      <c r="F8978" s="1">
        <v>45086</v>
      </c>
      <c r="G8978" t="str">
        <f t="shared" si="1596"/>
        <v>82097</v>
      </c>
      <c r="H8978">
        <v>1</v>
      </c>
      <c r="I8978">
        <v>381</v>
      </c>
      <c r="J8978">
        <v>0</v>
      </c>
      <c r="K8978" t="str">
        <f t="shared" si="1597"/>
        <v>802</v>
      </c>
      <c r="L8978">
        <v>369.57</v>
      </c>
    </row>
    <row r="8979" spans="1:12" x14ac:dyDescent="0.25">
      <c r="A8979" t="str">
        <f t="shared" si="1593"/>
        <v>89301000</v>
      </c>
      <c r="B8979" t="str">
        <f t="shared" si="1587"/>
        <v>06539000</v>
      </c>
      <c r="C8979" t="str">
        <f t="shared" si="1595"/>
        <v>06539002</v>
      </c>
      <c r="D8979">
        <v>89301171</v>
      </c>
      <c r="E8979" t="str">
        <f t="shared" si="1594"/>
        <v>8953076154</v>
      </c>
      <c r="F8979" s="1">
        <v>45086</v>
      </c>
      <c r="G8979" t="str">
        <f t="shared" si="1596"/>
        <v>82097</v>
      </c>
      <c r="H8979">
        <v>1</v>
      </c>
      <c r="I8979">
        <v>381</v>
      </c>
      <c r="J8979">
        <v>0</v>
      </c>
      <c r="K8979" t="str">
        <f t="shared" si="1597"/>
        <v>802</v>
      </c>
      <c r="L8979">
        <v>369.57</v>
      </c>
    </row>
    <row r="8980" spans="1:12" x14ac:dyDescent="0.25">
      <c r="A8980" t="str">
        <f t="shared" si="1593"/>
        <v>89301000</v>
      </c>
      <c r="B8980" t="str">
        <f t="shared" si="1587"/>
        <v>06539000</v>
      </c>
      <c r="C8980" t="str">
        <f t="shared" ref="C8980:C9011" si="1598">"06539003"</f>
        <v>06539003</v>
      </c>
      <c r="D8980">
        <v>89301171</v>
      </c>
      <c r="E8980" t="str">
        <f t="shared" si="1594"/>
        <v>8953076154</v>
      </c>
      <c r="F8980" s="1">
        <v>45089</v>
      </c>
      <c r="G8980" t="str">
        <f t="shared" ref="G8980:G8989" si="1599">"91413"</f>
        <v>91413</v>
      </c>
      <c r="H8980">
        <v>1</v>
      </c>
      <c r="I8980">
        <v>868</v>
      </c>
      <c r="J8980">
        <v>0</v>
      </c>
      <c r="K8980" t="str">
        <f t="shared" ref="K8980:K9011" si="1600">"813"</f>
        <v>813</v>
      </c>
      <c r="L8980">
        <v>729.12</v>
      </c>
    </row>
    <row r="8981" spans="1:12" x14ac:dyDescent="0.25">
      <c r="A8981" t="str">
        <f t="shared" si="1593"/>
        <v>89301000</v>
      </c>
      <c r="B8981" t="str">
        <f t="shared" si="1587"/>
        <v>06539000</v>
      </c>
      <c r="C8981" t="str">
        <f t="shared" si="1598"/>
        <v>06539003</v>
      </c>
      <c r="D8981">
        <v>89301171</v>
      </c>
      <c r="E8981" t="str">
        <f t="shared" si="1594"/>
        <v>8953076154</v>
      </c>
      <c r="F8981" s="1">
        <v>45089</v>
      </c>
      <c r="G8981" t="str">
        <f t="shared" si="1599"/>
        <v>91413</v>
      </c>
      <c r="H8981">
        <v>1</v>
      </c>
      <c r="I8981">
        <v>868</v>
      </c>
      <c r="J8981">
        <v>0</v>
      </c>
      <c r="K8981" t="str">
        <f t="shared" si="1600"/>
        <v>813</v>
      </c>
      <c r="L8981">
        <v>729.12</v>
      </c>
    </row>
    <row r="8982" spans="1:12" x14ac:dyDescent="0.25">
      <c r="A8982" t="str">
        <f t="shared" si="1593"/>
        <v>89301000</v>
      </c>
      <c r="B8982" t="str">
        <f t="shared" si="1587"/>
        <v>06539000</v>
      </c>
      <c r="C8982" t="str">
        <f t="shared" si="1598"/>
        <v>06539003</v>
      </c>
      <c r="D8982">
        <v>89301171</v>
      </c>
      <c r="E8982" t="str">
        <f t="shared" si="1594"/>
        <v>8953076154</v>
      </c>
      <c r="F8982" s="1">
        <v>45110</v>
      </c>
      <c r="G8982" t="str">
        <f t="shared" si="1599"/>
        <v>91413</v>
      </c>
      <c r="H8982">
        <v>1</v>
      </c>
      <c r="I8982">
        <v>868</v>
      </c>
      <c r="J8982">
        <v>0</v>
      </c>
      <c r="K8982" t="str">
        <f t="shared" si="1600"/>
        <v>813</v>
      </c>
      <c r="L8982">
        <v>729.12</v>
      </c>
    </row>
    <row r="8983" spans="1:12" x14ac:dyDescent="0.25">
      <c r="A8983" t="str">
        <f t="shared" si="1593"/>
        <v>89301000</v>
      </c>
      <c r="B8983" t="str">
        <f t="shared" si="1587"/>
        <v>06539000</v>
      </c>
      <c r="C8983" t="str">
        <f t="shared" si="1598"/>
        <v>06539003</v>
      </c>
      <c r="D8983">
        <v>89301171</v>
      </c>
      <c r="E8983" t="str">
        <f t="shared" si="1594"/>
        <v>8953076154</v>
      </c>
      <c r="F8983" s="1">
        <v>45110</v>
      </c>
      <c r="G8983" t="str">
        <f t="shared" si="1599"/>
        <v>91413</v>
      </c>
      <c r="H8983">
        <v>1</v>
      </c>
      <c r="I8983">
        <v>868</v>
      </c>
      <c r="J8983">
        <v>0</v>
      </c>
      <c r="K8983" t="str">
        <f t="shared" si="1600"/>
        <v>813</v>
      </c>
      <c r="L8983">
        <v>729.12</v>
      </c>
    </row>
    <row r="8984" spans="1:12" x14ac:dyDescent="0.25">
      <c r="A8984" t="str">
        <f t="shared" si="1593"/>
        <v>89301000</v>
      </c>
      <c r="B8984" t="str">
        <f t="shared" si="1587"/>
        <v>06539000</v>
      </c>
      <c r="C8984" t="str">
        <f t="shared" si="1598"/>
        <v>06539003</v>
      </c>
      <c r="D8984">
        <v>89301171</v>
      </c>
      <c r="E8984" t="str">
        <f t="shared" si="1594"/>
        <v>8953076154</v>
      </c>
      <c r="F8984" s="1">
        <v>45111</v>
      </c>
      <c r="G8984" t="str">
        <f t="shared" si="1599"/>
        <v>91413</v>
      </c>
      <c r="H8984">
        <v>1</v>
      </c>
      <c r="I8984">
        <v>868</v>
      </c>
      <c r="J8984">
        <v>0</v>
      </c>
      <c r="K8984" t="str">
        <f t="shared" si="1600"/>
        <v>813</v>
      </c>
      <c r="L8984">
        <v>729.12</v>
      </c>
    </row>
    <row r="8985" spans="1:12" x14ac:dyDescent="0.25">
      <c r="A8985" t="str">
        <f t="shared" si="1593"/>
        <v>89301000</v>
      </c>
      <c r="B8985" t="str">
        <f t="shared" si="1587"/>
        <v>06539000</v>
      </c>
      <c r="C8985" t="str">
        <f t="shared" si="1598"/>
        <v>06539003</v>
      </c>
      <c r="D8985">
        <v>89301171</v>
      </c>
      <c r="E8985" t="str">
        <f t="shared" si="1594"/>
        <v>8953076154</v>
      </c>
      <c r="F8985" s="1">
        <v>45111</v>
      </c>
      <c r="G8985" t="str">
        <f t="shared" si="1599"/>
        <v>91413</v>
      </c>
      <c r="H8985">
        <v>1</v>
      </c>
      <c r="I8985">
        <v>868</v>
      </c>
      <c r="J8985">
        <v>0</v>
      </c>
      <c r="K8985" t="str">
        <f t="shared" si="1600"/>
        <v>813</v>
      </c>
      <c r="L8985">
        <v>729.12</v>
      </c>
    </row>
    <row r="8986" spans="1:12" x14ac:dyDescent="0.25">
      <c r="A8986" t="str">
        <f t="shared" si="1593"/>
        <v>89301000</v>
      </c>
      <c r="B8986" t="str">
        <f t="shared" si="1587"/>
        <v>06539000</v>
      </c>
      <c r="C8986" t="str">
        <f t="shared" si="1598"/>
        <v>06539003</v>
      </c>
      <c r="D8986">
        <v>89301171</v>
      </c>
      <c r="E8986" t="str">
        <f t="shared" si="1594"/>
        <v>8953076154</v>
      </c>
      <c r="F8986" s="1">
        <v>45110</v>
      </c>
      <c r="G8986" t="str">
        <f t="shared" si="1599"/>
        <v>91413</v>
      </c>
      <c r="H8986">
        <v>1</v>
      </c>
      <c r="I8986">
        <v>868</v>
      </c>
      <c r="J8986">
        <v>0</v>
      </c>
      <c r="K8986" t="str">
        <f t="shared" si="1600"/>
        <v>813</v>
      </c>
      <c r="L8986">
        <v>729.12</v>
      </c>
    </row>
    <row r="8987" spans="1:12" x14ac:dyDescent="0.25">
      <c r="A8987" t="str">
        <f t="shared" si="1593"/>
        <v>89301000</v>
      </c>
      <c r="B8987" t="str">
        <f t="shared" si="1587"/>
        <v>06539000</v>
      </c>
      <c r="C8987" t="str">
        <f t="shared" si="1598"/>
        <v>06539003</v>
      </c>
      <c r="D8987">
        <v>89301171</v>
      </c>
      <c r="E8987" t="str">
        <f t="shared" si="1594"/>
        <v>8953076154</v>
      </c>
      <c r="F8987" s="1">
        <v>45110</v>
      </c>
      <c r="G8987" t="str">
        <f t="shared" si="1599"/>
        <v>91413</v>
      </c>
      <c r="H8987">
        <v>1</v>
      </c>
      <c r="I8987">
        <v>868</v>
      </c>
      <c r="J8987">
        <v>0</v>
      </c>
      <c r="K8987" t="str">
        <f t="shared" si="1600"/>
        <v>813</v>
      </c>
      <c r="L8987">
        <v>729.12</v>
      </c>
    </row>
    <row r="8988" spans="1:12" x14ac:dyDescent="0.25">
      <c r="A8988" t="str">
        <f t="shared" si="1593"/>
        <v>89301000</v>
      </c>
      <c r="B8988" t="str">
        <f t="shared" si="1587"/>
        <v>06539000</v>
      </c>
      <c r="C8988" t="str">
        <f t="shared" si="1598"/>
        <v>06539003</v>
      </c>
      <c r="D8988">
        <v>89301171</v>
      </c>
      <c r="E8988" t="str">
        <f t="shared" si="1594"/>
        <v>8953076154</v>
      </c>
      <c r="F8988" s="1">
        <v>45110</v>
      </c>
      <c r="G8988" t="str">
        <f t="shared" si="1599"/>
        <v>91413</v>
      </c>
      <c r="H8988">
        <v>1</v>
      </c>
      <c r="I8988">
        <v>868</v>
      </c>
      <c r="J8988">
        <v>0</v>
      </c>
      <c r="K8988" t="str">
        <f t="shared" si="1600"/>
        <v>813</v>
      </c>
      <c r="L8988">
        <v>729.12</v>
      </c>
    </row>
    <row r="8989" spans="1:12" x14ac:dyDescent="0.25">
      <c r="A8989" t="str">
        <f t="shared" si="1593"/>
        <v>89301000</v>
      </c>
      <c r="B8989" t="str">
        <f t="shared" si="1587"/>
        <v>06539000</v>
      </c>
      <c r="C8989" t="str">
        <f t="shared" si="1598"/>
        <v>06539003</v>
      </c>
      <c r="D8989">
        <v>89301171</v>
      </c>
      <c r="E8989" t="str">
        <f t="shared" si="1594"/>
        <v>8953076154</v>
      </c>
      <c r="F8989" s="1">
        <v>45110</v>
      </c>
      <c r="G8989" t="str">
        <f t="shared" si="1599"/>
        <v>91413</v>
      </c>
      <c r="H8989">
        <v>1</v>
      </c>
      <c r="I8989">
        <v>868</v>
      </c>
      <c r="J8989">
        <v>0</v>
      </c>
      <c r="K8989" t="str">
        <f t="shared" si="1600"/>
        <v>813</v>
      </c>
      <c r="L8989">
        <v>729.12</v>
      </c>
    </row>
    <row r="8990" spans="1:12" x14ac:dyDescent="0.25">
      <c r="A8990" t="str">
        <f t="shared" si="1593"/>
        <v>89301000</v>
      </c>
      <c r="B8990" t="str">
        <f t="shared" si="1587"/>
        <v>06539000</v>
      </c>
      <c r="C8990" t="str">
        <f t="shared" si="1598"/>
        <v>06539003</v>
      </c>
      <c r="D8990">
        <v>89301171</v>
      </c>
      <c r="E8990" t="str">
        <f t="shared" si="1594"/>
        <v>8953076154</v>
      </c>
      <c r="F8990" s="1">
        <v>45086</v>
      </c>
      <c r="G8990" t="str">
        <f t="shared" ref="G8990:G8996" si="1601">"91197"</f>
        <v>91197</v>
      </c>
      <c r="H8990">
        <v>1</v>
      </c>
      <c r="I8990">
        <v>1048</v>
      </c>
      <c r="J8990">
        <v>0</v>
      </c>
      <c r="K8990" t="str">
        <f t="shared" si="1600"/>
        <v>813</v>
      </c>
      <c r="L8990">
        <v>880.32</v>
      </c>
    </row>
    <row r="8991" spans="1:12" x14ac:dyDescent="0.25">
      <c r="A8991" t="str">
        <f t="shared" si="1593"/>
        <v>89301000</v>
      </c>
      <c r="B8991" t="str">
        <f t="shared" si="1587"/>
        <v>06539000</v>
      </c>
      <c r="C8991" t="str">
        <f t="shared" si="1598"/>
        <v>06539003</v>
      </c>
      <c r="D8991">
        <v>89301171</v>
      </c>
      <c r="E8991" t="str">
        <f t="shared" si="1594"/>
        <v>8953076154</v>
      </c>
      <c r="F8991" s="1">
        <v>45089</v>
      </c>
      <c r="G8991" t="str">
        <f t="shared" si="1601"/>
        <v>91197</v>
      </c>
      <c r="H8991">
        <v>1</v>
      </c>
      <c r="I8991">
        <v>1048</v>
      </c>
      <c r="J8991">
        <v>0</v>
      </c>
      <c r="K8991" t="str">
        <f t="shared" si="1600"/>
        <v>813</v>
      </c>
      <c r="L8991">
        <v>880.32</v>
      </c>
    </row>
    <row r="8992" spans="1:12" x14ac:dyDescent="0.25">
      <c r="A8992" t="str">
        <f t="shared" si="1593"/>
        <v>89301000</v>
      </c>
      <c r="B8992" t="str">
        <f t="shared" si="1587"/>
        <v>06539000</v>
      </c>
      <c r="C8992" t="str">
        <f t="shared" si="1598"/>
        <v>06539003</v>
      </c>
      <c r="D8992">
        <v>89301171</v>
      </c>
      <c r="E8992" t="str">
        <f t="shared" si="1594"/>
        <v>8953076154</v>
      </c>
      <c r="F8992" s="1">
        <v>45089</v>
      </c>
      <c r="G8992" t="str">
        <f t="shared" si="1601"/>
        <v>91197</v>
      </c>
      <c r="H8992">
        <v>1</v>
      </c>
      <c r="I8992">
        <v>1048</v>
      </c>
      <c r="J8992">
        <v>0</v>
      </c>
      <c r="K8992" t="str">
        <f t="shared" si="1600"/>
        <v>813</v>
      </c>
      <c r="L8992">
        <v>880.32</v>
      </c>
    </row>
    <row r="8993" spans="1:12" x14ac:dyDescent="0.25">
      <c r="A8993" t="str">
        <f t="shared" si="1593"/>
        <v>89301000</v>
      </c>
      <c r="B8993" t="str">
        <f t="shared" si="1587"/>
        <v>06539000</v>
      </c>
      <c r="C8993" t="str">
        <f t="shared" si="1598"/>
        <v>06539003</v>
      </c>
      <c r="D8993">
        <v>89301171</v>
      </c>
      <c r="E8993" t="str">
        <f t="shared" si="1594"/>
        <v>8953076154</v>
      </c>
      <c r="F8993" s="1">
        <v>45088</v>
      </c>
      <c r="G8993" t="str">
        <f t="shared" si="1601"/>
        <v>91197</v>
      </c>
      <c r="H8993">
        <v>1</v>
      </c>
      <c r="I8993">
        <v>1048</v>
      </c>
      <c r="J8993">
        <v>0</v>
      </c>
      <c r="K8993" t="str">
        <f t="shared" si="1600"/>
        <v>813</v>
      </c>
      <c r="L8993">
        <v>880.32</v>
      </c>
    </row>
    <row r="8994" spans="1:12" x14ac:dyDescent="0.25">
      <c r="A8994" t="str">
        <f t="shared" si="1593"/>
        <v>89301000</v>
      </c>
      <c r="B8994" t="str">
        <f t="shared" si="1587"/>
        <v>06539000</v>
      </c>
      <c r="C8994" t="str">
        <f t="shared" si="1598"/>
        <v>06539003</v>
      </c>
      <c r="D8994">
        <v>89301171</v>
      </c>
      <c r="E8994" t="str">
        <f t="shared" si="1594"/>
        <v>8953076154</v>
      </c>
      <c r="F8994" s="1">
        <v>45088</v>
      </c>
      <c r="G8994" t="str">
        <f t="shared" si="1601"/>
        <v>91197</v>
      </c>
      <c r="H8994">
        <v>1</v>
      </c>
      <c r="I8994">
        <v>1048</v>
      </c>
      <c r="J8994">
        <v>0</v>
      </c>
      <c r="K8994" t="str">
        <f t="shared" si="1600"/>
        <v>813</v>
      </c>
      <c r="L8994">
        <v>880.32</v>
      </c>
    </row>
    <row r="8995" spans="1:12" x14ac:dyDescent="0.25">
      <c r="A8995" t="str">
        <f t="shared" si="1593"/>
        <v>89301000</v>
      </c>
      <c r="B8995" t="str">
        <f t="shared" si="1587"/>
        <v>06539000</v>
      </c>
      <c r="C8995" t="str">
        <f t="shared" si="1598"/>
        <v>06539003</v>
      </c>
      <c r="D8995">
        <v>89301171</v>
      </c>
      <c r="E8995" t="str">
        <f t="shared" si="1594"/>
        <v>8953076154</v>
      </c>
      <c r="F8995" s="1">
        <v>45087</v>
      </c>
      <c r="G8995" t="str">
        <f t="shared" si="1601"/>
        <v>91197</v>
      </c>
      <c r="H8995">
        <v>1</v>
      </c>
      <c r="I8995">
        <v>1048</v>
      </c>
      <c r="J8995">
        <v>0</v>
      </c>
      <c r="K8995" t="str">
        <f t="shared" si="1600"/>
        <v>813</v>
      </c>
      <c r="L8995">
        <v>880.32</v>
      </c>
    </row>
    <row r="8996" spans="1:12" x14ac:dyDescent="0.25">
      <c r="A8996" t="str">
        <f t="shared" si="1593"/>
        <v>89301000</v>
      </c>
      <c r="B8996" t="str">
        <f t="shared" si="1587"/>
        <v>06539000</v>
      </c>
      <c r="C8996" t="str">
        <f t="shared" si="1598"/>
        <v>06539003</v>
      </c>
      <c r="D8996">
        <v>89301171</v>
      </c>
      <c r="E8996" t="str">
        <f t="shared" si="1594"/>
        <v>8953076154</v>
      </c>
      <c r="F8996" s="1">
        <v>45087</v>
      </c>
      <c r="G8996" t="str">
        <f t="shared" si="1601"/>
        <v>91197</v>
      </c>
      <c r="H8996">
        <v>1</v>
      </c>
      <c r="I8996">
        <v>1048</v>
      </c>
      <c r="J8996">
        <v>0</v>
      </c>
      <c r="K8996" t="str">
        <f t="shared" si="1600"/>
        <v>813</v>
      </c>
      <c r="L8996">
        <v>880.32</v>
      </c>
    </row>
    <row r="8997" spans="1:12" x14ac:dyDescent="0.25">
      <c r="A8997" t="str">
        <f t="shared" si="1593"/>
        <v>89301000</v>
      </c>
      <c r="B8997" t="str">
        <f t="shared" si="1587"/>
        <v>06539000</v>
      </c>
      <c r="C8997" t="str">
        <f t="shared" si="1598"/>
        <v>06539003</v>
      </c>
      <c r="D8997">
        <v>89301171</v>
      </c>
      <c r="E8997" t="str">
        <f t="shared" si="1594"/>
        <v>8953076154</v>
      </c>
      <c r="F8997" s="1">
        <v>45090</v>
      </c>
      <c r="G8997" t="str">
        <f>"91329"</f>
        <v>91329</v>
      </c>
      <c r="H8997">
        <v>2</v>
      </c>
      <c r="I8997">
        <v>436</v>
      </c>
      <c r="J8997">
        <v>0</v>
      </c>
      <c r="K8997" t="str">
        <f t="shared" si="1600"/>
        <v>813</v>
      </c>
      <c r="L8997">
        <v>366.24</v>
      </c>
    </row>
    <row r="8998" spans="1:12" x14ac:dyDescent="0.25">
      <c r="A8998" t="str">
        <f t="shared" si="1593"/>
        <v>89301000</v>
      </c>
      <c r="B8998" t="str">
        <f t="shared" si="1587"/>
        <v>06539000</v>
      </c>
      <c r="C8998" t="str">
        <f t="shared" si="1598"/>
        <v>06539003</v>
      </c>
      <c r="D8998">
        <v>89301171</v>
      </c>
      <c r="E8998" t="str">
        <f t="shared" si="1594"/>
        <v>8953076154</v>
      </c>
      <c r="F8998" s="1">
        <v>45090</v>
      </c>
      <c r="G8998" t="str">
        <f>"91329"</f>
        <v>91329</v>
      </c>
      <c r="H8998">
        <v>2</v>
      </c>
      <c r="I8998">
        <v>436</v>
      </c>
      <c r="J8998">
        <v>0</v>
      </c>
      <c r="K8998" t="str">
        <f t="shared" si="1600"/>
        <v>813</v>
      </c>
      <c r="L8998">
        <v>366.24</v>
      </c>
    </row>
    <row r="8999" spans="1:12" x14ac:dyDescent="0.25">
      <c r="A8999" t="str">
        <f t="shared" si="1593"/>
        <v>89301000</v>
      </c>
      <c r="B8999" t="str">
        <f t="shared" si="1587"/>
        <v>06539000</v>
      </c>
      <c r="C8999" t="str">
        <f t="shared" si="1598"/>
        <v>06539003</v>
      </c>
      <c r="D8999">
        <v>89301171</v>
      </c>
      <c r="E8999" t="str">
        <f t="shared" si="1594"/>
        <v>8953076154</v>
      </c>
      <c r="F8999" s="1">
        <v>45090</v>
      </c>
      <c r="G8999" t="str">
        <f>"91329"</f>
        <v>91329</v>
      </c>
      <c r="H8999">
        <v>2</v>
      </c>
      <c r="I8999">
        <v>436</v>
      </c>
      <c r="J8999">
        <v>0</v>
      </c>
      <c r="K8999" t="str">
        <f t="shared" si="1600"/>
        <v>813</v>
      </c>
      <c r="L8999">
        <v>366.24</v>
      </c>
    </row>
    <row r="9000" spans="1:12" x14ac:dyDescent="0.25">
      <c r="A9000" t="str">
        <f t="shared" si="1593"/>
        <v>89301000</v>
      </c>
      <c r="B9000" t="str">
        <f t="shared" si="1587"/>
        <v>06539000</v>
      </c>
      <c r="C9000" t="str">
        <f t="shared" si="1598"/>
        <v>06539003</v>
      </c>
      <c r="D9000">
        <v>89301171</v>
      </c>
      <c r="E9000" t="str">
        <f t="shared" si="1594"/>
        <v>8953076154</v>
      </c>
      <c r="F9000" s="1">
        <v>45090</v>
      </c>
      <c r="G9000" t="str">
        <f>"91329"</f>
        <v>91329</v>
      </c>
      <c r="H9000">
        <v>2</v>
      </c>
      <c r="I9000">
        <v>436</v>
      </c>
      <c r="J9000">
        <v>0</v>
      </c>
      <c r="K9000" t="str">
        <f t="shared" si="1600"/>
        <v>813</v>
      </c>
      <c r="L9000">
        <v>366.24</v>
      </c>
    </row>
    <row r="9001" spans="1:12" x14ac:dyDescent="0.25">
      <c r="A9001" t="str">
        <f t="shared" si="1593"/>
        <v>89301000</v>
      </c>
      <c r="B9001" t="str">
        <f t="shared" si="1587"/>
        <v>06539000</v>
      </c>
      <c r="C9001" t="str">
        <f t="shared" si="1598"/>
        <v>06539003</v>
      </c>
      <c r="D9001">
        <v>89301171</v>
      </c>
      <c r="E9001" t="str">
        <f t="shared" si="1594"/>
        <v>8953076154</v>
      </c>
      <c r="F9001" s="1">
        <v>45086</v>
      </c>
      <c r="G9001" t="str">
        <f>"91129"</f>
        <v>91129</v>
      </c>
      <c r="H9001">
        <v>1</v>
      </c>
      <c r="I9001">
        <v>175</v>
      </c>
      <c r="J9001">
        <v>0</v>
      </c>
      <c r="K9001" t="str">
        <f t="shared" si="1600"/>
        <v>813</v>
      </c>
      <c r="L9001">
        <v>147</v>
      </c>
    </row>
    <row r="9002" spans="1:12" x14ac:dyDescent="0.25">
      <c r="A9002" t="str">
        <f t="shared" si="1593"/>
        <v>89301000</v>
      </c>
      <c r="B9002" t="str">
        <f t="shared" si="1587"/>
        <v>06539000</v>
      </c>
      <c r="C9002" t="str">
        <f t="shared" si="1598"/>
        <v>06539003</v>
      </c>
      <c r="D9002">
        <v>89301171</v>
      </c>
      <c r="E9002" t="str">
        <f t="shared" si="1594"/>
        <v>8953076154</v>
      </c>
      <c r="F9002" s="1">
        <v>45086</v>
      </c>
      <c r="G9002" t="str">
        <f>"91131"</f>
        <v>91131</v>
      </c>
      <c r="H9002">
        <v>1</v>
      </c>
      <c r="I9002">
        <v>171</v>
      </c>
      <c r="J9002">
        <v>0</v>
      </c>
      <c r="K9002" t="str">
        <f t="shared" si="1600"/>
        <v>813</v>
      </c>
      <c r="L9002">
        <v>143.63999999999999</v>
      </c>
    </row>
    <row r="9003" spans="1:12" x14ac:dyDescent="0.25">
      <c r="A9003" t="str">
        <f t="shared" si="1593"/>
        <v>89301000</v>
      </c>
      <c r="B9003" t="str">
        <f t="shared" si="1587"/>
        <v>06539000</v>
      </c>
      <c r="C9003" t="str">
        <f t="shared" si="1598"/>
        <v>06539003</v>
      </c>
      <c r="D9003">
        <v>89301171</v>
      </c>
      <c r="E9003" t="str">
        <f t="shared" si="1594"/>
        <v>8953076154</v>
      </c>
      <c r="F9003" s="1">
        <v>45086</v>
      </c>
      <c r="G9003" t="str">
        <f>"91133"</f>
        <v>91133</v>
      </c>
      <c r="H9003">
        <v>1</v>
      </c>
      <c r="I9003">
        <v>177</v>
      </c>
      <c r="J9003">
        <v>0</v>
      </c>
      <c r="K9003" t="str">
        <f t="shared" si="1600"/>
        <v>813</v>
      </c>
      <c r="L9003">
        <v>148.68</v>
      </c>
    </row>
    <row r="9004" spans="1:12" x14ac:dyDescent="0.25">
      <c r="A9004" t="str">
        <f t="shared" si="1593"/>
        <v>89301000</v>
      </c>
      <c r="B9004" t="str">
        <f t="shared" si="1587"/>
        <v>06539000</v>
      </c>
      <c r="C9004" t="str">
        <f t="shared" si="1598"/>
        <v>06539003</v>
      </c>
      <c r="D9004">
        <v>89301171</v>
      </c>
      <c r="E9004" t="str">
        <f t="shared" si="1594"/>
        <v>8953076154</v>
      </c>
      <c r="F9004" s="1">
        <v>45086</v>
      </c>
      <c r="G9004" t="str">
        <f>"91171"</f>
        <v>91171</v>
      </c>
      <c r="H9004">
        <v>1</v>
      </c>
      <c r="I9004">
        <v>362</v>
      </c>
      <c r="J9004">
        <v>0</v>
      </c>
      <c r="K9004" t="str">
        <f t="shared" si="1600"/>
        <v>813</v>
      </c>
      <c r="L9004">
        <v>304.08</v>
      </c>
    </row>
    <row r="9005" spans="1:12" x14ac:dyDescent="0.25">
      <c r="A9005" t="str">
        <f t="shared" si="1593"/>
        <v>89301000</v>
      </c>
      <c r="B9005" t="str">
        <f t="shared" ref="B9005:B9068" si="1602">"06539000"</f>
        <v>06539000</v>
      </c>
      <c r="C9005" t="str">
        <f t="shared" si="1598"/>
        <v>06539003</v>
      </c>
      <c r="D9005">
        <v>89301171</v>
      </c>
      <c r="E9005" t="str">
        <f t="shared" si="1594"/>
        <v>8953076154</v>
      </c>
      <c r="F9005" s="1">
        <v>45086</v>
      </c>
      <c r="G9005" t="str">
        <f>"91173"</f>
        <v>91173</v>
      </c>
      <c r="H9005">
        <v>1</v>
      </c>
      <c r="I9005">
        <v>337</v>
      </c>
      <c r="J9005">
        <v>0</v>
      </c>
      <c r="K9005" t="str">
        <f t="shared" si="1600"/>
        <v>813</v>
      </c>
      <c r="L9005">
        <v>283.08</v>
      </c>
    </row>
    <row r="9006" spans="1:12" x14ac:dyDescent="0.25">
      <c r="A9006" t="str">
        <f t="shared" si="1593"/>
        <v>89301000</v>
      </c>
      <c r="B9006" t="str">
        <f t="shared" si="1602"/>
        <v>06539000</v>
      </c>
      <c r="C9006" t="str">
        <f t="shared" si="1598"/>
        <v>06539003</v>
      </c>
      <c r="D9006">
        <v>89301171</v>
      </c>
      <c r="E9006" t="str">
        <f t="shared" si="1594"/>
        <v>8953076154</v>
      </c>
      <c r="F9006" s="1">
        <v>45086</v>
      </c>
      <c r="G9006" t="str">
        <f>"91175"</f>
        <v>91175</v>
      </c>
      <c r="H9006">
        <v>1</v>
      </c>
      <c r="I9006">
        <v>362</v>
      </c>
      <c r="J9006">
        <v>0</v>
      </c>
      <c r="K9006" t="str">
        <f t="shared" si="1600"/>
        <v>813</v>
      </c>
      <c r="L9006">
        <v>304.08</v>
      </c>
    </row>
    <row r="9007" spans="1:12" x14ac:dyDescent="0.25">
      <c r="A9007" t="str">
        <f t="shared" si="1593"/>
        <v>89301000</v>
      </c>
      <c r="B9007" t="str">
        <f t="shared" si="1602"/>
        <v>06539000</v>
      </c>
      <c r="C9007" t="str">
        <f t="shared" si="1598"/>
        <v>06539003</v>
      </c>
      <c r="D9007">
        <v>89301171</v>
      </c>
      <c r="E9007" t="str">
        <f t="shared" si="1594"/>
        <v>8953076154</v>
      </c>
      <c r="F9007" s="1">
        <v>45087</v>
      </c>
      <c r="G9007" t="str">
        <f>"91167"</f>
        <v>91167</v>
      </c>
      <c r="H9007">
        <v>1</v>
      </c>
      <c r="I9007">
        <v>426</v>
      </c>
      <c r="J9007">
        <v>0</v>
      </c>
      <c r="K9007" t="str">
        <f t="shared" si="1600"/>
        <v>813</v>
      </c>
      <c r="L9007">
        <v>357.84</v>
      </c>
    </row>
    <row r="9008" spans="1:12" x14ac:dyDescent="0.25">
      <c r="A9008" t="str">
        <f t="shared" si="1593"/>
        <v>89301000</v>
      </c>
      <c r="B9008" t="str">
        <f t="shared" si="1602"/>
        <v>06539000</v>
      </c>
      <c r="C9008" t="str">
        <f t="shared" si="1598"/>
        <v>06539003</v>
      </c>
      <c r="D9008">
        <v>89301171</v>
      </c>
      <c r="E9008" t="str">
        <f t="shared" si="1594"/>
        <v>8953076154</v>
      </c>
      <c r="F9008" s="1">
        <v>45087</v>
      </c>
      <c r="G9008" t="str">
        <f>"91169"</f>
        <v>91169</v>
      </c>
      <c r="H9008">
        <v>1</v>
      </c>
      <c r="I9008">
        <v>426</v>
      </c>
      <c r="J9008">
        <v>0</v>
      </c>
      <c r="K9008" t="str">
        <f t="shared" si="1600"/>
        <v>813</v>
      </c>
      <c r="L9008">
        <v>357.84</v>
      </c>
    </row>
    <row r="9009" spans="1:12" x14ac:dyDescent="0.25">
      <c r="A9009" t="str">
        <f t="shared" si="1593"/>
        <v>89301000</v>
      </c>
      <c r="B9009" t="str">
        <f t="shared" si="1602"/>
        <v>06539000</v>
      </c>
      <c r="C9009" t="str">
        <f t="shared" si="1598"/>
        <v>06539003</v>
      </c>
      <c r="D9009">
        <v>89301171</v>
      </c>
      <c r="E9009" t="str">
        <f t="shared" si="1594"/>
        <v>8953076154</v>
      </c>
      <c r="F9009" s="1">
        <v>45086</v>
      </c>
      <c r="G9009" t="str">
        <f>"91167"</f>
        <v>91167</v>
      </c>
      <c r="H9009">
        <v>1</v>
      </c>
      <c r="I9009">
        <v>426</v>
      </c>
      <c r="J9009">
        <v>0</v>
      </c>
      <c r="K9009" t="str">
        <f t="shared" si="1600"/>
        <v>813</v>
      </c>
      <c r="L9009">
        <v>357.84</v>
      </c>
    </row>
    <row r="9010" spans="1:12" x14ac:dyDescent="0.25">
      <c r="A9010" t="str">
        <f t="shared" si="1593"/>
        <v>89301000</v>
      </c>
      <c r="B9010" t="str">
        <f t="shared" si="1602"/>
        <v>06539000</v>
      </c>
      <c r="C9010" t="str">
        <f t="shared" si="1598"/>
        <v>06539003</v>
      </c>
      <c r="D9010">
        <v>89301171</v>
      </c>
      <c r="E9010" t="str">
        <f t="shared" si="1594"/>
        <v>8953076154</v>
      </c>
      <c r="F9010" s="1">
        <v>45086</v>
      </c>
      <c r="G9010" t="str">
        <f>"91169"</f>
        <v>91169</v>
      </c>
      <c r="H9010">
        <v>1</v>
      </c>
      <c r="I9010">
        <v>426</v>
      </c>
      <c r="J9010">
        <v>0</v>
      </c>
      <c r="K9010" t="str">
        <f t="shared" si="1600"/>
        <v>813</v>
      </c>
      <c r="L9010">
        <v>357.84</v>
      </c>
    </row>
    <row r="9011" spans="1:12" x14ac:dyDescent="0.25">
      <c r="A9011" t="str">
        <f t="shared" si="1593"/>
        <v>89301000</v>
      </c>
      <c r="B9011" t="str">
        <f t="shared" si="1602"/>
        <v>06539000</v>
      </c>
      <c r="C9011" t="str">
        <f t="shared" si="1598"/>
        <v>06539003</v>
      </c>
      <c r="D9011">
        <v>89301171</v>
      </c>
      <c r="E9011" t="str">
        <f t="shared" si="1594"/>
        <v>8953076154</v>
      </c>
      <c r="F9011" s="1">
        <v>45091</v>
      </c>
      <c r="G9011" t="str">
        <f>"91475"</f>
        <v>91475</v>
      </c>
      <c r="H9011">
        <v>1</v>
      </c>
      <c r="I9011">
        <v>213</v>
      </c>
      <c r="J9011">
        <v>0</v>
      </c>
      <c r="K9011" t="str">
        <f t="shared" si="1600"/>
        <v>813</v>
      </c>
      <c r="L9011">
        <v>178.92</v>
      </c>
    </row>
    <row r="9012" spans="1:12" x14ac:dyDescent="0.25">
      <c r="A9012" t="str">
        <f t="shared" si="1593"/>
        <v>89301000</v>
      </c>
      <c r="B9012" t="str">
        <f t="shared" si="1602"/>
        <v>06539000</v>
      </c>
      <c r="C9012" t="str">
        <f>"06539001"</f>
        <v>06539001</v>
      </c>
      <c r="D9012">
        <v>89301171</v>
      </c>
      <c r="E9012" t="str">
        <f t="shared" ref="E9012:E9053" si="1603">"8008165682"</f>
        <v>8008165682</v>
      </c>
      <c r="F9012" s="1">
        <v>45086</v>
      </c>
      <c r="G9012" t="str">
        <f>"81329"</f>
        <v>81329</v>
      </c>
      <c r="H9012">
        <v>1</v>
      </c>
      <c r="I9012">
        <v>17</v>
      </c>
      <c r="J9012">
        <v>0</v>
      </c>
      <c r="K9012" t="str">
        <f>"801"</f>
        <v>801</v>
      </c>
      <c r="L9012">
        <v>14.28</v>
      </c>
    </row>
    <row r="9013" spans="1:12" x14ac:dyDescent="0.25">
      <c r="A9013" t="str">
        <f t="shared" si="1593"/>
        <v>89301000</v>
      </c>
      <c r="B9013" t="str">
        <f t="shared" si="1602"/>
        <v>06539000</v>
      </c>
      <c r="C9013" t="str">
        <f>"06539001"</f>
        <v>06539001</v>
      </c>
      <c r="D9013">
        <v>89301171</v>
      </c>
      <c r="E9013" t="str">
        <f t="shared" si="1603"/>
        <v>8008165682</v>
      </c>
      <c r="F9013" s="1">
        <v>45086</v>
      </c>
      <c r="G9013" t="str">
        <f>"81331"</f>
        <v>81331</v>
      </c>
      <c r="H9013">
        <v>1</v>
      </c>
      <c r="I9013">
        <v>193</v>
      </c>
      <c r="J9013">
        <v>0</v>
      </c>
      <c r="K9013" t="str">
        <f>"801"</f>
        <v>801</v>
      </c>
      <c r="L9013">
        <v>162.12</v>
      </c>
    </row>
    <row r="9014" spans="1:12" x14ac:dyDescent="0.25">
      <c r="A9014" t="str">
        <f t="shared" si="1593"/>
        <v>89301000</v>
      </c>
      <c r="B9014" t="str">
        <f t="shared" si="1602"/>
        <v>06539000</v>
      </c>
      <c r="C9014" t="str">
        <f t="shared" ref="C9014:C9021" si="1604">"06539002"</f>
        <v>06539002</v>
      </c>
      <c r="D9014">
        <v>89301171</v>
      </c>
      <c r="E9014" t="str">
        <f t="shared" si="1603"/>
        <v>8008165682</v>
      </c>
      <c r="F9014" s="1">
        <v>45086</v>
      </c>
      <c r="G9014" t="str">
        <f t="shared" ref="G9014:G9021" si="1605">"82097"</f>
        <v>82097</v>
      </c>
      <c r="H9014">
        <v>1</v>
      </c>
      <c r="I9014">
        <v>381</v>
      </c>
      <c r="J9014">
        <v>0</v>
      </c>
      <c r="K9014" t="str">
        <f t="shared" ref="K9014:K9021" si="1606">"802"</f>
        <v>802</v>
      </c>
      <c r="L9014">
        <v>369.57</v>
      </c>
    </row>
    <row r="9015" spans="1:12" x14ac:dyDescent="0.25">
      <c r="A9015" t="str">
        <f t="shared" si="1593"/>
        <v>89301000</v>
      </c>
      <c r="B9015" t="str">
        <f t="shared" si="1602"/>
        <v>06539000</v>
      </c>
      <c r="C9015" t="str">
        <f t="shared" si="1604"/>
        <v>06539002</v>
      </c>
      <c r="D9015">
        <v>89301171</v>
      </c>
      <c r="E9015" t="str">
        <f t="shared" si="1603"/>
        <v>8008165682</v>
      </c>
      <c r="F9015" s="1">
        <v>45086</v>
      </c>
      <c r="G9015" t="str">
        <f t="shared" si="1605"/>
        <v>82097</v>
      </c>
      <c r="H9015">
        <v>1</v>
      </c>
      <c r="I9015">
        <v>381</v>
      </c>
      <c r="J9015">
        <v>0</v>
      </c>
      <c r="K9015" t="str">
        <f t="shared" si="1606"/>
        <v>802</v>
      </c>
      <c r="L9015">
        <v>369.57</v>
      </c>
    </row>
    <row r="9016" spans="1:12" x14ac:dyDescent="0.25">
      <c r="A9016" t="str">
        <f t="shared" si="1593"/>
        <v>89301000</v>
      </c>
      <c r="B9016" t="str">
        <f t="shared" si="1602"/>
        <v>06539000</v>
      </c>
      <c r="C9016" t="str">
        <f t="shared" si="1604"/>
        <v>06539002</v>
      </c>
      <c r="D9016">
        <v>89301171</v>
      </c>
      <c r="E9016" t="str">
        <f t="shared" si="1603"/>
        <v>8008165682</v>
      </c>
      <c r="F9016" s="1">
        <v>45086</v>
      </c>
      <c r="G9016" t="str">
        <f t="shared" si="1605"/>
        <v>82097</v>
      </c>
      <c r="H9016">
        <v>1</v>
      </c>
      <c r="I9016">
        <v>381</v>
      </c>
      <c r="J9016">
        <v>0</v>
      </c>
      <c r="K9016" t="str">
        <f t="shared" si="1606"/>
        <v>802</v>
      </c>
      <c r="L9016">
        <v>369.57</v>
      </c>
    </row>
    <row r="9017" spans="1:12" x14ac:dyDescent="0.25">
      <c r="A9017" t="str">
        <f t="shared" si="1593"/>
        <v>89301000</v>
      </c>
      <c r="B9017" t="str">
        <f t="shared" si="1602"/>
        <v>06539000</v>
      </c>
      <c r="C9017" t="str">
        <f t="shared" si="1604"/>
        <v>06539002</v>
      </c>
      <c r="D9017">
        <v>89301171</v>
      </c>
      <c r="E9017" t="str">
        <f t="shared" si="1603"/>
        <v>8008165682</v>
      </c>
      <c r="F9017" s="1">
        <v>45086</v>
      </c>
      <c r="G9017" t="str">
        <f t="shared" si="1605"/>
        <v>82097</v>
      </c>
      <c r="H9017">
        <v>1</v>
      </c>
      <c r="I9017">
        <v>381</v>
      </c>
      <c r="J9017">
        <v>0</v>
      </c>
      <c r="K9017" t="str">
        <f t="shared" si="1606"/>
        <v>802</v>
      </c>
      <c r="L9017">
        <v>369.57</v>
      </c>
    </row>
    <row r="9018" spans="1:12" x14ac:dyDescent="0.25">
      <c r="A9018" t="str">
        <f t="shared" si="1593"/>
        <v>89301000</v>
      </c>
      <c r="B9018" t="str">
        <f t="shared" si="1602"/>
        <v>06539000</v>
      </c>
      <c r="C9018" t="str">
        <f t="shared" si="1604"/>
        <v>06539002</v>
      </c>
      <c r="D9018">
        <v>89301171</v>
      </c>
      <c r="E9018" t="str">
        <f t="shared" si="1603"/>
        <v>8008165682</v>
      </c>
      <c r="F9018" s="1">
        <v>45086</v>
      </c>
      <c r="G9018" t="str">
        <f t="shared" si="1605"/>
        <v>82097</v>
      </c>
      <c r="H9018">
        <v>1</v>
      </c>
      <c r="I9018">
        <v>381</v>
      </c>
      <c r="J9018">
        <v>0</v>
      </c>
      <c r="K9018" t="str">
        <f t="shared" si="1606"/>
        <v>802</v>
      </c>
      <c r="L9018">
        <v>369.57</v>
      </c>
    </row>
    <row r="9019" spans="1:12" x14ac:dyDescent="0.25">
      <c r="A9019" t="str">
        <f t="shared" si="1593"/>
        <v>89301000</v>
      </c>
      <c r="B9019" t="str">
        <f t="shared" si="1602"/>
        <v>06539000</v>
      </c>
      <c r="C9019" t="str">
        <f t="shared" si="1604"/>
        <v>06539002</v>
      </c>
      <c r="D9019">
        <v>89301171</v>
      </c>
      <c r="E9019" t="str">
        <f t="shared" si="1603"/>
        <v>8008165682</v>
      </c>
      <c r="F9019" s="1">
        <v>45086</v>
      </c>
      <c r="G9019" t="str">
        <f t="shared" si="1605"/>
        <v>82097</v>
      </c>
      <c r="H9019">
        <v>1</v>
      </c>
      <c r="I9019">
        <v>381</v>
      </c>
      <c r="J9019">
        <v>0</v>
      </c>
      <c r="K9019" t="str">
        <f t="shared" si="1606"/>
        <v>802</v>
      </c>
      <c r="L9019">
        <v>369.57</v>
      </c>
    </row>
    <row r="9020" spans="1:12" x14ac:dyDescent="0.25">
      <c r="A9020" t="str">
        <f t="shared" si="1593"/>
        <v>89301000</v>
      </c>
      <c r="B9020" t="str">
        <f t="shared" si="1602"/>
        <v>06539000</v>
      </c>
      <c r="C9020" t="str">
        <f t="shared" si="1604"/>
        <v>06539002</v>
      </c>
      <c r="D9020">
        <v>89301171</v>
      </c>
      <c r="E9020" t="str">
        <f t="shared" si="1603"/>
        <v>8008165682</v>
      </c>
      <c r="F9020" s="1">
        <v>45086</v>
      </c>
      <c r="G9020" t="str">
        <f t="shared" si="1605"/>
        <v>82097</v>
      </c>
      <c r="H9020">
        <v>1</v>
      </c>
      <c r="I9020">
        <v>381</v>
      </c>
      <c r="J9020">
        <v>0</v>
      </c>
      <c r="K9020" t="str">
        <f t="shared" si="1606"/>
        <v>802</v>
      </c>
      <c r="L9020">
        <v>369.57</v>
      </c>
    </row>
    <row r="9021" spans="1:12" x14ac:dyDescent="0.25">
      <c r="A9021" t="str">
        <f t="shared" si="1593"/>
        <v>89301000</v>
      </c>
      <c r="B9021" t="str">
        <f t="shared" si="1602"/>
        <v>06539000</v>
      </c>
      <c r="C9021" t="str">
        <f t="shared" si="1604"/>
        <v>06539002</v>
      </c>
      <c r="D9021">
        <v>89301171</v>
      </c>
      <c r="E9021" t="str">
        <f t="shared" si="1603"/>
        <v>8008165682</v>
      </c>
      <c r="F9021" s="1">
        <v>45086</v>
      </c>
      <c r="G9021" t="str">
        <f t="shared" si="1605"/>
        <v>82097</v>
      </c>
      <c r="H9021">
        <v>1</v>
      </c>
      <c r="I9021">
        <v>381</v>
      </c>
      <c r="J9021">
        <v>0</v>
      </c>
      <c r="K9021" t="str">
        <f t="shared" si="1606"/>
        <v>802</v>
      </c>
      <c r="L9021">
        <v>369.57</v>
      </c>
    </row>
    <row r="9022" spans="1:12" x14ac:dyDescent="0.25">
      <c r="A9022" t="str">
        <f t="shared" si="1593"/>
        <v>89301000</v>
      </c>
      <c r="B9022" t="str">
        <f t="shared" si="1602"/>
        <v>06539000</v>
      </c>
      <c r="C9022" t="str">
        <f t="shared" ref="C9022:C9053" si="1607">"06539003"</f>
        <v>06539003</v>
      </c>
      <c r="D9022">
        <v>89301171</v>
      </c>
      <c r="E9022" t="str">
        <f t="shared" si="1603"/>
        <v>8008165682</v>
      </c>
      <c r="F9022" s="1">
        <v>45091</v>
      </c>
      <c r="G9022" t="str">
        <f t="shared" ref="G9022:G9031" si="1608">"91413"</f>
        <v>91413</v>
      </c>
      <c r="H9022">
        <v>1</v>
      </c>
      <c r="I9022">
        <v>868</v>
      </c>
      <c r="J9022">
        <v>0</v>
      </c>
      <c r="K9022" t="str">
        <f t="shared" ref="K9022:K9053" si="1609">"813"</f>
        <v>813</v>
      </c>
      <c r="L9022">
        <v>729.12</v>
      </c>
    </row>
    <row r="9023" spans="1:12" x14ac:dyDescent="0.25">
      <c r="A9023" t="str">
        <f t="shared" si="1593"/>
        <v>89301000</v>
      </c>
      <c r="B9023" t="str">
        <f t="shared" si="1602"/>
        <v>06539000</v>
      </c>
      <c r="C9023" t="str">
        <f t="shared" si="1607"/>
        <v>06539003</v>
      </c>
      <c r="D9023">
        <v>89301171</v>
      </c>
      <c r="E9023" t="str">
        <f t="shared" si="1603"/>
        <v>8008165682</v>
      </c>
      <c r="F9023" s="1">
        <v>45091</v>
      </c>
      <c r="G9023" t="str">
        <f t="shared" si="1608"/>
        <v>91413</v>
      </c>
      <c r="H9023">
        <v>1</v>
      </c>
      <c r="I9023">
        <v>868</v>
      </c>
      <c r="J9023">
        <v>0</v>
      </c>
      <c r="K9023" t="str">
        <f t="shared" si="1609"/>
        <v>813</v>
      </c>
      <c r="L9023">
        <v>729.12</v>
      </c>
    </row>
    <row r="9024" spans="1:12" x14ac:dyDescent="0.25">
      <c r="A9024" t="str">
        <f t="shared" si="1593"/>
        <v>89301000</v>
      </c>
      <c r="B9024" t="str">
        <f t="shared" si="1602"/>
        <v>06539000</v>
      </c>
      <c r="C9024" t="str">
        <f t="shared" si="1607"/>
        <v>06539003</v>
      </c>
      <c r="D9024">
        <v>89301171</v>
      </c>
      <c r="E9024" t="str">
        <f t="shared" si="1603"/>
        <v>8008165682</v>
      </c>
      <c r="F9024" s="1">
        <v>45110</v>
      </c>
      <c r="G9024" t="str">
        <f t="shared" si="1608"/>
        <v>91413</v>
      </c>
      <c r="H9024">
        <v>1</v>
      </c>
      <c r="I9024">
        <v>868</v>
      </c>
      <c r="J9024">
        <v>0</v>
      </c>
      <c r="K9024" t="str">
        <f t="shared" si="1609"/>
        <v>813</v>
      </c>
      <c r="L9024">
        <v>729.12</v>
      </c>
    </row>
    <row r="9025" spans="1:12" x14ac:dyDescent="0.25">
      <c r="A9025" t="str">
        <f t="shared" si="1593"/>
        <v>89301000</v>
      </c>
      <c r="B9025" t="str">
        <f t="shared" si="1602"/>
        <v>06539000</v>
      </c>
      <c r="C9025" t="str">
        <f t="shared" si="1607"/>
        <v>06539003</v>
      </c>
      <c r="D9025">
        <v>89301171</v>
      </c>
      <c r="E9025" t="str">
        <f t="shared" si="1603"/>
        <v>8008165682</v>
      </c>
      <c r="F9025" s="1">
        <v>45110</v>
      </c>
      <c r="G9025" t="str">
        <f t="shared" si="1608"/>
        <v>91413</v>
      </c>
      <c r="H9025">
        <v>1</v>
      </c>
      <c r="I9025">
        <v>868</v>
      </c>
      <c r="J9025">
        <v>0</v>
      </c>
      <c r="K9025" t="str">
        <f t="shared" si="1609"/>
        <v>813</v>
      </c>
      <c r="L9025">
        <v>729.12</v>
      </c>
    </row>
    <row r="9026" spans="1:12" x14ac:dyDescent="0.25">
      <c r="A9026" t="str">
        <f t="shared" ref="A9026:A9089" si="1610">"89301000"</f>
        <v>89301000</v>
      </c>
      <c r="B9026" t="str">
        <f t="shared" si="1602"/>
        <v>06539000</v>
      </c>
      <c r="C9026" t="str">
        <f t="shared" si="1607"/>
        <v>06539003</v>
      </c>
      <c r="D9026">
        <v>89301171</v>
      </c>
      <c r="E9026" t="str">
        <f t="shared" si="1603"/>
        <v>8008165682</v>
      </c>
      <c r="F9026" s="1">
        <v>45111</v>
      </c>
      <c r="G9026" t="str">
        <f t="shared" si="1608"/>
        <v>91413</v>
      </c>
      <c r="H9026">
        <v>1</v>
      </c>
      <c r="I9026">
        <v>868</v>
      </c>
      <c r="J9026">
        <v>0</v>
      </c>
      <c r="K9026" t="str">
        <f t="shared" si="1609"/>
        <v>813</v>
      </c>
      <c r="L9026">
        <v>729.12</v>
      </c>
    </row>
    <row r="9027" spans="1:12" x14ac:dyDescent="0.25">
      <c r="A9027" t="str">
        <f t="shared" si="1610"/>
        <v>89301000</v>
      </c>
      <c r="B9027" t="str">
        <f t="shared" si="1602"/>
        <v>06539000</v>
      </c>
      <c r="C9027" t="str">
        <f t="shared" si="1607"/>
        <v>06539003</v>
      </c>
      <c r="D9027">
        <v>89301171</v>
      </c>
      <c r="E9027" t="str">
        <f t="shared" si="1603"/>
        <v>8008165682</v>
      </c>
      <c r="F9027" s="1">
        <v>45111</v>
      </c>
      <c r="G9027" t="str">
        <f t="shared" si="1608"/>
        <v>91413</v>
      </c>
      <c r="H9027">
        <v>1</v>
      </c>
      <c r="I9027">
        <v>868</v>
      </c>
      <c r="J9027">
        <v>0</v>
      </c>
      <c r="K9027" t="str">
        <f t="shared" si="1609"/>
        <v>813</v>
      </c>
      <c r="L9027">
        <v>729.12</v>
      </c>
    </row>
    <row r="9028" spans="1:12" x14ac:dyDescent="0.25">
      <c r="A9028" t="str">
        <f t="shared" si="1610"/>
        <v>89301000</v>
      </c>
      <c r="B9028" t="str">
        <f t="shared" si="1602"/>
        <v>06539000</v>
      </c>
      <c r="C9028" t="str">
        <f t="shared" si="1607"/>
        <v>06539003</v>
      </c>
      <c r="D9028">
        <v>89301171</v>
      </c>
      <c r="E9028" t="str">
        <f t="shared" si="1603"/>
        <v>8008165682</v>
      </c>
      <c r="F9028" s="1">
        <v>45110</v>
      </c>
      <c r="G9028" t="str">
        <f t="shared" si="1608"/>
        <v>91413</v>
      </c>
      <c r="H9028">
        <v>1</v>
      </c>
      <c r="I9028">
        <v>868</v>
      </c>
      <c r="J9028">
        <v>0</v>
      </c>
      <c r="K9028" t="str">
        <f t="shared" si="1609"/>
        <v>813</v>
      </c>
      <c r="L9028">
        <v>729.12</v>
      </c>
    </row>
    <row r="9029" spans="1:12" x14ac:dyDescent="0.25">
      <c r="A9029" t="str">
        <f t="shared" si="1610"/>
        <v>89301000</v>
      </c>
      <c r="B9029" t="str">
        <f t="shared" si="1602"/>
        <v>06539000</v>
      </c>
      <c r="C9029" t="str">
        <f t="shared" si="1607"/>
        <v>06539003</v>
      </c>
      <c r="D9029">
        <v>89301171</v>
      </c>
      <c r="E9029" t="str">
        <f t="shared" si="1603"/>
        <v>8008165682</v>
      </c>
      <c r="F9029" s="1">
        <v>45110</v>
      </c>
      <c r="G9029" t="str">
        <f t="shared" si="1608"/>
        <v>91413</v>
      </c>
      <c r="H9029">
        <v>1</v>
      </c>
      <c r="I9029">
        <v>868</v>
      </c>
      <c r="J9029">
        <v>0</v>
      </c>
      <c r="K9029" t="str">
        <f t="shared" si="1609"/>
        <v>813</v>
      </c>
      <c r="L9029">
        <v>729.12</v>
      </c>
    </row>
    <row r="9030" spans="1:12" x14ac:dyDescent="0.25">
      <c r="A9030" t="str">
        <f t="shared" si="1610"/>
        <v>89301000</v>
      </c>
      <c r="B9030" t="str">
        <f t="shared" si="1602"/>
        <v>06539000</v>
      </c>
      <c r="C9030" t="str">
        <f t="shared" si="1607"/>
        <v>06539003</v>
      </c>
      <c r="D9030">
        <v>89301171</v>
      </c>
      <c r="E9030" t="str">
        <f t="shared" si="1603"/>
        <v>8008165682</v>
      </c>
      <c r="F9030" s="1">
        <v>45110</v>
      </c>
      <c r="G9030" t="str">
        <f t="shared" si="1608"/>
        <v>91413</v>
      </c>
      <c r="H9030">
        <v>1</v>
      </c>
      <c r="I9030">
        <v>868</v>
      </c>
      <c r="J9030">
        <v>0</v>
      </c>
      <c r="K9030" t="str">
        <f t="shared" si="1609"/>
        <v>813</v>
      </c>
      <c r="L9030">
        <v>729.12</v>
      </c>
    </row>
    <row r="9031" spans="1:12" x14ac:dyDescent="0.25">
      <c r="A9031" t="str">
        <f t="shared" si="1610"/>
        <v>89301000</v>
      </c>
      <c r="B9031" t="str">
        <f t="shared" si="1602"/>
        <v>06539000</v>
      </c>
      <c r="C9031" t="str">
        <f t="shared" si="1607"/>
        <v>06539003</v>
      </c>
      <c r="D9031">
        <v>89301171</v>
      </c>
      <c r="E9031" t="str">
        <f t="shared" si="1603"/>
        <v>8008165682</v>
      </c>
      <c r="F9031" s="1">
        <v>45110</v>
      </c>
      <c r="G9031" t="str">
        <f t="shared" si="1608"/>
        <v>91413</v>
      </c>
      <c r="H9031">
        <v>1</v>
      </c>
      <c r="I9031">
        <v>868</v>
      </c>
      <c r="J9031">
        <v>0</v>
      </c>
      <c r="K9031" t="str">
        <f t="shared" si="1609"/>
        <v>813</v>
      </c>
      <c r="L9031">
        <v>729.12</v>
      </c>
    </row>
    <row r="9032" spans="1:12" x14ac:dyDescent="0.25">
      <c r="A9032" t="str">
        <f t="shared" si="1610"/>
        <v>89301000</v>
      </c>
      <c r="B9032" t="str">
        <f t="shared" si="1602"/>
        <v>06539000</v>
      </c>
      <c r="C9032" t="str">
        <f t="shared" si="1607"/>
        <v>06539003</v>
      </c>
      <c r="D9032">
        <v>89301171</v>
      </c>
      <c r="E9032" t="str">
        <f t="shared" si="1603"/>
        <v>8008165682</v>
      </c>
      <c r="F9032" s="1">
        <v>45086</v>
      </c>
      <c r="G9032" t="str">
        <f t="shared" ref="G9032:G9038" si="1611">"91197"</f>
        <v>91197</v>
      </c>
      <c r="H9032">
        <v>1</v>
      </c>
      <c r="I9032">
        <v>1048</v>
      </c>
      <c r="J9032">
        <v>0</v>
      </c>
      <c r="K9032" t="str">
        <f t="shared" si="1609"/>
        <v>813</v>
      </c>
      <c r="L9032">
        <v>880.32</v>
      </c>
    </row>
    <row r="9033" spans="1:12" x14ac:dyDescent="0.25">
      <c r="A9033" t="str">
        <f t="shared" si="1610"/>
        <v>89301000</v>
      </c>
      <c r="B9033" t="str">
        <f t="shared" si="1602"/>
        <v>06539000</v>
      </c>
      <c r="C9033" t="str">
        <f t="shared" si="1607"/>
        <v>06539003</v>
      </c>
      <c r="D9033">
        <v>89301171</v>
      </c>
      <c r="E9033" t="str">
        <f t="shared" si="1603"/>
        <v>8008165682</v>
      </c>
      <c r="F9033" s="1">
        <v>45089</v>
      </c>
      <c r="G9033" t="str">
        <f t="shared" si="1611"/>
        <v>91197</v>
      </c>
      <c r="H9033">
        <v>1</v>
      </c>
      <c r="I9033">
        <v>1048</v>
      </c>
      <c r="J9033">
        <v>0</v>
      </c>
      <c r="K9033" t="str">
        <f t="shared" si="1609"/>
        <v>813</v>
      </c>
      <c r="L9033">
        <v>880.32</v>
      </c>
    </row>
    <row r="9034" spans="1:12" x14ac:dyDescent="0.25">
      <c r="A9034" t="str">
        <f t="shared" si="1610"/>
        <v>89301000</v>
      </c>
      <c r="B9034" t="str">
        <f t="shared" si="1602"/>
        <v>06539000</v>
      </c>
      <c r="C9034" t="str">
        <f t="shared" si="1607"/>
        <v>06539003</v>
      </c>
      <c r="D9034">
        <v>89301171</v>
      </c>
      <c r="E9034" t="str">
        <f t="shared" si="1603"/>
        <v>8008165682</v>
      </c>
      <c r="F9034" s="1">
        <v>45089</v>
      </c>
      <c r="G9034" t="str">
        <f t="shared" si="1611"/>
        <v>91197</v>
      </c>
      <c r="H9034">
        <v>1</v>
      </c>
      <c r="I9034">
        <v>1048</v>
      </c>
      <c r="J9034">
        <v>0</v>
      </c>
      <c r="K9034" t="str">
        <f t="shared" si="1609"/>
        <v>813</v>
      </c>
      <c r="L9034">
        <v>880.32</v>
      </c>
    </row>
    <row r="9035" spans="1:12" x14ac:dyDescent="0.25">
      <c r="A9035" t="str">
        <f t="shared" si="1610"/>
        <v>89301000</v>
      </c>
      <c r="B9035" t="str">
        <f t="shared" si="1602"/>
        <v>06539000</v>
      </c>
      <c r="C9035" t="str">
        <f t="shared" si="1607"/>
        <v>06539003</v>
      </c>
      <c r="D9035">
        <v>89301171</v>
      </c>
      <c r="E9035" t="str">
        <f t="shared" si="1603"/>
        <v>8008165682</v>
      </c>
      <c r="F9035" s="1">
        <v>45088</v>
      </c>
      <c r="G9035" t="str">
        <f t="shared" si="1611"/>
        <v>91197</v>
      </c>
      <c r="H9035">
        <v>1</v>
      </c>
      <c r="I9035">
        <v>1048</v>
      </c>
      <c r="J9035">
        <v>0</v>
      </c>
      <c r="K9035" t="str">
        <f t="shared" si="1609"/>
        <v>813</v>
      </c>
      <c r="L9035">
        <v>880.32</v>
      </c>
    </row>
    <row r="9036" spans="1:12" x14ac:dyDescent="0.25">
      <c r="A9036" t="str">
        <f t="shared" si="1610"/>
        <v>89301000</v>
      </c>
      <c r="B9036" t="str">
        <f t="shared" si="1602"/>
        <v>06539000</v>
      </c>
      <c r="C9036" t="str">
        <f t="shared" si="1607"/>
        <v>06539003</v>
      </c>
      <c r="D9036">
        <v>89301171</v>
      </c>
      <c r="E9036" t="str">
        <f t="shared" si="1603"/>
        <v>8008165682</v>
      </c>
      <c r="F9036" s="1">
        <v>45088</v>
      </c>
      <c r="G9036" t="str">
        <f t="shared" si="1611"/>
        <v>91197</v>
      </c>
      <c r="H9036">
        <v>1</v>
      </c>
      <c r="I9036">
        <v>1048</v>
      </c>
      <c r="J9036">
        <v>0</v>
      </c>
      <c r="K9036" t="str">
        <f t="shared" si="1609"/>
        <v>813</v>
      </c>
      <c r="L9036">
        <v>880.32</v>
      </c>
    </row>
    <row r="9037" spans="1:12" x14ac:dyDescent="0.25">
      <c r="A9037" t="str">
        <f t="shared" si="1610"/>
        <v>89301000</v>
      </c>
      <c r="B9037" t="str">
        <f t="shared" si="1602"/>
        <v>06539000</v>
      </c>
      <c r="C9037" t="str">
        <f t="shared" si="1607"/>
        <v>06539003</v>
      </c>
      <c r="D9037">
        <v>89301171</v>
      </c>
      <c r="E9037" t="str">
        <f t="shared" si="1603"/>
        <v>8008165682</v>
      </c>
      <c r="F9037" s="1">
        <v>45087</v>
      </c>
      <c r="G9037" t="str">
        <f t="shared" si="1611"/>
        <v>91197</v>
      </c>
      <c r="H9037">
        <v>1</v>
      </c>
      <c r="I9037">
        <v>1048</v>
      </c>
      <c r="J9037">
        <v>0</v>
      </c>
      <c r="K9037" t="str">
        <f t="shared" si="1609"/>
        <v>813</v>
      </c>
      <c r="L9037">
        <v>880.32</v>
      </c>
    </row>
    <row r="9038" spans="1:12" x14ac:dyDescent="0.25">
      <c r="A9038" t="str">
        <f t="shared" si="1610"/>
        <v>89301000</v>
      </c>
      <c r="B9038" t="str">
        <f t="shared" si="1602"/>
        <v>06539000</v>
      </c>
      <c r="C9038" t="str">
        <f t="shared" si="1607"/>
        <v>06539003</v>
      </c>
      <c r="D9038">
        <v>89301171</v>
      </c>
      <c r="E9038" t="str">
        <f t="shared" si="1603"/>
        <v>8008165682</v>
      </c>
      <c r="F9038" s="1">
        <v>45087</v>
      </c>
      <c r="G9038" t="str">
        <f t="shared" si="1611"/>
        <v>91197</v>
      </c>
      <c r="H9038">
        <v>1</v>
      </c>
      <c r="I9038">
        <v>1048</v>
      </c>
      <c r="J9038">
        <v>0</v>
      </c>
      <c r="K9038" t="str">
        <f t="shared" si="1609"/>
        <v>813</v>
      </c>
      <c r="L9038">
        <v>880.32</v>
      </c>
    </row>
    <row r="9039" spans="1:12" x14ac:dyDescent="0.25">
      <c r="A9039" t="str">
        <f t="shared" si="1610"/>
        <v>89301000</v>
      </c>
      <c r="B9039" t="str">
        <f t="shared" si="1602"/>
        <v>06539000</v>
      </c>
      <c r="C9039" t="str">
        <f t="shared" si="1607"/>
        <v>06539003</v>
      </c>
      <c r="D9039">
        <v>89301171</v>
      </c>
      <c r="E9039" t="str">
        <f t="shared" si="1603"/>
        <v>8008165682</v>
      </c>
      <c r="F9039" s="1">
        <v>45090</v>
      </c>
      <c r="G9039" t="str">
        <f>"91329"</f>
        <v>91329</v>
      </c>
      <c r="H9039">
        <v>2</v>
      </c>
      <c r="I9039">
        <v>436</v>
      </c>
      <c r="J9039">
        <v>0</v>
      </c>
      <c r="K9039" t="str">
        <f t="shared" si="1609"/>
        <v>813</v>
      </c>
      <c r="L9039">
        <v>366.24</v>
      </c>
    </row>
    <row r="9040" spans="1:12" x14ac:dyDescent="0.25">
      <c r="A9040" t="str">
        <f t="shared" si="1610"/>
        <v>89301000</v>
      </c>
      <c r="B9040" t="str">
        <f t="shared" si="1602"/>
        <v>06539000</v>
      </c>
      <c r="C9040" t="str">
        <f t="shared" si="1607"/>
        <v>06539003</v>
      </c>
      <c r="D9040">
        <v>89301171</v>
      </c>
      <c r="E9040" t="str">
        <f t="shared" si="1603"/>
        <v>8008165682</v>
      </c>
      <c r="F9040" s="1">
        <v>45090</v>
      </c>
      <c r="G9040" t="str">
        <f>"91329"</f>
        <v>91329</v>
      </c>
      <c r="H9040">
        <v>2</v>
      </c>
      <c r="I9040">
        <v>436</v>
      </c>
      <c r="J9040">
        <v>0</v>
      </c>
      <c r="K9040" t="str">
        <f t="shared" si="1609"/>
        <v>813</v>
      </c>
      <c r="L9040">
        <v>366.24</v>
      </c>
    </row>
    <row r="9041" spans="1:12" x14ac:dyDescent="0.25">
      <c r="A9041" t="str">
        <f t="shared" si="1610"/>
        <v>89301000</v>
      </c>
      <c r="B9041" t="str">
        <f t="shared" si="1602"/>
        <v>06539000</v>
      </c>
      <c r="C9041" t="str">
        <f t="shared" si="1607"/>
        <v>06539003</v>
      </c>
      <c r="D9041">
        <v>89301171</v>
      </c>
      <c r="E9041" t="str">
        <f t="shared" si="1603"/>
        <v>8008165682</v>
      </c>
      <c r="F9041" s="1">
        <v>45090</v>
      </c>
      <c r="G9041" t="str">
        <f>"91329"</f>
        <v>91329</v>
      </c>
      <c r="H9041">
        <v>2</v>
      </c>
      <c r="I9041">
        <v>436</v>
      </c>
      <c r="J9041">
        <v>0</v>
      </c>
      <c r="K9041" t="str">
        <f t="shared" si="1609"/>
        <v>813</v>
      </c>
      <c r="L9041">
        <v>366.24</v>
      </c>
    </row>
    <row r="9042" spans="1:12" x14ac:dyDescent="0.25">
      <c r="A9042" t="str">
        <f t="shared" si="1610"/>
        <v>89301000</v>
      </c>
      <c r="B9042" t="str">
        <f t="shared" si="1602"/>
        <v>06539000</v>
      </c>
      <c r="C9042" t="str">
        <f t="shared" si="1607"/>
        <v>06539003</v>
      </c>
      <c r="D9042">
        <v>89301171</v>
      </c>
      <c r="E9042" t="str">
        <f t="shared" si="1603"/>
        <v>8008165682</v>
      </c>
      <c r="F9042" s="1">
        <v>45090</v>
      </c>
      <c r="G9042" t="str">
        <f>"91329"</f>
        <v>91329</v>
      </c>
      <c r="H9042">
        <v>2</v>
      </c>
      <c r="I9042">
        <v>436</v>
      </c>
      <c r="J9042">
        <v>0</v>
      </c>
      <c r="K9042" t="str">
        <f t="shared" si="1609"/>
        <v>813</v>
      </c>
      <c r="L9042">
        <v>366.24</v>
      </c>
    </row>
    <row r="9043" spans="1:12" x14ac:dyDescent="0.25">
      <c r="A9043" t="str">
        <f t="shared" si="1610"/>
        <v>89301000</v>
      </c>
      <c r="B9043" t="str">
        <f t="shared" si="1602"/>
        <v>06539000</v>
      </c>
      <c r="C9043" t="str">
        <f t="shared" si="1607"/>
        <v>06539003</v>
      </c>
      <c r="D9043">
        <v>89301171</v>
      </c>
      <c r="E9043" t="str">
        <f t="shared" si="1603"/>
        <v>8008165682</v>
      </c>
      <c r="F9043" s="1">
        <v>45086</v>
      </c>
      <c r="G9043" t="str">
        <f>"91129"</f>
        <v>91129</v>
      </c>
      <c r="H9043">
        <v>1</v>
      </c>
      <c r="I9043">
        <v>175</v>
      </c>
      <c r="J9043">
        <v>0</v>
      </c>
      <c r="K9043" t="str">
        <f t="shared" si="1609"/>
        <v>813</v>
      </c>
      <c r="L9043">
        <v>147</v>
      </c>
    </row>
    <row r="9044" spans="1:12" x14ac:dyDescent="0.25">
      <c r="A9044" t="str">
        <f t="shared" si="1610"/>
        <v>89301000</v>
      </c>
      <c r="B9044" t="str">
        <f t="shared" si="1602"/>
        <v>06539000</v>
      </c>
      <c r="C9044" t="str">
        <f t="shared" si="1607"/>
        <v>06539003</v>
      </c>
      <c r="D9044">
        <v>89301171</v>
      </c>
      <c r="E9044" t="str">
        <f t="shared" si="1603"/>
        <v>8008165682</v>
      </c>
      <c r="F9044" s="1">
        <v>45086</v>
      </c>
      <c r="G9044" t="str">
        <f>"91131"</f>
        <v>91131</v>
      </c>
      <c r="H9044">
        <v>1</v>
      </c>
      <c r="I9044">
        <v>171</v>
      </c>
      <c r="J9044">
        <v>0</v>
      </c>
      <c r="K9044" t="str">
        <f t="shared" si="1609"/>
        <v>813</v>
      </c>
      <c r="L9044">
        <v>143.63999999999999</v>
      </c>
    </row>
    <row r="9045" spans="1:12" x14ac:dyDescent="0.25">
      <c r="A9045" t="str">
        <f t="shared" si="1610"/>
        <v>89301000</v>
      </c>
      <c r="B9045" t="str">
        <f t="shared" si="1602"/>
        <v>06539000</v>
      </c>
      <c r="C9045" t="str">
        <f t="shared" si="1607"/>
        <v>06539003</v>
      </c>
      <c r="D9045">
        <v>89301171</v>
      </c>
      <c r="E9045" t="str">
        <f t="shared" si="1603"/>
        <v>8008165682</v>
      </c>
      <c r="F9045" s="1">
        <v>45086</v>
      </c>
      <c r="G9045" t="str">
        <f>"91133"</f>
        <v>91133</v>
      </c>
      <c r="H9045">
        <v>1</v>
      </c>
      <c r="I9045">
        <v>177</v>
      </c>
      <c r="J9045">
        <v>0</v>
      </c>
      <c r="K9045" t="str">
        <f t="shared" si="1609"/>
        <v>813</v>
      </c>
      <c r="L9045">
        <v>148.68</v>
      </c>
    </row>
    <row r="9046" spans="1:12" x14ac:dyDescent="0.25">
      <c r="A9046" t="str">
        <f t="shared" si="1610"/>
        <v>89301000</v>
      </c>
      <c r="B9046" t="str">
        <f t="shared" si="1602"/>
        <v>06539000</v>
      </c>
      <c r="C9046" t="str">
        <f t="shared" si="1607"/>
        <v>06539003</v>
      </c>
      <c r="D9046">
        <v>89301171</v>
      </c>
      <c r="E9046" t="str">
        <f t="shared" si="1603"/>
        <v>8008165682</v>
      </c>
      <c r="F9046" s="1">
        <v>45086</v>
      </c>
      <c r="G9046" t="str">
        <f>"91171"</f>
        <v>91171</v>
      </c>
      <c r="H9046">
        <v>1</v>
      </c>
      <c r="I9046">
        <v>362</v>
      </c>
      <c r="J9046">
        <v>0</v>
      </c>
      <c r="K9046" t="str">
        <f t="shared" si="1609"/>
        <v>813</v>
      </c>
      <c r="L9046">
        <v>304.08</v>
      </c>
    </row>
    <row r="9047" spans="1:12" x14ac:dyDescent="0.25">
      <c r="A9047" t="str">
        <f t="shared" si="1610"/>
        <v>89301000</v>
      </c>
      <c r="B9047" t="str">
        <f t="shared" si="1602"/>
        <v>06539000</v>
      </c>
      <c r="C9047" t="str">
        <f t="shared" si="1607"/>
        <v>06539003</v>
      </c>
      <c r="D9047">
        <v>89301171</v>
      </c>
      <c r="E9047" t="str">
        <f t="shared" si="1603"/>
        <v>8008165682</v>
      </c>
      <c r="F9047" s="1">
        <v>45086</v>
      </c>
      <c r="G9047" t="str">
        <f>"91173"</f>
        <v>91173</v>
      </c>
      <c r="H9047">
        <v>1</v>
      </c>
      <c r="I9047">
        <v>337</v>
      </c>
      <c r="J9047">
        <v>0</v>
      </c>
      <c r="K9047" t="str">
        <f t="shared" si="1609"/>
        <v>813</v>
      </c>
      <c r="L9047">
        <v>283.08</v>
      </c>
    </row>
    <row r="9048" spans="1:12" x14ac:dyDescent="0.25">
      <c r="A9048" t="str">
        <f t="shared" si="1610"/>
        <v>89301000</v>
      </c>
      <c r="B9048" t="str">
        <f t="shared" si="1602"/>
        <v>06539000</v>
      </c>
      <c r="C9048" t="str">
        <f t="shared" si="1607"/>
        <v>06539003</v>
      </c>
      <c r="D9048">
        <v>89301171</v>
      </c>
      <c r="E9048" t="str">
        <f t="shared" si="1603"/>
        <v>8008165682</v>
      </c>
      <c r="F9048" s="1">
        <v>45086</v>
      </c>
      <c r="G9048" t="str">
        <f>"91175"</f>
        <v>91175</v>
      </c>
      <c r="H9048">
        <v>1</v>
      </c>
      <c r="I9048">
        <v>362</v>
      </c>
      <c r="J9048">
        <v>0</v>
      </c>
      <c r="K9048" t="str">
        <f t="shared" si="1609"/>
        <v>813</v>
      </c>
      <c r="L9048">
        <v>304.08</v>
      </c>
    </row>
    <row r="9049" spans="1:12" x14ac:dyDescent="0.25">
      <c r="A9049" t="str">
        <f t="shared" si="1610"/>
        <v>89301000</v>
      </c>
      <c r="B9049" t="str">
        <f t="shared" si="1602"/>
        <v>06539000</v>
      </c>
      <c r="C9049" t="str">
        <f t="shared" si="1607"/>
        <v>06539003</v>
      </c>
      <c r="D9049">
        <v>89301171</v>
      </c>
      <c r="E9049" t="str">
        <f t="shared" si="1603"/>
        <v>8008165682</v>
      </c>
      <c r="F9049" s="1">
        <v>45087</v>
      </c>
      <c r="G9049" t="str">
        <f>"91167"</f>
        <v>91167</v>
      </c>
      <c r="H9049">
        <v>1</v>
      </c>
      <c r="I9049">
        <v>426</v>
      </c>
      <c r="J9049">
        <v>0</v>
      </c>
      <c r="K9049" t="str">
        <f t="shared" si="1609"/>
        <v>813</v>
      </c>
      <c r="L9049">
        <v>357.84</v>
      </c>
    </row>
    <row r="9050" spans="1:12" x14ac:dyDescent="0.25">
      <c r="A9050" t="str">
        <f t="shared" si="1610"/>
        <v>89301000</v>
      </c>
      <c r="B9050" t="str">
        <f t="shared" si="1602"/>
        <v>06539000</v>
      </c>
      <c r="C9050" t="str">
        <f t="shared" si="1607"/>
        <v>06539003</v>
      </c>
      <c r="D9050">
        <v>89301171</v>
      </c>
      <c r="E9050" t="str">
        <f t="shared" si="1603"/>
        <v>8008165682</v>
      </c>
      <c r="F9050" s="1">
        <v>45087</v>
      </c>
      <c r="G9050" t="str">
        <f>"91169"</f>
        <v>91169</v>
      </c>
      <c r="H9050">
        <v>1</v>
      </c>
      <c r="I9050">
        <v>426</v>
      </c>
      <c r="J9050">
        <v>0</v>
      </c>
      <c r="K9050" t="str">
        <f t="shared" si="1609"/>
        <v>813</v>
      </c>
      <c r="L9050">
        <v>357.84</v>
      </c>
    </row>
    <row r="9051" spans="1:12" x14ac:dyDescent="0.25">
      <c r="A9051" t="str">
        <f t="shared" si="1610"/>
        <v>89301000</v>
      </c>
      <c r="B9051" t="str">
        <f t="shared" si="1602"/>
        <v>06539000</v>
      </c>
      <c r="C9051" t="str">
        <f t="shared" si="1607"/>
        <v>06539003</v>
      </c>
      <c r="D9051">
        <v>89301171</v>
      </c>
      <c r="E9051" t="str">
        <f t="shared" si="1603"/>
        <v>8008165682</v>
      </c>
      <c r="F9051" s="1">
        <v>45086</v>
      </c>
      <c r="G9051" t="str">
        <f>"91167"</f>
        <v>91167</v>
      </c>
      <c r="H9051">
        <v>1</v>
      </c>
      <c r="I9051">
        <v>426</v>
      </c>
      <c r="J9051">
        <v>0</v>
      </c>
      <c r="K9051" t="str">
        <f t="shared" si="1609"/>
        <v>813</v>
      </c>
      <c r="L9051">
        <v>357.84</v>
      </c>
    </row>
    <row r="9052" spans="1:12" x14ac:dyDescent="0.25">
      <c r="A9052" t="str">
        <f t="shared" si="1610"/>
        <v>89301000</v>
      </c>
      <c r="B9052" t="str">
        <f t="shared" si="1602"/>
        <v>06539000</v>
      </c>
      <c r="C9052" t="str">
        <f t="shared" si="1607"/>
        <v>06539003</v>
      </c>
      <c r="D9052">
        <v>89301171</v>
      </c>
      <c r="E9052" t="str">
        <f t="shared" si="1603"/>
        <v>8008165682</v>
      </c>
      <c r="F9052" s="1">
        <v>45086</v>
      </c>
      <c r="G9052" t="str">
        <f>"91169"</f>
        <v>91169</v>
      </c>
      <c r="H9052">
        <v>1</v>
      </c>
      <c r="I9052">
        <v>426</v>
      </c>
      <c r="J9052">
        <v>0</v>
      </c>
      <c r="K9052" t="str">
        <f t="shared" si="1609"/>
        <v>813</v>
      </c>
      <c r="L9052">
        <v>357.84</v>
      </c>
    </row>
    <row r="9053" spans="1:12" x14ac:dyDescent="0.25">
      <c r="A9053" t="str">
        <f t="shared" si="1610"/>
        <v>89301000</v>
      </c>
      <c r="B9053" t="str">
        <f t="shared" si="1602"/>
        <v>06539000</v>
      </c>
      <c r="C9053" t="str">
        <f t="shared" si="1607"/>
        <v>06539003</v>
      </c>
      <c r="D9053">
        <v>89301171</v>
      </c>
      <c r="E9053" t="str">
        <f t="shared" si="1603"/>
        <v>8008165682</v>
      </c>
      <c r="F9053" s="1">
        <v>45091</v>
      </c>
      <c r="G9053" t="str">
        <f>"91475"</f>
        <v>91475</v>
      </c>
      <c r="H9053">
        <v>1</v>
      </c>
      <c r="I9053">
        <v>213</v>
      </c>
      <c r="J9053">
        <v>0</v>
      </c>
      <c r="K9053" t="str">
        <f t="shared" si="1609"/>
        <v>813</v>
      </c>
      <c r="L9053">
        <v>178.92</v>
      </c>
    </row>
    <row r="9054" spans="1:12" x14ac:dyDescent="0.25">
      <c r="A9054" t="str">
        <f t="shared" si="1610"/>
        <v>89301000</v>
      </c>
      <c r="B9054" t="str">
        <f t="shared" si="1602"/>
        <v>06539000</v>
      </c>
      <c r="C9054" t="str">
        <f t="shared" ref="C9054:C9089" si="1612">"06539003"</f>
        <v>06539003</v>
      </c>
      <c r="D9054">
        <v>89301171</v>
      </c>
      <c r="E9054" t="str">
        <f t="shared" ref="E9054:E9076" si="1613">"9207085734"</f>
        <v>9207085734</v>
      </c>
      <c r="F9054" s="1">
        <v>45091</v>
      </c>
      <c r="G9054" t="str">
        <f t="shared" ref="G9054:G9063" si="1614">"91413"</f>
        <v>91413</v>
      </c>
      <c r="H9054">
        <v>1</v>
      </c>
      <c r="I9054">
        <v>868</v>
      </c>
      <c r="J9054">
        <v>0</v>
      </c>
      <c r="K9054" t="str">
        <f t="shared" ref="K9054:K9089" si="1615">"813"</f>
        <v>813</v>
      </c>
      <c r="L9054">
        <v>729.12</v>
      </c>
    </row>
    <row r="9055" spans="1:12" x14ac:dyDescent="0.25">
      <c r="A9055" t="str">
        <f t="shared" si="1610"/>
        <v>89301000</v>
      </c>
      <c r="B9055" t="str">
        <f t="shared" si="1602"/>
        <v>06539000</v>
      </c>
      <c r="C9055" t="str">
        <f t="shared" si="1612"/>
        <v>06539003</v>
      </c>
      <c r="D9055">
        <v>89301171</v>
      </c>
      <c r="E9055" t="str">
        <f t="shared" si="1613"/>
        <v>9207085734</v>
      </c>
      <c r="F9055" s="1">
        <v>45091</v>
      </c>
      <c r="G9055" t="str">
        <f t="shared" si="1614"/>
        <v>91413</v>
      </c>
      <c r="H9055">
        <v>1</v>
      </c>
      <c r="I9055">
        <v>868</v>
      </c>
      <c r="J9055">
        <v>0</v>
      </c>
      <c r="K9055" t="str">
        <f t="shared" si="1615"/>
        <v>813</v>
      </c>
      <c r="L9055">
        <v>729.12</v>
      </c>
    </row>
    <row r="9056" spans="1:12" x14ac:dyDescent="0.25">
      <c r="A9056" t="str">
        <f t="shared" si="1610"/>
        <v>89301000</v>
      </c>
      <c r="B9056" t="str">
        <f t="shared" si="1602"/>
        <v>06539000</v>
      </c>
      <c r="C9056" t="str">
        <f t="shared" si="1612"/>
        <v>06539003</v>
      </c>
      <c r="D9056">
        <v>89301171</v>
      </c>
      <c r="E9056" t="str">
        <f t="shared" si="1613"/>
        <v>9207085734</v>
      </c>
      <c r="F9056" s="1">
        <v>45110</v>
      </c>
      <c r="G9056" t="str">
        <f t="shared" si="1614"/>
        <v>91413</v>
      </c>
      <c r="H9056">
        <v>1</v>
      </c>
      <c r="I9056">
        <v>868</v>
      </c>
      <c r="J9056">
        <v>0</v>
      </c>
      <c r="K9056" t="str">
        <f t="shared" si="1615"/>
        <v>813</v>
      </c>
      <c r="L9056">
        <v>729.12</v>
      </c>
    </row>
    <row r="9057" spans="1:12" x14ac:dyDescent="0.25">
      <c r="A9057" t="str">
        <f t="shared" si="1610"/>
        <v>89301000</v>
      </c>
      <c r="B9057" t="str">
        <f t="shared" si="1602"/>
        <v>06539000</v>
      </c>
      <c r="C9057" t="str">
        <f t="shared" si="1612"/>
        <v>06539003</v>
      </c>
      <c r="D9057">
        <v>89301171</v>
      </c>
      <c r="E9057" t="str">
        <f t="shared" si="1613"/>
        <v>9207085734</v>
      </c>
      <c r="F9057" s="1">
        <v>45110</v>
      </c>
      <c r="G9057" t="str">
        <f t="shared" si="1614"/>
        <v>91413</v>
      </c>
      <c r="H9057">
        <v>1</v>
      </c>
      <c r="I9057">
        <v>868</v>
      </c>
      <c r="J9057">
        <v>0</v>
      </c>
      <c r="K9057" t="str">
        <f t="shared" si="1615"/>
        <v>813</v>
      </c>
      <c r="L9057">
        <v>729.12</v>
      </c>
    </row>
    <row r="9058" spans="1:12" x14ac:dyDescent="0.25">
      <c r="A9058" t="str">
        <f t="shared" si="1610"/>
        <v>89301000</v>
      </c>
      <c r="B9058" t="str">
        <f t="shared" si="1602"/>
        <v>06539000</v>
      </c>
      <c r="C9058" t="str">
        <f t="shared" si="1612"/>
        <v>06539003</v>
      </c>
      <c r="D9058">
        <v>89301171</v>
      </c>
      <c r="E9058" t="str">
        <f t="shared" si="1613"/>
        <v>9207085734</v>
      </c>
      <c r="F9058" s="1">
        <v>45111</v>
      </c>
      <c r="G9058" t="str">
        <f t="shared" si="1614"/>
        <v>91413</v>
      </c>
      <c r="H9058">
        <v>1</v>
      </c>
      <c r="I9058">
        <v>868</v>
      </c>
      <c r="J9058">
        <v>0</v>
      </c>
      <c r="K9058" t="str">
        <f t="shared" si="1615"/>
        <v>813</v>
      </c>
      <c r="L9058">
        <v>729.12</v>
      </c>
    </row>
    <row r="9059" spans="1:12" x14ac:dyDescent="0.25">
      <c r="A9059" t="str">
        <f t="shared" si="1610"/>
        <v>89301000</v>
      </c>
      <c r="B9059" t="str">
        <f t="shared" si="1602"/>
        <v>06539000</v>
      </c>
      <c r="C9059" t="str">
        <f t="shared" si="1612"/>
        <v>06539003</v>
      </c>
      <c r="D9059">
        <v>89301171</v>
      </c>
      <c r="E9059" t="str">
        <f t="shared" si="1613"/>
        <v>9207085734</v>
      </c>
      <c r="F9059" s="1">
        <v>45111</v>
      </c>
      <c r="G9059" t="str">
        <f t="shared" si="1614"/>
        <v>91413</v>
      </c>
      <c r="H9059">
        <v>1</v>
      </c>
      <c r="I9059">
        <v>868</v>
      </c>
      <c r="J9059">
        <v>0</v>
      </c>
      <c r="K9059" t="str">
        <f t="shared" si="1615"/>
        <v>813</v>
      </c>
      <c r="L9059">
        <v>729.12</v>
      </c>
    </row>
    <row r="9060" spans="1:12" x14ac:dyDescent="0.25">
      <c r="A9060" t="str">
        <f t="shared" si="1610"/>
        <v>89301000</v>
      </c>
      <c r="B9060" t="str">
        <f t="shared" si="1602"/>
        <v>06539000</v>
      </c>
      <c r="C9060" t="str">
        <f t="shared" si="1612"/>
        <v>06539003</v>
      </c>
      <c r="D9060">
        <v>89301171</v>
      </c>
      <c r="E9060" t="str">
        <f t="shared" si="1613"/>
        <v>9207085734</v>
      </c>
      <c r="F9060" s="1">
        <v>45110</v>
      </c>
      <c r="G9060" t="str">
        <f t="shared" si="1614"/>
        <v>91413</v>
      </c>
      <c r="H9060">
        <v>1</v>
      </c>
      <c r="I9060">
        <v>868</v>
      </c>
      <c r="J9060">
        <v>0</v>
      </c>
      <c r="K9060" t="str">
        <f t="shared" si="1615"/>
        <v>813</v>
      </c>
      <c r="L9060">
        <v>729.12</v>
      </c>
    </row>
    <row r="9061" spans="1:12" x14ac:dyDescent="0.25">
      <c r="A9061" t="str">
        <f t="shared" si="1610"/>
        <v>89301000</v>
      </c>
      <c r="B9061" t="str">
        <f t="shared" si="1602"/>
        <v>06539000</v>
      </c>
      <c r="C9061" t="str">
        <f t="shared" si="1612"/>
        <v>06539003</v>
      </c>
      <c r="D9061">
        <v>89301171</v>
      </c>
      <c r="E9061" t="str">
        <f t="shared" si="1613"/>
        <v>9207085734</v>
      </c>
      <c r="F9061" s="1">
        <v>45110</v>
      </c>
      <c r="G9061" t="str">
        <f t="shared" si="1614"/>
        <v>91413</v>
      </c>
      <c r="H9061">
        <v>1</v>
      </c>
      <c r="I9061">
        <v>868</v>
      </c>
      <c r="J9061">
        <v>0</v>
      </c>
      <c r="K9061" t="str">
        <f t="shared" si="1615"/>
        <v>813</v>
      </c>
      <c r="L9061">
        <v>729.12</v>
      </c>
    </row>
    <row r="9062" spans="1:12" x14ac:dyDescent="0.25">
      <c r="A9062" t="str">
        <f t="shared" si="1610"/>
        <v>89301000</v>
      </c>
      <c r="B9062" t="str">
        <f t="shared" si="1602"/>
        <v>06539000</v>
      </c>
      <c r="C9062" t="str">
        <f t="shared" si="1612"/>
        <v>06539003</v>
      </c>
      <c r="D9062">
        <v>89301171</v>
      </c>
      <c r="E9062" t="str">
        <f t="shared" si="1613"/>
        <v>9207085734</v>
      </c>
      <c r="F9062" s="1">
        <v>45110</v>
      </c>
      <c r="G9062" t="str">
        <f t="shared" si="1614"/>
        <v>91413</v>
      </c>
      <c r="H9062">
        <v>1</v>
      </c>
      <c r="I9062">
        <v>868</v>
      </c>
      <c r="J9062">
        <v>0</v>
      </c>
      <c r="K9062" t="str">
        <f t="shared" si="1615"/>
        <v>813</v>
      </c>
      <c r="L9062">
        <v>729.12</v>
      </c>
    </row>
    <row r="9063" spans="1:12" x14ac:dyDescent="0.25">
      <c r="A9063" t="str">
        <f t="shared" si="1610"/>
        <v>89301000</v>
      </c>
      <c r="B9063" t="str">
        <f t="shared" si="1602"/>
        <v>06539000</v>
      </c>
      <c r="C9063" t="str">
        <f t="shared" si="1612"/>
        <v>06539003</v>
      </c>
      <c r="D9063">
        <v>89301171</v>
      </c>
      <c r="E9063" t="str">
        <f t="shared" si="1613"/>
        <v>9207085734</v>
      </c>
      <c r="F9063" s="1">
        <v>45110</v>
      </c>
      <c r="G9063" t="str">
        <f t="shared" si="1614"/>
        <v>91413</v>
      </c>
      <c r="H9063">
        <v>1</v>
      </c>
      <c r="I9063">
        <v>868</v>
      </c>
      <c r="J9063">
        <v>0</v>
      </c>
      <c r="K9063" t="str">
        <f t="shared" si="1615"/>
        <v>813</v>
      </c>
      <c r="L9063">
        <v>729.12</v>
      </c>
    </row>
    <row r="9064" spans="1:12" x14ac:dyDescent="0.25">
      <c r="A9064" t="str">
        <f t="shared" si="1610"/>
        <v>89301000</v>
      </c>
      <c r="B9064" t="str">
        <f t="shared" si="1602"/>
        <v>06539000</v>
      </c>
      <c r="C9064" t="str">
        <f t="shared" si="1612"/>
        <v>06539003</v>
      </c>
      <c r="D9064">
        <v>89301171</v>
      </c>
      <c r="E9064" t="str">
        <f t="shared" si="1613"/>
        <v>9207085734</v>
      </c>
      <c r="F9064" s="1">
        <v>45089</v>
      </c>
      <c r="G9064" t="str">
        <f t="shared" ref="G9064:G9069" si="1616">"91197"</f>
        <v>91197</v>
      </c>
      <c r="H9064">
        <v>1</v>
      </c>
      <c r="I9064">
        <v>1048</v>
      </c>
      <c r="J9064">
        <v>0</v>
      </c>
      <c r="K9064" t="str">
        <f t="shared" si="1615"/>
        <v>813</v>
      </c>
      <c r="L9064">
        <v>880.32</v>
      </c>
    </row>
    <row r="9065" spans="1:12" x14ac:dyDescent="0.25">
      <c r="A9065" t="str">
        <f t="shared" si="1610"/>
        <v>89301000</v>
      </c>
      <c r="B9065" t="str">
        <f t="shared" si="1602"/>
        <v>06539000</v>
      </c>
      <c r="C9065" t="str">
        <f t="shared" si="1612"/>
        <v>06539003</v>
      </c>
      <c r="D9065">
        <v>89301171</v>
      </c>
      <c r="E9065" t="str">
        <f t="shared" si="1613"/>
        <v>9207085734</v>
      </c>
      <c r="F9065" s="1">
        <v>45089</v>
      </c>
      <c r="G9065" t="str">
        <f t="shared" si="1616"/>
        <v>91197</v>
      </c>
      <c r="H9065">
        <v>1</v>
      </c>
      <c r="I9065">
        <v>1048</v>
      </c>
      <c r="J9065">
        <v>0</v>
      </c>
      <c r="K9065" t="str">
        <f t="shared" si="1615"/>
        <v>813</v>
      </c>
      <c r="L9065">
        <v>880.32</v>
      </c>
    </row>
    <row r="9066" spans="1:12" x14ac:dyDescent="0.25">
      <c r="A9066" t="str">
        <f t="shared" si="1610"/>
        <v>89301000</v>
      </c>
      <c r="B9066" t="str">
        <f t="shared" si="1602"/>
        <v>06539000</v>
      </c>
      <c r="C9066" t="str">
        <f t="shared" si="1612"/>
        <v>06539003</v>
      </c>
      <c r="D9066">
        <v>89301171</v>
      </c>
      <c r="E9066" t="str">
        <f t="shared" si="1613"/>
        <v>9207085734</v>
      </c>
      <c r="F9066" s="1">
        <v>45088</v>
      </c>
      <c r="G9066" t="str">
        <f t="shared" si="1616"/>
        <v>91197</v>
      </c>
      <c r="H9066">
        <v>1</v>
      </c>
      <c r="I9066">
        <v>1048</v>
      </c>
      <c r="J9066">
        <v>0</v>
      </c>
      <c r="K9066" t="str">
        <f t="shared" si="1615"/>
        <v>813</v>
      </c>
      <c r="L9066">
        <v>880.32</v>
      </c>
    </row>
    <row r="9067" spans="1:12" x14ac:dyDescent="0.25">
      <c r="A9067" t="str">
        <f t="shared" si="1610"/>
        <v>89301000</v>
      </c>
      <c r="B9067" t="str">
        <f t="shared" si="1602"/>
        <v>06539000</v>
      </c>
      <c r="C9067" t="str">
        <f t="shared" si="1612"/>
        <v>06539003</v>
      </c>
      <c r="D9067">
        <v>89301171</v>
      </c>
      <c r="E9067" t="str">
        <f t="shared" si="1613"/>
        <v>9207085734</v>
      </c>
      <c r="F9067" s="1">
        <v>45088</v>
      </c>
      <c r="G9067" t="str">
        <f t="shared" si="1616"/>
        <v>91197</v>
      </c>
      <c r="H9067">
        <v>1</v>
      </c>
      <c r="I9067">
        <v>1048</v>
      </c>
      <c r="J9067">
        <v>0</v>
      </c>
      <c r="K9067" t="str">
        <f t="shared" si="1615"/>
        <v>813</v>
      </c>
      <c r="L9067">
        <v>880.32</v>
      </c>
    </row>
    <row r="9068" spans="1:12" x14ac:dyDescent="0.25">
      <c r="A9068" t="str">
        <f t="shared" si="1610"/>
        <v>89301000</v>
      </c>
      <c r="B9068" t="str">
        <f t="shared" si="1602"/>
        <v>06539000</v>
      </c>
      <c r="C9068" t="str">
        <f t="shared" si="1612"/>
        <v>06539003</v>
      </c>
      <c r="D9068">
        <v>89301171</v>
      </c>
      <c r="E9068" t="str">
        <f t="shared" si="1613"/>
        <v>9207085734</v>
      </c>
      <c r="F9068" s="1">
        <v>45087</v>
      </c>
      <c r="G9068" t="str">
        <f t="shared" si="1616"/>
        <v>91197</v>
      </c>
      <c r="H9068">
        <v>1</v>
      </c>
      <c r="I9068">
        <v>1048</v>
      </c>
      <c r="J9068">
        <v>0</v>
      </c>
      <c r="K9068" t="str">
        <f t="shared" si="1615"/>
        <v>813</v>
      </c>
      <c r="L9068">
        <v>880.32</v>
      </c>
    </row>
    <row r="9069" spans="1:12" x14ac:dyDescent="0.25">
      <c r="A9069" t="str">
        <f t="shared" si="1610"/>
        <v>89301000</v>
      </c>
      <c r="B9069" t="str">
        <f t="shared" ref="B9069:B9132" si="1617">"06539000"</f>
        <v>06539000</v>
      </c>
      <c r="C9069" t="str">
        <f t="shared" si="1612"/>
        <v>06539003</v>
      </c>
      <c r="D9069">
        <v>89301171</v>
      </c>
      <c r="E9069" t="str">
        <f t="shared" si="1613"/>
        <v>9207085734</v>
      </c>
      <c r="F9069" s="1">
        <v>45087</v>
      </c>
      <c r="G9069" t="str">
        <f t="shared" si="1616"/>
        <v>91197</v>
      </c>
      <c r="H9069">
        <v>1</v>
      </c>
      <c r="I9069">
        <v>1048</v>
      </c>
      <c r="J9069">
        <v>0</v>
      </c>
      <c r="K9069" t="str">
        <f t="shared" si="1615"/>
        <v>813</v>
      </c>
      <c r="L9069">
        <v>880.32</v>
      </c>
    </row>
    <row r="9070" spans="1:12" x14ac:dyDescent="0.25">
      <c r="A9070" t="str">
        <f t="shared" si="1610"/>
        <v>89301000</v>
      </c>
      <c r="B9070" t="str">
        <f t="shared" si="1617"/>
        <v>06539000</v>
      </c>
      <c r="C9070" t="str">
        <f t="shared" si="1612"/>
        <v>06539003</v>
      </c>
      <c r="D9070">
        <v>89301171</v>
      </c>
      <c r="E9070" t="str">
        <f t="shared" si="1613"/>
        <v>9207085734</v>
      </c>
      <c r="F9070" s="1">
        <v>45110</v>
      </c>
      <c r="G9070" t="str">
        <f>"91329"</f>
        <v>91329</v>
      </c>
      <c r="H9070">
        <v>2</v>
      </c>
      <c r="I9070">
        <v>436</v>
      </c>
      <c r="J9070">
        <v>0</v>
      </c>
      <c r="K9070" t="str">
        <f t="shared" si="1615"/>
        <v>813</v>
      </c>
      <c r="L9070">
        <v>366.24</v>
      </c>
    </row>
    <row r="9071" spans="1:12" x14ac:dyDescent="0.25">
      <c r="A9071" t="str">
        <f t="shared" si="1610"/>
        <v>89301000</v>
      </c>
      <c r="B9071" t="str">
        <f t="shared" si="1617"/>
        <v>06539000</v>
      </c>
      <c r="C9071" t="str">
        <f t="shared" si="1612"/>
        <v>06539003</v>
      </c>
      <c r="D9071">
        <v>89301171</v>
      </c>
      <c r="E9071" t="str">
        <f t="shared" si="1613"/>
        <v>9207085734</v>
      </c>
      <c r="F9071" s="1">
        <v>45110</v>
      </c>
      <c r="G9071" t="str">
        <f>"91329"</f>
        <v>91329</v>
      </c>
      <c r="H9071">
        <v>2</v>
      </c>
      <c r="I9071">
        <v>436</v>
      </c>
      <c r="J9071">
        <v>0</v>
      </c>
      <c r="K9071" t="str">
        <f t="shared" si="1615"/>
        <v>813</v>
      </c>
      <c r="L9071">
        <v>366.24</v>
      </c>
    </row>
    <row r="9072" spans="1:12" x14ac:dyDescent="0.25">
      <c r="A9072" t="str">
        <f t="shared" si="1610"/>
        <v>89301000</v>
      </c>
      <c r="B9072" t="str">
        <f t="shared" si="1617"/>
        <v>06539000</v>
      </c>
      <c r="C9072" t="str">
        <f t="shared" si="1612"/>
        <v>06539003</v>
      </c>
      <c r="D9072">
        <v>89301171</v>
      </c>
      <c r="E9072" t="str">
        <f t="shared" si="1613"/>
        <v>9207085734</v>
      </c>
      <c r="F9072" s="1">
        <v>45110</v>
      </c>
      <c r="G9072" t="str">
        <f>"91329"</f>
        <v>91329</v>
      </c>
      <c r="H9072">
        <v>2</v>
      </c>
      <c r="I9072">
        <v>436</v>
      </c>
      <c r="J9072">
        <v>0</v>
      </c>
      <c r="K9072" t="str">
        <f t="shared" si="1615"/>
        <v>813</v>
      </c>
      <c r="L9072">
        <v>366.24</v>
      </c>
    </row>
    <row r="9073" spans="1:12" x14ac:dyDescent="0.25">
      <c r="A9073" t="str">
        <f t="shared" si="1610"/>
        <v>89301000</v>
      </c>
      <c r="B9073" t="str">
        <f t="shared" si="1617"/>
        <v>06539000</v>
      </c>
      <c r="C9073" t="str">
        <f t="shared" si="1612"/>
        <v>06539003</v>
      </c>
      <c r="D9073">
        <v>89301171</v>
      </c>
      <c r="E9073" t="str">
        <f t="shared" si="1613"/>
        <v>9207085734</v>
      </c>
      <c r="F9073" s="1">
        <v>45110</v>
      </c>
      <c r="G9073" t="str">
        <f>"91329"</f>
        <v>91329</v>
      </c>
      <c r="H9073">
        <v>2</v>
      </c>
      <c r="I9073">
        <v>436</v>
      </c>
      <c r="J9073">
        <v>0</v>
      </c>
      <c r="K9073" t="str">
        <f t="shared" si="1615"/>
        <v>813</v>
      </c>
      <c r="L9073">
        <v>366.24</v>
      </c>
    </row>
    <row r="9074" spans="1:12" x14ac:dyDescent="0.25">
      <c r="A9074" t="str">
        <f t="shared" si="1610"/>
        <v>89301000</v>
      </c>
      <c r="B9074" t="str">
        <f t="shared" si="1617"/>
        <v>06539000</v>
      </c>
      <c r="C9074" t="str">
        <f t="shared" si="1612"/>
        <v>06539003</v>
      </c>
      <c r="D9074">
        <v>89301171</v>
      </c>
      <c r="E9074" t="str">
        <f t="shared" si="1613"/>
        <v>9207085734</v>
      </c>
      <c r="F9074" s="1">
        <v>45087</v>
      </c>
      <c r="G9074" t="str">
        <f>"91167"</f>
        <v>91167</v>
      </c>
      <c r="H9074">
        <v>1</v>
      </c>
      <c r="I9074">
        <v>426</v>
      </c>
      <c r="J9074">
        <v>0</v>
      </c>
      <c r="K9074" t="str">
        <f t="shared" si="1615"/>
        <v>813</v>
      </c>
      <c r="L9074">
        <v>357.84</v>
      </c>
    </row>
    <row r="9075" spans="1:12" x14ac:dyDescent="0.25">
      <c r="A9075" t="str">
        <f t="shared" si="1610"/>
        <v>89301000</v>
      </c>
      <c r="B9075" t="str">
        <f t="shared" si="1617"/>
        <v>06539000</v>
      </c>
      <c r="C9075" t="str">
        <f t="shared" si="1612"/>
        <v>06539003</v>
      </c>
      <c r="D9075">
        <v>89301171</v>
      </c>
      <c r="E9075" t="str">
        <f t="shared" si="1613"/>
        <v>9207085734</v>
      </c>
      <c r="F9075" s="1">
        <v>45087</v>
      </c>
      <c r="G9075" t="str">
        <f>"91169"</f>
        <v>91169</v>
      </c>
      <c r="H9075">
        <v>1</v>
      </c>
      <c r="I9075">
        <v>426</v>
      </c>
      <c r="J9075">
        <v>0</v>
      </c>
      <c r="K9075" t="str">
        <f t="shared" si="1615"/>
        <v>813</v>
      </c>
      <c r="L9075">
        <v>357.84</v>
      </c>
    </row>
    <row r="9076" spans="1:12" x14ac:dyDescent="0.25">
      <c r="A9076" t="str">
        <f t="shared" si="1610"/>
        <v>89301000</v>
      </c>
      <c r="B9076" t="str">
        <f t="shared" si="1617"/>
        <v>06539000</v>
      </c>
      <c r="C9076" t="str">
        <f t="shared" si="1612"/>
        <v>06539003</v>
      </c>
      <c r="D9076">
        <v>89301171</v>
      </c>
      <c r="E9076" t="str">
        <f t="shared" si="1613"/>
        <v>9207085734</v>
      </c>
      <c r="F9076" s="1">
        <v>45091</v>
      </c>
      <c r="G9076" t="str">
        <f>"91475"</f>
        <v>91475</v>
      </c>
      <c r="H9076">
        <v>1</v>
      </c>
      <c r="I9076">
        <v>213</v>
      </c>
      <c r="J9076">
        <v>0</v>
      </c>
      <c r="K9076" t="str">
        <f t="shared" si="1615"/>
        <v>813</v>
      </c>
      <c r="L9076">
        <v>178.92</v>
      </c>
    </row>
    <row r="9077" spans="1:12" x14ac:dyDescent="0.25">
      <c r="A9077" t="str">
        <f t="shared" si="1610"/>
        <v>89301000</v>
      </c>
      <c r="B9077" t="str">
        <f t="shared" si="1617"/>
        <v>06539000</v>
      </c>
      <c r="C9077" t="str">
        <f t="shared" si="1612"/>
        <v>06539003</v>
      </c>
      <c r="D9077">
        <v>89301103</v>
      </c>
      <c r="E9077" t="str">
        <f t="shared" ref="E9077:E9089" si="1618">"1951200152"</f>
        <v>1951200152</v>
      </c>
      <c r="F9077" s="1">
        <v>45091</v>
      </c>
      <c r="G9077" t="str">
        <f t="shared" ref="G9077:G9086" si="1619">"91413"</f>
        <v>91413</v>
      </c>
      <c r="H9077">
        <v>1</v>
      </c>
      <c r="I9077">
        <v>868</v>
      </c>
      <c r="J9077">
        <v>0</v>
      </c>
      <c r="K9077" t="str">
        <f t="shared" si="1615"/>
        <v>813</v>
      </c>
      <c r="L9077">
        <v>729.12</v>
      </c>
    </row>
    <row r="9078" spans="1:12" x14ac:dyDescent="0.25">
      <c r="A9078" t="str">
        <f t="shared" si="1610"/>
        <v>89301000</v>
      </c>
      <c r="B9078" t="str">
        <f t="shared" si="1617"/>
        <v>06539000</v>
      </c>
      <c r="C9078" t="str">
        <f t="shared" si="1612"/>
        <v>06539003</v>
      </c>
      <c r="D9078">
        <v>89301103</v>
      </c>
      <c r="E9078" t="str">
        <f t="shared" si="1618"/>
        <v>1951200152</v>
      </c>
      <c r="F9078" s="1">
        <v>45091</v>
      </c>
      <c r="G9078" t="str">
        <f t="shared" si="1619"/>
        <v>91413</v>
      </c>
      <c r="H9078">
        <v>1</v>
      </c>
      <c r="I9078">
        <v>868</v>
      </c>
      <c r="J9078">
        <v>0</v>
      </c>
      <c r="K9078" t="str">
        <f t="shared" si="1615"/>
        <v>813</v>
      </c>
      <c r="L9078">
        <v>729.12</v>
      </c>
    </row>
    <row r="9079" spans="1:12" x14ac:dyDescent="0.25">
      <c r="A9079" t="str">
        <f t="shared" si="1610"/>
        <v>89301000</v>
      </c>
      <c r="B9079" t="str">
        <f t="shared" si="1617"/>
        <v>06539000</v>
      </c>
      <c r="C9079" t="str">
        <f t="shared" si="1612"/>
        <v>06539003</v>
      </c>
      <c r="D9079">
        <v>89301103</v>
      </c>
      <c r="E9079" t="str">
        <f t="shared" si="1618"/>
        <v>1951200152</v>
      </c>
      <c r="F9079" s="1">
        <v>45110</v>
      </c>
      <c r="G9079" t="str">
        <f t="shared" si="1619"/>
        <v>91413</v>
      </c>
      <c r="H9079">
        <v>1</v>
      </c>
      <c r="I9079">
        <v>868</v>
      </c>
      <c r="J9079">
        <v>0</v>
      </c>
      <c r="K9079" t="str">
        <f t="shared" si="1615"/>
        <v>813</v>
      </c>
      <c r="L9079">
        <v>729.12</v>
      </c>
    </row>
    <row r="9080" spans="1:12" x14ac:dyDescent="0.25">
      <c r="A9080" t="str">
        <f t="shared" si="1610"/>
        <v>89301000</v>
      </c>
      <c r="B9080" t="str">
        <f t="shared" si="1617"/>
        <v>06539000</v>
      </c>
      <c r="C9080" t="str">
        <f t="shared" si="1612"/>
        <v>06539003</v>
      </c>
      <c r="D9080">
        <v>89301103</v>
      </c>
      <c r="E9080" t="str">
        <f t="shared" si="1618"/>
        <v>1951200152</v>
      </c>
      <c r="F9080" s="1">
        <v>45110</v>
      </c>
      <c r="G9080" t="str">
        <f t="shared" si="1619"/>
        <v>91413</v>
      </c>
      <c r="H9080">
        <v>1</v>
      </c>
      <c r="I9080">
        <v>868</v>
      </c>
      <c r="J9080">
        <v>0</v>
      </c>
      <c r="K9080" t="str">
        <f t="shared" si="1615"/>
        <v>813</v>
      </c>
      <c r="L9080">
        <v>729.12</v>
      </c>
    </row>
    <row r="9081" spans="1:12" x14ac:dyDescent="0.25">
      <c r="A9081" t="str">
        <f t="shared" si="1610"/>
        <v>89301000</v>
      </c>
      <c r="B9081" t="str">
        <f t="shared" si="1617"/>
        <v>06539000</v>
      </c>
      <c r="C9081" t="str">
        <f t="shared" si="1612"/>
        <v>06539003</v>
      </c>
      <c r="D9081">
        <v>89301103</v>
      </c>
      <c r="E9081" t="str">
        <f t="shared" si="1618"/>
        <v>1951200152</v>
      </c>
      <c r="F9081" s="1">
        <v>45111</v>
      </c>
      <c r="G9081" t="str">
        <f t="shared" si="1619"/>
        <v>91413</v>
      </c>
      <c r="H9081">
        <v>1</v>
      </c>
      <c r="I9081">
        <v>868</v>
      </c>
      <c r="J9081">
        <v>0</v>
      </c>
      <c r="K9081" t="str">
        <f t="shared" si="1615"/>
        <v>813</v>
      </c>
      <c r="L9081">
        <v>729.12</v>
      </c>
    </row>
    <row r="9082" spans="1:12" x14ac:dyDescent="0.25">
      <c r="A9082" t="str">
        <f t="shared" si="1610"/>
        <v>89301000</v>
      </c>
      <c r="B9082" t="str">
        <f t="shared" si="1617"/>
        <v>06539000</v>
      </c>
      <c r="C9082" t="str">
        <f t="shared" si="1612"/>
        <v>06539003</v>
      </c>
      <c r="D9082">
        <v>89301103</v>
      </c>
      <c r="E9082" t="str">
        <f t="shared" si="1618"/>
        <v>1951200152</v>
      </c>
      <c r="F9082" s="1">
        <v>45111</v>
      </c>
      <c r="G9082" t="str">
        <f t="shared" si="1619"/>
        <v>91413</v>
      </c>
      <c r="H9082">
        <v>1</v>
      </c>
      <c r="I9082">
        <v>868</v>
      </c>
      <c r="J9082">
        <v>0</v>
      </c>
      <c r="K9082" t="str">
        <f t="shared" si="1615"/>
        <v>813</v>
      </c>
      <c r="L9082">
        <v>729.12</v>
      </c>
    </row>
    <row r="9083" spans="1:12" x14ac:dyDescent="0.25">
      <c r="A9083" t="str">
        <f t="shared" si="1610"/>
        <v>89301000</v>
      </c>
      <c r="B9083" t="str">
        <f t="shared" si="1617"/>
        <v>06539000</v>
      </c>
      <c r="C9083" t="str">
        <f t="shared" si="1612"/>
        <v>06539003</v>
      </c>
      <c r="D9083">
        <v>89301103</v>
      </c>
      <c r="E9083" t="str">
        <f t="shared" si="1618"/>
        <v>1951200152</v>
      </c>
      <c r="F9083" s="1">
        <v>45110</v>
      </c>
      <c r="G9083" t="str">
        <f t="shared" si="1619"/>
        <v>91413</v>
      </c>
      <c r="H9083">
        <v>1</v>
      </c>
      <c r="I9083">
        <v>868</v>
      </c>
      <c r="J9083">
        <v>0</v>
      </c>
      <c r="K9083" t="str">
        <f t="shared" si="1615"/>
        <v>813</v>
      </c>
      <c r="L9083">
        <v>729.12</v>
      </c>
    </row>
    <row r="9084" spans="1:12" x14ac:dyDescent="0.25">
      <c r="A9084" t="str">
        <f t="shared" si="1610"/>
        <v>89301000</v>
      </c>
      <c r="B9084" t="str">
        <f t="shared" si="1617"/>
        <v>06539000</v>
      </c>
      <c r="C9084" t="str">
        <f t="shared" si="1612"/>
        <v>06539003</v>
      </c>
      <c r="D9084">
        <v>89301103</v>
      </c>
      <c r="E9084" t="str">
        <f t="shared" si="1618"/>
        <v>1951200152</v>
      </c>
      <c r="F9084" s="1">
        <v>45110</v>
      </c>
      <c r="G9084" t="str">
        <f t="shared" si="1619"/>
        <v>91413</v>
      </c>
      <c r="H9084">
        <v>1</v>
      </c>
      <c r="I9084">
        <v>868</v>
      </c>
      <c r="J9084">
        <v>0</v>
      </c>
      <c r="K9084" t="str">
        <f t="shared" si="1615"/>
        <v>813</v>
      </c>
      <c r="L9084">
        <v>729.12</v>
      </c>
    </row>
    <row r="9085" spans="1:12" x14ac:dyDescent="0.25">
      <c r="A9085" t="str">
        <f t="shared" si="1610"/>
        <v>89301000</v>
      </c>
      <c r="B9085" t="str">
        <f t="shared" si="1617"/>
        <v>06539000</v>
      </c>
      <c r="C9085" t="str">
        <f t="shared" si="1612"/>
        <v>06539003</v>
      </c>
      <c r="D9085">
        <v>89301103</v>
      </c>
      <c r="E9085" t="str">
        <f t="shared" si="1618"/>
        <v>1951200152</v>
      </c>
      <c r="F9085" s="1">
        <v>45110</v>
      </c>
      <c r="G9085" t="str">
        <f t="shared" si="1619"/>
        <v>91413</v>
      </c>
      <c r="H9085">
        <v>1</v>
      </c>
      <c r="I9085">
        <v>868</v>
      </c>
      <c r="J9085">
        <v>0</v>
      </c>
      <c r="K9085" t="str">
        <f t="shared" si="1615"/>
        <v>813</v>
      </c>
      <c r="L9085">
        <v>729.12</v>
      </c>
    </row>
    <row r="9086" spans="1:12" x14ac:dyDescent="0.25">
      <c r="A9086" t="str">
        <f t="shared" si="1610"/>
        <v>89301000</v>
      </c>
      <c r="B9086" t="str">
        <f t="shared" si="1617"/>
        <v>06539000</v>
      </c>
      <c r="C9086" t="str">
        <f t="shared" si="1612"/>
        <v>06539003</v>
      </c>
      <c r="D9086">
        <v>89301103</v>
      </c>
      <c r="E9086" t="str">
        <f t="shared" si="1618"/>
        <v>1951200152</v>
      </c>
      <c r="F9086" s="1">
        <v>45110</v>
      </c>
      <c r="G9086" t="str">
        <f t="shared" si="1619"/>
        <v>91413</v>
      </c>
      <c r="H9086">
        <v>1</v>
      </c>
      <c r="I9086">
        <v>868</v>
      </c>
      <c r="J9086">
        <v>0</v>
      </c>
      <c r="K9086" t="str">
        <f t="shared" si="1615"/>
        <v>813</v>
      </c>
      <c r="L9086">
        <v>729.12</v>
      </c>
    </row>
    <row r="9087" spans="1:12" x14ac:dyDescent="0.25">
      <c r="A9087" t="str">
        <f t="shared" si="1610"/>
        <v>89301000</v>
      </c>
      <c r="B9087" t="str">
        <f t="shared" si="1617"/>
        <v>06539000</v>
      </c>
      <c r="C9087" t="str">
        <f t="shared" si="1612"/>
        <v>06539003</v>
      </c>
      <c r="D9087">
        <v>89301103</v>
      </c>
      <c r="E9087" t="str">
        <f t="shared" si="1618"/>
        <v>1951200152</v>
      </c>
      <c r="F9087" s="1">
        <v>45097</v>
      </c>
      <c r="G9087" t="str">
        <f>"91495"</f>
        <v>91495</v>
      </c>
      <c r="H9087">
        <v>1</v>
      </c>
      <c r="I9087">
        <v>595</v>
      </c>
      <c r="J9087">
        <v>0</v>
      </c>
      <c r="K9087" t="str">
        <f t="shared" si="1615"/>
        <v>813</v>
      </c>
      <c r="L9087">
        <v>499.8</v>
      </c>
    </row>
    <row r="9088" spans="1:12" x14ac:dyDescent="0.25">
      <c r="A9088" t="str">
        <f t="shared" si="1610"/>
        <v>89301000</v>
      </c>
      <c r="B9088" t="str">
        <f t="shared" si="1617"/>
        <v>06539000</v>
      </c>
      <c r="C9088" t="str">
        <f t="shared" si="1612"/>
        <v>06539003</v>
      </c>
      <c r="D9088">
        <v>89301103</v>
      </c>
      <c r="E9088" t="str">
        <f t="shared" si="1618"/>
        <v>1951200152</v>
      </c>
      <c r="F9088" s="1">
        <v>45091</v>
      </c>
      <c r="G9088" t="str">
        <f>"91329"</f>
        <v>91329</v>
      </c>
      <c r="H9088">
        <v>2</v>
      </c>
      <c r="I9088">
        <v>436</v>
      </c>
      <c r="J9088">
        <v>0</v>
      </c>
      <c r="K9088" t="str">
        <f t="shared" si="1615"/>
        <v>813</v>
      </c>
      <c r="L9088">
        <v>366.24</v>
      </c>
    </row>
    <row r="9089" spans="1:12" x14ac:dyDescent="0.25">
      <c r="A9089" t="str">
        <f t="shared" si="1610"/>
        <v>89301000</v>
      </c>
      <c r="B9089" t="str">
        <f t="shared" si="1617"/>
        <v>06539000</v>
      </c>
      <c r="C9089" t="str">
        <f t="shared" si="1612"/>
        <v>06539003</v>
      </c>
      <c r="D9089">
        <v>89301103</v>
      </c>
      <c r="E9089" t="str">
        <f t="shared" si="1618"/>
        <v>1951200152</v>
      </c>
      <c r="F9089" s="1">
        <v>45097</v>
      </c>
      <c r="G9089" t="str">
        <f>"91475"</f>
        <v>91475</v>
      </c>
      <c r="H9089">
        <v>1</v>
      </c>
      <c r="I9089">
        <v>213</v>
      </c>
      <c r="J9089">
        <v>0</v>
      </c>
      <c r="K9089" t="str">
        <f t="shared" si="1615"/>
        <v>813</v>
      </c>
      <c r="L9089">
        <v>178.92</v>
      </c>
    </row>
    <row r="9090" spans="1:12" x14ac:dyDescent="0.25">
      <c r="A9090" t="str">
        <f t="shared" ref="A9090:A9153" si="1620">"89301000"</f>
        <v>89301000</v>
      </c>
      <c r="B9090" t="str">
        <f t="shared" si="1617"/>
        <v>06539000</v>
      </c>
      <c r="C9090" t="str">
        <f>"06539001"</f>
        <v>06539001</v>
      </c>
      <c r="D9090">
        <v>89301171</v>
      </c>
      <c r="E9090" t="str">
        <f t="shared" ref="E9090:E9131" si="1621">"6054272070"</f>
        <v>6054272070</v>
      </c>
      <c r="F9090" s="1">
        <v>45093</v>
      </c>
      <c r="G9090" t="str">
        <f>"81329"</f>
        <v>81329</v>
      </c>
      <c r="H9090">
        <v>1</v>
      </c>
      <c r="I9090">
        <v>17</v>
      </c>
      <c r="J9090">
        <v>0</v>
      </c>
      <c r="K9090" t="str">
        <f>"801"</f>
        <v>801</v>
      </c>
      <c r="L9090">
        <v>14.28</v>
      </c>
    </row>
    <row r="9091" spans="1:12" x14ac:dyDescent="0.25">
      <c r="A9091" t="str">
        <f t="shared" si="1620"/>
        <v>89301000</v>
      </c>
      <c r="B9091" t="str">
        <f t="shared" si="1617"/>
        <v>06539000</v>
      </c>
      <c r="C9091" t="str">
        <f>"06539001"</f>
        <v>06539001</v>
      </c>
      <c r="D9091">
        <v>89301171</v>
      </c>
      <c r="E9091" t="str">
        <f t="shared" si="1621"/>
        <v>6054272070</v>
      </c>
      <c r="F9091" s="1">
        <v>45093</v>
      </c>
      <c r="G9091" t="str">
        <f>"81331"</f>
        <v>81331</v>
      </c>
      <c r="H9091">
        <v>1</v>
      </c>
      <c r="I9091">
        <v>193</v>
      </c>
      <c r="J9091">
        <v>0</v>
      </c>
      <c r="K9091" t="str">
        <f>"801"</f>
        <v>801</v>
      </c>
      <c r="L9091">
        <v>162.12</v>
      </c>
    </row>
    <row r="9092" spans="1:12" x14ac:dyDescent="0.25">
      <c r="A9092" t="str">
        <f t="shared" si="1620"/>
        <v>89301000</v>
      </c>
      <c r="B9092" t="str">
        <f t="shared" si="1617"/>
        <v>06539000</v>
      </c>
      <c r="C9092" t="str">
        <f t="shared" ref="C9092:C9099" si="1622">"06539002"</f>
        <v>06539002</v>
      </c>
      <c r="D9092">
        <v>89301171</v>
      </c>
      <c r="E9092" t="str">
        <f t="shared" si="1621"/>
        <v>6054272070</v>
      </c>
      <c r="F9092" s="1">
        <v>45093</v>
      </c>
      <c r="G9092" t="str">
        <f t="shared" ref="G9092:G9099" si="1623">"82097"</f>
        <v>82097</v>
      </c>
      <c r="H9092">
        <v>1</v>
      </c>
      <c r="I9092">
        <v>381</v>
      </c>
      <c r="J9092">
        <v>0</v>
      </c>
      <c r="K9092" t="str">
        <f t="shared" ref="K9092:K9099" si="1624">"802"</f>
        <v>802</v>
      </c>
      <c r="L9092">
        <v>369.57</v>
      </c>
    </row>
    <row r="9093" spans="1:12" x14ac:dyDescent="0.25">
      <c r="A9093" t="str">
        <f t="shared" si="1620"/>
        <v>89301000</v>
      </c>
      <c r="B9093" t="str">
        <f t="shared" si="1617"/>
        <v>06539000</v>
      </c>
      <c r="C9093" t="str">
        <f t="shared" si="1622"/>
        <v>06539002</v>
      </c>
      <c r="D9093">
        <v>89301171</v>
      </c>
      <c r="E9093" t="str">
        <f t="shared" si="1621"/>
        <v>6054272070</v>
      </c>
      <c r="F9093" s="1">
        <v>45093</v>
      </c>
      <c r="G9093" t="str">
        <f t="shared" si="1623"/>
        <v>82097</v>
      </c>
      <c r="H9093">
        <v>1</v>
      </c>
      <c r="I9093">
        <v>381</v>
      </c>
      <c r="J9093">
        <v>0</v>
      </c>
      <c r="K9093" t="str">
        <f t="shared" si="1624"/>
        <v>802</v>
      </c>
      <c r="L9093">
        <v>369.57</v>
      </c>
    </row>
    <row r="9094" spans="1:12" x14ac:dyDescent="0.25">
      <c r="A9094" t="str">
        <f t="shared" si="1620"/>
        <v>89301000</v>
      </c>
      <c r="B9094" t="str">
        <f t="shared" si="1617"/>
        <v>06539000</v>
      </c>
      <c r="C9094" t="str">
        <f t="shared" si="1622"/>
        <v>06539002</v>
      </c>
      <c r="D9094">
        <v>89301171</v>
      </c>
      <c r="E9094" t="str">
        <f t="shared" si="1621"/>
        <v>6054272070</v>
      </c>
      <c r="F9094" s="1">
        <v>45093</v>
      </c>
      <c r="G9094" t="str">
        <f t="shared" si="1623"/>
        <v>82097</v>
      </c>
      <c r="H9094">
        <v>1</v>
      </c>
      <c r="I9094">
        <v>381</v>
      </c>
      <c r="J9094">
        <v>0</v>
      </c>
      <c r="K9094" t="str">
        <f t="shared" si="1624"/>
        <v>802</v>
      </c>
      <c r="L9094">
        <v>369.57</v>
      </c>
    </row>
    <row r="9095" spans="1:12" x14ac:dyDescent="0.25">
      <c r="A9095" t="str">
        <f t="shared" si="1620"/>
        <v>89301000</v>
      </c>
      <c r="B9095" t="str">
        <f t="shared" si="1617"/>
        <v>06539000</v>
      </c>
      <c r="C9095" t="str">
        <f t="shared" si="1622"/>
        <v>06539002</v>
      </c>
      <c r="D9095">
        <v>89301171</v>
      </c>
      <c r="E9095" t="str">
        <f t="shared" si="1621"/>
        <v>6054272070</v>
      </c>
      <c r="F9095" s="1">
        <v>45093</v>
      </c>
      <c r="G9095" t="str">
        <f t="shared" si="1623"/>
        <v>82097</v>
      </c>
      <c r="H9095">
        <v>1</v>
      </c>
      <c r="I9095">
        <v>381</v>
      </c>
      <c r="J9095">
        <v>0</v>
      </c>
      <c r="K9095" t="str">
        <f t="shared" si="1624"/>
        <v>802</v>
      </c>
      <c r="L9095">
        <v>369.57</v>
      </c>
    </row>
    <row r="9096" spans="1:12" x14ac:dyDescent="0.25">
      <c r="A9096" t="str">
        <f t="shared" si="1620"/>
        <v>89301000</v>
      </c>
      <c r="B9096" t="str">
        <f t="shared" si="1617"/>
        <v>06539000</v>
      </c>
      <c r="C9096" t="str">
        <f t="shared" si="1622"/>
        <v>06539002</v>
      </c>
      <c r="D9096">
        <v>89301171</v>
      </c>
      <c r="E9096" t="str">
        <f t="shared" si="1621"/>
        <v>6054272070</v>
      </c>
      <c r="F9096" s="1">
        <v>45093</v>
      </c>
      <c r="G9096" t="str">
        <f t="shared" si="1623"/>
        <v>82097</v>
      </c>
      <c r="H9096">
        <v>1</v>
      </c>
      <c r="I9096">
        <v>381</v>
      </c>
      <c r="J9096">
        <v>0</v>
      </c>
      <c r="K9096" t="str">
        <f t="shared" si="1624"/>
        <v>802</v>
      </c>
      <c r="L9096">
        <v>369.57</v>
      </c>
    </row>
    <row r="9097" spans="1:12" x14ac:dyDescent="0.25">
      <c r="A9097" t="str">
        <f t="shared" si="1620"/>
        <v>89301000</v>
      </c>
      <c r="B9097" t="str">
        <f t="shared" si="1617"/>
        <v>06539000</v>
      </c>
      <c r="C9097" t="str">
        <f t="shared" si="1622"/>
        <v>06539002</v>
      </c>
      <c r="D9097">
        <v>89301171</v>
      </c>
      <c r="E9097" t="str">
        <f t="shared" si="1621"/>
        <v>6054272070</v>
      </c>
      <c r="F9097" s="1">
        <v>45093</v>
      </c>
      <c r="G9097" t="str">
        <f t="shared" si="1623"/>
        <v>82097</v>
      </c>
      <c r="H9097">
        <v>1</v>
      </c>
      <c r="I9097">
        <v>381</v>
      </c>
      <c r="J9097">
        <v>0</v>
      </c>
      <c r="K9097" t="str">
        <f t="shared" si="1624"/>
        <v>802</v>
      </c>
      <c r="L9097">
        <v>369.57</v>
      </c>
    </row>
    <row r="9098" spans="1:12" x14ac:dyDescent="0.25">
      <c r="A9098" t="str">
        <f t="shared" si="1620"/>
        <v>89301000</v>
      </c>
      <c r="B9098" t="str">
        <f t="shared" si="1617"/>
        <v>06539000</v>
      </c>
      <c r="C9098" t="str">
        <f t="shared" si="1622"/>
        <v>06539002</v>
      </c>
      <c r="D9098">
        <v>89301171</v>
      </c>
      <c r="E9098" t="str">
        <f t="shared" si="1621"/>
        <v>6054272070</v>
      </c>
      <c r="F9098" s="1">
        <v>45093</v>
      </c>
      <c r="G9098" t="str">
        <f t="shared" si="1623"/>
        <v>82097</v>
      </c>
      <c r="H9098">
        <v>1</v>
      </c>
      <c r="I9098">
        <v>381</v>
      </c>
      <c r="J9098">
        <v>0</v>
      </c>
      <c r="K9098" t="str">
        <f t="shared" si="1624"/>
        <v>802</v>
      </c>
      <c r="L9098">
        <v>369.57</v>
      </c>
    </row>
    <row r="9099" spans="1:12" x14ac:dyDescent="0.25">
      <c r="A9099" t="str">
        <f t="shared" si="1620"/>
        <v>89301000</v>
      </c>
      <c r="B9099" t="str">
        <f t="shared" si="1617"/>
        <v>06539000</v>
      </c>
      <c r="C9099" t="str">
        <f t="shared" si="1622"/>
        <v>06539002</v>
      </c>
      <c r="D9099">
        <v>89301171</v>
      </c>
      <c r="E9099" t="str">
        <f t="shared" si="1621"/>
        <v>6054272070</v>
      </c>
      <c r="F9099" s="1">
        <v>45093</v>
      </c>
      <c r="G9099" t="str">
        <f t="shared" si="1623"/>
        <v>82097</v>
      </c>
      <c r="H9099">
        <v>1</v>
      </c>
      <c r="I9099">
        <v>381</v>
      </c>
      <c r="J9099">
        <v>0</v>
      </c>
      <c r="K9099" t="str">
        <f t="shared" si="1624"/>
        <v>802</v>
      </c>
      <c r="L9099">
        <v>369.57</v>
      </c>
    </row>
    <row r="9100" spans="1:12" x14ac:dyDescent="0.25">
      <c r="A9100" t="str">
        <f t="shared" si="1620"/>
        <v>89301000</v>
      </c>
      <c r="B9100" t="str">
        <f t="shared" si="1617"/>
        <v>06539000</v>
      </c>
      <c r="C9100" t="str">
        <f t="shared" ref="C9100:C9131" si="1625">"06539003"</f>
        <v>06539003</v>
      </c>
      <c r="D9100">
        <v>89301171</v>
      </c>
      <c r="E9100" t="str">
        <f t="shared" si="1621"/>
        <v>6054272070</v>
      </c>
      <c r="F9100" s="1">
        <v>45098</v>
      </c>
      <c r="G9100" t="str">
        <f t="shared" ref="G9100:G9109" si="1626">"91413"</f>
        <v>91413</v>
      </c>
      <c r="H9100">
        <v>1</v>
      </c>
      <c r="I9100">
        <v>868</v>
      </c>
      <c r="J9100">
        <v>0</v>
      </c>
      <c r="K9100" t="str">
        <f t="shared" ref="K9100:K9131" si="1627">"813"</f>
        <v>813</v>
      </c>
      <c r="L9100">
        <v>729.12</v>
      </c>
    </row>
    <row r="9101" spans="1:12" x14ac:dyDescent="0.25">
      <c r="A9101" t="str">
        <f t="shared" si="1620"/>
        <v>89301000</v>
      </c>
      <c r="B9101" t="str">
        <f t="shared" si="1617"/>
        <v>06539000</v>
      </c>
      <c r="C9101" t="str">
        <f t="shared" si="1625"/>
        <v>06539003</v>
      </c>
      <c r="D9101">
        <v>89301171</v>
      </c>
      <c r="E9101" t="str">
        <f t="shared" si="1621"/>
        <v>6054272070</v>
      </c>
      <c r="F9101" s="1">
        <v>45098</v>
      </c>
      <c r="G9101" t="str">
        <f t="shared" si="1626"/>
        <v>91413</v>
      </c>
      <c r="H9101">
        <v>1</v>
      </c>
      <c r="I9101">
        <v>868</v>
      </c>
      <c r="J9101">
        <v>0</v>
      </c>
      <c r="K9101" t="str">
        <f t="shared" si="1627"/>
        <v>813</v>
      </c>
      <c r="L9101">
        <v>729.12</v>
      </c>
    </row>
    <row r="9102" spans="1:12" x14ac:dyDescent="0.25">
      <c r="A9102" t="str">
        <f t="shared" si="1620"/>
        <v>89301000</v>
      </c>
      <c r="B9102" t="str">
        <f t="shared" si="1617"/>
        <v>06539000</v>
      </c>
      <c r="C9102" t="str">
        <f t="shared" si="1625"/>
        <v>06539003</v>
      </c>
      <c r="D9102">
        <v>89301171</v>
      </c>
      <c r="E9102" t="str">
        <f t="shared" si="1621"/>
        <v>6054272070</v>
      </c>
      <c r="F9102" s="1">
        <v>45119</v>
      </c>
      <c r="G9102" t="str">
        <f t="shared" si="1626"/>
        <v>91413</v>
      </c>
      <c r="H9102">
        <v>1</v>
      </c>
      <c r="I9102">
        <v>868</v>
      </c>
      <c r="J9102">
        <v>0</v>
      </c>
      <c r="K9102" t="str">
        <f t="shared" si="1627"/>
        <v>813</v>
      </c>
      <c r="L9102">
        <v>729.12</v>
      </c>
    </row>
    <row r="9103" spans="1:12" x14ac:dyDescent="0.25">
      <c r="A9103" t="str">
        <f t="shared" si="1620"/>
        <v>89301000</v>
      </c>
      <c r="B9103" t="str">
        <f t="shared" si="1617"/>
        <v>06539000</v>
      </c>
      <c r="C9103" t="str">
        <f t="shared" si="1625"/>
        <v>06539003</v>
      </c>
      <c r="D9103">
        <v>89301171</v>
      </c>
      <c r="E9103" t="str">
        <f t="shared" si="1621"/>
        <v>6054272070</v>
      </c>
      <c r="F9103" s="1">
        <v>45119</v>
      </c>
      <c r="G9103" t="str">
        <f t="shared" si="1626"/>
        <v>91413</v>
      </c>
      <c r="H9103">
        <v>1</v>
      </c>
      <c r="I9103">
        <v>868</v>
      </c>
      <c r="J9103">
        <v>0</v>
      </c>
      <c r="K9103" t="str">
        <f t="shared" si="1627"/>
        <v>813</v>
      </c>
      <c r="L9103">
        <v>729.12</v>
      </c>
    </row>
    <row r="9104" spans="1:12" x14ac:dyDescent="0.25">
      <c r="A9104" t="str">
        <f t="shared" si="1620"/>
        <v>89301000</v>
      </c>
      <c r="B9104" t="str">
        <f t="shared" si="1617"/>
        <v>06539000</v>
      </c>
      <c r="C9104" t="str">
        <f t="shared" si="1625"/>
        <v>06539003</v>
      </c>
      <c r="D9104">
        <v>89301171</v>
      </c>
      <c r="E9104" t="str">
        <f t="shared" si="1621"/>
        <v>6054272070</v>
      </c>
      <c r="F9104" s="1">
        <v>45119</v>
      </c>
      <c r="G9104" t="str">
        <f t="shared" si="1626"/>
        <v>91413</v>
      </c>
      <c r="H9104">
        <v>1</v>
      </c>
      <c r="I9104">
        <v>868</v>
      </c>
      <c r="J9104">
        <v>0</v>
      </c>
      <c r="K9104" t="str">
        <f t="shared" si="1627"/>
        <v>813</v>
      </c>
      <c r="L9104">
        <v>729.12</v>
      </c>
    </row>
    <row r="9105" spans="1:12" x14ac:dyDescent="0.25">
      <c r="A9105" t="str">
        <f t="shared" si="1620"/>
        <v>89301000</v>
      </c>
      <c r="B9105" t="str">
        <f t="shared" si="1617"/>
        <v>06539000</v>
      </c>
      <c r="C9105" t="str">
        <f t="shared" si="1625"/>
        <v>06539003</v>
      </c>
      <c r="D9105">
        <v>89301171</v>
      </c>
      <c r="E9105" t="str">
        <f t="shared" si="1621"/>
        <v>6054272070</v>
      </c>
      <c r="F9105" s="1">
        <v>45119</v>
      </c>
      <c r="G9105" t="str">
        <f t="shared" si="1626"/>
        <v>91413</v>
      </c>
      <c r="H9105">
        <v>1</v>
      </c>
      <c r="I9105">
        <v>868</v>
      </c>
      <c r="J9105">
        <v>0</v>
      </c>
      <c r="K9105" t="str">
        <f t="shared" si="1627"/>
        <v>813</v>
      </c>
      <c r="L9105">
        <v>729.12</v>
      </c>
    </row>
    <row r="9106" spans="1:12" x14ac:dyDescent="0.25">
      <c r="A9106" t="str">
        <f t="shared" si="1620"/>
        <v>89301000</v>
      </c>
      <c r="B9106" t="str">
        <f t="shared" si="1617"/>
        <v>06539000</v>
      </c>
      <c r="C9106" t="str">
        <f t="shared" si="1625"/>
        <v>06539003</v>
      </c>
      <c r="D9106">
        <v>89301171</v>
      </c>
      <c r="E9106" t="str">
        <f t="shared" si="1621"/>
        <v>6054272070</v>
      </c>
      <c r="F9106" s="1">
        <v>45119</v>
      </c>
      <c r="G9106" t="str">
        <f t="shared" si="1626"/>
        <v>91413</v>
      </c>
      <c r="H9106">
        <v>1</v>
      </c>
      <c r="I9106">
        <v>868</v>
      </c>
      <c r="J9106">
        <v>0</v>
      </c>
      <c r="K9106" t="str">
        <f t="shared" si="1627"/>
        <v>813</v>
      </c>
      <c r="L9106">
        <v>729.12</v>
      </c>
    </row>
    <row r="9107" spans="1:12" x14ac:dyDescent="0.25">
      <c r="A9107" t="str">
        <f t="shared" si="1620"/>
        <v>89301000</v>
      </c>
      <c r="B9107" t="str">
        <f t="shared" si="1617"/>
        <v>06539000</v>
      </c>
      <c r="C9107" t="str">
        <f t="shared" si="1625"/>
        <v>06539003</v>
      </c>
      <c r="D9107">
        <v>89301171</v>
      </c>
      <c r="E9107" t="str">
        <f t="shared" si="1621"/>
        <v>6054272070</v>
      </c>
      <c r="F9107" s="1">
        <v>45119</v>
      </c>
      <c r="G9107" t="str">
        <f t="shared" si="1626"/>
        <v>91413</v>
      </c>
      <c r="H9107">
        <v>1</v>
      </c>
      <c r="I9107">
        <v>868</v>
      </c>
      <c r="J9107">
        <v>0</v>
      </c>
      <c r="K9107" t="str">
        <f t="shared" si="1627"/>
        <v>813</v>
      </c>
      <c r="L9107">
        <v>729.12</v>
      </c>
    </row>
    <row r="9108" spans="1:12" x14ac:dyDescent="0.25">
      <c r="A9108" t="str">
        <f t="shared" si="1620"/>
        <v>89301000</v>
      </c>
      <c r="B9108" t="str">
        <f t="shared" si="1617"/>
        <v>06539000</v>
      </c>
      <c r="C9108" t="str">
        <f t="shared" si="1625"/>
        <v>06539003</v>
      </c>
      <c r="D9108">
        <v>89301171</v>
      </c>
      <c r="E9108" t="str">
        <f t="shared" si="1621"/>
        <v>6054272070</v>
      </c>
      <c r="F9108" s="1">
        <v>45119</v>
      </c>
      <c r="G9108" t="str">
        <f t="shared" si="1626"/>
        <v>91413</v>
      </c>
      <c r="H9108">
        <v>1</v>
      </c>
      <c r="I9108">
        <v>868</v>
      </c>
      <c r="J9108">
        <v>0</v>
      </c>
      <c r="K9108" t="str">
        <f t="shared" si="1627"/>
        <v>813</v>
      </c>
      <c r="L9108">
        <v>729.12</v>
      </c>
    </row>
    <row r="9109" spans="1:12" x14ac:dyDescent="0.25">
      <c r="A9109" t="str">
        <f t="shared" si="1620"/>
        <v>89301000</v>
      </c>
      <c r="B9109" t="str">
        <f t="shared" si="1617"/>
        <v>06539000</v>
      </c>
      <c r="C9109" t="str">
        <f t="shared" si="1625"/>
        <v>06539003</v>
      </c>
      <c r="D9109">
        <v>89301171</v>
      </c>
      <c r="E9109" t="str">
        <f t="shared" si="1621"/>
        <v>6054272070</v>
      </c>
      <c r="F9109" s="1">
        <v>45119</v>
      </c>
      <c r="G9109" t="str">
        <f t="shared" si="1626"/>
        <v>91413</v>
      </c>
      <c r="H9109">
        <v>1</v>
      </c>
      <c r="I9109">
        <v>868</v>
      </c>
      <c r="J9109">
        <v>0</v>
      </c>
      <c r="K9109" t="str">
        <f t="shared" si="1627"/>
        <v>813</v>
      </c>
      <c r="L9109">
        <v>729.12</v>
      </c>
    </row>
    <row r="9110" spans="1:12" x14ac:dyDescent="0.25">
      <c r="A9110" t="str">
        <f t="shared" si="1620"/>
        <v>89301000</v>
      </c>
      <c r="B9110" t="str">
        <f t="shared" si="1617"/>
        <v>06539000</v>
      </c>
      <c r="C9110" t="str">
        <f t="shared" si="1625"/>
        <v>06539003</v>
      </c>
      <c r="D9110">
        <v>89301171</v>
      </c>
      <c r="E9110" t="str">
        <f t="shared" si="1621"/>
        <v>6054272070</v>
      </c>
      <c r="F9110" s="1">
        <v>45119</v>
      </c>
      <c r="G9110" t="str">
        <f>"91329"</f>
        <v>91329</v>
      </c>
      <c r="H9110">
        <v>2</v>
      </c>
      <c r="I9110">
        <v>436</v>
      </c>
      <c r="J9110">
        <v>0</v>
      </c>
      <c r="K9110" t="str">
        <f t="shared" si="1627"/>
        <v>813</v>
      </c>
      <c r="L9110">
        <v>366.24</v>
      </c>
    </row>
    <row r="9111" spans="1:12" x14ac:dyDescent="0.25">
      <c r="A9111" t="str">
        <f t="shared" si="1620"/>
        <v>89301000</v>
      </c>
      <c r="B9111" t="str">
        <f t="shared" si="1617"/>
        <v>06539000</v>
      </c>
      <c r="C9111" t="str">
        <f t="shared" si="1625"/>
        <v>06539003</v>
      </c>
      <c r="D9111">
        <v>89301171</v>
      </c>
      <c r="E9111" t="str">
        <f t="shared" si="1621"/>
        <v>6054272070</v>
      </c>
      <c r="F9111" s="1">
        <v>45119</v>
      </c>
      <c r="G9111" t="str">
        <f>"91329"</f>
        <v>91329</v>
      </c>
      <c r="H9111">
        <v>2</v>
      </c>
      <c r="I9111">
        <v>436</v>
      </c>
      <c r="J9111">
        <v>0</v>
      </c>
      <c r="K9111" t="str">
        <f t="shared" si="1627"/>
        <v>813</v>
      </c>
      <c r="L9111">
        <v>366.24</v>
      </c>
    </row>
    <row r="9112" spans="1:12" x14ac:dyDescent="0.25">
      <c r="A9112" t="str">
        <f t="shared" si="1620"/>
        <v>89301000</v>
      </c>
      <c r="B9112" t="str">
        <f t="shared" si="1617"/>
        <v>06539000</v>
      </c>
      <c r="C9112" t="str">
        <f t="shared" si="1625"/>
        <v>06539003</v>
      </c>
      <c r="D9112">
        <v>89301171</v>
      </c>
      <c r="E9112" t="str">
        <f t="shared" si="1621"/>
        <v>6054272070</v>
      </c>
      <c r="F9112" s="1">
        <v>45119</v>
      </c>
      <c r="G9112" t="str">
        <f>"91329"</f>
        <v>91329</v>
      </c>
      <c r="H9112">
        <v>2</v>
      </c>
      <c r="I9112">
        <v>436</v>
      </c>
      <c r="J9112">
        <v>0</v>
      </c>
      <c r="K9112" t="str">
        <f t="shared" si="1627"/>
        <v>813</v>
      </c>
      <c r="L9112">
        <v>366.24</v>
      </c>
    </row>
    <row r="9113" spans="1:12" x14ac:dyDescent="0.25">
      <c r="A9113" t="str">
        <f t="shared" si="1620"/>
        <v>89301000</v>
      </c>
      <c r="B9113" t="str">
        <f t="shared" si="1617"/>
        <v>06539000</v>
      </c>
      <c r="C9113" t="str">
        <f t="shared" si="1625"/>
        <v>06539003</v>
      </c>
      <c r="D9113">
        <v>89301171</v>
      </c>
      <c r="E9113" t="str">
        <f t="shared" si="1621"/>
        <v>6054272070</v>
      </c>
      <c r="F9113" s="1">
        <v>45119</v>
      </c>
      <c r="G9113" t="str">
        <f>"91329"</f>
        <v>91329</v>
      </c>
      <c r="H9113">
        <v>2</v>
      </c>
      <c r="I9113">
        <v>436</v>
      </c>
      <c r="J9113">
        <v>0</v>
      </c>
      <c r="K9113" t="str">
        <f t="shared" si="1627"/>
        <v>813</v>
      </c>
      <c r="L9113">
        <v>366.24</v>
      </c>
    </row>
    <row r="9114" spans="1:12" x14ac:dyDescent="0.25">
      <c r="A9114" t="str">
        <f t="shared" si="1620"/>
        <v>89301000</v>
      </c>
      <c r="B9114" t="str">
        <f t="shared" si="1617"/>
        <v>06539000</v>
      </c>
      <c r="C9114" t="str">
        <f t="shared" si="1625"/>
        <v>06539003</v>
      </c>
      <c r="D9114">
        <v>89301171</v>
      </c>
      <c r="E9114" t="str">
        <f t="shared" si="1621"/>
        <v>6054272070</v>
      </c>
      <c r="F9114" s="1">
        <v>45093</v>
      </c>
      <c r="G9114" t="str">
        <f t="shared" ref="G9114:G9120" si="1628">"91197"</f>
        <v>91197</v>
      </c>
      <c r="H9114">
        <v>1</v>
      </c>
      <c r="I9114">
        <v>1048</v>
      </c>
      <c r="J9114">
        <v>0</v>
      </c>
      <c r="K9114" t="str">
        <f t="shared" si="1627"/>
        <v>813</v>
      </c>
      <c r="L9114">
        <v>880.32</v>
      </c>
    </row>
    <row r="9115" spans="1:12" x14ac:dyDescent="0.25">
      <c r="A9115" t="str">
        <f t="shared" si="1620"/>
        <v>89301000</v>
      </c>
      <c r="B9115" t="str">
        <f t="shared" si="1617"/>
        <v>06539000</v>
      </c>
      <c r="C9115" t="str">
        <f t="shared" si="1625"/>
        <v>06539003</v>
      </c>
      <c r="D9115">
        <v>89301171</v>
      </c>
      <c r="E9115" t="str">
        <f t="shared" si="1621"/>
        <v>6054272070</v>
      </c>
      <c r="F9115" s="1">
        <v>45096</v>
      </c>
      <c r="G9115" t="str">
        <f t="shared" si="1628"/>
        <v>91197</v>
      </c>
      <c r="H9115">
        <v>1</v>
      </c>
      <c r="I9115">
        <v>1048</v>
      </c>
      <c r="J9115">
        <v>0</v>
      </c>
      <c r="K9115" t="str">
        <f t="shared" si="1627"/>
        <v>813</v>
      </c>
      <c r="L9115">
        <v>880.32</v>
      </c>
    </row>
    <row r="9116" spans="1:12" x14ac:dyDescent="0.25">
      <c r="A9116" t="str">
        <f t="shared" si="1620"/>
        <v>89301000</v>
      </c>
      <c r="B9116" t="str">
        <f t="shared" si="1617"/>
        <v>06539000</v>
      </c>
      <c r="C9116" t="str">
        <f t="shared" si="1625"/>
        <v>06539003</v>
      </c>
      <c r="D9116">
        <v>89301171</v>
      </c>
      <c r="E9116" t="str">
        <f t="shared" si="1621"/>
        <v>6054272070</v>
      </c>
      <c r="F9116" s="1">
        <v>45096</v>
      </c>
      <c r="G9116" t="str">
        <f t="shared" si="1628"/>
        <v>91197</v>
      </c>
      <c r="H9116">
        <v>1</v>
      </c>
      <c r="I9116">
        <v>1048</v>
      </c>
      <c r="J9116">
        <v>0</v>
      </c>
      <c r="K9116" t="str">
        <f t="shared" si="1627"/>
        <v>813</v>
      </c>
      <c r="L9116">
        <v>880.32</v>
      </c>
    </row>
    <row r="9117" spans="1:12" x14ac:dyDescent="0.25">
      <c r="A9117" t="str">
        <f t="shared" si="1620"/>
        <v>89301000</v>
      </c>
      <c r="B9117" t="str">
        <f t="shared" si="1617"/>
        <v>06539000</v>
      </c>
      <c r="C9117" t="str">
        <f t="shared" si="1625"/>
        <v>06539003</v>
      </c>
      <c r="D9117">
        <v>89301171</v>
      </c>
      <c r="E9117" t="str">
        <f t="shared" si="1621"/>
        <v>6054272070</v>
      </c>
      <c r="F9117" s="1">
        <v>45095</v>
      </c>
      <c r="G9117" t="str">
        <f t="shared" si="1628"/>
        <v>91197</v>
      </c>
      <c r="H9117">
        <v>1</v>
      </c>
      <c r="I9117">
        <v>1048</v>
      </c>
      <c r="J9117">
        <v>0</v>
      </c>
      <c r="K9117" t="str">
        <f t="shared" si="1627"/>
        <v>813</v>
      </c>
      <c r="L9117">
        <v>880.32</v>
      </c>
    </row>
    <row r="9118" spans="1:12" x14ac:dyDescent="0.25">
      <c r="A9118" t="str">
        <f t="shared" si="1620"/>
        <v>89301000</v>
      </c>
      <c r="B9118" t="str">
        <f t="shared" si="1617"/>
        <v>06539000</v>
      </c>
      <c r="C9118" t="str">
        <f t="shared" si="1625"/>
        <v>06539003</v>
      </c>
      <c r="D9118">
        <v>89301171</v>
      </c>
      <c r="E9118" t="str">
        <f t="shared" si="1621"/>
        <v>6054272070</v>
      </c>
      <c r="F9118" s="1">
        <v>45095</v>
      </c>
      <c r="G9118" t="str">
        <f t="shared" si="1628"/>
        <v>91197</v>
      </c>
      <c r="H9118">
        <v>1</v>
      </c>
      <c r="I9118">
        <v>1048</v>
      </c>
      <c r="J9118">
        <v>0</v>
      </c>
      <c r="K9118" t="str">
        <f t="shared" si="1627"/>
        <v>813</v>
      </c>
      <c r="L9118">
        <v>880.32</v>
      </c>
    </row>
    <row r="9119" spans="1:12" x14ac:dyDescent="0.25">
      <c r="A9119" t="str">
        <f t="shared" si="1620"/>
        <v>89301000</v>
      </c>
      <c r="B9119" t="str">
        <f t="shared" si="1617"/>
        <v>06539000</v>
      </c>
      <c r="C9119" t="str">
        <f t="shared" si="1625"/>
        <v>06539003</v>
      </c>
      <c r="D9119">
        <v>89301171</v>
      </c>
      <c r="E9119" t="str">
        <f t="shared" si="1621"/>
        <v>6054272070</v>
      </c>
      <c r="F9119" s="1">
        <v>45094</v>
      </c>
      <c r="G9119" t="str">
        <f t="shared" si="1628"/>
        <v>91197</v>
      </c>
      <c r="H9119">
        <v>1</v>
      </c>
      <c r="I9119">
        <v>1048</v>
      </c>
      <c r="J9119">
        <v>0</v>
      </c>
      <c r="K9119" t="str">
        <f t="shared" si="1627"/>
        <v>813</v>
      </c>
      <c r="L9119">
        <v>880.32</v>
      </c>
    </row>
    <row r="9120" spans="1:12" x14ac:dyDescent="0.25">
      <c r="A9120" t="str">
        <f t="shared" si="1620"/>
        <v>89301000</v>
      </c>
      <c r="B9120" t="str">
        <f t="shared" si="1617"/>
        <v>06539000</v>
      </c>
      <c r="C9120" t="str">
        <f t="shared" si="1625"/>
        <v>06539003</v>
      </c>
      <c r="D9120">
        <v>89301171</v>
      </c>
      <c r="E9120" t="str">
        <f t="shared" si="1621"/>
        <v>6054272070</v>
      </c>
      <c r="F9120" s="1">
        <v>45094</v>
      </c>
      <c r="G9120" t="str">
        <f t="shared" si="1628"/>
        <v>91197</v>
      </c>
      <c r="H9120">
        <v>1</v>
      </c>
      <c r="I9120">
        <v>1048</v>
      </c>
      <c r="J9120">
        <v>0</v>
      </c>
      <c r="K9120" t="str">
        <f t="shared" si="1627"/>
        <v>813</v>
      </c>
      <c r="L9120">
        <v>880.32</v>
      </c>
    </row>
    <row r="9121" spans="1:12" x14ac:dyDescent="0.25">
      <c r="A9121" t="str">
        <f t="shared" si="1620"/>
        <v>89301000</v>
      </c>
      <c r="B9121" t="str">
        <f t="shared" si="1617"/>
        <v>06539000</v>
      </c>
      <c r="C9121" t="str">
        <f t="shared" si="1625"/>
        <v>06539003</v>
      </c>
      <c r="D9121">
        <v>89301171</v>
      </c>
      <c r="E9121" t="str">
        <f t="shared" si="1621"/>
        <v>6054272070</v>
      </c>
      <c r="F9121" s="1">
        <v>45096</v>
      </c>
      <c r="G9121" t="str">
        <f>"91129"</f>
        <v>91129</v>
      </c>
      <c r="H9121">
        <v>1</v>
      </c>
      <c r="I9121">
        <v>175</v>
      </c>
      <c r="J9121">
        <v>0</v>
      </c>
      <c r="K9121" t="str">
        <f t="shared" si="1627"/>
        <v>813</v>
      </c>
      <c r="L9121">
        <v>147</v>
      </c>
    </row>
    <row r="9122" spans="1:12" x14ac:dyDescent="0.25">
      <c r="A9122" t="str">
        <f t="shared" si="1620"/>
        <v>89301000</v>
      </c>
      <c r="B9122" t="str">
        <f t="shared" si="1617"/>
        <v>06539000</v>
      </c>
      <c r="C9122" t="str">
        <f t="shared" si="1625"/>
        <v>06539003</v>
      </c>
      <c r="D9122">
        <v>89301171</v>
      </c>
      <c r="E9122" t="str">
        <f t="shared" si="1621"/>
        <v>6054272070</v>
      </c>
      <c r="F9122" s="1">
        <v>45096</v>
      </c>
      <c r="G9122" t="str">
        <f>"91131"</f>
        <v>91131</v>
      </c>
      <c r="H9122">
        <v>1</v>
      </c>
      <c r="I9122">
        <v>171</v>
      </c>
      <c r="J9122">
        <v>0</v>
      </c>
      <c r="K9122" t="str">
        <f t="shared" si="1627"/>
        <v>813</v>
      </c>
      <c r="L9122">
        <v>143.63999999999999</v>
      </c>
    </row>
    <row r="9123" spans="1:12" x14ac:dyDescent="0.25">
      <c r="A9123" t="str">
        <f t="shared" si="1620"/>
        <v>89301000</v>
      </c>
      <c r="B9123" t="str">
        <f t="shared" si="1617"/>
        <v>06539000</v>
      </c>
      <c r="C9123" t="str">
        <f t="shared" si="1625"/>
        <v>06539003</v>
      </c>
      <c r="D9123">
        <v>89301171</v>
      </c>
      <c r="E9123" t="str">
        <f t="shared" si="1621"/>
        <v>6054272070</v>
      </c>
      <c r="F9123" s="1">
        <v>45096</v>
      </c>
      <c r="G9123" t="str">
        <f>"91133"</f>
        <v>91133</v>
      </c>
      <c r="H9123">
        <v>1</v>
      </c>
      <c r="I9123">
        <v>177</v>
      </c>
      <c r="J9123">
        <v>0</v>
      </c>
      <c r="K9123" t="str">
        <f t="shared" si="1627"/>
        <v>813</v>
      </c>
      <c r="L9123">
        <v>148.68</v>
      </c>
    </row>
    <row r="9124" spans="1:12" x14ac:dyDescent="0.25">
      <c r="A9124" t="str">
        <f t="shared" si="1620"/>
        <v>89301000</v>
      </c>
      <c r="B9124" t="str">
        <f t="shared" si="1617"/>
        <v>06539000</v>
      </c>
      <c r="C9124" t="str">
        <f t="shared" si="1625"/>
        <v>06539003</v>
      </c>
      <c r="D9124">
        <v>89301171</v>
      </c>
      <c r="E9124" t="str">
        <f t="shared" si="1621"/>
        <v>6054272070</v>
      </c>
      <c r="F9124" s="1">
        <v>45096</v>
      </c>
      <c r="G9124" t="str">
        <f>"91171"</f>
        <v>91171</v>
      </c>
      <c r="H9124">
        <v>1</v>
      </c>
      <c r="I9124">
        <v>362</v>
      </c>
      <c r="J9124">
        <v>0</v>
      </c>
      <c r="K9124" t="str">
        <f t="shared" si="1627"/>
        <v>813</v>
      </c>
      <c r="L9124">
        <v>304.08</v>
      </c>
    </row>
    <row r="9125" spans="1:12" x14ac:dyDescent="0.25">
      <c r="A9125" t="str">
        <f t="shared" si="1620"/>
        <v>89301000</v>
      </c>
      <c r="B9125" t="str">
        <f t="shared" si="1617"/>
        <v>06539000</v>
      </c>
      <c r="C9125" t="str">
        <f t="shared" si="1625"/>
        <v>06539003</v>
      </c>
      <c r="D9125">
        <v>89301171</v>
      </c>
      <c r="E9125" t="str">
        <f t="shared" si="1621"/>
        <v>6054272070</v>
      </c>
      <c r="F9125" s="1">
        <v>45093</v>
      </c>
      <c r="G9125" t="str">
        <f>"91173"</f>
        <v>91173</v>
      </c>
      <c r="H9125">
        <v>1</v>
      </c>
      <c r="I9125">
        <v>337</v>
      </c>
      <c r="J9125">
        <v>0</v>
      </c>
      <c r="K9125" t="str">
        <f t="shared" si="1627"/>
        <v>813</v>
      </c>
      <c r="L9125">
        <v>283.08</v>
      </c>
    </row>
    <row r="9126" spans="1:12" x14ac:dyDescent="0.25">
      <c r="A9126" t="str">
        <f t="shared" si="1620"/>
        <v>89301000</v>
      </c>
      <c r="B9126" t="str">
        <f t="shared" si="1617"/>
        <v>06539000</v>
      </c>
      <c r="C9126" t="str">
        <f t="shared" si="1625"/>
        <v>06539003</v>
      </c>
      <c r="D9126">
        <v>89301171</v>
      </c>
      <c r="E9126" t="str">
        <f t="shared" si="1621"/>
        <v>6054272070</v>
      </c>
      <c r="F9126" s="1">
        <v>45096</v>
      </c>
      <c r="G9126" t="str">
        <f>"91175"</f>
        <v>91175</v>
      </c>
      <c r="H9126">
        <v>1</v>
      </c>
      <c r="I9126">
        <v>362</v>
      </c>
      <c r="J9126">
        <v>0</v>
      </c>
      <c r="K9126" t="str">
        <f t="shared" si="1627"/>
        <v>813</v>
      </c>
      <c r="L9126">
        <v>304.08</v>
      </c>
    </row>
    <row r="9127" spans="1:12" x14ac:dyDescent="0.25">
      <c r="A9127" t="str">
        <f t="shared" si="1620"/>
        <v>89301000</v>
      </c>
      <c r="B9127" t="str">
        <f t="shared" si="1617"/>
        <v>06539000</v>
      </c>
      <c r="C9127" t="str">
        <f t="shared" si="1625"/>
        <v>06539003</v>
      </c>
      <c r="D9127">
        <v>89301171</v>
      </c>
      <c r="E9127" t="str">
        <f t="shared" si="1621"/>
        <v>6054272070</v>
      </c>
      <c r="F9127" s="1">
        <v>45094</v>
      </c>
      <c r="G9127" t="str">
        <f>"91167"</f>
        <v>91167</v>
      </c>
      <c r="H9127">
        <v>1</v>
      </c>
      <c r="I9127">
        <v>426</v>
      </c>
      <c r="J9127">
        <v>0</v>
      </c>
      <c r="K9127" t="str">
        <f t="shared" si="1627"/>
        <v>813</v>
      </c>
      <c r="L9127">
        <v>357.84</v>
      </c>
    </row>
    <row r="9128" spans="1:12" x14ac:dyDescent="0.25">
      <c r="A9128" t="str">
        <f t="shared" si="1620"/>
        <v>89301000</v>
      </c>
      <c r="B9128" t="str">
        <f t="shared" si="1617"/>
        <v>06539000</v>
      </c>
      <c r="C9128" t="str">
        <f t="shared" si="1625"/>
        <v>06539003</v>
      </c>
      <c r="D9128">
        <v>89301171</v>
      </c>
      <c r="E9128" t="str">
        <f t="shared" si="1621"/>
        <v>6054272070</v>
      </c>
      <c r="F9128" s="1">
        <v>45094</v>
      </c>
      <c r="G9128" t="str">
        <f>"91169"</f>
        <v>91169</v>
      </c>
      <c r="H9128">
        <v>1</v>
      </c>
      <c r="I9128">
        <v>426</v>
      </c>
      <c r="J9128">
        <v>0</v>
      </c>
      <c r="K9128" t="str">
        <f t="shared" si="1627"/>
        <v>813</v>
      </c>
      <c r="L9128">
        <v>357.84</v>
      </c>
    </row>
    <row r="9129" spans="1:12" x14ac:dyDescent="0.25">
      <c r="A9129" t="str">
        <f t="shared" si="1620"/>
        <v>89301000</v>
      </c>
      <c r="B9129" t="str">
        <f t="shared" si="1617"/>
        <v>06539000</v>
      </c>
      <c r="C9129" t="str">
        <f t="shared" si="1625"/>
        <v>06539003</v>
      </c>
      <c r="D9129">
        <v>89301171</v>
      </c>
      <c r="E9129" t="str">
        <f t="shared" si="1621"/>
        <v>6054272070</v>
      </c>
      <c r="F9129" s="1">
        <v>45093</v>
      </c>
      <c r="G9129" t="str">
        <f>"91167"</f>
        <v>91167</v>
      </c>
      <c r="H9129">
        <v>1</v>
      </c>
      <c r="I9129">
        <v>426</v>
      </c>
      <c r="J9129">
        <v>0</v>
      </c>
      <c r="K9129" t="str">
        <f t="shared" si="1627"/>
        <v>813</v>
      </c>
      <c r="L9129">
        <v>357.84</v>
      </c>
    </row>
    <row r="9130" spans="1:12" x14ac:dyDescent="0.25">
      <c r="A9130" t="str">
        <f t="shared" si="1620"/>
        <v>89301000</v>
      </c>
      <c r="B9130" t="str">
        <f t="shared" si="1617"/>
        <v>06539000</v>
      </c>
      <c r="C9130" t="str">
        <f t="shared" si="1625"/>
        <v>06539003</v>
      </c>
      <c r="D9130">
        <v>89301171</v>
      </c>
      <c r="E9130" t="str">
        <f t="shared" si="1621"/>
        <v>6054272070</v>
      </c>
      <c r="F9130" s="1">
        <v>45093</v>
      </c>
      <c r="G9130" t="str">
        <f>"91169"</f>
        <v>91169</v>
      </c>
      <c r="H9130">
        <v>1</v>
      </c>
      <c r="I9130">
        <v>426</v>
      </c>
      <c r="J9130">
        <v>0</v>
      </c>
      <c r="K9130" t="str">
        <f t="shared" si="1627"/>
        <v>813</v>
      </c>
      <c r="L9130">
        <v>357.84</v>
      </c>
    </row>
    <row r="9131" spans="1:12" x14ac:dyDescent="0.25">
      <c r="A9131" t="str">
        <f t="shared" si="1620"/>
        <v>89301000</v>
      </c>
      <c r="B9131" t="str">
        <f t="shared" si="1617"/>
        <v>06539000</v>
      </c>
      <c r="C9131" t="str">
        <f t="shared" si="1625"/>
        <v>06539003</v>
      </c>
      <c r="D9131">
        <v>89301171</v>
      </c>
      <c r="E9131" t="str">
        <f t="shared" si="1621"/>
        <v>6054272070</v>
      </c>
      <c r="F9131" s="1">
        <v>45098</v>
      </c>
      <c r="G9131" t="str">
        <f>"91475"</f>
        <v>91475</v>
      </c>
      <c r="H9131">
        <v>1</v>
      </c>
      <c r="I9131">
        <v>213</v>
      </c>
      <c r="J9131">
        <v>0</v>
      </c>
      <c r="K9131" t="str">
        <f t="shared" si="1627"/>
        <v>813</v>
      </c>
      <c r="L9131">
        <v>178.92</v>
      </c>
    </row>
    <row r="9132" spans="1:12" x14ac:dyDescent="0.25">
      <c r="A9132" t="str">
        <f t="shared" si="1620"/>
        <v>89301000</v>
      </c>
      <c r="B9132" t="str">
        <f t="shared" si="1617"/>
        <v>06539000</v>
      </c>
      <c r="C9132" t="str">
        <f>"06539001"</f>
        <v>06539001</v>
      </c>
      <c r="D9132">
        <v>89301171</v>
      </c>
      <c r="E9132" t="str">
        <f t="shared" ref="E9132:E9160" si="1629">"7406034471"</f>
        <v>7406034471</v>
      </c>
      <c r="F9132" s="1">
        <v>45093</v>
      </c>
      <c r="G9132" t="str">
        <f>"81329"</f>
        <v>81329</v>
      </c>
      <c r="H9132">
        <v>1</v>
      </c>
      <c r="I9132">
        <v>17</v>
      </c>
      <c r="J9132">
        <v>0</v>
      </c>
      <c r="K9132" t="str">
        <f>"801"</f>
        <v>801</v>
      </c>
      <c r="L9132">
        <v>14.28</v>
      </c>
    </row>
    <row r="9133" spans="1:12" x14ac:dyDescent="0.25">
      <c r="A9133" t="str">
        <f t="shared" si="1620"/>
        <v>89301000</v>
      </c>
      <c r="B9133" t="str">
        <f t="shared" ref="B9133:B9196" si="1630">"06539000"</f>
        <v>06539000</v>
      </c>
      <c r="C9133" t="str">
        <f>"06539001"</f>
        <v>06539001</v>
      </c>
      <c r="D9133">
        <v>89301171</v>
      </c>
      <c r="E9133" t="str">
        <f t="shared" si="1629"/>
        <v>7406034471</v>
      </c>
      <c r="F9133" s="1">
        <v>45093</v>
      </c>
      <c r="G9133" t="str">
        <f>"81331"</f>
        <v>81331</v>
      </c>
      <c r="H9133">
        <v>1</v>
      </c>
      <c r="I9133">
        <v>193</v>
      </c>
      <c r="J9133">
        <v>0</v>
      </c>
      <c r="K9133" t="str">
        <f>"801"</f>
        <v>801</v>
      </c>
      <c r="L9133">
        <v>162.12</v>
      </c>
    </row>
    <row r="9134" spans="1:12" x14ac:dyDescent="0.25">
      <c r="A9134" t="str">
        <f t="shared" si="1620"/>
        <v>89301000</v>
      </c>
      <c r="B9134" t="str">
        <f t="shared" si="1630"/>
        <v>06539000</v>
      </c>
      <c r="C9134" t="str">
        <f t="shared" ref="C9134:C9168" si="1631">"06539003"</f>
        <v>06539003</v>
      </c>
      <c r="D9134">
        <v>89301171</v>
      </c>
      <c r="E9134" t="str">
        <f t="shared" si="1629"/>
        <v>7406034471</v>
      </c>
      <c r="F9134" s="1">
        <v>45098</v>
      </c>
      <c r="G9134" t="str">
        <f t="shared" ref="G9134:G9143" si="1632">"91413"</f>
        <v>91413</v>
      </c>
      <c r="H9134">
        <v>1</v>
      </c>
      <c r="I9134">
        <v>868</v>
      </c>
      <c r="J9134">
        <v>0</v>
      </c>
      <c r="K9134" t="str">
        <f t="shared" ref="K9134:K9168" si="1633">"813"</f>
        <v>813</v>
      </c>
      <c r="L9134">
        <v>729.12</v>
      </c>
    </row>
    <row r="9135" spans="1:12" x14ac:dyDescent="0.25">
      <c r="A9135" t="str">
        <f t="shared" si="1620"/>
        <v>89301000</v>
      </c>
      <c r="B9135" t="str">
        <f t="shared" si="1630"/>
        <v>06539000</v>
      </c>
      <c r="C9135" t="str">
        <f t="shared" si="1631"/>
        <v>06539003</v>
      </c>
      <c r="D9135">
        <v>89301171</v>
      </c>
      <c r="E9135" t="str">
        <f t="shared" si="1629"/>
        <v>7406034471</v>
      </c>
      <c r="F9135" s="1">
        <v>45098</v>
      </c>
      <c r="G9135" t="str">
        <f t="shared" si="1632"/>
        <v>91413</v>
      </c>
      <c r="H9135">
        <v>1</v>
      </c>
      <c r="I9135">
        <v>868</v>
      </c>
      <c r="J9135">
        <v>0</v>
      </c>
      <c r="K9135" t="str">
        <f t="shared" si="1633"/>
        <v>813</v>
      </c>
      <c r="L9135">
        <v>729.12</v>
      </c>
    </row>
    <row r="9136" spans="1:12" x14ac:dyDescent="0.25">
      <c r="A9136" t="str">
        <f t="shared" si="1620"/>
        <v>89301000</v>
      </c>
      <c r="B9136" t="str">
        <f t="shared" si="1630"/>
        <v>06539000</v>
      </c>
      <c r="C9136" t="str">
        <f t="shared" si="1631"/>
        <v>06539003</v>
      </c>
      <c r="D9136">
        <v>89301171</v>
      </c>
      <c r="E9136" t="str">
        <f t="shared" si="1629"/>
        <v>7406034471</v>
      </c>
      <c r="F9136" s="1">
        <v>45119</v>
      </c>
      <c r="G9136" t="str">
        <f t="shared" si="1632"/>
        <v>91413</v>
      </c>
      <c r="H9136">
        <v>1</v>
      </c>
      <c r="I9136">
        <v>868</v>
      </c>
      <c r="J9136">
        <v>0</v>
      </c>
      <c r="K9136" t="str">
        <f t="shared" si="1633"/>
        <v>813</v>
      </c>
      <c r="L9136">
        <v>729.12</v>
      </c>
    </row>
    <row r="9137" spans="1:12" x14ac:dyDescent="0.25">
      <c r="A9137" t="str">
        <f t="shared" si="1620"/>
        <v>89301000</v>
      </c>
      <c r="B9137" t="str">
        <f t="shared" si="1630"/>
        <v>06539000</v>
      </c>
      <c r="C9137" t="str">
        <f t="shared" si="1631"/>
        <v>06539003</v>
      </c>
      <c r="D9137">
        <v>89301171</v>
      </c>
      <c r="E9137" t="str">
        <f t="shared" si="1629"/>
        <v>7406034471</v>
      </c>
      <c r="F9137" s="1">
        <v>45119</v>
      </c>
      <c r="G9137" t="str">
        <f t="shared" si="1632"/>
        <v>91413</v>
      </c>
      <c r="H9137">
        <v>1</v>
      </c>
      <c r="I9137">
        <v>868</v>
      </c>
      <c r="J9137">
        <v>0</v>
      </c>
      <c r="K9137" t="str">
        <f t="shared" si="1633"/>
        <v>813</v>
      </c>
      <c r="L9137">
        <v>729.12</v>
      </c>
    </row>
    <row r="9138" spans="1:12" x14ac:dyDescent="0.25">
      <c r="A9138" t="str">
        <f t="shared" si="1620"/>
        <v>89301000</v>
      </c>
      <c r="B9138" t="str">
        <f t="shared" si="1630"/>
        <v>06539000</v>
      </c>
      <c r="C9138" t="str">
        <f t="shared" si="1631"/>
        <v>06539003</v>
      </c>
      <c r="D9138">
        <v>89301171</v>
      </c>
      <c r="E9138" t="str">
        <f t="shared" si="1629"/>
        <v>7406034471</v>
      </c>
      <c r="F9138" s="1">
        <v>45119</v>
      </c>
      <c r="G9138" t="str">
        <f t="shared" si="1632"/>
        <v>91413</v>
      </c>
      <c r="H9138">
        <v>1</v>
      </c>
      <c r="I9138">
        <v>868</v>
      </c>
      <c r="J9138">
        <v>0</v>
      </c>
      <c r="K9138" t="str">
        <f t="shared" si="1633"/>
        <v>813</v>
      </c>
      <c r="L9138">
        <v>729.12</v>
      </c>
    </row>
    <row r="9139" spans="1:12" x14ac:dyDescent="0.25">
      <c r="A9139" t="str">
        <f t="shared" si="1620"/>
        <v>89301000</v>
      </c>
      <c r="B9139" t="str">
        <f t="shared" si="1630"/>
        <v>06539000</v>
      </c>
      <c r="C9139" t="str">
        <f t="shared" si="1631"/>
        <v>06539003</v>
      </c>
      <c r="D9139">
        <v>89301171</v>
      </c>
      <c r="E9139" t="str">
        <f t="shared" si="1629"/>
        <v>7406034471</v>
      </c>
      <c r="F9139" s="1">
        <v>45119</v>
      </c>
      <c r="G9139" t="str">
        <f t="shared" si="1632"/>
        <v>91413</v>
      </c>
      <c r="H9139">
        <v>1</v>
      </c>
      <c r="I9139">
        <v>868</v>
      </c>
      <c r="J9139">
        <v>0</v>
      </c>
      <c r="K9139" t="str">
        <f t="shared" si="1633"/>
        <v>813</v>
      </c>
      <c r="L9139">
        <v>729.12</v>
      </c>
    </row>
    <row r="9140" spans="1:12" x14ac:dyDescent="0.25">
      <c r="A9140" t="str">
        <f t="shared" si="1620"/>
        <v>89301000</v>
      </c>
      <c r="B9140" t="str">
        <f t="shared" si="1630"/>
        <v>06539000</v>
      </c>
      <c r="C9140" t="str">
        <f t="shared" si="1631"/>
        <v>06539003</v>
      </c>
      <c r="D9140">
        <v>89301171</v>
      </c>
      <c r="E9140" t="str">
        <f t="shared" si="1629"/>
        <v>7406034471</v>
      </c>
      <c r="F9140" s="1">
        <v>45119</v>
      </c>
      <c r="G9140" t="str">
        <f t="shared" si="1632"/>
        <v>91413</v>
      </c>
      <c r="H9140">
        <v>1</v>
      </c>
      <c r="I9140">
        <v>868</v>
      </c>
      <c r="J9140">
        <v>0</v>
      </c>
      <c r="K9140" t="str">
        <f t="shared" si="1633"/>
        <v>813</v>
      </c>
      <c r="L9140">
        <v>729.12</v>
      </c>
    </row>
    <row r="9141" spans="1:12" x14ac:dyDescent="0.25">
      <c r="A9141" t="str">
        <f t="shared" si="1620"/>
        <v>89301000</v>
      </c>
      <c r="B9141" t="str">
        <f t="shared" si="1630"/>
        <v>06539000</v>
      </c>
      <c r="C9141" t="str">
        <f t="shared" si="1631"/>
        <v>06539003</v>
      </c>
      <c r="D9141">
        <v>89301171</v>
      </c>
      <c r="E9141" t="str">
        <f t="shared" si="1629"/>
        <v>7406034471</v>
      </c>
      <c r="F9141" s="1">
        <v>45119</v>
      </c>
      <c r="G9141" t="str">
        <f t="shared" si="1632"/>
        <v>91413</v>
      </c>
      <c r="H9141">
        <v>1</v>
      </c>
      <c r="I9141">
        <v>868</v>
      </c>
      <c r="J9141">
        <v>0</v>
      </c>
      <c r="K9141" t="str">
        <f t="shared" si="1633"/>
        <v>813</v>
      </c>
      <c r="L9141">
        <v>729.12</v>
      </c>
    </row>
    <row r="9142" spans="1:12" x14ac:dyDescent="0.25">
      <c r="A9142" t="str">
        <f t="shared" si="1620"/>
        <v>89301000</v>
      </c>
      <c r="B9142" t="str">
        <f t="shared" si="1630"/>
        <v>06539000</v>
      </c>
      <c r="C9142" t="str">
        <f t="shared" si="1631"/>
        <v>06539003</v>
      </c>
      <c r="D9142">
        <v>89301171</v>
      </c>
      <c r="E9142" t="str">
        <f t="shared" si="1629"/>
        <v>7406034471</v>
      </c>
      <c r="F9142" s="1">
        <v>45119</v>
      </c>
      <c r="G9142" t="str">
        <f t="shared" si="1632"/>
        <v>91413</v>
      </c>
      <c r="H9142">
        <v>1</v>
      </c>
      <c r="I9142">
        <v>868</v>
      </c>
      <c r="J9142">
        <v>0</v>
      </c>
      <c r="K9142" t="str">
        <f t="shared" si="1633"/>
        <v>813</v>
      </c>
      <c r="L9142">
        <v>729.12</v>
      </c>
    </row>
    <row r="9143" spans="1:12" x14ac:dyDescent="0.25">
      <c r="A9143" t="str">
        <f t="shared" si="1620"/>
        <v>89301000</v>
      </c>
      <c r="B9143" t="str">
        <f t="shared" si="1630"/>
        <v>06539000</v>
      </c>
      <c r="C9143" t="str">
        <f t="shared" si="1631"/>
        <v>06539003</v>
      </c>
      <c r="D9143">
        <v>89301171</v>
      </c>
      <c r="E9143" t="str">
        <f t="shared" si="1629"/>
        <v>7406034471</v>
      </c>
      <c r="F9143" s="1">
        <v>45119</v>
      </c>
      <c r="G9143" t="str">
        <f t="shared" si="1632"/>
        <v>91413</v>
      </c>
      <c r="H9143">
        <v>1</v>
      </c>
      <c r="I9143">
        <v>868</v>
      </c>
      <c r="J9143">
        <v>0</v>
      </c>
      <c r="K9143" t="str">
        <f t="shared" si="1633"/>
        <v>813</v>
      </c>
      <c r="L9143">
        <v>729.12</v>
      </c>
    </row>
    <row r="9144" spans="1:12" x14ac:dyDescent="0.25">
      <c r="A9144" t="str">
        <f t="shared" si="1620"/>
        <v>89301000</v>
      </c>
      <c r="B9144" t="str">
        <f t="shared" si="1630"/>
        <v>06539000</v>
      </c>
      <c r="C9144" t="str">
        <f t="shared" si="1631"/>
        <v>06539003</v>
      </c>
      <c r="D9144">
        <v>89301171</v>
      </c>
      <c r="E9144" t="str">
        <f t="shared" si="1629"/>
        <v>7406034471</v>
      </c>
      <c r="F9144" s="1">
        <v>45093</v>
      </c>
      <c r="G9144" t="str">
        <f t="shared" ref="G9144:G9149" si="1634">"91197"</f>
        <v>91197</v>
      </c>
      <c r="H9144">
        <v>1</v>
      </c>
      <c r="I9144">
        <v>1048</v>
      </c>
      <c r="J9144">
        <v>0</v>
      </c>
      <c r="K9144" t="str">
        <f t="shared" si="1633"/>
        <v>813</v>
      </c>
      <c r="L9144">
        <v>880.32</v>
      </c>
    </row>
    <row r="9145" spans="1:12" x14ac:dyDescent="0.25">
      <c r="A9145" t="str">
        <f t="shared" si="1620"/>
        <v>89301000</v>
      </c>
      <c r="B9145" t="str">
        <f t="shared" si="1630"/>
        <v>06539000</v>
      </c>
      <c r="C9145" t="str">
        <f t="shared" si="1631"/>
        <v>06539003</v>
      </c>
      <c r="D9145">
        <v>89301171</v>
      </c>
      <c r="E9145" t="str">
        <f t="shared" si="1629"/>
        <v>7406034471</v>
      </c>
      <c r="F9145" s="1">
        <v>45095</v>
      </c>
      <c r="G9145" t="str">
        <f t="shared" si="1634"/>
        <v>91197</v>
      </c>
      <c r="H9145">
        <v>1</v>
      </c>
      <c r="I9145">
        <v>1048</v>
      </c>
      <c r="J9145">
        <v>0</v>
      </c>
      <c r="K9145" t="str">
        <f t="shared" si="1633"/>
        <v>813</v>
      </c>
      <c r="L9145">
        <v>880.32</v>
      </c>
    </row>
    <row r="9146" spans="1:12" x14ac:dyDescent="0.25">
      <c r="A9146" t="str">
        <f t="shared" si="1620"/>
        <v>89301000</v>
      </c>
      <c r="B9146" t="str">
        <f t="shared" si="1630"/>
        <v>06539000</v>
      </c>
      <c r="C9146" t="str">
        <f t="shared" si="1631"/>
        <v>06539003</v>
      </c>
      <c r="D9146">
        <v>89301171</v>
      </c>
      <c r="E9146" t="str">
        <f t="shared" si="1629"/>
        <v>7406034471</v>
      </c>
      <c r="F9146" s="1">
        <v>45095</v>
      </c>
      <c r="G9146" t="str">
        <f t="shared" si="1634"/>
        <v>91197</v>
      </c>
      <c r="H9146">
        <v>1</v>
      </c>
      <c r="I9146">
        <v>1048</v>
      </c>
      <c r="J9146">
        <v>0</v>
      </c>
      <c r="K9146" t="str">
        <f t="shared" si="1633"/>
        <v>813</v>
      </c>
      <c r="L9146">
        <v>880.32</v>
      </c>
    </row>
    <row r="9147" spans="1:12" x14ac:dyDescent="0.25">
      <c r="A9147" t="str">
        <f t="shared" si="1620"/>
        <v>89301000</v>
      </c>
      <c r="B9147" t="str">
        <f t="shared" si="1630"/>
        <v>06539000</v>
      </c>
      <c r="C9147" t="str">
        <f t="shared" si="1631"/>
        <v>06539003</v>
      </c>
      <c r="D9147">
        <v>89301171</v>
      </c>
      <c r="E9147" t="str">
        <f t="shared" si="1629"/>
        <v>7406034471</v>
      </c>
      <c r="F9147" s="1">
        <v>45094</v>
      </c>
      <c r="G9147" t="str">
        <f t="shared" si="1634"/>
        <v>91197</v>
      </c>
      <c r="H9147">
        <v>1</v>
      </c>
      <c r="I9147">
        <v>1048</v>
      </c>
      <c r="J9147">
        <v>0</v>
      </c>
      <c r="K9147" t="str">
        <f t="shared" si="1633"/>
        <v>813</v>
      </c>
      <c r="L9147">
        <v>880.32</v>
      </c>
    </row>
    <row r="9148" spans="1:12" x14ac:dyDescent="0.25">
      <c r="A9148" t="str">
        <f t="shared" si="1620"/>
        <v>89301000</v>
      </c>
      <c r="B9148" t="str">
        <f t="shared" si="1630"/>
        <v>06539000</v>
      </c>
      <c r="C9148" t="str">
        <f t="shared" si="1631"/>
        <v>06539003</v>
      </c>
      <c r="D9148">
        <v>89301171</v>
      </c>
      <c r="E9148" t="str">
        <f t="shared" si="1629"/>
        <v>7406034471</v>
      </c>
      <c r="F9148" s="1">
        <v>45094</v>
      </c>
      <c r="G9148" t="str">
        <f t="shared" si="1634"/>
        <v>91197</v>
      </c>
      <c r="H9148">
        <v>1</v>
      </c>
      <c r="I9148">
        <v>1048</v>
      </c>
      <c r="J9148">
        <v>0</v>
      </c>
      <c r="K9148" t="str">
        <f t="shared" si="1633"/>
        <v>813</v>
      </c>
      <c r="L9148">
        <v>880.32</v>
      </c>
    </row>
    <row r="9149" spans="1:12" x14ac:dyDescent="0.25">
      <c r="A9149" t="str">
        <f t="shared" si="1620"/>
        <v>89301000</v>
      </c>
      <c r="B9149" t="str">
        <f t="shared" si="1630"/>
        <v>06539000</v>
      </c>
      <c r="C9149" t="str">
        <f t="shared" si="1631"/>
        <v>06539003</v>
      </c>
      <c r="D9149">
        <v>89301171</v>
      </c>
      <c r="E9149" t="str">
        <f t="shared" si="1629"/>
        <v>7406034471</v>
      </c>
      <c r="F9149" s="1">
        <v>45093</v>
      </c>
      <c r="G9149" t="str">
        <f t="shared" si="1634"/>
        <v>91197</v>
      </c>
      <c r="H9149">
        <v>1</v>
      </c>
      <c r="I9149">
        <v>1048</v>
      </c>
      <c r="J9149">
        <v>0</v>
      </c>
      <c r="K9149" t="str">
        <f t="shared" si="1633"/>
        <v>813</v>
      </c>
      <c r="L9149">
        <v>880.32</v>
      </c>
    </row>
    <row r="9150" spans="1:12" x14ac:dyDescent="0.25">
      <c r="A9150" t="str">
        <f t="shared" si="1620"/>
        <v>89301000</v>
      </c>
      <c r="B9150" t="str">
        <f t="shared" si="1630"/>
        <v>06539000</v>
      </c>
      <c r="C9150" t="str">
        <f t="shared" si="1631"/>
        <v>06539003</v>
      </c>
      <c r="D9150">
        <v>89301171</v>
      </c>
      <c r="E9150" t="str">
        <f t="shared" si="1629"/>
        <v>7406034471</v>
      </c>
      <c r="F9150" s="1">
        <v>45096</v>
      </c>
      <c r="G9150" t="str">
        <f>"91129"</f>
        <v>91129</v>
      </c>
      <c r="H9150">
        <v>1</v>
      </c>
      <c r="I9150">
        <v>175</v>
      </c>
      <c r="J9150">
        <v>0</v>
      </c>
      <c r="K9150" t="str">
        <f t="shared" si="1633"/>
        <v>813</v>
      </c>
      <c r="L9150">
        <v>147</v>
      </c>
    </row>
    <row r="9151" spans="1:12" x14ac:dyDescent="0.25">
      <c r="A9151" t="str">
        <f t="shared" si="1620"/>
        <v>89301000</v>
      </c>
      <c r="B9151" t="str">
        <f t="shared" si="1630"/>
        <v>06539000</v>
      </c>
      <c r="C9151" t="str">
        <f t="shared" si="1631"/>
        <v>06539003</v>
      </c>
      <c r="D9151">
        <v>89301171</v>
      </c>
      <c r="E9151" t="str">
        <f t="shared" si="1629"/>
        <v>7406034471</v>
      </c>
      <c r="F9151" s="1">
        <v>45096</v>
      </c>
      <c r="G9151" t="str">
        <f>"91131"</f>
        <v>91131</v>
      </c>
      <c r="H9151">
        <v>1</v>
      </c>
      <c r="I9151">
        <v>171</v>
      </c>
      <c r="J9151">
        <v>0</v>
      </c>
      <c r="K9151" t="str">
        <f t="shared" si="1633"/>
        <v>813</v>
      </c>
      <c r="L9151">
        <v>143.63999999999999</v>
      </c>
    </row>
    <row r="9152" spans="1:12" x14ac:dyDescent="0.25">
      <c r="A9152" t="str">
        <f t="shared" si="1620"/>
        <v>89301000</v>
      </c>
      <c r="B9152" t="str">
        <f t="shared" si="1630"/>
        <v>06539000</v>
      </c>
      <c r="C9152" t="str">
        <f t="shared" si="1631"/>
        <v>06539003</v>
      </c>
      <c r="D9152">
        <v>89301171</v>
      </c>
      <c r="E9152" t="str">
        <f t="shared" si="1629"/>
        <v>7406034471</v>
      </c>
      <c r="F9152" s="1">
        <v>45096</v>
      </c>
      <c r="G9152" t="str">
        <f>"91133"</f>
        <v>91133</v>
      </c>
      <c r="H9152">
        <v>1</v>
      </c>
      <c r="I9152">
        <v>177</v>
      </c>
      <c r="J9152">
        <v>0</v>
      </c>
      <c r="K9152" t="str">
        <f t="shared" si="1633"/>
        <v>813</v>
      </c>
      <c r="L9152">
        <v>148.68</v>
      </c>
    </row>
    <row r="9153" spans="1:12" x14ac:dyDescent="0.25">
      <c r="A9153" t="str">
        <f t="shared" si="1620"/>
        <v>89301000</v>
      </c>
      <c r="B9153" t="str">
        <f t="shared" si="1630"/>
        <v>06539000</v>
      </c>
      <c r="C9153" t="str">
        <f t="shared" si="1631"/>
        <v>06539003</v>
      </c>
      <c r="D9153">
        <v>89301171</v>
      </c>
      <c r="E9153" t="str">
        <f t="shared" si="1629"/>
        <v>7406034471</v>
      </c>
      <c r="F9153" s="1">
        <v>45096</v>
      </c>
      <c r="G9153" t="str">
        <f>"91171"</f>
        <v>91171</v>
      </c>
      <c r="H9153">
        <v>1</v>
      </c>
      <c r="I9153">
        <v>362</v>
      </c>
      <c r="J9153">
        <v>0</v>
      </c>
      <c r="K9153" t="str">
        <f t="shared" si="1633"/>
        <v>813</v>
      </c>
      <c r="L9153">
        <v>304.08</v>
      </c>
    </row>
    <row r="9154" spans="1:12" x14ac:dyDescent="0.25">
      <c r="A9154" t="str">
        <f t="shared" ref="A9154:A9217" si="1635">"89301000"</f>
        <v>89301000</v>
      </c>
      <c r="B9154" t="str">
        <f t="shared" si="1630"/>
        <v>06539000</v>
      </c>
      <c r="C9154" t="str">
        <f t="shared" si="1631"/>
        <v>06539003</v>
      </c>
      <c r="D9154">
        <v>89301171</v>
      </c>
      <c r="E9154" t="str">
        <f t="shared" si="1629"/>
        <v>7406034471</v>
      </c>
      <c r="F9154" s="1">
        <v>45093</v>
      </c>
      <c r="G9154" t="str">
        <f>"91173"</f>
        <v>91173</v>
      </c>
      <c r="H9154">
        <v>1</v>
      </c>
      <c r="I9154">
        <v>337</v>
      </c>
      <c r="J9154">
        <v>0</v>
      </c>
      <c r="K9154" t="str">
        <f t="shared" si="1633"/>
        <v>813</v>
      </c>
      <c r="L9154">
        <v>283.08</v>
      </c>
    </row>
    <row r="9155" spans="1:12" x14ac:dyDescent="0.25">
      <c r="A9155" t="str">
        <f t="shared" si="1635"/>
        <v>89301000</v>
      </c>
      <c r="B9155" t="str">
        <f t="shared" si="1630"/>
        <v>06539000</v>
      </c>
      <c r="C9155" t="str">
        <f t="shared" si="1631"/>
        <v>06539003</v>
      </c>
      <c r="D9155">
        <v>89301171</v>
      </c>
      <c r="E9155" t="str">
        <f t="shared" si="1629"/>
        <v>7406034471</v>
      </c>
      <c r="F9155" s="1">
        <v>45096</v>
      </c>
      <c r="G9155" t="str">
        <f>"91175"</f>
        <v>91175</v>
      </c>
      <c r="H9155">
        <v>1</v>
      </c>
      <c r="I9155">
        <v>362</v>
      </c>
      <c r="J9155">
        <v>0</v>
      </c>
      <c r="K9155" t="str">
        <f t="shared" si="1633"/>
        <v>813</v>
      </c>
      <c r="L9155">
        <v>304.08</v>
      </c>
    </row>
    <row r="9156" spans="1:12" x14ac:dyDescent="0.25">
      <c r="A9156" t="str">
        <f t="shared" si="1635"/>
        <v>89301000</v>
      </c>
      <c r="B9156" t="str">
        <f t="shared" si="1630"/>
        <v>06539000</v>
      </c>
      <c r="C9156" t="str">
        <f t="shared" si="1631"/>
        <v>06539003</v>
      </c>
      <c r="D9156">
        <v>89301171</v>
      </c>
      <c r="E9156" t="str">
        <f t="shared" si="1629"/>
        <v>7406034471</v>
      </c>
      <c r="F9156" s="1">
        <v>45094</v>
      </c>
      <c r="G9156" t="str">
        <f>"91167"</f>
        <v>91167</v>
      </c>
      <c r="H9156">
        <v>1</v>
      </c>
      <c r="I9156">
        <v>426</v>
      </c>
      <c r="J9156">
        <v>0</v>
      </c>
      <c r="K9156" t="str">
        <f t="shared" si="1633"/>
        <v>813</v>
      </c>
      <c r="L9156">
        <v>357.84</v>
      </c>
    </row>
    <row r="9157" spans="1:12" x14ac:dyDescent="0.25">
      <c r="A9157" t="str">
        <f t="shared" si="1635"/>
        <v>89301000</v>
      </c>
      <c r="B9157" t="str">
        <f t="shared" si="1630"/>
        <v>06539000</v>
      </c>
      <c r="C9157" t="str">
        <f t="shared" si="1631"/>
        <v>06539003</v>
      </c>
      <c r="D9157">
        <v>89301171</v>
      </c>
      <c r="E9157" t="str">
        <f t="shared" si="1629"/>
        <v>7406034471</v>
      </c>
      <c r="F9157" s="1">
        <v>45094</v>
      </c>
      <c r="G9157" t="str">
        <f>"91169"</f>
        <v>91169</v>
      </c>
      <c r="H9157">
        <v>1</v>
      </c>
      <c r="I9157">
        <v>426</v>
      </c>
      <c r="J9157">
        <v>0</v>
      </c>
      <c r="K9157" t="str">
        <f t="shared" si="1633"/>
        <v>813</v>
      </c>
      <c r="L9157">
        <v>357.84</v>
      </c>
    </row>
    <row r="9158" spans="1:12" x14ac:dyDescent="0.25">
      <c r="A9158" t="str">
        <f t="shared" si="1635"/>
        <v>89301000</v>
      </c>
      <c r="B9158" t="str">
        <f t="shared" si="1630"/>
        <v>06539000</v>
      </c>
      <c r="C9158" t="str">
        <f t="shared" si="1631"/>
        <v>06539003</v>
      </c>
      <c r="D9158">
        <v>89301171</v>
      </c>
      <c r="E9158" t="str">
        <f t="shared" si="1629"/>
        <v>7406034471</v>
      </c>
      <c r="F9158" s="1">
        <v>45093</v>
      </c>
      <c r="G9158" t="str">
        <f>"91167"</f>
        <v>91167</v>
      </c>
      <c r="H9158">
        <v>1</v>
      </c>
      <c r="I9158">
        <v>426</v>
      </c>
      <c r="J9158">
        <v>0</v>
      </c>
      <c r="K9158" t="str">
        <f t="shared" si="1633"/>
        <v>813</v>
      </c>
      <c r="L9158">
        <v>357.84</v>
      </c>
    </row>
    <row r="9159" spans="1:12" x14ac:dyDescent="0.25">
      <c r="A9159" t="str">
        <f t="shared" si="1635"/>
        <v>89301000</v>
      </c>
      <c r="B9159" t="str">
        <f t="shared" si="1630"/>
        <v>06539000</v>
      </c>
      <c r="C9159" t="str">
        <f t="shared" si="1631"/>
        <v>06539003</v>
      </c>
      <c r="D9159">
        <v>89301171</v>
      </c>
      <c r="E9159" t="str">
        <f t="shared" si="1629"/>
        <v>7406034471</v>
      </c>
      <c r="F9159" s="1">
        <v>45093</v>
      </c>
      <c r="G9159" t="str">
        <f>"91169"</f>
        <v>91169</v>
      </c>
      <c r="H9159">
        <v>1</v>
      </c>
      <c r="I9159">
        <v>426</v>
      </c>
      <c r="J9159">
        <v>0</v>
      </c>
      <c r="K9159" t="str">
        <f t="shared" si="1633"/>
        <v>813</v>
      </c>
      <c r="L9159">
        <v>357.84</v>
      </c>
    </row>
    <row r="9160" spans="1:12" x14ac:dyDescent="0.25">
      <c r="A9160" t="str">
        <f t="shared" si="1635"/>
        <v>89301000</v>
      </c>
      <c r="B9160" t="str">
        <f t="shared" si="1630"/>
        <v>06539000</v>
      </c>
      <c r="C9160" t="str">
        <f t="shared" si="1631"/>
        <v>06539003</v>
      </c>
      <c r="D9160">
        <v>89301171</v>
      </c>
      <c r="E9160" t="str">
        <f t="shared" si="1629"/>
        <v>7406034471</v>
      </c>
      <c r="F9160" s="1">
        <v>45119</v>
      </c>
      <c r="G9160" t="str">
        <f>"91475"</f>
        <v>91475</v>
      </c>
      <c r="H9160">
        <v>1</v>
      </c>
      <c r="I9160">
        <v>213</v>
      </c>
      <c r="J9160">
        <v>0</v>
      </c>
      <c r="K9160" t="str">
        <f t="shared" si="1633"/>
        <v>813</v>
      </c>
      <c r="L9160">
        <v>178.92</v>
      </c>
    </row>
    <row r="9161" spans="1:12" x14ac:dyDescent="0.25">
      <c r="A9161" t="str">
        <f t="shared" si="1635"/>
        <v>89301000</v>
      </c>
      <c r="B9161" t="str">
        <f t="shared" si="1630"/>
        <v>06539000</v>
      </c>
      <c r="C9161" t="str">
        <f t="shared" si="1631"/>
        <v>06539003</v>
      </c>
      <c r="D9161">
        <v>89301171</v>
      </c>
      <c r="E9161" t="str">
        <f t="shared" ref="E9161:E9168" si="1636">"6251240699"</f>
        <v>6251240699</v>
      </c>
      <c r="F9161" s="1">
        <v>45120</v>
      </c>
      <c r="G9161" t="str">
        <f t="shared" ref="G9161:G9168" si="1637">"91413"</f>
        <v>91413</v>
      </c>
      <c r="H9161">
        <v>1</v>
      </c>
      <c r="I9161">
        <v>868</v>
      </c>
      <c r="J9161">
        <v>0</v>
      </c>
      <c r="K9161" t="str">
        <f t="shared" si="1633"/>
        <v>813</v>
      </c>
      <c r="L9161">
        <v>729.12</v>
      </c>
    </row>
    <row r="9162" spans="1:12" x14ac:dyDescent="0.25">
      <c r="A9162" t="str">
        <f t="shared" si="1635"/>
        <v>89301000</v>
      </c>
      <c r="B9162" t="str">
        <f t="shared" si="1630"/>
        <v>06539000</v>
      </c>
      <c r="C9162" t="str">
        <f t="shared" si="1631"/>
        <v>06539003</v>
      </c>
      <c r="D9162">
        <v>89301171</v>
      </c>
      <c r="E9162" t="str">
        <f t="shared" si="1636"/>
        <v>6251240699</v>
      </c>
      <c r="F9162" s="1">
        <v>45120</v>
      </c>
      <c r="G9162" t="str">
        <f t="shared" si="1637"/>
        <v>91413</v>
      </c>
      <c r="H9162">
        <v>1</v>
      </c>
      <c r="I9162">
        <v>868</v>
      </c>
      <c r="J9162">
        <v>0</v>
      </c>
      <c r="K9162" t="str">
        <f t="shared" si="1633"/>
        <v>813</v>
      </c>
      <c r="L9162">
        <v>729.12</v>
      </c>
    </row>
    <row r="9163" spans="1:12" x14ac:dyDescent="0.25">
      <c r="A9163" t="str">
        <f t="shared" si="1635"/>
        <v>89301000</v>
      </c>
      <c r="B9163" t="str">
        <f t="shared" si="1630"/>
        <v>06539000</v>
      </c>
      <c r="C9163" t="str">
        <f t="shared" si="1631"/>
        <v>06539003</v>
      </c>
      <c r="D9163">
        <v>89301171</v>
      </c>
      <c r="E9163" t="str">
        <f t="shared" si="1636"/>
        <v>6251240699</v>
      </c>
      <c r="F9163" s="1">
        <v>45120</v>
      </c>
      <c r="G9163" t="str">
        <f t="shared" si="1637"/>
        <v>91413</v>
      </c>
      <c r="H9163">
        <v>1</v>
      </c>
      <c r="I9163">
        <v>868</v>
      </c>
      <c r="J9163">
        <v>0</v>
      </c>
      <c r="K9163" t="str">
        <f t="shared" si="1633"/>
        <v>813</v>
      </c>
      <c r="L9163">
        <v>729.12</v>
      </c>
    </row>
    <row r="9164" spans="1:12" x14ac:dyDescent="0.25">
      <c r="A9164" t="str">
        <f t="shared" si="1635"/>
        <v>89301000</v>
      </c>
      <c r="B9164" t="str">
        <f t="shared" si="1630"/>
        <v>06539000</v>
      </c>
      <c r="C9164" t="str">
        <f t="shared" si="1631"/>
        <v>06539003</v>
      </c>
      <c r="D9164">
        <v>89301171</v>
      </c>
      <c r="E9164" t="str">
        <f t="shared" si="1636"/>
        <v>6251240699</v>
      </c>
      <c r="F9164" s="1">
        <v>45120</v>
      </c>
      <c r="G9164" t="str">
        <f t="shared" si="1637"/>
        <v>91413</v>
      </c>
      <c r="H9164">
        <v>1</v>
      </c>
      <c r="I9164">
        <v>868</v>
      </c>
      <c r="J9164">
        <v>0</v>
      </c>
      <c r="K9164" t="str">
        <f t="shared" si="1633"/>
        <v>813</v>
      </c>
      <c r="L9164">
        <v>729.12</v>
      </c>
    </row>
    <row r="9165" spans="1:12" x14ac:dyDescent="0.25">
      <c r="A9165" t="str">
        <f t="shared" si="1635"/>
        <v>89301000</v>
      </c>
      <c r="B9165" t="str">
        <f t="shared" si="1630"/>
        <v>06539000</v>
      </c>
      <c r="C9165" t="str">
        <f t="shared" si="1631"/>
        <v>06539003</v>
      </c>
      <c r="D9165">
        <v>89301171</v>
      </c>
      <c r="E9165" t="str">
        <f t="shared" si="1636"/>
        <v>6251240699</v>
      </c>
      <c r="F9165" s="1">
        <v>45120</v>
      </c>
      <c r="G9165" t="str">
        <f t="shared" si="1637"/>
        <v>91413</v>
      </c>
      <c r="H9165">
        <v>1</v>
      </c>
      <c r="I9165">
        <v>868</v>
      </c>
      <c r="J9165">
        <v>0</v>
      </c>
      <c r="K9165" t="str">
        <f t="shared" si="1633"/>
        <v>813</v>
      </c>
      <c r="L9165">
        <v>729.12</v>
      </c>
    </row>
    <row r="9166" spans="1:12" x14ac:dyDescent="0.25">
      <c r="A9166" t="str">
        <f t="shared" si="1635"/>
        <v>89301000</v>
      </c>
      <c r="B9166" t="str">
        <f t="shared" si="1630"/>
        <v>06539000</v>
      </c>
      <c r="C9166" t="str">
        <f t="shared" si="1631"/>
        <v>06539003</v>
      </c>
      <c r="D9166">
        <v>89301171</v>
      </c>
      <c r="E9166" t="str">
        <f t="shared" si="1636"/>
        <v>6251240699</v>
      </c>
      <c r="F9166" s="1">
        <v>45120</v>
      </c>
      <c r="G9166" t="str">
        <f t="shared" si="1637"/>
        <v>91413</v>
      </c>
      <c r="H9166">
        <v>1</v>
      </c>
      <c r="I9166">
        <v>868</v>
      </c>
      <c r="J9166">
        <v>0</v>
      </c>
      <c r="K9166" t="str">
        <f t="shared" si="1633"/>
        <v>813</v>
      </c>
      <c r="L9166">
        <v>729.12</v>
      </c>
    </row>
    <row r="9167" spans="1:12" x14ac:dyDescent="0.25">
      <c r="A9167" t="str">
        <f t="shared" si="1635"/>
        <v>89301000</v>
      </c>
      <c r="B9167" t="str">
        <f t="shared" si="1630"/>
        <v>06539000</v>
      </c>
      <c r="C9167" t="str">
        <f t="shared" si="1631"/>
        <v>06539003</v>
      </c>
      <c r="D9167">
        <v>89301171</v>
      </c>
      <c r="E9167" t="str">
        <f t="shared" si="1636"/>
        <v>6251240699</v>
      </c>
      <c r="F9167" s="1">
        <v>45120</v>
      </c>
      <c r="G9167" t="str">
        <f t="shared" si="1637"/>
        <v>91413</v>
      </c>
      <c r="H9167">
        <v>1</v>
      </c>
      <c r="I9167">
        <v>868</v>
      </c>
      <c r="J9167">
        <v>0</v>
      </c>
      <c r="K9167" t="str">
        <f t="shared" si="1633"/>
        <v>813</v>
      </c>
      <c r="L9167">
        <v>729.12</v>
      </c>
    </row>
    <row r="9168" spans="1:12" x14ac:dyDescent="0.25">
      <c r="A9168" t="str">
        <f t="shared" si="1635"/>
        <v>89301000</v>
      </c>
      <c r="B9168" t="str">
        <f t="shared" si="1630"/>
        <v>06539000</v>
      </c>
      <c r="C9168" t="str">
        <f t="shared" si="1631"/>
        <v>06539003</v>
      </c>
      <c r="D9168">
        <v>89301171</v>
      </c>
      <c r="E9168" t="str">
        <f t="shared" si="1636"/>
        <v>6251240699</v>
      </c>
      <c r="F9168" s="1">
        <v>45120</v>
      </c>
      <c r="G9168" t="str">
        <f t="shared" si="1637"/>
        <v>91413</v>
      </c>
      <c r="H9168">
        <v>1</v>
      </c>
      <c r="I9168">
        <v>868</v>
      </c>
      <c r="J9168">
        <v>0</v>
      </c>
      <c r="K9168" t="str">
        <f t="shared" si="1633"/>
        <v>813</v>
      </c>
      <c r="L9168">
        <v>729.12</v>
      </c>
    </row>
    <row r="9169" spans="1:12" x14ac:dyDescent="0.25">
      <c r="A9169" t="str">
        <f t="shared" si="1635"/>
        <v>89301000</v>
      </c>
      <c r="B9169" t="str">
        <f t="shared" si="1630"/>
        <v>06539000</v>
      </c>
      <c r="C9169" t="str">
        <f>"06539001"</f>
        <v>06539001</v>
      </c>
      <c r="D9169">
        <v>89301171</v>
      </c>
      <c r="E9169" t="str">
        <f t="shared" ref="E9169:E9210" si="1638">"7562165622"</f>
        <v>7562165622</v>
      </c>
      <c r="F9169" s="1">
        <v>45100</v>
      </c>
      <c r="G9169" t="str">
        <f>"81329"</f>
        <v>81329</v>
      </c>
      <c r="H9169">
        <v>1</v>
      </c>
      <c r="I9169">
        <v>17</v>
      </c>
      <c r="J9169">
        <v>0</v>
      </c>
      <c r="K9169" t="str">
        <f>"801"</f>
        <v>801</v>
      </c>
      <c r="L9169">
        <v>14.28</v>
      </c>
    </row>
    <row r="9170" spans="1:12" x14ac:dyDescent="0.25">
      <c r="A9170" t="str">
        <f t="shared" si="1635"/>
        <v>89301000</v>
      </c>
      <c r="B9170" t="str">
        <f t="shared" si="1630"/>
        <v>06539000</v>
      </c>
      <c r="C9170" t="str">
        <f>"06539001"</f>
        <v>06539001</v>
      </c>
      <c r="D9170">
        <v>89301171</v>
      </c>
      <c r="E9170" t="str">
        <f t="shared" si="1638"/>
        <v>7562165622</v>
      </c>
      <c r="F9170" s="1">
        <v>45100</v>
      </c>
      <c r="G9170" t="str">
        <f>"81331"</f>
        <v>81331</v>
      </c>
      <c r="H9170">
        <v>1</v>
      </c>
      <c r="I9170">
        <v>193</v>
      </c>
      <c r="J9170">
        <v>0</v>
      </c>
      <c r="K9170" t="str">
        <f>"801"</f>
        <v>801</v>
      </c>
      <c r="L9170">
        <v>162.12</v>
      </c>
    </row>
    <row r="9171" spans="1:12" x14ac:dyDescent="0.25">
      <c r="A9171" t="str">
        <f t="shared" si="1635"/>
        <v>89301000</v>
      </c>
      <c r="B9171" t="str">
        <f t="shared" si="1630"/>
        <v>06539000</v>
      </c>
      <c r="C9171" t="str">
        <f t="shared" ref="C9171:C9178" si="1639">"06539002"</f>
        <v>06539002</v>
      </c>
      <c r="D9171">
        <v>89301171</v>
      </c>
      <c r="E9171" t="str">
        <f t="shared" si="1638"/>
        <v>7562165622</v>
      </c>
      <c r="F9171" s="1">
        <v>45100</v>
      </c>
      <c r="G9171" t="str">
        <f t="shared" ref="G9171:G9178" si="1640">"82097"</f>
        <v>82097</v>
      </c>
      <c r="H9171">
        <v>1</v>
      </c>
      <c r="I9171">
        <v>381</v>
      </c>
      <c r="J9171">
        <v>0</v>
      </c>
      <c r="K9171" t="str">
        <f t="shared" ref="K9171:K9178" si="1641">"802"</f>
        <v>802</v>
      </c>
      <c r="L9171">
        <v>369.57</v>
      </c>
    </row>
    <row r="9172" spans="1:12" x14ac:dyDescent="0.25">
      <c r="A9172" t="str">
        <f t="shared" si="1635"/>
        <v>89301000</v>
      </c>
      <c r="B9172" t="str">
        <f t="shared" si="1630"/>
        <v>06539000</v>
      </c>
      <c r="C9172" t="str">
        <f t="shared" si="1639"/>
        <v>06539002</v>
      </c>
      <c r="D9172">
        <v>89301171</v>
      </c>
      <c r="E9172" t="str">
        <f t="shared" si="1638"/>
        <v>7562165622</v>
      </c>
      <c r="F9172" s="1">
        <v>45100</v>
      </c>
      <c r="G9172" t="str">
        <f t="shared" si="1640"/>
        <v>82097</v>
      </c>
      <c r="H9172">
        <v>1</v>
      </c>
      <c r="I9172">
        <v>381</v>
      </c>
      <c r="J9172">
        <v>0</v>
      </c>
      <c r="K9172" t="str">
        <f t="shared" si="1641"/>
        <v>802</v>
      </c>
      <c r="L9172">
        <v>369.57</v>
      </c>
    </row>
    <row r="9173" spans="1:12" x14ac:dyDescent="0.25">
      <c r="A9173" t="str">
        <f t="shared" si="1635"/>
        <v>89301000</v>
      </c>
      <c r="B9173" t="str">
        <f t="shared" si="1630"/>
        <v>06539000</v>
      </c>
      <c r="C9173" t="str">
        <f t="shared" si="1639"/>
        <v>06539002</v>
      </c>
      <c r="D9173">
        <v>89301171</v>
      </c>
      <c r="E9173" t="str">
        <f t="shared" si="1638"/>
        <v>7562165622</v>
      </c>
      <c r="F9173" s="1">
        <v>45100</v>
      </c>
      <c r="G9173" t="str">
        <f t="shared" si="1640"/>
        <v>82097</v>
      </c>
      <c r="H9173">
        <v>1</v>
      </c>
      <c r="I9173">
        <v>381</v>
      </c>
      <c r="J9173">
        <v>0</v>
      </c>
      <c r="K9173" t="str">
        <f t="shared" si="1641"/>
        <v>802</v>
      </c>
      <c r="L9173">
        <v>369.57</v>
      </c>
    </row>
    <row r="9174" spans="1:12" x14ac:dyDescent="0.25">
      <c r="A9174" t="str">
        <f t="shared" si="1635"/>
        <v>89301000</v>
      </c>
      <c r="B9174" t="str">
        <f t="shared" si="1630"/>
        <v>06539000</v>
      </c>
      <c r="C9174" t="str">
        <f t="shared" si="1639"/>
        <v>06539002</v>
      </c>
      <c r="D9174">
        <v>89301171</v>
      </c>
      <c r="E9174" t="str">
        <f t="shared" si="1638"/>
        <v>7562165622</v>
      </c>
      <c r="F9174" s="1">
        <v>45100</v>
      </c>
      <c r="G9174" t="str">
        <f t="shared" si="1640"/>
        <v>82097</v>
      </c>
      <c r="H9174">
        <v>1</v>
      </c>
      <c r="I9174">
        <v>381</v>
      </c>
      <c r="J9174">
        <v>0</v>
      </c>
      <c r="K9174" t="str">
        <f t="shared" si="1641"/>
        <v>802</v>
      </c>
      <c r="L9174">
        <v>369.57</v>
      </c>
    </row>
    <row r="9175" spans="1:12" x14ac:dyDescent="0.25">
      <c r="A9175" t="str">
        <f t="shared" si="1635"/>
        <v>89301000</v>
      </c>
      <c r="B9175" t="str">
        <f t="shared" si="1630"/>
        <v>06539000</v>
      </c>
      <c r="C9175" t="str">
        <f t="shared" si="1639"/>
        <v>06539002</v>
      </c>
      <c r="D9175">
        <v>89301171</v>
      </c>
      <c r="E9175" t="str">
        <f t="shared" si="1638"/>
        <v>7562165622</v>
      </c>
      <c r="F9175" s="1">
        <v>45100</v>
      </c>
      <c r="G9175" t="str">
        <f t="shared" si="1640"/>
        <v>82097</v>
      </c>
      <c r="H9175">
        <v>1</v>
      </c>
      <c r="I9175">
        <v>381</v>
      </c>
      <c r="J9175">
        <v>0</v>
      </c>
      <c r="K9175" t="str">
        <f t="shared" si="1641"/>
        <v>802</v>
      </c>
      <c r="L9175">
        <v>369.57</v>
      </c>
    </row>
    <row r="9176" spans="1:12" x14ac:dyDescent="0.25">
      <c r="A9176" t="str">
        <f t="shared" si="1635"/>
        <v>89301000</v>
      </c>
      <c r="B9176" t="str">
        <f t="shared" si="1630"/>
        <v>06539000</v>
      </c>
      <c r="C9176" t="str">
        <f t="shared" si="1639"/>
        <v>06539002</v>
      </c>
      <c r="D9176">
        <v>89301171</v>
      </c>
      <c r="E9176" t="str">
        <f t="shared" si="1638"/>
        <v>7562165622</v>
      </c>
      <c r="F9176" s="1">
        <v>45100</v>
      </c>
      <c r="G9176" t="str">
        <f t="shared" si="1640"/>
        <v>82097</v>
      </c>
      <c r="H9176">
        <v>1</v>
      </c>
      <c r="I9176">
        <v>381</v>
      </c>
      <c r="J9176">
        <v>0</v>
      </c>
      <c r="K9176" t="str">
        <f t="shared" si="1641"/>
        <v>802</v>
      </c>
      <c r="L9176">
        <v>369.57</v>
      </c>
    </row>
    <row r="9177" spans="1:12" x14ac:dyDescent="0.25">
      <c r="A9177" t="str">
        <f t="shared" si="1635"/>
        <v>89301000</v>
      </c>
      <c r="B9177" t="str">
        <f t="shared" si="1630"/>
        <v>06539000</v>
      </c>
      <c r="C9177" t="str">
        <f t="shared" si="1639"/>
        <v>06539002</v>
      </c>
      <c r="D9177">
        <v>89301171</v>
      </c>
      <c r="E9177" t="str">
        <f t="shared" si="1638"/>
        <v>7562165622</v>
      </c>
      <c r="F9177" s="1">
        <v>45100</v>
      </c>
      <c r="G9177" t="str">
        <f t="shared" si="1640"/>
        <v>82097</v>
      </c>
      <c r="H9177">
        <v>1</v>
      </c>
      <c r="I9177">
        <v>381</v>
      </c>
      <c r="J9177">
        <v>0</v>
      </c>
      <c r="K9177" t="str">
        <f t="shared" si="1641"/>
        <v>802</v>
      </c>
      <c r="L9177">
        <v>369.57</v>
      </c>
    </row>
    <row r="9178" spans="1:12" x14ac:dyDescent="0.25">
      <c r="A9178" t="str">
        <f t="shared" si="1635"/>
        <v>89301000</v>
      </c>
      <c r="B9178" t="str">
        <f t="shared" si="1630"/>
        <v>06539000</v>
      </c>
      <c r="C9178" t="str">
        <f t="shared" si="1639"/>
        <v>06539002</v>
      </c>
      <c r="D9178">
        <v>89301171</v>
      </c>
      <c r="E9178" t="str">
        <f t="shared" si="1638"/>
        <v>7562165622</v>
      </c>
      <c r="F9178" s="1">
        <v>45100</v>
      </c>
      <c r="G9178" t="str">
        <f t="shared" si="1640"/>
        <v>82097</v>
      </c>
      <c r="H9178">
        <v>1</v>
      </c>
      <c r="I9178">
        <v>381</v>
      </c>
      <c r="J9178">
        <v>0</v>
      </c>
      <c r="K9178" t="str">
        <f t="shared" si="1641"/>
        <v>802</v>
      </c>
      <c r="L9178">
        <v>369.57</v>
      </c>
    </row>
    <row r="9179" spans="1:12" x14ac:dyDescent="0.25">
      <c r="A9179" t="str">
        <f t="shared" si="1635"/>
        <v>89301000</v>
      </c>
      <c r="B9179" t="str">
        <f t="shared" si="1630"/>
        <v>06539000</v>
      </c>
      <c r="C9179" t="str">
        <f t="shared" ref="C9179:C9210" si="1642">"06539003"</f>
        <v>06539003</v>
      </c>
      <c r="D9179">
        <v>89301171</v>
      </c>
      <c r="E9179" t="str">
        <f t="shared" si="1638"/>
        <v>7562165622</v>
      </c>
      <c r="F9179" s="1">
        <v>45103</v>
      </c>
      <c r="G9179" t="str">
        <f t="shared" ref="G9179:G9188" si="1643">"91413"</f>
        <v>91413</v>
      </c>
      <c r="H9179">
        <v>1</v>
      </c>
      <c r="I9179">
        <v>868</v>
      </c>
      <c r="J9179">
        <v>0</v>
      </c>
      <c r="K9179" t="str">
        <f t="shared" ref="K9179:K9210" si="1644">"813"</f>
        <v>813</v>
      </c>
      <c r="L9179">
        <v>729.12</v>
      </c>
    </row>
    <row r="9180" spans="1:12" x14ac:dyDescent="0.25">
      <c r="A9180" t="str">
        <f t="shared" si="1635"/>
        <v>89301000</v>
      </c>
      <c r="B9180" t="str">
        <f t="shared" si="1630"/>
        <v>06539000</v>
      </c>
      <c r="C9180" t="str">
        <f t="shared" si="1642"/>
        <v>06539003</v>
      </c>
      <c r="D9180">
        <v>89301171</v>
      </c>
      <c r="E9180" t="str">
        <f t="shared" si="1638"/>
        <v>7562165622</v>
      </c>
      <c r="F9180" s="1">
        <v>45103</v>
      </c>
      <c r="G9180" t="str">
        <f t="shared" si="1643"/>
        <v>91413</v>
      </c>
      <c r="H9180">
        <v>1</v>
      </c>
      <c r="I9180">
        <v>868</v>
      </c>
      <c r="J9180">
        <v>0</v>
      </c>
      <c r="K9180" t="str">
        <f t="shared" si="1644"/>
        <v>813</v>
      </c>
      <c r="L9180">
        <v>729.12</v>
      </c>
    </row>
    <row r="9181" spans="1:12" x14ac:dyDescent="0.25">
      <c r="A9181" t="str">
        <f t="shared" si="1635"/>
        <v>89301000</v>
      </c>
      <c r="B9181" t="str">
        <f t="shared" si="1630"/>
        <v>06539000</v>
      </c>
      <c r="C9181" t="str">
        <f t="shared" si="1642"/>
        <v>06539003</v>
      </c>
      <c r="D9181">
        <v>89301171</v>
      </c>
      <c r="E9181" t="str">
        <f t="shared" si="1638"/>
        <v>7562165622</v>
      </c>
      <c r="F9181" s="1">
        <v>45120</v>
      </c>
      <c r="G9181" t="str">
        <f t="shared" si="1643"/>
        <v>91413</v>
      </c>
      <c r="H9181">
        <v>1</v>
      </c>
      <c r="I9181">
        <v>868</v>
      </c>
      <c r="J9181">
        <v>0</v>
      </c>
      <c r="K9181" t="str">
        <f t="shared" si="1644"/>
        <v>813</v>
      </c>
      <c r="L9181">
        <v>729.12</v>
      </c>
    </row>
    <row r="9182" spans="1:12" x14ac:dyDescent="0.25">
      <c r="A9182" t="str">
        <f t="shared" si="1635"/>
        <v>89301000</v>
      </c>
      <c r="B9182" t="str">
        <f t="shared" si="1630"/>
        <v>06539000</v>
      </c>
      <c r="C9182" t="str">
        <f t="shared" si="1642"/>
        <v>06539003</v>
      </c>
      <c r="D9182">
        <v>89301171</v>
      </c>
      <c r="E9182" t="str">
        <f t="shared" si="1638"/>
        <v>7562165622</v>
      </c>
      <c r="F9182" s="1">
        <v>45120</v>
      </c>
      <c r="G9182" t="str">
        <f t="shared" si="1643"/>
        <v>91413</v>
      </c>
      <c r="H9182">
        <v>1</v>
      </c>
      <c r="I9182">
        <v>868</v>
      </c>
      <c r="J9182">
        <v>0</v>
      </c>
      <c r="K9182" t="str">
        <f t="shared" si="1644"/>
        <v>813</v>
      </c>
      <c r="L9182">
        <v>729.12</v>
      </c>
    </row>
    <row r="9183" spans="1:12" x14ac:dyDescent="0.25">
      <c r="A9183" t="str">
        <f t="shared" si="1635"/>
        <v>89301000</v>
      </c>
      <c r="B9183" t="str">
        <f t="shared" si="1630"/>
        <v>06539000</v>
      </c>
      <c r="C9183" t="str">
        <f t="shared" si="1642"/>
        <v>06539003</v>
      </c>
      <c r="D9183">
        <v>89301171</v>
      </c>
      <c r="E9183" t="str">
        <f t="shared" si="1638"/>
        <v>7562165622</v>
      </c>
      <c r="F9183" s="1">
        <v>45120</v>
      </c>
      <c r="G9183" t="str">
        <f t="shared" si="1643"/>
        <v>91413</v>
      </c>
      <c r="H9183">
        <v>1</v>
      </c>
      <c r="I9183">
        <v>868</v>
      </c>
      <c r="J9183">
        <v>0</v>
      </c>
      <c r="K9183" t="str">
        <f t="shared" si="1644"/>
        <v>813</v>
      </c>
      <c r="L9183">
        <v>729.12</v>
      </c>
    </row>
    <row r="9184" spans="1:12" x14ac:dyDescent="0.25">
      <c r="A9184" t="str">
        <f t="shared" si="1635"/>
        <v>89301000</v>
      </c>
      <c r="B9184" t="str">
        <f t="shared" si="1630"/>
        <v>06539000</v>
      </c>
      <c r="C9184" t="str">
        <f t="shared" si="1642"/>
        <v>06539003</v>
      </c>
      <c r="D9184">
        <v>89301171</v>
      </c>
      <c r="E9184" t="str">
        <f t="shared" si="1638"/>
        <v>7562165622</v>
      </c>
      <c r="F9184" s="1">
        <v>45120</v>
      </c>
      <c r="G9184" t="str">
        <f t="shared" si="1643"/>
        <v>91413</v>
      </c>
      <c r="H9184">
        <v>1</v>
      </c>
      <c r="I9184">
        <v>868</v>
      </c>
      <c r="J9184">
        <v>0</v>
      </c>
      <c r="K9184" t="str">
        <f t="shared" si="1644"/>
        <v>813</v>
      </c>
      <c r="L9184">
        <v>729.12</v>
      </c>
    </row>
    <row r="9185" spans="1:12" x14ac:dyDescent="0.25">
      <c r="A9185" t="str">
        <f t="shared" si="1635"/>
        <v>89301000</v>
      </c>
      <c r="B9185" t="str">
        <f t="shared" si="1630"/>
        <v>06539000</v>
      </c>
      <c r="C9185" t="str">
        <f t="shared" si="1642"/>
        <v>06539003</v>
      </c>
      <c r="D9185">
        <v>89301171</v>
      </c>
      <c r="E9185" t="str">
        <f t="shared" si="1638"/>
        <v>7562165622</v>
      </c>
      <c r="F9185" s="1">
        <v>45120</v>
      </c>
      <c r="G9185" t="str">
        <f t="shared" si="1643"/>
        <v>91413</v>
      </c>
      <c r="H9185">
        <v>1</v>
      </c>
      <c r="I9185">
        <v>868</v>
      </c>
      <c r="J9185">
        <v>0</v>
      </c>
      <c r="K9185" t="str">
        <f t="shared" si="1644"/>
        <v>813</v>
      </c>
      <c r="L9185">
        <v>729.12</v>
      </c>
    </row>
    <row r="9186" spans="1:12" x14ac:dyDescent="0.25">
      <c r="A9186" t="str">
        <f t="shared" si="1635"/>
        <v>89301000</v>
      </c>
      <c r="B9186" t="str">
        <f t="shared" si="1630"/>
        <v>06539000</v>
      </c>
      <c r="C9186" t="str">
        <f t="shared" si="1642"/>
        <v>06539003</v>
      </c>
      <c r="D9186">
        <v>89301171</v>
      </c>
      <c r="E9186" t="str">
        <f t="shared" si="1638"/>
        <v>7562165622</v>
      </c>
      <c r="F9186" s="1">
        <v>45120</v>
      </c>
      <c r="G9186" t="str">
        <f t="shared" si="1643"/>
        <v>91413</v>
      </c>
      <c r="H9186">
        <v>1</v>
      </c>
      <c r="I9186">
        <v>868</v>
      </c>
      <c r="J9186">
        <v>0</v>
      </c>
      <c r="K9186" t="str">
        <f t="shared" si="1644"/>
        <v>813</v>
      </c>
      <c r="L9186">
        <v>729.12</v>
      </c>
    </row>
    <row r="9187" spans="1:12" x14ac:dyDescent="0.25">
      <c r="A9187" t="str">
        <f t="shared" si="1635"/>
        <v>89301000</v>
      </c>
      <c r="B9187" t="str">
        <f t="shared" si="1630"/>
        <v>06539000</v>
      </c>
      <c r="C9187" t="str">
        <f t="shared" si="1642"/>
        <v>06539003</v>
      </c>
      <c r="D9187">
        <v>89301171</v>
      </c>
      <c r="E9187" t="str">
        <f t="shared" si="1638"/>
        <v>7562165622</v>
      </c>
      <c r="F9187" s="1">
        <v>45120</v>
      </c>
      <c r="G9187" t="str">
        <f t="shared" si="1643"/>
        <v>91413</v>
      </c>
      <c r="H9187">
        <v>1</v>
      </c>
      <c r="I9187">
        <v>868</v>
      </c>
      <c r="J9187">
        <v>0</v>
      </c>
      <c r="K9187" t="str">
        <f t="shared" si="1644"/>
        <v>813</v>
      </c>
      <c r="L9187">
        <v>729.12</v>
      </c>
    </row>
    <row r="9188" spans="1:12" x14ac:dyDescent="0.25">
      <c r="A9188" t="str">
        <f t="shared" si="1635"/>
        <v>89301000</v>
      </c>
      <c r="B9188" t="str">
        <f t="shared" si="1630"/>
        <v>06539000</v>
      </c>
      <c r="C9188" t="str">
        <f t="shared" si="1642"/>
        <v>06539003</v>
      </c>
      <c r="D9188">
        <v>89301171</v>
      </c>
      <c r="E9188" t="str">
        <f t="shared" si="1638"/>
        <v>7562165622</v>
      </c>
      <c r="F9188" s="1">
        <v>45120</v>
      </c>
      <c r="G9188" t="str">
        <f t="shared" si="1643"/>
        <v>91413</v>
      </c>
      <c r="H9188">
        <v>1</v>
      </c>
      <c r="I9188">
        <v>868</v>
      </c>
      <c r="J9188">
        <v>0</v>
      </c>
      <c r="K9188" t="str">
        <f t="shared" si="1644"/>
        <v>813</v>
      </c>
      <c r="L9188">
        <v>729.12</v>
      </c>
    </row>
    <row r="9189" spans="1:12" x14ac:dyDescent="0.25">
      <c r="A9189" t="str">
        <f t="shared" si="1635"/>
        <v>89301000</v>
      </c>
      <c r="B9189" t="str">
        <f t="shared" si="1630"/>
        <v>06539000</v>
      </c>
      <c r="C9189" t="str">
        <f t="shared" si="1642"/>
        <v>06539003</v>
      </c>
      <c r="D9189">
        <v>89301171</v>
      </c>
      <c r="E9189" t="str">
        <f t="shared" si="1638"/>
        <v>7562165622</v>
      </c>
      <c r="F9189" s="1">
        <v>45100</v>
      </c>
      <c r="G9189" t="str">
        <f t="shared" ref="G9189:G9195" si="1645">"91197"</f>
        <v>91197</v>
      </c>
      <c r="H9189">
        <v>1</v>
      </c>
      <c r="I9189">
        <v>1048</v>
      </c>
      <c r="J9189">
        <v>0</v>
      </c>
      <c r="K9189" t="str">
        <f t="shared" si="1644"/>
        <v>813</v>
      </c>
      <c r="L9189">
        <v>880.32</v>
      </c>
    </row>
    <row r="9190" spans="1:12" x14ac:dyDescent="0.25">
      <c r="A9190" t="str">
        <f t="shared" si="1635"/>
        <v>89301000</v>
      </c>
      <c r="B9190" t="str">
        <f t="shared" si="1630"/>
        <v>06539000</v>
      </c>
      <c r="C9190" t="str">
        <f t="shared" si="1642"/>
        <v>06539003</v>
      </c>
      <c r="D9190">
        <v>89301171</v>
      </c>
      <c r="E9190" t="str">
        <f t="shared" si="1638"/>
        <v>7562165622</v>
      </c>
      <c r="F9190" s="1">
        <v>45103</v>
      </c>
      <c r="G9190" t="str">
        <f t="shared" si="1645"/>
        <v>91197</v>
      </c>
      <c r="H9190">
        <v>1</v>
      </c>
      <c r="I9190">
        <v>1048</v>
      </c>
      <c r="J9190">
        <v>0</v>
      </c>
      <c r="K9190" t="str">
        <f t="shared" si="1644"/>
        <v>813</v>
      </c>
      <c r="L9190">
        <v>880.32</v>
      </c>
    </row>
    <row r="9191" spans="1:12" x14ac:dyDescent="0.25">
      <c r="A9191" t="str">
        <f t="shared" si="1635"/>
        <v>89301000</v>
      </c>
      <c r="B9191" t="str">
        <f t="shared" si="1630"/>
        <v>06539000</v>
      </c>
      <c r="C9191" t="str">
        <f t="shared" si="1642"/>
        <v>06539003</v>
      </c>
      <c r="D9191">
        <v>89301171</v>
      </c>
      <c r="E9191" t="str">
        <f t="shared" si="1638"/>
        <v>7562165622</v>
      </c>
      <c r="F9191" s="1">
        <v>45103</v>
      </c>
      <c r="G9191" t="str">
        <f t="shared" si="1645"/>
        <v>91197</v>
      </c>
      <c r="H9191">
        <v>1</v>
      </c>
      <c r="I9191">
        <v>1048</v>
      </c>
      <c r="J9191">
        <v>0</v>
      </c>
      <c r="K9191" t="str">
        <f t="shared" si="1644"/>
        <v>813</v>
      </c>
      <c r="L9191">
        <v>880.32</v>
      </c>
    </row>
    <row r="9192" spans="1:12" x14ac:dyDescent="0.25">
      <c r="A9192" t="str">
        <f t="shared" si="1635"/>
        <v>89301000</v>
      </c>
      <c r="B9192" t="str">
        <f t="shared" si="1630"/>
        <v>06539000</v>
      </c>
      <c r="C9192" t="str">
        <f t="shared" si="1642"/>
        <v>06539003</v>
      </c>
      <c r="D9192">
        <v>89301171</v>
      </c>
      <c r="E9192" t="str">
        <f t="shared" si="1638"/>
        <v>7562165622</v>
      </c>
      <c r="F9192" s="1">
        <v>45102</v>
      </c>
      <c r="G9192" t="str">
        <f t="shared" si="1645"/>
        <v>91197</v>
      </c>
      <c r="H9192">
        <v>1</v>
      </c>
      <c r="I9192">
        <v>1048</v>
      </c>
      <c r="J9192">
        <v>0</v>
      </c>
      <c r="K9192" t="str">
        <f t="shared" si="1644"/>
        <v>813</v>
      </c>
      <c r="L9192">
        <v>880.32</v>
      </c>
    </row>
    <row r="9193" spans="1:12" x14ac:dyDescent="0.25">
      <c r="A9193" t="str">
        <f t="shared" si="1635"/>
        <v>89301000</v>
      </c>
      <c r="B9193" t="str">
        <f t="shared" si="1630"/>
        <v>06539000</v>
      </c>
      <c r="C9193" t="str">
        <f t="shared" si="1642"/>
        <v>06539003</v>
      </c>
      <c r="D9193">
        <v>89301171</v>
      </c>
      <c r="E9193" t="str">
        <f t="shared" si="1638"/>
        <v>7562165622</v>
      </c>
      <c r="F9193" s="1">
        <v>45102</v>
      </c>
      <c r="G9193" t="str">
        <f t="shared" si="1645"/>
        <v>91197</v>
      </c>
      <c r="H9193">
        <v>1</v>
      </c>
      <c r="I9193">
        <v>1048</v>
      </c>
      <c r="J9193">
        <v>0</v>
      </c>
      <c r="K9193" t="str">
        <f t="shared" si="1644"/>
        <v>813</v>
      </c>
      <c r="L9193">
        <v>880.32</v>
      </c>
    </row>
    <row r="9194" spans="1:12" x14ac:dyDescent="0.25">
      <c r="A9194" t="str">
        <f t="shared" si="1635"/>
        <v>89301000</v>
      </c>
      <c r="B9194" t="str">
        <f t="shared" si="1630"/>
        <v>06539000</v>
      </c>
      <c r="C9194" t="str">
        <f t="shared" si="1642"/>
        <v>06539003</v>
      </c>
      <c r="D9194">
        <v>89301171</v>
      </c>
      <c r="E9194" t="str">
        <f t="shared" si="1638"/>
        <v>7562165622</v>
      </c>
      <c r="F9194" s="1">
        <v>45101</v>
      </c>
      <c r="G9194" t="str">
        <f t="shared" si="1645"/>
        <v>91197</v>
      </c>
      <c r="H9194">
        <v>1</v>
      </c>
      <c r="I9194">
        <v>1048</v>
      </c>
      <c r="J9194">
        <v>0</v>
      </c>
      <c r="K9194" t="str">
        <f t="shared" si="1644"/>
        <v>813</v>
      </c>
      <c r="L9194">
        <v>880.32</v>
      </c>
    </row>
    <row r="9195" spans="1:12" x14ac:dyDescent="0.25">
      <c r="A9195" t="str">
        <f t="shared" si="1635"/>
        <v>89301000</v>
      </c>
      <c r="B9195" t="str">
        <f t="shared" si="1630"/>
        <v>06539000</v>
      </c>
      <c r="C9195" t="str">
        <f t="shared" si="1642"/>
        <v>06539003</v>
      </c>
      <c r="D9195">
        <v>89301171</v>
      </c>
      <c r="E9195" t="str">
        <f t="shared" si="1638"/>
        <v>7562165622</v>
      </c>
      <c r="F9195" s="1">
        <v>45101</v>
      </c>
      <c r="G9195" t="str">
        <f t="shared" si="1645"/>
        <v>91197</v>
      </c>
      <c r="H9195">
        <v>1</v>
      </c>
      <c r="I9195">
        <v>1048</v>
      </c>
      <c r="J9195">
        <v>0</v>
      </c>
      <c r="K9195" t="str">
        <f t="shared" si="1644"/>
        <v>813</v>
      </c>
      <c r="L9195">
        <v>880.32</v>
      </c>
    </row>
    <row r="9196" spans="1:12" x14ac:dyDescent="0.25">
      <c r="A9196" t="str">
        <f t="shared" si="1635"/>
        <v>89301000</v>
      </c>
      <c r="B9196" t="str">
        <f t="shared" si="1630"/>
        <v>06539000</v>
      </c>
      <c r="C9196" t="str">
        <f t="shared" si="1642"/>
        <v>06539003</v>
      </c>
      <c r="D9196">
        <v>89301171</v>
      </c>
      <c r="E9196" t="str">
        <f t="shared" si="1638"/>
        <v>7562165622</v>
      </c>
      <c r="F9196" s="1">
        <v>45120</v>
      </c>
      <c r="G9196" t="str">
        <f>"91329"</f>
        <v>91329</v>
      </c>
      <c r="H9196">
        <v>2</v>
      </c>
      <c r="I9196">
        <v>436</v>
      </c>
      <c r="J9196">
        <v>0</v>
      </c>
      <c r="K9196" t="str">
        <f t="shared" si="1644"/>
        <v>813</v>
      </c>
      <c r="L9196">
        <v>366.24</v>
      </c>
    </row>
    <row r="9197" spans="1:12" x14ac:dyDescent="0.25">
      <c r="A9197" t="str">
        <f t="shared" si="1635"/>
        <v>89301000</v>
      </c>
      <c r="B9197" t="str">
        <f t="shared" ref="B9197:B9242" si="1646">"06539000"</f>
        <v>06539000</v>
      </c>
      <c r="C9197" t="str">
        <f t="shared" si="1642"/>
        <v>06539003</v>
      </c>
      <c r="D9197">
        <v>89301171</v>
      </c>
      <c r="E9197" t="str">
        <f t="shared" si="1638"/>
        <v>7562165622</v>
      </c>
      <c r="F9197" s="1">
        <v>45120</v>
      </c>
      <c r="G9197" t="str">
        <f>"91329"</f>
        <v>91329</v>
      </c>
      <c r="H9197">
        <v>2</v>
      </c>
      <c r="I9197">
        <v>436</v>
      </c>
      <c r="J9197">
        <v>0</v>
      </c>
      <c r="K9197" t="str">
        <f t="shared" si="1644"/>
        <v>813</v>
      </c>
      <c r="L9197">
        <v>366.24</v>
      </c>
    </row>
    <row r="9198" spans="1:12" x14ac:dyDescent="0.25">
      <c r="A9198" t="str">
        <f t="shared" si="1635"/>
        <v>89301000</v>
      </c>
      <c r="B9198" t="str">
        <f t="shared" si="1646"/>
        <v>06539000</v>
      </c>
      <c r="C9198" t="str">
        <f t="shared" si="1642"/>
        <v>06539003</v>
      </c>
      <c r="D9198">
        <v>89301171</v>
      </c>
      <c r="E9198" t="str">
        <f t="shared" si="1638"/>
        <v>7562165622</v>
      </c>
      <c r="F9198" s="1">
        <v>45120</v>
      </c>
      <c r="G9198" t="str">
        <f>"91329"</f>
        <v>91329</v>
      </c>
      <c r="H9198">
        <v>2</v>
      </c>
      <c r="I9198">
        <v>436</v>
      </c>
      <c r="J9198">
        <v>0</v>
      </c>
      <c r="K9198" t="str">
        <f t="shared" si="1644"/>
        <v>813</v>
      </c>
      <c r="L9198">
        <v>366.24</v>
      </c>
    </row>
    <row r="9199" spans="1:12" x14ac:dyDescent="0.25">
      <c r="A9199" t="str">
        <f t="shared" si="1635"/>
        <v>89301000</v>
      </c>
      <c r="B9199" t="str">
        <f t="shared" si="1646"/>
        <v>06539000</v>
      </c>
      <c r="C9199" t="str">
        <f t="shared" si="1642"/>
        <v>06539003</v>
      </c>
      <c r="D9199">
        <v>89301171</v>
      </c>
      <c r="E9199" t="str">
        <f t="shared" si="1638"/>
        <v>7562165622</v>
      </c>
      <c r="F9199" s="1">
        <v>45120</v>
      </c>
      <c r="G9199" t="str">
        <f>"91329"</f>
        <v>91329</v>
      </c>
      <c r="H9199">
        <v>2</v>
      </c>
      <c r="I9199">
        <v>436</v>
      </c>
      <c r="J9199">
        <v>0</v>
      </c>
      <c r="K9199" t="str">
        <f t="shared" si="1644"/>
        <v>813</v>
      </c>
      <c r="L9199">
        <v>366.24</v>
      </c>
    </row>
    <row r="9200" spans="1:12" x14ac:dyDescent="0.25">
      <c r="A9200" t="str">
        <f t="shared" si="1635"/>
        <v>89301000</v>
      </c>
      <c r="B9200" t="str">
        <f t="shared" si="1646"/>
        <v>06539000</v>
      </c>
      <c r="C9200" t="str">
        <f t="shared" si="1642"/>
        <v>06539003</v>
      </c>
      <c r="D9200">
        <v>89301171</v>
      </c>
      <c r="E9200" t="str">
        <f t="shared" si="1638"/>
        <v>7562165622</v>
      </c>
      <c r="F9200" s="1">
        <v>45103</v>
      </c>
      <c r="G9200" t="str">
        <f>"91129"</f>
        <v>91129</v>
      </c>
      <c r="H9200">
        <v>1</v>
      </c>
      <c r="I9200">
        <v>175</v>
      </c>
      <c r="J9200">
        <v>0</v>
      </c>
      <c r="K9200" t="str">
        <f t="shared" si="1644"/>
        <v>813</v>
      </c>
      <c r="L9200">
        <v>147</v>
      </c>
    </row>
    <row r="9201" spans="1:12" x14ac:dyDescent="0.25">
      <c r="A9201" t="str">
        <f t="shared" si="1635"/>
        <v>89301000</v>
      </c>
      <c r="B9201" t="str">
        <f t="shared" si="1646"/>
        <v>06539000</v>
      </c>
      <c r="C9201" t="str">
        <f t="shared" si="1642"/>
        <v>06539003</v>
      </c>
      <c r="D9201">
        <v>89301171</v>
      </c>
      <c r="E9201" t="str">
        <f t="shared" si="1638"/>
        <v>7562165622</v>
      </c>
      <c r="F9201" s="1">
        <v>45103</v>
      </c>
      <c r="G9201" t="str">
        <f>"91131"</f>
        <v>91131</v>
      </c>
      <c r="H9201">
        <v>1</v>
      </c>
      <c r="I9201">
        <v>171</v>
      </c>
      <c r="J9201">
        <v>0</v>
      </c>
      <c r="K9201" t="str">
        <f t="shared" si="1644"/>
        <v>813</v>
      </c>
      <c r="L9201">
        <v>143.63999999999999</v>
      </c>
    </row>
    <row r="9202" spans="1:12" x14ac:dyDescent="0.25">
      <c r="A9202" t="str">
        <f t="shared" si="1635"/>
        <v>89301000</v>
      </c>
      <c r="B9202" t="str">
        <f t="shared" si="1646"/>
        <v>06539000</v>
      </c>
      <c r="C9202" t="str">
        <f t="shared" si="1642"/>
        <v>06539003</v>
      </c>
      <c r="D9202">
        <v>89301171</v>
      </c>
      <c r="E9202" t="str">
        <f t="shared" si="1638"/>
        <v>7562165622</v>
      </c>
      <c r="F9202" s="1">
        <v>45103</v>
      </c>
      <c r="G9202" t="str">
        <f>"91133"</f>
        <v>91133</v>
      </c>
      <c r="H9202">
        <v>1</v>
      </c>
      <c r="I9202">
        <v>177</v>
      </c>
      <c r="J9202">
        <v>0</v>
      </c>
      <c r="K9202" t="str">
        <f t="shared" si="1644"/>
        <v>813</v>
      </c>
      <c r="L9202">
        <v>148.68</v>
      </c>
    </row>
    <row r="9203" spans="1:12" x14ac:dyDescent="0.25">
      <c r="A9203" t="str">
        <f t="shared" si="1635"/>
        <v>89301000</v>
      </c>
      <c r="B9203" t="str">
        <f t="shared" si="1646"/>
        <v>06539000</v>
      </c>
      <c r="C9203" t="str">
        <f t="shared" si="1642"/>
        <v>06539003</v>
      </c>
      <c r="D9203">
        <v>89301171</v>
      </c>
      <c r="E9203" t="str">
        <f t="shared" si="1638"/>
        <v>7562165622</v>
      </c>
      <c r="F9203" s="1">
        <v>45103</v>
      </c>
      <c r="G9203" t="str">
        <f>"91171"</f>
        <v>91171</v>
      </c>
      <c r="H9203">
        <v>1</v>
      </c>
      <c r="I9203">
        <v>362</v>
      </c>
      <c r="J9203">
        <v>0</v>
      </c>
      <c r="K9203" t="str">
        <f t="shared" si="1644"/>
        <v>813</v>
      </c>
      <c r="L9203">
        <v>304.08</v>
      </c>
    </row>
    <row r="9204" spans="1:12" x14ac:dyDescent="0.25">
      <c r="A9204" t="str">
        <f t="shared" si="1635"/>
        <v>89301000</v>
      </c>
      <c r="B9204" t="str">
        <f t="shared" si="1646"/>
        <v>06539000</v>
      </c>
      <c r="C9204" t="str">
        <f t="shared" si="1642"/>
        <v>06539003</v>
      </c>
      <c r="D9204">
        <v>89301171</v>
      </c>
      <c r="E9204" t="str">
        <f t="shared" si="1638"/>
        <v>7562165622</v>
      </c>
      <c r="F9204" s="1">
        <v>45100</v>
      </c>
      <c r="G9204" t="str">
        <f>"91173"</f>
        <v>91173</v>
      </c>
      <c r="H9204">
        <v>1</v>
      </c>
      <c r="I9204">
        <v>337</v>
      </c>
      <c r="J9204">
        <v>0</v>
      </c>
      <c r="K9204" t="str">
        <f t="shared" si="1644"/>
        <v>813</v>
      </c>
      <c r="L9204">
        <v>283.08</v>
      </c>
    </row>
    <row r="9205" spans="1:12" x14ac:dyDescent="0.25">
      <c r="A9205" t="str">
        <f t="shared" si="1635"/>
        <v>89301000</v>
      </c>
      <c r="B9205" t="str">
        <f t="shared" si="1646"/>
        <v>06539000</v>
      </c>
      <c r="C9205" t="str">
        <f t="shared" si="1642"/>
        <v>06539003</v>
      </c>
      <c r="D9205">
        <v>89301171</v>
      </c>
      <c r="E9205" t="str">
        <f t="shared" si="1638"/>
        <v>7562165622</v>
      </c>
      <c r="F9205" s="1">
        <v>45103</v>
      </c>
      <c r="G9205" t="str">
        <f>"91175"</f>
        <v>91175</v>
      </c>
      <c r="H9205">
        <v>1</v>
      </c>
      <c r="I9205">
        <v>362</v>
      </c>
      <c r="J9205">
        <v>0</v>
      </c>
      <c r="K9205" t="str">
        <f t="shared" si="1644"/>
        <v>813</v>
      </c>
      <c r="L9205">
        <v>304.08</v>
      </c>
    </row>
    <row r="9206" spans="1:12" x14ac:dyDescent="0.25">
      <c r="A9206" t="str">
        <f t="shared" si="1635"/>
        <v>89301000</v>
      </c>
      <c r="B9206" t="str">
        <f t="shared" si="1646"/>
        <v>06539000</v>
      </c>
      <c r="C9206" t="str">
        <f t="shared" si="1642"/>
        <v>06539003</v>
      </c>
      <c r="D9206">
        <v>89301171</v>
      </c>
      <c r="E9206" t="str">
        <f t="shared" si="1638"/>
        <v>7562165622</v>
      </c>
      <c r="F9206" s="1">
        <v>45101</v>
      </c>
      <c r="G9206" t="str">
        <f>"91167"</f>
        <v>91167</v>
      </c>
      <c r="H9206">
        <v>1</v>
      </c>
      <c r="I9206">
        <v>426</v>
      </c>
      <c r="J9206">
        <v>0</v>
      </c>
      <c r="K9206" t="str">
        <f t="shared" si="1644"/>
        <v>813</v>
      </c>
      <c r="L9206">
        <v>357.84</v>
      </c>
    </row>
    <row r="9207" spans="1:12" x14ac:dyDescent="0.25">
      <c r="A9207" t="str">
        <f t="shared" si="1635"/>
        <v>89301000</v>
      </c>
      <c r="B9207" t="str">
        <f t="shared" si="1646"/>
        <v>06539000</v>
      </c>
      <c r="C9207" t="str">
        <f t="shared" si="1642"/>
        <v>06539003</v>
      </c>
      <c r="D9207">
        <v>89301171</v>
      </c>
      <c r="E9207" t="str">
        <f t="shared" si="1638"/>
        <v>7562165622</v>
      </c>
      <c r="F9207" s="1">
        <v>45101</v>
      </c>
      <c r="G9207" t="str">
        <f>"91169"</f>
        <v>91169</v>
      </c>
      <c r="H9207">
        <v>1</v>
      </c>
      <c r="I9207">
        <v>426</v>
      </c>
      <c r="J9207">
        <v>0</v>
      </c>
      <c r="K9207" t="str">
        <f t="shared" si="1644"/>
        <v>813</v>
      </c>
      <c r="L9207">
        <v>357.84</v>
      </c>
    </row>
    <row r="9208" spans="1:12" x14ac:dyDescent="0.25">
      <c r="A9208" t="str">
        <f t="shared" si="1635"/>
        <v>89301000</v>
      </c>
      <c r="B9208" t="str">
        <f t="shared" si="1646"/>
        <v>06539000</v>
      </c>
      <c r="C9208" t="str">
        <f t="shared" si="1642"/>
        <v>06539003</v>
      </c>
      <c r="D9208">
        <v>89301171</v>
      </c>
      <c r="E9208" t="str">
        <f t="shared" si="1638"/>
        <v>7562165622</v>
      </c>
      <c r="F9208" s="1">
        <v>45100</v>
      </c>
      <c r="G9208" t="str">
        <f>"91167"</f>
        <v>91167</v>
      </c>
      <c r="H9208">
        <v>1</v>
      </c>
      <c r="I9208">
        <v>426</v>
      </c>
      <c r="J9208">
        <v>0</v>
      </c>
      <c r="K9208" t="str">
        <f t="shared" si="1644"/>
        <v>813</v>
      </c>
      <c r="L9208">
        <v>357.84</v>
      </c>
    </row>
    <row r="9209" spans="1:12" x14ac:dyDescent="0.25">
      <c r="A9209" t="str">
        <f t="shared" si="1635"/>
        <v>89301000</v>
      </c>
      <c r="B9209" t="str">
        <f t="shared" si="1646"/>
        <v>06539000</v>
      </c>
      <c r="C9209" t="str">
        <f t="shared" si="1642"/>
        <v>06539003</v>
      </c>
      <c r="D9209">
        <v>89301171</v>
      </c>
      <c r="E9209" t="str">
        <f t="shared" si="1638"/>
        <v>7562165622</v>
      </c>
      <c r="F9209" s="1">
        <v>45100</v>
      </c>
      <c r="G9209" t="str">
        <f>"91169"</f>
        <v>91169</v>
      </c>
      <c r="H9209">
        <v>1</v>
      </c>
      <c r="I9209">
        <v>426</v>
      </c>
      <c r="J9209">
        <v>0</v>
      </c>
      <c r="K9209" t="str">
        <f t="shared" si="1644"/>
        <v>813</v>
      </c>
      <c r="L9209">
        <v>357.84</v>
      </c>
    </row>
    <row r="9210" spans="1:12" x14ac:dyDescent="0.25">
      <c r="A9210" t="str">
        <f t="shared" si="1635"/>
        <v>89301000</v>
      </c>
      <c r="B9210" t="str">
        <f t="shared" si="1646"/>
        <v>06539000</v>
      </c>
      <c r="C9210" t="str">
        <f t="shared" si="1642"/>
        <v>06539003</v>
      </c>
      <c r="D9210">
        <v>89301171</v>
      </c>
      <c r="E9210" t="str">
        <f t="shared" si="1638"/>
        <v>7562165622</v>
      </c>
      <c r="F9210" s="1">
        <v>45104</v>
      </c>
      <c r="G9210" t="str">
        <f>"91475"</f>
        <v>91475</v>
      </c>
      <c r="H9210">
        <v>1</v>
      </c>
      <c r="I9210">
        <v>213</v>
      </c>
      <c r="J9210">
        <v>0</v>
      </c>
      <c r="K9210" t="str">
        <f t="shared" si="1644"/>
        <v>813</v>
      </c>
      <c r="L9210">
        <v>178.92</v>
      </c>
    </row>
    <row r="9211" spans="1:12" x14ac:dyDescent="0.25">
      <c r="A9211" t="str">
        <f t="shared" si="1635"/>
        <v>89301000</v>
      </c>
      <c r="B9211" t="str">
        <f t="shared" si="1646"/>
        <v>06539000</v>
      </c>
      <c r="C9211" t="str">
        <f>"06539001"</f>
        <v>06539001</v>
      </c>
      <c r="D9211">
        <v>89301106</v>
      </c>
      <c r="E9211" t="str">
        <f>"0853183408"</f>
        <v>0853183408</v>
      </c>
      <c r="F9211" s="1">
        <v>45117</v>
      </c>
      <c r="G9211" t="str">
        <f>"81705"</f>
        <v>81705</v>
      </c>
      <c r="H9211">
        <v>1</v>
      </c>
      <c r="I9211">
        <v>348</v>
      </c>
      <c r="J9211">
        <v>0</v>
      </c>
      <c r="K9211" t="str">
        <f>"801"</f>
        <v>801</v>
      </c>
      <c r="L9211">
        <v>292.32</v>
      </c>
    </row>
    <row r="9212" spans="1:12" x14ac:dyDescent="0.25">
      <c r="A9212" t="str">
        <f t="shared" si="1635"/>
        <v>89301000</v>
      </c>
      <c r="B9212" t="str">
        <f t="shared" si="1646"/>
        <v>06539000</v>
      </c>
      <c r="C9212" t="str">
        <f>"06539001"</f>
        <v>06539001</v>
      </c>
      <c r="D9212">
        <v>89301106</v>
      </c>
      <c r="E9212" t="str">
        <f>"0853183408"</f>
        <v>0853183408</v>
      </c>
      <c r="F9212" s="1">
        <v>45110</v>
      </c>
      <c r="G9212" t="str">
        <f>"81705"</f>
        <v>81705</v>
      </c>
      <c r="H9212">
        <v>1</v>
      </c>
      <c r="I9212">
        <v>348</v>
      </c>
      <c r="J9212">
        <v>0</v>
      </c>
      <c r="K9212" t="str">
        <f>"801"</f>
        <v>801</v>
      </c>
      <c r="L9212">
        <v>292.32</v>
      </c>
    </row>
    <row r="9213" spans="1:12" x14ac:dyDescent="0.25">
      <c r="A9213" t="str">
        <f t="shared" si="1635"/>
        <v>89301000</v>
      </c>
      <c r="B9213" t="str">
        <f t="shared" si="1646"/>
        <v>06539000</v>
      </c>
      <c r="C9213" t="str">
        <f t="shared" ref="C9213:C9242" si="1647">"06539003"</f>
        <v>06539003</v>
      </c>
      <c r="D9213">
        <v>89301106</v>
      </c>
      <c r="E9213" t="str">
        <f>"0853183408"</f>
        <v>0853183408</v>
      </c>
      <c r="F9213" s="1">
        <v>45107</v>
      </c>
      <c r="G9213" t="str">
        <f>"91411"</f>
        <v>91411</v>
      </c>
      <c r="H9213">
        <v>1</v>
      </c>
      <c r="I9213">
        <v>1631</v>
      </c>
      <c r="J9213">
        <v>0</v>
      </c>
      <c r="K9213" t="str">
        <f t="shared" ref="K9213:K9242" si="1648">"813"</f>
        <v>813</v>
      </c>
      <c r="L9213">
        <v>1370.04</v>
      </c>
    </row>
    <row r="9214" spans="1:12" x14ac:dyDescent="0.25">
      <c r="A9214" t="str">
        <f t="shared" si="1635"/>
        <v>89301000</v>
      </c>
      <c r="B9214" t="str">
        <f t="shared" si="1646"/>
        <v>06539000</v>
      </c>
      <c r="C9214" t="str">
        <f t="shared" si="1647"/>
        <v>06539003</v>
      </c>
      <c r="D9214">
        <v>89301106</v>
      </c>
      <c r="E9214" t="str">
        <f>"0853183408"</f>
        <v>0853183408</v>
      </c>
      <c r="F9214" s="1">
        <v>45110</v>
      </c>
      <c r="G9214" t="str">
        <f>"91329"</f>
        <v>91329</v>
      </c>
      <c r="H9214">
        <v>2</v>
      </c>
      <c r="I9214">
        <v>436</v>
      </c>
      <c r="J9214">
        <v>0</v>
      </c>
      <c r="K9214" t="str">
        <f t="shared" si="1648"/>
        <v>813</v>
      </c>
      <c r="L9214">
        <v>366.24</v>
      </c>
    </row>
    <row r="9215" spans="1:12" x14ac:dyDescent="0.25">
      <c r="A9215" t="str">
        <f t="shared" si="1635"/>
        <v>89301000</v>
      </c>
      <c r="B9215" t="str">
        <f t="shared" si="1646"/>
        <v>06539000</v>
      </c>
      <c r="C9215" t="str">
        <f t="shared" si="1647"/>
        <v>06539003</v>
      </c>
      <c r="D9215">
        <v>89301106</v>
      </c>
      <c r="E9215" t="str">
        <f>"0853183408"</f>
        <v>0853183408</v>
      </c>
      <c r="F9215" s="1">
        <v>45111</v>
      </c>
      <c r="G9215" t="str">
        <f>"91475"</f>
        <v>91475</v>
      </c>
      <c r="H9215">
        <v>1</v>
      </c>
      <c r="I9215">
        <v>213</v>
      </c>
      <c r="J9215">
        <v>0</v>
      </c>
      <c r="K9215" t="str">
        <f t="shared" si="1648"/>
        <v>813</v>
      </c>
      <c r="L9215">
        <v>178.92</v>
      </c>
    </row>
    <row r="9216" spans="1:12" x14ac:dyDescent="0.25">
      <c r="A9216" t="str">
        <f t="shared" si="1635"/>
        <v>89301000</v>
      </c>
      <c r="B9216" t="str">
        <f t="shared" si="1646"/>
        <v>06539000</v>
      </c>
      <c r="C9216" t="str">
        <f t="shared" si="1647"/>
        <v>06539003</v>
      </c>
      <c r="D9216">
        <v>89301171</v>
      </c>
      <c r="E9216" t="str">
        <f t="shared" ref="E9216:E9234" si="1649">"9657145718"</f>
        <v>9657145718</v>
      </c>
      <c r="F9216" s="1">
        <v>45111</v>
      </c>
      <c r="G9216" t="str">
        <f t="shared" ref="G9216:G9225" si="1650">"91413"</f>
        <v>91413</v>
      </c>
      <c r="H9216">
        <v>1</v>
      </c>
      <c r="I9216">
        <v>868</v>
      </c>
      <c r="J9216">
        <v>0</v>
      </c>
      <c r="K9216" t="str">
        <f t="shared" si="1648"/>
        <v>813</v>
      </c>
      <c r="L9216">
        <v>729.12</v>
      </c>
    </row>
    <row r="9217" spans="1:12" x14ac:dyDescent="0.25">
      <c r="A9217" t="str">
        <f t="shared" si="1635"/>
        <v>89301000</v>
      </c>
      <c r="B9217" t="str">
        <f t="shared" si="1646"/>
        <v>06539000</v>
      </c>
      <c r="C9217" t="str">
        <f t="shared" si="1647"/>
        <v>06539003</v>
      </c>
      <c r="D9217">
        <v>89301171</v>
      </c>
      <c r="E9217" t="str">
        <f t="shared" si="1649"/>
        <v>9657145718</v>
      </c>
      <c r="F9217" s="1">
        <v>45111</v>
      </c>
      <c r="G9217" t="str">
        <f t="shared" si="1650"/>
        <v>91413</v>
      </c>
      <c r="H9217">
        <v>1</v>
      </c>
      <c r="I9217">
        <v>868</v>
      </c>
      <c r="J9217">
        <v>0</v>
      </c>
      <c r="K9217" t="str">
        <f t="shared" si="1648"/>
        <v>813</v>
      </c>
      <c r="L9217">
        <v>729.12</v>
      </c>
    </row>
    <row r="9218" spans="1:12" x14ac:dyDescent="0.25">
      <c r="A9218" t="str">
        <f t="shared" ref="A9218:A9281" si="1651">"89301000"</f>
        <v>89301000</v>
      </c>
      <c r="B9218" t="str">
        <f t="shared" si="1646"/>
        <v>06539000</v>
      </c>
      <c r="C9218" t="str">
        <f t="shared" si="1647"/>
        <v>06539003</v>
      </c>
      <c r="D9218">
        <v>89301171</v>
      </c>
      <c r="E9218" t="str">
        <f t="shared" si="1649"/>
        <v>9657145718</v>
      </c>
      <c r="F9218" s="1">
        <v>45126</v>
      </c>
      <c r="G9218" t="str">
        <f t="shared" si="1650"/>
        <v>91413</v>
      </c>
      <c r="H9218">
        <v>1</v>
      </c>
      <c r="I9218">
        <v>868</v>
      </c>
      <c r="J9218">
        <v>0</v>
      </c>
      <c r="K9218" t="str">
        <f t="shared" si="1648"/>
        <v>813</v>
      </c>
      <c r="L9218">
        <v>729.12</v>
      </c>
    </row>
    <row r="9219" spans="1:12" x14ac:dyDescent="0.25">
      <c r="A9219" t="str">
        <f t="shared" si="1651"/>
        <v>89301000</v>
      </c>
      <c r="B9219" t="str">
        <f t="shared" si="1646"/>
        <v>06539000</v>
      </c>
      <c r="C9219" t="str">
        <f t="shared" si="1647"/>
        <v>06539003</v>
      </c>
      <c r="D9219">
        <v>89301171</v>
      </c>
      <c r="E9219" t="str">
        <f t="shared" si="1649"/>
        <v>9657145718</v>
      </c>
      <c r="F9219" s="1">
        <v>45126</v>
      </c>
      <c r="G9219" t="str">
        <f t="shared" si="1650"/>
        <v>91413</v>
      </c>
      <c r="H9219">
        <v>1</v>
      </c>
      <c r="I9219">
        <v>868</v>
      </c>
      <c r="J9219">
        <v>0</v>
      </c>
      <c r="K9219" t="str">
        <f t="shared" si="1648"/>
        <v>813</v>
      </c>
      <c r="L9219">
        <v>729.12</v>
      </c>
    </row>
    <row r="9220" spans="1:12" x14ac:dyDescent="0.25">
      <c r="A9220" t="str">
        <f t="shared" si="1651"/>
        <v>89301000</v>
      </c>
      <c r="B9220" t="str">
        <f t="shared" si="1646"/>
        <v>06539000</v>
      </c>
      <c r="C9220" t="str">
        <f t="shared" si="1647"/>
        <v>06539003</v>
      </c>
      <c r="D9220">
        <v>89301171</v>
      </c>
      <c r="E9220" t="str">
        <f t="shared" si="1649"/>
        <v>9657145718</v>
      </c>
      <c r="F9220" s="1">
        <v>45126</v>
      </c>
      <c r="G9220" t="str">
        <f t="shared" si="1650"/>
        <v>91413</v>
      </c>
      <c r="H9220">
        <v>1</v>
      </c>
      <c r="I9220">
        <v>868</v>
      </c>
      <c r="J9220">
        <v>0</v>
      </c>
      <c r="K9220" t="str">
        <f t="shared" si="1648"/>
        <v>813</v>
      </c>
      <c r="L9220">
        <v>729.12</v>
      </c>
    </row>
    <row r="9221" spans="1:12" x14ac:dyDescent="0.25">
      <c r="A9221" t="str">
        <f t="shared" si="1651"/>
        <v>89301000</v>
      </c>
      <c r="B9221" t="str">
        <f t="shared" si="1646"/>
        <v>06539000</v>
      </c>
      <c r="C9221" t="str">
        <f t="shared" si="1647"/>
        <v>06539003</v>
      </c>
      <c r="D9221">
        <v>89301171</v>
      </c>
      <c r="E9221" t="str">
        <f t="shared" si="1649"/>
        <v>9657145718</v>
      </c>
      <c r="F9221" s="1">
        <v>45126</v>
      </c>
      <c r="G9221" t="str">
        <f t="shared" si="1650"/>
        <v>91413</v>
      </c>
      <c r="H9221">
        <v>1</v>
      </c>
      <c r="I9221">
        <v>868</v>
      </c>
      <c r="J9221">
        <v>0</v>
      </c>
      <c r="K9221" t="str">
        <f t="shared" si="1648"/>
        <v>813</v>
      </c>
      <c r="L9221">
        <v>729.12</v>
      </c>
    </row>
    <row r="9222" spans="1:12" x14ac:dyDescent="0.25">
      <c r="A9222" t="str">
        <f t="shared" si="1651"/>
        <v>89301000</v>
      </c>
      <c r="B9222" t="str">
        <f t="shared" si="1646"/>
        <v>06539000</v>
      </c>
      <c r="C9222" t="str">
        <f t="shared" si="1647"/>
        <v>06539003</v>
      </c>
      <c r="D9222">
        <v>89301171</v>
      </c>
      <c r="E9222" t="str">
        <f t="shared" si="1649"/>
        <v>9657145718</v>
      </c>
      <c r="F9222" s="1">
        <v>45127</v>
      </c>
      <c r="G9222" t="str">
        <f t="shared" si="1650"/>
        <v>91413</v>
      </c>
      <c r="H9222">
        <v>1</v>
      </c>
      <c r="I9222">
        <v>868</v>
      </c>
      <c r="J9222">
        <v>0</v>
      </c>
      <c r="K9222" t="str">
        <f t="shared" si="1648"/>
        <v>813</v>
      </c>
      <c r="L9222">
        <v>729.12</v>
      </c>
    </row>
    <row r="9223" spans="1:12" x14ac:dyDescent="0.25">
      <c r="A9223" t="str">
        <f t="shared" si="1651"/>
        <v>89301000</v>
      </c>
      <c r="B9223" t="str">
        <f t="shared" si="1646"/>
        <v>06539000</v>
      </c>
      <c r="C9223" t="str">
        <f t="shared" si="1647"/>
        <v>06539003</v>
      </c>
      <c r="D9223">
        <v>89301171</v>
      </c>
      <c r="E9223" t="str">
        <f t="shared" si="1649"/>
        <v>9657145718</v>
      </c>
      <c r="F9223" s="1">
        <v>45127</v>
      </c>
      <c r="G9223" t="str">
        <f t="shared" si="1650"/>
        <v>91413</v>
      </c>
      <c r="H9223">
        <v>1</v>
      </c>
      <c r="I9223">
        <v>868</v>
      </c>
      <c r="J9223">
        <v>0</v>
      </c>
      <c r="K9223" t="str">
        <f t="shared" si="1648"/>
        <v>813</v>
      </c>
      <c r="L9223">
        <v>729.12</v>
      </c>
    </row>
    <row r="9224" spans="1:12" x14ac:dyDescent="0.25">
      <c r="A9224" t="str">
        <f t="shared" si="1651"/>
        <v>89301000</v>
      </c>
      <c r="B9224" t="str">
        <f t="shared" si="1646"/>
        <v>06539000</v>
      </c>
      <c r="C9224" t="str">
        <f t="shared" si="1647"/>
        <v>06539003</v>
      </c>
      <c r="D9224">
        <v>89301171</v>
      </c>
      <c r="E9224" t="str">
        <f t="shared" si="1649"/>
        <v>9657145718</v>
      </c>
      <c r="F9224" s="1">
        <v>45127</v>
      </c>
      <c r="G9224" t="str">
        <f t="shared" si="1650"/>
        <v>91413</v>
      </c>
      <c r="H9224">
        <v>1</v>
      </c>
      <c r="I9224">
        <v>868</v>
      </c>
      <c r="J9224">
        <v>0</v>
      </c>
      <c r="K9224" t="str">
        <f t="shared" si="1648"/>
        <v>813</v>
      </c>
      <c r="L9224">
        <v>729.12</v>
      </c>
    </row>
    <row r="9225" spans="1:12" x14ac:dyDescent="0.25">
      <c r="A9225" t="str">
        <f t="shared" si="1651"/>
        <v>89301000</v>
      </c>
      <c r="B9225" t="str">
        <f t="shared" si="1646"/>
        <v>06539000</v>
      </c>
      <c r="C9225" t="str">
        <f t="shared" si="1647"/>
        <v>06539003</v>
      </c>
      <c r="D9225">
        <v>89301171</v>
      </c>
      <c r="E9225" t="str">
        <f t="shared" si="1649"/>
        <v>9657145718</v>
      </c>
      <c r="F9225" s="1">
        <v>45127</v>
      </c>
      <c r="G9225" t="str">
        <f t="shared" si="1650"/>
        <v>91413</v>
      </c>
      <c r="H9225">
        <v>1</v>
      </c>
      <c r="I9225">
        <v>868</v>
      </c>
      <c r="J9225">
        <v>0</v>
      </c>
      <c r="K9225" t="str">
        <f t="shared" si="1648"/>
        <v>813</v>
      </c>
      <c r="L9225">
        <v>729.12</v>
      </c>
    </row>
    <row r="9226" spans="1:12" x14ac:dyDescent="0.25">
      <c r="A9226" t="str">
        <f t="shared" si="1651"/>
        <v>89301000</v>
      </c>
      <c r="B9226" t="str">
        <f t="shared" si="1646"/>
        <v>06539000</v>
      </c>
      <c r="C9226" t="str">
        <f t="shared" si="1647"/>
        <v>06539003</v>
      </c>
      <c r="D9226">
        <v>89301171</v>
      </c>
      <c r="E9226" t="str">
        <f t="shared" si="1649"/>
        <v>9657145718</v>
      </c>
      <c r="F9226" s="1">
        <v>45110</v>
      </c>
      <c r="G9226" t="str">
        <f>"91197"</f>
        <v>91197</v>
      </c>
      <c r="H9226">
        <v>1</v>
      </c>
      <c r="I9226">
        <v>1048</v>
      </c>
      <c r="J9226">
        <v>0</v>
      </c>
      <c r="K9226" t="str">
        <f t="shared" si="1648"/>
        <v>813</v>
      </c>
      <c r="L9226">
        <v>880.32</v>
      </c>
    </row>
    <row r="9227" spans="1:12" x14ac:dyDescent="0.25">
      <c r="A9227" t="str">
        <f t="shared" si="1651"/>
        <v>89301000</v>
      </c>
      <c r="B9227" t="str">
        <f t="shared" si="1646"/>
        <v>06539000</v>
      </c>
      <c r="C9227" t="str">
        <f t="shared" si="1647"/>
        <v>06539003</v>
      </c>
      <c r="D9227">
        <v>89301171</v>
      </c>
      <c r="E9227" t="str">
        <f t="shared" si="1649"/>
        <v>9657145718</v>
      </c>
      <c r="F9227" s="1">
        <v>45110</v>
      </c>
      <c r="G9227" t="str">
        <f>"91197"</f>
        <v>91197</v>
      </c>
      <c r="H9227">
        <v>1</v>
      </c>
      <c r="I9227">
        <v>1048</v>
      </c>
      <c r="J9227">
        <v>0</v>
      </c>
      <c r="K9227" t="str">
        <f t="shared" si="1648"/>
        <v>813</v>
      </c>
      <c r="L9227">
        <v>880.32</v>
      </c>
    </row>
    <row r="9228" spans="1:12" x14ac:dyDescent="0.25">
      <c r="A9228" t="str">
        <f t="shared" si="1651"/>
        <v>89301000</v>
      </c>
      <c r="B9228" t="str">
        <f t="shared" si="1646"/>
        <v>06539000</v>
      </c>
      <c r="C9228" t="str">
        <f t="shared" si="1647"/>
        <v>06539003</v>
      </c>
      <c r="D9228">
        <v>89301171</v>
      </c>
      <c r="E9228" t="str">
        <f t="shared" si="1649"/>
        <v>9657145718</v>
      </c>
      <c r="F9228" s="1">
        <v>45109</v>
      </c>
      <c r="G9228" t="str">
        <f>"91197"</f>
        <v>91197</v>
      </c>
      <c r="H9228">
        <v>1</v>
      </c>
      <c r="I9228">
        <v>1048</v>
      </c>
      <c r="J9228">
        <v>0</v>
      </c>
      <c r="K9228" t="str">
        <f t="shared" si="1648"/>
        <v>813</v>
      </c>
      <c r="L9228">
        <v>880.32</v>
      </c>
    </row>
    <row r="9229" spans="1:12" x14ac:dyDescent="0.25">
      <c r="A9229" t="str">
        <f t="shared" si="1651"/>
        <v>89301000</v>
      </c>
      <c r="B9229" t="str">
        <f t="shared" si="1646"/>
        <v>06539000</v>
      </c>
      <c r="C9229" t="str">
        <f t="shared" si="1647"/>
        <v>06539003</v>
      </c>
      <c r="D9229">
        <v>89301171</v>
      </c>
      <c r="E9229" t="str">
        <f t="shared" si="1649"/>
        <v>9657145718</v>
      </c>
      <c r="F9229" s="1">
        <v>45109</v>
      </c>
      <c r="G9229" t="str">
        <f>"91197"</f>
        <v>91197</v>
      </c>
      <c r="H9229">
        <v>1</v>
      </c>
      <c r="I9229">
        <v>1048</v>
      </c>
      <c r="J9229">
        <v>0</v>
      </c>
      <c r="K9229" t="str">
        <f t="shared" si="1648"/>
        <v>813</v>
      </c>
      <c r="L9229">
        <v>880.32</v>
      </c>
    </row>
    <row r="9230" spans="1:12" x14ac:dyDescent="0.25">
      <c r="A9230" t="str">
        <f t="shared" si="1651"/>
        <v>89301000</v>
      </c>
      <c r="B9230" t="str">
        <f t="shared" si="1646"/>
        <v>06539000</v>
      </c>
      <c r="C9230" t="str">
        <f t="shared" si="1647"/>
        <v>06539003</v>
      </c>
      <c r="D9230">
        <v>89301171</v>
      </c>
      <c r="E9230" t="str">
        <f t="shared" si="1649"/>
        <v>9657145718</v>
      </c>
      <c r="F9230" s="1">
        <v>45127</v>
      </c>
      <c r="G9230" t="str">
        <f>"91329"</f>
        <v>91329</v>
      </c>
      <c r="H9230">
        <v>2</v>
      </c>
      <c r="I9230">
        <v>436</v>
      </c>
      <c r="J9230">
        <v>0</v>
      </c>
      <c r="K9230" t="str">
        <f t="shared" si="1648"/>
        <v>813</v>
      </c>
      <c r="L9230">
        <v>366.24</v>
      </c>
    </row>
    <row r="9231" spans="1:12" x14ac:dyDescent="0.25">
      <c r="A9231" t="str">
        <f t="shared" si="1651"/>
        <v>89301000</v>
      </c>
      <c r="B9231" t="str">
        <f t="shared" si="1646"/>
        <v>06539000</v>
      </c>
      <c r="C9231" t="str">
        <f t="shared" si="1647"/>
        <v>06539003</v>
      </c>
      <c r="D9231">
        <v>89301171</v>
      </c>
      <c r="E9231" t="str">
        <f t="shared" si="1649"/>
        <v>9657145718</v>
      </c>
      <c r="F9231" s="1">
        <v>45127</v>
      </c>
      <c r="G9231" t="str">
        <f>"91329"</f>
        <v>91329</v>
      </c>
      <c r="H9231">
        <v>2</v>
      </c>
      <c r="I9231">
        <v>436</v>
      </c>
      <c r="J9231">
        <v>0</v>
      </c>
      <c r="K9231" t="str">
        <f t="shared" si="1648"/>
        <v>813</v>
      </c>
      <c r="L9231">
        <v>366.24</v>
      </c>
    </row>
    <row r="9232" spans="1:12" x14ac:dyDescent="0.25">
      <c r="A9232" t="str">
        <f t="shared" si="1651"/>
        <v>89301000</v>
      </c>
      <c r="B9232" t="str">
        <f t="shared" si="1646"/>
        <v>06539000</v>
      </c>
      <c r="C9232" t="str">
        <f t="shared" si="1647"/>
        <v>06539003</v>
      </c>
      <c r="D9232">
        <v>89301171</v>
      </c>
      <c r="E9232" t="str">
        <f t="shared" si="1649"/>
        <v>9657145718</v>
      </c>
      <c r="F9232" s="1">
        <v>45127</v>
      </c>
      <c r="G9232" t="str">
        <f>"91329"</f>
        <v>91329</v>
      </c>
      <c r="H9232">
        <v>2</v>
      </c>
      <c r="I9232">
        <v>436</v>
      </c>
      <c r="J9232">
        <v>0</v>
      </c>
      <c r="K9232" t="str">
        <f t="shared" si="1648"/>
        <v>813</v>
      </c>
      <c r="L9232">
        <v>366.24</v>
      </c>
    </row>
    <row r="9233" spans="1:12" x14ac:dyDescent="0.25">
      <c r="A9233" t="str">
        <f t="shared" si="1651"/>
        <v>89301000</v>
      </c>
      <c r="B9233" t="str">
        <f t="shared" si="1646"/>
        <v>06539000</v>
      </c>
      <c r="C9233" t="str">
        <f t="shared" si="1647"/>
        <v>06539003</v>
      </c>
      <c r="D9233">
        <v>89301171</v>
      </c>
      <c r="E9233" t="str">
        <f t="shared" si="1649"/>
        <v>9657145718</v>
      </c>
      <c r="F9233" s="1">
        <v>45127</v>
      </c>
      <c r="G9233" t="str">
        <f>"91329"</f>
        <v>91329</v>
      </c>
      <c r="H9233">
        <v>2</v>
      </c>
      <c r="I9233">
        <v>436</v>
      </c>
      <c r="J9233">
        <v>0</v>
      </c>
      <c r="K9233" t="str">
        <f t="shared" si="1648"/>
        <v>813</v>
      </c>
      <c r="L9233">
        <v>366.24</v>
      </c>
    </row>
    <row r="9234" spans="1:12" x14ac:dyDescent="0.25">
      <c r="A9234" t="str">
        <f t="shared" si="1651"/>
        <v>89301000</v>
      </c>
      <c r="B9234" t="str">
        <f t="shared" si="1646"/>
        <v>06539000</v>
      </c>
      <c r="C9234" t="str">
        <f t="shared" si="1647"/>
        <v>06539003</v>
      </c>
      <c r="D9234">
        <v>89301171</v>
      </c>
      <c r="E9234" t="str">
        <f t="shared" si="1649"/>
        <v>9657145718</v>
      </c>
      <c r="F9234" s="1">
        <v>45127</v>
      </c>
      <c r="G9234" t="str">
        <f>"91475"</f>
        <v>91475</v>
      </c>
      <c r="H9234">
        <v>1</v>
      </c>
      <c r="I9234">
        <v>213</v>
      </c>
      <c r="J9234">
        <v>0</v>
      </c>
      <c r="K9234" t="str">
        <f t="shared" si="1648"/>
        <v>813</v>
      </c>
      <c r="L9234">
        <v>178.92</v>
      </c>
    </row>
    <row r="9235" spans="1:12" x14ac:dyDescent="0.25">
      <c r="A9235" t="str">
        <f t="shared" si="1651"/>
        <v>89301000</v>
      </c>
      <c r="B9235" t="str">
        <f t="shared" si="1646"/>
        <v>06539000</v>
      </c>
      <c r="C9235" t="str">
        <f t="shared" si="1647"/>
        <v>06539003</v>
      </c>
      <c r="D9235">
        <v>89301172</v>
      </c>
      <c r="E9235" t="str">
        <f>"8803255571"</f>
        <v>8803255571</v>
      </c>
      <c r="F9235" s="1">
        <v>45120</v>
      </c>
      <c r="G9235" t="str">
        <f>"91329"</f>
        <v>91329</v>
      </c>
      <c r="H9235">
        <v>2</v>
      </c>
      <c r="I9235">
        <v>436</v>
      </c>
      <c r="J9235">
        <v>0</v>
      </c>
      <c r="K9235" t="str">
        <f t="shared" si="1648"/>
        <v>813</v>
      </c>
      <c r="L9235">
        <v>366.24</v>
      </c>
    </row>
    <row r="9236" spans="1:12" x14ac:dyDescent="0.25">
      <c r="A9236" t="str">
        <f t="shared" si="1651"/>
        <v>89301000</v>
      </c>
      <c r="B9236" t="str">
        <f t="shared" si="1646"/>
        <v>06539000</v>
      </c>
      <c r="C9236" t="str">
        <f t="shared" si="1647"/>
        <v>06539003</v>
      </c>
      <c r="D9236">
        <v>89301172</v>
      </c>
      <c r="E9236" t="str">
        <f>"8803255571"</f>
        <v>8803255571</v>
      </c>
      <c r="F9236" s="1">
        <v>45120</v>
      </c>
      <c r="G9236" t="str">
        <f>"91329"</f>
        <v>91329</v>
      </c>
      <c r="H9236">
        <v>2</v>
      </c>
      <c r="I9236">
        <v>436</v>
      </c>
      <c r="J9236">
        <v>0</v>
      </c>
      <c r="K9236" t="str">
        <f t="shared" si="1648"/>
        <v>813</v>
      </c>
      <c r="L9236">
        <v>366.24</v>
      </c>
    </row>
    <row r="9237" spans="1:12" x14ac:dyDescent="0.25">
      <c r="A9237" t="str">
        <f t="shared" si="1651"/>
        <v>89301000</v>
      </c>
      <c r="B9237" t="str">
        <f t="shared" si="1646"/>
        <v>06539000</v>
      </c>
      <c r="C9237" t="str">
        <f t="shared" si="1647"/>
        <v>06539003</v>
      </c>
      <c r="D9237">
        <v>89301172</v>
      </c>
      <c r="E9237" t="str">
        <f>"8803255571"</f>
        <v>8803255571</v>
      </c>
      <c r="F9237" s="1">
        <v>45121</v>
      </c>
      <c r="G9237" t="str">
        <f>"91475"</f>
        <v>91475</v>
      </c>
      <c r="H9237">
        <v>1</v>
      </c>
      <c r="I9237">
        <v>213</v>
      </c>
      <c r="J9237">
        <v>0</v>
      </c>
      <c r="K9237" t="str">
        <f t="shared" si="1648"/>
        <v>813</v>
      </c>
      <c r="L9237">
        <v>178.92</v>
      </c>
    </row>
    <row r="9238" spans="1:12" x14ac:dyDescent="0.25">
      <c r="A9238" t="str">
        <f t="shared" si="1651"/>
        <v>89301000</v>
      </c>
      <c r="B9238" t="str">
        <f t="shared" si="1646"/>
        <v>06539000</v>
      </c>
      <c r="C9238" t="str">
        <f t="shared" si="1647"/>
        <v>06539003</v>
      </c>
      <c r="D9238">
        <v>89301172</v>
      </c>
      <c r="E9238" t="str">
        <f>"8556014907"</f>
        <v>8556014907</v>
      </c>
      <c r="F9238" s="1">
        <v>45125</v>
      </c>
      <c r="G9238" t="str">
        <f>"91329"</f>
        <v>91329</v>
      </c>
      <c r="H9238">
        <v>2</v>
      </c>
      <c r="I9238">
        <v>436</v>
      </c>
      <c r="J9238">
        <v>0</v>
      </c>
      <c r="K9238" t="str">
        <f t="shared" si="1648"/>
        <v>813</v>
      </c>
      <c r="L9238">
        <v>366.24</v>
      </c>
    </row>
    <row r="9239" spans="1:12" x14ac:dyDescent="0.25">
      <c r="A9239" t="str">
        <f t="shared" si="1651"/>
        <v>89301000</v>
      </c>
      <c r="B9239" t="str">
        <f t="shared" si="1646"/>
        <v>06539000</v>
      </c>
      <c r="C9239" t="str">
        <f t="shared" si="1647"/>
        <v>06539003</v>
      </c>
      <c r="D9239">
        <v>89301172</v>
      </c>
      <c r="E9239" t="str">
        <f>"8556014907"</f>
        <v>8556014907</v>
      </c>
      <c r="F9239" s="1">
        <v>45125</v>
      </c>
      <c r="G9239" t="str">
        <f>"91329"</f>
        <v>91329</v>
      </c>
      <c r="H9239">
        <v>2</v>
      </c>
      <c r="I9239">
        <v>436</v>
      </c>
      <c r="J9239">
        <v>0</v>
      </c>
      <c r="K9239" t="str">
        <f t="shared" si="1648"/>
        <v>813</v>
      </c>
      <c r="L9239">
        <v>366.24</v>
      </c>
    </row>
    <row r="9240" spans="1:12" x14ac:dyDescent="0.25">
      <c r="A9240" t="str">
        <f t="shared" si="1651"/>
        <v>89301000</v>
      </c>
      <c r="B9240" t="str">
        <f t="shared" si="1646"/>
        <v>06539000</v>
      </c>
      <c r="C9240" t="str">
        <f t="shared" si="1647"/>
        <v>06539003</v>
      </c>
      <c r="D9240">
        <v>89301172</v>
      </c>
      <c r="E9240" t="str">
        <f>"8556014907"</f>
        <v>8556014907</v>
      </c>
      <c r="F9240" s="1">
        <v>45125</v>
      </c>
      <c r="G9240" t="str">
        <f>"91329"</f>
        <v>91329</v>
      </c>
      <c r="H9240">
        <v>2</v>
      </c>
      <c r="I9240">
        <v>436</v>
      </c>
      <c r="J9240">
        <v>0</v>
      </c>
      <c r="K9240" t="str">
        <f t="shared" si="1648"/>
        <v>813</v>
      </c>
      <c r="L9240">
        <v>366.24</v>
      </c>
    </row>
    <row r="9241" spans="1:12" x14ac:dyDescent="0.25">
      <c r="A9241" t="str">
        <f t="shared" si="1651"/>
        <v>89301000</v>
      </c>
      <c r="B9241" t="str">
        <f t="shared" si="1646"/>
        <v>06539000</v>
      </c>
      <c r="C9241" t="str">
        <f t="shared" si="1647"/>
        <v>06539003</v>
      </c>
      <c r="D9241">
        <v>89301172</v>
      </c>
      <c r="E9241" t="str">
        <f>"8556014907"</f>
        <v>8556014907</v>
      </c>
      <c r="F9241" s="1">
        <v>45125</v>
      </c>
      <c r="G9241" t="str">
        <f>"91329"</f>
        <v>91329</v>
      </c>
      <c r="H9241">
        <v>2</v>
      </c>
      <c r="I9241">
        <v>436</v>
      </c>
      <c r="J9241">
        <v>0</v>
      </c>
      <c r="K9241" t="str">
        <f t="shared" si="1648"/>
        <v>813</v>
      </c>
      <c r="L9241">
        <v>366.24</v>
      </c>
    </row>
    <row r="9242" spans="1:12" x14ac:dyDescent="0.25">
      <c r="A9242" t="str">
        <f t="shared" si="1651"/>
        <v>89301000</v>
      </c>
      <c r="B9242" t="str">
        <f t="shared" si="1646"/>
        <v>06539000</v>
      </c>
      <c r="C9242" t="str">
        <f t="shared" si="1647"/>
        <v>06539003</v>
      </c>
      <c r="D9242">
        <v>89301172</v>
      </c>
      <c r="E9242" t="str">
        <f>"8556014907"</f>
        <v>8556014907</v>
      </c>
      <c r="F9242" s="1">
        <v>45124</v>
      </c>
      <c r="G9242" t="str">
        <f>"91475"</f>
        <v>91475</v>
      </c>
      <c r="H9242">
        <v>1</v>
      </c>
      <c r="I9242">
        <v>213</v>
      </c>
      <c r="J9242">
        <v>0</v>
      </c>
      <c r="K9242" t="str">
        <f t="shared" si="1648"/>
        <v>813</v>
      </c>
      <c r="L9242">
        <v>178.92</v>
      </c>
    </row>
    <row r="9243" spans="1:12" x14ac:dyDescent="0.25">
      <c r="A9243" t="str">
        <f t="shared" si="1651"/>
        <v>89301000</v>
      </c>
      <c r="B9243" t="str">
        <f t="shared" ref="B9243:C9247" si="1652">"89632000"</f>
        <v>89632000</v>
      </c>
      <c r="C9243" t="str">
        <f t="shared" si="1652"/>
        <v>89632000</v>
      </c>
      <c r="D9243">
        <v>89301212</v>
      </c>
      <c r="E9243" t="str">
        <f>"495101088"</f>
        <v>495101088</v>
      </c>
      <c r="F9243" s="1">
        <v>45138</v>
      </c>
      <c r="G9243" t="str">
        <f>"89513"</f>
        <v>89513</v>
      </c>
      <c r="H9243">
        <v>1</v>
      </c>
      <c r="I9243">
        <v>378</v>
      </c>
      <c r="J9243">
        <v>0</v>
      </c>
      <c r="K9243" t="str">
        <f>"809"</f>
        <v>809</v>
      </c>
      <c r="L9243">
        <v>555.66</v>
      </c>
    </row>
    <row r="9244" spans="1:12" x14ac:dyDescent="0.25">
      <c r="A9244" t="str">
        <f t="shared" si="1651"/>
        <v>89301000</v>
      </c>
      <c r="B9244" t="str">
        <f t="shared" si="1652"/>
        <v>89632000</v>
      </c>
      <c r="C9244" t="str">
        <f t="shared" si="1652"/>
        <v>89632000</v>
      </c>
      <c r="D9244">
        <v>89301212</v>
      </c>
      <c r="E9244" t="str">
        <f>"495101088"</f>
        <v>495101088</v>
      </c>
      <c r="F9244" s="1">
        <v>45138</v>
      </c>
      <c r="G9244" t="str">
        <f>"89514"</f>
        <v>89514</v>
      </c>
      <c r="H9244">
        <v>1</v>
      </c>
      <c r="I9244">
        <v>378</v>
      </c>
      <c r="J9244">
        <v>0</v>
      </c>
      <c r="K9244" t="str">
        <f>"809"</f>
        <v>809</v>
      </c>
      <c r="L9244">
        <v>555.66</v>
      </c>
    </row>
    <row r="9245" spans="1:12" x14ac:dyDescent="0.25">
      <c r="A9245" t="str">
        <f t="shared" si="1651"/>
        <v>89301000</v>
      </c>
      <c r="B9245" t="str">
        <f t="shared" si="1652"/>
        <v>89632000</v>
      </c>
      <c r="C9245" t="str">
        <f t="shared" si="1652"/>
        <v>89632000</v>
      </c>
      <c r="D9245">
        <v>89301212</v>
      </c>
      <c r="E9245" t="str">
        <f>"6555041625"</f>
        <v>6555041625</v>
      </c>
      <c r="F9245" s="1">
        <v>45118</v>
      </c>
      <c r="G9245" t="str">
        <f>"89131"</f>
        <v>89131</v>
      </c>
      <c r="H9245">
        <v>1</v>
      </c>
      <c r="I9245">
        <v>190</v>
      </c>
      <c r="J9245">
        <v>0</v>
      </c>
      <c r="K9245" t="str">
        <f>"809"</f>
        <v>809</v>
      </c>
      <c r="L9245">
        <v>279.3</v>
      </c>
    </row>
    <row r="9246" spans="1:12" x14ac:dyDescent="0.25">
      <c r="A9246" t="str">
        <f t="shared" si="1651"/>
        <v>89301000</v>
      </c>
      <c r="B9246" t="str">
        <f t="shared" si="1652"/>
        <v>89632000</v>
      </c>
      <c r="C9246" t="str">
        <f t="shared" si="1652"/>
        <v>89632000</v>
      </c>
      <c r="D9246">
        <v>89301212</v>
      </c>
      <c r="E9246" t="str">
        <f>"6555041625"</f>
        <v>6555041625</v>
      </c>
      <c r="F9246" s="1">
        <v>45125</v>
      </c>
      <c r="G9246" t="str">
        <f>"89513"</f>
        <v>89513</v>
      </c>
      <c r="H9246">
        <v>1</v>
      </c>
      <c r="I9246">
        <v>378</v>
      </c>
      <c r="J9246">
        <v>0</v>
      </c>
      <c r="K9246" t="str">
        <f>"809"</f>
        <v>809</v>
      </c>
      <c r="L9246">
        <v>555.66</v>
      </c>
    </row>
    <row r="9247" spans="1:12" x14ac:dyDescent="0.25">
      <c r="A9247" t="str">
        <f t="shared" si="1651"/>
        <v>89301000</v>
      </c>
      <c r="B9247" t="str">
        <f t="shared" si="1652"/>
        <v>89632000</v>
      </c>
      <c r="C9247" t="str">
        <f t="shared" si="1652"/>
        <v>89632000</v>
      </c>
      <c r="D9247">
        <v>89301212</v>
      </c>
      <c r="E9247" t="str">
        <f>"6555041625"</f>
        <v>6555041625</v>
      </c>
      <c r="F9247" s="1">
        <v>45125</v>
      </c>
      <c r="G9247" t="str">
        <f>"89514"</f>
        <v>89514</v>
      </c>
      <c r="H9247">
        <v>1</v>
      </c>
      <c r="I9247">
        <v>378</v>
      </c>
      <c r="J9247">
        <v>0</v>
      </c>
      <c r="K9247" t="str">
        <f>"809"</f>
        <v>809</v>
      </c>
      <c r="L9247">
        <v>555.66</v>
      </c>
    </row>
    <row r="9248" spans="1:12" x14ac:dyDescent="0.25">
      <c r="A9248" t="str">
        <f t="shared" si="1651"/>
        <v>89301000</v>
      </c>
      <c r="B9248" t="str">
        <f>"02001000"</f>
        <v>02001000</v>
      </c>
      <c r="C9248" t="str">
        <f>"02001171"</f>
        <v>02001171</v>
      </c>
      <c r="D9248">
        <v>89301704</v>
      </c>
      <c r="E9248" t="str">
        <f>"0704305283"</f>
        <v>0704305283</v>
      </c>
      <c r="F9248" s="1">
        <v>45119</v>
      </c>
      <c r="G9248" t="str">
        <f>"91399"</f>
        <v>91399</v>
      </c>
      <c r="H9248">
        <v>1</v>
      </c>
      <c r="I9248">
        <v>2380</v>
      </c>
      <c r="J9248">
        <v>0</v>
      </c>
      <c r="K9248" t="str">
        <f>"813"</f>
        <v>813</v>
      </c>
      <c r="L9248">
        <v>1999.2</v>
      </c>
    </row>
    <row r="9249" spans="1:12" x14ac:dyDescent="0.25">
      <c r="A9249" t="str">
        <f t="shared" si="1651"/>
        <v>89301000</v>
      </c>
      <c r="B9249" t="str">
        <f>"02001000"</f>
        <v>02001000</v>
      </c>
      <c r="C9249" t="str">
        <f>"02001171"</f>
        <v>02001171</v>
      </c>
      <c r="D9249">
        <v>89301704</v>
      </c>
      <c r="E9249" t="str">
        <f>"0704305283"</f>
        <v>0704305283</v>
      </c>
      <c r="F9249" s="1">
        <v>45119</v>
      </c>
      <c r="G9249" t="str">
        <f>"91411"</f>
        <v>91411</v>
      </c>
      <c r="H9249">
        <v>1</v>
      </c>
      <c r="I9249">
        <v>1631</v>
      </c>
      <c r="J9249">
        <v>0</v>
      </c>
      <c r="K9249" t="str">
        <f>"813"</f>
        <v>813</v>
      </c>
      <c r="L9249">
        <v>1370.04</v>
      </c>
    </row>
    <row r="9250" spans="1:12" x14ac:dyDescent="0.25">
      <c r="A9250" t="str">
        <f t="shared" si="1651"/>
        <v>89301000</v>
      </c>
      <c r="B9250" t="str">
        <f>"92002000"</f>
        <v>92002000</v>
      </c>
      <c r="C9250" t="str">
        <f>"92002175"</f>
        <v>92002175</v>
      </c>
      <c r="D9250">
        <v>89301212</v>
      </c>
      <c r="E9250" t="str">
        <f>"6560091472"</f>
        <v>6560091472</v>
      </c>
      <c r="F9250" s="1">
        <v>45125</v>
      </c>
      <c r="G9250" t="str">
        <f>"89180"</f>
        <v>89180</v>
      </c>
      <c r="H9250">
        <v>1</v>
      </c>
      <c r="I9250">
        <v>381</v>
      </c>
      <c r="J9250">
        <v>0</v>
      </c>
      <c r="K9250" t="str">
        <f>"809"</f>
        <v>809</v>
      </c>
      <c r="L9250">
        <v>560.07000000000005</v>
      </c>
    </row>
    <row r="9251" spans="1:12" x14ac:dyDescent="0.25">
      <c r="A9251" t="str">
        <f t="shared" si="1651"/>
        <v>89301000</v>
      </c>
      <c r="B9251" t="str">
        <f>"92002000"</f>
        <v>92002000</v>
      </c>
      <c r="C9251" t="str">
        <f>"92002175"</f>
        <v>92002175</v>
      </c>
      <c r="D9251">
        <v>89301212</v>
      </c>
      <c r="E9251" t="str">
        <f>"6560091472"</f>
        <v>6560091472</v>
      </c>
      <c r="F9251" s="1">
        <v>45125</v>
      </c>
      <c r="G9251" t="str">
        <f>"89512"</f>
        <v>89512</v>
      </c>
      <c r="H9251">
        <v>1</v>
      </c>
      <c r="I9251">
        <v>283</v>
      </c>
      <c r="J9251">
        <v>0</v>
      </c>
      <c r="K9251" t="str">
        <f>"809"</f>
        <v>809</v>
      </c>
      <c r="L9251">
        <v>416.01</v>
      </c>
    </row>
    <row r="9252" spans="1:12" x14ac:dyDescent="0.25">
      <c r="A9252" t="str">
        <f t="shared" si="1651"/>
        <v>89301000</v>
      </c>
      <c r="B9252" t="str">
        <f t="shared" ref="B9252:B9269" si="1653">"02004000"</f>
        <v>02004000</v>
      </c>
      <c r="C9252" t="str">
        <f>"02004545"</f>
        <v>02004545</v>
      </c>
      <c r="D9252">
        <v>89301101</v>
      </c>
      <c r="E9252" t="str">
        <f>"1459221731"</f>
        <v>1459221731</v>
      </c>
      <c r="F9252" s="1">
        <v>45098</v>
      </c>
      <c r="G9252" t="str">
        <f t="shared" ref="G9252:G9257" si="1654">"94221"</f>
        <v>94221</v>
      </c>
      <c r="H9252">
        <v>5</v>
      </c>
      <c r="I9252">
        <v>12335</v>
      </c>
      <c r="J9252">
        <v>0</v>
      </c>
      <c r="K9252" t="str">
        <f t="shared" ref="K9252:K9257" si="1655">"816"</f>
        <v>816</v>
      </c>
      <c r="L9252">
        <v>11101.5</v>
      </c>
    </row>
    <row r="9253" spans="1:12" x14ac:dyDescent="0.25">
      <c r="A9253" t="str">
        <f t="shared" si="1651"/>
        <v>89301000</v>
      </c>
      <c r="B9253" t="str">
        <f t="shared" si="1653"/>
        <v>02004000</v>
      </c>
      <c r="C9253" t="str">
        <f>"02004545"</f>
        <v>02004545</v>
      </c>
      <c r="D9253">
        <v>89301101</v>
      </c>
      <c r="E9253" t="str">
        <f>"1459221731"</f>
        <v>1459221731</v>
      </c>
      <c r="F9253" s="1">
        <v>45103</v>
      </c>
      <c r="G9253" t="str">
        <f t="shared" si="1654"/>
        <v>94221</v>
      </c>
      <c r="H9253">
        <v>9</v>
      </c>
      <c r="I9253">
        <v>22203</v>
      </c>
      <c r="J9253">
        <v>0</v>
      </c>
      <c r="K9253" t="str">
        <f t="shared" si="1655"/>
        <v>816</v>
      </c>
      <c r="L9253">
        <v>19982.7</v>
      </c>
    </row>
    <row r="9254" spans="1:12" x14ac:dyDescent="0.25">
      <c r="A9254" t="str">
        <f t="shared" si="1651"/>
        <v>89301000</v>
      </c>
      <c r="B9254" t="str">
        <f t="shared" si="1653"/>
        <v>02004000</v>
      </c>
      <c r="C9254" t="str">
        <f>"02004545"</f>
        <v>02004545</v>
      </c>
      <c r="D9254">
        <v>89301282</v>
      </c>
      <c r="E9254" t="str">
        <f>"9254045834"</f>
        <v>9254045834</v>
      </c>
      <c r="F9254" s="1">
        <v>45097</v>
      </c>
      <c r="G9254" t="str">
        <f t="shared" si="1654"/>
        <v>94221</v>
      </c>
      <c r="H9254">
        <v>2</v>
      </c>
      <c r="I9254">
        <v>4934</v>
      </c>
      <c r="J9254">
        <v>0</v>
      </c>
      <c r="K9254" t="str">
        <f t="shared" si="1655"/>
        <v>816</v>
      </c>
      <c r="L9254">
        <v>4440.6000000000004</v>
      </c>
    </row>
    <row r="9255" spans="1:12" x14ac:dyDescent="0.25">
      <c r="A9255" t="str">
        <f t="shared" si="1651"/>
        <v>89301000</v>
      </c>
      <c r="B9255" t="str">
        <f t="shared" si="1653"/>
        <v>02004000</v>
      </c>
      <c r="C9255" t="str">
        <f>"02004153"</f>
        <v>02004153</v>
      </c>
      <c r="D9255">
        <v>89301282</v>
      </c>
      <c r="E9255" t="str">
        <f>"7962075396"</f>
        <v>7962075396</v>
      </c>
      <c r="F9255" s="1">
        <v>45092</v>
      </c>
      <c r="G9255" t="str">
        <f t="shared" si="1654"/>
        <v>94221</v>
      </c>
      <c r="H9255">
        <v>9</v>
      </c>
      <c r="I9255">
        <v>22203</v>
      </c>
      <c r="J9255">
        <v>0</v>
      </c>
      <c r="K9255" t="str">
        <f t="shared" si="1655"/>
        <v>816</v>
      </c>
      <c r="L9255">
        <v>19982.7</v>
      </c>
    </row>
    <row r="9256" spans="1:12" x14ac:dyDescent="0.25">
      <c r="A9256" t="str">
        <f t="shared" si="1651"/>
        <v>89301000</v>
      </c>
      <c r="B9256" t="str">
        <f t="shared" si="1653"/>
        <v>02004000</v>
      </c>
      <c r="C9256" t="str">
        <f>"02004153"</f>
        <v>02004153</v>
      </c>
      <c r="D9256">
        <v>89301282</v>
      </c>
      <c r="E9256" t="str">
        <f>"7962075396"</f>
        <v>7962075396</v>
      </c>
      <c r="F9256" s="1">
        <v>45092</v>
      </c>
      <c r="G9256" t="str">
        <f t="shared" si="1654"/>
        <v>94221</v>
      </c>
      <c r="H9256">
        <v>9</v>
      </c>
      <c r="I9256">
        <v>22203</v>
      </c>
      <c r="J9256">
        <v>0</v>
      </c>
      <c r="K9256" t="str">
        <f t="shared" si="1655"/>
        <v>816</v>
      </c>
      <c r="L9256">
        <v>19982.7</v>
      </c>
    </row>
    <row r="9257" spans="1:12" x14ac:dyDescent="0.25">
      <c r="A9257" t="str">
        <f t="shared" si="1651"/>
        <v>89301000</v>
      </c>
      <c r="B9257" t="str">
        <f t="shared" si="1653"/>
        <v>02004000</v>
      </c>
      <c r="C9257" t="str">
        <f>"02004153"</f>
        <v>02004153</v>
      </c>
      <c r="D9257">
        <v>89301282</v>
      </c>
      <c r="E9257" t="str">
        <f>"7962075396"</f>
        <v>7962075396</v>
      </c>
      <c r="F9257" s="1">
        <v>45092</v>
      </c>
      <c r="G9257" t="str">
        <f t="shared" si="1654"/>
        <v>94221</v>
      </c>
      <c r="H9257">
        <v>4</v>
      </c>
      <c r="I9257">
        <v>9868</v>
      </c>
      <c r="J9257">
        <v>0</v>
      </c>
      <c r="K9257" t="str">
        <f t="shared" si="1655"/>
        <v>816</v>
      </c>
      <c r="L9257">
        <v>8881.2000000000007</v>
      </c>
    </row>
    <row r="9258" spans="1:12" x14ac:dyDescent="0.25">
      <c r="A9258" t="str">
        <f t="shared" si="1651"/>
        <v>89301000</v>
      </c>
      <c r="B9258" t="str">
        <f t="shared" si="1653"/>
        <v>02004000</v>
      </c>
      <c r="C9258" t="str">
        <f t="shared" ref="C9258:C9269" si="1656">"02004556"</f>
        <v>02004556</v>
      </c>
      <c r="D9258">
        <v>89301702</v>
      </c>
      <c r="E9258" t="str">
        <f>"1311050246"</f>
        <v>1311050246</v>
      </c>
      <c r="F9258" s="1">
        <v>45100</v>
      </c>
      <c r="G9258" t="str">
        <f>"91249"</f>
        <v>91249</v>
      </c>
      <c r="H9258">
        <v>1</v>
      </c>
      <c r="I9258">
        <v>1495</v>
      </c>
      <c r="J9258">
        <v>0</v>
      </c>
      <c r="K9258" t="str">
        <f t="shared" ref="K9258:K9269" si="1657">"813"</f>
        <v>813</v>
      </c>
      <c r="L9258">
        <v>1255.8</v>
      </c>
    </row>
    <row r="9259" spans="1:12" x14ac:dyDescent="0.25">
      <c r="A9259" t="str">
        <f t="shared" si="1651"/>
        <v>89301000</v>
      </c>
      <c r="B9259" t="str">
        <f t="shared" si="1653"/>
        <v>02004000</v>
      </c>
      <c r="C9259" t="str">
        <f t="shared" si="1656"/>
        <v>02004556</v>
      </c>
      <c r="D9259">
        <v>89301702</v>
      </c>
      <c r="E9259" t="str">
        <f>"1311050246"</f>
        <v>1311050246</v>
      </c>
      <c r="F9259" s="1">
        <v>45100</v>
      </c>
      <c r="G9259" t="str">
        <f>"91251"</f>
        <v>91251</v>
      </c>
      <c r="H9259">
        <v>1</v>
      </c>
      <c r="I9259">
        <v>1495</v>
      </c>
      <c r="J9259">
        <v>0</v>
      </c>
      <c r="K9259" t="str">
        <f t="shared" si="1657"/>
        <v>813</v>
      </c>
      <c r="L9259">
        <v>1255.8</v>
      </c>
    </row>
    <row r="9260" spans="1:12" x14ac:dyDescent="0.25">
      <c r="A9260" t="str">
        <f t="shared" si="1651"/>
        <v>89301000</v>
      </c>
      <c r="B9260" t="str">
        <f t="shared" si="1653"/>
        <v>02004000</v>
      </c>
      <c r="C9260" t="str">
        <f t="shared" si="1656"/>
        <v>02004556</v>
      </c>
      <c r="D9260">
        <v>89301028</v>
      </c>
      <c r="E9260" t="str">
        <f>"9704296195"</f>
        <v>9704296195</v>
      </c>
      <c r="F9260" s="1">
        <v>45093</v>
      </c>
      <c r="G9260" t="str">
        <f>"91249"</f>
        <v>91249</v>
      </c>
      <c r="H9260">
        <v>1</v>
      </c>
      <c r="I9260">
        <v>1495</v>
      </c>
      <c r="J9260">
        <v>0</v>
      </c>
      <c r="K9260" t="str">
        <f t="shared" si="1657"/>
        <v>813</v>
      </c>
      <c r="L9260">
        <v>1255.8</v>
      </c>
    </row>
    <row r="9261" spans="1:12" x14ac:dyDescent="0.25">
      <c r="A9261" t="str">
        <f t="shared" si="1651"/>
        <v>89301000</v>
      </c>
      <c r="B9261" t="str">
        <f t="shared" si="1653"/>
        <v>02004000</v>
      </c>
      <c r="C9261" t="str">
        <f t="shared" si="1656"/>
        <v>02004556</v>
      </c>
      <c r="D9261">
        <v>89301028</v>
      </c>
      <c r="E9261" t="str">
        <f>"9704296195"</f>
        <v>9704296195</v>
      </c>
      <c r="F9261" s="1">
        <v>45093</v>
      </c>
      <c r="G9261" t="str">
        <f>"91251"</f>
        <v>91251</v>
      </c>
      <c r="H9261">
        <v>2</v>
      </c>
      <c r="I9261">
        <v>2990</v>
      </c>
      <c r="J9261">
        <v>0</v>
      </c>
      <c r="K9261" t="str">
        <f t="shared" si="1657"/>
        <v>813</v>
      </c>
      <c r="L9261">
        <v>2511.6</v>
      </c>
    </row>
    <row r="9262" spans="1:12" x14ac:dyDescent="0.25">
      <c r="A9262" t="str">
        <f t="shared" si="1651"/>
        <v>89301000</v>
      </c>
      <c r="B9262" t="str">
        <f t="shared" si="1653"/>
        <v>02004000</v>
      </c>
      <c r="C9262" t="str">
        <f t="shared" si="1656"/>
        <v>02004556</v>
      </c>
      <c r="D9262">
        <v>89301102</v>
      </c>
      <c r="E9262" t="str">
        <f>"0909103272"</f>
        <v>0909103272</v>
      </c>
      <c r="F9262" s="1">
        <v>45104</v>
      </c>
      <c r="G9262" t="str">
        <f>"91249"</f>
        <v>91249</v>
      </c>
      <c r="H9262">
        <v>1</v>
      </c>
      <c r="I9262">
        <v>1495</v>
      </c>
      <c r="J9262">
        <v>0</v>
      </c>
      <c r="K9262" t="str">
        <f t="shared" si="1657"/>
        <v>813</v>
      </c>
      <c r="L9262">
        <v>1255.8</v>
      </c>
    </row>
    <row r="9263" spans="1:12" x14ac:dyDescent="0.25">
      <c r="A9263" t="str">
        <f t="shared" si="1651"/>
        <v>89301000</v>
      </c>
      <c r="B9263" t="str">
        <f t="shared" si="1653"/>
        <v>02004000</v>
      </c>
      <c r="C9263" t="str">
        <f t="shared" si="1656"/>
        <v>02004556</v>
      </c>
      <c r="D9263">
        <v>89301102</v>
      </c>
      <c r="E9263" t="str">
        <f>"0909103272"</f>
        <v>0909103272</v>
      </c>
      <c r="F9263" s="1">
        <v>45104</v>
      </c>
      <c r="G9263" t="str">
        <f>"91251"</f>
        <v>91251</v>
      </c>
      <c r="H9263">
        <v>1</v>
      </c>
      <c r="I9263">
        <v>1495</v>
      </c>
      <c r="J9263">
        <v>0</v>
      </c>
      <c r="K9263" t="str">
        <f t="shared" si="1657"/>
        <v>813</v>
      </c>
      <c r="L9263">
        <v>1255.8</v>
      </c>
    </row>
    <row r="9264" spans="1:12" x14ac:dyDescent="0.25">
      <c r="A9264" t="str">
        <f t="shared" si="1651"/>
        <v>89301000</v>
      </c>
      <c r="B9264" t="str">
        <f t="shared" si="1653"/>
        <v>02004000</v>
      </c>
      <c r="C9264" t="str">
        <f t="shared" si="1656"/>
        <v>02004556</v>
      </c>
      <c r="D9264">
        <v>89301028</v>
      </c>
      <c r="E9264" t="str">
        <f>"9512015700"</f>
        <v>9512015700</v>
      </c>
      <c r="F9264" s="1">
        <v>45104</v>
      </c>
      <c r="G9264" t="str">
        <f>"91249"</f>
        <v>91249</v>
      </c>
      <c r="H9264">
        <v>1</v>
      </c>
      <c r="I9264">
        <v>1495</v>
      </c>
      <c r="J9264">
        <v>0</v>
      </c>
      <c r="K9264" t="str">
        <f t="shared" si="1657"/>
        <v>813</v>
      </c>
      <c r="L9264">
        <v>1255.8</v>
      </c>
    </row>
    <row r="9265" spans="1:12" x14ac:dyDescent="0.25">
      <c r="A9265" t="str">
        <f t="shared" si="1651"/>
        <v>89301000</v>
      </c>
      <c r="B9265" t="str">
        <f t="shared" si="1653"/>
        <v>02004000</v>
      </c>
      <c r="C9265" t="str">
        <f t="shared" si="1656"/>
        <v>02004556</v>
      </c>
      <c r="D9265">
        <v>89301028</v>
      </c>
      <c r="E9265" t="str">
        <f>"9512015700"</f>
        <v>9512015700</v>
      </c>
      <c r="F9265" s="1">
        <v>45104</v>
      </c>
      <c r="G9265" t="str">
        <f>"91251"</f>
        <v>91251</v>
      </c>
      <c r="H9265">
        <v>2</v>
      </c>
      <c r="I9265">
        <v>2990</v>
      </c>
      <c r="J9265">
        <v>0</v>
      </c>
      <c r="K9265" t="str">
        <f t="shared" si="1657"/>
        <v>813</v>
      </c>
      <c r="L9265">
        <v>2511.6</v>
      </c>
    </row>
    <row r="9266" spans="1:12" x14ac:dyDescent="0.25">
      <c r="A9266" t="str">
        <f t="shared" si="1651"/>
        <v>89301000</v>
      </c>
      <c r="B9266" t="str">
        <f t="shared" si="1653"/>
        <v>02004000</v>
      </c>
      <c r="C9266" t="str">
        <f t="shared" si="1656"/>
        <v>02004556</v>
      </c>
      <c r="D9266">
        <v>89301028</v>
      </c>
      <c r="E9266" t="str">
        <f>"8912145726"</f>
        <v>8912145726</v>
      </c>
      <c r="F9266" s="1">
        <v>45100</v>
      </c>
      <c r="G9266" t="str">
        <f>"91249"</f>
        <v>91249</v>
      </c>
      <c r="H9266">
        <v>1</v>
      </c>
      <c r="I9266">
        <v>1495</v>
      </c>
      <c r="J9266">
        <v>0</v>
      </c>
      <c r="K9266" t="str">
        <f t="shared" si="1657"/>
        <v>813</v>
      </c>
      <c r="L9266">
        <v>1255.8</v>
      </c>
    </row>
    <row r="9267" spans="1:12" x14ac:dyDescent="0.25">
      <c r="A9267" t="str">
        <f t="shared" si="1651"/>
        <v>89301000</v>
      </c>
      <c r="B9267" t="str">
        <f t="shared" si="1653"/>
        <v>02004000</v>
      </c>
      <c r="C9267" t="str">
        <f t="shared" si="1656"/>
        <v>02004556</v>
      </c>
      <c r="D9267">
        <v>89301028</v>
      </c>
      <c r="E9267" t="str">
        <f>"8912145726"</f>
        <v>8912145726</v>
      </c>
      <c r="F9267" s="1">
        <v>45100</v>
      </c>
      <c r="G9267" t="str">
        <f>"91251"</f>
        <v>91251</v>
      </c>
      <c r="H9267">
        <v>1</v>
      </c>
      <c r="I9267">
        <v>1495</v>
      </c>
      <c r="J9267">
        <v>0</v>
      </c>
      <c r="K9267" t="str">
        <f t="shared" si="1657"/>
        <v>813</v>
      </c>
      <c r="L9267">
        <v>1255.8</v>
      </c>
    </row>
    <row r="9268" spans="1:12" x14ac:dyDescent="0.25">
      <c r="A9268" t="str">
        <f t="shared" si="1651"/>
        <v>89301000</v>
      </c>
      <c r="B9268" t="str">
        <f t="shared" si="1653"/>
        <v>02004000</v>
      </c>
      <c r="C9268" t="str">
        <f t="shared" si="1656"/>
        <v>02004556</v>
      </c>
      <c r="D9268">
        <v>89301028</v>
      </c>
      <c r="E9268" t="str">
        <f>"8661285820"</f>
        <v>8661285820</v>
      </c>
      <c r="F9268" s="1">
        <v>45103</v>
      </c>
      <c r="G9268" t="str">
        <f>"91249"</f>
        <v>91249</v>
      </c>
      <c r="H9268">
        <v>1</v>
      </c>
      <c r="I9268">
        <v>1495</v>
      </c>
      <c r="J9268">
        <v>0</v>
      </c>
      <c r="K9268" t="str">
        <f t="shared" si="1657"/>
        <v>813</v>
      </c>
      <c r="L9268">
        <v>1255.8</v>
      </c>
    </row>
    <row r="9269" spans="1:12" x14ac:dyDescent="0.25">
      <c r="A9269" t="str">
        <f t="shared" si="1651"/>
        <v>89301000</v>
      </c>
      <c r="B9269" t="str">
        <f t="shared" si="1653"/>
        <v>02004000</v>
      </c>
      <c r="C9269" t="str">
        <f t="shared" si="1656"/>
        <v>02004556</v>
      </c>
      <c r="D9269">
        <v>89301028</v>
      </c>
      <c r="E9269" t="str">
        <f>"8661285820"</f>
        <v>8661285820</v>
      </c>
      <c r="F9269" s="1">
        <v>45103</v>
      </c>
      <c r="G9269" t="str">
        <f>"91251"</f>
        <v>91251</v>
      </c>
      <c r="H9269">
        <v>1</v>
      </c>
      <c r="I9269">
        <v>1495</v>
      </c>
      <c r="J9269">
        <v>0</v>
      </c>
      <c r="K9269" t="str">
        <f t="shared" si="1657"/>
        <v>813</v>
      </c>
      <c r="L9269">
        <v>1255.8</v>
      </c>
    </row>
    <row r="9270" spans="1:12" x14ac:dyDescent="0.25">
      <c r="A9270" t="str">
        <f t="shared" si="1651"/>
        <v>89301000</v>
      </c>
      <c r="B9270" t="str">
        <f t="shared" ref="B9270:B9278" si="1658">"06223000"</f>
        <v>06223000</v>
      </c>
      <c r="C9270" t="str">
        <f t="shared" ref="C9270:C9278" si="1659">"06223043"</f>
        <v>06223043</v>
      </c>
      <c r="D9270">
        <v>89301122</v>
      </c>
      <c r="E9270" t="str">
        <f>"510928319"</f>
        <v>510928319</v>
      </c>
      <c r="F9270" s="1">
        <v>45125</v>
      </c>
      <c r="G9270" t="str">
        <f>"81485"</f>
        <v>81485</v>
      </c>
      <c r="H9270">
        <v>1</v>
      </c>
      <c r="I9270">
        <v>461</v>
      </c>
      <c r="J9270">
        <v>0</v>
      </c>
      <c r="K9270" t="str">
        <f t="shared" ref="K9270:K9278" si="1660">"801"</f>
        <v>801</v>
      </c>
      <c r="L9270">
        <v>387.24</v>
      </c>
    </row>
    <row r="9271" spans="1:12" x14ac:dyDescent="0.25">
      <c r="A9271" t="str">
        <f t="shared" si="1651"/>
        <v>89301000</v>
      </c>
      <c r="B9271" t="str">
        <f t="shared" si="1658"/>
        <v>06223000</v>
      </c>
      <c r="C9271" t="str">
        <f t="shared" si="1659"/>
        <v>06223043</v>
      </c>
      <c r="D9271">
        <v>89301122</v>
      </c>
      <c r="E9271" t="str">
        <f>"8554044939"</f>
        <v>8554044939</v>
      </c>
      <c r="F9271" s="1">
        <v>45125</v>
      </c>
      <c r="G9271" t="str">
        <f>"81485"</f>
        <v>81485</v>
      </c>
      <c r="H9271">
        <v>1</v>
      </c>
      <c r="I9271">
        <v>461</v>
      </c>
      <c r="J9271">
        <v>0</v>
      </c>
      <c r="K9271" t="str">
        <f t="shared" si="1660"/>
        <v>801</v>
      </c>
      <c r="L9271">
        <v>387.24</v>
      </c>
    </row>
    <row r="9272" spans="1:12" x14ac:dyDescent="0.25">
      <c r="A9272" t="str">
        <f t="shared" si="1651"/>
        <v>89301000</v>
      </c>
      <c r="B9272" t="str">
        <f t="shared" si="1658"/>
        <v>06223000</v>
      </c>
      <c r="C9272" t="str">
        <f t="shared" si="1659"/>
        <v>06223043</v>
      </c>
      <c r="D9272">
        <v>89301122</v>
      </c>
      <c r="E9272" t="str">
        <f>"6701010173"</f>
        <v>6701010173</v>
      </c>
      <c r="F9272" s="1">
        <v>45133</v>
      </c>
      <c r="G9272" t="str">
        <f>"81485"</f>
        <v>81485</v>
      </c>
      <c r="H9272">
        <v>1</v>
      </c>
      <c r="I9272">
        <v>461</v>
      </c>
      <c r="J9272">
        <v>0</v>
      </c>
      <c r="K9272" t="str">
        <f t="shared" si="1660"/>
        <v>801</v>
      </c>
      <c r="L9272">
        <v>387.24</v>
      </c>
    </row>
    <row r="9273" spans="1:12" x14ac:dyDescent="0.25">
      <c r="A9273" t="str">
        <f t="shared" si="1651"/>
        <v>89301000</v>
      </c>
      <c r="B9273" t="str">
        <f t="shared" si="1658"/>
        <v>06223000</v>
      </c>
      <c r="C9273" t="str">
        <f t="shared" si="1659"/>
        <v>06223043</v>
      </c>
      <c r="D9273">
        <v>89301122</v>
      </c>
      <c r="E9273" t="str">
        <f>"7654205372"</f>
        <v>7654205372</v>
      </c>
      <c r="F9273" s="1">
        <v>45125</v>
      </c>
      <c r="G9273" t="str">
        <f>"81485"</f>
        <v>81485</v>
      </c>
      <c r="H9273">
        <v>1</v>
      </c>
      <c r="I9273">
        <v>461</v>
      </c>
      <c r="J9273">
        <v>0</v>
      </c>
      <c r="K9273" t="str">
        <f t="shared" si="1660"/>
        <v>801</v>
      </c>
      <c r="L9273">
        <v>387.24</v>
      </c>
    </row>
    <row r="9274" spans="1:12" x14ac:dyDescent="0.25">
      <c r="A9274" t="str">
        <f t="shared" si="1651"/>
        <v>89301000</v>
      </c>
      <c r="B9274" t="str">
        <f t="shared" si="1658"/>
        <v>06223000</v>
      </c>
      <c r="C9274" t="str">
        <f t="shared" si="1659"/>
        <v>06223043</v>
      </c>
      <c r="D9274">
        <v>89301122</v>
      </c>
      <c r="E9274" t="str">
        <f>"5861071535"</f>
        <v>5861071535</v>
      </c>
      <c r="F9274" s="1">
        <v>45134</v>
      </c>
      <c r="G9274" t="str">
        <f>"92165"</f>
        <v>92165</v>
      </c>
      <c r="H9274">
        <v>1</v>
      </c>
      <c r="I9274">
        <v>2162</v>
      </c>
      <c r="J9274">
        <v>0</v>
      </c>
      <c r="K9274" t="str">
        <f t="shared" si="1660"/>
        <v>801</v>
      </c>
      <c r="L9274">
        <v>1816.08</v>
      </c>
    </row>
    <row r="9275" spans="1:12" x14ac:dyDescent="0.25">
      <c r="A9275" t="str">
        <f t="shared" si="1651"/>
        <v>89301000</v>
      </c>
      <c r="B9275" t="str">
        <f t="shared" si="1658"/>
        <v>06223000</v>
      </c>
      <c r="C9275" t="str">
        <f t="shared" si="1659"/>
        <v>06223043</v>
      </c>
      <c r="D9275">
        <v>89301122</v>
      </c>
      <c r="E9275" t="str">
        <f>"6654261559"</f>
        <v>6654261559</v>
      </c>
      <c r="F9275" s="1">
        <v>45125</v>
      </c>
      <c r="G9275" t="str">
        <f>"81485"</f>
        <v>81485</v>
      </c>
      <c r="H9275">
        <v>1</v>
      </c>
      <c r="I9275">
        <v>461</v>
      </c>
      <c r="J9275">
        <v>0</v>
      </c>
      <c r="K9275" t="str">
        <f t="shared" si="1660"/>
        <v>801</v>
      </c>
      <c r="L9275">
        <v>387.24</v>
      </c>
    </row>
    <row r="9276" spans="1:12" x14ac:dyDescent="0.25">
      <c r="A9276" t="str">
        <f t="shared" si="1651"/>
        <v>89301000</v>
      </c>
      <c r="B9276" t="str">
        <f t="shared" si="1658"/>
        <v>06223000</v>
      </c>
      <c r="C9276" t="str">
        <f t="shared" si="1659"/>
        <v>06223043</v>
      </c>
      <c r="D9276">
        <v>89301122</v>
      </c>
      <c r="E9276" t="str">
        <f>"7411224403"</f>
        <v>7411224403</v>
      </c>
      <c r="F9276" s="1">
        <v>45126</v>
      </c>
      <c r="G9276" t="str">
        <f>"81485"</f>
        <v>81485</v>
      </c>
      <c r="H9276">
        <v>1</v>
      </c>
      <c r="I9276">
        <v>461</v>
      </c>
      <c r="J9276">
        <v>0</v>
      </c>
      <c r="K9276" t="str">
        <f t="shared" si="1660"/>
        <v>801</v>
      </c>
      <c r="L9276">
        <v>387.24</v>
      </c>
    </row>
    <row r="9277" spans="1:12" x14ac:dyDescent="0.25">
      <c r="A9277" t="str">
        <f t="shared" si="1651"/>
        <v>89301000</v>
      </c>
      <c r="B9277" t="str">
        <f t="shared" si="1658"/>
        <v>06223000</v>
      </c>
      <c r="C9277" t="str">
        <f t="shared" si="1659"/>
        <v>06223043</v>
      </c>
      <c r="D9277">
        <v>89301122</v>
      </c>
      <c r="E9277" t="str">
        <f>"6751171427"</f>
        <v>6751171427</v>
      </c>
      <c r="F9277" s="1">
        <v>45126</v>
      </c>
      <c r="G9277" t="str">
        <f>"92165"</f>
        <v>92165</v>
      </c>
      <c r="H9277">
        <v>1</v>
      </c>
      <c r="I9277">
        <v>2162</v>
      </c>
      <c r="J9277">
        <v>0</v>
      </c>
      <c r="K9277" t="str">
        <f t="shared" si="1660"/>
        <v>801</v>
      </c>
      <c r="L9277">
        <v>1816.08</v>
      </c>
    </row>
    <row r="9278" spans="1:12" x14ac:dyDescent="0.25">
      <c r="A9278" t="str">
        <f t="shared" si="1651"/>
        <v>89301000</v>
      </c>
      <c r="B9278" t="str">
        <f t="shared" si="1658"/>
        <v>06223000</v>
      </c>
      <c r="C9278" t="str">
        <f t="shared" si="1659"/>
        <v>06223043</v>
      </c>
      <c r="D9278">
        <v>89301122</v>
      </c>
      <c r="E9278" t="str">
        <f>"5512131493"</f>
        <v>5512131493</v>
      </c>
      <c r="F9278" s="1">
        <v>45133</v>
      </c>
      <c r="G9278" t="str">
        <f>"81485"</f>
        <v>81485</v>
      </c>
      <c r="H9278">
        <v>1</v>
      </c>
      <c r="I9278">
        <v>461</v>
      </c>
      <c r="J9278">
        <v>0</v>
      </c>
      <c r="K9278" t="str">
        <f t="shared" si="1660"/>
        <v>801</v>
      </c>
      <c r="L9278">
        <v>387.24</v>
      </c>
    </row>
    <row r="9279" spans="1:12" x14ac:dyDescent="0.25">
      <c r="A9279" t="str">
        <f t="shared" si="1651"/>
        <v>89301000</v>
      </c>
      <c r="B9279" t="str">
        <f t="shared" ref="B9279:B9292" si="1661">"02004000"</f>
        <v>02004000</v>
      </c>
      <c r="C9279" t="str">
        <f>"02004545"</f>
        <v>02004545</v>
      </c>
      <c r="D9279">
        <v>89301101</v>
      </c>
      <c r="E9279" t="str">
        <f>"1459221731"</f>
        <v>1459221731</v>
      </c>
      <c r="F9279" s="1">
        <v>45125</v>
      </c>
      <c r="G9279" t="str">
        <f>"94331"</f>
        <v>94331</v>
      </c>
      <c r="H9279">
        <v>1</v>
      </c>
      <c r="I9279">
        <v>7866</v>
      </c>
      <c r="J9279">
        <v>0</v>
      </c>
      <c r="K9279" t="str">
        <f>"816"</f>
        <v>816</v>
      </c>
      <c r="L9279">
        <v>7079.4</v>
      </c>
    </row>
    <row r="9280" spans="1:12" x14ac:dyDescent="0.25">
      <c r="A9280" t="str">
        <f t="shared" si="1651"/>
        <v>89301000</v>
      </c>
      <c r="B9280" t="str">
        <f t="shared" si="1661"/>
        <v>02004000</v>
      </c>
      <c r="C9280" t="str">
        <f>"02004561"</f>
        <v>02004561</v>
      </c>
      <c r="D9280">
        <v>89301171</v>
      </c>
      <c r="E9280" t="str">
        <f>"7962075396"</f>
        <v>7962075396</v>
      </c>
      <c r="F9280" s="1">
        <v>45120</v>
      </c>
      <c r="G9280" t="str">
        <f>"81665"</f>
        <v>81665</v>
      </c>
      <c r="H9280">
        <v>1</v>
      </c>
      <c r="I9280">
        <v>1817</v>
      </c>
      <c r="J9280">
        <v>0</v>
      </c>
      <c r="K9280" t="str">
        <f>"801"</f>
        <v>801</v>
      </c>
      <c r="L9280">
        <v>1526.28</v>
      </c>
    </row>
    <row r="9281" spans="1:12" x14ac:dyDescent="0.25">
      <c r="A9281" t="str">
        <f t="shared" si="1651"/>
        <v>89301000</v>
      </c>
      <c r="B9281" t="str">
        <f t="shared" si="1661"/>
        <v>02004000</v>
      </c>
      <c r="C9281" t="str">
        <f t="shared" ref="C9281:C9292" si="1662">"02004556"</f>
        <v>02004556</v>
      </c>
      <c r="D9281">
        <v>89301702</v>
      </c>
      <c r="E9281" t="str">
        <f>"0658303239"</f>
        <v>0658303239</v>
      </c>
      <c r="F9281" s="1">
        <v>45111</v>
      </c>
      <c r="G9281" t="str">
        <f>"91249"</f>
        <v>91249</v>
      </c>
      <c r="H9281">
        <v>1</v>
      </c>
      <c r="I9281">
        <v>1495</v>
      </c>
      <c r="J9281">
        <v>0</v>
      </c>
      <c r="K9281" t="str">
        <f t="shared" ref="K9281:K9292" si="1663">"813"</f>
        <v>813</v>
      </c>
      <c r="L9281">
        <v>1255.8</v>
      </c>
    </row>
    <row r="9282" spans="1:12" x14ac:dyDescent="0.25">
      <c r="A9282" t="str">
        <f t="shared" ref="A9282:A9345" si="1664">"89301000"</f>
        <v>89301000</v>
      </c>
      <c r="B9282" t="str">
        <f t="shared" si="1661"/>
        <v>02004000</v>
      </c>
      <c r="C9282" t="str">
        <f t="shared" si="1662"/>
        <v>02004556</v>
      </c>
      <c r="D9282">
        <v>89301702</v>
      </c>
      <c r="E9282" t="str">
        <f>"0658303239"</f>
        <v>0658303239</v>
      </c>
      <c r="F9282" s="1">
        <v>45111</v>
      </c>
      <c r="G9282" t="str">
        <f>"91251"</f>
        <v>91251</v>
      </c>
      <c r="H9282">
        <v>1</v>
      </c>
      <c r="I9282">
        <v>1495</v>
      </c>
      <c r="J9282">
        <v>0</v>
      </c>
      <c r="K9282" t="str">
        <f t="shared" si="1663"/>
        <v>813</v>
      </c>
      <c r="L9282">
        <v>1255.8</v>
      </c>
    </row>
    <row r="9283" spans="1:12" x14ac:dyDescent="0.25">
      <c r="A9283" t="str">
        <f t="shared" si="1664"/>
        <v>89301000</v>
      </c>
      <c r="B9283" t="str">
        <f t="shared" si="1661"/>
        <v>02004000</v>
      </c>
      <c r="C9283" t="str">
        <f t="shared" si="1662"/>
        <v>02004556</v>
      </c>
      <c r="D9283">
        <v>89301102</v>
      </c>
      <c r="E9283" t="str">
        <f>"0859053261"</f>
        <v>0859053261</v>
      </c>
      <c r="F9283" s="1">
        <v>45110</v>
      </c>
      <c r="G9283" t="str">
        <f>"91249"</f>
        <v>91249</v>
      </c>
      <c r="H9283">
        <v>1</v>
      </c>
      <c r="I9283">
        <v>1495</v>
      </c>
      <c r="J9283">
        <v>0</v>
      </c>
      <c r="K9283" t="str">
        <f t="shared" si="1663"/>
        <v>813</v>
      </c>
      <c r="L9283">
        <v>1255.8</v>
      </c>
    </row>
    <row r="9284" spans="1:12" x14ac:dyDescent="0.25">
      <c r="A9284" t="str">
        <f t="shared" si="1664"/>
        <v>89301000</v>
      </c>
      <c r="B9284" t="str">
        <f t="shared" si="1661"/>
        <v>02004000</v>
      </c>
      <c r="C9284" t="str">
        <f t="shared" si="1662"/>
        <v>02004556</v>
      </c>
      <c r="D9284">
        <v>89301102</v>
      </c>
      <c r="E9284" t="str">
        <f>"0859053261"</f>
        <v>0859053261</v>
      </c>
      <c r="F9284" s="1">
        <v>45110</v>
      </c>
      <c r="G9284" t="str">
        <f>"91251"</f>
        <v>91251</v>
      </c>
      <c r="H9284">
        <v>1</v>
      </c>
      <c r="I9284">
        <v>1495</v>
      </c>
      <c r="J9284">
        <v>0</v>
      </c>
      <c r="K9284" t="str">
        <f t="shared" si="1663"/>
        <v>813</v>
      </c>
      <c r="L9284">
        <v>1255.8</v>
      </c>
    </row>
    <row r="9285" spans="1:12" x14ac:dyDescent="0.25">
      <c r="A9285" t="str">
        <f t="shared" si="1664"/>
        <v>89301000</v>
      </c>
      <c r="B9285" t="str">
        <f t="shared" si="1661"/>
        <v>02004000</v>
      </c>
      <c r="C9285" t="str">
        <f t="shared" si="1662"/>
        <v>02004556</v>
      </c>
      <c r="D9285">
        <v>89301702</v>
      </c>
      <c r="E9285" t="str">
        <f>"0410225343"</f>
        <v>0410225343</v>
      </c>
      <c r="F9285" s="1">
        <v>45121</v>
      </c>
      <c r="G9285" t="str">
        <f>"91249"</f>
        <v>91249</v>
      </c>
      <c r="H9285">
        <v>1</v>
      </c>
      <c r="I9285">
        <v>1495</v>
      </c>
      <c r="J9285">
        <v>0</v>
      </c>
      <c r="K9285" t="str">
        <f t="shared" si="1663"/>
        <v>813</v>
      </c>
      <c r="L9285">
        <v>1255.8</v>
      </c>
    </row>
    <row r="9286" spans="1:12" x14ac:dyDescent="0.25">
      <c r="A9286" t="str">
        <f t="shared" si="1664"/>
        <v>89301000</v>
      </c>
      <c r="B9286" t="str">
        <f t="shared" si="1661"/>
        <v>02004000</v>
      </c>
      <c r="C9286" t="str">
        <f t="shared" si="1662"/>
        <v>02004556</v>
      </c>
      <c r="D9286">
        <v>89301702</v>
      </c>
      <c r="E9286" t="str">
        <f>"0410225343"</f>
        <v>0410225343</v>
      </c>
      <c r="F9286" s="1">
        <v>45121</v>
      </c>
      <c r="G9286" t="str">
        <f>"91251"</f>
        <v>91251</v>
      </c>
      <c r="H9286">
        <v>1</v>
      </c>
      <c r="I9286">
        <v>1495</v>
      </c>
      <c r="J9286">
        <v>0</v>
      </c>
      <c r="K9286" t="str">
        <f t="shared" si="1663"/>
        <v>813</v>
      </c>
      <c r="L9286">
        <v>1255.8</v>
      </c>
    </row>
    <row r="9287" spans="1:12" x14ac:dyDescent="0.25">
      <c r="A9287" t="str">
        <f t="shared" si="1664"/>
        <v>89301000</v>
      </c>
      <c r="B9287" t="str">
        <f t="shared" si="1661"/>
        <v>02004000</v>
      </c>
      <c r="C9287" t="str">
        <f t="shared" si="1662"/>
        <v>02004556</v>
      </c>
      <c r="D9287">
        <v>89301102</v>
      </c>
      <c r="E9287" t="str">
        <f>"0554043248"</f>
        <v>0554043248</v>
      </c>
      <c r="F9287" s="1">
        <v>45118</v>
      </c>
      <c r="G9287" t="str">
        <f>"91249"</f>
        <v>91249</v>
      </c>
      <c r="H9287">
        <v>1</v>
      </c>
      <c r="I9287">
        <v>1495</v>
      </c>
      <c r="J9287">
        <v>0</v>
      </c>
      <c r="K9287" t="str">
        <f t="shared" si="1663"/>
        <v>813</v>
      </c>
      <c r="L9287">
        <v>1255.8</v>
      </c>
    </row>
    <row r="9288" spans="1:12" x14ac:dyDescent="0.25">
      <c r="A9288" t="str">
        <f t="shared" si="1664"/>
        <v>89301000</v>
      </c>
      <c r="B9288" t="str">
        <f t="shared" si="1661"/>
        <v>02004000</v>
      </c>
      <c r="C9288" t="str">
        <f t="shared" si="1662"/>
        <v>02004556</v>
      </c>
      <c r="D9288">
        <v>89301102</v>
      </c>
      <c r="E9288" t="str">
        <f>"0554043248"</f>
        <v>0554043248</v>
      </c>
      <c r="F9288" s="1">
        <v>45118</v>
      </c>
      <c r="G9288" t="str">
        <f>"91251"</f>
        <v>91251</v>
      </c>
      <c r="H9288">
        <v>1</v>
      </c>
      <c r="I9288">
        <v>1495</v>
      </c>
      <c r="J9288">
        <v>0</v>
      </c>
      <c r="K9288" t="str">
        <f t="shared" si="1663"/>
        <v>813</v>
      </c>
      <c r="L9288">
        <v>1255.8</v>
      </c>
    </row>
    <row r="9289" spans="1:12" x14ac:dyDescent="0.25">
      <c r="A9289" t="str">
        <f t="shared" si="1664"/>
        <v>89301000</v>
      </c>
      <c r="B9289" t="str">
        <f t="shared" si="1661"/>
        <v>02004000</v>
      </c>
      <c r="C9289" t="str">
        <f t="shared" si="1662"/>
        <v>02004556</v>
      </c>
      <c r="D9289">
        <v>89301028</v>
      </c>
      <c r="E9289" t="str">
        <f>"6753081214"</f>
        <v>6753081214</v>
      </c>
      <c r="F9289" s="1">
        <v>45117</v>
      </c>
      <c r="G9289" t="str">
        <f>"91249"</f>
        <v>91249</v>
      </c>
      <c r="H9289">
        <v>1</v>
      </c>
      <c r="I9289">
        <v>1495</v>
      </c>
      <c r="J9289">
        <v>0</v>
      </c>
      <c r="K9289" t="str">
        <f t="shared" si="1663"/>
        <v>813</v>
      </c>
      <c r="L9289">
        <v>1255.8</v>
      </c>
    </row>
    <row r="9290" spans="1:12" x14ac:dyDescent="0.25">
      <c r="A9290" t="str">
        <f t="shared" si="1664"/>
        <v>89301000</v>
      </c>
      <c r="B9290" t="str">
        <f t="shared" si="1661"/>
        <v>02004000</v>
      </c>
      <c r="C9290" t="str">
        <f t="shared" si="1662"/>
        <v>02004556</v>
      </c>
      <c r="D9290">
        <v>89301028</v>
      </c>
      <c r="E9290" t="str">
        <f>"6753081214"</f>
        <v>6753081214</v>
      </c>
      <c r="F9290" s="1">
        <v>45117</v>
      </c>
      <c r="G9290" t="str">
        <f>"91251"</f>
        <v>91251</v>
      </c>
      <c r="H9290">
        <v>1</v>
      </c>
      <c r="I9290">
        <v>1495</v>
      </c>
      <c r="J9290">
        <v>0</v>
      </c>
      <c r="K9290" t="str">
        <f t="shared" si="1663"/>
        <v>813</v>
      </c>
      <c r="L9290">
        <v>1255.8</v>
      </c>
    </row>
    <row r="9291" spans="1:12" x14ac:dyDescent="0.25">
      <c r="A9291" t="str">
        <f t="shared" si="1664"/>
        <v>89301000</v>
      </c>
      <c r="B9291" t="str">
        <f t="shared" si="1661"/>
        <v>02004000</v>
      </c>
      <c r="C9291" t="str">
        <f t="shared" si="1662"/>
        <v>02004556</v>
      </c>
      <c r="D9291">
        <v>89301102</v>
      </c>
      <c r="E9291" t="str">
        <f>"1754070054"</f>
        <v>1754070054</v>
      </c>
      <c r="F9291" s="1">
        <v>45114</v>
      </c>
      <c r="G9291" t="str">
        <f>"91249"</f>
        <v>91249</v>
      </c>
      <c r="H9291">
        <v>1</v>
      </c>
      <c r="I9291">
        <v>1495</v>
      </c>
      <c r="J9291">
        <v>0</v>
      </c>
      <c r="K9291" t="str">
        <f t="shared" si="1663"/>
        <v>813</v>
      </c>
      <c r="L9291">
        <v>1255.8</v>
      </c>
    </row>
    <row r="9292" spans="1:12" x14ac:dyDescent="0.25">
      <c r="A9292" t="str">
        <f t="shared" si="1664"/>
        <v>89301000</v>
      </c>
      <c r="B9292" t="str">
        <f t="shared" si="1661"/>
        <v>02004000</v>
      </c>
      <c r="C9292" t="str">
        <f t="shared" si="1662"/>
        <v>02004556</v>
      </c>
      <c r="D9292">
        <v>89301102</v>
      </c>
      <c r="E9292" t="str">
        <f>"1754070054"</f>
        <v>1754070054</v>
      </c>
      <c r="F9292" s="1">
        <v>45114</v>
      </c>
      <c r="G9292" t="str">
        <f>"91251"</f>
        <v>91251</v>
      </c>
      <c r="H9292">
        <v>1</v>
      </c>
      <c r="I9292">
        <v>1495</v>
      </c>
      <c r="J9292">
        <v>0</v>
      </c>
      <c r="K9292" t="str">
        <f t="shared" si="1663"/>
        <v>813</v>
      </c>
      <c r="L9292">
        <v>1255.8</v>
      </c>
    </row>
    <row r="9293" spans="1:12" x14ac:dyDescent="0.25">
      <c r="A9293" t="str">
        <f t="shared" si="1664"/>
        <v>89301000</v>
      </c>
      <c r="B9293" t="str">
        <f>"90001000"</f>
        <v>90001000</v>
      </c>
      <c r="C9293" t="str">
        <f>"90001525"</f>
        <v>90001525</v>
      </c>
      <c r="D9293">
        <v>89301171</v>
      </c>
      <c r="E9293" t="str">
        <f>"0257095817"</f>
        <v>0257095817</v>
      </c>
      <c r="F9293" s="1">
        <v>45136</v>
      </c>
      <c r="G9293" t="str">
        <f>"89725"</f>
        <v>89725</v>
      </c>
      <c r="H9293">
        <v>1</v>
      </c>
      <c r="I9293">
        <v>2863</v>
      </c>
      <c r="J9293">
        <v>0</v>
      </c>
      <c r="K9293" t="str">
        <f>"809"</f>
        <v>809</v>
      </c>
      <c r="L9293">
        <v>1860.95</v>
      </c>
    </row>
    <row r="9294" spans="1:12" x14ac:dyDescent="0.25">
      <c r="A9294" t="str">
        <f t="shared" si="1664"/>
        <v>89301000</v>
      </c>
      <c r="B9294" t="str">
        <f>"90001000"</f>
        <v>90001000</v>
      </c>
      <c r="C9294" t="str">
        <f>"90001525"</f>
        <v>90001525</v>
      </c>
      <c r="D9294">
        <v>89301171</v>
      </c>
      <c r="E9294" t="str">
        <f>"0257095817"</f>
        <v>0257095817</v>
      </c>
      <c r="F9294" s="1">
        <v>45136</v>
      </c>
      <c r="G9294" t="str">
        <f>"89713"</f>
        <v>89713</v>
      </c>
      <c r="H9294">
        <v>1</v>
      </c>
      <c r="I9294">
        <v>5411</v>
      </c>
      <c r="J9294">
        <v>0</v>
      </c>
      <c r="K9294" t="str">
        <f>"809"</f>
        <v>809</v>
      </c>
      <c r="L9294">
        <v>3517.15</v>
      </c>
    </row>
    <row r="9295" spans="1:12" x14ac:dyDescent="0.25">
      <c r="A9295" t="str">
        <f t="shared" si="1664"/>
        <v>89301000</v>
      </c>
      <c r="B9295" t="str">
        <f t="shared" ref="B9295:B9311" si="1665">"05002000"</f>
        <v>05002000</v>
      </c>
      <c r="C9295" t="str">
        <f>"05002397"</f>
        <v>05002397</v>
      </c>
      <c r="D9295">
        <v>89301109</v>
      </c>
      <c r="E9295" t="str">
        <f>"0653313265"</f>
        <v>0653313265</v>
      </c>
      <c r="F9295" s="1">
        <v>45110</v>
      </c>
      <c r="G9295" t="str">
        <f>"94225"</f>
        <v>94225</v>
      </c>
      <c r="H9295">
        <v>2</v>
      </c>
      <c r="I9295">
        <v>2416</v>
      </c>
      <c r="J9295">
        <v>0</v>
      </c>
      <c r="K9295" t="str">
        <f>"818"</f>
        <v>818</v>
      </c>
      <c r="L9295">
        <v>2343.52</v>
      </c>
    </row>
    <row r="9296" spans="1:12" x14ac:dyDescent="0.25">
      <c r="A9296" t="str">
        <f t="shared" si="1664"/>
        <v>89301000</v>
      </c>
      <c r="B9296" t="str">
        <f t="shared" si="1665"/>
        <v>05002000</v>
      </c>
      <c r="C9296" t="str">
        <f>"05002397"</f>
        <v>05002397</v>
      </c>
      <c r="D9296">
        <v>89301109</v>
      </c>
      <c r="E9296" t="str">
        <f>"0653313265"</f>
        <v>0653313265</v>
      </c>
      <c r="F9296" s="1">
        <v>45110</v>
      </c>
      <c r="G9296" t="str">
        <f>"94195"</f>
        <v>94195</v>
      </c>
      <c r="H9296">
        <v>1</v>
      </c>
      <c r="I9296">
        <v>384</v>
      </c>
      <c r="J9296">
        <v>0</v>
      </c>
      <c r="K9296" t="str">
        <f>"818"</f>
        <v>818</v>
      </c>
      <c r="L9296">
        <v>372.48</v>
      </c>
    </row>
    <row r="9297" spans="1:12" x14ac:dyDescent="0.25">
      <c r="A9297" t="str">
        <f t="shared" si="1664"/>
        <v>89301000</v>
      </c>
      <c r="B9297" t="str">
        <f t="shared" si="1665"/>
        <v>05002000</v>
      </c>
      <c r="C9297" t="str">
        <f>"05002397"</f>
        <v>05002397</v>
      </c>
      <c r="D9297">
        <v>89301109</v>
      </c>
      <c r="E9297" t="str">
        <f>"0653313265"</f>
        <v>0653313265</v>
      </c>
      <c r="F9297" s="1">
        <v>45110</v>
      </c>
      <c r="G9297" t="str">
        <f>"94337"</f>
        <v>94337</v>
      </c>
      <c r="H9297">
        <v>3</v>
      </c>
      <c r="I9297">
        <v>26997</v>
      </c>
      <c r="J9297">
        <v>0</v>
      </c>
      <c r="K9297" t="str">
        <f>"818"</f>
        <v>818</v>
      </c>
      <c r="L9297">
        <v>26187.09</v>
      </c>
    </row>
    <row r="9298" spans="1:12" x14ac:dyDescent="0.25">
      <c r="A9298" t="str">
        <f t="shared" si="1664"/>
        <v>89301000</v>
      </c>
      <c r="B9298" t="str">
        <f t="shared" si="1665"/>
        <v>05002000</v>
      </c>
      <c r="C9298" t="str">
        <f>"05002141"</f>
        <v>05002141</v>
      </c>
      <c r="D9298">
        <v>89301282</v>
      </c>
      <c r="E9298" t="str">
        <f>"1954300161"</f>
        <v>1954300161</v>
      </c>
      <c r="F9298" s="1">
        <v>45118</v>
      </c>
      <c r="G9298" t="str">
        <f>"94984"</f>
        <v>94984</v>
      </c>
      <c r="H9298">
        <v>1</v>
      </c>
      <c r="I9298">
        <v>0</v>
      </c>
      <c r="J9298">
        <v>57200</v>
      </c>
      <c r="K9298" t="str">
        <f>"816"</f>
        <v>816</v>
      </c>
      <c r="L9298">
        <v>57200</v>
      </c>
    </row>
    <row r="9299" spans="1:12" x14ac:dyDescent="0.25">
      <c r="A9299" t="str">
        <f t="shared" si="1664"/>
        <v>89301000</v>
      </c>
      <c r="B9299" t="str">
        <f t="shared" si="1665"/>
        <v>05002000</v>
      </c>
      <c r="C9299" t="str">
        <f>"05002141"</f>
        <v>05002141</v>
      </c>
      <c r="D9299">
        <v>89301282</v>
      </c>
      <c r="E9299" t="str">
        <f>"1954300161"</f>
        <v>1954300161</v>
      </c>
      <c r="F9299" s="1">
        <v>45118</v>
      </c>
      <c r="G9299" t="str">
        <f>"94996"</f>
        <v>94996</v>
      </c>
      <c r="H9299">
        <v>1</v>
      </c>
      <c r="I9299">
        <v>0</v>
      </c>
      <c r="J9299">
        <v>0</v>
      </c>
      <c r="K9299" t="str">
        <f>"816"</f>
        <v>816</v>
      </c>
      <c r="L9299">
        <v>0</v>
      </c>
    </row>
    <row r="9300" spans="1:12" x14ac:dyDescent="0.25">
      <c r="A9300" t="str">
        <f t="shared" si="1664"/>
        <v>89301000</v>
      </c>
      <c r="B9300" t="str">
        <f t="shared" si="1665"/>
        <v>05002000</v>
      </c>
      <c r="C9300" t="str">
        <f>"05002141"</f>
        <v>05002141</v>
      </c>
      <c r="D9300">
        <v>89301282</v>
      </c>
      <c r="E9300" t="str">
        <f>"526024133"</f>
        <v>526024133</v>
      </c>
      <c r="F9300" s="1">
        <v>45120</v>
      </c>
      <c r="G9300" t="str">
        <f>"94331"</f>
        <v>94331</v>
      </c>
      <c r="H9300">
        <v>1</v>
      </c>
      <c r="I9300">
        <v>7866</v>
      </c>
      <c r="J9300">
        <v>0</v>
      </c>
      <c r="K9300" t="str">
        <f>"816"</f>
        <v>816</v>
      </c>
      <c r="L9300">
        <v>7079.4</v>
      </c>
    </row>
    <row r="9301" spans="1:12" x14ac:dyDescent="0.25">
      <c r="A9301" t="str">
        <f t="shared" si="1664"/>
        <v>89301000</v>
      </c>
      <c r="B9301" t="str">
        <f t="shared" si="1665"/>
        <v>05002000</v>
      </c>
      <c r="C9301" t="str">
        <f>"05002141"</f>
        <v>05002141</v>
      </c>
      <c r="D9301">
        <v>89301282</v>
      </c>
      <c r="E9301" t="str">
        <f>"6201041715"</f>
        <v>6201041715</v>
      </c>
      <c r="F9301" s="1">
        <v>45120</v>
      </c>
      <c r="G9301" t="str">
        <f>"94351"</f>
        <v>94351</v>
      </c>
      <c r="H9301">
        <v>9</v>
      </c>
      <c r="I9301">
        <v>15570</v>
      </c>
      <c r="J9301">
        <v>0</v>
      </c>
      <c r="K9301" t="str">
        <f>"816"</f>
        <v>816</v>
      </c>
      <c r="L9301">
        <v>14013</v>
      </c>
    </row>
    <row r="9302" spans="1:12" x14ac:dyDescent="0.25">
      <c r="A9302" t="str">
        <f t="shared" si="1664"/>
        <v>89301000</v>
      </c>
      <c r="B9302" t="str">
        <f t="shared" si="1665"/>
        <v>05002000</v>
      </c>
      <c r="C9302" t="str">
        <f>"05002141"</f>
        <v>05002141</v>
      </c>
      <c r="D9302">
        <v>89301282</v>
      </c>
      <c r="E9302" t="str">
        <f>"7653125777"</f>
        <v>7653125777</v>
      </c>
      <c r="F9302" s="1">
        <v>45120</v>
      </c>
      <c r="G9302" t="str">
        <f>"94331"</f>
        <v>94331</v>
      </c>
      <c r="H9302">
        <v>1</v>
      </c>
      <c r="I9302">
        <v>7866</v>
      </c>
      <c r="J9302">
        <v>0</v>
      </c>
      <c r="K9302" t="str">
        <f>"816"</f>
        <v>816</v>
      </c>
      <c r="L9302">
        <v>7079.4</v>
      </c>
    </row>
    <row r="9303" spans="1:12" x14ac:dyDescent="0.25">
      <c r="A9303" t="str">
        <f t="shared" si="1664"/>
        <v>89301000</v>
      </c>
      <c r="B9303" t="str">
        <f t="shared" si="1665"/>
        <v>05002000</v>
      </c>
      <c r="C9303" t="str">
        <f>"05002174"</f>
        <v>05002174</v>
      </c>
      <c r="D9303">
        <v>89301172</v>
      </c>
      <c r="E9303" t="str">
        <f>"9205184593"</f>
        <v>9205184593</v>
      </c>
      <c r="F9303" s="1">
        <v>45118</v>
      </c>
      <c r="G9303" t="str">
        <f>"85115"</f>
        <v>85115</v>
      </c>
      <c r="H9303">
        <v>1</v>
      </c>
      <c r="I9303">
        <v>2450</v>
      </c>
      <c r="J9303">
        <v>0</v>
      </c>
      <c r="K9303" t="str">
        <f>"802"</f>
        <v>802</v>
      </c>
      <c r="L9303">
        <v>2376.5</v>
      </c>
    </row>
    <row r="9304" spans="1:12" x14ac:dyDescent="0.25">
      <c r="A9304" t="str">
        <f t="shared" si="1664"/>
        <v>89301000</v>
      </c>
      <c r="B9304" t="str">
        <f t="shared" si="1665"/>
        <v>05002000</v>
      </c>
      <c r="C9304" t="str">
        <f t="shared" ref="C9304:C9310" si="1666">"05002397"</f>
        <v>05002397</v>
      </c>
      <c r="D9304">
        <v>89301109</v>
      </c>
      <c r="E9304" t="str">
        <f>"0905183224"</f>
        <v>0905183224</v>
      </c>
      <c r="F9304" s="1">
        <v>45103</v>
      </c>
      <c r="G9304" t="str">
        <f>"94225"</f>
        <v>94225</v>
      </c>
      <c r="H9304">
        <v>2</v>
      </c>
      <c r="I9304">
        <v>2416</v>
      </c>
      <c r="J9304">
        <v>0</v>
      </c>
      <c r="K9304" t="str">
        <f t="shared" ref="K9304:K9310" si="1667">"818"</f>
        <v>818</v>
      </c>
      <c r="L9304">
        <v>2343.52</v>
      </c>
    </row>
    <row r="9305" spans="1:12" x14ac:dyDescent="0.25">
      <c r="A9305" t="str">
        <f t="shared" si="1664"/>
        <v>89301000</v>
      </c>
      <c r="B9305" t="str">
        <f t="shared" si="1665"/>
        <v>05002000</v>
      </c>
      <c r="C9305" t="str">
        <f t="shared" si="1666"/>
        <v>05002397</v>
      </c>
      <c r="D9305">
        <v>89301109</v>
      </c>
      <c r="E9305" t="str">
        <f>"0905183224"</f>
        <v>0905183224</v>
      </c>
      <c r="F9305" s="1">
        <v>45103</v>
      </c>
      <c r="G9305" t="str">
        <f>"94195"</f>
        <v>94195</v>
      </c>
      <c r="H9305">
        <v>1</v>
      </c>
      <c r="I9305">
        <v>384</v>
      </c>
      <c r="J9305">
        <v>0</v>
      </c>
      <c r="K9305" t="str">
        <f t="shared" si="1667"/>
        <v>818</v>
      </c>
      <c r="L9305">
        <v>372.48</v>
      </c>
    </row>
    <row r="9306" spans="1:12" x14ac:dyDescent="0.25">
      <c r="A9306" t="str">
        <f t="shared" si="1664"/>
        <v>89301000</v>
      </c>
      <c r="B9306" t="str">
        <f t="shared" si="1665"/>
        <v>05002000</v>
      </c>
      <c r="C9306" t="str">
        <f t="shared" si="1666"/>
        <v>05002397</v>
      </c>
      <c r="D9306">
        <v>89301109</v>
      </c>
      <c r="E9306" t="str">
        <f>"0905183224"</f>
        <v>0905183224</v>
      </c>
      <c r="F9306" s="1">
        <v>45103</v>
      </c>
      <c r="G9306" t="str">
        <f>"94337"</f>
        <v>94337</v>
      </c>
      <c r="H9306">
        <v>3</v>
      </c>
      <c r="I9306">
        <v>26997</v>
      </c>
      <c r="J9306">
        <v>0</v>
      </c>
      <c r="K9306" t="str">
        <f t="shared" si="1667"/>
        <v>818</v>
      </c>
      <c r="L9306">
        <v>26187.09</v>
      </c>
    </row>
    <row r="9307" spans="1:12" x14ac:dyDescent="0.25">
      <c r="A9307" t="str">
        <f t="shared" si="1664"/>
        <v>89301000</v>
      </c>
      <c r="B9307" t="str">
        <f t="shared" si="1665"/>
        <v>05002000</v>
      </c>
      <c r="C9307" t="str">
        <f t="shared" si="1666"/>
        <v>05002397</v>
      </c>
      <c r="D9307">
        <v>89301109</v>
      </c>
      <c r="E9307" t="str">
        <f>"2109170943"</f>
        <v>2109170943</v>
      </c>
      <c r="F9307" s="1">
        <v>45107</v>
      </c>
      <c r="G9307" t="str">
        <f>"94225"</f>
        <v>94225</v>
      </c>
      <c r="H9307">
        <v>1</v>
      </c>
      <c r="I9307">
        <v>1208</v>
      </c>
      <c r="J9307">
        <v>0</v>
      </c>
      <c r="K9307" t="str">
        <f t="shared" si="1667"/>
        <v>818</v>
      </c>
      <c r="L9307">
        <v>1171.76</v>
      </c>
    </row>
    <row r="9308" spans="1:12" x14ac:dyDescent="0.25">
      <c r="A9308" t="str">
        <f t="shared" si="1664"/>
        <v>89301000</v>
      </c>
      <c r="B9308" t="str">
        <f t="shared" si="1665"/>
        <v>05002000</v>
      </c>
      <c r="C9308" t="str">
        <f t="shared" si="1666"/>
        <v>05002397</v>
      </c>
      <c r="D9308">
        <v>89301109</v>
      </c>
      <c r="E9308" t="str">
        <f>"2109170943"</f>
        <v>2109170943</v>
      </c>
      <c r="F9308" s="1">
        <v>45107</v>
      </c>
      <c r="G9308" t="str">
        <f>"94337"</f>
        <v>94337</v>
      </c>
      <c r="H9308">
        <v>2</v>
      </c>
      <c r="I9308">
        <v>17998</v>
      </c>
      <c r="J9308">
        <v>0</v>
      </c>
      <c r="K9308" t="str">
        <f t="shared" si="1667"/>
        <v>818</v>
      </c>
      <c r="L9308">
        <v>17458.060000000001</v>
      </c>
    </row>
    <row r="9309" spans="1:12" x14ac:dyDescent="0.25">
      <c r="A9309" t="str">
        <f t="shared" si="1664"/>
        <v>89301000</v>
      </c>
      <c r="B9309" t="str">
        <f t="shared" si="1665"/>
        <v>05002000</v>
      </c>
      <c r="C9309" t="str">
        <f t="shared" si="1666"/>
        <v>05002397</v>
      </c>
      <c r="D9309">
        <v>89301322</v>
      </c>
      <c r="E9309" t="str">
        <f>"6158040603"</f>
        <v>6158040603</v>
      </c>
      <c r="F9309" s="1">
        <v>45104</v>
      </c>
      <c r="G9309" t="str">
        <f>"94225"</f>
        <v>94225</v>
      </c>
      <c r="H9309">
        <v>1</v>
      </c>
      <c r="I9309">
        <v>1208</v>
      </c>
      <c r="J9309">
        <v>0</v>
      </c>
      <c r="K9309" t="str">
        <f t="shared" si="1667"/>
        <v>818</v>
      </c>
      <c r="L9309">
        <v>1171.76</v>
      </c>
    </row>
    <row r="9310" spans="1:12" x14ac:dyDescent="0.25">
      <c r="A9310" t="str">
        <f t="shared" si="1664"/>
        <v>89301000</v>
      </c>
      <c r="B9310" t="str">
        <f t="shared" si="1665"/>
        <v>05002000</v>
      </c>
      <c r="C9310" t="str">
        <f t="shared" si="1666"/>
        <v>05002397</v>
      </c>
      <c r="D9310">
        <v>89301322</v>
      </c>
      <c r="E9310" t="str">
        <f>"6158040603"</f>
        <v>6158040603</v>
      </c>
      <c r="F9310" s="1">
        <v>45104</v>
      </c>
      <c r="G9310" t="str">
        <f>"94337"</f>
        <v>94337</v>
      </c>
      <c r="H9310">
        <v>2</v>
      </c>
      <c r="I9310">
        <v>17998</v>
      </c>
      <c r="J9310">
        <v>0</v>
      </c>
      <c r="K9310" t="str">
        <f t="shared" si="1667"/>
        <v>818</v>
      </c>
      <c r="L9310">
        <v>17458.060000000001</v>
      </c>
    </row>
    <row r="9311" spans="1:12" x14ac:dyDescent="0.25">
      <c r="A9311" t="str">
        <f t="shared" si="1664"/>
        <v>89301000</v>
      </c>
      <c r="B9311" t="str">
        <f t="shared" si="1665"/>
        <v>05002000</v>
      </c>
      <c r="C9311" t="str">
        <f>"05002141"</f>
        <v>05002141</v>
      </c>
      <c r="D9311">
        <v>89301282</v>
      </c>
      <c r="E9311" t="str">
        <f>"8152215808"</f>
        <v>8152215808</v>
      </c>
      <c r="F9311" s="1">
        <v>45104</v>
      </c>
      <c r="G9311" t="str">
        <f>"94221"</f>
        <v>94221</v>
      </c>
      <c r="H9311">
        <v>1</v>
      </c>
      <c r="I9311">
        <v>2467</v>
      </c>
      <c r="J9311">
        <v>0</v>
      </c>
      <c r="K9311" t="str">
        <f>"816"</f>
        <v>816</v>
      </c>
      <c r="L9311">
        <v>2220.3000000000002</v>
      </c>
    </row>
    <row r="9312" spans="1:12" x14ac:dyDescent="0.25">
      <c r="A9312" t="str">
        <f t="shared" si="1664"/>
        <v>89301000</v>
      </c>
      <c r="B9312" t="str">
        <f>"91996600"</f>
        <v>91996600</v>
      </c>
      <c r="C9312" t="str">
        <f>"91996601"</f>
        <v>91996601</v>
      </c>
      <c r="D9312">
        <v>89301215</v>
      </c>
      <c r="E9312" t="str">
        <f>"5609231870"</f>
        <v>5609231870</v>
      </c>
      <c r="F9312" s="1">
        <v>45159</v>
      </c>
      <c r="G9312" t="str">
        <f>"87613"</f>
        <v>87613</v>
      </c>
      <c r="H9312">
        <v>1</v>
      </c>
      <c r="I9312">
        <v>436</v>
      </c>
      <c r="J9312">
        <v>0</v>
      </c>
      <c r="K9312" t="str">
        <f>"807"</f>
        <v>807</v>
      </c>
      <c r="L9312">
        <v>366.24</v>
      </c>
    </row>
    <row r="9313" spans="1:12" x14ac:dyDescent="0.25">
      <c r="A9313" t="str">
        <f t="shared" si="1664"/>
        <v>89301000</v>
      </c>
      <c r="B9313" t="str">
        <f>"91996600"</f>
        <v>91996600</v>
      </c>
      <c r="C9313" t="str">
        <f>"91996601"</f>
        <v>91996601</v>
      </c>
      <c r="D9313">
        <v>89301215</v>
      </c>
      <c r="E9313" t="str">
        <f>"5609231870"</f>
        <v>5609231870</v>
      </c>
      <c r="F9313" s="1">
        <v>45159</v>
      </c>
      <c r="G9313" t="str">
        <f>"87231"</f>
        <v>87231</v>
      </c>
      <c r="H9313">
        <v>2</v>
      </c>
      <c r="I9313">
        <v>762</v>
      </c>
      <c r="J9313">
        <v>0</v>
      </c>
      <c r="K9313" t="str">
        <f>"807"</f>
        <v>807</v>
      </c>
      <c r="L9313">
        <v>640.08000000000004</v>
      </c>
    </row>
    <row r="9314" spans="1:12" x14ac:dyDescent="0.25">
      <c r="A9314" t="str">
        <f t="shared" si="1664"/>
        <v>89301000</v>
      </c>
      <c r="B9314" t="str">
        <f>"91996600"</f>
        <v>91996600</v>
      </c>
      <c r="C9314" t="str">
        <f>"91996601"</f>
        <v>91996601</v>
      </c>
      <c r="D9314">
        <v>89301215</v>
      </c>
      <c r="E9314" t="str">
        <f>"5609231870"</f>
        <v>5609231870</v>
      </c>
      <c r="F9314" s="1">
        <v>45159</v>
      </c>
      <c r="G9314" t="str">
        <f>"99798"</f>
        <v>99798</v>
      </c>
      <c r="H9314">
        <v>1</v>
      </c>
      <c r="I9314">
        <v>3199</v>
      </c>
      <c r="J9314">
        <v>0</v>
      </c>
      <c r="K9314" t="str">
        <f>"807"</f>
        <v>807</v>
      </c>
      <c r="L9314">
        <v>2687.16</v>
      </c>
    </row>
    <row r="9315" spans="1:12" x14ac:dyDescent="0.25">
      <c r="A9315" t="str">
        <f t="shared" si="1664"/>
        <v>89301000</v>
      </c>
      <c r="B9315" t="str">
        <f>"91996600"</f>
        <v>91996600</v>
      </c>
      <c r="C9315" t="str">
        <f>"91996601"</f>
        <v>91996601</v>
      </c>
      <c r="D9315">
        <v>89301215</v>
      </c>
      <c r="E9315" t="str">
        <f>"5609231870"</f>
        <v>5609231870</v>
      </c>
      <c r="F9315" s="1">
        <v>45159</v>
      </c>
      <c r="G9315" t="str">
        <f>"87617"</f>
        <v>87617</v>
      </c>
      <c r="H9315">
        <v>1</v>
      </c>
      <c r="I9315">
        <v>3750</v>
      </c>
      <c r="J9315">
        <v>0</v>
      </c>
      <c r="K9315" t="str">
        <f>"807"</f>
        <v>807</v>
      </c>
      <c r="L9315">
        <v>3150</v>
      </c>
    </row>
    <row r="9316" spans="1:12" x14ac:dyDescent="0.25">
      <c r="A9316" t="str">
        <f t="shared" si="1664"/>
        <v>89301000</v>
      </c>
      <c r="B9316" t="str">
        <f t="shared" ref="B9316:B9347" si="1668">"78915000"</f>
        <v>78915000</v>
      </c>
      <c r="C9316" t="str">
        <f t="shared" ref="C9316:C9347" si="1669">"78915001"</f>
        <v>78915001</v>
      </c>
      <c r="D9316">
        <v>89301608</v>
      </c>
      <c r="E9316" t="str">
        <f>"0954168919"</f>
        <v>0954168919</v>
      </c>
      <c r="F9316" s="1">
        <v>45153</v>
      </c>
      <c r="G9316" t="str">
        <f>"09569"</f>
        <v>09569</v>
      </c>
      <c r="H9316">
        <v>1</v>
      </c>
      <c r="I9316">
        <v>0</v>
      </c>
      <c r="J9316">
        <v>0</v>
      </c>
      <c r="K9316" t="str">
        <f t="shared" ref="K9316:K9347" si="1670">"809"</f>
        <v>809</v>
      </c>
      <c r="L9316">
        <v>0</v>
      </c>
    </row>
    <row r="9317" spans="1:12" x14ac:dyDescent="0.25">
      <c r="A9317" t="str">
        <f t="shared" si="1664"/>
        <v>89301000</v>
      </c>
      <c r="B9317" t="str">
        <f t="shared" si="1668"/>
        <v>78915000</v>
      </c>
      <c r="C9317" t="str">
        <f t="shared" si="1669"/>
        <v>78915001</v>
      </c>
      <c r="D9317">
        <v>89301608</v>
      </c>
      <c r="E9317" t="str">
        <f>"0954168919"</f>
        <v>0954168919</v>
      </c>
      <c r="F9317" s="1">
        <v>45153</v>
      </c>
      <c r="G9317" t="str">
        <f>"89713"</f>
        <v>89713</v>
      </c>
      <c r="H9317">
        <v>1</v>
      </c>
      <c r="I9317">
        <v>5411</v>
      </c>
      <c r="J9317">
        <v>0</v>
      </c>
      <c r="K9317" t="str">
        <f t="shared" si="1670"/>
        <v>809</v>
      </c>
      <c r="L9317">
        <v>3517.15</v>
      </c>
    </row>
    <row r="9318" spans="1:12" x14ac:dyDescent="0.25">
      <c r="A9318" t="str">
        <f t="shared" si="1664"/>
        <v>89301000</v>
      </c>
      <c r="B9318" t="str">
        <f t="shared" si="1668"/>
        <v>78915000</v>
      </c>
      <c r="C9318" t="str">
        <f t="shared" si="1669"/>
        <v>78915001</v>
      </c>
      <c r="D9318">
        <v>89301045</v>
      </c>
      <c r="E9318" t="str">
        <f>"426207426"</f>
        <v>426207426</v>
      </c>
      <c r="F9318" s="1">
        <v>45168</v>
      </c>
      <c r="G9318" t="str">
        <f>"89715"</f>
        <v>89715</v>
      </c>
      <c r="H9318">
        <v>1</v>
      </c>
      <c r="I9318">
        <v>5523</v>
      </c>
      <c r="J9318">
        <v>0</v>
      </c>
      <c r="K9318" t="str">
        <f t="shared" si="1670"/>
        <v>809</v>
      </c>
      <c r="L9318">
        <v>3589.95</v>
      </c>
    </row>
    <row r="9319" spans="1:12" x14ac:dyDescent="0.25">
      <c r="A9319" t="str">
        <f t="shared" si="1664"/>
        <v>89301000</v>
      </c>
      <c r="B9319" t="str">
        <f t="shared" si="1668"/>
        <v>78915000</v>
      </c>
      <c r="C9319" t="str">
        <f t="shared" si="1669"/>
        <v>78915001</v>
      </c>
      <c r="D9319">
        <v>89301212</v>
      </c>
      <c r="E9319" t="str">
        <f>"5459073125"</f>
        <v>5459073125</v>
      </c>
      <c r="F9319" s="1">
        <v>45154</v>
      </c>
      <c r="G9319" t="str">
        <f>"89715"</f>
        <v>89715</v>
      </c>
      <c r="H9319">
        <v>1</v>
      </c>
      <c r="I9319">
        <v>5523</v>
      </c>
      <c r="J9319">
        <v>0</v>
      </c>
      <c r="K9319" t="str">
        <f t="shared" si="1670"/>
        <v>809</v>
      </c>
      <c r="L9319">
        <v>3589.95</v>
      </c>
    </row>
    <row r="9320" spans="1:12" x14ac:dyDescent="0.25">
      <c r="A9320" t="str">
        <f t="shared" si="1664"/>
        <v>89301000</v>
      </c>
      <c r="B9320" t="str">
        <f t="shared" si="1668"/>
        <v>78915000</v>
      </c>
      <c r="C9320" t="str">
        <f t="shared" si="1669"/>
        <v>78915001</v>
      </c>
      <c r="D9320">
        <v>89301212</v>
      </c>
      <c r="E9320" t="str">
        <f>"5459073125"</f>
        <v>5459073125</v>
      </c>
      <c r="F9320" s="1">
        <v>45154</v>
      </c>
      <c r="G9320" t="str">
        <f>"89725"</f>
        <v>89725</v>
      </c>
      <c r="H9320">
        <v>1</v>
      </c>
      <c r="I9320">
        <v>2863</v>
      </c>
      <c r="J9320">
        <v>0</v>
      </c>
      <c r="K9320" t="str">
        <f t="shared" si="1670"/>
        <v>809</v>
      </c>
      <c r="L9320">
        <v>1860.95</v>
      </c>
    </row>
    <row r="9321" spans="1:12" x14ac:dyDescent="0.25">
      <c r="A9321" t="str">
        <f t="shared" si="1664"/>
        <v>89301000</v>
      </c>
      <c r="B9321" t="str">
        <f t="shared" si="1668"/>
        <v>78915000</v>
      </c>
      <c r="C9321" t="str">
        <f t="shared" si="1669"/>
        <v>78915001</v>
      </c>
      <c r="D9321">
        <v>89301212</v>
      </c>
      <c r="E9321" t="str">
        <f>"5459073125"</f>
        <v>5459073125</v>
      </c>
      <c r="F9321" s="1">
        <v>45154</v>
      </c>
      <c r="G9321" t="str">
        <f>"0207733"</f>
        <v>0207733</v>
      </c>
      <c r="H9321">
        <v>1</v>
      </c>
      <c r="J9321">
        <v>2590.5300000000002</v>
      </c>
      <c r="K9321" t="str">
        <f t="shared" si="1670"/>
        <v>809</v>
      </c>
      <c r="L9321">
        <v>2590.5300000000002</v>
      </c>
    </row>
    <row r="9322" spans="1:12" x14ac:dyDescent="0.25">
      <c r="A9322" t="str">
        <f t="shared" si="1664"/>
        <v>89301000</v>
      </c>
      <c r="B9322" t="str">
        <f t="shared" si="1668"/>
        <v>78915000</v>
      </c>
      <c r="C9322" t="str">
        <f t="shared" si="1669"/>
        <v>78915001</v>
      </c>
      <c r="D9322">
        <v>89301062</v>
      </c>
      <c r="E9322" t="str">
        <f>"5701210416"</f>
        <v>5701210416</v>
      </c>
      <c r="F9322" s="1">
        <v>45148</v>
      </c>
      <c r="G9322" t="str">
        <f>"89713"</f>
        <v>89713</v>
      </c>
      <c r="H9322">
        <v>1</v>
      </c>
      <c r="I9322">
        <v>5411</v>
      </c>
      <c r="J9322">
        <v>0</v>
      </c>
      <c r="K9322" t="str">
        <f t="shared" si="1670"/>
        <v>809</v>
      </c>
      <c r="L9322">
        <v>3517.15</v>
      </c>
    </row>
    <row r="9323" spans="1:12" x14ac:dyDescent="0.25">
      <c r="A9323" t="str">
        <f t="shared" si="1664"/>
        <v>89301000</v>
      </c>
      <c r="B9323" t="str">
        <f t="shared" si="1668"/>
        <v>78915000</v>
      </c>
      <c r="C9323" t="str">
        <f t="shared" si="1669"/>
        <v>78915001</v>
      </c>
      <c r="D9323">
        <v>89301062</v>
      </c>
      <c r="E9323" t="str">
        <f>"5701210416"</f>
        <v>5701210416</v>
      </c>
      <c r="F9323" s="1">
        <v>45148</v>
      </c>
      <c r="G9323" t="str">
        <f>"89725"</f>
        <v>89725</v>
      </c>
      <c r="H9323">
        <v>1</v>
      </c>
      <c r="I9323">
        <v>2863</v>
      </c>
      <c r="J9323">
        <v>0</v>
      </c>
      <c r="K9323" t="str">
        <f t="shared" si="1670"/>
        <v>809</v>
      </c>
      <c r="L9323">
        <v>1860.95</v>
      </c>
    </row>
    <row r="9324" spans="1:12" x14ac:dyDescent="0.25">
      <c r="A9324" t="str">
        <f t="shared" si="1664"/>
        <v>89301000</v>
      </c>
      <c r="B9324" t="str">
        <f t="shared" si="1668"/>
        <v>78915000</v>
      </c>
      <c r="C9324" t="str">
        <f t="shared" si="1669"/>
        <v>78915001</v>
      </c>
      <c r="D9324">
        <v>89301062</v>
      </c>
      <c r="E9324" t="str">
        <f>"6210290944"</f>
        <v>6210290944</v>
      </c>
      <c r="F9324" s="1">
        <v>45159</v>
      </c>
      <c r="G9324" t="str">
        <f>"89713"</f>
        <v>89713</v>
      </c>
      <c r="H9324">
        <v>1</v>
      </c>
      <c r="I9324">
        <v>5411</v>
      </c>
      <c r="J9324">
        <v>0</v>
      </c>
      <c r="K9324" t="str">
        <f t="shared" si="1670"/>
        <v>809</v>
      </c>
      <c r="L9324">
        <v>3517.15</v>
      </c>
    </row>
    <row r="9325" spans="1:12" x14ac:dyDescent="0.25">
      <c r="A9325" t="str">
        <f t="shared" si="1664"/>
        <v>89301000</v>
      </c>
      <c r="B9325" t="str">
        <f t="shared" si="1668"/>
        <v>78915000</v>
      </c>
      <c r="C9325" t="str">
        <f t="shared" si="1669"/>
        <v>78915001</v>
      </c>
      <c r="D9325">
        <v>89301062</v>
      </c>
      <c r="E9325" t="str">
        <f>"6210290944"</f>
        <v>6210290944</v>
      </c>
      <c r="F9325" s="1">
        <v>45159</v>
      </c>
      <c r="G9325" t="str">
        <f>"89725"</f>
        <v>89725</v>
      </c>
      <c r="H9325">
        <v>1</v>
      </c>
      <c r="I9325">
        <v>2863</v>
      </c>
      <c r="J9325">
        <v>0</v>
      </c>
      <c r="K9325" t="str">
        <f t="shared" si="1670"/>
        <v>809</v>
      </c>
      <c r="L9325">
        <v>1860.95</v>
      </c>
    </row>
    <row r="9326" spans="1:12" x14ac:dyDescent="0.25">
      <c r="A9326" t="str">
        <f t="shared" si="1664"/>
        <v>89301000</v>
      </c>
      <c r="B9326" t="str">
        <f t="shared" si="1668"/>
        <v>78915000</v>
      </c>
      <c r="C9326" t="str">
        <f t="shared" si="1669"/>
        <v>78915001</v>
      </c>
      <c r="D9326">
        <v>89301112</v>
      </c>
      <c r="E9326" t="str">
        <f>"6351170210"</f>
        <v>6351170210</v>
      </c>
      <c r="F9326" s="1">
        <v>45145</v>
      </c>
      <c r="G9326" t="str">
        <f>"09569"</f>
        <v>09569</v>
      </c>
      <c r="H9326">
        <v>1</v>
      </c>
      <c r="I9326">
        <v>0</v>
      </c>
      <c r="J9326">
        <v>0</v>
      </c>
      <c r="K9326" t="str">
        <f t="shared" si="1670"/>
        <v>809</v>
      </c>
      <c r="L9326">
        <v>0</v>
      </c>
    </row>
    <row r="9327" spans="1:12" x14ac:dyDescent="0.25">
      <c r="A9327" t="str">
        <f t="shared" si="1664"/>
        <v>89301000</v>
      </c>
      <c r="B9327" t="str">
        <f t="shared" si="1668"/>
        <v>78915000</v>
      </c>
      <c r="C9327" t="str">
        <f t="shared" si="1669"/>
        <v>78915001</v>
      </c>
      <c r="D9327">
        <v>89301112</v>
      </c>
      <c r="E9327" t="str">
        <f>"6351170210"</f>
        <v>6351170210</v>
      </c>
      <c r="F9327" s="1">
        <v>45145</v>
      </c>
      <c r="G9327" t="str">
        <f>"89713"</f>
        <v>89713</v>
      </c>
      <c r="H9327">
        <v>1</v>
      </c>
      <c r="I9327">
        <v>5411</v>
      </c>
      <c r="J9327">
        <v>0</v>
      </c>
      <c r="K9327" t="str">
        <f t="shared" si="1670"/>
        <v>809</v>
      </c>
      <c r="L9327">
        <v>3517.15</v>
      </c>
    </row>
    <row r="9328" spans="1:12" x14ac:dyDescent="0.25">
      <c r="A9328" t="str">
        <f t="shared" si="1664"/>
        <v>89301000</v>
      </c>
      <c r="B9328" t="str">
        <f t="shared" si="1668"/>
        <v>78915000</v>
      </c>
      <c r="C9328" t="str">
        <f t="shared" si="1669"/>
        <v>78915001</v>
      </c>
      <c r="D9328">
        <v>89301606</v>
      </c>
      <c r="E9328" t="str">
        <f>"6358041426"</f>
        <v>6358041426</v>
      </c>
      <c r="F9328" s="1">
        <v>45146</v>
      </c>
      <c r="G9328" t="str">
        <f>"89713"</f>
        <v>89713</v>
      </c>
      <c r="H9328">
        <v>1</v>
      </c>
      <c r="I9328">
        <v>5411</v>
      </c>
      <c r="J9328">
        <v>0</v>
      </c>
      <c r="K9328" t="str">
        <f t="shared" si="1670"/>
        <v>809</v>
      </c>
      <c r="L9328">
        <v>3517.15</v>
      </c>
    </row>
    <row r="9329" spans="1:12" x14ac:dyDescent="0.25">
      <c r="A9329" t="str">
        <f t="shared" si="1664"/>
        <v>89301000</v>
      </c>
      <c r="B9329" t="str">
        <f t="shared" si="1668"/>
        <v>78915000</v>
      </c>
      <c r="C9329" t="str">
        <f t="shared" si="1669"/>
        <v>78915001</v>
      </c>
      <c r="D9329">
        <v>89301606</v>
      </c>
      <c r="E9329" t="str">
        <f>"6358041426"</f>
        <v>6358041426</v>
      </c>
      <c r="F9329" s="1">
        <v>45146</v>
      </c>
      <c r="G9329" t="str">
        <f>"89725"</f>
        <v>89725</v>
      </c>
      <c r="H9329">
        <v>1</v>
      </c>
      <c r="I9329">
        <v>2863</v>
      </c>
      <c r="J9329">
        <v>0</v>
      </c>
      <c r="K9329" t="str">
        <f t="shared" si="1670"/>
        <v>809</v>
      </c>
      <c r="L9329">
        <v>1860.95</v>
      </c>
    </row>
    <row r="9330" spans="1:12" x14ac:dyDescent="0.25">
      <c r="A9330" t="str">
        <f t="shared" si="1664"/>
        <v>89301000</v>
      </c>
      <c r="B9330" t="str">
        <f t="shared" si="1668"/>
        <v>78915000</v>
      </c>
      <c r="C9330" t="str">
        <f t="shared" si="1669"/>
        <v>78915001</v>
      </c>
      <c r="D9330">
        <v>89301062</v>
      </c>
      <c r="E9330" t="str">
        <f>"6556121506"</f>
        <v>6556121506</v>
      </c>
      <c r="F9330" s="1">
        <v>45141</v>
      </c>
      <c r="G9330" t="str">
        <f>"89713"</f>
        <v>89713</v>
      </c>
      <c r="H9330">
        <v>1</v>
      </c>
      <c r="I9330">
        <v>5411</v>
      </c>
      <c r="J9330">
        <v>0</v>
      </c>
      <c r="K9330" t="str">
        <f t="shared" si="1670"/>
        <v>809</v>
      </c>
      <c r="L9330">
        <v>3517.15</v>
      </c>
    </row>
    <row r="9331" spans="1:12" x14ac:dyDescent="0.25">
      <c r="A9331" t="str">
        <f t="shared" si="1664"/>
        <v>89301000</v>
      </c>
      <c r="B9331" t="str">
        <f t="shared" si="1668"/>
        <v>78915000</v>
      </c>
      <c r="C9331" t="str">
        <f t="shared" si="1669"/>
        <v>78915001</v>
      </c>
      <c r="D9331">
        <v>89301074</v>
      </c>
      <c r="E9331" t="str">
        <f>"6561142016"</f>
        <v>6561142016</v>
      </c>
      <c r="F9331" s="1">
        <v>45150</v>
      </c>
      <c r="G9331" t="str">
        <f>"89713"</f>
        <v>89713</v>
      </c>
      <c r="H9331">
        <v>1</v>
      </c>
      <c r="I9331">
        <v>5411</v>
      </c>
      <c r="J9331">
        <v>0</v>
      </c>
      <c r="K9331" t="str">
        <f t="shared" si="1670"/>
        <v>809</v>
      </c>
      <c r="L9331">
        <v>3517.15</v>
      </c>
    </row>
    <row r="9332" spans="1:12" x14ac:dyDescent="0.25">
      <c r="A9332" t="str">
        <f t="shared" si="1664"/>
        <v>89301000</v>
      </c>
      <c r="B9332" t="str">
        <f t="shared" si="1668"/>
        <v>78915000</v>
      </c>
      <c r="C9332" t="str">
        <f t="shared" si="1669"/>
        <v>78915001</v>
      </c>
      <c r="D9332">
        <v>89301062</v>
      </c>
      <c r="E9332" t="str">
        <f>"6651170317"</f>
        <v>6651170317</v>
      </c>
      <c r="F9332" s="1">
        <v>45149</v>
      </c>
      <c r="G9332" t="str">
        <f>"89713"</f>
        <v>89713</v>
      </c>
      <c r="H9332">
        <v>1</v>
      </c>
      <c r="I9332">
        <v>5411</v>
      </c>
      <c r="J9332">
        <v>0</v>
      </c>
      <c r="K9332" t="str">
        <f t="shared" si="1670"/>
        <v>809</v>
      </c>
      <c r="L9332">
        <v>3517.15</v>
      </c>
    </row>
    <row r="9333" spans="1:12" x14ac:dyDescent="0.25">
      <c r="A9333" t="str">
        <f t="shared" si="1664"/>
        <v>89301000</v>
      </c>
      <c r="B9333" t="str">
        <f t="shared" si="1668"/>
        <v>78915000</v>
      </c>
      <c r="C9333" t="str">
        <f t="shared" si="1669"/>
        <v>78915001</v>
      </c>
      <c r="D9333">
        <v>89301062</v>
      </c>
      <c r="E9333" t="str">
        <f>"6651170317"</f>
        <v>6651170317</v>
      </c>
      <c r="F9333" s="1">
        <v>45149</v>
      </c>
      <c r="G9333" t="str">
        <f>"89725"</f>
        <v>89725</v>
      </c>
      <c r="H9333">
        <v>1</v>
      </c>
      <c r="I9333">
        <v>2863</v>
      </c>
      <c r="J9333">
        <v>0</v>
      </c>
      <c r="K9333" t="str">
        <f t="shared" si="1670"/>
        <v>809</v>
      </c>
      <c r="L9333">
        <v>1860.95</v>
      </c>
    </row>
    <row r="9334" spans="1:12" x14ac:dyDescent="0.25">
      <c r="A9334" t="str">
        <f t="shared" si="1664"/>
        <v>89301000</v>
      </c>
      <c r="B9334" t="str">
        <f t="shared" si="1668"/>
        <v>78915000</v>
      </c>
      <c r="C9334" t="str">
        <f t="shared" si="1669"/>
        <v>78915001</v>
      </c>
      <c r="D9334">
        <v>89301062</v>
      </c>
      <c r="E9334" t="str">
        <f>"6662070118"</f>
        <v>6662070118</v>
      </c>
      <c r="F9334" s="1">
        <v>45163</v>
      </c>
      <c r="G9334" t="str">
        <f>"89713"</f>
        <v>89713</v>
      </c>
      <c r="H9334">
        <v>1</v>
      </c>
      <c r="I9334">
        <v>5411</v>
      </c>
      <c r="J9334">
        <v>0</v>
      </c>
      <c r="K9334" t="str">
        <f t="shared" si="1670"/>
        <v>809</v>
      </c>
      <c r="L9334">
        <v>3517.15</v>
      </c>
    </row>
    <row r="9335" spans="1:12" x14ac:dyDescent="0.25">
      <c r="A9335" t="str">
        <f t="shared" si="1664"/>
        <v>89301000</v>
      </c>
      <c r="B9335" t="str">
        <f t="shared" si="1668"/>
        <v>78915000</v>
      </c>
      <c r="C9335" t="str">
        <f t="shared" si="1669"/>
        <v>78915001</v>
      </c>
      <c r="D9335">
        <v>89301062</v>
      </c>
      <c r="E9335" t="str">
        <f>"6662070118"</f>
        <v>6662070118</v>
      </c>
      <c r="F9335" s="1">
        <v>45163</v>
      </c>
      <c r="G9335" t="str">
        <f>"89725"</f>
        <v>89725</v>
      </c>
      <c r="H9335">
        <v>1</v>
      </c>
      <c r="I9335">
        <v>2863</v>
      </c>
      <c r="J9335">
        <v>0</v>
      </c>
      <c r="K9335" t="str">
        <f t="shared" si="1670"/>
        <v>809</v>
      </c>
      <c r="L9335">
        <v>1860.95</v>
      </c>
    </row>
    <row r="9336" spans="1:12" x14ac:dyDescent="0.25">
      <c r="A9336" t="str">
        <f t="shared" si="1664"/>
        <v>89301000</v>
      </c>
      <c r="B9336" t="str">
        <f t="shared" si="1668"/>
        <v>78915000</v>
      </c>
      <c r="C9336" t="str">
        <f t="shared" si="1669"/>
        <v>78915001</v>
      </c>
      <c r="D9336">
        <v>89301062</v>
      </c>
      <c r="E9336" t="str">
        <f>"6753280754"</f>
        <v>6753280754</v>
      </c>
      <c r="F9336" s="1">
        <v>45145</v>
      </c>
      <c r="G9336" t="str">
        <f>"89713"</f>
        <v>89713</v>
      </c>
      <c r="H9336">
        <v>1</v>
      </c>
      <c r="I9336">
        <v>5411</v>
      </c>
      <c r="J9336">
        <v>0</v>
      </c>
      <c r="K9336" t="str">
        <f t="shared" si="1670"/>
        <v>809</v>
      </c>
      <c r="L9336">
        <v>3517.15</v>
      </c>
    </row>
    <row r="9337" spans="1:12" x14ac:dyDescent="0.25">
      <c r="A9337" t="str">
        <f t="shared" si="1664"/>
        <v>89301000</v>
      </c>
      <c r="B9337" t="str">
        <f t="shared" si="1668"/>
        <v>78915000</v>
      </c>
      <c r="C9337" t="str">
        <f t="shared" si="1669"/>
        <v>78915001</v>
      </c>
      <c r="D9337">
        <v>89301062</v>
      </c>
      <c r="E9337" t="str">
        <f>"6753280754"</f>
        <v>6753280754</v>
      </c>
      <c r="F9337" s="1">
        <v>45145</v>
      </c>
      <c r="G9337" t="str">
        <f>"89725"</f>
        <v>89725</v>
      </c>
      <c r="H9337">
        <v>1</v>
      </c>
      <c r="I9337">
        <v>2863</v>
      </c>
      <c r="J9337">
        <v>0</v>
      </c>
      <c r="K9337" t="str">
        <f t="shared" si="1670"/>
        <v>809</v>
      </c>
      <c r="L9337">
        <v>1860.95</v>
      </c>
    </row>
    <row r="9338" spans="1:12" x14ac:dyDescent="0.25">
      <c r="A9338" t="str">
        <f t="shared" si="1664"/>
        <v>89301000</v>
      </c>
      <c r="B9338" t="str">
        <f t="shared" si="1668"/>
        <v>78915000</v>
      </c>
      <c r="C9338" t="str">
        <f t="shared" si="1669"/>
        <v>78915001</v>
      </c>
      <c r="D9338">
        <v>89301112</v>
      </c>
      <c r="E9338" t="str">
        <f>"6901135351"</f>
        <v>6901135351</v>
      </c>
      <c r="F9338" s="1">
        <v>45168</v>
      </c>
      <c r="G9338" t="str">
        <f>"89713"</f>
        <v>89713</v>
      </c>
      <c r="H9338">
        <v>2</v>
      </c>
      <c r="I9338">
        <v>10822</v>
      </c>
      <c r="J9338">
        <v>0</v>
      </c>
      <c r="K9338" t="str">
        <f t="shared" si="1670"/>
        <v>809</v>
      </c>
      <c r="L9338">
        <v>7034.3</v>
      </c>
    </row>
    <row r="9339" spans="1:12" x14ac:dyDescent="0.25">
      <c r="A9339" t="str">
        <f t="shared" si="1664"/>
        <v>89301000</v>
      </c>
      <c r="B9339" t="str">
        <f t="shared" si="1668"/>
        <v>78915000</v>
      </c>
      <c r="C9339" t="str">
        <f t="shared" si="1669"/>
        <v>78915001</v>
      </c>
      <c r="D9339">
        <v>89301112</v>
      </c>
      <c r="E9339" t="str">
        <f>"6962155332"</f>
        <v>6962155332</v>
      </c>
      <c r="F9339" s="1">
        <v>45163</v>
      </c>
      <c r="G9339" t="str">
        <f>"09567"</f>
        <v>09567</v>
      </c>
      <c r="H9339">
        <v>1</v>
      </c>
      <c r="I9339">
        <v>0</v>
      </c>
      <c r="J9339">
        <v>0</v>
      </c>
      <c r="K9339" t="str">
        <f t="shared" si="1670"/>
        <v>809</v>
      </c>
      <c r="L9339">
        <v>0</v>
      </c>
    </row>
    <row r="9340" spans="1:12" x14ac:dyDescent="0.25">
      <c r="A9340" t="str">
        <f t="shared" si="1664"/>
        <v>89301000</v>
      </c>
      <c r="B9340" t="str">
        <f t="shared" si="1668"/>
        <v>78915000</v>
      </c>
      <c r="C9340" t="str">
        <f t="shared" si="1669"/>
        <v>78915001</v>
      </c>
      <c r="D9340">
        <v>89301112</v>
      </c>
      <c r="E9340" t="str">
        <f>"6962155332"</f>
        <v>6962155332</v>
      </c>
      <c r="F9340" s="1">
        <v>45163</v>
      </c>
      <c r="G9340" t="str">
        <f>"89713"</f>
        <v>89713</v>
      </c>
      <c r="H9340">
        <v>1</v>
      </c>
      <c r="I9340">
        <v>5411</v>
      </c>
      <c r="J9340">
        <v>0</v>
      </c>
      <c r="K9340" t="str">
        <f t="shared" si="1670"/>
        <v>809</v>
      </c>
      <c r="L9340">
        <v>3517.15</v>
      </c>
    </row>
    <row r="9341" spans="1:12" x14ac:dyDescent="0.25">
      <c r="A9341" t="str">
        <f t="shared" si="1664"/>
        <v>89301000</v>
      </c>
      <c r="B9341" t="str">
        <f t="shared" si="1668"/>
        <v>78915000</v>
      </c>
      <c r="C9341" t="str">
        <f t="shared" si="1669"/>
        <v>78915001</v>
      </c>
      <c r="D9341">
        <v>89301262</v>
      </c>
      <c r="E9341" t="str">
        <f>"7001074201"</f>
        <v>7001074201</v>
      </c>
      <c r="F9341" s="1">
        <v>45161</v>
      </c>
      <c r="G9341" t="str">
        <f>"09567"</f>
        <v>09567</v>
      </c>
      <c r="H9341">
        <v>1</v>
      </c>
      <c r="I9341">
        <v>0</v>
      </c>
      <c r="J9341">
        <v>0</v>
      </c>
      <c r="K9341" t="str">
        <f t="shared" si="1670"/>
        <v>809</v>
      </c>
      <c r="L9341">
        <v>0</v>
      </c>
    </row>
    <row r="9342" spans="1:12" x14ac:dyDescent="0.25">
      <c r="A9342" t="str">
        <f t="shared" si="1664"/>
        <v>89301000</v>
      </c>
      <c r="B9342" t="str">
        <f t="shared" si="1668"/>
        <v>78915000</v>
      </c>
      <c r="C9342" t="str">
        <f t="shared" si="1669"/>
        <v>78915001</v>
      </c>
      <c r="D9342">
        <v>89301262</v>
      </c>
      <c r="E9342" t="str">
        <f>"7001074201"</f>
        <v>7001074201</v>
      </c>
      <c r="F9342" s="1">
        <v>45161</v>
      </c>
      <c r="G9342" t="str">
        <f>"89713"</f>
        <v>89713</v>
      </c>
      <c r="H9342">
        <v>1</v>
      </c>
      <c r="I9342">
        <v>5411</v>
      </c>
      <c r="J9342">
        <v>0</v>
      </c>
      <c r="K9342" t="str">
        <f t="shared" si="1670"/>
        <v>809</v>
      </c>
      <c r="L9342">
        <v>3517.15</v>
      </c>
    </row>
    <row r="9343" spans="1:12" x14ac:dyDescent="0.25">
      <c r="A9343" t="str">
        <f t="shared" si="1664"/>
        <v>89301000</v>
      </c>
      <c r="B9343" t="str">
        <f t="shared" si="1668"/>
        <v>78915000</v>
      </c>
      <c r="C9343" t="str">
        <f t="shared" si="1669"/>
        <v>78915001</v>
      </c>
      <c r="D9343">
        <v>89301062</v>
      </c>
      <c r="E9343" t="str">
        <f>"7262315753"</f>
        <v>7262315753</v>
      </c>
      <c r="F9343" s="1">
        <v>45139</v>
      </c>
      <c r="G9343" t="str">
        <f>"89713"</f>
        <v>89713</v>
      </c>
      <c r="H9343">
        <v>1</v>
      </c>
      <c r="I9343">
        <v>5411</v>
      </c>
      <c r="J9343">
        <v>0</v>
      </c>
      <c r="K9343" t="str">
        <f t="shared" si="1670"/>
        <v>809</v>
      </c>
      <c r="L9343">
        <v>3517.15</v>
      </c>
    </row>
    <row r="9344" spans="1:12" x14ac:dyDescent="0.25">
      <c r="A9344" t="str">
        <f t="shared" si="1664"/>
        <v>89301000</v>
      </c>
      <c r="B9344" t="str">
        <f t="shared" si="1668"/>
        <v>78915000</v>
      </c>
      <c r="C9344" t="str">
        <f t="shared" si="1669"/>
        <v>78915001</v>
      </c>
      <c r="D9344">
        <v>89301062</v>
      </c>
      <c r="E9344" t="str">
        <f>"7262315753"</f>
        <v>7262315753</v>
      </c>
      <c r="F9344" s="1">
        <v>45139</v>
      </c>
      <c r="G9344" t="str">
        <f>"89725"</f>
        <v>89725</v>
      </c>
      <c r="H9344">
        <v>1</v>
      </c>
      <c r="I9344">
        <v>2863</v>
      </c>
      <c r="J9344">
        <v>0</v>
      </c>
      <c r="K9344" t="str">
        <f t="shared" si="1670"/>
        <v>809</v>
      </c>
      <c r="L9344">
        <v>1860.95</v>
      </c>
    </row>
    <row r="9345" spans="1:12" x14ac:dyDescent="0.25">
      <c r="A9345" t="str">
        <f t="shared" si="1664"/>
        <v>89301000</v>
      </c>
      <c r="B9345" t="str">
        <f t="shared" si="1668"/>
        <v>78915000</v>
      </c>
      <c r="C9345" t="str">
        <f t="shared" si="1669"/>
        <v>78915001</v>
      </c>
      <c r="D9345">
        <v>89301606</v>
      </c>
      <c r="E9345" t="str">
        <f>"7401245390"</f>
        <v>7401245390</v>
      </c>
      <c r="F9345" s="1">
        <v>45155</v>
      </c>
      <c r="G9345" t="str">
        <f>"89713"</f>
        <v>89713</v>
      </c>
      <c r="H9345">
        <v>1</v>
      </c>
      <c r="I9345">
        <v>5411</v>
      </c>
      <c r="J9345">
        <v>0</v>
      </c>
      <c r="K9345" t="str">
        <f t="shared" si="1670"/>
        <v>809</v>
      </c>
      <c r="L9345">
        <v>3517.15</v>
      </c>
    </row>
    <row r="9346" spans="1:12" x14ac:dyDescent="0.25">
      <c r="A9346" t="str">
        <f t="shared" ref="A9346:A9409" si="1671">"89301000"</f>
        <v>89301000</v>
      </c>
      <c r="B9346" t="str">
        <f t="shared" si="1668"/>
        <v>78915000</v>
      </c>
      <c r="C9346" t="str">
        <f t="shared" si="1669"/>
        <v>78915001</v>
      </c>
      <c r="D9346">
        <v>89301606</v>
      </c>
      <c r="E9346" t="str">
        <f>"7401245390"</f>
        <v>7401245390</v>
      </c>
      <c r="F9346" s="1">
        <v>45155</v>
      </c>
      <c r="G9346" t="str">
        <f>"89725"</f>
        <v>89725</v>
      </c>
      <c r="H9346">
        <v>1</v>
      </c>
      <c r="I9346">
        <v>2863</v>
      </c>
      <c r="J9346">
        <v>0</v>
      </c>
      <c r="K9346" t="str">
        <f t="shared" si="1670"/>
        <v>809</v>
      </c>
      <c r="L9346">
        <v>1860.95</v>
      </c>
    </row>
    <row r="9347" spans="1:12" x14ac:dyDescent="0.25">
      <c r="A9347" t="str">
        <f t="shared" si="1671"/>
        <v>89301000</v>
      </c>
      <c r="B9347" t="str">
        <f t="shared" si="1668"/>
        <v>78915000</v>
      </c>
      <c r="C9347" t="str">
        <f t="shared" si="1669"/>
        <v>78915001</v>
      </c>
      <c r="D9347">
        <v>89301112</v>
      </c>
      <c r="E9347" t="str">
        <f>"7504205379"</f>
        <v>7504205379</v>
      </c>
      <c r="F9347" s="1">
        <v>45153</v>
      </c>
      <c r="G9347" t="str">
        <f>"09567"</f>
        <v>09567</v>
      </c>
      <c r="H9347">
        <v>1</v>
      </c>
      <c r="I9347">
        <v>0</v>
      </c>
      <c r="J9347">
        <v>0</v>
      </c>
      <c r="K9347" t="str">
        <f t="shared" si="1670"/>
        <v>809</v>
      </c>
      <c r="L9347">
        <v>0</v>
      </c>
    </row>
    <row r="9348" spans="1:12" x14ac:dyDescent="0.25">
      <c r="A9348" t="str">
        <f t="shared" si="1671"/>
        <v>89301000</v>
      </c>
      <c r="B9348" t="str">
        <f t="shared" ref="B9348:B9375" si="1672">"78915000"</f>
        <v>78915000</v>
      </c>
      <c r="C9348" t="str">
        <f t="shared" ref="C9348:C9375" si="1673">"78915001"</f>
        <v>78915001</v>
      </c>
      <c r="D9348">
        <v>89301112</v>
      </c>
      <c r="E9348" t="str">
        <f>"7504205379"</f>
        <v>7504205379</v>
      </c>
      <c r="F9348" s="1">
        <v>45153</v>
      </c>
      <c r="G9348" t="str">
        <f>"89713"</f>
        <v>89713</v>
      </c>
      <c r="H9348">
        <v>1</v>
      </c>
      <c r="I9348">
        <v>5411</v>
      </c>
      <c r="J9348">
        <v>0</v>
      </c>
      <c r="K9348" t="str">
        <f t="shared" ref="K9348:K9379" si="1674">"809"</f>
        <v>809</v>
      </c>
      <c r="L9348">
        <v>3517.15</v>
      </c>
    </row>
    <row r="9349" spans="1:12" x14ac:dyDescent="0.25">
      <c r="A9349" t="str">
        <f t="shared" si="1671"/>
        <v>89301000</v>
      </c>
      <c r="B9349" t="str">
        <f t="shared" si="1672"/>
        <v>78915000</v>
      </c>
      <c r="C9349" t="str">
        <f t="shared" si="1673"/>
        <v>78915001</v>
      </c>
      <c r="D9349">
        <v>89301606</v>
      </c>
      <c r="E9349" t="str">
        <f>"7552015306"</f>
        <v>7552015306</v>
      </c>
      <c r="F9349" s="1">
        <v>45150</v>
      </c>
      <c r="G9349" t="str">
        <f>"89713"</f>
        <v>89713</v>
      </c>
      <c r="H9349">
        <v>1</v>
      </c>
      <c r="I9349">
        <v>5411</v>
      </c>
      <c r="J9349">
        <v>0</v>
      </c>
      <c r="K9349" t="str">
        <f t="shared" si="1674"/>
        <v>809</v>
      </c>
      <c r="L9349">
        <v>3517.15</v>
      </c>
    </row>
    <row r="9350" spans="1:12" x14ac:dyDescent="0.25">
      <c r="A9350" t="str">
        <f t="shared" si="1671"/>
        <v>89301000</v>
      </c>
      <c r="B9350" t="str">
        <f t="shared" si="1672"/>
        <v>78915000</v>
      </c>
      <c r="C9350" t="str">
        <f t="shared" si="1673"/>
        <v>78915001</v>
      </c>
      <c r="D9350">
        <v>89301606</v>
      </c>
      <c r="E9350" t="str">
        <f>"7552015306"</f>
        <v>7552015306</v>
      </c>
      <c r="F9350" s="1">
        <v>45150</v>
      </c>
      <c r="G9350" t="str">
        <f>"89725"</f>
        <v>89725</v>
      </c>
      <c r="H9350">
        <v>1</v>
      </c>
      <c r="I9350">
        <v>2863</v>
      </c>
      <c r="J9350">
        <v>0</v>
      </c>
      <c r="K9350" t="str">
        <f t="shared" si="1674"/>
        <v>809</v>
      </c>
      <c r="L9350">
        <v>1860.95</v>
      </c>
    </row>
    <row r="9351" spans="1:12" x14ac:dyDescent="0.25">
      <c r="A9351" t="str">
        <f t="shared" si="1671"/>
        <v>89301000</v>
      </c>
      <c r="B9351" t="str">
        <f t="shared" si="1672"/>
        <v>78915000</v>
      </c>
      <c r="C9351" t="str">
        <f t="shared" si="1673"/>
        <v>78915001</v>
      </c>
      <c r="D9351">
        <v>89301112</v>
      </c>
      <c r="E9351" t="str">
        <f>"7557055308"</f>
        <v>7557055308</v>
      </c>
      <c r="F9351" s="1">
        <v>45160</v>
      </c>
      <c r="G9351" t="str">
        <f>"89713"</f>
        <v>89713</v>
      </c>
      <c r="H9351">
        <v>1</v>
      </c>
      <c r="I9351">
        <v>5411</v>
      </c>
      <c r="J9351">
        <v>0</v>
      </c>
      <c r="K9351" t="str">
        <f t="shared" si="1674"/>
        <v>809</v>
      </c>
      <c r="L9351">
        <v>3517.15</v>
      </c>
    </row>
    <row r="9352" spans="1:12" x14ac:dyDescent="0.25">
      <c r="A9352" t="str">
        <f t="shared" si="1671"/>
        <v>89301000</v>
      </c>
      <c r="B9352" t="str">
        <f t="shared" si="1672"/>
        <v>78915000</v>
      </c>
      <c r="C9352" t="str">
        <f t="shared" si="1673"/>
        <v>78915001</v>
      </c>
      <c r="D9352">
        <v>89301112</v>
      </c>
      <c r="E9352" t="str">
        <f>"7557055308"</f>
        <v>7557055308</v>
      </c>
      <c r="F9352" s="1">
        <v>45160</v>
      </c>
      <c r="G9352" t="str">
        <f>"89725"</f>
        <v>89725</v>
      </c>
      <c r="H9352">
        <v>1</v>
      </c>
      <c r="I9352">
        <v>2863</v>
      </c>
      <c r="J9352">
        <v>0</v>
      </c>
      <c r="K9352" t="str">
        <f t="shared" si="1674"/>
        <v>809</v>
      </c>
      <c r="L9352">
        <v>1860.95</v>
      </c>
    </row>
    <row r="9353" spans="1:12" x14ac:dyDescent="0.25">
      <c r="A9353" t="str">
        <f t="shared" si="1671"/>
        <v>89301000</v>
      </c>
      <c r="B9353" t="str">
        <f t="shared" si="1672"/>
        <v>78915000</v>
      </c>
      <c r="C9353" t="str">
        <f t="shared" si="1673"/>
        <v>78915001</v>
      </c>
      <c r="D9353">
        <v>89301062</v>
      </c>
      <c r="E9353" t="str">
        <f>"7658124463"</f>
        <v>7658124463</v>
      </c>
      <c r="F9353" s="1">
        <v>45154</v>
      </c>
      <c r="G9353" t="str">
        <f>"89713"</f>
        <v>89713</v>
      </c>
      <c r="H9353">
        <v>1</v>
      </c>
      <c r="I9353">
        <v>5411</v>
      </c>
      <c r="J9353">
        <v>0</v>
      </c>
      <c r="K9353" t="str">
        <f t="shared" si="1674"/>
        <v>809</v>
      </c>
      <c r="L9353">
        <v>3517.15</v>
      </c>
    </row>
    <row r="9354" spans="1:12" x14ac:dyDescent="0.25">
      <c r="A9354" t="str">
        <f t="shared" si="1671"/>
        <v>89301000</v>
      </c>
      <c r="B9354" t="str">
        <f t="shared" si="1672"/>
        <v>78915000</v>
      </c>
      <c r="C9354" t="str">
        <f t="shared" si="1673"/>
        <v>78915001</v>
      </c>
      <c r="D9354">
        <v>89301062</v>
      </c>
      <c r="E9354" t="str">
        <f>"7658124463"</f>
        <v>7658124463</v>
      </c>
      <c r="F9354" s="1">
        <v>45154</v>
      </c>
      <c r="G9354" t="str">
        <f>"89725"</f>
        <v>89725</v>
      </c>
      <c r="H9354">
        <v>1</v>
      </c>
      <c r="I9354">
        <v>2863</v>
      </c>
      <c r="J9354">
        <v>0</v>
      </c>
      <c r="K9354" t="str">
        <f t="shared" si="1674"/>
        <v>809</v>
      </c>
      <c r="L9354">
        <v>1860.95</v>
      </c>
    </row>
    <row r="9355" spans="1:12" x14ac:dyDescent="0.25">
      <c r="A9355" t="str">
        <f t="shared" si="1671"/>
        <v>89301000</v>
      </c>
      <c r="B9355" t="str">
        <f t="shared" si="1672"/>
        <v>78915000</v>
      </c>
      <c r="C9355" t="str">
        <f t="shared" si="1673"/>
        <v>78915001</v>
      </c>
      <c r="D9355">
        <v>89301215</v>
      </c>
      <c r="E9355" t="str">
        <f>"7858025329"</f>
        <v>7858025329</v>
      </c>
      <c r="F9355" s="1">
        <v>45161</v>
      </c>
      <c r="G9355" t="str">
        <f>"89715"</f>
        <v>89715</v>
      </c>
      <c r="H9355">
        <v>1</v>
      </c>
      <c r="I9355">
        <v>5523</v>
      </c>
      <c r="J9355">
        <v>0</v>
      </c>
      <c r="K9355" t="str">
        <f t="shared" si="1674"/>
        <v>809</v>
      </c>
      <c r="L9355">
        <v>3589.95</v>
      </c>
    </row>
    <row r="9356" spans="1:12" x14ac:dyDescent="0.25">
      <c r="A9356" t="str">
        <f t="shared" si="1671"/>
        <v>89301000</v>
      </c>
      <c r="B9356" t="str">
        <f t="shared" si="1672"/>
        <v>78915000</v>
      </c>
      <c r="C9356" t="str">
        <f t="shared" si="1673"/>
        <v>78915001</v>
      </c>
      <c r="D9356">
        <v>89301215</v>
      </c>
      <c r="E9356" t="str">
        <f>"7858025329"</f>
        <v>7858025329</v>
      </c>
      <c r="F9356" s="1">
        <v>45161</v>
      </c>
      <c r="G9356" t="str">
        <f>"89725"</f>
        <v>89725</v>
      </c>
      <c r="H9356">
        <v>1</v>
      </c>
      <c r="I9356">
        <v>2863</v>
      </c>
      <c r="J9356">
        <v>0</v>
      </c>
      <c r="K9356" t="str">
        <f t="shared" si="1674"/>
        <v>809</v>
      </c>
      <c r="L9356">
        <v>1860.95</v>
      </c>
    </row>
    <row r="9357" spans="1:12" x14ac:dyDescent="0.25">
      <c r="A9357" t="str">
        <f t="shared" si="1671"/>
        <v>89301000</v>
      </c>
      <c r="B9357" t="str">
        <f t="shared" si="1672"/>
        <v>78915000</v>
      </c>
      <c r="C9357" t="str">
        <f t="shared" si="1673"/>
        <v>78915001</v>
      </c>
      <c r="D9357">
        <v>89301215</v>
      </c>
      <c r="E9357" t="str">
        <f>"7858025329"</f>
        <v>7858025329</v>
      </c>
      <c r="F9357" s="1">
        <v>45161</v>
      </c>
      <c r="G9357" t="str">
        <f>"0207733"</f>
        <v>0207733</v>
      </c>
      <c r="H9357">
        <v>1</v>
      </c>
      <c r="J9357">
        <v>2590.5300000000002</v>
      </c>
      <c r="K9357" t="str">
        <f t="shared" si="1674"/>
        <v>809</v>
      </c>
      <c r="L9357">
        <v>2590.5300000000002</v>
      </c>
    </row>
    <row r="9358" spans="1:12" x14ac:dyDescent="0.25">
      <c r="A9358" t="str">
        <f t="shared" si="1671"/>
        <v>89301000</v>
      </c>
      <c r="B9358" t="str">
        <f t="shared" si="1672"/>
        <v>78915000</v>
      </c>
      <c r="C9358" t="str">
        <f t="shared" si="1673"/>
        <v>78915001</v>
      </c>
      <c r="D9358">
        <v>89301062</v>
      </c>
      <c r="E9358" t="str">
        <f>"7955124683"</f>
        <v>7955124683</v>
      </c>
      <c r="F9358" s="1">
        <v>45166</v>
      </c>
      <c r="G9358" t="str">
        <f>"89713"</f>
        <v>89713</v>
      </c>
      <c r="H9358">
        <v>1</v>
      </c>
      <c r="I9358">
        <v>5411</v>
      </c>
      <c r="J9358">
        <v>0</v>
      </c>
      <c r="K9358" t="str">
        <f t="shared" si="1674"/>
        <v>809</v>
      </c>
      <c r="L9358">
        <v>3517.15</v>
      </c>
    </row>
    <row r="9359" spans="1:12" x14ac:dyDescent="0.25">
      <c r="A9359" t="str">
        <f t="shared" si="1671"/>
        <v>89301000</v>
      </c>
      <c r="B9359" t="str">
        <f t="shared" si="1672"/>
        <v>78915000</v>
      </c>
      <c r="C9359" t="str">
        <f t="shared" si="1673"/>
        <v>78915001</v>
      </c>
      <c r="D9359">
        <v>89301062</v>
      </c>
      <c r="E9359" t="str">
        <f>"7955124683"</f>
        <v>7955124683</v>
      </c>
      <c r="F9359" s="1">
        <v>45166</v>
      </c>
      <c r="G9359" t="str">
        <f>"89725"</f>
        <v>89725</v>
      </c>
      <c r="H9359">
        <v>1</v>
      </c>
      <c r="I9359">
        <v>2863</v>
      </c>
      <c r="J9359">
        <v>0</v>
      </c>
      <c r="K9359" t="str">
        <f t="shared" si="1674"/>
        <v>809</v>
      </c>
      <c r="L9359">
        <v>1860.95</v>
      </c>
    </row>
    <row r="9360" spans="1:12" x14ac:dyDescent="0.25">
      <c r="A9360" t="str">
        <f t="shared" si="1671"/>
        <v>89301000</v>
      </c>
      <c r="B9360" t="str">
        <f t="shared" si="1672"/>
        <v>78915000</v>
      </c>
      <c r="C9360" t="str">
        <f t="shared" si="1673"/>
        <v>78915001</v>
      </c>
      <c r="D9360">
        <v>89301292</v>
      </c>
      <c r="E9360" t="str">
        <f>"8056215310"</f>
        <v>8056215310</v>
      </c>
      <c r="F9360" s="1">
        <v>45161</v>
      </c>
      <c r="G9360" t="str">
        <f>"89715"</f>
        <v>89715</v>
      </c>
      <c r="H9360">
        <v>1</v>
      </c>
      <c r="I9360">
        <v>5523</v>
      </c>
      <c r="J9360">
        <v>0</v>
      </c>
      <c r="K9360" t="str">
        <f t="shared" si="1674"/>
        <v>809</v>
      </c>
      <c r="L9360">
        <v>3589.95</v>
      </c>
    </row>
    <row r="9361" spans="1:12" x14ac:dyDescent="0.25">
      <c r="A9361" t="str">
        <f t="shared" si="1671"/>
        <v>89301000</v>
      </c>
      <c r="B9361" t="str">
        <f t="shared" si="1672"/>
        <v>78915000</v>
      </c>
      <c r="C9361" t="str">
        <f t="shared" si="1673"/>
        <v>78915001</v>
      </c>
      <c r="D9361">
        <v>89301292</v>
      </c>
      <c r="E9361" t="str">
        <f>"8056215310"</f>
        <v>8056215310</v>
      </c>
      <c r="F9361" s="1">
        <v>45161</v>
      </c>
      <c r="G9361" t="str">
        <f>"89725"</f>
        <v>89725</v>
      </c>
      <c r="H9361">
        <v>1</v>
      </c>
      <c r="I9361">
        <v>2863</v>
      </c>
      <c r="J9361">
        <v>0</v>
      </c>
      <c r="K9361" t="str">
        <f t="shared" si="1674"/>
        <v>809</v>
      </c>
      <c r="L9361">
        <v>1860.95</v>
      </c>
    </row>
    <row r="9362" spans="1:12" x14ac:dyDescent="0.25">
      <c r="A9362" t="str">
        <f t="shared" si="1671"/>
        <v>89301000</v>
      </c>
      <c r="B9362" t="str">
        <f t="shared" si="1672"/>
        <v>78915000</v>
      </c>
      <c r="C9362" t="str">
        <f t="shared" si="1673"/>
        <v>78915001</v>
      </c>
      <c r="D9362">
        <v>89301292</v>
      </c>
      <c r="E9362" t="str">
        <f>"8056215310"</f>
        <v>8056215310</v>
      </c>
      <c r="F9362" s="1">
        <v>45161</v>
      </c>
      <c r="G9362" t="str">
        <f>"0207733"</f>
        <v>0207733</v>
      </c>
      <c r="H9362">
        <v>1.1299999999999999</v>
      </c>
      <c r="J9362">
        <v>2927.3</v>
      </c>
      <c r="K9362" t="str">
        <f t="shared" si="1674"/>
        <v>809</v>
      </c>
      <c r="L9362">
        <v>2927.3</v>
      </c>
    </row>
    <row r="9363" spans="1:12" x14ac:dyDescent="0.25">
      <c r="A9363" t="str">
        <f t="shared" si="1671"/>
        <v>89301000</v>
      </c>
      <c r="B9363" t="str">
        <f t="shared" si="1672"/>
        <v>78915000</v>
      </c>
      <c r="C9363" t="str">
        <f t="shared" si="1673"/>
        <v>78915001</v>
      </c>
      <c r="D9363">
        <v>89301312</v>
      </c>
      <c r="E9363" t="str">
        <f>"8062275309"</f>
        <v>8062275309</v>
      </c>
      <c r="F9363" s="1">
        <v>45143</v>
      </c>
      <c r="G9363" t="str">
        <f>"09569"</f>
        <v>09569</v>
      </c>
      <c r="H9363">
        <v>1</v>
      </c>
      <c r="I9363">
        <v>0</v>
      </c>
      <c r="J9363">
        <v>0</v>
      </c>
      <c r="K9363" t="str">
        <f t="shared" si="1674"/>
        <v>809</v>
      </c>
      <c r="L9363">
        <v>0</v>
      </c>
    </row>
    <row r="9364" spans="1:12" x14ac:dyDescent="0.25">
      <c r="A9364" t="str">
        <f t="shared" si="1671"/>
        <v>89301000</v>
      </c>
      <c r="B9364" t="str">
        <f t="shared" si="1672"/>
        <v>78915000</v>
      </c>
      <c r="C9364" t="str">
        <f t="shared" si="1673"/>
        <v>78915001</v>
      </c>
      <c r="D9364">
        <v>89301312</v>
      </c>
      <c r="E9364" t="str">
        <f>"8062275309"</f>
        <v>8062275309</v>
      </c>
      <c r="F9364" s="1">
        <v>45143</v>
      </c>
      <c r="G9364" t="str">
        <f>"89713"</f>
        <v>89713</v>
      </c>
      <c r="H9364">
        <v>1</v>
      </c>
      <c r="I9364">
        <v>5411</v>
      </c>
      <c r="J9364">
        <v>0</v>
      </c>
      <c r="K9364" t="str">
        <f t="shared" si="1674"/>
        <v>809</v>
      </c>
      <c r="L9364">
        <v>3517.15</v>
      </c>
    </row>
    <row r="9365" spans="1:12" x14ac:dyDescent="0.25">
      <c r="A9365" t="str">
        <f t="shared" si="1671"/>
        <v>89301000</v>
      </c>
      <c r="B9365" t="str">
        <f t="shared" si="1672"/>
        <v>78915000</v>
      </c>
      <c r="C9365" t="str">
        <f t="shared" si="1673"/>
        <v>78915001</v>
      </c>
      <c r="D9365">
        <v>89301062</v>
      </c>
      <c r="E9365" t="str">
        <f>"8259085351"</f>
        <v>8259085351</v>
      </c>
      <c r="F9365" s="1">
        <v>45145</v>
      </c>
      <c r="G9365" t="str">
        <f>"89713"</f>
        <v>89713</v>
      </c>
      <c r="H9365">
        <v>1</v>
      </c>
      <c r="I9365">
        <v>5411</v>
      </c>
      <c r="J9365">
        <v>0</v>
      </c>
      <c r="K9365" t="str">
        <f t="shared" si="1674"/>
        <v>809</v>
      </c>
      <c r="L9365">
        <v>3517.15</v>
      </c>
    </row>
    <row r="9366" spans="1:12" x14ac:dyDescent="0.25">
      <c r="A9366" t="str">
        <f t="shared" si="1671"/>
        <v>89301000</v>
      </c>
      <c r="B9366" t="str">
        <f t="shared" si="1672"/>
        <v>78915000</v>
      </c>
      <c r="C9366" t="str">
        <f t="shared" si="1673"/>
        <v>78915001</v>
      </c>
      <c r="D9366">
        <v>89301062</v>
      </c>
      <c r="E9366" t="str">
        <f>"8259085351"</f>
        <v>8259085351</v>
      </c>
      <c r="F9366" s="1">
        <v>45145</v>
      </c>
      <c r="G9366" t="str">
        <f>"89725"</f>
        <v>89725</v>
      </c>
      <c r="H9366">
        <v>1</v>
      </c>
      <c r="I9366">
        <v>2863</v>
      </c>
      <c r="J9366">
        <v>0</v>
      </c>
      <c r="K9366" t="str">
        <f t="shared" si="1674"/>
        <v>809</v>
      </c>
      <c r="L9366">
        <v>1860.95</v>
      </c>
    </row>
    <row r="9367" spans="1:12" x14ac:dyDescent="0.25">
      <c r="A9367" t="str">
        <f t="shared" si="1671"/>
        <v>89301000</v>
      </c>
      <c r="B9367" t="str">
        <f t="shared" si="1672"/>
        <v>78915000</v>
      </c>
      <c r="C9367" t="str">
        <f t="shared" si="1673"/>
        <v>78915001</v>
      </c>
      <c r="D9367">
        <v>89301606</v>
      </c>
      <c r="E9367" t="str">
        <f>"9053035706"</f>
        <v>9053035706</v>
      </c>
      <c r="F9367" s="1">
        <v>45159</v>
      </c>
      <c r="G9367" t="str">
        <f>"89713"</f>
        <v>89713</v>
      </c>
      <c r="H9367">
        <v>1</v>
      </c>
      <c r="I9367">
        <v>5411</v>
      </c>
      <c r="J9367">
        <v>0</v>
      </c>
      <c r="K9367" t="str">
        <f t="shared" si="1674"/>
        <v>809</v>
      </c>
      <c r="L9367">
        <v>3517.15</v>
      </c>
    </row>
    <row r="9368" spans="1:12" x14ac:dyDescent="0.25">
      <c r="A9368" t="str">
        <f t="shared" si="1671"/>
        <v>89301000</v>
      </c>
      <c r="B9368" t="str">
        <f t="shared" si="1672"/>
        <v>78915000</v>
      </c>
      <c r="C9368" t="str">
        <f t="shared" si="1673"/>
        <v>78915001</v>
      </c>
      <c r="D9368">
        <v>89301606</v>
      </c>
      <c r="E9368" t="str">
        <f>"9053035706"</f>
        <v>9053035706</v>
      </c>
      <c r="F9368" s="1">
        <v>45159</v>
      </c>
      <c r="G9368" t="str">
        <f>"89725"</f>
        <v>89725</v>
      </c>
      <c r="H9368">
        <v>1</v>
      </c>
      <c r="I9368">
        <v>2863</v>
      </c>
      <c r="J9368">
        <v>0</v>
      </c>
      <c r="K9368" t="str">
        <f t="shared" si="1674"/>
        <v>809</v>
      </c>
      <c r="L9368">
        <v>1860.95</v>
      </c>
    </row>
    <row r="9369" spans="1:12" x14ac:dyDescent="0.25">
      <c r="A9369" t="str">
        <f t="shared" si="1671"/>
        <v>89301000</v>
      </c>
      <c r="B9369" t="str">
        <f t="shared" si="1672"/>
        <v>78915000</v>
      </c>
      <c r="C9369" t="str">
        <f t="shared" si="1673"/>
        <v>78915001</v>
      </c>
      <c r="D9369">
        <v>89301606</v>
      </c>
      <c r="E9369" t="str">
        <f>"9258095715"</f>
        <v>9258095715</v>
      </c>
      <c r="F9369" s="1">
        <v>45168</v>
      </c>
      <c r="G9369" t="str">
        <f>"89713"</f>
        <v>89713</v>
      </c>
      <c r="H9369">
        <v>1</v>
      </c>
      <c r="I9369">
        <v>5411</v>
      </c>
      <c r="J9369">
        <v>0</v>
      </c>
      <c r="K9369" t="str">
        <f t="shared" si="1674"/>
        <v>809</v>
      </c>
      <c r="L9369">
        <v>3517.15</v>
      </c>
    </row>
    <row r="9370" spans="1:12" x14ac:dyDescent="0.25">
      <c r="A9370" t="str">
        <f t="shared" si="1671"/>
        <v>89301000</v>
      </c>
      <c r="B9370" t="str">
        <f t="shared" si="1672"/>
        <v>78915000</v>
      </c>
      <c r="C9370" t="str">
        <f t="shared" si="1673"/>
        <v>78915001</v>
      </c>
      <c r="D9370">
        <v>89301606</v>
      </c>
      <c r="E9370" t="str">
        <f>"9258095715"</f>
        <v>9258095715</v>
      </c>
      <c r="F9370" s="1">
        <v>45168</v>
      </c>
      <c r="G9370" t="str">
        <f>"89723"</f>
        <v>89723</v>
      </c>
      <c r="H9370">
        <v>1</v>
      </c>
      <c r="I9370">
        <v>5940</v>
      </c>
      <c r="J9370">
        <v>0</v>
      </c>
      <c r="K9370" t="str">
        <f t="shared" si="1674"/>
        <v>809</v>
      </c>
      <c r="L9370">
        <v>3861</v>
      </c>
    </row>
    <row r="9371" spans="1:12" x14ac:dyDescent="0.25">
      <c r="A9371" t="str">
        <f t="shared" si="1671"/>
        <v>89301000</v>
      </c>
      <c r="B9371" t="str">
        <f t="shared" si="1672"/>
        <v>78915000</v>
      </c>
      <c r="C9371" t="str">
        <f t="shared" si="1673"/>
        <v>78915001</v>
      </c>
      <c r="D9371">
        <v>89301606</v>
      </c>
      <c r="E9371" t="str">
        <f>"9258095715"</f>
        <v>9258095715</v>
      </c>
      <c r="F9371" s="1">
        <v>45168</v>
      </c>
      <c r="G9371" t="str">
        <f>"89725"</f>
        <v>89725</v>
      </c>
      <c r="H9371">
        <v>1</v>
      </c>
      <c r="I9371">
        <v>2863</v>
      </c>
      <c r="J9371">
        <v>0</v>
      </c>
      <c r="K9371" t="str">
        <f t="shared" si="1674"/>
        <v>809</v>
      </c>
      <c r="L9371">
        <v>1860.95</v>
      </c>
    </row>
    <row r="9372" spans="1:12" x14ac:dyDescent="0.25">
      <c r="A9372" t="str">
        <f t="shared" si="1671"/>
        <v>89301000</v>
      </c>
      <c r="B9372" t="str">
        <f t="shared" si="1672"/>
        <v>78915000</v>
      </c>
      <c r="C9372" t="str">
        <f t="shared" si="1673"/>
        <v>78915001</v>
      </c>
      <c r="D9372">
        <v>89301112</v>
      </c>
      <c r="E9372" t="str">
        <f>"9602126149"</f>
        <v>9602126149</v>
      </c>
      <c r="F9372" s="1">
        <v>45169</v>
      </c>
      <c r="G9372" t="str">
        <f>"09569"</f>
        <v>09569</v>
      </c>
      <c r="H9372">
        <v>1</v>
      </c>
      <c r="I9372">
        <v>0</v>
      </c>
      <c r="J9372">
        <v>0</v>
      </c>
      <c r="K9372" t="str">
        <f t="shared" si="1674"/>
        <v>809</v>
      </c>
      <c r="L9372">
        <v>0</v>
      </c>
    </row>
    <row r="9373" spans="1:12" x14ac:dyDescent="0.25">
      <c r="A9373" t="str">
        <f t="shared" si="1671"/>
        <v>89301000</v>
      </c>
      <c r="B9373" t="str">
        <f t="shared" si="1672"/>
        <v>78915000</v>
      </c>
      <c r="C9373" t="str">
        <f t="shared" si="1673"/>
        <v>78915001</v>
      </c>
      <c r="D9373">
        <v>89301112</v>
      </c>
      <c r="E9373" t="str">
        <f>"9602126149"</f>
        <v>9602126149</v>
      </c>
      <c r="F9373" s="1">
        <v>45169</v>
      </c>
      <c r="G9373" t="str">
        <f>"89713"</f>
        <v>89713</v>
      </c>
      <c r="H9373">
        <v>1</v>
      </c>
      <c r="I9373">
        <v>5411</v>
      </c>
      <c r="J9373">
        <v>0</v>
      </c>
      <c r="K9373" t="str">
        <f t="shared" si="1674"/>
        <v>809</v>
      </c>
      <c r="L9373">
        <v>3517.15</v>
      </c>
    </row>
    <row r="9374" spans="1:12" x14ac:dyDescent="0.25">
      <c r="A9374" t="str">
        <f t="shared" si="1671"/>
        <v>89301000</v>
      </c>
      <c r="B9374" t="str">
        <f t="shared" si="1672"/>
        <v>78915000</v>
      </c>
      <c r="C9374" t="str">
        <f t="shared" si="1673"/>
        <v>78915001</v>
      </c>
      <c r="D9374">
        <v>89301062</v>
      </c>
      <c r="E9374" t="str">
        <f>"9952255731"</f>
        <v>9952255731</v>
      </c>
      <c r="F9374" s="1">
        <v>45146</v>
      </c>
      <c r="G9374" t="str">
        <f>"09567"</f>
        <v>09567</v>
      </c>
      <c r="H9374">
        <v>1</v>
      </c>
      <c r="I9374">
        <v>0</v>
      </c>
      <c r="J9374">
        <v>0</v>
      </c>
      <c r="K9374" t="str">
        <f t="shared" si="1674"/>
        <v>809</v>
      </c>
      <c r="L9374">
        <v>0</v>
      </c>
    </row>
    <row r="9375" spans="1:12" x14ac:dyDescent="0.25">
      <c r="A9375" t="str">
        <f t="shared" si="1671"/>
        <v>89301000</v>
      </c>
      <c r="B9375" t="str">
        <f t="shared" si="1672"/>
        <v>78915000</v>
      </c>
      <c r="C9375" t="str">
        <f t="shared" si="1673"/>
        <v>78915001</v>
      </c>
      <c r="D9375">
        <v>89301062</v>
      </c>
      <c r="E9375" t="str">
        <f>"9952255731"</f>
        <v>9952255731</v>
      </c>
      <c r="F9375" s="1">
        <v>45146</v>
      </c>
      <c r="G9375" t="str">
        <f>"89713"</f>
        <v>89713</v>
      </c>
      <c r="H9375">
        <v>1</v>
      </c>
      <c r="I9375">
        <v>5411</v>
      </c>
      <c r="J9375">
        <v>0</v>
      </c>
      <c r="K9375" t="str">
        <f t="shared" si="1674"/>
        <v>809</v>
      </c>
      <c r="L9375">
        <v>3517.15</v>
      </c>
    </row>
    <row r="9376" spans="1:12" x14ac:dyDescent="0.25">
      <c r="A9376" t="str">
        <f t="shared" si="1671"/>
        <v>89301000</v>
      </c>
      <c r="B9376" t="str">
        <f t="shared" ref="B9376:B9407" si="1675">"78051000"</f>
        <v>78051000</v>
      </c>
      <c r="C9376" t="str">
        <f t="shared" ref="C9376:C9407" si="1676">"78051004"</f>
        <v>78051004</v>
      </c>
      <c r="D9376">
        <v>89301212</v>
      </c>
      <c r="E9376" t="str">
        <f>"5961270799"</f>
        <v>5961270799</v>
      </c>
      <c r="F9376" s="1">
        <v>45146</v>
      </c>
      <c r="G9376" t="str">
        <f>"89312"</f>
        <v>89312</v>
      </c>
      <c r="H9376">
        <v>3</v>
      </c>
      <c r="I9376">
        <v>936</v>
      </c>
      <c r="J9376">
        <v>0</v>
      </c>
      <c r="K9376" t="str">
        <f t="shared" si="1674"/>
        <v>809</v>
      </c>
      <c r="L9376">
        <v>1020.24</v>
      </c>
    </row>
    <row r="9377" spans="1:12" x14ac:dyDescent="0.25">
      <c r="A9377" t="str">
        <f t="shared" si="1671"/>
        <v>89301000</v>
      </c>
      <c r="B9377" t="str">
        <f t="shared" si="1675"/>
        <v>78051000</v>
      </c>
      <c r="C9377" t="str">
        <f t="shared" si="1676"/>
        <v>78051004</v>
      </c>
      <c r="D9377">
        <v>89301062</v>
      </c>
      <c r="E9377" t="str">
        <f>"5701210416"</f>
        <v>5701210416</v>
      </c>
      <c r="F9377" s="1">
        <v>45147</v>
      </c>
      <c r="G9377" t="str">
        <f>"89311"</f>
        <v>89311</v>
      </c>
      <c r="H9377">
        <v>1</v>
      </c>
      <c r="I9377">
        <v>970</v>
      </c>
      <c r="J9377">
        <v>0</v>
      </c>
      <c r="K9377" t="str">
        <f t="shared" si="1674"/>
        <v>809</v>
      </c>
      <c r="L9377">
        <v>1425.9</v>
      </c>
    </row>
    <row r="9378" spans="1:12" x14ac:dyDescent="0.25">
      <c r="A9378" t="str">
        <f t="shared" si="1671"/>
        <v>89301000</v>
      </c>
      <c r="B9378" t="str">
        <f t="shared" si="1675"/>
        <v>78051000</v>
      </c>
      <c r="C9378" t="str">
        <f t="shared" si="1676"/>
        <v>78051004</v>
      </c>
      <c r="D9378">
        <v>89301062</v>
      </c>
      <c r="E9378" t="str">
        <f>"5701210416"</f>
        <v>5701210416</v>
      </c>
      <c r="F9378" s="1">
        <v>45147</v>
      </c>
      <c r="G9378" t="str">
        <f>"0090044"</f>
        <v>0090044</v>
      </c>
      <c r="H9378">
        <v>1</v>
      </c>
      <c r="J9378">
        <v>16.8</v>
      </c>
      <c r="K9378" t="str">
        <f t="shared" si="1674"/>
        <v>809</v>
      </c>
      <c r="L9378">
        <v>16.8</v>
      </c>
    </row>
    <row r="9379" spans="1:12" x14ac:dyDescent="0.25">
      <c r="A9379" t="str">
        <f t="shared" si="1671"/>
        <v>89301000</v>
      </c>
      <c r="B9379" t="str">
        <f t="shared" si="1675"/>
        <v>78051000</v>
      </c>
      <c r="C9379" t="str">
        <f t="shared" si="1676"/>
        <v>78051004</v>
      </c>
      <c r="D9379">
        <v>89301062</v>
      </c>
      <c r="E9379" t="str">
        <f>"5701210416"</f>
        <v>5701210416</v>
      </c>
      <c r="F9379" s="1">
        <v>45147</v>
      </c>
      <c r="G9379" t="str">
        <f>"0225891"</f>
        <v>0225891</v>
      </c>
      <c r="H9379">
        <v>0.2</v>
      </c>
      <c r="J9379">
        <v>44.65</v>
      </c>
      <c r="K9379" t="str">
        <f t="shared" si="1674"/>
        <v>809</v>
      </c>
      <c r="L9379">
        <v>44.65</v>
      </c>
    </row>
    <row r="9380" spans="1:12" x14ac:dyDescent="0.25">
      <c r="A9380" t="str">
        <f t="shared" si="1671"/>
        <v>89301000</v>
      </c>
      <c r="B9380" t="str">
        <f t="shared" si="1675"/>
        <v>78051000</v>
      </c>
      <c r="C9380" t="str">
        <f t="shared" si="1676"/>
        <v>78051004</v>
      </c>
      <c r="D9380">
        <v>89301062</v>
      </c>
      <c r="E9380" t="str">
        <f>"5701210416"</f>
        <v>5701210416</v>
      </c>
      <c r="F9380" s="1">
        <v>45147</v>
      </c>
      <c r="G9380" t="str">
        <f>"0096251"</f>
        <v>0096251</v>
      </c>
      <c r="H9380">
        <v>0.17</v>
      </c>
      <c r="J9380">
        <v>198.83</v>
      </c>
      <c r="K9380" t="str">
        <f t="shared" ref="K9380:K9411" si="1677">"809"</f>
        <v>809</v>
      </c>
      <c r="L9380">
        <v>198.83</v>
      </c>
    </row>
    <row r="9381" spans="1:12" x14ac:dyDescent="0.25">
      <c r="A9381" t="str">
        <f t="shared" si="1671"/>
        <v>89301000</v>
      </c>
      <c r="B9381" t="str">
        <f t="shared" si="1675"/>
        <v>78051000</v>
      </c>
      <c r="C9381" t="str">
        <f t="shared" si="1676"/>
        <v>78051004</v>
      </c>
      <c r="D9381">
        <v>89301062</v>
      </c>
      <c r="E9381" t="str">
        <f>"5701210416"</f>
        <v>5701210416</v>
      </c>
      <c r="F9381" s="1">
        <v>45147</v>
      </c>
      <c r="G9381" t="str">
        <f>"0098943"</f>
        <v>0098943</v>
      </c>
      <c r="H9381">
        <v>1</v>
      </c>
      <c r="J9381">
        <v>293.81</v>
      </c>
      <c r="K9381" t="str">
        <f t="shared" si="1677"/>
        <v>809</v>
      </c>
      <c r="L9381">
        <v>293.81</v>
      </c>
    </row>
    <row r="9382" spans="1:12" x14ac:dyDescent="0.25">
      <c r="A9382" t="str">
        <f t="shared" si="1671"/>
        <v>89301000</v>
      </c>
      <c r="B9382" t="str">
        <f t="shared" si="1675"/>
        <v>78051000</v>
      </c>
      <c r="C9382" t="str">
        <f t="shared" si="1676"/>
        <v>78051004</v>
      </c>
      <c r="D9382">
        <v>89301062</v>
      </c>
      <c r="E9382" t="str">
        <f>"7601285351"</f>
        <v>7601285351</v>
      </c>
      <c r="F9382" s="1">
        <v>45147</v>
      </c>
      <c r="G9382" t="str">
        <f>"89311"</f>
        <v>89311</v>
      </c>
      <c r="H9382">
        <v>1</v>
      </c>
      <c r="I9382">
        <v>970</v>
      </c>
      <c r="J9382">
        <v>0</v>
      </c>
      <c r="K9382" t="str">
        <f t="shared" si="1677"/>
        <v>809</v>
      </c>
      <c r="L9382">
        <v>1425.9</v>
      </c>
    </row>
    <row r="9383" spans="1:12" x14ac:dyDescent="0.25">
      <c r="A9383" t="str">
        <f t="shared" si="1671"/>
        <v>89301000</v>
      </c>
      <c r="B9383" t="str">
        <f t="shared" si="1675"/>
        <v>78051000</v>
      </c>
      <c r="C9383" t="str">
        <f t="shared" si="1676"/>
        <v>78051004</v>
      </c>
      <c r="D9383">
        <v>89301062</v>
      </c>
      <c r="E9383" t="str">
        <f>"7601285351"</f>
        <v>7601285351</v>
      </c>
      <c r="F9383" s="1">
        <v>45147</v>
      </c>
      <c r="G9383" t="str">
        <f>"0090044"</f>
        <v>0090044</v>
      </c>
      <c r="H9383">
        <v>1</v>
      </c>
      <c r="J9383">
        <v>16.8</v>
      </c>
      <c r="K9383" t="str">
        <f t="shared" si="1677"/>
        <v>809</v>
      </c>
      <c r="L9383">
        <v>16.8</v>
      </c>
    </row>
    <row r="9384" spans="1:12" x14ac:dyDescent="0.25">
      <c r="A9384" t="str">
        <f t="shared" si="1671"/>
        <v>89301000</v>
      </c>
      <c r="B9384" t="str">
        <f t="shared" si="1675"/>
        <v>78051000</v>
      </c>
      <c r="C9384" t="str">
        <f t="shared" si="1676"/>
        <v>78051004</v>
      </c>
      <c r="D9384">
        <v>89301062</v>
      </c>
      <c r="E9384" t="str">
        <f>"7601285351"</f>
        <v>7601285351</v>
      </c>
      <c r="F9384" s="1">
        <v>45147</v>
      </c>
      <c r="G9384" t="str">
        <f>"0225891"</f>
        <v>0225891</v>
      </c>
      <c r="H9384">
        <v>0.2</v>
      </c>
      <c r="J9384">
        <v>44.65</v>
      </c>
      <c r="K9384" t="str">
        <f t="shared" si="1677"/>
        <v>809</v>
      </c>
      <c r="L9384">
        <v>44.65</v>
      </c>
    </row>
    <row r="9385" spans="1:12" x14ac:dyDescent="0.25">
      <c r="A9385" t="str">
        <f t="shared" si="1671"/>
        <v>89301000</v>
      </c>
      <c r="B9385" t="str">
        <f t="shared" si="1675"/>
        <v>78051000</v>
      </c>
      <c r="C9385" t="str">
        <f t="shared" si="1676"/>
        <v>78051004</v>
      </c>
      <c r="D9385">
        <v>89301062</v>
      </c>
      <c r="E9385" t="str">
        <f>"7601285351"</f>
        <v>7601285351</v>
      </c>
      <c r="F9385" s="1">
        <v>45147</v>
      </c>
      <c r="G9385" t="str">
        <f>"0096251"</f>
        <v>0096251</v>
      </c>
      <c r="H9385">
        <v>0.17</v>
      </c>
      <c r="J9385">
        <v>198.83</v>
      </c>
      <c r="K9385" t="str">
        <f t="shared" si="1677"/>
        <v>809</v>
      </c>
      <c r="L9385">
        <v>198.83</v>
      </c>
    </row>
    <row r="9386" spans="1:12" x14ac:dyDescent="0.25">
      <c r="A9386" t="str">
        <f t="shared" si="1671"/>
        <v>89301000</v>
      </c>
      <c r="B9386" t="str">
        <f t="shared" si="1675"/>
        <v>78051000</v>
      </c>
      <c r="C9386" t="str">
        <f t="shared" si="1676"/>
        <v>78051004</v>
      </c>
      <c r="D9386">
        <v>89301062</v>
      </c>
      <c r="E9386" t="str">
        <f>"7601285351"</f>
        <v>7601285351</v>
      </c>
      <c r="F9386" s="1">
        <v>45147</v>
      </c>
      <c r="G9386" t="str">
        <f>"0098943"</f>
        <v>0098943</v>
      </c>
      <c r="H9386">
        <v>1</v>
      </c>
      <c r="J9386">
        <v>293.81</v>
      </c>
      <c r="K9386" t="str">
        <f t="shared" si="1677"/>
        <v>809</v>
      </c>
      <c r="L9386">
        <v>293.81</v>
      </c>
    </row>
    <row r="9387" spans="1:12" x14ac:dyDescent="0.25">
      <c r="A9387" t="str">
        <f t="shared" si="1671"/>
        <v>89301000</v>
      </c>
      <c r="B9387" t="str">
        <f t="shared" si="1675"/>
        <v>78051000</v>
      </c>
      <c r="C9387" t="str">
        <f t="shared" si="1676"/>
        <v>78051004</v>
      </c>
      <c r="D9387">
        <v>89301062</v>
      </c>
      <c r="E9387" t="str">
        <f>"5755211154"</f>
        <v>5755211154</v>
      </c>
      <c r="F9387" s="1">
        <v>45147</v>
      </c>
      <c r="G9387" t="str">
        <f>"89311"</f>
        <v>89311</v>
      </c>
      <c r="H9387">
        <v>1</v>
      </c>
      <c r="I9387">
        <v>970</v>
      </c>
      <c r="J9387">
        <v>0</v>
      </c>
      <c r="K9387" t="str">
        <f t="shared" si="1677"/>
        <v>809</v>
      </c>
      <c r="L9387">
        <v>1425.9</v>
      </c>
    </row>
    <row r="9388" spans="1:12" x14ac:dyDescent="0.25">
      <c r="A9388" t="str">
        <f t="shared" si="1671"/>
        <v>89301000</v>
      </c>
      <c r="B9388" t="str">
        <f t="shared" si="1675"/>
        <v>78051000</v>
      </c>
      <c r="C9388" t="str">
        <f t="shared" si="1676"/>
        <v>78051004</v>
      </c>
      <c r="D9388">
        <v>89301062</v>
      </c>
      <c r="E9388" t="str">
        <f>"5755211154"</f>
        <v>5755211154</v>
      </c>
      <c r="F9388" s="1">
        <v>45147</v>
      </c>
      <c r="G9388" t="str">
        <f>"0090044"</f>
        <v>0090044</v>
      </c>
      <c r="H9388">
        <v>1</v>
      </c>
      <c r="J9388">
        <v>16.8</v>
      </c>
      <c r="K9388" t="str">
        <f t="shared" si="1677"/>
        <v>809</v>
      </c>
      <c r="L9388">
        <v>16.8</v>
      </c>
    </row>
    <row r="9389" spans="1:12" x14ac:dyDescent="0.25">
      <c r="A9389" t="str">
        <f t="shared" si="1671"/>
        <v>89301000</v>
      </c>
      <c r="B9389" t="str">
        <f t="shared" si="1675"/>
        <v>78051000</v>
      </c>
      <c r="C9389" t="str">
        <f t="shared" si="1676"/>
        <v>78051004</v>
      </c>
      <c r="D9389">
        <v>89301062</v>
      </c>
      <c r="E9389" t="str">
        <f>"5755211154"</f>
        <v>5755211154</v>
      </c>
      <c r="F9389" s="1">
        <v>45147</v>
      </c>
      <c r="G9389" t="str">
        <f>"0225891"</f>
        <v>0225891</v>
      </c>
      <c r="H9389">
        <v>0.2</v>
      </c>
      <c r="J9389">
        <v>44.65</v>
      </c>
      <c r="K9389" t="str">
        <f t="shared" si="1677"/>
        <v>809</v>
      </c>
      <c r="L9389">
        <v>44.65</v>
      </c>
    </row>
    <row r="9390" spans="1:12" x14ac:dyDescent="0.25">
      <c r="A9390" t="str">
        <f t="shared" si="1671"/>
        <v>89301000</v>
      </c>
      <c r="B9390" t="str">
        <f t="shared" si="1675"/>
        <v>78051000</v>
      </c>
      <c r="C9390" t="str">
        <f t="shared" si="1676"/>
        <v>78051004</v>
      </c>
      <c r="D9390">
        <v>89301062</v>
      </c>
      <c r="E9390" t="str">
        <f>"5755211154"</f>
        <v>5755211154</v>
      </c>
      <c r="F9390" s="1">
        <v>45147</v>
      </c>
      <c r="G9390" t="str">
        <f>"0096251"</f>
        <v>0096251</v>
      </c>
      <c r="H9390">
        <v>0.17</v>
      </c>
      <c r="J9390">
        <v>198.83</v>
      </c>
      <c r="K9390" t="str">
        <f t="shared" si="1677"/>
        <v>809</v>
      </c>
      <c r="L9390">
        <v>198.83</v>
      </c>
    </row>
    <row r="9391" spans="1:12" x14ac:dyDescent="0.25">
      <c r="A9391" t="str">
        <f t="shared" si="1671"/>
        <v>89301000</v>
      </c>
      <c r="B9391" t="str">
        <f t="shared" si="1675"/>
        <v>78051000</v>
      </c>
      <c r="C9391" t="str">
        <f t="shared" si="1676"/>
        <v>78051004</v>
      </c>
      <c r="D9391">
        <v>89301062</v>
      </c>
      <c r="E9391" t="str">
        <f>"5755211154"</f>
        <v>5755211154</v>
      </c>
      <c r="F9391" s="1">
        <v>45147</v>
      </c>
      <c r="G9391" t="str">
        <f>"0098943"</f>
        <v>0098943</v>
      </c>
      <c r="H9391">
        <v>1</v>
      </c>
      <c r="J9391">
        <v>293.81</v>
      </c>
      <c r="K9391" t="str">
        <f t="shared" si="1677"/>
        <v>809</v>
      </c>
      <c r="L9391">
        <v>293.81</v>
      </c>
    </row>
    <row r="9392" spans="1:12" x14ac:dyDescent="0.25">
      <c r="A9392" t="str">
        <f t="shared" si="1671"/>
        <v>89301000</v>
      </c>
      <c r="B9392" t="str">
        <f t="shared" si="1675"/>
        <v>78051000</v>
      </c>
      <c r="C9392" t="str">
        <f t="shared" si="1676"/>
        <v>78051004</v>
      </c>
      <c r="D9392">
        <v>89301062</v>
      </c>
      <c r="E9392" t="str">
        <f>"6510221410"</f>
        <v>6510221410</v>
      </c>
      <c r="F9392" s="1">
        <v>45147</v>
      </c>
      <c r="G9392" t="str">
        <f>"89311"</f>
        <v>89311</v>
      </c>
      <c r="H9392">
        <v>1</v>
      </c>
      <c r="I9392">
        <v>970</v>
      </c>
      <c r="J9392">
        <v>0</v>
      </c>
      <c r="K9392" t="str">
        <f t="shared" si="1677"/>
        <v>809</v>
      </c>
      <c r="L9392">
        <v>1425.9</v>
      </c>
    </row>
    <row r="9393" spans="1:12" x14ac:dyDescent="0.25">
      <c r="A9393" t="str">
        <f t="shared" si="1671"/>
        <v>89301000</v>
      </c>
      <c r="B9393" t="str">
        <f t="shared" si="1675"/>
        <v>78051000</v>
      </c>
      <c r="C9393" t="str">
        <f t="shared" si="1676"/>
        <v>78051004</v>
      </c>
      <c r="D9393">
        <v>89301062</v>
      </c>
      <c r="E9393" t="str">
        <f>"6510221410"</f>
        <v>6510221410</v>
      </c>
      <c r="F9393" s="1">
        <v>45147</v>
      </c>
      <c r="G9393" t="str">
        <f>"0090044"</f>
        <v>0090044</v>
      </c>
      <c r="H9393">
        <v>1</v>
      </c>
      <c r="J9393">
        <v>16.8</v>
      </c>
      <c r="K9393" t="str">
        <f t="shared" si="1677"/>
        <v>809</v>
      </c>
      <c r="L9393">
        <v>16.8</v>
      </c>
    </row>
    <row r="9394" spans="1:12" x14ac:dyDescent="0.25">
      <c r="A9394" t="str">
        <f t="shared" si="1671"/>
        <v>89301000</v>
      </c>
      <c r="B9394" t="str">
        <f t="shared" si="1675"/>
        <v>78051000</v>
      </c>
      <c r="C9394" t="str">
        <f t="shared" si="1676"/>
        <v>78051004</v>
      </c>
      <c r="D9394">
        <v>89301062</v>
      </c>
      <c r="E9394" t="str">
        <f>"6510221410"</f>
        <v>6510221410</v>
      </c>
      <c r="F9394" s="1">
        <v>45147</v>
      </c>
      <c r="G9394" t="str">
        <f>"0225891"</f>
        <v>0225891</v>
      </c>
      <c r="H9394">
        <v>0.2</v>
      </c>
      <c r="J9394">
        <v>44.65</v>
      </c>
      <c r="K9394" t="str">
        <f t="shared" si="1677"/>
        <v>809</v>
      </c>
      <c r="L9394">
        <v>44.65</v>
      </c>
    </row>
    <row r="9395" spans="1:12" x14ac:dyDescent="0.25">
      <c r="A9395" t="str">
        <f t="shared" si="1671"/>
        <v>89301000</v>
      </c>
      <c r="B9395" t="str">
        <f t="shared" si="1675"/>
        <v>78051000</v>
      </c>
      <c r="C9395" t="str">
        <f t="shared" si="1676"/>
        <v>78051004</v>
      </c>
      <c r="D9395">
        <v>89301062</v>
      </c>
      <c r="E9395" t="str">
        <f>"6510221410"</f>
        <v>6510221410</v>
      </c>
      <c r="F9395" s="1">
        <v>45147</v>
      </c>
      <c r="G9395" t="str">
        <f>"0096251"</f>
        <v>0096251</v>
      </c>
      <c r="H9395">
        <v>0.17</v>
      </c>
      <c r="J9395">
        <v>198.83</v>
      </c>
      <c r="K9395" t="str">
        <f t="shared" si="1677"/>
        <v>809</v>
      </c>
      <c r="L9395">
        <v>198.83</v>
      </c>
    </row>
    <row r="9396" spans="1:12" x14ac:dyDescent="0.25">
      <c r="A9396" t="str">
        <f t="shared" si="1671"/>
        <v>89301000</v>
      </c>
      <c r="B9396" t="str">
        <f t="shared" si="1675"/>
        <v>78051000</v>
      </c>
      <c r="C9396" t="str">
        <f t="shared" si="1676"/>
        <v>78051004</v>
      </c>
      <c r="D9396">
        <v>89301062</v>
      </c>
      <c r="E9396" t="str">
        <f>"6510221410"</f>
        <v>6510221410</v>
      </c>
      <c r="F9396" s="1">
        <v>45147</v>
      </c>
      <c r="G9396" t="str">
        <f>"0098943"</f>
        <v>0098943</v>
      </c>
      <c r="H9396">
        <v>1</v>
      </c>
      <c r="J9396">
        <v>293.81</v>
      </c>
      <c r="K9396" t="str">
        <f t="shared" si="1677"/>
        <v>809</v>
      </c>
      <c r="L9396">
        <v>293.81</v>
      </c>
    </row>
    <row r="9397" spans="1:12" x14ac:dyDescent="0.25">
      <c r="A9397" t="str">
        <f t="shared" si="1671"/>
        <v>89301000</v>
      </c>
      <c r="B9397" t="str">
        <f t="shared" si="1675"/>
        <v>78051000</v>
      </c>
      <c r="C9397" t="str">
        <f t="shared" si="1676"/>
        <v>78051004</v>
      </c>
      <c r="D9397">
        <v>89301062</v>
      </c>
      <c r="E9397" t="str">
        <f>"6159211355"</f>
        <v>6159211355</v>
      </c>
      <c r="F9397" s="1">
        <v>45154</v>
      </c>
      <c r="G9397" t="str">
        <f>"89311"</f>
        <v>89311</v>
      </c>
      <c r="H9397">
        <v>1</v>
      </c>
      <c r="I9397">
        <v>970</v>
      </c>
      <c r="J9397">
        <v>0</v>
      </c>
      <c r="K9397" t="str">
        <f t="shared" si="1677"/>
        <v>809</v>
      </c>
      <c r="L9397">
        <v>1425.9</v>
      </c>
    </row>
    <row r="9398" spans="1:12" x14ac:dyDescent="0.25">
      <c r="A9398" t="str">
        <f t="shared" si="1671"/>
        <v>89301000</v>
      </c>
      <c r="B9398" t="str">
        <f t="shared" si="1675"/>
        <v>78051000</v>
      </c>
      <c r="C9398" t="str">
        <f t="shared" si="1676"/>
        <v>78051004</v>
      </c>
      <c r="D9398">
        <v>89301062</v>
      </c>
      <c r="E9398" t="str">
        <f>"6159211355"</f>
        <v>6159211355</v>
      </c>
      <c r="F9398" s="1">
        <v>45154</v>
      </c>
      <c r="G9398" t="str">
        <f>"0090044"</f>
        <v>0090044</v>
      </c>
      <c r="H9398">
        <v>1</v>
      </c>
      <c r="J9398">
        <v>16.8</v>
      </c>
      <c r="K9398" t="str">
        <f t="shared" si="1677"/>
        <v>809</v>
      </c>
      <c r="L9398">
        <v>16.8</v>
      </c>
    </row>
    <row r="9399" spans="1:12" x14ac:dyDescent="0.25">
      <c r="A9399" t="str">
        <f t="shared" si="1671"/>
        <v>89301000</v>
      </c>
      <c r="B9399" t="str">
        <f t="shared" si="1675"/>
        <v>78051000</v>
      </c>
      <c r="C9399" t="str">
        <f t="shared" si="1676"/>
        <v>78051004</v>
      </c>
      <c r="D9399">
        <v>89301062</v>
      </c>
      <c r="E9399" t="str">
        <f>"6159211355"</f>
        <v>6159211355</v>
      </c>
      <c r="F9399" s="1">
        <v>45154</v>
      </c>
      <c r="G9399" t="str">
        <f>"0225891"</f>
        <v>0225891</v>
      </c>
      <c r="H9399">
        <v>0.2</v>
      </c>
      <c r="J9399">
        <v>44.65</v>
      </c>
      <c r="K9399" t="str">
        <f t="shared" si="1677"/>
        <v>809</v>
      </c>
      <c r="L9399">
        <v>44.65</v>
      </c>
    </row>
    <row r="9400" spans="1:12" x14ac:dyDescent="0.25">
      <c r="A9400" t="str">
        <f t="shared" si="1671"/>
        <v>89301000</v>
      </c>
      <c r="B9400" t="str">
        <f t="shared" si="1675"/>
        <v>78051000</v>
      </c>
      <c r="C9400" t="str">
        <f t="shared" si="1676"/>
        <v>78051004</v>
      </c>
      <c r="D9400">
        <v>89301062</v>
      </c>
      <c r="E9400" t="str">
        <f>"6159211355"</f>
        <v>6159211355</v>
      </c>
      <c r="F9400" s="1">
        <v>45154</v>
      </c>
      <c r="G9400" t="str">
        <f>"0096251"</f>
        <v>0096251</v>
      </c>
      <c r="H9400">
        <v>0.17</v>
      </c>
      <c r="J9400">
        <v>198.83</v>
      </c>
      <c r="K9400" t="str">
        <f t="shared" si="1677"/>
        <v>809</v>
      </c>
      <c r="L9400">
        <v>198.83</v>
      </c>
    </row>
    <row r="9401" spans="1:12" x14ac:dyDescent="0.25">
      <c r="A9401" t="str">
        <f t="shared" si="1671"/>
        <v>89301000</v>
      </c>
      <c r="B9401" t="str">
        <f t="shared" si="1675"/>
        <v>78051000</v>
      </c>
      <c r="C9401" t="str">
        <f t="shared" si="1676"/>
        <v>78051004</v>
      </c>
      <c r="D9401">
        <v>89301062</v>
      </c>
      <c r="E9401" t="str">
        <f>"6159211355"</f>
        <v>6159211355</v>
      </c>
      <c r="F9401" s="1">
        <v>45154</v>
      </c>
      <c r="G9401" t="str">
        <f>"0098943"</f>
        <v>0098943</v>
      </c>
      <c r="H9401">
        <v>1</v>
      </c>
      <c r="J9401">
        <v>293.81</v>
      </c>
      <c r="K9401" t="str">
        <f t="shared" si="1677"/>
        <v>809</v>
      </c>
      <c r="L9401">
        <v>293.81</v>
      </c>
    </row>
    <row r="9402" spans="1:12" x14ac:dyDescent="0.25">
      <c r="A9402" t="str">
        <f t="shared" si="1671"/>
        <v>89301000</v>
      </c>
      <c r="B9402" t="str">
        <f t="shared" si="1675"/>
        <v>78051000</v>
      </c>
      <c r="C9402" t="str">
        <f t="shared" si="1676"/>
        <v>78051004</v>
      </c>
      <c r="D9402">
        <v>89301062</v>
      </c>
      <c r="E9402" t="str">
        <f>"505509270"</f>
        <v>505509270</v>
      </c>
      <c r="F9402" s="1">
        <v>45154</v>
      </c>
      <c r="G9402" t="str">
        <f>"89311"</f>
        <v>89311</v>
      </c>
      <c r="H9402">
        <v>1</v>
      </c>
      <c r="I9402">
        <v>970</v>
      </c>
      <c r="J9402">
        <v>0</v>
      </c>
      <c r="K9402" t="str">
        <f t="shared" si="1677"/>
        <v>809</v>
      </c>
      <c r="L9402">
        <v>1425.9</v>
      </c>
    </row>
    <row r="9403" spans="1:12" x14ac:dyDescent="0.25">
      <c r="A9403" t="str">
        <f t="shared" si="1671"/>
        <v>89301000</v>
      </c>
      <c r="B9403" t="str">
        <f t="shared" si="1675"/>
        <v>78051000</v>
      </c>
      <c r="C9403" t="str">
        <f t="shared" si="1676"/>
        <v>78051004</v>
      </c>
      <c r="D9403">
        <v>89301062</v>
      </c>
      <c r="E9403" t="str">
        <f>"505509270"</f>
        <v>505509270</v>
      </c>
      <c r="F9403" s="1">
        <v>45154</v>
      </c>
      <c r="G9403" t="str">
        <f>"0090044"</f>
        <v>0090044</v>
      </c>
      <c r="H9403">
        <v>1</v>
      </c>
      <c r="J9403">
        <v>16.8</v>
      </c>
      <c r="K9403" t="str">
        <f t="shared" si="1677"/>
        <v>809</v>
      </c>
      <c r="L9403">
        <v>16.8</v>
      </c>
    </row>
    <row r="9404" spans="1:12" x14ac:dyDescent="0.25">
      <c r="A9404" t="str">
        <f t="shared" si="1671"/>
        <v>89301000</v>
      </c>
      <c r="B9404" t="str">
        <f t="shared" si="1675"/>
        <v>78051000</v>
      </c>
      <c r="C9404" t="str">
        <f t="shared" si="1676"/>
        <v>78051004</v>
      </c>
      <c r="D9404">
        <v>89301062</v>
      </c>
      <c r="E9404" t="str">
        <f>"505509270"</f>
        <v>505509270</v>
      </c>
      <c r="F9404" s="1">
        <v>45154</v>
      </c>
      <c r="G9404" t="str">
        <f>"0225891"</f>
        <v>0225891</v>
      </c>
      <c r="H9404">
        <v>0.2</v>
      </c>
      <c r="J9404">
        <v>44.65</v>
      </c>
      <c r="K9404" t="str">
        <f t="shared" si="1677"/>
        <v>809</v>
      </c>
      <c r="L9404">
        <v>44.65</v>
      </c>
    </row>
    <row r="9405" spans="1:12" x14ac:dyDescent="0.25">
      <c r="A9405" t="str">
        <f t="shared" si="1671"/>
        <v>89301000</v>
      </c>
      <c r="B9405" t="str">
        <f t="shared" si="1675"/>
        <v>78051000</v>
      </c>
      <c r="C9405" t="str">
        <f t="shared" si="1676"/>
        <v>78051004</v>
      </c>
      <c r="D9405">
        <v>89301062</v>
      </c>
      <c r="E9405" t="str">
        <f>"505509270"</f>
        <v>505509270</v>
      </c>
      <c r="F9405" s="1">
        <v>45154</v>
      </c>
      <c r="G9405" t="str">
        <f>"0096251"</f>
        <v>0096251</v>
      </c>
      <c r="H9405">
        <v>0.17</v>
      </c>
      <c r="J9405">
        <v>198.83</v>
      </c>
      <c r="K9405" t="str">
        <f t="shared" si="1677"/>
        <v>809</v>
      </c>
      <c r="L9405">
        <v>198.83</v>
      </c>
    </row>
    <row r="9406" spans="1:12" x14ac:dyDescent="0.25">
      <c r="A9406" t="str">
        <f t="shared" si="1671"/>
        <v>89301000</v>
      </c>
      <c r="B9406" t="str">
        <f t="shared" si="1675"/>
        <v>78051000</v>
      </c>
      <c r="C9406" t="str">
        <f t="shared" si="1676"/>
        <v>78051004</v>
      </c>
      <c r="D9406">
        <v>89301062</v>
      </c>
      <c r="E9406" t="str">
        <f>"505509270"</f>
        <v>505509270</v>
      </c>
      <c r="F9406" s="1">
        <v>45154</v>
      </c>
      <c r="G9406" t="str">
        <f>"0098943"</f>
        <v>0098943</v>
      </c>
      <c r="H9406">
        <v>1</v>
      </c>
      <c r="J9406">
        <v>293.81</v>
      </c>
      <c r="K9406" t="str">
        <f t="shared" si="1677"/>
        <v>809</v>
      </c>
      <c r="L9406">
        <v>293.81</v>
      </c>
    </row>
    <row r="9407" spans="1:12" x14ac:dyDescent="0.25">
      <c r="A9407" t="str">
        <f t="shared" si="1671"/>
        <v>89301000</v>
      </c>
      <c r="B9407" t="str">
        <f t="shared" si="1675"/>
        <v>78051000</v>
      </c>
      <c r="C9407" t="str">
        <f t="shared" si="1676"/>
        <v>78051004</v>
      </c>
      <c r="D9407">
        <v>89301062</v>
      </c>
      <c r="E9407" t="str">
        <f>"486212092"</f>
        <v>486212092</v>
      </c>
      <c r="F9407" s="1">
        <v>45154</v>
      </c>
      <c r="G9407" t="str">
        <f>"89311"</f>
        <v>89311</v>
      </c>
      <c r="H9407">
        <v>1</v>
      </c>
      <c r="I9407">
        <v>970</v>
      </c>
      <c r="J9407">
        <v>0</v>
      </c>
      <c r="K9407" t="str">
        <f t="shared" si="1677"/>
        <v>809</v>
      </c>
      <c r="L9407">
        <v>1425.9</v>
      </c>
    </row>
    <row r="9408" spans="1:12" x14ac:dyDescent="0.25">
      <c r="A9408" t="str">
        <f t="shared" si="1671"/>
        <v>89301000</v>
      </c>
      <c r="B9408" t="str">
        <f t="shared" ref="B9408:B9439" si="1678">"78051000"</f>
        <v>78051000</v>
      </c>
      <c r="C9408" t="str">
        <f t="shared" ref="C9408:C9439" si="1679">"78051004"</f>
        <v>78051004</v>
      </c>
      <c r="D9408">
        <v>89301062</v>
      </c>
      <c r="E9408" t="str">
        <f>"486212092"</f>
        <v>486212092</v>
      </c>
      <c r="F9408" s="1">
        <v>45154</v>
      </c>
      <c r="G9408" t="str">
        <f>"0090044"</f>
        <v>0090044</v>
      </c>
      <c r="H9408">
        <v>1</v>
      </c>
      <c r="J9408">
        <v>16.8</v>
      </c>
      <c r="K9408" t="str">
        <f t="shared" si="1677"/>
        <v>809</v>
      </c>
      <c r="L9408">
        <v>16.8</v>
      </c>
    </row>
    <row r="9409" spans="1:12" x14ac:dyDescent="0.25">
      <c r="A9409" t="str">
        <f t="shared" si="1671"/>
        <v>89301000</v>
      </c>
      <c r="B9409" t="str">
        <f t="shared" si="1678"/>
        <v>78051000</v>
      </c>
      <c r="C9409" t="str">
        <f t="shared" si="1679"/>
        <v>78051004</v>
      </c>
      <c r="D9409">
        <v>89301062</v>
      </c>
      <c r="E9409" t="str">
        <f>"486212092"</f>
        <v>486212092</v>
      </c>
      <c r="F9409" s="1">
        <v>45154</v>
      </c>
      <c r="G9409" t="str">
        <f>"0225891"</f>
        <v>0225891</v>
      </c>
      <c r="H9409">
        <v>0.2</v>
      </c>
      <c r="J9409">
        <v>44.65</v>
      </c>
      <c r="K9409" t="str">
        <f t="shared" si="1677"/>
        <v>809</v>
      </c>
      <c r="L9409">
        <v>44.65</v>
      </c>
    </row>
    <row r="9410" spans="1:12" x14ac:dyDescent="0.25">
      <c r="A9410" t="str">
        <f t="shared" ref="A9410:A9473" si="1680">"89301000"</f>
        <v>89301000</v>
      </c>
      <c r="B9410" t="str">
        <f t="shared" si="1678"/>
        <v>78051000</v>
      </c>
      <c r="C9410" t="str">
        <f t="shared" si="1679"/>
        <v>78051004</v>
      </c>
      <c r="D9410">
        <v>89301062</v>
      </c>
      <c r="E9410" t="str">
        <f>"486212092"</f>
        <v>486212092</v>
      </c>
      <c r="F9410" s="1">
        <v>45154</v>
      </c>
      <c r="G9410" t="str">
        <f>"0096251"</f>
        <v>0096251</v>
      </c>
      <c r="H9410">
        <v>0.17</v>
      </c>
      <c r="J9410">
        <v>198.83</v>
      </c>
      <c r="K9410" t="str">
        <f t="shared" si="1677"/>
        <v>809</v>
      </c>
      <c r="L9410">
        <v>198.83</v>
      </c>
    </row>
    <row r="9411" spans="1:12" x14ac:dyDescent="0.25">
      <c r="A9411" t="str">
        <f t="shared" si="1680"/>
        <v>89301000</v>
      </c>
      <c r="B9411" t="str">
        <f t="shared" si="1678"/>
        <v>78051000</v>
      </c>
      <c r="C9411" t="str">
        <f t="shared" si="1679"/>
        <v>78051004</v>
      </c>
      <c r="D9411">
        <v>89301062</v>
      </c>
      <c r="E9411" t="str">
        <f>"486212092"</f>
        <v>486212092</v>
      </c>
      <c r="F9411" s="1">
        <v>45154</v>
      </c>
      <c r="G9411" t="str">
        <f>"0098943"</f>
        <v>0098943</v>
      </c>
      <c r="H9411">
        <v>1</v>
      </c>
      <c r="J9411">
        <v>293.81</v>
      </c>
      <c r="K9411" t="str">
        <f t="shared" si="1677"/>
        <v>809</v>
      </c>
      <c r="L9411">
        <v>293.81</v>
      </c>
    </row>
    <row r="9412" spans="1:12" x14ac:dyDescent="0.25">
      <c r="A9412" t="str">
        <f t="shared" si="1680"/>
        <v>89301000</v>
      </c>
      <c r="B9412" t="str">
        <f t="shared" si="1678"/>
        <v>78051000</v>
      </c>
      <c r="C9412" t="str">
        <f t="shared" si="1679"/>
        <v>78051004</v>
      </c>
      <c r="D9412">
        <v>89301062</v>
      </c>
      <c r="E9412" t="str">
        <f>"6655240405"</f>
        <v>6655240405</v>
      </c>
      <c r="F9412" s="1">
        <v>45154</v>
      </c>
      <c r="G9412" t="str">
        <f>"89311"</f>
        <v>89311</v>
      </c>
      <c r="H9412">
        <v>1</v>
      </c>
      <c r="I9412">
        <v>970</v>
      </c>
      <c r="J9412">
        <v>0</v>
      </c>
      <c r="K9412" t="str">
        <f t="shared" ref="K9412:K9446" si="1681">"809"</f>
        <v>809</v>
      </c>
      <c r="L9412">
        <v>1425.9</v>
      </c>
    </row>
    <row r="9413" spans="1:12" x14ac:dyDescent="0.25">
      <c r="A9413" t="str">
        <f t="shared" si="1680"/>
        <v>89301000</v>
      </c>
      <c r="B9413" t="str">
        <f t="shared" si="1678"/>
        <v>78051000</v>
      </c>
      <c r="C9413" t="str">
        <f t="shared" si="1679"/>
        <v>78051004</v>
      </c>
      <c r="D9413">
        <v>89301062</v>
      </c>
      <c r="E9413" t="str">
        <f>"6655240405"</f>
        <v>6655240405</v>
      </c>
      <c r="F9413" s="1">
        <v>45154</v>
      </c>
      <c r="G9413" t="str">
        <f>"0090044"</f>
        <v>0090044</v>
      </c>
      <c r="H9413">
        <v>1</v>
      </c>
      <c r="J9413">
        <v>16.8</v>
      </c>
      <c r="K9413" t="str">
        <f t="shared" si="1681"/>
        <v>809</v>
      </c>
      <c r="L9413">
        <v>16.8</v>
      </c>
    </row>
    <row r="9414" spans="1:12" x14ac:dyDescent="0.25">
      <c r="A9414" t="str">
        <f t="shared" si="1680"/>
        <v>89301000</v>
      </c>
      <c r="B9414" t="str">
        <f t="shared" si="1678"/>
        <v>78051000</v>
      </c>
      <c r="C9414" t="str">
        <f t="shared" si="1679"/>
        <v>78051004</v>
      </c>
      <c r="D9414">
        <v>89301062</v>
      </c>
      <c r="E9414" t="str">
        <f>"6655240405"</f>
        <v>6655240405</v>
      </c>
      <c r="F9414" s="1">
        <v>45154</v>
      </c>
      <c r="G9414" t="str">
        <f>"0225891"</f>
        <v>0225891</v>
      </c>
      <c r="H9414">
        <v>0.2</v>
      </c>
      <c r="J9414">
        <v>44.65</v>
      </c>
      <c r="K9414" t="str">
        <f t="shared" si="1681"/>
        <v>809</v>
      </c>
      <c r="L9414">
        <v>44.65</v>
      </c>
    </row>
    <row r="9415" spans="1:12" x14ac:dyDescent="0.25">
      <c r="A9415" t="str">
        <f t="shared" si="1680"/>
        <v>89301000</v>
      </c>
      <c r="B9415" t="str">
        <f t="shared" si="1678"/>
        <v>78051000</v>
      </c>
      <c r="C9415" t="str">
        <f t="shared" si="1679"/>
        <v>78051004</v>
      </c>
      <c r="D9415">
        <v>89301062</v>
      </c>
      <c r="E9415" t="str">
        <f>"6655240405"</f>
        <v>6655240405</v>
      </c>
      <c r="F9415" s="1">
        <v>45154</v>
      </c>
      <c r="G9415" t="str">
        <f>"0096251"</f>
        <v>0096251</v>
      </c>
      <c r="H9415">
        <v>0.17</v>
      </c>
      <c r="J9415">
        <v>198.83</v>
      </c>
      <c r="K9415" t="str">
        <f t="shared" si="1681"/>
        <v>809</v>
      </c>
      <c r="L9415">
        <v>198.83</v>
      </c>
    </row>
    <row r="9416" spans="1:12" x14ac:dyDescent="0.25">
      <c r="A9416" t="str">
        <f t="shared" si="1680"/>
        <v>89301000</v>
      </c>
      <c r="B9416" t="str">
        <f t="shared" si="1678"/>
        <v>78051000</v>
      </c>
      <c r="C9416" t="str">
        <f t="shared" si="1679"/>
        <v>78051004</v>
      </c>
      <c r="D9416">
        <v>89301062</v>
      </c>
      <c r="E9416" t="str">
        <f>"6655240405"</f>
        <v>6655240405</v>
      </c>
      <c r="F9416" s="1">
        <v>45154</v>
      </c>
      <c r="G9416" t="str">
        <f>"0098943"</f>
        <v>0098943</v>
      </c>
      <c r="H9416">
        <v>1</v>
      </c>
      <c r="J9416">
        <v>293.81</v>
      </c>
      <c r="K9416" t="str">
        <f t="shared" si="1681"/>
        <v>809</v>
      </c>
      <c r="L9416">
        <v>293.81</v>
      </c>
    </row>
    <row r="9417" spans="1:12" x14ac:dyDescent="0.25">
      <c r="A9417" t="str">
        <f t="shared" si="1680"/>
        <v>89301000</v>
      </c>
      <c r="B9417" t="str">
        <f t="shared" si="1678"/>
        <v>78051000</v>
      </c>
      <c r="C9417" t="str">
        <f t="shared" si="1679"/>
        <v>78051004</v>
      </c>
      <c r="D9417">
        <v>89301062</v>
      </c>
      <c r="E9417" t="str">
        <f>"7160125775"</f>
        <v>7160125775</v>
      </c>
      <c r="F9417" s="1">
        <v>45161</v>
      </c>
      <c r="G9417" t="str">
        <f>"89311"</f>
        <v>89311</v>
      </c>
      <c r="H9417">
        <v>1</v>
      </c>
      <c r="I9417">
        <v>970</v>
      </c>
      <c r="J9417">
        <v>0</v>
      </c>
      <c r="K9417" t="str">
        <f t="shared" si="1681"/>
        <v>809</v>
      </c>
      <c r="L9417">
        <v>1425.9</v>
      </c>
    </row>
    <row r="9418" spans="1:12" x14ac:dyDescent="0.25">
      <c r="A9418" t="str">
        <f t="shared" si="1680"/>
        <v>89301000</v>
      </c>
      <c r="B9418" t="str">
        <f t="shared" si="1678"/>
        <v>78051000</v>
      </c>
      <c r="C9418" t="str">
        <f t="shared" si="1679"/>
        <v>78051004</v>
      </c>
      <c r="D9418">
        <v>89301062</v>
      </c>
      <c r="E9418" t="str">
        <f>"7160125775"</f>
        <v>7160125775</v>
      </c>
      <c r="F9418" s="1">
        <v>45161</v>
      </c>
      <c r="G9418" t="str">
        <f>"0090044"</f>
        <v>0090044</v>
      </c>
      <c r="H9418">
        <v>1</v>
      </c>
      <c r="J9418">
        <v>16.8</v>
      </c>
      <c r="K9418" t="str">
        <f t="shared" si="1681"/>
        <v>809</v>
      </c>
      <c r="L9418">
        <v>16.8</v>
      </c>
    </row>
    <row r="9419" spans="1:12" x14ac:dyDescent="0.25">
      <c r="A9419" t="str">
        <f t="shared" si="1680"/>
        <v>89301000</v>
      </c>
      <c r="B9419" t="str">
        <f t="shared" si="1678"/>
        <v>78051000</v>
      </c>
      <c r="C9419" t="str">
        <f t="shared" si="1679"/>
        <v>78051004</v>
      </c>
      <c r="D9419">
        <v>89301062</v>
      </c>
      <c r="E9419" t="str">
        <f>"7160125775"</f>
        <v>7160125775</v>
      </c>
      <c r="F9419" s="1">
        <v>45161</v>
      </c>
      <c r="G9419" t="str">
        <f>"0225891"</f>
        <v>0225891</v>
      </c>
      <c r="H9419">
        <v>0.2</v>
      </c>
      <c r="J9419">
        <v>44.65</v>
      </c>
      <c r="K9419" t="str">
        <f t="shared" si="1681"/>
        <v>809</v>
      </c>
      <c r="L9419">
        <v>44.65</v>
      </c>
    </row>
    <row r="9420" spans="1:12" x14ac:dyDescent="0.25">
      <c r="A9420" t="str">
        <f t="shared" si="1680"/>
        <v>89301000</v>
      </c>
      <c r="B9420" t="str">
        <f t="shared" si="1678"/>
        <v>78051000</v>
      </c>
      <c r="C9420" t="str">
        <f t="shared" si="1679"/>
        <v>78051004</v>
      </c>
      <c r="D9420">
        <v>89301062</v>
      </c>
      <c r="E9420" t="str">
        <f>"7160125775"</f>
        <v>7160125775</v>
      </c>
      <c r="F9420" s="1">
        <v>45161</v>
      </c>
      <c r="G9420" t="str">
        <f>"0096251"</f>
        <v>0096251</v>
      </c>
      <c r="H9420">
        <v>0.17</v>
      </c>
      <c r="J9420">
        <v>198.83</v>
      </c>
      <c r="K9420" t="str">
        <f t="shared" si="1681"/>
        <v>809</v>
      </c>
      <c r="L9420">
        <v>198.83</v>
      </c>
    </row>
    <row r="9421" spans="1:12" x14ac:dyDescent="0.25">
      <c r="A9421" t="str">
        <f t="shared" si="1680"/>
        <v>89301000</v>
      </c>
      <c r="B9421" t="str">
        <f t="shared" si="1678"/>
        <v>78051000</v>
      </c>
      <c r="C9421" t="str">
        <f t="shared" si="1679"/>
        <v>78051004</v>
      </c>
      <c r="D9421">
        <v>89301062</v>
      </c>
      <c r="E9421" t="str">
        <f>"7160125775"</f>
        <v>7160125775</v>
      </c>
      <c r="F9421" s="1">
        <v>45161</v>
      </c>
      <c r="G9421" t="str">
        <f>"0098943"</f>
        <v>0098943</v>
      </c>
      <c r="H9421">
        <v>1</v>
      </c>
      <c r="J9421">
        <v>293.81</v>
      </c>
      <c r="K9421" t="str">
        <f t="shared" si="1681"/>
        <v>809</v>
      </c>
      <c r="L9421">
        <v>293.81</v>
      </c>
    </row>
    <row r="9422" spans="1:12" x14ac:dyDescent="0.25">
      <c r="A9422" t="str">
        <f t="shared" si="1680"/>
        <v>89301000</v>
      </c>
      <c r="B9422" t="str">
        <f t="shared" si="1678"/>
        <v>78051000</v>
      </c>
      <c r="C9422" t="str">
        <f t="shared" si="1679"/>
        <v>78051004</v>
      </c>
      <c r="D9422">
        <v>89301062</v>
      </c>
      <c r="E9422" t="str">
        <f>"6405260026"</f>
        <v>6405260026</v>
      </c>
      <c r="F9422" s="1">
        <v>45161</v>
      </c>
      <c r="G9422" t="str">
        <f>"89311"</f>
        <v>89311</v>
      </c>
      <c r="H9422">
        <v>1</v>
      </c>
      <c r="I9422">
        <v>970</v>
      </c>
      <c r="J9422">
        <v>0</v>
      </c>
      <c r="K9422" t="str">
        <f t="shared" si="1681"/>
        <v>809</v>
      </c>
      <c r="L9422">
        <v>1425.9</v>
      </c>
    </row>
    <row r="9423" spans="1:12" x14ac:dyDescent="0.25">
      <c r="A9423" t="str">
        <f t="shared" si="1680"/>
        <v>89301000</v>
      </c>
      <c r="B9423" t="str">
        <f t="shared" si="1678"/>
        <v>78051000</v>
      </c>
      <c r="C9423" t="str">
        <f t="shared" si="1679"/>
        <v>78051004</v>
      </c>
      <c r="D9423">
        <v>89301062</v>
      </c>
      <c r="E9423" t="str">
        <f>"6405260026"</f>
        <v>6405260026</v>
      </c>
      <c r="F9423" s="1">
        <v>45161</v>
      </c>
      <c r="G9423" t="str">
        <f>"0090044"</f>
        <v>0090044</v>
      </c>
      <c r="H9423">
        <v>1</v>
      </c>
      <c r="J9423">
        <v>16.8</v>
      </c>
      <c r="K9423" t="str">
        <f t="shared" si="1681"/>
        <v>809</v>
      </c>
      <c r="L9423">
        <v>16.8</v>
      </c>
    </row>
    <row r="9424" spans="1:12" x14ac:dyDescent="0.25">
      <c r="A9424" t="str">
        <f t="shared" si="1680"/>
        <v>89301000</v>
      </c>
      <c r="B9424" t="str">
        <f t="shared" si="1678"/>
        <v>78051000</v>
      </c>
      <c r="C9424" t="str">
        <f t="shared" si="1679"/>
        <v>78051004</v>
      </c>
      <c r="D9424">
        <v>89301062</v>
      </c>
      <c r="E9424" t="str">
        <f>"6405260026"</f>
        <v>6405260026</v>
      </c>
      <c r="F9424" s="1">
        <v>45161</v>
      </c>
      <c r="G9424" t="str">
        <f>"0225891"</f>
        <v>0225891</v>
      </c>
      <c r="H9424">
        <v>0.2</v>
      </c>
      <c r="J9424">
        <v>44.65</v>
      </c>
      <c r="K9424" t="str">
        <f t="shared" si="1681"/>
        <v>809</v>
      </c>
      <c r="L9424">
        <v>44.65</v>
      </c>
    </row>
    <row r="9425" spans="1:12" x14ac:dyDescent="0.25">
      <c r="A9425" t="str">
        <f t="shared" si="1680"/>
        <v>89301000</v>
      </c>
      <c r="B9425" t="str">
        <f t="shared" si="1678"/>
        <v>78051000</v>
      </c>
      <c r="C9425" t="str">
        <f t="shared" si="1679"/>
        <v>78051004</v>
      </c>
      <c r="D9425">
        <v>89301062</v>
      </c>
      <c r="E9425" t="str">
        <f>"6405260026"</f>
        <v>6405260026</v>
      </c>
      <c r="F9425" s="1">
        <v>45161</v>
      </c>
      <c r="G9425" t="str">
        <f>"0096251"</f>
        <v>0096251</v>
      </c>
      <c r="H9425">
        <v>0.17</v>
      </c>
      <c r="J9425">
        <v>198.83</v>
      </c>
      <c r="K9425" t="str">
        <f t="shared" si="1681"/>
        <v>809</v>
      </c>
      <c r="L9425">
        <v>198.83</v>
      </c>
    </row>
    <row r="9426" spans="1:12" x14ac:dyDescent="0.25">
      <c r="A9426" t="str">
        <f t="shared" si="1680"/>
        <v>89301000</v>
      </c>
      <c r="B9426" t="str">
        <f t="shared" si="1678"/>
        <v>78051000</v>
      </c>
      <c r="C9426" t="str">
        <f t="shared" si="1679"/>
        <v>78051004</v>
      </c>
      <c r="D9426">
        <v>89301062</v>
      </c>
      <c r="E9426" t="str">
        <f>"6405260026"</f>
        <v>6405260026</v>
      </c>
      <c r="F9426" s="1">
        <v>45161</v>
      </c>
      <c r="G9426" t="str">
        <f>"0098943"</f>
        <v>0098943</v>
      </c>
      <c r="H9426">
        <v>1</v>
      </c>
      <c r="J9426">
        <v>293.81</v>
      </c>
      <c r="K9426" t="str">
        <f t="shared" si="1681"/>
        <v>809</v>
      </c>
      <c r="L9426">
        <v>293.81</v>
      </c>
    </row>
    <row r="9427" spans="1:12" x14ac:dyDescent="0.25">
      <c r="A9427" t="str">
        <f t="shared" si="1680"/>
        <v>89301000</v>
      </c>
      <c r="B9427" t="str">
        <f t="shared" si="1678"/>
        <v>78051000</v>
      </c>
      <c r="C9427" t="str">
        <f t="shared" si="1679"/>
        <v>78051004</v>
      </c>
      <c r="D9427">
        <v>89301062</v>
      </c>
      <c r="E9427" t="str">
        <f>"5752261174"</f>
        <v>5752261174</v>
      </c>
      <c r="F9427" s="1">
        <v>45161</v>
      </c>
      <c r="G9427" t="str">
        <f>"89311"</f>
        <v>89311</v>
      </c>
      <c r="H9427">
        <v>1</v>
      </c>
      <c r="I9427">
        <v>970</v>
      </c>
      <c r="J9427">
        <v>0</v>
      </c>
      <c r="K9427" t="str">
        <f t="shared" si="1681"/>
        <v>809</v>
      </c>
      <c r="L9427">
        <v>1425.9</v>
      </c>
    </row>
    <row r="9428" spans="1:12" x14ac:dyDescent="0.25">
      <c r="A9428" t="str">
        <f t="shared" si="1680"/>
        <v>89301000</v>
      </c>
      <c r="B9428" t="str">
        <f t="shared" si="1678"/>
        <v>78051000</v>
      </c>
      <c r="C9428" t="str">
        <f t="shared" si="1679"/>
        <v>78051004</v>
      </c>
      <c r="D9428">
        <v>89301062</v>
      </c>
      <c r="E9428" t="str">
        <f>"5752261174"</f>
        <v>5752261174</v>
      </c>
      <c r="F9428" s="1">
        <v>45161</v>
      </c>
      <c r="G9428" t="str">
        <f>"0090044"</f>
        <v>0090044</v>
      </c>
      <c r="H9428">
        <v>1</v>
      </c>
      <c r="J9428">
        <v>16.8</v>
      </c>
      <c r="K9428" t="str">
        <f t="shared" si="1681"/>
        <v>809</v>
      </c>
      <c r="L9428">
        <v>16.8</v>
      </c>
    </row>
    <row r="9429" spans="1:12" x14ac:dyDescent="0.25">
      <c r="A9429" t="str">
        <f t="shared" si="1680"/>
        <v>89301000</v>
      </c>
      <c r="B9429" t="str">
        <f t="shared" si="1678"/>
        <v>78051000</v>
      </c>
      <c r="C9429" t="str">
        <f t="shared" si="1679"/>
        <v>78051004</v>
      </c>
      <c r="D9429">
        <v>89301062</v>
      </c>
      <c r="E9429" t="str">
        <f>"5752261174"</f>
        <v>5752261174</v>
      </c>
      <c r="F9429" s="1">
        <v>45161</v>
      </c>
      <c r="G9429" t="str">
        <f>"0225891"</f>
        <v>0225891</v>
      </c>
      <c r="H9429">
        <v>0.2</v>
      </c>
      <c r="J9429">
        <v>44.65</v>
      </c>
      <c r="K9429" t="str">
        <f t="shared" si="1681"/>
        <v>809</v>
      </c>
      <c r="L9429">
        <v>44.65</v>
      </c>
    </row>
    <row r="9430" spans="1:12" x14ac:dyDescent="0.25">
      <c r="A9430" t="str">
        <f t="shared" si="1680"/>
        <v>89301000</v>
      </c>
      <c r="B9430" t="str">
        <f t="shared" si="1678"/>
        <v>78051000</v>
      </c>
      <c r="C9430" t="str">
        <f t="shared" si="1679"/>
        <v>78051004</v>
      </c>
      <c r="D9430">
        <v>89301062</v>
      </c>
      <c r="E9430" t="str">
        <f>"5752261174"</f>
        <v>5752261174</v>
      </c>
      <c r="F9430" s="1">
        <v>45161</v>
      </c>
      <c r="G9430" t="str">
        <f>"0096251"</f>
        <v>0096251</v>
      </c>
      <c r="H9430">
        <v>0.17</v>
      </c>
      <c r="J9430">
        <v>198.83</v>
      </c>
      <c r="K9430" t="str">
        <f t="shared" si="1681"/>
        <v>809</v>
      </c>
      <c r="L9430">
        <v>198.83</v>
      </c>
    </row>
    <row r="9431" spans="1:12" x14ac:dyDescent="0.25">
      <c r="A9431" t="str">
        <f t="shared" si="1680"/>
        <v>89301000</v>
      </c>
      <c r="B9431" t="str">
        <f t="shared" si="1678"/>
        <v>78051000</v>
      </c>
      <c r="C9431" t="str">
        <f t="shared" si="1679"/>
        <v>78051004</v>
      </c>
      <c r="D9431">
        <v>89301062</v>
      </c>
      <c r="E9431" t="str">
        <f>"5752261174"</f>
        <v>5752261174</v>
      </c>
      <c r="F9431" s="1">
        <v>45161</v>
      </c>
      <c r="G9431" t="str">
        <f>"0098943"</f>
        <v>0098943</v>
      </c>
      <c r="H9431">
        <v>1</v>
      </c>
      <c r="J9431">
        <v>293.81</v>
      </c>
      <c r="K9431" t="str">
        <f t="shared" si="1681"/>
        <v>809</v>
      </c>
      <c r="L9431">
        <v>293.81</v>
      </c>
    </row>
    <row r="9432" spans="1:12" x14ac:dyDescent="0.25">
      <c r="A9432" t="str">
        <f t="shared" si="1680"/>
        <v>89301000</v>
      </c>
      <c r="B9432" t="str">
        <f t="shared" si="1678"/>
        <v>78051000</v>
      </c>
      <c r="C9432" t="str">
        <f t="shared" si="1679"/>
        <v>78051004</v>
      </c>
      <c r="D9432">
        <v>89301062</v>
      </c>
      <c r="E9432" t="str">
        <f>"526002111"</f>
        <v>526002111</v>
      </c>
      <c r="F9432" s="1">
        <v>45161</v>
      </c>
      <c r="G9432" t="str">
        <f>"89311"</f>
        <v>89311</v>
      </c>
      <c r="H9432">
        <v>1</v>
      </c>
      <c r="I9432">
        <v>970</v>
      </c>
      <c r="J9432">
        <v>0</v>
      </c>
      <c r="K9432" t="str">
        <f t="shared" si="1681"/>
        <v>809</v>
      </c>
      <c r="L9432">
        <v>1425.9</v>
      </c>
    </row>
    <row r="9433" spans="1:12" x14ac:dyDescent="0.25">
      <c r="A9433" t="str">
        <f t="shared" si="1680"/>
        <v>89301000</v>
      </c>
      <c r="B9433" t="str">
        <f t="shared" si="1678"/>
        <v>78051000</v>
      </c>
      <c r="C9433" t="str">
        <f t="shared" si="1679"/>
        <v>78051004</v>
      </c>
      <c r="D9433">
        <v>89301062</v>
      </c>
      <c r="E9433" t="str">
        <f>"526002111"</f>
        <v>526002111</v>
      </c>
      <c r="F9433" s="1">
        <v>45161</v>
      </c>
      <c r="G9433" t="str">
        <f>"0090044"</f>
        <v>0090044</v>
      </c>
      <c r="H9433">
        <v>1</v>
      </c>
      <c r="J9433">
        <v>16.8</v>
      </c>
      <c r="K9433" t="str">
        <f t="shared" si="1681"/>
        <v>809</v>
      </c>
      <c r="L9433">
        <v>16.8</v>
      </c>
    </row>
    <row r="9434" spans="1:12" x14ac:dyDescent="0.25">
      <c r="A9434" t="str">
        <f t="shared" si="1680"/>
        <v>89301000</v>
      </c>
      <c r="B9434" t="str">
        <f t="shared" si="1678"/>
        <v>78051000</v>
      </c>
      <c r="C9434" t="str">
        <f t="shared" si="1679"/>
        <v>78051004</v>
      </c>
      <c r="D9434">
        <v>89301062</v>
      </c>
      <c r="E9434" t="str">
        <f>"526002111"</f>
        <v>526002111</v>
      </c>
      <c r="F9434" s="1">
        <v>45161</v>
      </c>
      <c r="G9434" t="str">
        <f>"0225891"</f>
        <v>0225891</v>
      </c>
      <c r="H9434">
        <v>0.2</v>
      </c>
      <c r="J9434">
        <v>44.65</v>
      </c>
      <c r="K9434" t="str">
        <f t="shared" si="1681"/>
        <v>809</v>
      </c>
      <c r="L9434">
        <v>44.65</v>
      </c>
    </row>
    <row r="9435" spans="1:12" x14ac:dyDescent="0.25">
      <c r="A9435" t="str">
        <f t="shared" si="1680"/>
        <v>89301000</v>
      </c>
      <c r="B9435" t="str">
        <f t="shared" si="1678"/>
        <v>78051000</v>
      </c>
      <c r="C9435" t="str">
        <f t="shared" si="1679"/>
        <v>78051004</v>
      </c>
      <c r="D9435">
        <v>89301062</v>
      </c>
      <c r="E9435" t="str">
        <f>"526002111"</f>
        <v>526002111</v>
      </c>
      <c r="F9435" s="1">
        <v>45161</v>
      </c>
      <c r="G9435" t="str">
        <f>"0096251"</f>
        <v>0096251</v>
      </c>
      <c r="H9435">
        <v>0.17</v>
      </c>
      <c r="J9435">
        <v>198.83</v>
      </c>
      <c r="K9435" t="str">
        <f t="shared" si="1681"/>
        <v>809</v>
      </c>
      <c r="L9435">
        <v>198.83</v>
      </c>
    </row>
    <row r="9436" spans="1:12" x14ac:dyDescent="0.25">
      <c r="A9436" t="str">
        <f t="shared" si="1680"/>
        <v>89301000</v>
      </c>
      <c r="B9436" t="str">
        <f t="shared" si="1678"/>
        <v>78051000</v>
      </c>
      <c r="C9436" t="str">
        <f t="shared" si="1679"/>
        <v>78051004</v>
      </c>
      <c r="D9436">
        <v>89301062</v>
      </c>
      <c r="E9436" t="str">
        <f>"526002111"</f>
        <v>526002111</v>
      </c>
      <c r="F9436" s="1">
        <v>45161</v>
      </c>
      <c r="G9436" t="str">
        <f>"0098943"</f>
        <v>0098943</v>
      </c>
      <c r="H9436">
        <v>1</v>
      </c>
      <c r="J9436">
        <v>293.81</v>
      </c>
      <c r="K9436" t="str">
        <f t="shared" si="1681"/>
        <v>809</v>
      </c>
      <c r="L9436">
        <v>293.81</v>
      </c>
    </row>
    <row r="9437" spans="1:12" x14ac:dyDescent="0.25">
      <c r="A9437" t="str">
        <f t="shared" si="1680"/>
        <v>89301000</v>
      </c>
      <c r="B9437" t="str">
        <f t="shared" si="1678"/>
        <v>78051000</v>
      </c>
      <c r="C9437" t="str">
        <f t="shared" si="1679"/>
        <v>78051004</v>
      </c>
      <c r="D9437">
        <v>89301062</v>
      </c>
      <c r="E9437" t="str">
        <f>"8462205763"</f>
        <v>8462205763</v>
      </c>
      <c r="F9437" s="1">
        <v>45168</v>
      </c>
      <c r="G9437" t="str">
        <f>"89311"</f>
        <v>89311</v>
      </c>
      <c r="H9437">
        <v>1</v>
      </c>
      <c r="I9437">
        <v>970</v>
      </c>
      <c r="J9437">
        <v>0</v>
      </c>
      <c r="K9437" t="str">
        <f t="shared" si="1681"/>
        <v>809</v>
      </c>
      <c r="L9437">
        <v>1425.9</v>
      </c>
    </row>
    <row r="9438" spans="1:12" x14ac:dyDescent="0.25">
      <c r="A9438" t="str">
        <f t="shared" si="1680"/>
        <v>89301000</v>
      </c>
      <c r="B9438" t="str">
        <f t="shared" si="1678"/>
        <v>78051000</v>
      </c>
      <c r="C9438" t="str">
        <f t="shared" si="1679"/>
        <v>78051004</v>
      </c>
      <c r="D9438">
        <v>89301062</v>
      </c>
      <c r="E9438" t="str">
        <f>"8462205763"</f>
        <v>8462205763</v>
      </c>
      <c r="F9438" s="1">
        <v>45168</v>
      </c>
      <c r="G9438" t="str">
        <f>"0090044"</f>
        <v>0090044</v>
      </c>
      <c r="H9438">
        <v>1</v>
      </c>
      <c r="J9438">
        <v>16.8</v>
      </c>
      <c r="K9438" t="str">
        <f t="shared" si="1681"/>
        <v>809</v>
      </c>
      <c r="L9438">
        <v>16.8</v>
      </c>
    </row>
    <row r="9439" spans="1:12" x14ac:dyDescent="0.25">
      <c r="A9439" t="str">
        <f t="shared" si="1680"/>
        <v>89301000</v>
      </c>
      <c r="B9439" t="str">
        <f t="shared" si="1678"/>
        <v>78051000</v>
      </c>
      <c r="C9439" t="str">
        <f t="shared" si="1679"/>
        <v>78051004</v>
      </c>
      <c r="D9439">
        <v>89301062</v>
      </c>
      <c r="E9439" t="str">
        <f>"8462205763"</f>
        <v>8462205763</v>
      </c>
      <c r="F9439" s="1">
        <v>45168</v>
      </c>
      <c r="G9439" t="str">
        <f>"0225891"</f>
        <v>0225891</v>
      </c>
      <c r="H9439">
        <v>0.2</v>
      </c>
      <c r="J9439">
        <v>44.65</v>
      </c>
      <c r="K9439" t="str">
        <f t="shared" si="1681"/>
        <v>809</v>
      </c>
      <c r="L9439">
        <v>44.65</v>
      </c>
    </row>
    <row r="9440" spans="1:12" x14ac:dyDescent="0.25">
      <c r="A9440" t="str">
        <f t="shared" si="1680"/>
        <v>89301000</v>
      </c>
      <c r="B9440" t="str">
        <f t="shared" ref="B9440:B9460" si="1682">"78051000"</f>
        <v>78051000</v>
      </c>
      <c r="C9440" t="str">
        <f t="shared" ref="C9440:C9446" si="1683">"78051004"</f>
        <v>78051004</v>
      </c>
      <c r="D9440">
        <v>89301062</v>
      </c>
      <c r="E9440" t="str">
        <f>"8462205763"</f>
        <v>8462205763</v>
      </c>
      <c r="F9440" s="1">
        <v>45168</v>
      </c>
      <c r="G9440" t="str">
        <f>"0096251"</f>
        <v>0096251</v>
      </c>
      <c r="H9440">
        <v>0.17</v>
      </c>
      <c r="J9440">
        <v>198.83</v>
      </c>
      <c r="K9440" t="str">
        <f t="shared" si="1681"/>
        <v>809</v>
      </c>
      <c r="L9440">
        <v>198.83</v>
      </c>
    </row>
    <row r="9441" spans="1:12" x14ac:dyDescent="0.25">
      <c r="A9441" t="str">
        <f t="shared" si="1680"/>
        <v>89301000</v>
      </c>
      <c r="B9441" t="str">
        <f t="shared" si="1682"/>
        <v>78051000</v>
      </c>
      <c r="C9441" t="str">
        <f t="shared" si="1683"/>
        <v>78051004</v>
      </c>
      <c r="D9441">
        <v>89301062</v>
      </c>
      <c r="E9441" t="str">
        <f>"8462205763"</f>
        <v>8462205763</v>
      </c>
      <c r="F9441" s="1">
        <v>45168</v>
      </c>
      <c r="G9441" t="str">
        <f>"0098943"</f>
        <v>0098943</v>
      </c>
      <c r="H9441">
        <v>1</v>
      </c>
      <c r="J9441">
        <v>293.81</v>
      </c>
      <c r="K9441" t="str">
        <f t="shared" si="1681"/>
        <v>809</v>
      </c>
      <c r="L9441">
        <v>293.81</v>
      </c>
    </row>
    <row r="9442" spans="1:12" x14ac:dyDescent="0.25">
      <c r="A9442" t="str">
        <f t="shared" si="1680"/>
        <v>89301000</v>
      </c>
      <c r="B9442" t="str">
        <f t="shared" si="1682"/>
        <v>78051000</v>
      </c>
      <c r="C9442" t="str">
        <f t="shared" si="1683"/>
        <v>78051004</v>
      </c>
      <c r="D9442">
        <v>89301062</v>
      </c>
      <c r="E9442" t="str">
        <f>"7404185756"</f>
        <v>7404185756</v>
      </c>
      <c r="F9442" s="1">
        <v>45168</v>
      </c>
      <c r="G9442" t="str">
        <f>"89311"</f>
        <v>89311</v>
      </c>
      <c r="H9442">
        <v>1</v>
      </c>
      <c r="I9442">
        <v>970</v>
      </c>
      <c r="J9442">
        <v>0</v>
      </c>
      <c r="K9442" t="str">
        <f t="shared" si="1681"/>
        <v>809</v>
      </c>
      <c r="L9442">
        <v>1425.9</v>
      </c>
    </row>
    <row r="9443" spans="1:12" x14ac:dyDescent="0.25">
      <c r="A9443" t="str">
        <f t="shared" si="1680"/>
        <v>89301000</v>
      </c>
      <c r="B9443" t="str">
        <f t="shared" si="1682"/>
        <v>78051000</v>
      </c>
      <c r="C9443" t="str">
        <f t="shared" si="1683"/>
        <v>78051004</v>
      </c>
      <c r="D9443">
        <v>89301062</v>
      </c>
      <c r="E9443" t="str">
        <f>"7404185756"</f>
        <v>7404185756</v>
      </c>
      <c r="F9443" s="1">
        <v>45168</v>
      </c>
      <c r="G9443" t="str">
        <f>"0090044"</f>
        <v>0090044</v>
      </c>
      <c r="H9443">
        <v>1</v>
      </c>
      <c r="J9443">
        <v>16.8</v>
      </c>
      <c r="K9443" t="str">
        <f t="shared" si="1681"/>
        <v>809</v>
      </c>
      <c r="L9443">
        <v>16.8</v>
      </c>
    </row>
    <row r="9444" spans="1:12" x14ac:dyDescent="0.25">
      <c r="A9444" t="str">
        <f t="shared" si="1680"/>
        <v>89301000</v>
      </c>
      <c r="B9444" t="str">
        <f t="shared" si="1682"/>
        <v>78051000</v>
      </c>
      <c r="C9444" t="str">
        <f t="shared" si="1683"/>
        <v>78051004</v>
      </c>
      <c r="D9444">
        <v>89301062</v>
      </c>
      <c r="E9444" t="str">
        <f>"7404185756"</f>
        <v>7404185756</v>
      </c>
      <c r="F9444" s="1">
        <v>45168</v>
      </c>
      <c r="G9444" t="str">
        <f>"0225891"</f>
        <v>0225891</v>
      </c>
      <c r="H9444">
        <v>0.2</v>
      </c>
      <c r="J9444">
        <v>44.65</v>
      </c>
      <c r="K9444" t="str">
        <f t="shared" si="1681"/>
        <v>809</v>
      </c>
      <c r="L9444">
        <v>44.65</v>
      </c>
    </row>
    <row r="9445" spans="1:12" x14ac:dyDescent="0.25">
      <c r="A9445" t="str">
        <f t="shared" si="1680"/>
        <v>89301000</v>
      </c>
      <c r="B9445" t="str">
        <f t="shared" si="1682"/>
        <v>78051000</v>
      </c>
      <c r="C9445" t="str">
        <f t="shared" si="1683"/>
        <v>78051004</v>
      </c>
      <c r="D9445">
        <v>89301062</v>
      </c>
      <c r="E9445" t="str">
        <f>"7404185756"</f>
        <v>7404185756</v>
      </c>
      <c r="F9445" s="1">
        <v>45168</v>
      </c>
      <c r="G9445" t="str">
        <f>"0096251"</f>
        <v>0096251</v>
      </c>
      <c r="H9445">
        <v>0.17</v>
      </c>
      <c r="J9445">
        <v>198.83</v>
      </c>
      <c r="K9445" t="str">
        <f t="shared" si="1681"/>
        <v>809</v>
      </c>
      <c r="L9445">
        <v>198.83</v>
      </c>
    </row>
    <row r="9446" spans="1:12" x14ac:dyDescent="0.25">
      <c r="A9446" t="str">
        <f t="shared" si="1680"/>
        <v>89301000</v>
      </c>
      <c r="B9446" t="str">
        <f t="shared" si="1682"/>
        <v>78051000</v>
      </c>
      <c r="C9446" t="str">
        <f t="shared" si="1683"/>
        <v>78051004</v>
      </c>
      <c r="D9446">
        <v>89301062</v>
      </c>
      <c r="E9446" t="str">
        <f>"7404185756"</f>
        <v>7404185756</v>
      </c>
      <c r="F9446" s="1">
        <v>45168</v>
      </c>
      <c r="G9446" t="str">
        <f>"0098943"</f>
        <v>0098943</v>
      </c>
      <c r="H9446">
        <v>1</v>
      </c>
      <c r="J9446">
        <v>293.81</v>
      </c>
      <c r="K9446" t="str">
        <f t="shared" si="1681"/>
        <v>809</v>
      </c>
      <c r="L9446">
        <v>293.81</v>
      </c>
    </row>
    <row r="9447" spans="1:12" x14ac:dyDescent="0.25">
      <c r="A9447" t="str">
        <f t="shared" si="1680"/>
        <v>89301000</v>
      </c>
      <c r="B9447" t="str">
        <f t="shared" si="1682"/>
        <v>78051000</v>
      </c>
      <c r="C9447" t="str">
        <f t="shared" ref="C9447:C9460" si="1684">"78051017"</f>
        <v>78051017</v>
      </c>
      <c r="D9447">
        <v>89301062</v>
      </c>
      <c r="E9447" t="str">
        <f>"5701210416"</f>
        <v>5701210416</v>
      </c>
      <c r="F9447" s="1">
        <v>45147</v>
      </c>
      <c r="G9447" t="str">
        <f t="shared" ref="G9447:G9460" si="1685">"89615"</f>
        <v>89615</v>
      </c>
      <c r="H9447">
        <v>1</v>
      </c>
      <c r="I9447">
        <v>2199</v>
      </c>
      <c r="J9447">
        <v>0</v>
      </c>
      <c r="K9447" t="str">
        <f t="shared" ref="K9447:K9460" si="1686">"810"</f>
        <v>810</v>
      </c>
      <c r="L9447">
        <v>1429.35</v>
      </c>
    </row>
    <row r="9448" spans="1:12" x14ac:dyDescent="0.25">
      <c r="A9448" t="str">
        <f t="shared" si="1680"/>
        <v>89301000</v>
      </c>
      <c r="B9448" t="str">
        <f t="shared" si="1682"/>
        <v>78051000</v>
      </c>
      <c r="C9448" t="str">
        <f t="shared" si="1684"/>
        <v>78051017</v>
      </c>
      <c r="D9448">
        <v>89301062</v>
      </c>
      <c r="E9448" t="str">
        <f>"7601285351"</f>
        <v>7601285351</v>
      </c>
      <c r="F9448" s="1">
        <v>45147</v>
      </c>
      <c r="G9448" t="str">
        <f t="shared" si="1685"/>
        <v>89615</v>
      </c>
      <c r="H9448">
        <v>1</v>
      </c>
      <c r="I9448">
        <v>2199</v>
      </c>
      <c r="J9448">
        <v>0</v>
      </c>
      <c r="K9448" t="str">
        <f t="shared" si="1686"/>
        <v>810</v>
      </c>
      <c r="L9448">
        <v>1429.35</v>
      </c>
    </row>
    <row r="9449" spans="1:12" x14ac:dyDescent="0.25">
      <c r="A9449" t="str">
        <f t="shared" si="1680"/>
        <v>89301000</v>
      </c>
      <c r="B9449" t="str">
        <f t="shared" si="1682"/>
        <v>78051000</v>
      </c>
      <c r="C9449" t="str">
        <f t="shared" si="1684"/>
        <v>78051017</v>
      </c>
      <c r="D9449">
        <v>89301062</v>
      </c>
      <c r="E9449" t="str">
        <f>"5755211154"</f>
        <v>5755211154</v>
      </c>
      <c r="F9449" s="1">
        <v>45147</v>
      </c>
      <c r="G9449" t="str">
        <f t="shared" si="1685"/>
        <v>89615</v>
      </c>
      <c r="H9449">
        <v>1</v>
      </c>
      <c r="I9449">
        <v>2199</v>
      </c>
      <c r="J9449">
        <v>0</v>
      </c>
      <c r="K9449" t="str">
        <f t="shared" si="1686"/>
        <v>810</v>
      </c>
      <c r="L9449">
        <v>1429.35</v>
      </c>
    </row>
    <row r="9450" spans="1:12" x14ac:dyDescent="0.25">
      <c r="A9450" t="str">
        <f t="shared" si="1680"/>
        <v>89301000</v>
      </c>
      <c r="B9450" t="str">
        <f t="shared" si="1682"/>
        <v>78051000</v>
      </c>
      <c r="C9450" t="str">
        <f t="shared" si="1684"/>
        <v>78051017</v>
      </c>
      <c r="D9450">
        <v>89301062</v>
      </c>
      <c r="E9450" t="str">
        <f>"6510221410"</f>
        <v>6510221410</v>
      </c>
      <c r="F9450" s="1">
        <v>45147</v>
      </c>
      <c r="G9450" t="str">
        <f t="shared" si="1685"/>
        <v>89615</v>
      </c>
      <c r="H9450">
        <v>1</v>
      </c>
      <c r="I9450">
        <v>2199</v>
      </c>
      <c r="J9450">
        <v>0</v>
      </c>
      <c r="K9450" t="str">
        <f t="shared" si="1686"/>
        <v>810</v>
      </c>
      <c r="L9450">
        <v>1429.35</v>
      </c>
    </row>
    <row r="9451" spans="1:12" x14ac:dyDescent="0.25">
      <c r="A9451" t="str">
        <f t="shared" si="1680"/>
        <v>89301000</v>
      </c>
      <c r="B9451" t="str">
        <f t="shared" si="1682"/>
        <v>78051000</v>
      </c>
      <c r="C9451" t="str">
        <f t="shared" si="1684"/>
        <v>78051017</v>
      </c>
      <c r="D9451">
        <v>89301062</v>
      </c>
      <c r="E9451" t="str">
        <f>"6159211355"</f>
        <v>6159211355</v>
      </c>
      <c r="F9451" s="1">
        <v>45154</v>
      </c>
      <c r="G9451" t="str">
        <f t="shared" si="1685"/>
        <v>89615</v>
      </c>
      <c r="H9451">
        <v>1</v>
      </c>
      <c r="I9451">
        <v>2199</v>
      </c>
      <c r="J9451">
        <v>0</v>
      </c>
      <c r="K9451" t="str">
        <f t="shared" si="1686"/>
        <v>810</v>
      </c>
      <c r="L9451">
        <v>1429.35</v>
      </c>
    </row>
    <row r="9452" spans="1:12" x14ac:dyDescent="0.25">
      <c r="A9452" t="str">
        <f t="shared" si="1680"/>
        <v>89301000</v>
      </c>
      <c r="B9452" t="str">
        <f t="shared" si="1682"/>
        <v>78051000</v>
      </c>
      <c r="C9452" t="str">
        <f t="shared" si="1684"/>
        <v>78051017</v>
      </c>
      <c r="D9452">
        <v>89301062</v>
      </c>
      <c r="E9452" t="str">
        <f>"505509270"</f>
        <v>505509270</v>
      </c>
      <c r="F9452" s="1">
        <v>45154</v>
      </c>
      <c r="G9452" t="str">
        <f t="shared" si="1685"/>
        <v>89615</v>
      </c>
      <c r="H9452">
        <v>1</v>
      </c>
      <c r="I9452">
        <v>2199</v>
      </c>
      <c r="J9452">
        <v>0</v>
      </c>
      <c r="K9452" t="str">
        <f t="shared" si="1686"/>
        <v>810</v>
      </c>
      <c r="L9452">
        <v>1429.35</v>
      </c>
    </row>
    <row r="9453" spans="1:12" x14ac:dyDescent="0.25">
      <c r="A9453" t="str">
        <f t="shared" si="1680"/>
        <v>89301000</v>
      </c>
      <c r="B9453" t="str">
        <f t="shared" si="1682"/>
        <v>78051000</v>
      </c>
      <c r="C9453" t="str">
        <f t="shared" si="1684"/>
        <v>78051017</v>
      </c>
      <c r="D9453">
        <v>89301062</v>
      </c>
      <c r="E9453" t="str">
        <f>"486212092"</f>
        <v>486212092</v>
      </c>
      <c r="F9453" s="1">
        <v>45154</v>
      </c>
      <c r="G9453" t="str">
        <f t="shared" si="1685"/>
        <v>89615</v>
      </c>
      <c r="H9453">
        <v>1</v>
      </c>
      <c r="I9453">
        <v>2199</v>
      </c>
      <c r="J9453">
        <v>0</v>
      </c>
      <c r="K9453" t="str">
        <f t="shared" si="1686"/>
        <v>810</v>
      </c>
      <c r="L9453">
        <v>1429.35</v>
      </c>
    </row>
    <row r="9454" spans="1:12" x14ac:dyDescent="0.25">
      <c r="A9454" t="str">
        <f t="shared" si="1680"/>
        <v>89301000</v>
      </c>
      <c r="B9454" t="str">
        <f t="shared" si="1682"/>
        <v>78051000</v>
      </c>
      <c r="C9454" t="str">
        <f t="shared" si="1684"/>
        <v>78051017</v>
      </c>
      <c r="D9454">
        <v>89301062</v>
      </c>
      <c r="E9454" t="str">
        <f>"6655240405"</f>
        <v>6655240405</v>
      </c>
      <c r="F9454" s="1">
        <v>45154</v>
      </c>
      <c r="G9454" t="str">
        <f t="shared" si="1685"/>
        <v>89615</v>
      </c>
      <c r="H9454">
        <v>1</v>
      </c>
      <c r="I9454">
        <v>2199</v>
      </c>
      <c r="J9454">
        <v>0</v>
      </c>
      <c r="K9454" t="str">
        <f t="shared" si="1686"/>
        <v>810</v>
      </c>
      <c r="L9454">
        <v>1429.35</v>
      </c>
    </row>
    <row r="9455" spans="1:12" x14ac:dyDescent="0.25">
      <c r="A9455" t="str">
        <f t="shared" si="1680"/>
        <v>89301000</v>
      </c>
      <c r="B9455" t="str">
        <f t="shared" si="1682"/>
        <v>78051000</v>
      </c>
      <c r="C9455" t="str">
        <f t="shared" si="1684"/>
        <v>78051017</v>
      </c>
      <c r="D9455">
        <v>89301062</v>
      </c>
      <c r="E9455" t="str">
        <f>"7160125775"</f>
        <v>7160125775</v>
      </c>
      <c r="F9455" s="1">
        <v>45161</v>
      </c>
      <c r="G9455" t="str">
        <f t="shared" si="1685"/>
        <v>89615</v>
      </c>
      <c r="H9455">
        <v>1</v>
      </c>
      <c r="I9455">
        <v>2199</v>
      </c>
      <c r="J9455">
        <v>0</v>
      </c>
      <c r="K9455" t="str">
        <f t="shared" si="1686"/>
        <v>810</v>
      </c>
      <c r="L9455">
        <v>1429.35</v>
      </c>
    </row>
    <row r="9456" spans="1:12" x14ac:dyDescent="0.25">
      <c r="A9456" t="str">
        <f t="shared" si="1680"/>
        <v>89301000</v>
      </c>
      <c r="B9456" t="str">
        <f t="shared" si="1682"/>
        <v>78051000</v>
      </c>
      <c r="C9456" t="str">
        <f t="shared" si="1684"/>
        <v>78051017</v>
      </c>
      <c r="D9456">
        <v>89301062</v>
      </c>
      <c r="E9456" t="str">
        <f>"6405260026"</f>
        <v>6405260026</v>
      </c>
      <c r="F9456" s="1">
        <v>45161</v>
      </c>
      <c r="G9456" t="str">
        <f t="shared" si="1685"/>
        <v>89615</v>
      </c>
      <c r="H9456">
        <v>1</v>
      </c>
      <c r="I9456">
        <v>2199</v>
      </c>
      <c r="J9456">
        <v>0</v>
      </c>
      <c r="K9456" t="str">
        <f t="shared" si="1686"/>
        <v>810</v>
      </c>
      <c r="L9456">
        <v>1429.35</v>
      </c>
    </row>
    <row r="9457" spans="1:12" x14ac:dyDescent="0.25">
      <c r="A9457" t="str">
        <f t="shared" si="1680"/>
        <v>89301000</v>
      </c>
      <c r="B9457" t="str">
        <f t="shared" si="1682"/>
        <v>78051000</v>
      </c>
      <c r="C9457" t="str">
        <f t="shared" si="1684"/>
        <v>78051017</v>
      </c>
      <c r="D9457">
        <v>89301062</v>
      </c>
      <c r="E9457" t="str">
        <f>"5752261174"</f>
        <v>5752261174</v>
      </c>
      <c r="F9457" s="1">
        <v>45161</v>
      </c>
      <c r="G9457" t="str">
        <f t="shared" si="1685"/>
        <v>89615</v>
      </c>
      <c r="H9457">
        <v>1</v>
      </c>
      <c r="I9457">
        <v>2199</v>
      </c>
      <c r="J9457">
        <v>0</v>
      </c>
      <c r="K9457" t="str">
        <f t="shared" si="1686"/>
        <v>810</v>
      </c>
      <c r="L9457">
        <v>1429.35</v>
      </c>
    </row>
    <row r="9458" spans="1:12" x14ac:dyDescent="0.25">
      <c r="A9458" t="str">
        <f t="shared" si="1680"/>
        <v>89301000</v>
      </c>
      <c r="B9458" t="str">
        <f t="shared" si="1682"/>
        <v>78051000</v>
      </c>
      <c r="C9458" t="str">
        <f t="shared" si="1684"/>
        <v>78051017</v>
      </c>
      <c r="D9458">
        <v>89301062</v>
      </c>
      <c r="E9458" t="str">
        <f>"526002111"</f>
        <v>526002111</v>
      </c>
      <c r="F9458" s="1">
        <v>45161</v>
      </c>
      <c r="G9458" t="str">
        <f t="shared" si="1685"/>
        <v>89615</v>
      </c>
      <c r="H9458">
        <v>1</v>
      </c>
      <c r="I9458">
        <v>2199</v>
      </c>
      <c r="J9458">
        <v>0</v>
      </c>
      <c r="K9458" t="str">
        <f t="shared" si="1686"/>
        <v>810</v>
      </c>
      <c r="L9458">
        <v>1429.35</v>
      </c>
    </row>
    <row r="9459" spans="1:12" x14ac:dyDescent="0.25">
      <c r="A9459" t="str">
        <f t="shared" si="1680"/>
        <v>89301000</v>
      </c>
      <c r="B9459" t="str">
        <f t="shared" si="1682"/>
        <v>78051000</v>
      </c>
      <c r="C9459" t="str">
        <f t="shared" si="1684"/>
        <v>78051017</v>
      </c>
      <c r="D9459">
        <v>89301062</v>
      </c>
      <c r="E9459" t="str">
        <f>"8462205763"</f>
        <v>8462205763</v>
      </c>
      <c r="F9459" s="1">
        <v>45168</v>
      </c>
      <c r="G9459" t="str">
        <f t="shared" si="1685"/>
        <v>89615</v>
      </c>
      <c r="H9459">
        <v>1</v>
      </c>
      <c r="I9459">
        <v>2199</v>
      </c>
      <c r="J9459">
        <v>0</v>
      </c>
      <c r="K9459" t="str">
        <f t="shared" si="1686"/>
        <v>810</v>
      </c>
      <c r="L9459">
        <v>1429.35</v>
      </c>
    </row>
    <row r="9460" spans="1:12" x14ac:dyDescent="0.25">
      <c r="A9460" t="str">
        <f t="shared" si="1680"/>
        <v>89301000</v>
      </c>
      <c r="B9460" t="str">
        <f t="shared" si="1682"/>
        <v>78051000</v>
      </c>
      <c r="C9460" t="str">
        <f t="shared" si="1684"/>
        <v>78051017</v>
      </c>
      <c r="D9460">
        <v>89301062</v>
      </c>
      <c r="E9460" t="str">
        <f>"7404185756"</f>
        <v>7404185756</v>
      </c>
      <c r="F9460" s="1">
        <v>45168</v>
      </c>
      <c r="G9460" t="str">
        <f t="shared" si="1685"/>
        <v>89615</v>
      </c>
      <c r="H9460">
        <v>1</v>
      </c>
      <c r="I9460">
        <v>2199</v>
      </c>
      <c r="J9460">
        <v>0</v>
      </c>
      <c r="K9460" t="str">
        <f t="shared" si="1686"/>
        <v>810</v>
      </c>
      <c r="L9460">
        <v>1429.35</v>
      </c>
    </row>
    <row r="9461" spans="1:12" x14ac:dyDescent="0.25">
      <c r="A9461" t="str">
        <f t="shared" si="1680"/>
        <v>89301000</v>
      </c>
      <c r="B9461" t="str">
        <f>"93507000"</f>
        <v>93507000</v>
      </c>
      <c r="C9461" t="str">
        <f>"93507001"</f>
        <v>93507001</v>
      </c>
      <c r="D9461">
        <v>89301042</v>
      </c>
      <c r="E9461" t="str">
        <f>"5460200757"</f>
        <v>5460200757</v>
      </c>
      <c r="F9461" s="1">
        <v>45160</v>
      </c>
      <c r="G9461" t="str">
        <f>"89513"</f>
        <v>89513</v>
      </c>
      <c r="H9461">
        <v>1</v>
      </c>
      <c r="I9461">
        <v>378</v>
      </c>
      <c r="J9461">
        <v>0</v>
      </c>
      <c r="K9461" t="str">
        <f t="shared" ref="K9461:K9469" si="1687">"809"</f>
        <v>809</v>
      </c>
      <c r="L9461">
        <v>555.66</v>
      </c>
    </row>
    <row r="9462" spans="1:12" x14ac:dyDescent="0.25">
      <c r="A9462" t="str">
        <f t="shared" si="1680"/>
        <v>89301000</v>
      </c>
      <c r="B9462" t="str">
        <f>"93507000"</f>
        <v>93507000</v>
      </c>
      <c r="C9462" t="str">
        <f>"93507001"</f>
        <v>93507001</v>
      </c>
      <c r="D9462">
        <v>89301212</v>
      </c>
      <c r="E9462" t="str">
        <f>"6307302012"</f>
        <v>6307302012</v>
      </c>
      <c r="F9462" s="1">
        <v>45167</v>
      </c>
      <c r="G9462" t="str">
        <f>"89514"</f>
        <v>89514</v>
      </c>
      <c r="H9462">
        <v>1</v>
      </c>
      <c r="I9462">
        <v>378</v>
      </c>
      <c r="J9462">
        <v>0</v>
      </c>
      <c r="K9462" t="str">
        <f t="shared" si="1687"/>
        <v>809</v>
      </c>
      <c r="L9462">
        <v>555.66</v>
      </c>
    </row>
    <row r="9463" spans="1:12" x14ac:dyDescent="0.25">
      <c r="A9463" t="str">
        <f t="shared" si="1680"/>
        <v>89301000</v>
      </c>
      <c r="B9463" t="str">
        <f>"93507000"</f>
        <v>93507000</v>
      </c>
      <c r="C9463" t="str">
        <f>"93507001"</f>
        <v>93507001</v>
      </c>
      <c r="D9463">
        <v>89301212</v>
      </c>
      <c r="E9463" t="str">
        <f>"6307302012"</f>
        <v>6307302012</v>
      </c>
      <c r="F9463" s="1">
        <v>45167</v>
      </c>
      <c r="G9463" t="str">
        <f>"89513"</f>
        <v>89513</v>
      </c>
      <c r="H9463">
        <v>1</v>
      </c>
      <c r="I9463">
        <v>378</v>
      </c>
      <c r="J9463">
        <v>0</v>
      </c>
      <c r="K9463" t="str">
        <f t="shared" si="1687"/>
        <v>809</v>
      </c>
      <c r="L9463">
        <v>555.66</v>
      </c>
    </row>
    <row r="9464" spans="1:12" x14ac:dyDescent="0.25">
      <c r="A9464" t="str">
        <f t="shared" si="1680"/>
        <v>89301000</v>
      </c>
      <c r="B9464" t="str">
        <f>"78610000"</f>
        <v>78610000</v>
      </c>
      <c r="C9464" t="str">
        <f>"78610001"</f>
        <v>78610001</v>
      </c>
      <c r="D9464">
        <v>89301052</v>
      </c>
      <c r="E9464" t="str">
        <f>"6210227089"</f>
        <v>6210227089</v>
      </c>
      <c r="F9464" s="1">
        <v>45147</v>
      </c>
      <c r="G9464" t="str">
        <f>"89514"</f>
        <v>89514</v>
      </c>
      <c r="H9464">
        <v>1</v>
      </c>
      <c r="I9464">
        <v>378</v>
      </c>
      <c r="J9464">
        <v>0</v>
      </c>
      <c r="K9464" t="str">
        <f t="shared" si="1687"/>
        <v>809</v>
      </c>
      <c r="L9464">
        <v>555.66</v>
      </c>
    </row>
    <row r="9465" spans="1:12" x14ac:dyDescent="0.25">
      <c r="A9465" t="str">
        <f t="shared" si="1680"/>
        <v>89301000</v>
      </c>
      <c r="B9465" t="str">
        <f>"78610000"</f>
        <v>78610000</v>
      </c>
      <c r="C9465" t="str">
        <f>"78610001"</f>
        <v>78610001</v>
      </c>
      <c r="D9465">
        <v>89301055</v>
      </c>
      <c r="E9465" t="str">
        <f>"6402191598"</f>
        <v>6402191598</v>
      </c>
      <c r="F9465" s="1">
        <v>45154</v>
      </c>
      <c r="G9465" t="str">
        <f>"89517"</f>
        <v>89517</v>
      </c>
      <c r="H9465">
        <v>1</v>
      </c>
      <c r="I9465">
        <v>994</v>
      </c>
      <c r="J9465">
        <v>0</v>
      </c>
      <c r="K9465" t="str">
        <f t="shared" si="1687"/>
        <v>809</v>
      </c>
      <c r="L9465">
        <v>1461.18</v>
      </c>
    </row>
    <row r="9466" spans="1:12" x14ac:dyDescent="0.25">
      <c r="A9466" t="str">
        <f t="shared" si="1680"/>
        <v>89301000</v>
      </c>
      <c r="B9466" t="str">
        <f>"78610000"</f>
        <v>78610000</v>
      </c>
      <c r="C9466" t="str">
        <f>"78610001"</f>
        <v>78610001</v>
      </c>
      <c r="D9466">
        <v>89301055</v>
      </c>
      <c r="E9466" t="str">
        <f>"6951205756"</f>
        <v>6951205756</v>
      </c>
      <c r="F9466" s="1">
        <v>45160</v>
      </c>
      <c r="G9466" t="str">
        <f>"89517"</f>
        <v>89517</v>
      </c>
      <c r="H9466">
        <v>1</v>
      </c>
      <c r="I9466">
        <v>994</v>
      </c>
      <c r="J9466">
        <v>0</v>
      </c>
      <c r="K9466" t="str">
        <f t="shared" si="1687"/>
        <v>809</v>
      </c>
      <c r="L9466">
        <v>1461.18</v>
      </c>
    </row>
    <row r="9467" spans="1:12" x14ac:dyDescent="0.25">
      <c r="A9467" t="str">
        <f t="shared" si="1680"/>
        <v>89301000</v>
      </c>
      <c r="B9467" t="str">
        <f>"78610000"</f>
        <v>78610000</v>
      </c>
      <c r="C9467" t="str">
        <f>"78610001"</f>
        <v>78610001</v>
      </c>
      <c r="D9467">
        <v>89301055</v>
      </c>
      <c r="E9467" t="str">
        <f>"8756275792"</f>
        <v>8756275792</v>
      </c>
      <c r="F9467" s="1">
        <v>45147</v>
      </c>
      <c r="G9467" t="str">
        <f>"89514"</f>
        <v>89514</v>
      </c>
      <c r="H9467">
        <v>1</v>
      </c>
      <c r="I9467">
        <v>378</v>
      </c>
      <c r="J9467">
        <v>0</v>
      </c>
      <c r="K9467" t="str">
        <f t="shared" si="1687"/>
        <v>809</v>
      </c>
      <c r="L9467">
        <v>555.66</v>
      </c>
    </row>
    <row r="9468" spans="1:12" x14ac:dyDescent="0.25">
      <c r="A9468" t="str">
        <f t="shared" si="1680"/>
        <v>89301000</v>
      </c>
      <c r="B9468" t="str">
        <f>"90326000"</f>
        <v>90326000</v>
      </c>
      <c r="C9468" t="str">
        <f>"90326045"</f>
        <v>90326045</v>
      </c>
      <c r="D9468">
        <v>89301212</v>
      </c>
      <c r="E9468" t="str">
        <f>"6402181995"</f>
        <v>6402181995</v>
      </c>
      <c r="F9468" s="1">
        <v>45145</v>
      </c>
      <c r="G9468" t="str">
        <f>"89513"</f>
        <v>89513</v>
      </c>
      <c r="H9468">
        <v>1</v>
      </c>
      <c r="I9468">
        <v>378</v>
      </c>
      <c r="J9468">
        <v>0</v>
      </c>
      <c r="K9468" t="str">
        <f t="shared" si="1687"/>
        <v>809</v>
      </c>
      <c r="L9468">
        <v>555.66</v>
      </c>
    </row>
    <row r="9469" spans="1:12" x14ac:dyDescent="0.25">
      <c r="A9469" t="str">
        <f t="shared" si="1680"/>
        <v>89301000</v>
      </c>
      <c r="B9469" t="str">
        <f>"90326000"</f>
        <v>90326000</v>
      </c>
      <c r="C9469" t="str">
        <f>"90326045"</f>
        <v>90326045</v>
      </c>
      <c r="D9469">
        <v>89301212</v>
      </c>
      <c r="E9469" t="str">
        <f>"6402181995"</f>
        <v>6402181995</v>
      </c>
      <c r="F9469" s="1">
        <v>45145</v>
      </c>
      <c r="G9469" t="str">
        <f>"89514"</f>
        <v>89514</v>
      </c>
      <c r="H9469">
        <v>1</v>
      </c>
      <c r="I9469">
        <v>378</v>
      </c>
      <c r="J9469">
        <v>0</v>
      </c>
      <c r="K9469" t="str">
        <f t="shared" si="1687"/>
        <v>809</v>
      </c>
      <c r="L9469">
        <v>555.66</v>
      </c>
    </row>
    <row r="9470" spans="1:12" x14ac:dyDescent="0.25">
      <c r="A9470" t="str">
        <f t="shared" si="1680"/>
        <v>89301000</v>
      </c>
      <c r="B9470" t="str">
        <f t="shared" ref="B9470:B9501" si="1688">"91866000"</f>
        <v>91866000</v>
      </c>
      <c r="C9470" t="str">
        <f t="shared" ref="C9470:C9501" si="1689">"91866313"</f>
        <v>91866313</v>
      </c>
      <c r="D9470">
        <v>89301081</v>
      </c>
      <c r="E9470" t="str">
        <f>"9357023786"</f>
        <v>9357023786</v>
      </c>
      <c r="F9470" s="1">
        <v>45140</v>
      </c>
      <c r="G9470" t="str">
        <f>"82079"</f>
        <v>82079</v>
      </c>
      <c r="H9470">
        <v>2</v>
      </c>
      <c r="I9470">
        <v>666</v>
      </c>
      <c r="J9470">
        <v>0</v>
      </c>
      <c r="K9470" t="str">
        <f t="shared" ref="K9470:K9501" si="1690">"802"</f>
        <v>802</v>
      </c>
      <c r="L9470">
        <v>646.02</v>
      </c>
    </row>
    <row r="9471" spans="1:12" x14ac:dyDescent="0.25">
      <c r="A9471" t="str">
        <f t="shared" si="1680"/>
        <v>89301000</v>
      </c>
      <c r="B9471" t="str">
        <f t="shared" si="1688"/>
        <v>91866000</v>
      </c>
      <c r="C9471" t="str">
        <f t="shared" si="1689"/>
        <v>91866313</v>
      </c>
      <c r="D9471">
        <v>89301081</v>
      </c>
      <c r="E9471" t="str">
        <f>"9357023786"</f>
        <v>9357023786</v>
      </c>
      <c r="F9471" s="1">
        <v>45140</v>
      </c>
      <c r="G9471" t="str">
        <f>"82079"</f>
        <v>82079</v>
      </c>
      <c r="H9471">
        <v>1</v>
      </c>
      <c r="I9471">
        <v>333</v>
      </c>
      <c r="J9471">
        <v>0</v>
      </c>
      <c r="K9471" t="str">
        <f t="shared" si="1690"/>
        <v>802</v>
      </c>
      <c r="L9471">
        <v>323.01</v>
      </c>
    </row>
    <row r="9472" spans="1:12" x14ac:dyDescent="0.25">
      <c r="A9472" t="str">
        <f t="shared" si="1680"/>
        <v>89301000</v>
      </c>
      <c r="B9472" t="str">
        <f t="shared" si="1688"/>
        <v>91866000</v>
      </c>
      <c r="C9472" t="str">
        <f t="shared" si="1689"/>
        <v>91866313</v>
      </c>
      <c r="D9472">
        <v>89301081</v>
      </c>
      <c r="E9472" t="str">
        <f>"9357023786"</f>
        <v>9357023786</v>
      </c>
      <c r="F9472" s="1">
        <v>45140</v>
      </c>
      <c r="G9472" t="str">
        <f>"82079"</f>
        <v>82079</v>
      </c>
      <c r="H9472">
        <v>1</v>
      </c>
      <c r="I9472">
        <v>333</v>
      </c>
      <c r="J9472">
        <v>0</v>
      </c>
      <c r="K9472" t="str">
        <f t="shared" si="1690"/>
        <v>802</v>
      </c>
      <c r="L9472">
        <v>323.01</v>
      </c>
    </row>
    <row r="9473" spans="1:12" x14ac:dyDescent="0.25">
      <c r="A9473" t="str">
        <f t="shared" si="1680"/>
        <v>89301000</v>
      </c>
      <c r="B9473" t="str">
        <f t="shared" si="1688"/>
        <v>91866000</v>
      </c>
      <c r="C9473" t="str">
        <f t="shared" si="1689"/>
        <v>91866313</v>
      </c>
      <c r="D9473">
        <v>89301031</v>
      </c>
      <c r="E9473" t="str">
        <f>"521216080"</f>
        <v>521216080</v>
      </c>
      <c r="F9473" s="1">
        <v>45143</v>
      </c>
      <c r="G9473" t="str">
        <f>"82087"</f>
        <v>82087</v>
      </c>
      <c r="H9473">
        <v>1</v>
      </c>
      <c r="I9473">
        <v>53</v>
      </c>
      <c r="J9473">
        <v>0</v>
      </c>
      <c r="K9473" t="str">
        <f t="shared" si="1690"/>
        <v>802</v>
      </c>
      <c r="L9473">
        <v>51.41</v>
      </c>
    </row>
    <row r="9474" spans="1:12" x14ac:dyDescent="0.25">
      <c r="A9474" t="str">
        <f t="shared" ref="A9474:A9537" si="1691">"89301000"</f>
        <v>89301000</v>
      </c>
      <c r="B9474" t="str">
        <f t="shared" si="1688"/>
        <v>91866000</v>
      </c>
      <c r="C9474" t="str">
        <f t="shared" si="1689"/>
        <v>91866313</v>
      </c>
      <c r="D9474">
        <v>89301031</v>
      </c>
      <c r="E9474" t="str">
        <f>"521216080"</f>
        <v>521216080</v>
      </c>
      <c r="F9474" s="1">
        <v>45143</v>
      </c>
      <c r="G9474" t="str">
        <f>"82087"</f>
        <v>82087</v>
      </c>
      <c r="H9474">
        <v>1</v>
      </c>
      <c r="I9474">
        <v>53</v>
      </c>
      <c r="J9474">
        <v>0</v>
      </c>
      <c r="K9474" t="str">
        <f t="shared" si="1690"/>
        <v>802</v>
      </c>
      <c r="L9474">
        <v>51.41</v>
      </c>
    </row>
    <row r="9475" spans="1:12" x14ac:dyDescent="0.25">
      <c r="A9475" t="str">
        <f t="shared" si="1691"/>
        <v>89301000</v>
      </c>
      <c r="B9475" t="str">
        <f t="shared" si="1688"/>
        <v>91866000</v>
      </c>
      <c r="C9475" t="str">
        <f t="shared" si="1689"/>
        <v>91866313</v>
      </c>
      <c r="D9475">
        <v>89301522</v>
      </c>
      <c r="E9475" t="str">
        <f>"8856025871"</f>
        <v>8856025871</v>
      </c>
      <c r="F9475" s="1">
        <v>45139</v>
      </c>
      <c r="G9475" t="str">
        <f>"97111"</f>
        <v>97111</v>
      </c>
      <c r="H9475">
        <v>1</v>
      </c>
      <c r="I9475">
        <v>19</v>
      </c>
      <c r="J9475">
        <v>0</v>
      </c>
      <c r="K9475" t="str">
        <f t="shared" si="1690"/>
        <v>802</v>
      </c>
      <c r="L9475">
        <v>23.94</v>
      </c>
    </row>
    <row r="9476" spans="1:12" x14ac:dyDescent="0.25">
      <c r="A9476" t="str">
        <f t="shared" si="1691"/>
        <v>89301000</v>
      </c>
      <c r="B9476" t="str">
        <f t="shared" si="1688"/>
        <v>91866000</v>
      </c>
      <c r="C9476" t="str">
        <f t="shared" si="1689"/>
        <v>91866313</v>
      </c>
      <c r="D9476">
        <v>89301522</v>
      </c>
      <c r="E9476" t="str">
        <f>"8856025871"</f>
        <v>8856025871</v>
      </c>
      <c r="F9476" s="1">
        <v>45139</v>
      </c>
      <c r="G9476" t="str">
        <f>"82113"</f>
        <v>82113</v>
      </c>
      <c r="H9476">
        <v>2</v>
      </c>
      <c r="I9476">
        <v>726</v>
      </c>
      <c r="J9476">
        <v>0</v>
      </c>
      <c r="K9476" t="str">
        <f t="shared" si="1690"/>
        <v>802</v>
      </c>
      <c r="L9476">
        <v>704.22</v>
      </c>
    </row>
    <row r="9477" spans="1:12" x14ac:dyDescent="0.25">
      <c r="A9477" t="str">
        <f t="shared" si="1691"/>
        <v>89301000</v>
      </c>
      <c r="B9477" t="str">
        <f t="shared" si="1688"/>
        <v>91866000</v>
      </c>
      <c r="C9477" t="str">
        <f t="shared" si="1689"/>
        <v>91866313</v>
      </c>
      <c r="D9477">
        <v>89301522</v>
      </c>
      <c r="E9477" t="str">
        <f>"8856025871"</f>
        <v>8856025871</v>
      </c>
      <c r="F9477" s="1">
        <v>45139</v>
      </c>
      <c r="G9477" t="str">
        <f>"82113"</f>
        <v>82113</v>
      </c>
      <c r="H9477">
        <v>2</v>
      </c>
      <c r="I9477">
        <v>726</v>
      </c>
      <c r="J9477">
        <v>0</v>
      </c>
      <c r="K9477" t="str">
        <f t="shared" si="1690"/>
        <v>802</v>
      </c>
      <c r="L9477">
        <v>704.22</v>
      </c>
    </row>
    <row r="9478" spans="1:12" x14ac:dyDescent="0.25">
      <c r="A9478" t="str">
        <f t="shared" si="1691"/>
        <v>89301000</v>
      </c>
      <c r="B9478" t="str">
        <f t="shared" si="1688"/>
        <v>91866000</v>
      </c>
      <c r="C9478" t="str">
        <f t="shared" si="1689"/>
        <v>91866313</v>
      </c>
      <c r="D9478">
        <v>89301101</v>
      </c>
      <c r="E9478" t="str">
        <f>"2256260259"</f>
        <v>2256260259</v>
      </c>
      <c r="F9478" s="1">
        <v>45139</v>
      </c>
      <c r="G9478" t="str">
        <f>"97111"</f>
        <v>97111</v>
      </c>
      <c r="H9478">
        <v>1</v>
      </c>
      <c r="I9478">
        <v>19</v>
      </c>
      <c r="J9478">
        <v>0</v>
      </c>
      <c r="K9478" t="str">
        <f t="shared" si="1690"/>
        <v>802</v>
      </c>
      <c r="L9478">
        <v>23.94</v>
      </c>
    </row>
    <row r="9479" spans="1:12" x14ac:dyDescent="0.25">
      <c r="A9479" t="str">
        <f t="shared" si="1691"/>
        <v>89301000</v>
      </c>
      <c r="B9479" t="str">
        <f t="shared" si="1688"/>
        <v>91866000</v>
      </c>
      <c r="C9479" t="str">
        <f t="shared" si="1689"/>
        <v>91866313</v>
      </c>
      <c r="D9479">
        <v>89301101</v>
      </c>
      <c r="E9479" t="str">
        <f>"2256260259"</f>
        <v>2256260259</v>
      </c>
      <c r="F9479" s="1">
        <v>45139</v>
      </c>
      <c r="G9479" t="str">
        <f>"82113"</f>
        <v>82113</v>
      </c>
      <c r="H9479">
        <v>2</v>
      </c>
      <c r="I9479">
        <v>726</v>
      </c>
      <c r="J9479">
        <v>0</v>
      </c>
      <c r="K9479" t="str">
        <f t="shared" si="1690"/>
        <v>802</v>
      </c>
      <c r="L9479">
        <v>704.22</v>
      </c>
    </row>
    <row r="9480" spans="1:12" x14ac:dyDescent="0.25">
      <c r="A9480" t="str">
        <f t="shared" si="1691"/>
        <v>89301000</v>
      </c>
      <c r="B9480" t="str">
        <f t="shared" si="1688"/>
        <v>91866000</v>
      </c>
      <c r="C9480" t="str">
        <f t="shared" si="1689"/>
        <v>91866313</v>
      </c>
      <c r="D9480">
        <v>89301101</v>
      </c>
      <c r="E9480" t="str">
        <f>"2256260259"</f>
        <v>2256260259</v>
      </c>
      <c r="F9480" s="1">
        <v>45139</v>
      </c>
      <c r="G9480" t="str">
        <f>"82113"</f>
        <v>82113</v>
      </c>
      <c r="H9480">
        <v>2</v>
      </c>
      <c r="I9480">
        <v>726</v>
      </c>
      <c r="J9480">
        <v>0</v>
      </c>
      <c r="K9480" t="str">
        <f t="shared" si="1690"/>
        <v>802</v>
      </c>
      <c r="L9480">
        <v>704.22</v>
      </c>
    </row>
    <row r="9481" spans="1:12" x14ac:dyDescent="0.25">
      <c r="A9481" t="str">
        <f t="shared" si="1691"/>
        <v>89301000</v>
      </c>
      <c r="B9481" t="str">
        <f t="shared" si="1688"/>
        <v>91866000</v>
      </c>
      <c r="C9481" t="str">
        <f t="shared" si="1689"/>
        <v>91866313</v>
      </c>
      <c r="D9481">
        <v>89301031</v>
      </c>
      <c r="E9481" t="str">
        <f t="shared" ref="E9481:E9486" si="1692">"5908201486"</f>
        <v>5908201486</v>
      </c>
      <c r="F9481" s="1">
        <v>45148</v>
      </c>
      <c r="G9481" t="str">
        <f t="shared" ref="G9481:G9486" si="1693">"82087"</f>
        <v>82087</v>
      </c>
      <c r="H9481">
        <v>1</v>
      </c>
      <c r="I9481">
        <v>53</v>
      </c>
      <c r="J9481">
        <v>0</v>
      </c>
      <c r="K9481" t="str">
        <f t="shared" si="1690"/>
        <v>802</v>
      </c>
      <c r="L9481">
        <v>51.41</v>
      </c>
    </row>
    <row r="9482" spans="1:12" x14ac:dyDescent="0.25">
      <c r="A9482" t="str">
        <f t="shared" si="1691"/>
        <v>89301000</v>
      </c>
      <c r="B9482" t="str">
        <f t="shared" si="1688"/>
        <v>91866000</v>
      </c>
      <c r="C9482" t="str">
        <f t="shared" si="1689"/>
        <v>91866313</v>
      </c>
      <c r="D9482">
        <v>89301031</v>
      </c>
      <c r="E9482" t="str">
        <f t="shared" si="1692"/>
        <v>5908201486</v>
      </c>
      <c r="F9482" s="1">
        <v>45146</v>
      </c>
      <c r="G9482" t="str">
        <f t="shared" si="1693"/>
        <v>82087</v>
      </c>
      <c r="H9482">
        <v>1</v>
      </c>
      <c r="I9482">
        <v>53</v>
      </c>
      <c r="J9482">
        <v>0</v>
      </c>
      <c r="K9482" t="str">
        <f t="shared" si="1690"/>
        <v>802</v>
      </c>
      <c r="L9482">
        <v>51.41</v>
      </c>
    </row>
    <row r="9483" spans="1:12" x14ac:dyDescent="0.25">
      <c r="A9483" t="str">
        <f t="shared" si="1691"/>
        <v>89301000</v>
      </c>
      <c r="B9483" t="str">
        <f t="shared" si="1688"/>
        <v>91866000</v>
      </c>
      <c r="C9483" t="str">
        <f t="shared" si="1689"/>
        <v>91866313</v>
      </c>
      <c r="D9483">
        <v>89301031</v>
      </c>
      <c r="E9483" t="str">
        <f t="shared" si="1692"/>
        <v>5908201486</v>
      </c>
      <c r="F9483" s="1">
        <v>45147</v>
      </c>
      <c r="G9483" t="str">
        <f t="shared" si="1693"/>
        <v>82087</v>
      </c>
      <c r="H9483">
        <v>1</v>
      </c>
      <c r="I9483">
        <v>53</v>
      </c>
      <c r="J9483">
        <v>0</v>
      </c>
      <c r="K9483" t="str">
        <f t="shared" si="1690"/>
        <v>802</v>
      </c>
      <c r="L9483">
        <v>51.41</v>
      </c>
    </row>
    <row r="9484" spans="1:12" x14ac:dyDescent="0.25">
      <c r="A9484" t="str">
        <f t="shared" si="1691"/>
        <v>89301000</v>
      </c>
      <c r="B9484" t="str">
        <f t="shared" si="1688"/>
        <v>91866000</v>
      </c>
      <c r="C9484" t="str">
        <f t="shared" si="1689"/>
        <v>91866313</v>
      </c>
      <c r="D9484">
        <v>89301031</v>
      </c>
      <c r="E9484" t="str">
        <f t="shared" si="1692"/>
        <v>5908201486</v>
      </c>
      <c r="F9484" s="1">
        <v>45148</v>
      </c>
      <c r="G9484" t="str">
        <f t="shared" si="1693"/>
        <v>82087</v>
      </c>
      <c r="H9484">
        <v>1</v>
      </c>
      <c r="I9484">
        <v>53</v>
      </c>
      <c r="J9484">
        <v>0</v>
      </c>
      <c r="K9484" t="str">
        <f t="shared" si="1690"/>
        <v>802</v>
      </c>
      <c r="L9484">
        <v>51.41</v>
      </c>
    </row>
    <row r="9485" spans="1:12" x14ac:dyDescent="0.25">
      <c r="A9485" t="str">
        <f t="shared" si="1691"/>
        <v>89301000</v>
      </c>
      <c r="B9485" t="str">
        <f t="shared" si="1688"/>
        <v>91866000</v>
      </c>
      <c r="C9485" t="str">
        <f t="shared" si="1689"/>
        <v>91866313</v>
      </c>
      <c r="D9485">
        <v>89301031</v>
      </c>
      <c r="E9485" t="str">
        <f t="shared" si="1692"/>
        <v>5908201486</v>
      </c>
      <c r="F9485" s="1">
        <v>45147</v>
      </c>
      <c r="G9485" t="str">
        <f t="shared" si="1693"/>
        <v>82087</v>
      </c>
      <c r="H9485">
        <v>1</v>
      </c>
      <c r="I9485">
        <v>53</v>
      </c>
      <c r="J9485">
        <v>0</v>
      </c>
      <c r="K9485" t="str">
        <f t="shared" si="1690"/>
        <v>802</v>
      </c>
      <c r="L9485">
        <v>51.41</v>
      </c>
    </row>
    <row r="9486" spans="1:12" x14ac:dyDescent="0.25">
      <c r="A9486" t="str">
        <f t="shared" si="1691"/>
        <v>89301000</v>
      </c>
      <c r="B9486" t="str">
        <f t="shared" si="1688"/>
        <v>91866000</v>
      </c>
      <c r="C9486" t="str">
        <f t="shared" si="1689"/>
        <v>91866313</v>
      </c>
      <c r="D9486">
        <v>89301031</v>
      </c>
      <c r="E9486" t="str">
        <f t="shared" si="1692"/>
        <v>5908201486</v>
      </c>
      <c r="F9486" s="1">
        <v>45146</v>
      </c>
      <c r="G9486" t="str">
        <f t="shared" si="1693"/>
        <v>82087</v>
      </c>
      <c r="H9486">
        <v>1</v>
      </c>
      <c r="I9486">
        <v>53</v>
      </c>
      <c r="J9486">
        <v>0</v>
      </c>
      <c r="K9486" t="str">
        <f t="shared" si="1690"/>
        <v>802</v>
      </c>
      <c r="L9486">
        <v>51.41</v>
      </c>
    </row>
    <row r="9487" spans="1:12" x14ac:dyDescent="0.25">
      <c r="A9487" t="str">
        <f t="shared" si="1691"/>
        <v>89301000</v>
      </c>
      <c r="B9487" t="str">
        <f t="shared" si="1688"/>
        <v>91866000</v>
      </c>
      <c r="C9487" t="str">
        <f t="shared" si="1689"/>
        <v>91866313</v>
      </c>
      <c r="D9487">
        <v>89301522</v>
      </c>
      <c r="E9487" t="str">
        <f t="shared" ref="E9487:E9494" si="1694">"8456145346"</f>
        <v>8456145346</v>
      </c>
      <c r="F9487" s="1">
        <v>45159</v>
      </c>
      <c r="G9487" t="str">
        <f>"82113"</f>
        <v>82113</v>
      </c>
      <c r="H9487">
        <v>1</v>
      </c>
      <c r="I9487">
        <v>363</v>
      </c>
      <c r="J9487">
        <v>0</v>
      </c>
      <c r="K9487" t="str">
        <f t="shared" si="1690"/>
        <v>802</v>
      </c>
      <c r="L9487">
        <v>352.11</v>
      </c>
    </row>
    <row r="9488" spans="1:12" x14ac:dyDescent="0.25">
      <c r="A9488" t="str">
        <f t="shared" si="1691"/>
        <v>89301000</v>
      </c>
      <c r="B9488" t="str">
        <f t="shared" si="1688"/>
        <v>91866000</v>
      </c>
      <c r="C9488" t="str">
        <f t="shared" si="1689"/>
        <v>91866313</v>
      </c>
      <c r="D9488">
        <v>89301522</v>
      </c>
      <c r="E9488" t="str">
        <f t="shared" si="1694"/>
        <v>8456145346</v>
      </c>
      <c r="F9488" s="1">
        <v>45161</v>
      </c>
      <c r="G9488" t="str">
        <f>"82079"</f>
        <v>82079</v>
      </c>
      <c r="H9488">
        <v>1</v>
      </c>
      <c r="I9488">
        <v>333</v>
      </c>
      <c r="J9488">
        <v>0</v>
      </c>
      <c r="K9488" t="str">
        <f t="shared" si="1690"/>
        <v>802</v>
      </c>
      <c r="L9488">
        <v>323.01</v>
      </c>
    </row>
    <row r="9489" spans="1:12" x14ac:dyDescent="0.25">
      <c r="A9489" t="str">
        <f t="shared" si="1691"/>
        <v>89301000</v>
      </c>
      <c r="B9489" t="str">
        <f t="shared" si="1688"/>
        <v>91866000</v>
      </c>
      <c r="C9489" t="str">
        <f t="shared" si="1689"/>
        <v>91866313</v>
      </c>
      <c r="D9489">
        <v>89301522</v>
      </c>
      <c r="E9489" t="str">
        <f t="shared" si="1694"/>
        <v>8456145346</v>
      </c>
      <c r="F9489" s="1">
        <v>45161</v>
      </c>
      <c r="G9489" t="str">
        <f>"82079"</f>
        <v>82079</v>
      </c>
      <c r="H9489">
        <v>1</v>
      </c>
      <c r="I9489">
        <v>333</v>
      </c>
      <c r="J9489">
        <v>0</v>
      </c>
      <c r="K9489" t="str">
        <f t="shared" si="1690"/>
        <v>802</v>
      </c>
      <c r="L9489">
        <v>323.01</v>
      </c>
    </row>
    <row r="9490" spans="1:12" x14ac:dyDescent="0.25">
      <c r="A9490" t="str">
        <f t="shared" si="1691"/>
        <v>89301000</v>
      </c>
      <c r="B9490" t="str">
        <f t="shared" si="1688"/>
        <v>91866000</v>
      </c>
      <c r="C9490" t="str">
        <f t="shared" si="1689"/>
        <v>91866313</v>
      </c>
      <c r="D9490">
        <v>89301522</v>
      </c>
      <c r="E9490" t="str">
        <f t="shared" si="1694"/>
        <v>8456145346</v>
      </c>
      <c r="F9490" s="1">
        <v>45161</v>
      </c>
      <c r="G9490" t="str">
        <f>"82087"</f>
        <v>82087</v>
      </c>
      <c r="H9490">
        <v>1</v>
      </c>
      <c r="I9490">
        <v>53</v>
      </c>
      <c r="J9490">
        <v>0</v>
      </c>
      <c r="K9490" t="str">
        <f t="shared" si="1690"/>
        <v>802</v>
      </c>
      <c r="L9490">
        <v>51.41</v>
      </c>
    </row>
    <row r="9491" spans="1:12" x14ac:dyDescent="0.25">
      <c r="A9491" t="str">
        <f t="shared" si="1691"/>
        <v>89301000</v>
      </c>
      <c r="B9491" t="str">
        <f t="shared" si="1688"/>
        <v>91866000</v>
      </c>
      <c r="C9491" t="str">
        <f t="shared" si="1689"/>
        <v>91866313</v>
      </c>
      <c r="D9491">
        <v>89301522</v>
      </c>
      <c r="E9491" t="str">
        <f t="shared" si="1694"/>
        <v>8456145346</v>
      </c>
      <c r="F9491" s="1">
        <v>45161</v>
      </c>
      <c r="G9491" t="str">
        <f>"82079"</f>
        <v>82079</v>
      </c>
      <c r="H9491">
        <v>1</v>
      </c>
      <c r="I9491">
        <v>333</v>
      </c>
      <c r="J9491">
        <v>0</v>
      </c>
      <c r="K9491" t="str">
        <f t="shared" si="1690"/>
        <v>802</v>
      </c>
      <c r="L9491">
        <v>323.01</v>
      </c>
    </row>
    <row r="9492" spans="1:12" x14ac:dyDescent="0.25">
      <c r="A9492" t="str">
        <f t="shared" si="1691"/>
        <v>89301000</v>
      </c>
      <c r="B9492" t="str">
        <f t="shared" si="1688"/>
        <v>91866000</v>
      </c>
      <c r="C9492" t="str">
        <f t="shared" si="1689"/>
        <v>91866313</v>
      </c>
      <c r="D9492">
        <v>89301522</v>
      </c>
      <c r="E9492" t="str">
        <f t="shared" si="1694"/>
        <v>8456145346</v>
      </c>
      <c r="F9492" s="1">
        <v>45161</v>
      </c>
      <c r="G9492" t="str">
        <f>"82079"</f>
        <v>82079</v>
      </c>
      <c r="H9492">
        <v>1</v>
      </c>
      <c r="I9492">
        <v>333</v>
      </c>
      <c r="J9492">
        <v>0</v>
      </c>
      <c r="K9492" t="str">
        <f t="shared" si="1690"/>
        <v>802</v>
      </c>
      <c r="L9492">
        <v>323.01</v>
      </c>
    </row>
    <row r="9493" spans="1:12" x14ac:dyDescent="0.25">
      <c r="A9493" t="str">
        <f t="shared" si="1691"/>
        <v>89301000</v>
      </c>
      <c r="B9493" t="str">
        <f t="shared" si="1688"/>
        <v>91866000</v>
      </c>
      <c r="C9493" t="str">
        <f t="shared" si="1689"/>
        <v>91866313</v>
      </c>
      <c r="D9493">
        <v>89301522</v>
      </c>
      <c r="E9493" t="str">
        <f t="shared" si="1694"/>
        <v>8456145346</v>
      </c>
      <c r="F9493" s="1">
        <v>45159</v>
      </c>
      <c r="G9493" t="str">
        <f>"82113"</f>
        <v>82113</v>
      </c>
      <c r="H9493">
        <v>1</v>
      </c>
      <c r="I9493">
        <v>363</v>
      </c>
      <c r="J9493">
        <v>0</v>
      </c>
      <c r="K9493" t="str">
        <f t="shared" si="1690"/>
        <v>802</v>
      </c>
      <c r="L9493">
        <v>352.11</v>
      </c>
    </row>
    <row r="9494" spans="1:12" x14ac:dyDescent="0.25">
      <c r="A9494" t="str">
        <f t="shared" si="1691"/>
        <v>89301000</v>
      </c>
      <c r="B9494" t="str">
        <f t="shared" si="1688"/>
        <v>91866000</v>
      </c>
      <c r="C9494" t="str">
        <f t="shared" si="1689"/>
        <v>91866313</v>
      </c>
      <c r="D9494">
        <v>89301522</v>
      </c>
      <c r="E9494" t="str">
        <f t="shared" si="1694"/>
        <v>8456145346</v>
      </c>
      <c r="F9494" s="1">
        <v>45161</v>
      </c>
      <c r="G9494" t="str">
        <f>"82079"</f>
        <v>82079</v>
      </c>
      <c r="H9494">
        <v>1</v>
      </c>
      <c r="I9494">
        <v>333</v>
      </c>
      <c r="J9494">
        <v>0</v>
      </c>
      <c r="K9494" t="str">
        <f t="shared" si="1690"/>
        <v>802</v>
      </c>
      <c r="L9494">
        <v>323.01</v>
      </c>
    </row>
    <row r="9495" spans="1:12" x14ac:dyDescent="0.25">
      <c r="A9495" t="str">
        <f t="shared" si="1691"/>
        <v>89301000</v>
      </c>
      <c r="B9495" t="str">
        <f t="shared" si="1688"/>
        <v>91866000</v>
      </c>
      <c r="C9495" t="str">
        <f t="shared" si="1689"/>
        <v>91866313</v>
      </c>
      <c r="D9495">
        <v>89301704</v>
      </c>
      <c r="E9495" t="str">
        <f t="shared" ref="E9495:E9500" si="1695">"0759043230"</f>
        <v>0759043230</v>
      </c>
      <c r="F9495" s="1">
        <v>45163</v>
      </c>
      <c r="G9495" t="str">
        <f t="shared" ref="G9495:G9530" si="1696">"82087"</f>
        <v>82087</v>
      </c>
      <c r="H9495">
        <v>1</v>
      </c>
      <c r="I9495">
        <v>53</v>
      </c>
      <c r="J9495">
        <v>0</v>
      </c>
      <c r="K9495" t="str">
        <f t="shared" si="1690"/>
        <v>802</v>
      </c>
      <c r="L9495">
        <v>51.41</v>
      </c>
    </row>
    <row r="9496" spans="1:12" x14ac:dyDescent="0.25">
      <c r="A9496" t="str">
        <f t="shared" si="1691"/>
        <v>89301000</v>
      </c>
      <c r="B9496" t="str">
        <f t="shared" si="1688"/>
        <v>91866000</v>
      </c>
      <c r="C9496" t="str">
        <f t="shared" si="1689"/>
        <v>91866313</v>
      </c>
      <c r="D9496">
        <v>89301704</v>
      </c>
      <c r="E9496" t="str">
        <f t="shared" si="1695"/>
        <v>0759043230</v>
      </c>
      <c r="F9496" s="1">
        <v>45162</v>
      </c>
      <c r="G9496" t="str">
        <f t="shared" si="1696"/>
        <v>82087</v>
      </c>
      <c r="H9496">
        <v>1</v>
      </c>
      <c r="I9496">
        <v>53</v>
      </c>
      <c r="J9496">
        <v>0</v>
      </c>
      <c r="K9496" t="str">
        <f t="shared" si="1690"/>
        <v>802</v>
      </c>
      <c r="L9496">
        <v>51.41</v>
      </c>
    </row>
    <row r="9497" spans="1:12" x14ac:dyDescent="0.25">
      <c r="A9497" t="str">
        <f t="shared" si="1691"/>
        <v>89301000</v>
      </c>
      <c r="B9497" t="str">
        <f t="shared" si="1688"/>
        <v>91866000</v>
      </c>
      <c r="C9497" t="str">
        <f t="shared" si="1689"/>
        <v>91866313</v>
      </c>
      <c r="D9497">
        <v>89301704</v>
      </c>
      <c r="E9497" t="str">
        <f t="shared" si="1695"/>
        <v>0759043230</v>
      </c>
      <c r="F9497" s="1">
        <v>45161</v>
      </c>
      <c r="G9497" t="str">
        <f t="shared" si="1696"/>
        <v>82087</v>
      </c>
      <c r="H9497">
        <v>1</v>
      </c>
      <c r="I9497">
        <v>53</v>
      </c>
      <c r="J9497">
        <v>0</v>
      </c>
      <c r="K9497" t="str">
        <f t="shared" si="1690"/>
        <v>802</v>
      </c>
      <c r="L9497">
        <v>51.41</v>
      </c>
    </row>
    <row r="9498" spans="1:12" x14ac:dyDescent="0.25">
      <c r="A9498" t="str">
        <f t="shared" si="1691"/>
        <v>89301000</v>
      </c>
      <c r="B9498" t="str">
        <f t="shared" si="1688"/>
        <v>91866000</v>
      </c>
      <c r="C9498" t="str">
        <f t="shared" si="1689"/>
        <v>91866313</v>
      </c>
      <c r="D9498">
        <v>89301704</v>
      </c>
      <c r="E9498" t="str">
        <f t="shared" si="1695"/>
        <v>0759043230</v>
      </c>
      <c r="F9498" s="1">
        <v>45162</v>
      </c>
      <c r="G9498" t="str">
        <f t="shared" si="1696"/>
        <v>82087</v>
      </c>
      <c r="H9498">
        <v>1</v>
      </c>
      <c r="I9498">
        <v>53</v>
      </c>
      <c r="J9498">
        <v>0</v>
      </c>
      <c r="K9498" t="str">
        <f t="shared" si="1690"/>
        <v>802</v>
      </c>
      <c r="L9498">
        <v>51.41</v>
      </c>
    </row>
    <row r="9499" spans="1:12" x14ac:dyDescent="0.25">
      <c r="A9499" t="str">
        <f t="shared" si="1691"/>
        <v>89301000</v>
      </c>
      <c r="B9499" t="str">
        <f t="shared" si="1688"/>
        <v>91866000</v>
      </c>
      <c r="C9499" t="str">
        <f t="shared" si="1689"/>
        <v>91866313</v>
      </c>
      <c r="D9499">
        <v>89301704</v>
      </c>
      <c r="E9499" t="str">
        <f t="shared" si="1695"/>
        <v>0759043230</v>
      </c>
      <c r="F9499" s="1">
        <v>45163</v>
      </c>
      <c r="G9499" t="str">
        <f t="shared" si="1696"/>
        <v>82087</v>
      </c>
      <c r="H9499">
        <v>1</v>
      </c>
      <c r="I9499">
        <v>53</v>
      </c>
      <c r="J9499">
        <v>0</v>
      </c>
      <c r="K9499" t="str">
        <f t="shared" si="1690"/>
        <v>802</v>
      </c>
      <c r="L9499">
        <v>51.41</v>
      </c>
    </row>
    <row r="9500" spans="1:12" x14ac:dyDescent="0.25">
      <c r="A9500" t="str">
        <f t="shared" si="1691"/>
        <v>89301000</v>
      </c>
      <c r="B9500" t="str">
        <f t="shared" si="1688"/>
        <v>91866000</v>
      </c>
      <c r="C9500" t="str">
        <f t="shared" si="1689"/>
        <v>91866313</v>
      </c>
      <c r="D9500">
        <v>89301704</v>
      </c>
      <c r="E9500" t="str">
        <f t="shared" si="1695"/>
        <v>0759043230</v>
      </c>
      <c r="F9500" s="1">
        <v>45161</v>
      </c>
      <c r="G9500" t="str">
        <f t="shared" si="1696"/>
        <v>82087</v>
      </c>
      <c r="H9500">
        <v>1</v>
      </c>
      <c r="I9500">
        <v>53</v>
      </c>
      <c r="J9500">
        <v>0</v>
      </c>
      <c r="K9500" t="str">
        <f t="shared" si="1690"/>
        <v>802</v>
      </c>
      <c r="L9500">
        <v>51.41</v>
      </c>
    </row>
    <row r="9501" spans="1:12" x14ac:dyDescent="0.25">
      <c r="A9501" t="str">
        <f t="shared" si="1691"/>
        <v>89301000</v>
      </c>
      <c r="B9501" t="str">
        <f t="shared" si="1688"/>
        <v>91866000</v>
      </c>
      <c r="C9501" t="str">
        <f t="shared" si="1689"/>
        <v>91866313</v>
      </c>
      <c r="D9501">
        <v>89301704</v>
      </c>
      <c r="E9501" t="str">
        <f t="shared" ref="E9501:E9506" si="1697">"1811200336"</f>
        <v>1811200336</v>
      </c>
      <c r="F9501" s="1">
        <v>45164</v>
      </c>
      <c r="G9501" t="str">
        <f t="shared" si="1696"/>
        <v>82087</v>
      </c>
      <c r="H9501">
        <v>1</v>
      </c>
      <c r="I9501">
        <v>53</v>
      </c>
      <c r="J9501">
        <v>0</v>
      </c>
      <c r="K9501" t="str">
        <f t="shared" si="1690"/>
        <v>802</v>
      </c>
      <c r="L9501">
        <v>51.41</v>
      </c>
    </row>
    <row r="9502" spans="1:12" x14ac:dyDescent="0.25">
      <c r="A9502" t="str">
        <f t="shared" si="1691"/>
        <v>89301000</v>
      </c>
      <c r="B9502" t="str">
        <f t="shared" ref="B9502:B9533" si="1698">"91866000"</f>
        <v>91866000</v>
      </c>
      <c r="C9502" t="str">
        <f t="shared" ref="C9502:C9533" si="1699">"91866313"</f>
        <v>91866313</v>
      </c>
      <c r="D9502">
        <v>89301704</v>
      </c>
      <c r="E9502" t="str">
        <f t="shared" si="1697"/>
        <v>1811200336</v>
      </c>
      <c r="F9502" s="1">
        <v>45163</v>
      </c>
      <c r="G9502" t="str">
        <f t="shared" si="1696"/>
        <v>82087</v>
      </c>
      <c r="H9502">
        <v>1</v>
      </c>
      <c r="I9502">
        <v>53</v>
      </c>
      <c r="J9502">
        <v>0</v>
      </c>
      <c r="K9502" t="str">
        <f t="shared" ref="K9502:K9533" si="1700">"802"</f>
        <v>802</v>
      </c>
      <c r="L9502">
        <v>51.41</v>
      </c>
    </row>
    <row r="9503" spans="1:12" x14ac:dyDescent="0.25">
      <c r="A9503" t="str">
        <f t="shared" si="1691"/>
        <v>89301000</v>
      </c>
      <c r="B9503" t="str">
        <f t="shared" si="1698"/>
        <v>91866000</v>
      </c>
      <c r="C9503" t="str">
        <f t="shared" si="1699"/>
        <v>91866313</v>
      </c>
      <c r="D9503">
        <v>89301704</v>
      </c>
      <c r="E9503" t="str">
        <f t="shared" si="1697"/>
        <v>1811200336</v>
      </c>
      <c r="F9503" s="1">
        <v>45165</v>
      </c>
      <c r="G9503" t="str">
        <f t="shared" si="1696"/>
        <v>82087</v>
      </c>
      <c r="H9503">
        <v>1</v>
      </c>
      <c r="I9503">
        <v>53</v>
      </c>
      <c r="J9503">
        <v>0</v>
      </c>
      <c r="K9503" t="str">
        <f t="shared" si="1700"/>
        <v>802</v>
      </c>
      <c r="L9503">
        <v>51.41</v>
      </c>
    </row>
    <row r="9504" spans="1:12" x14ac:dyDescent="0.25">
      <c r="A9504" t="str">
        <f t="shared" si="1691"/>
        <v>89301000</v>
      </c>
      <c r="B9504" t="str">
        <f t="shared" si="1698"/>
        <v>91866000</v>
      </c>
      <c r="C9504" t="str">
        <f t="shared" si="1699"/>
        <v>91866313</v>
      </c>
      <c r="D9504">
        <v>89301704</v>
      </c>
      <c r="E9504" t="str">
        <f t="shared" si="1697"/>
        <v>1811200336</v>
      </c>
      <c r="F9504" s="1">
        <v>45165</v>
      </c>
      <c r="G9504" t="str">
        <f t="shared" si="1696"/>
        <v>82087</v>
      </c>
      <c r="H9504">
        <v>1</v>
      </c>
      <c r="I9504">
        <v>53</v>
      </c>
      <c r="J9504">
        <v>0</v>
      </c>
      <c r="K9504" t="str">
        <f t="shared" si="1700"/>
        <v>802</v>
      </c>
      <c r="L9504">
        <v>51.41</v>
      </c>
    </row>
    <row r="9505" spans="1:12" x14ac:dyDescent="0.25">
      <c r="A9505" t="str">
        <f t="shared" si="1691"/>
        <v>89301000</v>
      </c>
      <c r="B9505" t="str">
        <f t="shared" si="1698"/>
        <v>91866000</v>
      </c>
      <c r="C9505" t="str">
        <f t="shared" si="1699"/>
        <v>91866313</v>
      </c>
      <c r="D9505">
        <v>89301704</v>
      </c>
      <c r="E9505" t="str">
        <f t="shared" si="1697"/>
        <v>1811200336</v>
      </c>
      <c r="F9505" s="1">
        <v>45163</v>
      </c>
      <c r="G9505" t="str">
        <f t="shared" si="1696"/>
        <v>82087</v>
      </c>
      <c r="H9505">
        <v>1</v>
      </c>
      <c r="I9505">
        <v>53</v>
      </c>
      <c r="J9505">
        <v>0</v>
      </c>
      <c r="K9505" t="str">
        <f t="shared" si="1700"/>
        <v>802</v>
      </c>
      <c r="L9505">
        <v>51.41</v>
      </c>
    </row>
    <row r="9506" spans="1:12" x14ac:dyDescent="0.25">
      <c r="A9506" t="str">
        <f t="shared" si="1691"/>
        <v>89301000</v>
      </c>
      <c r="B9506" t="str">
        <f t="shared" si="1698"/>
        <v>91866000</v>
      </c>
      <c r="C9506" t="str">
        <f t="shared" si="1699"/>
        <v>91866313</v>
      </c>
      <c r="D9506">
        <v>89301704</v>
      </c>
      <c r="E9506" t="str">
        <f t="shared" si="1697"/>
        <v>1811200336</v>
      </c>
      <c r="F9506" s="1">
        <v>45164</v>
      </c>
      <c r="G9506" t="str">
        <f t="shared" si="1696"/>
        <v>82087</v>
      </c>
      <c r="H9506">
        <v>1</v>
      </c>
      <c r="I9506">
        <v>53</v>
      </c>
      <c r="J9506">
        <v>0</v>
      </c>
      <c r="K9506" t="str">
        <f t="shared" si="1700"/>
        <v>802</v>
      </c>
      <c r="L9506">
        <v>51.41</v>
      </c>
    </row>
    <row r="9507" spans="1:12" x14ac:dyDescent="0.25">
      <c r="A9507" t="str">
        <f t="shared" si="1691"/>
        <v>89301000</v>
      </c>
      <c r="B9507" t="str">
        <f t="shared" si="1698"/>
        <v>91866000</v>
      </c>
      <c r="C9507" t="str">
        <f t="shared" si="1699"/>
        <v>91866313</v>
      </c>
      <c r="D9507">
        <v>89301704</v>
      </c>
      <c r="E9507" t="str">
        <f t="shared" ref="E9507:E9512" si="1701">"1259130180"</f>
        <v>1259130180</v>
      </c>
      <c r="F9507" s="1">
        <v>45165</v>
      </c>
      <c r="G9507" t="str">
        <f t="shared" si="1696"/>
        <v>82087</v>
      </c>
      <c r="H9507">
        <v>1</v>
      </c>
      <c r="I9507">
        <v>53</v>
      </c>
      <c r="J9507">
        <v>0</v>
      </c>
      <c r="K9507" t="str">
        <f t="shared" si="1700"/>
        <v>802</v>
      </c>
      <c r="L9507">
        <v>51.41</v>
      </c>
    </row>
    <row r="9508" spans="1:12" x14ac:dyDescent="0.25">
      <c r="A9508" t="str">
        <f t="shared" si="1691"/>
        <v>89301000</v>
      </c>
      <c r="B9508" t="str">
        <f t="shared" si="1698"/>
        <v>91866000</v>
      </c>
      <c r="C9508" t="str">
        <f t="shared" si="1699"/>
        <v>91866313</v>
      </c>
      <c r="D9508">
        <v>89301704</v>
      </c>
      <c r="E9508" t="str">
        <f t="shared" si="1701"/>
        <v>1259130180</v>
      </c>
      <c r="F9508" s="1">
        <v>45163</v>
      </c>
      <c r="G9508" t="str">
        <f t="shared" si="1696"/>
        <v>82087</v>
      </c>
      <c r="H9508">
        <v>1</v>
      </c>
      <c r="I9508">
        <v>53</v>
      </c>
      <c r="J9508">
        <v>0</v>
      </c>
      <c r="K9508" t="str">
        <f t="shared" si="1700"/>
        <v>802</v>
      </c>
      <c r="L9508">
        <v>51.41</v>
      </c>
    </row>
    <row r="9509" spans="1:12" x14ac:dyDescent="0.25">
      <c r="A9509" t="str">
        <f t="shared" si="1691"/>
        <v>89301000</v>
      </c>
      <c r="B9509" t="str">
        <f t="shared" si="1698"/>
        <v>91866000</v>
      </c>
      <c r="C9509" t="str">
        <f t="shared" si="1699"/>
        <v>91866313</v>
      </c>
      <c r="D9509">
        <v>89301704</v>
      </c>
      <c r="E9509" t="str">
        <f t="shared" si="1701"/>
        <v>1259130180</v>
      </c>
      <c r="F9509" s="1">
        <v>45164</v>
      </c>
      <c r="G9509" t="str">
        <f t="shared" si="1696"/>
        <v>82087</v>
      </c>
      <c r="H9509">
        <v>1</v>
      </c>
      <c r="I9509">
        <v>53</v>
      </c>
      <c r="J9509">
        <v>0</v>
      </c>
      <c r="K9509" t="str">
        <f t="shared" si="1700"/>
        <v>802</v>
      </c>
      <c r="L9509">
        <v>51.41</v>
      </c>
    </row>
    <row r="9510" spans="1:12" x14ac:dyDescent="0.25">
      <c r="A9510" t="str">
        <f t="shared" si="1691"/>
        <v>89301000</v>
      </c>
      <c r="B9510" t="str">
        <f t="shared" si="1698"/>
        <v>91866000</v>
      </c>
      <c r="C9510" t="str">
        <f t="shared" si="1699"/>
        <v>91866313</v>
      </c>
      <c r="D9510">
        <v>89301704</v>
      </c>
      <c r="E9510" t="str">
        <f t="shared" si="1701"/>
        <v>1259130180</v>
      </c>
      <c r="F9510" s="1">
        <v>45164</v>
      </c>
      <c r="G9510" t="str">
        <f t="shared" si="1696"/>
        <v>82087</v>
      </c>
      <c r="H9510">
        <v>1</v>
      </c>
      <c r="I9510">
        <v>53</v>
      </c>
      <c r="J9510">
        <v>0</v>
      </c>
      <c r="K9510" t="str">
        <f t="shared" si="1700"/>
        <v>802</v>
      </c>
      <c r="L9510">
        <v>51.41</v>
      </c>
    </row>
    <row r="9511" spans="1:12" x14ac:dyDescent="0.25">
      <c r="A9511" t="str">
        <f t="shared" si="1691"/>
        <v>89301000</v>
      </c>
      <c r="B9511" t="str">
        <f t="shared" si="1698"/>
        <v>91866000</v>
      </c>
      <c r="C9511" t="str">
        <f t="shared" si="1699"/>
        <v>91866313</v>
      </c>
      <c r="D9511">
        <v>89301704</v>
      </c>
      <c r="E9511" t="str">
        <f t="shared" si="1701"/>
        <v>1259130180</v>
      </c>
      <c r="F9511" s="1">
        <v>45165</v>
      </c>
      <c r="G9511" t="str">
        <f t="shared" si="1696"/>
        <v>82087</v>
      </c>
      <c r="H9511">
        <v>1</v>
      </c>
      <c r="I9511">
        <v>53</v>
      </c>
      <c r="J9511">
        <v>0</v>
      </c>
      <c r="K9511" t="str">
        <f t="shared" si="1700"/>
        <v>802</v>
      </c>
      <c r="L9511">
        <v>51.41</v>
      </c>
    </row>
    <row r="9512" spans="1:12" x14ac:dyDescent="0.25">
      <c r="A9512" t="str">
        <f t="shared" si="1691"/>
        <v>89301000</v>
      </c>
      <c r="B9512" t="str">
        <f t="shared" si="1698"/>
        <v>91866000</v>
      </c>
      <c r="C9512" t="str">
        <f t="shared" si="1699"/>
        <v>91866313</v>
      </c>
      <c r="D9512">
        <v>89301704</v>
      </c>
      <c r="E9512" t="str">
        <f t="shared" si="1701"/>
        <v>1259130180</v>
      </c>
      <c r="F9512" s="1">
        <v>45163</v>
      </c>
      <c r="G9512" t="str">
        <f t="shared" si="1696"/>
        <v>82087</v>
      </c>
      <c r="H9512">
        <v>1</v>
      </c>
      <c r="I9512">
        <v>53</v>
      </c>
      <c r="J9512">
        <v>0</v>
      </c>
      <c r="K9512" t="str">
        <f t="shared" si="1700"/>
        <v>802</v>
      </c>
      <c r="L9512">
        <v>51.41</v>
      </c>
    </row>
    <row r="9513" spans="1:12" x14ac:dyDescent="0.25">
      <c r="A9513" t="str">
        <f t="shared" si="1691"/>
        <v>89301000</v>
      </c>
      <c r="B9513" t="str">
        <f t="shared" si="1698"/>
        <v>91866000</v>
      </c>
      <c r="C9513" t="str">
        <f t="shared" si="1699"/>
        <v>91866313</v>
      </c>
      <c r="D9513">
        <v>89301704</v>
      </c>
      <c r="E9513" t="str">
        <f t="shared" ref="E9513:E9518" si="1702">"0905313255"</f>
        <v>0905313255</v>
      </c>
      <c r="F9513" s="1">
        <v>45167</v>
      </c>
      <c r="G9513" t="str">
        <f t="shared" si="1696"/>
        <v>82087</v>
      </c>
      <c r="H9513">
        <v>1</v>
      </c>
      <c r="I9513">
        <v>53</v>
      </c>
      <c r="J9513">
        <v>0</v>
      </c>
      <c r="K9513" t="str">
        <f t="shared" si="1700"/>
        <v>802</v>
      </c>
      <c r="L9513">
        <v>51.41</v>
      </c>
    </row>
    <row r="9514" spans="1:12" x14ac:dyDescent="0.25">
      <c r="A9514" t="str">
        <f t="shared" si="1691"/>
        <v>89301000</v>
      </c>
      <c r="B9514" t="str">
        <f t="shared" si="1698"/>
        <v>91866000</v>
      </c>
      <c r="C9514" t="str">
        <f t="shared" si="1699"/>
        <v>91866313</v>
      </c>
      <c r="D9514">
        <v>89301704</v>
      </c>
      <c r="E9514" t="str">
        <f t="shared" si="1702"/>
        <v>0905313255</v>
      </c>
      <c r="F9514" s="1">
        <v>45169</v>
      </c>
      <c r="G9514" t="str">
        <f t="shared" si="1696"/>
        <v>82087</v>
      </c>
      <c r="H9514">
        <v>1</v>
      </c>
      <c r="I9514">
        <v>53</v>
      </c>
      <c r="J9514">
        <v>0</v>
      </c>
      <c r="K9514" t="str">
        <f t="shared" si="1700"/>
        <v>802</v>
      </c>
      <c r="L9514">
        <v>51.41</v>
      </c>
    </row>
    <row r="9515" spans="1:12" x14ac:dyDescent="0.25">
      <c r="A9515" t="str">
        <f t="shared" si="1691"/>
        <v>89301000</v>
      </c>
      <c r="B9515" t="str">
        <f t="shared" si="1698"/>
        <v>91866000</v>
      </c>
      <c r="C9515" t="str">
        <f t="shared" si="1699"/>
        <v>91866313</v>
      </c>
      <c r="D9515">
        <v>89301704</v>
      </c>
      <c r="E9515" t="str">
        <f t="shared" si="1702"/>
        <v>0905313255</v>
      </c>
      <c r="F9515" s="1">
        <v>45168</v>
      </c>
      <c r="G9515" t="str">
        <f t="shared" si="1696"/>
        <v>82087</v>
      </c>
      <c r="H9515">
        <v>1</v>
      </c>
      <c r="I9515">
        <v>53</v>
      </c>
      <c r="J9515">
        <v>0</v>
      </c>
      <c r="K9515" t="str">
        <f t="shared" si="1700"/>
        <v>802</v>
      </c>
      <c r="L9515">
        <v>51.41</v>
      </c>
    </row>
    <row r="9516" spans="1:12" x14ac:dyDescent="0.25">
      <c r="A9516" t="str">
        <f t="shared" si="1691"/>
        <v>89301000</v>
      </c>
      <c r="B9516" t="str">
        <f t="shared" si="1698"/>
        <v>91866000</v>
      </c>
      <c r="C9516" t="str">
        <f t="shared" si="1699"/>
        <v>91866313</v>
      </c>
      <c r="D9516">
        <v>89301704</v>
      </c>
      <c r="E9516" t="str">
        <f t="shared" si="1702"/>
        <v>0905313255</v>
      </c>
      <c r="F9516" s="1">
        <v>45167</v>
      </c>
      <c r="G9516" t="str">
        <f t="shared" si="1696"/>
        <v>82087</v>
      </c>
      <c r="H9516">
        <v>1</v>
      </c>
      <c r="I9516">
        <v>53</v>
      </c>
      <c r="J9516">
        <v>0</v>
      </c>
      <c r="K9516" t="str">
        <f t="shared" si="1700"/>
        <v>802</v>
      </c>
      <c r="L9516">
        <v>51.41</v>
      </c>
    </row>
    <row r="9517" spans="1:12" x14ac:dyDescent="0.25">
      <c r="A9517" t="str">
        <f t="shared" si="1691"/>
        <v>89301000</v>
      </c>
      <c r="B9517" t="str">
        <f t="shared" si="1698"/>
        <v>91866000</v>
      </c>
      <c r="C9517" t="str">
        <f t="shared" si="1699"/>
        <v>91866313</v>
      </c>
      <c r="D9517">
        <v>89301704</v>
      </c>
      <c r="E9517" t="str">
        <f t="shared" si="1702"/>
        <v>0905313255</v>
      </c>
      <c r="F9517" s="1">
        <v>45169</v>
      </c>
      <c r="G9517" t="str">
        <f t="shared" si="1696"/>
        <v>82087</v>
      </c>
      <c r="H9517">
        <v>1</v>
      </c>
      <c r="I9517">
        <v>53</v>
      </c>
      <c r="J9517">
        <v>0</v>
      </c>
      <c r="K9517" t="str">
        <f t="shared" si="1700"/>
        <v>802</v>
      </c>
      <c r="L9517">
        <v>51.41</v>
      </c>
    </row>
    <row r="9518" spans="1:12" x14ac:dyDescent="0.25">
      <c r="A9518" t="str">
        <f t="shared" si="1691"/>
        <v>89301000</v>
      </c>
      <c r="B9518" t="str">
        <f t="shared" si="1698"/>
        <v>91866000</v>
      </c>
      <c r="C9518" t="str">
        <f t="shared" si="1699"/>
        <v>91866313</v>
      </c>
      <c r="D9518">
        <v>89301704</v>
      </c>
      <c r="E9518" t="str">
        <f t="shared" si="1702"/>
        <v>0905313255</v>
      </c>
      <c r="F9518" s="1">
        <v>45168</v>
      </c>
      <c r="G9518" t="str">
        <f t="shared" si="1696"/>
        <v>82087</v>
      </c>
      <c r="H9518">
        <v>1</v>
      </c>
      <c r="I9518">
        <v>53</v>
      </c>
      <c r="J9518">
        <v>0</v>
      </c>
      <c r="K9518" t="str">
        <f t="shared" si="1700"/>
        <v>802</v>
      </c>
      <c r="L9518">
        <v>51.41</v>
      </c>
    </row>
    <row r="9519" spans="1:12" x14ac:dyDescent="0.25">
      <c r="A9519" t="str">
        <f t="shared" si="1691"/>
        <v>89301000</v>
      </c>
      <c r="B9519" t="str">
        <f t="shared" si="1698"/>
        <v>91866000</v>
      </c>
      <c r="C9519" t="str">
        <f t="shared" si="1699"/>
        <v>91866313</v>
      </c>
      <c r="D9519">
        <v>89301704</v>
      </c>
      <c r="E9519" t="str">
        <f t="shared" ref="E9519:E9524" si="1703">"0809306069"</f>
        <v>0809306069</v>
      </c>
      <c r="F9519" s="1">
        <v>45169</v>
      </c>
      <c r="G9519" t="str">
        <f t="shared" si="1696"/>
        <v>82087</v>
      </c>
      <c r="H9519">
        <v>1</v>
      </c>
      <c r="I9519">
        <v>53</v>
      </c>
      <c r="J9519">
        <v>0</v>
      </c>
      <c r="K9519" t="str">
        <f t="shared" si="1700"/>
        <v>802</v>
      </c>
      <c r="L9519">
        <v>51.41</v>
      </c>
    </row>
    <row r="9520" spans="1:12" x14ac:dyDescent="0.25">
      <c r="A9520" t="str">
        <f t="shared" si="1691"/>
        <v>89301000</v>
      </c>
      <c r="B9520" t="str">
        <f t="shared" si="1698"/>
        <v>91866000</v>
      </c>
      <c r="C9520" t="str">
        <f t="shared" si="1699"/>
        <v>91866313</v>
      </c>
      <c r="D9520">
        <v>89301704</v>
      </c>
      <c r="E9520" t="str">
        <f t="shared" si="1703"/>
        <v>0809306069</v>
      </c>
      <c r="F9520" s="1">
        <v>45169</v>
      </c>
      <c r="G9520" t="str">
        <f t="shared" si="1696"/>
        <v>82087</v>
      </c>
      <c r="H9520">
        <v>1</v>
      </c>
      <c r="I9520">
        <v>53</v>
      </c>
      <c r="J9520">
        <v>0</v>
      </c>
      <c r="K9520" t="str">
        <f t="shared" si="1700"/>
        <v>802</v>
      </c>
      <c r="L9520">
        <v>51.41</v>
      </c>
    </row>
    <row r="9521" spans="1:12" x14ac:dyDescent="0.25">
      <c r="A9521" t="str">
        <f t="shared" si="1691"/>
        <v>89301000</v>
      </c>
      <c r="B9521" t="str">
        <f t="shared" si="1698"/>
        <v>91866000</v>
      </c>
      <c r="C9521" t="str">
        <f t="shared" si="1699"/>
        <v>91866313</v>
      </c>
      <c r="D9521">
        <v>89301704</v>
      </c>
      <c r="E9521" t="str">
        <f t="shared" si="1703"/>
        <v>0809306069</v>
      </c>
      <c r="F9521" s="1">
        <v>45168</v>
      </c>
      <c r="G9521" t="str">
        <f t="shared" si="1696"/>
        <v>82087</v>
      </c>
      <c r="H9521">
        <v>1</v>
      </c>
      <c r="I9521">
        <v>53</v>
      </c>
      <c r="J9521">
        <v>0</v>
      </c>
      <c r="K9521" t="str">
        <f t="shared" si="1700"/>
        <v>802</v>
      </c>
      <c r="L9521">
        <v>51.41</v>
      </c>
    </row>
    <row r="9522" spans="1:12" x14ac:dyDescent="0.25">
      <c r="A9522" t="str">
        <f t="shared" si="1691"/>
        <v>89301000</v>
      </c>
      <c r="B9522" t="str">
        <f t="shared" si="1698"/>
        <v>91866000</v>
      </c>
      <c r="C9522" t="str">
        <f t="shared" si="1699"/>
        <v>91866313</v>
      </c>
      <c r="D9522">
        <v>89301704</v>
      </c>
      <c r="E9522" t="str">
        <f t="shared" si="1703"/>
        <v>0809306069</v>
      </c>
      <c r="F9522" s="1">
        <v>45167</v>
      </c>
      <c r="G9522" t="str">
        <f t="shared" si="1696"/>
        <v>82087</v>
      </c>
      <c r="H9522">
        <v>1</v>
      </c>
      <c r="I9522">
        <v>53</v>
      </c>
      <c r="J9522">
        <v>0</v>
      </c>
      <c r="K9522" t="str">
        <f t="shared" si="1700"/>
        <v>802</v>
      </c>
      <c r="L9522">
        <v>51.41</v>
      </c>
    </row>
    <row r="9523" spans="1:12" x14ac:dyDescent="0.25">
      <c r="A9523" t="str">
        <f t="shared" si="1691"/>
        <v>89301000</v>
      </c>
      <c r="B9523" t="str">
        <f t="shared" si="1698"/>
        <v>91866000</v>
      </c>
      <c r="C9523" t="str">
        <f t="shared" si="1699"/>
        <v>91866313</v>
      </c>
      <c r="D9523">
        <v>89301704</v>
      </c>
      <c r="E9523" t="str">
        <f t="shared" si="1703"/>
        <v>0809306069</v>
      </c>
      <c r="F9523" s="1">
        <v>45167</v>
      </c>
      <c r="G9523" t="str">
        <f t="shared" si="1696"/>
        <v>82087</v>
      </c>
      <c r="H9523">
        <v>1</v>
      </c>
      <c r="I9523">
        <v>53</v>
      </c>
      <c r="J9523">
        <v>0</v>
      </c>
      <c r="K9523" t="str">
        <f t="shared" si="1700"/>
        <v>802</v>
      </c>
      <c r="L9523">
        <v>51.41</v>
      </c>
    </row>
    <row r="9524" spans="1:12" x14ac:dyDescent="0.25">
      <c r="A9524" t="str">
        <f t="shared" si="1691"/>
        <v>89301000</v>
      </c>
      <c r="B9524" t="str">
        <f t="shared" si="1698"/>
        <v>91866000</v>
      </c>
      <c r="C9524" t="str">
        <f t="shared" si="1699"/>
        <v>91866313</v>
      </c>
      <c r="D9524">
        <v>89301704</v>
      </c>
      <c r="E9524" t="str">
        <f t="shared" si="1703"/>
        <v>0809306069</v>
      </c>
      <c r="F9524" s="1">
        <v>45168</v>
      </c>
      <c r="G9524" t="str">
        <f t="shared" si="1696"/>
        <v>82087</v>
      </c>
      <c r="H9524">
        <v>1</v>
      </c>
      <c r="I9524">
        <v>53</v>
      </c>
      <c r="J9524">
        <v>0</v>
      </c>
      <c r="K9524" t="str">
        <f t="shared" si="1700"/>
        <v>802</v>
      </c>
      <c r="L9524">
        <v>51.41</v>
      </c>
    </row>
    <row r="9525" spans="1:12" x14ac:dyDescent="0.25">
      <c r="A9525" t="str">
        <f t="shared" si="1691"/>
        <v>89301000</v>
      </c>
      <c r="B9525" t="str">
        <f t="shared" si="1698"/>
        <v>91866000</v>
      </c>
      <c r="C9525" t="str">
        <f t="shared" si="1699"/>
        <v>91866313</v>
      </c>
      <c r="D9525">
        <v>89301109</v>
      </c>
      <c r="E9525" t="str">
        <f t="shared" ref="E9525:E9530" si="1704">"1255030469"</f>
        <v>1255030469</v>
      </c>
      <c r="F9525" s="1">
        <v>45167</v>
      </c>
      <c r="G9525" t="str">
        <f t="shared" si="1696"/>
        <v>82087</v>
      </c>
      <c r="H9525">
        <v>1</v>
      </c>
      <c r="I9525">
        <v>53</v>
      </c>
      <c r="J9525">
        <v>0</v>
      </c>
      <c r="K9525" t="str">
        <f t="shared" si="1700"/>
        <v>802</v>
      </c>
      <c r="L9525">
        <v>51.41</v>
      </c>
    </row>
    <row r="9526" spans="1:12" x14ac:dyDescent="0.25">
      <c r="A9526" t="str">
        <f t="shared" si="1691"/>
        <v>89301000</v>
      </c>
      <c r="B9526" t="str">
        <f t="shared" si="1698"/>
        <v>91866000</v>
      </c>
      <c r="C9526" t="str">
        <f t="shared" si="1699"/>
        <v>91866313</v>
      </c>
      <c r="D9526">
        <v>89301109</v>
      </c>
      <c r="E9526" t="str">
        <f t="shared" si="1704"/>
        <v>1255030469</v>
      </c>
      <c r="F9526" s="1">
        <v>45168</v>
      </c>
      <c r="G9526" t="str">
        <f t="shared" si="1696"/>
        <v>82087</v>
      </c>
      <c r="H9526">
        <v>1</v>
      </c>
      <c r="I9526">
        <v>53</v>
      </c>
      <c r="J9526">
        <v>0</v>
      </c>
      <c r="K9526" t="str">
        <f t="shared" si="1700"/>
        <v>802</v>
      </c>
      <c r="L9526">
        <v>51.41</v>
      </c>
    </row>
    <row r="9527" spans="1:12" x14ac:dyDescent="0.25">
      <c r="A9527" t="str">
        <f t="shared" si="1691"/>
        <v>89301000</v>
      </c>
      <c r="B9527" t="str">
        <f t="shared" si="1698"/>
        <v>91866000</v>
      </c>
      <c r="C9527" t="str">
        <f t="shared" si="1699"/>
        <v>91866313</v>
      </c>
      <c r="D9527">
        <v>89301109</v>
      </c>
      <c r="E9527" t="str">
        <f t="shared" si="1704"/>
        <v>1255030469</v>
      </c>
      <c r="F9527" s="1">
        <v>45169</v>
      </c>
      <c r="G9527" t="str">
        <f t="shared" si="1696"/>
        <v>82087</v>
      </c>
      <c r="H9527">
        <v>1</v>
      </c>
      <c r="I9527">
        <v>53</v>
      </c>
      <c r="J9527">
        <v>0</v>
      </c>
      <c r="K9527" t="str">
        <f t="shared" si="1700"/>
        <v>802</v>
      </c>
      <c r="L9527">
        <v>51.41</v>
      </c>
    </row>
    <row r="9528" spans="1:12" x14ac:dyDescent="0.25">
      <c r="A9528" t="str">
        <f t="shared" si="1691"/>
        <v>89301000</v>
      </c>
      <c r="B9528" t="str">
        <f t="shared" si="1698"/>
        <v>91866000</v>
      </c>
      <c r="C9528" t="str">
        <f t="shared" si="1699"/>
        <v>91866313</v>
      </c>
      <c r="D9528">
        <v>89301109</v>
      </c>
      <c r="E9528" t="str">
        <f t="shared" si="1704"/>
        <v>1255030469</v>
      </c>
      <c r="F9528" s="1">
        <v>45168</v>
      </c>
      <c r="G9528" t="str">
        <f t="shared" si="1696"/>
        <v>82087</v>
      </c>
      <c r="H9528">
        <v>1</v>
      </c>
      <c r="I9528">
        <v>53</v>
      </c>
      <c r="J9528">
        <v>0</v>
      </c>
      <c r="K9528" t="str">
        <f t="shared" si="1700"/>
        <v>802</v>
      </c>
      <c r="L9528">
        <v>51.41</v>
      </c>
    </row>
    <row r="9529" spans="1:12" x14ac:dyDescent="0.25">
      <c r="A9529" t="str">
        <f t="shared" si="1691"/>
        <v>89301000</v>
      </c>
      <c r="B9529" t="str">
        <f t="shared" si="1698"/>
        <v>91866000</v>
      </c>
      <c r="C9529" t="str">
        <f t="shared" si="1699"/>
        <v>91866313</v>
      </c>
      <c r="D9529">
        <v>89301109</v>
      </c>
      <c r="E9529" t="str">
        <f t="shared" si="1704"/>
        <v>1255030469</v>
      </c>
      <c r="F9529" s="1">
        <v>45167</v>
      </c>
      <c r="G9529" t="str">
        <f t="shared" si="1696"/>
        <v>82087</v>
      </c>
      <c r="H9529">
        <v>1</v>
      </c>
      <c r="I9529">
        <v>53</v>
      </c>
      <c r="J9529">
        <v>0</v>
      </c>
      <c r="K9529" t="str">
        <f t="shared" si="1700"/>
        <v>802</v>
      </c>
      <c r="L9529">
        <v>51.41</v>
      </c>
    </row>
    <row r="9530" spans="1:12" x14ac:dyDescent="0.25">
      <c r="A9530" t="str">
        <f t="shared" si="1691"/>
        <v>89301000</v>
      </c>
      <c r="B9530" t="str">
        <f t="shared" si="1698"/>
        <v>91866000</v>
      </c>
      <c r="C9530" t="str">
        <f t="shared" si="1699"/>
        <v>91866313</v>
      </c>
      <c r="D9530">
        <v>89301109</v>
      </c>
      <c r="E9530" t="str">
        <f t="shared" si="1704"/>
        <v>1255030469</v>
      </c>
      <c r="F9530" s="1">
        <v>45169</v>
      </c>
      <c r="G9530" t="str">
        <f t="shared" si="1696"/>
        <v>82087</v>
      </c>
      <c r="H9530">
        <v>1</v>
      </c>
      <c r="I9530">
        <v>53</v>
      </c>
      <c r="J9530">
        <v>0</v>
      </c>
      <c r="K9530" t="str">
        <f t="shared" si="1700"/>
        <v>802</v>
      </c>
      <c r="L9530">
        <v>51.41</v>
      </c>
    </row>
    <row r="9531" spans="1:12" x14ac:dyDescent="0.25">
      <c r="A9531" t="str">
        <f t="shared" si="1691"/>
        <v>89301000</v>
      </c>
      <c r="B9531" t="str">
        <f t="shared" si="1698"/>
        <v>91866000</v>
      </c>
      <c r="C9531" t="str">
        <f t="shared" si="1699"/>
        <v>91866313</v>
      </c>
      <c r="D9531">
        <v>89301036</v>
      </c>
      <c r="E9531" t="str">
        <f t="shared" ref="E9531:E9540" si="1705">"6556062612"</f>
        <v>6556062612</v>
      </c>
      <c r="F9531" s="1">
        <v>45146</v>
      </c>
      <c r="G9531" t="str">
        <f>"97111"</f>
        <v>97111</v>
      </c>
      <c r="H9531">
        <v>1</v>
      </c>
      <c r="I9531">
        <v>19</v>
      </c>
      <c r="J9531">
        <v>0</v>
      </c>
      <c r="K9531" t="str">
        <f t="shared" si="1700"/>
        <v>802</v>
      </c>
      <c r="L9531">
        <v>23.94</v>
      </c>
    </row>
    <row r="9532" spans="1:12" x14ac:dyDescent="0.25">
      <c r="A9532" t="str">
        <f t="shared" si="1691"/>
        <v>89301000</v>
      </c>
      <c r="B9532" t="str">
        <f t="shared" si="1698"/>
        <v>91866000</v>
      </c>
      <c r="C9532" t="str">
        <f t="shared" si="1699"/>
        <v>91866313</v>
      </c>
      <c r="D9532">
        <v>89301036</v>
      </c>
      <c r="E9532" t="str">
        <f t="shared" si="1705"/>
        <v>6556062612</v>
      </c>
      <c r="F9532" s="1">
        <v>45146</v>
      </c>
      <c r="G9532" t="str">
        <f>"82079"</f>
        <v>82079</v>
      </c>
      <c r="H9532">
        <v>1</v>
      </c>
      <c r="I9532">
        <v>333</v>
      </c>
      <c r="J9532">
        <v>0</v>
      </c>
      <c r="K9532" t="str">
        <f t="shared" si="1700"/>
        <v>802</v>
      </c>
      <c r="L9532">
        <v>323.01</v>
      </c>
    </row>
    <row r="9533" spans="1:12" x14ac:dyDescent="0.25">
      <c r="A9533" t="str">
        <f t="shared" si="1691"/>
        <v>89301000</v>
      </c>
      <c r="B9533" t="str">
        <f t="shared" si="1698"/>
        <v>91866000</v>
      </c>
      <c r="C9533" t="str">
        <f t="shared" si="1699"/>
        <v>91866313</v>
      </c>
      <c r="D9533">
        <v>89301036</v>
      </c>
      <c r="E9533" t="str">
        <f t="shared" si="1705"/>
        <v>6556062612</v>
      </c>
      <c r="F9533" s="1">
        <v>45153</v>
      </c>
      <c r="G9533" t="str">
        <f>"82121"</f>
        <v>82121</v>
      </c>
      <c r="H9533">
        <v>1</v>
      </c>
      <c r="I9533">
        <v>811</v>
      </c>
      <c r="J9533">
        <v>0</v>
      </c>
      <c r="K9533" t="str">
        <f t="shared" si="1700"/>
        <v>802</v>
      </c>
      <c r="L9533">
        <v>786.67</v>
      </c>
    </row>
    <row r="9534" spans="1:12" x14ac:dyDescent="0.25">
      <c r="A9534" t="str">
        <f t="shared" si="1691"/>
        <v>89301000</v>
      </c>
      <c r="B9534" t="str">
        <f t="shared" ref="B9534:B9569" si="1706">"91866000"</f>
        <v>91866000</v>
      </c>
      <c r="C9534" t="str">
        <f t="shared" ref="C9534:C9562" si="1707">"91866313"</f>
        <v>91866313</v>
      </c>
      <c r="D9534">
        <v>89301036</v>
      </c>
      <c r="E9534" t="str">
        <f t="shared" si="1705"/>
        <v>6556062612</v>
      </c>
      <c r="F9534" s="1">
        <v>45153</v>
      </c>
      <c r="G9534" t="str">
        <f>"82121"</f>
        <v>82121</v>
      </c>
      <c r="H9534">
        <v>1</v>
      </c>
      <c r="I9534">
        <v>811</v>
      </c>
      <c r="J9534">
        <v>0</v>
      </c>
      <c r="K9534" t="str">
        <f t="shared" ref="K9534:K9562" si="1708">"802"</f>
        <v>802</v>
      </c>
      <c r="L9534">
        <v>786.67</v>
      </c>
    </row>
    <row r="9535" spans="1:12" x14ac:dyDescent="0.25">
      <c r="A9535" t="str">
        <f t="shared" si="1691"/>
        <v>89301000</v>
      </c>
      <c r="B9535" t="str">
        <f t="shared" si="1706"/>
        <v>91866000</v>
      </c>
      <c r="C9535" t="str">
        <f t="shared" si="1707"/>
        <v>91866313</v>
      </c>
      <c r="D9535">
        <v>89301036</v>
      </c>
      <c r="E9535" t="str">
        <f t="shared" si="1705"/>
        <v>6556062612</v>
      </c>
      <c r="F9535" s="1">
        <v>45153</v>
      </c>
      <c r="G9535" t="str">
        <f>"82121"</f>
        <v>82121</v>
      </c>
      <c r="H9535">
        <v>1</v>
      </c>
      <c r="I9535">
        <v>811</v>
      </c>
      <c r="J9535">
        <v>0</v>
      </c>
      <c r="K9535" t="str">
        <f t="shared" si="1708"/>
        <v>802</v>
      </c>
      <c r="L9535">
        <v>786.67</v>
      </c>
    </row>
    <row r="9536" spans="1:12" x14ac:dyDescent="0.25">
      <c r="A9536" t="str">
        <f t="shared" si="1691"/>
        <v>89301000</v>
      </c>
      <c r="B9536" t="str">
        <f t="shared" si="1706"/>
        <v>91866000</v>
      </c>
      <c r="C9536" t="str">
        <f t="shared" si="1707"/>
        <v>91866313</v>
      </c>
      <c r="D9536">
        <v>89301036</v>
      </c>
      <c r="E9536" t="str">
        <f t="shared" si="1705"/>
        <v>6556062612</v>
      </c>
      <c r="F9536" s="1">
        <v>45153</v>
      </c>
      <c r="G9536" t="str">
        <f>"82121"</f>
        <v>82121</v>
      </c>
      <c r="H9536">
        <v>1</v>
      </c>
      <c r="I9536">
        <v>811</v>
      </c>
      <c r="J9536">
        <v>0</v>
      </c>
      <c r="K9536" t="str">
        <f t="shared" si="1708"/>
        <v>802</v>
      </c>
      <c r="L9536">
        <v>786.67</v>
      </c>
    </row>
    <row r="9537" spans="1:12" x14ac:dyDescent="0.25">
      <c r="A9537" t="str">
        <f t="shared" si="1691"/>
        <v>89301000</v>
      </c>
      <c r="B9537" t="str">
        <f t="shared" si="1706"/>
        <v>91866000</v>
      </c>
      <c r="C9537" t="str">
        <f t="shared" si="1707"/>
        <v>91866313</v>
      </c>
      <c r="D9537">
        <v>89301036</v>
      </c>
      <c r="E9537" t="str">
        <f t="shared" si="1705"/>
        <v>6556062612</v>
      </c>
      <c r="F9537" s="1">
        <v>45153</v>
      </c>
      <c r="G9537" t="str">
        <f>"82121"</f>
        <v>82121</v>
      </c>
      <c r="H9537">
        <v>1</v>
      </c>
      <c r="I9537">
        <v>811</v>
      </c>
      <c r="J9537">
        <v>0</v>
      </c>
      <c r="K9537" t="str">
        <f t="shared" si="1708"/>
        <v>802</v>
      </c>
      <c r="L9537">
        <v>786.67</v>
      </c>
    </row>
    <row r="9538" spans="1:12" x14ac:dyDescent="0.25">
      <c r="A9538" t="str">
        <f t="shared" ref="A9538:A9601" si="1709">"89301000"</f>
        <v>89301000</v>
      </c>
      <c r="B9538" t="str">
        <f t="shared" si="1706"/>
        <v>91866000</v>
      </c>
      <c r="C9538" t="str">
        <f t="shared" si="1707"/>
        <v>91866313</v>
      </c>
      <c r="D9538">
        <v>89301036</v>
      </c>
      <c r="E9538" t="str">
        <f t="shared" si="1705"/>
        <v>6556062612</v>
      </c>
      <c r="F9538" s="1">
        <v>45146</v>
      </c>
      <c r="G9538" t="str">
        <f>"82079"</f>
        <v>82079</v>
      </c>
      <c r="H9538">
        <v>1</v>
      </c>
      <c r="I9538">
        <v>333</v>
      </c>
      <c r="J9538">
        <v>0</v>
      </c>
      <c r="K9538" t="str">
        <f t="shared" si="1708"/>
        <v>802</v>
      </c>
      <c r="L9538">
        <v>323.01</v>
      </c>
    </row>
    <row r="9539" spans="1:12" x14ac:dyDescent="0.25">
      <c r="A9539" t="str">
        <f t="shared" si="1709"/>
        <v>89301000</v>
      </c>
      <c r="B9539" t="str">
        <f t="shared" si="1706"/>
        <v>91866000</v>
      </c>
      <c r="C9539" t="str">
        <f t="shared" si="1707"/>
        <v>91866313</v>
      </c>
      <c r="D9539">
        <v>89301036</v>
      </c>
      <c r="E9539" t="str">
        <f t="shared" si="1705"/>
        <v>6556062612</v>
      </c>
      <c r="F9539" s="1">
        <v>45146</v>
      </c>
      <c r="G9539" t="str">
        <f>"82079"</f>
        <v>82079</v>
      </c>
      <c r="H9539">
        <v>1</v>
      </c>
      <c r="I9539">
        <v>333</v>
      </c>
      <c r="J9539">
        <v>0</v>
      </c>
      <c r="K9539" t="str">
        <f t="shared" si="1708"/>
        <v>802</v>
      </c>
      <c r="L9539">
        <v>323.01</v>
      </c>
    </row>
    <row r="9540" spans="1:12" x14ac:dyDescent="0.25">
      <c r="A9540" t="str">
        <f t="shared" si="1709"/>
        <v>89301000</v>
      </c>
      <c r="B9540" t="str">
        <f t="shared" si="1706"/>
        <v>91866000</v>
      </c>
      <c r="C9540" t="str">
        <f t="shared" si="1707"/>
        <v>91866313</v>
      </c>
      <c r="D9540">
        <v>89301036</v>
      </c>
      <c r="E9540" t="str">
        <f t="shared" si="1705"/>
        <v>6556062612</v>
      </c>
      <c r="F9540" s="1">
        <v>45153</v>
      </c>
      <c r="G9540" t="str">
        <f>"82121"</f>
        <v>82121</v>
      </c>
      <c r="H9540">
        <v>1</v>
      </c>
      <c r="I9540">
        <v>811</v>
      </c>
      <c r="J9540">
        <v>0</v>
      </c>
      <c r="K9540" t="str">
        <f t="shared" si="1708"/>
        <v>802</v>
      </c>
      <c r="L9540">
        <v>786.67</v>
      </c>
    </row>
    <row r="9541" spans="1:12" x14ac:dyDescent="0.25">
      <c r="A9541" t="str">
        <f t="shared" si="1709"/>
        <v>89301000</v>
      </c>
      <c r="B9541" t="str">
        <f t="shared" si="1706"/>
        <v>91866000</v>
      </c>
      <c r="C9541" t="str">
        <f t="shared" si="1707"/>
        <v>91866313</v>
      </c>
      <c r="D9541">
        <v>89301108</v>
      </c>
      <c r="E9541" t="str">
        <f t="shared" ref="E9541:E9551" si="1710">"0508076151"</f>
        <v>0508076151</v>
      </c>
      <c r="F9541" s="1">
        <v>45146</v>
      </c>
      <c r="G9541" t="str">
        <f>"97111"</f>
        <v>97111</v>
      </c>
      <c r="H9541">
        <v>1</v>
      </c>
      <c r="I9541">
        <v>19</v>
      </c>
      <c r="J9541">
        <v>0</v>
      </c>
      <c r="K9541" t="str">
        <f t="shared" si="1708"/>
        <v>802</v>
      </c>
      <c r="L9541">
        <v>23.94</v>
      </c>
    </row>
    <row r="9542" spans="1:12" x14ac:dyDescent="0.25">
      <c r="A9542" t="str">
        <f t="shared" si="1709"/>
        <v>89301000</v>
      </c>
      <c r="B9542" t="str">
        <f t="shared" si="1706"/>
        <v>91866000</v>
      </c>
      <c r="C9542" t="str">
        <f t="shared" si="1707"/>
        <v>91866313</v>
      </c>
      <c r="D9542">
        <v>89301108</v>
      </c>
      <c r="E9542" t="str">
        <f t="shared" si="1710"/>
        <v>0508076151</v>
      </c>
      <c r="F9542" s="1">
        <v>45147</v>
      </c>
      <c r="G9542" t="str">
        <f>"82079"</f>
        <v>82079</v>
      </c>
      <c r="H9542">
        <v>1</v>
      </c>
      <c r="I9542">
        <v>333</v>
      </c>
      <c r="J9542">
        <v>0</v>
      </c>
      <c r="K9542" t="str">
        <f t="shared" si="1708"/>
        <v>802</v>
      </c>
      <c r="L9542">
        <v>323.01</v>
      </c>
    </row>
    <row r="9543" spans="1:12" x14ac:dyDescent="0.25">
      <c r="A9543" t="str">
        <f t="shared" si="1709"/>
        <v>89301000</v>
      </c>
      <c r="B9543" t="str">
        <f t="shared" si="1706"/>
        <v>91866000</v>
      </c>
      <c r="C9543" t="str">
        <f t="shared" si="1707"/>
        <v>91866313</v>
      </c>
      <c r="D9543">
        <v>89301108</v>
      </c>
      <c r="E9543" t="str">
        <f t="shared" si="1710"/>
        <v>0508076151</v>
      </c>
      <c r="F9543" s="1">
        <v>45147</v>
      </c>
      <c r="G9543" t="str">
        <f>"82079"</f>
        <v>82079</v>
      </c>
      <c r="H9543">
        <v>1</v>
      </c>
      <c r="I9543">
        <v>333</v>
      </c>
      <c r="J9543">
        <v>0</v>
      </c>
      <c r="K9543" t="str">
        <f t="shared" si="1708"/>
        <v>802</v>
      </c>
      <c r="L9543">
        <v>323.01</v>
      </c>
    </row>
    <row r="9544" spans="1:12" x14ac:dyDescent="0.25">
      <c r="A9544" t="str">
        <f t="shared" si="1709"/>
        <v>89301000</v>
      </c>
      <c r="B9544" t="str">
        <f t="shared" si="1706"/>
        <v>91866000</v>
      </c>
      <c r="C9544" t="str">
        <f t="shared" si="1707"/>
        <v>91866313</v>
      </c>
      <c r="D9544">
        <v>89301108</v>
      </c>
      <c r="E9544" t="str">
        <f t="shared" si="1710"/>
        <v>0508076151</v>
      </c>
      <c r="F9544" s="1">
        <v>45147</v>
      </c>
      <c r="G9544" t="str">
        <f>"82079"</f>
        <v>82079</v>
      </c>
      <c r="H9544">
        <v>1</v>
      </c>
      <c r="I9544">
        <v>333</v>
      </c>
      <c r="J9544">
        <v>0</v>
      </c>
      <c r="K9544" t="str">
        <f t="shared" si="1708"/>
        <v>802</v>
      </c>
      <c r="L9544">
        <v>323.01</v>
      </c>
    </row>
    <row r="9545" spans="1:12" x14ac:dyDescent="0.25">
      <c r="A9545" t="str">
        <f t="shared" si="1709"/>
        <v>89301000</v>
      </c>
      <c r="B9545" t="str">
        <f t="shared" si="1706"/>
        <v>91866000</v>
      </c>
      <c r="C9545" t="str">
        <f t="shared" si="1707"/>
        <v>91866313</v>
      </c>
      <c r="D9545">
        <v>89301108</v>
      </c>
      <c r="E9545" t="str">
        <f t="shared" si="1710"/>
        <v>0508076151</v>
      </c>
      <c r="F9545" s="1">
        <v>45147</v>
      </c>
      <c r="G9545" t="str">
        <f>"82079"</f>
        <v>82079</v>
      </c>
      <c r="H9545">
        <v>1</v>
      </c>
      <c r="I9545">
        <v>333</v>
      </c>
      <c r="J9545">
        <v>0</v>
      </c>
      <c r="K9545" t="str">
        <f t="shared" si="1708"/>
        <v>802</v>
      </c>
      <c r="L9545">
        <v>323.01</v>
      </c>
    </row>
    <row r="9546" spans="1:12" x14ac:dyDescent="0.25">
      <c r="A9546" t="str">
        <f t="shared" si="1709"/>
        <v>89301000</v>
      </c>
      <c r="B9546" t="str">
        <f t="shared" si="1706"/>
        <v>91866000</v>
      </c>
      <c r="C9546" t="str">
        <f t="shared" si="1707"/>
        <v>91866313</v>
      </c>
      <c r="D9546">
        <v>89301108</v>
      </c>
      <c r="E9546" t="str">
        <f t="shared" si="1710"/>
        <v>0508076151</v>
      </c>
      <c r="F9546" s="1">
        <v>45146</v>
      </c>
      <c r="G9546" t="str">
        <f>"82117"</f>
        <v>82117</v>
      </c>
      <c r="H9546">
        <v>1</v>
      </c>
      <c r="I9546">
        <v>529</v>
      </c>
      <c r="J9546">
        <v>0</v>
      </c>
      <c r="K9546" t="str">
        <f t="shared" si="1708"/>
        <v>802</v>
      </c>
      <c r="L9546">
        <v>513.13</v>
      </c>
    </row>
    <row r="9547" spans="1:12" x14ac:dyDescent="0.25">
      <c r="A9547" t="str">
        <f t="shared" si="1709"/>
        <v>89301000</v>
      </c>
      <c r="B9547" t="str">
        <f t="shared" si="1706"/>
        <v>91866000</v>
      </c>
      <c r="C9547" t="str">
        <f t="shared" si="1707"/>
        <v>91866313</v>
      </c>
      <c r="D9547">
        <v>89301108</v>
      </c>
      <c r="E9547" t="str">
        <f t="shared" si="1710"/>
        <v>0508076151</v>
      </c>
      <c r="F9547" s="1">
        <v>45146</v>
      </c>
      <c r="G9547" t="str">
        <f>"82117"</f>
        <v>82117</v>
      </c>
      <c r="H9547">
        <v>2</v>
      </c>
      <c r="I9547">
        <v>1058</v>
      </c>
      <c r="J9547">
        <v>0</v>
      </c>
      <c r="K9547" t="str">
        <f t="shared" si="1708"/>
        <v>802</v>
      </c>
      <c r="L9547">
        <v>1026.26</v>
      </c>
    </row>
    <row r="9548" spans="1:12" x14ac:dyDescent="0.25">
      <c r="A9548" t="str">
        <f t="shared" si="1709"/>
        <v>89301000</v>
      </c>
      <c r="B9548" t="str">
        <f t="shared" si="1706"/>
        <v>91866000</v>
      </c>
      <c r="C9548" t="str">
        <f t="shared" si="1707"/>
        <v>91866313</v>
      </c>
      <c r="D9548">
        <v>89301108</v>
      </c>
      <c r="E9548" t="str">
        <f t="shared" si="1710"/>
        <v>0508076151</v>
      </c>
      <c r="F9548" s="1">
        <v>45147</v>
      </c>
      <c r="G9548" t="str">
        <f>"82079"</f>
        <v>82079</v>
      </c>
      <c r="H9548">
        <v>1</v>
      </c>
      <c r="I9548">
        <v>333</v>
      </c>
      <c r="J9548">
        <v>0</v>
      </c>
      <c r="K9548" t="str">
        <f t="shared" si="1708"/>
        <v>802</v>
      </c>
      <c r="L9548">
        <v>323.01</v>
      </c>
    </row>
    <row r="9549" spans="1:12" x14ac:dyDescent="0.25">
      <c r="A9549" t="str">
        <f t="shared" si="1709"/>
        <v>89301000</v>
      </c>
      <c r="B9549" t="str">
        <f t="shared" si="1706"/>
        <v>91866000</v>
      </c>
      <c r="C9549" t="str">
        <f t="shared" si="1707"/>
        <v>91866313</v>
      </c>
      <c r="D9549">
        <v>89301108</v>
      </c>
      <c r="E9549" t="str">
        <f t="shared" si="1710"/>
        <v>0508076151</v>
      </c>
      <c r="F9549" s="1">
        <v>45147</v>
      </c>
      <c r="G9549" t="str">
        <f>"82079"</f>
        <v>82079</v>
      </c>
      <c r="H9549">
        <v>1</v>
      </c>
      <c r="I9549">
        <v>333</v>
      </c>
      <c r="J9549">
        <v>0</v>
      </c>
      <c r="K9549" t="str">
        <f t="shared" si="1708"/>
        <v>802</v>
      </c>
      <c r="L9549">
        <v>323.01</v>
      </c>
    </row>
    <row r="9550" spans="1:12" x14ac:dyDescent="0.25">
      <c r="A9550" t="str">
        <f t="shared" si="1709"/>
        <v>89301000</v>
      </c>
      <c r="B9550" t="str">
        <f t="shared" si="1706"/>
        <v>91866000</v>
      </c>
      <c r="C9550" t="str">
        <f t="shared" si="1707"/>
        <v>91866313</v>
      </c>
      <c r="D9550">
        <v>89301108</v>
      </c>
      <c r="E9550" t="str">
        <f t="shared" si="1710"/>
        <v>0508076151</v>
      </c>
      <c r="F9550" s="1">
        <v>45147</v>
      </c>
      <c r="G9550" t="str">
        <f>"82117"</f>
        <v>82117</v>
      </c>
      <c r="H9550">
        <v>1</v>
      </c>
      <c r="I9550">
        <v>529</v>
      </c>
      <c r="J9550">
        <v>0</v>
      </c>
      <c r="K9550" t="str">
        <f t="shared" si="1708"/>
        <v>802</v>
      </c>
      <c r="L9550">
        <v>513.13</v>
      </c>
    </row>
    <row r="9551" spans="1:12" x14ac:dyDescent="0.25">
      <c r="A9551" t="str">
        <f t="shared" si="1709"/>
        <v>89301000</v>
      </c>
      <c r="B9551" t="str">
        <f t="shared" si="1706"/>
        <v>91866000</v>
      </c>
      <c r="C9551" t="str">
        <f t="shared" si="1707"/>
        <v>91866313</v>
      </c>
      <c r="D9551">
        <v>89301108</v>
      </c>
      <c r="E9551" t="str">
        <f t="shared" si="1710"/>
        <v>0508076151</v>
      </c>
      <c r="F9551" s="1">
        <v>45148</v>
      </c>
      <c r="G9551" t="str">
        <f>"82079"</f>
        <v>82079</v>
      </c>
      <c r="H9551">
        <v>1</v>
      </c>
      <c r="I9551">
        <v>333</v>
      </c>
      <c r="J9551">
        <v>0</v>
      </c>
      <c r="K9551" t="str">
        <f t="shared" si="1708"/>
        <v>802</v>
      </c>
      <c r="L9551">
        <v>323.01</v>
      </c>
    </row>
    <row r="9552" spans="1:12" x14ac:dyDescent="0.25">
      <c r="A9552" t="str">
        <f t="shared" si="1709"/>
        <v>89301000</v>
      </c>
      <c r="B9552" t="str">
        <f t="shared" si="1706"/>
        <v>91866000</v>
      </c>
      <c r="C9552" t="str">
        <f t="shared" si="1707"/>
        <v>91866313</v>
      </c>
      <c r="D9552">
        <v>89301322</v>
      </c>
      <c r="E9552" t="str">
        <f>"7955105334"</f>
        <v>7955105334</v>
      </c>
      <c r="F9552" s="1">
        <v>45147</v>
      </c>
      <c r="G9552" t="str">
        <f>"82034"</f>
        <v>82034</v>
      </c>
      <c r="H9552">
        <v>1</v>
      </c>
      <c r="I9552">
        <v>354</v>
      </c>
      <c r="J9552">
        <v>0</v>
      </c>
      <c r="K9552" t="str">
        <f t="shared" si="1708"/>
        <v>802</v>
      </c>
      <c r="L9552">
        <v>343.38</v>
      </c>
    </row>
    <row r="9553" spans="1:12" x14ac:dyDescent="0.25">
      <c r="A9553" t="str">
        <f t="shared" si="1709"/>
        <v>89301000</v>
      </c>
      <c r="B9553" t="str">
        <f t="shared" si="1706"/>
        <v>91866000</v>
      </c>
      <c r="C9553" t="str">
        <f t="shared" si="1707"/>
        <v>91866313</v>
      </c>
      <c r="D9553">
        <v>89301322</v>
      </c>
      <c r="E9553" t="str">
        <f>"7955105334"</f>
        <v>7955105334</v>
      </c>
      <c r="F9553" s="1">
        <v>45147</v>
      </c>
      <c r="G9553" t="str">
        <f>"82041"</f>
        <v>82041</v>
      </c>
      <c r="H9553">
        <v>1</v>
      </c>
      <c r="I9553">
        <v>1096</v>
      </c>
      <c r="J9553">
        <v>0</v>
      </c>
      <c r="K9553" t="str">
        <f t="shared" si="1708"/>
        <v>802</v>
      </c>
      <c r="L9553">
        <v>1063.1199999999999</v>
      </c>
    </row>
    <row r="9554" spans="1:12" x14ac:dyDescent="0.25">
      <c r="A9554" t="str">
        <f t="shared" si="1709"/>
        <v>89301000</v>
      </c>
      <c r="B9554" t="str">
        <f t="shared" si="1706"/>
        <v>91866000</v>
      </c>
      <c r="C9554" t="str">
        <f t="shared" si="1707"/>
        <v>91866313</v>
      </c>
      <c r="D9554">
        <v>89301322</v>
      </c>
      <c r="E9554" t="str">
        <f>"7955105334"</f>
        <v>7955105334</v>
      </c>
      <c r="F9554" s="1">
        <v>45168</v>
      </c>
      <c r="G9554" t="str">
        <f>"82035"</f>
        <v>82035</v>
      </c>
      <c r="H9554">
        <v>1</v>
      </c>
      <c r="I9554">
        <v>549</v>
      </c>
      <c r="J9554">
        <v>0</v>
      </c>
      <c r="K9554" t="str">
        <f t="shared" si="1708"/>
        <v>802</v>
      </c>
      <c r="L9554">
        <v>532.53</v>
      </c>
    </row>
    <row r="9555" spans="1:12" x14ac:dyDescent="0.25">
      <c r="A9555" t="str">
        <f t="shared" si="1709"/>
        <v>89301000</v>
      </c>
      <c r="B9555" t="str">
        <f t="shared" si="1706"/>
        <v>91866000</v>
      </c>
      <c r="C9555" t="str">
        <f t="shared" si="1707"/>
        <v>91866313</v>
      </c>
      <c r="D9555">
        <v>89301322</v>
      </c>
      <c r="E9555" t="str">
        <f>"7955105334"</f>
        <v>7955105334</v>
      </c>
      <c r="F9555" s="1">
        <v>45147</v>
      </c>
      <c r="G9555" t="str">
        <f>"82225"</f>
        <v>82225</v>
      </c>
      <c r="H9555">
        <v>1</v>
      </c>
      <c r="I9555">
        <v>668</v>
      </c>
      <c r="J9555">
        <v>0</v>
      </c>
      <c r="K9555" t="str">
        <f t="shared" si="1708"/>
        <v>802</v>
      </c>
      <c r="L9555">
        <v>647.96</v>
      </c>
    </row>
    <row r="9556" spans="1:12" x14ac:dyDescent="0.25">
      <c r="A9556" t="str">
        <f t="shared" si="1709"/>
        <v>89301000</v>
      </c>
      <c r="B9556" t="str">
        <f t="shared" si="1706"/>
        <v>91866000</v>
      </c>
      <c r="C9556" t="str">
        <f t="shared" si="1707"/>
        <v>91866313</v>
      </c>
      <c r="D9556">
        <v>89301322</v>
      </c>
      <c r="E9556" t="str">
        <f>"7955105334"</f>
        <v>7955105334</v>
      </c>
      <c r="F9556" s="1">
        <v>45168</v>
      </c>
      <c r="G9556" t="str">
        <f>"82215"</f>
        <v>82215</v>
      </c>
      <c r="H9556">
        <v>1</v>
      </c>
      <c r="I9556">
        <v>464</v>
      </c>
      <c r="J9556">
        <v>0</v>
      </c>
      <c r="K9556" t="str">
        <f t="shared" si="1708"/>
        <v>802</v>
      </c>
      <c r="L9556">
        <v>450.08</v>
      </c>
    </row>
    <row r="9557" spans="1:12" x14ac:dyDescent="0.25">
      <c r="A9557" t="str">
        <f t="shared" si="1709"/>
        <v>89301000</v>
      </c>
      <c r="B9557" t="str">
        <f t="shared" si="1706"/>
        <v>91866000</v>
      </c>
      <c r="C9557" t="str">
        <f t="shared" si="1707"/>
        <v>91866313</v>
      </c>
      <c r="D9557">
        <v>89301031</v>
      </c>
      <c r="E9557" t="str">
        <f t="shared" ref="E9557:E9562" si="1711">"8254205377"</f>
        <v>8254205377</v>
      </c>
      <c r="F9557" s="1">
        <v>45149</v>
      </c>
      <c r="G9557" t="str">
        <f t="shared" ref="G9557:G9562" si="1712">"82087"</f>
        <v>82087</v>
      </c>
      <c r="H9557">
        <v>1</v>
      </c>
      <c r="I9557">
        <v>53</v>
      </c>
      <c r="J9557">
        <v>0</v>
      </c>
      <c r="K9557" t="str">
        <f t="shared" si="1708"/>
        <v>802</v>
      </c>
      <c r="L9557">
        <v>51.41</v>
      </c>
    </row>
    <row r="9558" spans="1:12" x14ac:dyDescent="0.25">
      <c r="A9558" t="str">
        <f t="shared" si="1709"/>
        <v>89301000</v>
      </c>
      <c r="B9558" t="str">
        <f t="shared" si="1706"/>
        <v>91866000</v>
      </c>
      <c r="C9558" t="str">
        <f t="shared" si="1707"/>
        <v>91866313</v>
      </c>
      <c r="D9558">
        <v>89301031</v>
      </c>
      <c r="E9558" t="str">
        <f t="shared" si="1711"/>
        <v>8254205377</v>
      </c>
      <c r="F9558" s="1">
        <v>45148</v>
      </c>
      <c r="G9558" t="str">
        <f t="shared" si="1712"/>
        <v>82087</v>
      </c>
      <c r="H9558">
        <v>1</v>
      </c>
      <c r="I9558">
        <v>53</v>
      </c>
      <c r="J9558">
        <v>0</v>
      </c>
      <c r="K9558" t="str">
        <f t="shared" si="1708"/>
        <v>802</v>
      </c>
      <c r="L9558">
        <v>51.41</v>
      </c>
    </row>
    <row r="9559" spans="1:12" x14ac:dyDescent="0.25">
      <c r="A9559" t="str">
        <f t="shared" si="1709"/>
        <v>89301000</v>
      </c>
      <c r="B9559" t="str">
        <f t="shared" si="1706"/>
        <v>91866000</v>
      </c>
      <c r="C9559" t="str">
        <f t="shared" si="1707"/>
        <v>91866313</v>
      </c>
      <c r="D9559">
        <v>89301031</v>
      </c>
      <c r="E9559" t="str">
        <f t="shared" si="1711"/>
        <v>8254205377</v>
      </c>
      <c r="F9559" s="1">
        <v>45149</v>
      </c>
      <c r="G9559" t="str">
        <f t="shared" si="1712"/>
        <v>82087</v>
      </c>
      <c r="H9559">
        <v>1</v>
      </c>
      <c r="I9559">
        <v>53</v>
      </c>
      <c r="J9559">
        <v>0</v>
      </c>
      <c r="K9559" t="str">
        <f t="shared" si="1708"/>
        <v>802</v>
      </c>
      <c r="L9559">
        <v>51.41</v>
      </c>
    </row>
    <row r="9560" spans="1:12" x14ac:dyDescent="0.25">
      <c r="A9560" t="str">
        <f t="shared" si="1709"/>
        <v>89301000</v>
      </c>
      <c r="B9560" t="str">
        <f t="shared" si="1706"/>
        <v>91866000</v>
      </c>
      <c r="C9560" t="str">
        <f t="shared" si="1707"/>
        <v>91866313</v>
      </c>
      <c r="D9560">
        <v>89301031</v>
      </c>
      <c r="E9560" t="str">
        <f t="shared" si="1711"/>
        <v>8254205377</v>
      </c>
      <c r="F9560" s="1">
        <v>45150</v>
      </c>
      <c r="G9560" t="str">
        <f t="shared" si="1712"/>
        <v>82087</v>
      </c>
      <c r="H9560">
        <v>1</v>
      </c>
      <c r="I9560">
        <v>53</v>
      </c>
      <c r="J9560">
        <v>0</v>
      </c>
      <c r="K9560" t="str">
        <f t="shared" si="1708"/>
        <v>802</v>
      </c>
      <c r="L9560">
        <v>51.41</v>
      </c>
    </row>
    <row r="9561" spans="1:12" x14ac:dyDescent="0.25">
      <c r="A9561" t="str">
        <f t="shared" si="1709"/>
        <v>89301000</v>
      </c>
      <c r="B9561" t="str">
        <f t="shared" si="1706"/>
        <v>91866000</v>
      </c>
      <c r="C9561" t="str">
        <f t="shared" si="1707"/>
        <v>91866313</v>
      </c>
      <c r="D9561">
        <v>89301031</v>
      </c>
      <c r="E9561" t="str">
        <f t="shared" si="1711"/>
        <v>8254205377</v>
      </c>
      <c r="F9561" s="1">
        <v>45148</v>
      </c>
      <c r="G9561" t="str">
        <f t="shared" si="1712"/>
        <v>82087</v>
      </c>
      <c r="H9561">
        <v>1</v>
      </c>
      <c r="I9561">
        <v>53</v>
      </c>
      <c r="J9561">
        <v>0</v>
      </c>
      <c r="K9561" t="str">
        <f t="shared" si="1708"/>
        <v>802</v>
      </c>
      <c r="L9561">
        <v>51.41</v>
      </c>
    </row>
    <row r="9562" spans="1:12" x14ac:dyDescent="0.25">
      <c r="A9562" t="str">
        <f t="shared" si="1709"/>
        <v>89301000</v>
      </c>
      <c r="B9562" t="str">
        <f t="shared" si="1706"/>
        <v>91866000</v>
      </c>
      <c r="C9562" t="str">
        <f t="shared" si="1707"/>
        <v>91866313</v>
      </c>
      <c r="D9562">
        <v>89301031</v>
      </c>
      <c r="E9562" t="str">
        <f t="shared" si="1711"/>
        <v>8254205377</v>
      </c>
      <c r="F9562" s="1">
        <v>45150</v>
      </c>
      <c r="G9562" t="str">
        <f t="shared" si="1712"/>
        <v>82087</v>
      </c>
      <c r="H9562">
        <v>1</v>
      </c>
      <c r="I9562">
        <v>53</v>
      </c>
      <c r="J9562">
        <v>0</v>
      </c>
      <c r="K9562" t="str">
        <f t="shared" si="1708"/>
        <v>802</v>
      </c>
      <c r="L9562">
        <v>51.41</v>
      </c>
    </row>
    <row r="9563" spans="1:12" x14ac:dyDescent="0.25">
      <c r="A9563" t="str">
        <f t="shared" si="1709"/>
        <v>89301000</v>
      </c>
      <c r="B9563" t="str">
        <f t="shared" si="1706"/>
        <v>91866000</v>
      </c>
      <c r="C9563" t="str">
        <f t="shared" ref="C9563:C9569" si="1713">"91866321"</f>
        <v>91866321</v>
      </c>
      <c r="D9563">
        <v>89301103</v>
      </c>
      <c r="E9563" t="str">
        <f>"2051171430"</f>
        <v>2051171430</v>
      </c>
      <c r="F9563" s="1">
        <v>45149</v>
      </c>
      <c r="G9563" t="str">
        <f>"91197"</f>
        <v>91197</v>
      </c>
      <c r="H9563">
        <v>1</v>
      </c>
      <c r="I9563">
        <v>1048</v>
      </c>
      <c r="J9563">
        <v>0</v>
      </c>
      <c r="K9563" t="str">
        <f t="shared" ref="K9563:K9569" si="1714">"813"</f>
        <v>813</v>
      </c>
      <c r="L9563">
        <v>880.32</v>
      </c>
    </row>
    <row r="9564" spans="1:12" x14ac:dyDescent="0.25">
      <c r="A9564" t="str">
        <f t="shared" si="1709"/>
        <v>89301000</v>
      </c>
      <c r="B9564" t="str">
        <f t="shared" si="1706"/>
        <v>91866000</v>
      </c>
      <c r="C9564" t="str">
        <f t="shared" si="1713"/>
        <v>91866321</v>
      </c>
      <c r="D9564">
        <v>89301103</v>
      </c>
      <c r="E9564" t="str">
        <f>"2051171430"</f>
        <v>2051171430</v>
      </c>
      <c r="F9564" s="1">
        <v>45148</v>
      </c>
      <c r="G9564" t="str">
        <f>"91197"</f>
        <v>91197</v>
      </c>
      <c r="H9564">
        <v>1</v>
      </c>
      <c r="I9564">
        <v>1048</v>
      </c>
      <c r="J9564">
        <v>0</v>
      </c>
      <c r="K9564" t="str">
        <f t="shared" si="1714"/>
        <v>813</v>
      </c>
      <c r="L9564">
        <v>880.32</v>
      </c>
    </row>
    <row r="9565" spans="1:12" x14ac:dyDescent="0.25">
      <c r="A9565" t="str">
        <f t="shared" si="1709"/>
        <v>89301000</v>
      </c>
      <c r="B9565" t="str">
        <f t="shared" si="1706"/>
        <v>91866000</v>
      </c>
      <c r="C9565" t="str">
        <f t="shared" si="1713"/>
        <v>91866321</v>
      </c>
      <c r="D9565">
        <v>89301522</v>
      </c>
      <c r="E9565" t="str">
        <f>"8456145346"</f>
        <v>8456145346</v>
      </c>
      <c r="F9565" s="1">
        <v>45160</v>
      </c>
      <c r="G9565" t="str">
        <f>"91411"</f>
        <v>91411</v>
      </c>
      <c r="H9565">
        <v>1</v>
      </c>
      <c r="I9565">
        <v>1631</v>
      </c>
      <c r="J9565">
        <v>0</v>
      </c>
      <c r="K9565" t="str">
        <f t="shared" si="1714"/>
        <v>813</v>
      </c>
      <c r="L9565">
        <v>1370.04</v>
      </c>
    </row>
    <row r="9566" spans="1:12" x14ac:dyDescent="0.25">
      <c r="A9566" t="str">
        <f t="shared" si="1709"/>
        <v>89301000</v>
      </c>
      <c r="B9566" t="str">
        <f t="shared" si="1706"/>
        <v>91866000</v>
      </c>
      <c r="C9566" t="str">
        <f t="shared" si="1713"/>
        <v>91866321</v>
      </c>
      <c r="D9566">
        <v>89301522</v>
      </c>
      <c r="E9566" t="str">
        <f>"8456145346"</f>
        <v>8456145346</v>
      </c>
      <c r="F9566" s="1">
        <v>45160</v>
      </c>
      <c r="G9566" t="str">
        <f>"91411"</f>
        <v>91411</v>
      </c>
      <c r="H9566">
        <v>1</v>
      </c>
      <c r="I9566">
        <v>1631</v>
      </c>
      <c r="J9566">
        <v>0</v>
      </c>
      <c r="K9566" t="str">
        <f t="shared" si="1714"/>
        <v>813</v>
      </c>
      <c r="L9566">
        <v>1370.04</v>
      </c>
    </row>
    <row r="9567" spans="1:12" x14ac:dyDescent="0.25">
      <c r="A9567" t="str">
        <f t="shared" si="1709"/>
        <v>89301000</v>
      </c>
      <c r="B9567" t="str">
        <f t="shared" si="1706"/>
        <v>91866000</v>
      </c>
      <c r="C9567" t="str">
        <f t="shared" si="1713"/>
        <v>91866321</v>
      </c>
      <c r="D9567">
        <v>89301522</v>
      </c>
      <c r="E9567" t="str">
        <f>"8456145346"</f>
        <v>8456145346</v>
      </c>
      <c r="F9567" s="1">
        <v>45160</v>
      </c>
      <c r="G9567" t="str">
        <f>"91411"</f>
        <v>91411</v>
      </c>
      <c r="H9567">
        <v>1</v>
      </c>
      <c r="I9567">
        <v>1631</v>
      </c>
      <c r="J9567">
        <v>0</v>
      </c>
      <c r="K9567" t="str">
        <f t="shared" si="1714"/>
        <v>813</v>
      </c>
      <c r="L9567">
        <v>1370.04</v>
      </c>
    </row>
    <row r="9568" spans="1:12" x14ac:dyDescent="0.25">
      <c r="A9568" t="str">
        <f t="shared" si="1709"/>
        <v>89301000</v>
      </c>
      <c r="B9568" t="str">
        <f t="shared" si="1706"/>
        <v>91866000</v>
      </c>
      <c r="C9568" t="str">
        <f t="shared" si="1713"/>
        <v>91866321</v>
      </c>
      <c r="D9568">
        <v>89301522</v>
      </c>
      <c r="E9568" t="str">
        <f>"8456145346"</f>
        <v>8456145346</v>
      </c>
      <c r="F9568" s="1">
        <v>45160</v>
      </c>
      <c r="G9568" t="str">
        <f>"91411"</f>
        <v>91411</v>
      </c>
      <c r="H9568">
        <v>1</v>
      </c>
      <c r="I9568">
        <v>1631</v>
      </c>
      <c r="J9568">
        <v>0</v>
      </c>
      <c r="K9568" t="str">
        <f t="shared" si="1714"/>
        <v>813</v>
      </c>
      <c r="L9568">
        <v>1370.04</v>
      </c>
    </row>
    <row r="9569" spans="1:12" x14ac:dyDescent="0.25">
      <c r="A9569" t="str">
        <f t="shared" si="1709"/>
        <v>89301000</v>
      </c>
      <c r="B9569" t="str">
        <f t="shared" si="1706"/>
        <v>91866000</v>
      </c>
      <c r="C9569" t="str">
        <f t="shared" si="1713"/>
        <v>91866321</v>
      </c>
      <c r="D9569">
        <v>89301522</v>
      </c>
      <c r="E9569" t="str">
        <f>"8456145346"</f>
        <v>8456145346</v>
      </c>
      <c r="F9569" s="1">
        <v>45160</v>
      </c>
      <c r="G9569" t="str">
        <f>"91411"</f>
        <v>91411</v>
      </c>
      <c r="H9569">
        <v>1</v>
      </c>
      <c r="I9569">
        <v>1631</v>
      </c>
      <c r="J9569">
        <v>0</v>
      </c>
      <c r="K9569" t="str">
        <f t="shared" si="1714"/>
        <v>813</v>
      </c>
      <c r="L9569">
        <v>1370.04</v>
      </c>
    </row>
    <row r="9570" spans="1:12" x14ac:dyDescent="0.25">
      <c r="A9570" t="str">
        <f t="shared" si="1709"/>
        <v>89301000</v>
      </c>
      <c r="B9570" t="str">
        <f t="shared" ref="B9570:C9589" si="1715">"89063000"</f>
        <v>89063000</v>
      </c>
      <c r="C9570" t="str">
        <f t="shared" si="1715"/>
        <v>89063000</v>
      </c>
      <c r="D9570">
        <v>89301037</v>
      </c>
      <c r="E9570" t="str">
        <f>"5656026882"</f>
        <v>5656026882</v>
      </c>
      <c r="F9570" s="1">
        <v>45139</v>
      </c>
      <c r="G9570" t="str">
        <f t="shared" ref="G9570:G9601" si="1716">"89312"</f>
        <v>89312</v>
      </c>
      <c r="H9570">
        <v>3</v>
      </c>
      <c r="I9570">
        <v>936</v>
      </c>
      <c r="J9570">
        <v>0</v>
      </c>
      <c r="K9570" t="str">
        <f t="shared" ref="K9570:K9601" si="1717">"809"</f>
        <v>809</v>
      </c>
      <c r="L9570">
        <v>1020.24</v>
      </c>
    </row>
    <row r="9571" spans="1:12" x14ac:dyDescent="0.25">
      <c r="A9571" t="str">
        <f t="shared" si="1709"/>
        <v>89301000</v>
      </c>
      <c r="B9571" t="str">
        <f t="shared" si="1715"/>
        <v>89063000</v>
      </c>
      <c r="C9571" t="str">
        <f t="shared" si="1715"/>
        <v>89063000</v>
      </c>
      <c r="D9571">
        <v>89301037</v>
      </c>
      <c r="E9571" t="str">
        <f>"6861081491"</f>
        <v>6861081491</v>
      </c>
      <c r="F9571" s="1">
        <v>45140</v>
      </c>
      <c r="G9571" t="str">
        <f t="shared" si="1716"/>
        <v>89312</v>
      </c>
      <c r="H9571">
        <v>3</v>
      </c>
      <c r="I9571">
        <v>936</v>
      </c>
      <c r="J9571">
        <v>0</v>
      </c>
      <c r="K9571" t="str">
        <f t="shared" si="1717"/>
        <v>809</v>
      </c>
      <c r="L9571">
        <v>1020.24</v>
      </c>
    </row>
    <row r="9572" spans="1:12" x14ac:dyDescent="0.25">
      <c r="A9572" t="str">
        <f t="shared" si="1709"/>
        <v>89301000</v>
      </c>
      <c r="B9572" t="str">
        <f t="shared" si="1715"/>
        <v>89063000</v>
      </c>
      <c r="C9572" t="str">
        <f t="shared" si="1715"/>
        <v>89063000</v>
      </c>
      <c r="D9572">
        <v>89301037</v>
      </c>
      <c r="E9572" t="str">
        <f>"5653080983"</f>
        <v>5653080983</v>
      </c>
      <c r="F9572" s="1">
        <v>45140</v>
      </c>
      <c r="G9572" t="str">
        <f t="shared" si="1716"/>
        <v>89312</v>
      </c>
      <c r="H9572">
        <v>3</v>
      </c>
      <c r="I9572">
        <v>936</v>
      </c>
      <c r="J9572">
        <v>0</v>
      </c>
      <c r="K9572" t="str">
        <f t="shared" si="1717"/>
        <v>809</v>
      </c>
      <c r="L9572">
        <v>1020.24</v>
      </c>
    </row>
    <row r="9573" spans="1:12" x14ac:dyDescent="0.25">
      <c r="A9573" t="str">
        <f t="shared" si="1709"/>
        <v>89301000</v>
      </c>
      <c r="B9573" t="str">
        <f t="shared" si="1715"/>
        <v>89063000</v>
      </c>
      <c r="C9573" t="str">
        <f t="shared" si="1715"/>
        <v>89063000</v>
      </c>
      <c r="D9573">
        <v>89301036</v>
      </c>
      <c r="E9573" t="str">
        <f>"505327099"</f>
        <v>505327099</v>
      </c>
      <c r="F9573" s="1">
        <v>45140</v>
      </c>
      <c r="G9573" t="str">
        <f t="shared" si="1716"/>
        <v>89312</v>
      </c>
      <c r="H9573">
        <v>3</v>
      </c>
      <c r="I9573">
        <v>936</v>
      </c>
      <c r="J9573">
        <v>0</v>
      </c>
      <c r="K9573" t="str">
        <f t="shared" si="1717"/>
        <v>809</v>
      </c>
      <c r="L9573">
        <v>1020.24</v>
      </c>
    </row>
    <row r="9574" spans="1:12" x14ac:dyDescent="0.25">
      <c r="A9574" t="str">
        <f t="shared" si="1709"/>
        <v>89301000</v>
      </c>
      <c r="B9574" t="str">
        <f t="shared" si="1715"/>
        <v>89063000</v>
      </c>
      <c r="C9574" t="str">
        <f t="shared" si="1715"/>
        <v>89063000</v>
      </c>
      <c r="D9574">
        <v>89301109</v>
      </c>
      <c r="E9574" t="str">
        <f>"1654130258"</f>
        <v>1654130258</v>
      </c>
      <c r="F9574" s="1">
        <v>45140</v>
      </c>
      <c r="G9574" t="str">
        <f t="shared" si="1716"/>
        <v>89312</v>
      </c>
      <c r="H9574">
        <v>1</v>
      </c>
      <c r="I9574">
        <v>312</v>
      </c>
      <c r="J9574">
        <v>0</v>
      </c>
      <c r="K9574" t="str">
        <f t="shared" si="1717"/>
        <v>809</v>
      </c>
      <c r="L9574">
        <v>340.08</v>
      </c>
    </row>
    <row r="9575" spans="1:12" x14ac:dyDescent="0.25">
      <c r="A9575" t="str">
        <f t="shared" si="1709"/>
        <v>89301000</v>
      </c>
      <c r="B9575" t="str">
        <f t="shared" si="1715"/>
        <v>89063000</v>
      </c>
      <c r="C9575" t="str">
        <f t="shared" si="1715"/>
        <v>89063000</v>
      </c>
      <c r="D9575">
        <v>89301037</v>
      </c>
      <c r="E9575" t="str">
        <f>"405916402"</f>
        <v>405916402</v>
      </c>
      <c r="F9575" s="1">
        <v>45141</v>
      </c>
      <c r="G9575" t="str">
        <f t="shared" si="1716"/>
        <v>89312</v>
      </c>
      <c r="H9575">
        <v>3</v>
      </c>
      <c r="I9575">
        <v>936</v>
      </c>
      <c r="J9575">
        <v>0</v>
      </c>
      <c r="K9575" t="str">
        <f t="shared" si="1717"/>
        <v>809</v>
      </c>
      <c r="L9575">
        <v>1020.24</v>
      </c>
    </row>
    <row r="9576" spans="1:12" x14ac:dyDescent="0.25">
      <c r="A9576" t="str">
        <f t="shared" si="1709"/>
        <v>89301000</v>
      </c>
      <c r="B9576" t="str">
        <f t="shared" si="1715"/>
        <v>89063000</v>
      </c>
      <c r="C9576" t="str">
        <f t="shared" si="1715"/>
        <v>89063000</v>
      </c>
      <c r="D9576">
        <v>89301102</v>
      </c>
      <c r="E9576" t="str">
        <f>"0958043229"</f>
        <v>0958043229</v>
      </c>
      <c r="F9576" s="1">
        <v>45141</v>
      </c>
      <c r="G9576" t="str">
        <f t="shared" si="1716"/>
        <v>89312</v>
      </c>
      <c r="H9576">
        <v>1</v>
      </c>
      <c r="I9576">
        <v>312</v>
      </c>
      <c r="J9576">
        <v>0</v>
      </c>
      <c r="K9576" t="str">
        <f t="shared" si="1717"/>
        <v>809</v>
      </c>
      <c r="L9576">
        <v>340.08</v>
      </c>
    </row>
    <row r="9577" spans="1:12" x14ac:dyDescent="0.25">
      <c r="A9577" t="str">
        <f t="shared" si="1709"/>
        <v>89301000</v>
      </c>
      <c r="B9577" t="str">
        <f t="shared" si="1715"/>
        <v>89063000</v>
      </c>
      <c r="C9577" t="str">
        <f t="shared" si="1715"/>
        <v>89063000</v>
      </c>
      <c r="D9577">
        <v>89301037</v>
      </c>
      <c r="E9577" t="str">
        <f>"505410067"</f>
        <v>505410067</v>
      </c>
      <c r="F9577" s="1">
        <v>45142</v>
      </c>
      <c r="G9577" t="str">
        <f t="shared" si="1716"/>
        <v>89312</v>
      </c>
      <c r="H9577">
        <v>3</v>
      </c>
      <c r="I9577">
        <v>936</v>
      </c>
      <c r="J9577">
        <v>0</v>
      </c>
      <c r="K9577" t="str">
        <f t="shared" si="1717"/>
        <v>809</v>
      </c>
      <c r="L9577">
        <v>1020.24</v>
      </c>
    </row>
    <row r="9578" spans="1:12" x14ac:dyDescent="0.25">
      <c r="A9578" t="str">
        <f t="shared" si="1709"/>
        <v>89301000</v>
      </c>
      <c r="B9578" t="str">
        <f t="shared" si="1715"/>
        <v>89063000</v>
      </c>
      <c r="C9578" t="str">
        <f t="shared" si="1715"/>
        <v>89063000</v>
      </c>
      <c r="D9578">
        <v>89301037</v>
      </c>
      <c r="E9578" t="str">
        <f>"515524091"</f>
        <v>515524091</v>
      </c>
      <c r="F9578" s="1">
        <v>45142</v>
      </c>
      <c r="G9578" t="str">
        <f t="shared" si="1716"/>
        <v>89312</v>
      </c>
      <c r="H9578">
        <v>3</v>
      </c>
      <c r="I9578">
        <v>936</v>
      </c>
      <c r="J9578">
        <v>0</v>
      </c>
      <c r="K9578" t="str">
        <f t="shared" si="1717"/>
        <v>809</v>
      </c>
      <c r="L9578">
        <v>1020.24</v>
      </c>
    </row>
    <row r="9579" spans="1:12" x14ac:dyDescent="0.25">
      <c r="A9579" t="str">
        <f t="shared" si="1709"/>
        <v>89301000</v>
      </c>
      <c r="B9579" t="str">
        <f t="shared" si="1715"/>
        <v>89063000</v>
      </c>
      <c r="C9579" t="str">
        <f t="shared" si="1715"/>
        <v>89063000</v>
      </c>
      <c r="D9579">
        <v>89301036</v>
      </c>
      <c r="E9579" t="str">
        <f>"6353050088"</f>
        <v>6353050088</v>
      </c>
      <c r="F9579" s="1">
        <v>45142</v>
      </c>
      <c r="G9579" t="str">
        <f t="shared" si="1716"/>
        <v>89312</v>
      </c>
      <c r="H9579">
        <v>3</v>
      </c>
      <c r="I9579">
        <v>936</v>
      </c>
      <c r="J9579">
        <v>0</v>
      </c>
      <c r="K9579" t="str">
        <f t="shared" si="1717"/>
        <v>809</v>
      </c>
      <c r="L9579">
        <v>1020.24</v>
      </c>
    </row>
    <row r="9580" spans="1:12" x14ac:dyDescent="0.25">
      <c r="A9580" t="str">
        <f t="shared" si="1709"/>
        <v>89301000</v>
      </c>
      <c r="B9580" t="str">
        <f t="shared" si="1715"/>
        <v>89063000</v>
      </c>
      <c r="C9580" t="str">
        <f t="shared" si="1715"/>
        <v>89063000</v>
      </c>
      <c r="D9580">
        <v>89301034</v>
      </c>
      <c r="E9580" t="str">
        <f>"7658154867"</f>
        <v>7658154867</v>
      </c>
      <c r="F9580" s="1">
        <v>45145</v>
      </c>
      <c r="G9580" t="str">
        <f t="shared" si="1716"/>
        <v>89312</v>
      </c>
      <c r="H9580">
        <v>3</v>
      </c>
      <c r="I9580">
        <v>936</v>
      </c>
      <c r="J9580">
        <v>0</v>
      </c>
      <c r="K9580" t="str">
        <f t="shared" si="1717"/>
        <v>809</v>
      </c>
      <c r="L9580">
        <v>1020.24</v>
      </c>
    </row>
    <row r="9581" spans="1:12" x14ac:dyDescent="0.25">
      <c r="A9581" t="str">
        <f t="shared" si="1709"/>
        <v>89301000</v>
      </c>
      <c r="B9581" t="str">
        <f t="shared" si="1715"/>
        <v>89063000</v>
      </c>
      <c r="C9581" t="str">
        <f t="shared" si="1715"/>
        <v>89063000</v>
      </c>
      <c r="D9581">
        <v>89301036</v>
      </c>
      <c r="E9581" t="str">
        <f>"5856221833"</f>
        <v>5856221833</v>
      </c>
      <c r="F9581" s="1">
        <v>45145</v>
      </c>
      <c r="G9581" t="str">
        <f t="shared" si="1716"/>
        <v>89312</v>
      </c>
      <c r="H9581">
        <v>3</v>
      </c>
      <c r="I9581">
        <v>936</v>
      </c>
      <c r="J9581">
        <v>0</v>
      </c>
      <c r="K9581" t="str">
        <f t="shared" si="1717"/>
        <v>809</v>
      </c>
      <c r="L9581">
        <v>1020.24</v>
      </c>
    </row>
    <row r="9582" spans="1:12" x14ac:dyDescent="0.25">
      <c r="A9582" t="str">
        <f t="shared" si="1709"/>
        <v>89301000</v>
      </c>
      <c r="B9582" t="str">
        <f t="shared" si="1715"/>
        <v>89063000</v>
      </c>
      <c r="C9582" t="str">
        <f t="shared" si="1715"/>
        <v>89063000</v>
      </c>
      <c r="D9582">
        <v>89301036</v>
      </c>
      <c r="E9582" t="str">
        <f>"535321081"</f>
        <v>535321081</v>
      </c>
      <c r="F9582" s="1">
        <v>45146</v>
      </c>
      <c r="G9582" t="str">
        <f t="shared" si="1716"/>
        <v>89312</v>
      </c>
      <c r="H9582">
        <v>3</v>
      </c>
      <c r="I9582">
        <v>936</v>
      </c>
      <c r="J9582">
        <v>0</v>
      </c>
      <c r="K9582" t="str">
        <f t="shared" si="1717"/>
        <v>809</v>
      </c>
      <c r="L9582">
        <v>1020.24</v>
      </c>
    </row>
    <row r="9583" spans="1:12" x14ac:dyDescent="0.25">
      <c r="A9583" t="str">
        <f t="shared" si="1709"/>
        <v>89301000</v>
      </c>
      <c r="B9583" t="str">
        <f t="shared" si="1715"/>
        <v>89063000</v>
      </c>
      <c r="C9583" t="str">
        <f t="shared" si="1715"/>
        <v>89063000</v>
      </c>
      <c r="D9583">
        <v>89301036</v>
      </c>
      <c r="E9583" t="str">
        <f>"8361055329"</f>
        <v>8361055329</v>
      </c>
      <c r="F9583" s="1">
        <v>45146</v>
      </c>
      <c r="G9583" t="str">
        <f t="shared" si="1716"/>
        <v>89312</v>
      </c>
      <c r="H9583">
        <v>3</v>
      </c>
      <c r="I9583">
        <v>936</v>
      </c>
      <c r="J9583">
        <v>0</v>
      </c>
      <c r="K9583" t="str">
        <f t="shared" si="1717"/>
        <v>809</v>
      </c>
      <c r="L9583">
        <v>1020.24</v>
      </c>
    </row>
    <row r="9584" spans="1:12" x14ac:dyDescent="0.25">
      <c r="A9584" t="str">
        <f t="shared" si="1709"/>
        <v>89301000</v>
      </c>
      <c r="B9584" t="str">
        <f t="shared" si="1715"/>
        <v>89063000</v>
      </c>
      <c r="C9584" t="str">
        <f t="shared" si="1715"/>
        <v>89063000</v>
      </c>
      <c r="D9584">
        <v>89301102</v>
      </c>
      <c r="E9584" t="str">
        <f>"0755106143"</f>
        <v>0755106143</v>
      </c>
      <c r="F9584" s="1">
        <v>45147</v>
      </c>
      <c r="G9584" t="str">
        <f t="shared" si="1716"/>
        <v>89312</v>
      </c>
      <c r="H9584">
        <v>1</v>
      </c>
      <c r="I9584">
        <v>312</v>
      </c>
      <c r="J9584">
        <v>0</v>
      </c>
      <c r="K9584" t="str">
        <f t="shared" si="1717"/>
        <v>809</v>
      </c>
      <c r="L9584">
        <v>340.08</v>
      </c>
    </row>
    <row r="9585" spans="1:12" x14ac:dyDescent="0.25">
      <c r="A9585" t="str">
        <f t="shared" si="1709"/>
        <v>89301000</v>
      </c>
      <c r="B9585" t="str">
        <f t="shared" si="1715"/>
        <v>89063000</v>
      </c>
      <c r="C9585" t="str">
        <f t="shared" si="1715"/>
        <v>89063000</v>
      </c>
      <c r="D9585">
        <v>89301704</v>
      </c>
      <c r="E9585" t="str">
        <f>"0712286157"</f>
        <v>0712286157</v>
      </c>
      <c r="F9585" s="1">
        <v>45148</v>
      </c>
      <c r="G9585" t="str">
        <f t="shared" si="1716"/>
        <v>89312</v>
      </c>
      <c r="H9585">
        <v>1</v>
      </c>
      <c r="I9585">
        <v>312</v>
      </c>
      <c r="J9585">
        <v>0</v>
      </c>
      <c r="K9585" t="str">
        <f t="shared" si="1717"/>
        <v>809</v>
      </c>
      <c r="L9585">
        <v>340.08</v>
      </c>
    </row>
    <row r="9586" spans="1:12" x14ac:dyDescent="0.25">
      <c r="A9586" t="str">
        <f t="shared" si="1709"/>
        <v>89301000</v>
      </c>
      <c r="B9586" t="str">
        <f t="shared" si="1715"/>
        <v>89063000</v>
      </c>
      <c r="C9586" t="str">
        <f t="shared" si="1715"/>
        <v>89063000</v>
      </c>
      <c r="D9586">
        <v>89301037</v>
      </c>
      <c r="E9586" t="str">
        <f>"8301135326"</f>
        <v>8301135326</v>
      </c>
      <c r="F9586" s="1">
        <v>45149</v>
      </c>
      <c r="G9586" t="str">
        <f t="shared" si="1716"/>
        <v>89312</v>
      </c>
      <c r="H9586">
        <v>3</v>
      </c>
      <c r="I9586">
        <v>936</v>
      </c>
      <c r="J9586">
        <v>0</v>
      </c>
      <c r="K9586" t="str">
        <f t="shared" si="1717"/>
        <v>809</v>
      </c>
      <c r="L9586">
        <v>1020.24</v>
      </c>
    </row>
    <row r="9587" spans="1:12" x14ac:dyDescent="0.25">
      <c r="A9587" t="str">
        <f t="shared" si="1709"/>
        <v>89301000</v>
      </c>
      <c r="B9587" t="str">
        <f t="shared" si="1715"/>
        <v>89063000</v>
      </c>
      <c r="C9587" t="str">
        <f t="shared" si="1715"/>
        <v>89063000</v>
      </c>
      <c r="D9587">
        <v>89301037</v>
      </c>
      <c r="E9587" t="str">
        <f>"495712092"</f>
        <v>495712092</v>
      </c>
      <c r="F9587" s="1">
        <v>45152</v>
      </c>
      <c r="G9587" t="str">
        <f t="shared" si="1716"/>
        <v>89312</v>
      </c>
      <c r="H9587">
        <v>3</v>
      </c>
      <c r="I9587">
        <v>936</v>
      </c>
      <c r="J9587">
        <v>0</v>
      </c>
      <c r="K9587" t="str">
        <f t="shared" si="1717"/>
        <v>809</v>
      </c>
      <c r="L9587">
        <v>1020.24</v>
      </c>
    </row>
    <row r="9588" spans="1:12" x14ac:dyDescent="0.25">
      <c r="A9588" t="str">
        <f t="shared" si="1709"/>
        <v>89301000</v>
      </c>
      <c r="B9588" t="str">
        <f t="shared" si="1715"/>
        <v>89063000</v>
      </c>
      <c r="C9588" t="str">
        <f t="shared" si="1715"/>
        <v>89063000</v>
      </c>
      <c r="D9588">
        <v>89301037</v>
      </c>
      <c r="E9588" t="str">
        <f>"6857051982"</f>
        <v>6857051982</v>
      </c>
      <c r="F9588" s="1">
        <v>45152</v>
      </c>
      <c r="G9588" t="str">
        <f t="shared" si="1716"/>
        <v>89312</v>
      </c>
      <c r="H9588">
        <v>3</v>
      </c>
      <c r="I9588">
        <v>936</v>
      </c>
      <c r="J9588">
        <v>0</v>
      </c>
      <c r="K9588" t="str">
        <f t="shared" si="1717"/>
        <v>809</v>
      </c>
      <c r="L9588">
        <v>1020.24</v>
      </c>
    </row>
    <row r="9589" spans="1:12" x14ac:dyDescent="0.25">
      <c r="A9589" t="str">
        <f t="shared" si="1709"/>
        <v>89301000</v>
      </c>
      <c r="B9589" t="str">
        <f t="shared" si="1715"/>
        <v>89063000</v>
      </c>
      <c r="C9589" t="str">
        <f t="shared" si="1715"/>
        <v>89063000</v>
      </c>
      <c r="D9589">
        <v>89301037</v>
      </c>
      <c r="E9589" t="str">
        <f>"515602047"</f>
        <v>515602047</v>
      </c>
      <c r="F9589" s="1">
        <v>45152</v>
      </c>
      <c r="G9589" t="str">
        <f t="shared" si="1716"/>
        <v>89312</v>
      </c>
      <c r="H9589">
        <v>3</v>
      </c>
      <c r="I9589">
        <v>936</v>
      </c>
      <c r="J9589">
        <v>0</v>
      </c>
      <c r="K9589" t="str">
        <f t="shared" si="1717"/>
        <v>809</v>
      </c>
      <c r="L9589">
        <v>1020.24</v>
      </c>
    </row>
    <row r="9590" spans="1:12" x14ac:dyDescent="0.25">
      <c r="A9590" t="str">
        <f t="shared" si="1709"/>
        <v>89301000</v>
      </c>
      <c r="B9590" t="str">
        <f t="shared" ref="B9590:C9609" si="1718">"89063000"</f>
        <v>89063000</v>
      </c>
      <c r="C9590" t="str">
        <f t="shared" si="1718"/>
        <v>89063000</v>
      </c>
      <c r="D9590">
        <v>89301037</v>
      </c>
      <c r="E9590" t="str">
        <f>"7706115340"</f>
        <v>7706115340</v>
      </c>
      <c r="F9590" s="1">
        <v>45152</v>
      </c>
      <c r="G9590" t="str">
        <f t="shared" si="1716"/>
        <v>89312</v>
      </c>
      <c r="H9590">
        <v>3</v>
      </c>
      <c r="I9590">
        <v>936</v>
      </c>
      <c r="J9590">
        <v>0</v>
      </c>
      <c r="K9590" t="str">
        <f t="shared" si="1717"/>
        <v>809</v>
      </c>
      <c r="L9590">
        <v>1020.24</v>
      </c>
    </row>
    <row r="9591" spans="1:12" x14ac:dyDescent="0.25">
      <c r="A9591" t="str">
        <f t="shared" si="1709"/>
        <v>89301000</v>
      </c>
      <c r="B9591" t="str">
        <f t="shared" si="1718"/>
        <v>89063000</v>
      </c>
      <c r="C9591" t="str">
        <f t="shared" si="1718"/>
        <v>89063000</v>
      </c>
      <c r="D9591">
        <v>89301037</v>
      </c>
      <c r="E9591" t="str">
        <f>"7554075364"</f>
        <v>7554075364</v>
      </c>
      <c r="F9591" s="1">
        <v>45152</v>
      </c>
      <c r="G9591" t="str">
        <f t="shared" si="1716"/>
        <v>89312</v>
      </c>
      <c r="H9591">
        <v>3</v>
      </c>
      <c r="I9591">
        <v>936</v>
      </c>
      <c r="J9591">
        <v>0</v>
      </c>
      <c r="K9591" t="str">
        <f t="shared" si="1717"/>
        <v>809</v>
      </c>
      <c r="L9591">
        <v>1020.24</v>
      </c>
    </row>
    <row r="9592" spans="1:12" x14ac:dyDescent="0.25">
      <c r="A9592" t="str">
        <f t="shared" si="1709"/>
        <v>89301000</v>
      </c>
      <c r="B9592" t="str">
        <f t="shared" si="1718"/>
        <v>89063000</v>
      </c>
      <c r="C9592" t="str">
        <f t="shared" si="1718"/>
        <v>89063000</v>
      </c>
      <c r="D9592">
        <v>89301037</v>
      </c>
      <c r="E9592" t="str">
        <f>"535521385"</f>
        <v>535521385</v>
      </c>
      <c r="F9592" s="1">
        <v>45153</v>
      </c>
      <c r="G9592" t="str">
        <f t="shared" si="1716"/>
        <v>89312</v>
      </c>
      <c r="H9592">
        <v>3</v>
      </c>
      <c r="I9592">
        <v>936</v>
      </c>
      <c r="J9592">
        <v>0</v>
      </c>
      <c r="K9592" t="str">
        <f t="shared" si="1717"/>
        <v>809</v>
      </c>
      <c r="L9592">
        <v>1020.24</v>
      </c>
    </row>
    <row r="9593" spans="1:12" x14ac:dyDescent="0.25">
      <c r="A9593" t="str">
        <f t="shared" si="1709"/>
        <v>89301000</v>
      </c>
      <c r="B9593" t="str">
        <f t="shared" si="1718"/>
        <v>89063000</v>
      </c>
      <c r="C9593" t="str">
        <f t="shared" si="1718"/>
        <v>89063000</v>
      </c>
      <c r="D9593">
        <v>89301037</v>
      </c>
      <c r="E9593" t="str">
        <f>"510623165"</f>
        <v>510623165</v>
      </c>
      <c r="F9593" s="1">
        <v>45155</v>
      </c>
      <c r="G9593" t="str">
        <f t="shared" si="1716"/>
        <v>89312</v>
      </c>
      <c r="H9593">
        <v>3</v>
      </c>
      <c r="I9593">
        <v>936</v>
      </c>
      <c r="J9593">
        <v>0</v>
      </c>
      <c r="K9593" t="str">
        <f t="shared" si="1717"/>
        <v>809</v>
      </c>
      <c r="L9593">
        <v>1020.24</v>
      </c>
    </row>
    <row r="9594" spans="1:12" x14ac:dyDescent="0.25">
      <c r="A9594" t="str">
        <f t="shared" si="1709"/>
        <v>89301000</v>
      </c>
      <c r="B9594" t="str">
        <f t="shared" si="1718"/>
        <v>89063000</v>
      </c>
      <c r="C9594" t="str">
        <f t="shared" si="1718"/>
        <v>89063000</v>
      </c>
      <c r="D9594">
        <v>89301212</v>
      </c>
      <c r="E9594" t="str">
        <f>"5558232427"</f>
        <v>5558232427</v>
      </c>
      <c r="F9594" s="1">
        <v>45155</v>
      </c>
      <c r="G9594" t="str">
        <f t="shared" si="1716"/>
        <v>89312</v>
      </c>
      <c r="H9594">
        <v>3</v>
      </c>
      <c r="I9594">
        <v>936</v>
      </c>
      <c r="J9594">
        <v>0</v>
      </c>
      <c r="K9594" t="str">
        <f t="shared" si="1717"/>
        <v>809</v>
      </c>
      <c r="L9594">
        <v>1020.24</v>
      </c>
    </row>
    <row r="9595" spans="1:12" x14ac:dyDescent="0.25">
      <c r="A9595" t="str">
        <f t="shared" si="1709"/>
        <v>89301000</v>
      </c>
      <c r="B9595" t="str">
        <f t="shared" si="1718"/>
        <v>89063000</v>
      </c>
      <c r="C9595" t="str">
        <f t="shared" si="1718"/>
        <v>89063000</v>
      </c>
      <c r="D9595">
        <v>89301037</v>
      </c>
      <c r="E9595" t="str">
        <f>"5510151460"</f>
        <v>5510151460</v>
      </c>
      <c r="F9595" s="1">
        <v>45155</v>
      </c>
      <c r="G9595" t="str">
        <f t="shared" si="1716"/>
        <v>89312</v>
      </c>
      <c r="H9595">
        <v>3</v>
      </c>
      <c r="I9595">
        <v>936</v>
      </c>
      <c r="J9595">
        <v>0</v>
      </c>
      <c r="K9595" t="str">
        <f t="shared" si="1717"/>
        <v>809</v>
      </c>
      <c r="L9595">
        <v>1020.24</v>
      </c>
    </row>
    <row r="9596" spans="1:12" x14ac:dyDescent="0.25">
      <c r="A9596" t="str">
        <f t="shared" si="1709"/>
        <v>89301000</v>
      </c>
      <c r="B9596" t="str">
        <f t="shared" si="1718"/>
        <v>89063000</v>
      </c>
      <c r="C9596" t="str">
        <f t="shared" si="1718"/>
        <v>89063000</v>
      </c>
      <c r="D9596">
        <v>89301036</v>
      </c>
      <c r="E9596" t="str">
        <f>"7354205771"</f>
        <v>7354205771</v>
      </c>
      <c r="F9596" s="1">
        <v>45155</v>
      </c>
      <c r="G9596" t="str">
        <f t="shared" si="1716"/>
        <v>89312</v>
      </c>
      <c r="H9596">
        <v>3</v>
      </c>
      <c r="I9596">
        <v>936</v>
      </c>
      <c r="J9596">
        <v>0</v>
      </c>
      <c r="K9596" t="str">
        <f t="shared" si="1717"/>
        <v>809</v>
      </c>
      <c r="L9596">
        <v>1020.24</v>
      </c>
    </row>
    <row r="9597" spans="1:12" x14ac:dyDescent="0.25">
      <c r="A9597" t="str">
        <f t="shared" si="1709"/>
        <v>89301000</v>
      </c>
      <c r="B9597" t="str">
        <f t="shared" si="1718"/>
        <v>89063000</v>
      </c>
      <c r="C9597" t="str">
        <f t="shared" si="1718"/>
        <v>89063000</v>
      </c>
      <c r="D9597">
        <v>89301212</v>
      </c>
      <c r="E9597" t="str">
        <f>"7858025329"</f>
        <v>7858025329</v>
      </c>
      <c r="F9597" s="1">
        <v>45155</v>
      </c>
      <c r="G9597" t="str">
        <f t="shared" si="1716"/>
        <v>89312</v>
      </c>
      <c r="H9597">
        <v>3</v>
      </c>
      <c r="I9597">
        <v>936</v>
      </c>
      <c r="J9597">
        <v>0</v>
      </c>
      <c r="K9597" t="str">
        <f t="shared" si="1717"/>
        <v>809</v>
      </c>
      <c r="L9597">
        <v>1020.24</v>
      </c>
    </row>
    <row r="9598" spans="1:12" x14ac:dyDescent="0.25">
      <c r="A9598" t="str">
        <f t="shared" si="1709"/>
        <v>89301000</v>
      </c>
      <c r="B9598" t="str">
        <f t="shared" si="1718"/>
        <v>89063000</v>
      </c>
      <c r="C9598" t="str">
        <f t="shared" si="1718"/>
        <v>89063000</v>
      </c>
      <c r="D9598">
        <v>89301037</v>
      </c>
      <c r="E9598" t="str">
        <f>"495116124"</f>
        <v>495116124</v>
      </c>
      <c r="F9598" s="1">
        <v>45156</v>
      </c>
      <c r="G9598" t="str">
        <f t="shared" si="1716"/>
        <v>89312</v>
      </c>
      <c r="H9598">
        <v>2</v>
      </c>
      <c r="I9598">
        <v>624</v>
      </c>
      <c r="J9598">
        <v>0</v>
      </c>
      <c r="K9598" t="str">
        <f t="shared" si="1717"/>
        <v>809</v>
      </c>
      <c r="L9598">
        <v>680.16</v>
      </c>
    </row>
    <row r="9599" spans="1:12" x14ac:dyDescent="0.25">
      <c r="A9599" t="str">
        <f t="shared" si="1709"/>
        <v>89301000</v>
      </c>
      <c r="B9599" t="str">
        <f t="shared" si="1718"/>
        <v>89063000</v>
      </c>
      <c r="C9599" t="str">
        <f t="shared" si="1718"/>
        <v>89063000</v>
      </c>
      <c r="D9599">
        <v>89301102</v>
      </c>
      <c r="E9599" t="str">
        <f>"1203270167"</f>
        <v>1203270167</v>
      </c>
      <c r="F9599" s="1">
        <v>45159</v>
      </c>
      <c r="G9599" t="str">
        <f t="shared" si="1716"/>
        <v>89312</v>
      </c>
      <c r="H9599">
        <v>1</v>
      </c>
      <c r="I9599">
        <v>312</v>
      </c>
      <c r="J9599">
        <v>0</v>
      </c>
      <c r="K9599" t="str">
        <f t="shared" si="1717"/>
        <v>809</v>
      </c>
      <c r="L9599">
        <v>340.08</v>
      </c>
    </row>
    <row r="9600" spans="1:12" x14ac:dyDescent="0.25">
      <c r="A9600" t="str">
        <f t="shared" si="1709"/>
        <v>89301000</v>
      </c>
      <c r="B9600" t="str">
        <f t="shared" si="1718"/>
        <v>89063000</v>
      </c>
      <c r="C9600" t="str">
        <f t="shared" si="1718"/>
        <v>89063000</v>
      </c>
      <c r="D9600">
        <v>89301037</v>
      </c>
      <c r="E9600" t="str">
        <f>"7302165761"</f>
        <v>7302165761</v>
      </c>
      <c r="F9600" s="1">
        <v>45160</v>
      </c>
      <c r="G9600" t="str">
        <f t="shared" si="1716"/>
        <v>89312</v>
      </c>
      <c r="H9600">
        <v>3</v>
      </c>
      <c r="I9600">
        <v>936</v>
      </c>
      <c r="J9600">
        <v>0</v>
      </c>
      <c r="K9600" t="str">
        <f t="shared" si="1717"/>
        <v>809</v>
      </c>
      <c r="L9600">
        <v>1020.24</v>
      </c>
    </row>
    <row r="9601" spans="1:12" x14ac:dyDescent="0.25">
      <c r="A9601" t="str">
        <f t="shared" si="1709"/>
        <v>89301000</v>
      </c>
      <c r="B9601" t="str">
        <f t="shared" si="1718"/>
        <v>89063000</v>
      </c>
      <c r="C9601" t="str">
        <f t="shared" si="1718"/>
        <v>89063000</v>
      </c>
      <c r="D9601">
        <v>89301704</v>
      </c>
      <c r="E9601" t="str">
        <f>"1051146162"</f>
        <v>1051146162</v>
      </c>
      <c r="F9601" s="1">
        <v>45160</v>
      </c>
      <c r="G9601" t="str">
        <f t="shared" si="1716"/>
        <v>89312</v>
      </c>
      <c r="H9601">
        <v>1</v>
      </c>
      <c r="I9601">
        <v>312</v>
      </c>
      <c r="J9601">
        <v>0</v>
      </c>
      <c r="K9601" t="str">
        <f t="shared" si="1717"/>
        <v>809</v>
      </c>
      <c r="L9601">
        <v>340.08</v>
      </c>
    </row>
    <row r="9602" spans="1:12" x14ac:dyDescent="0.25">
      <c r="A9602" t="str">
        <f t="shared" ref="A9602:A9665" si="1719">"89301000"</f>
        <v>89301000</v>
      </c>
      <c r="B9602" t="str">
        <f t="shared" si="1718"/>
        <v>89063000</v>
      </c>
      <c r="C9602" t="str">
        <f t="shared" si="1718"/>
        <v>89063000</v>
      </c>
      <c r="D9602">
        <v>89301039</v>
      </c>
      <c r="E9602" t="str">
        <f>"5952130437"</f>
        <v>5952130437</v>
      </c>
      <c r="F9602" s="1">
        <v>45160</v>
      </c>
      <c r="G9602" t="str">
        <f t="shared" ref="G9602:G9618" si="1720">"89312"</f>
        <v>89312</v>
      </c>
      <c r="H9602">
        <v>3</v>
      </c>
      <c r="I9602">
        <v>936</v>
      </c>
      <c r="J9602">
        <v>0</v>
      </c>
      <c r="K9602" t="str">
        <f t="shared" ref="K9602:K9618" si="1721">"809"</f>
        <v>809</v>
      </c>
      <c r="L9602">
        <v>1020.24</v>
      </c>
    </row>
    <row r="9603" spans="1:12" x14ac:dyDescent="0.25">
      <c r="A9603" t="str">
        <f t="shared" si="1719"/>
        <v>89301000</v>
      </c>
      <c r="B9603" t="str">
        <f t="shared" si="1718"/>
        <v>89063000</v>
      </c>
      <c r="C9603" t="str">
        <f t="shared" si="1718"/>
        <v>89063000</v>
      </c>
      <c r="D9603">
        <v>89301212</v>
      </c>
      <c r="E9603" t="str">
        <f>"6658141523"</f>
        <v>6658141523</v>
      </c>
      <c r="F9603" s="1">
        <v>45160</v>
      </c>
      <c r="G9603" t="str">
        <f t="shared" si="1720"/>
        <v>89312</v>
      </c>
      <c r="H9603">
        <v>3</v>
      </c>
      <c r="I9603">
        <v>936</v>
      </c>
      <c r="J9603">
        <v>0</v>
      </c>
      <c r="K9603" t="str">
        <f t="shared" si="1721"/>
        <v>809</v>
      </c>
      <c r="L9603">
        <v>1020.24</v>
      </c>
    </row>
    <row r="9604" spans="1:12" x14ac:dyDescent="0.25">
      <c r="A9604" t="str">
        <f t="shared" si="1719"/>
        <v>89301000</v>
      </c>
      <c r="B9604" t="str">
        <f t="shared" si="1718"/>
        <v>89063000</v>
      </c>
      <c r="C9604" t="str">
        <f t="shared" si="1718"/>
        <v>89063000</v>
      </c>
      <c r="D9604">
        <v>89301212</v>
      </c>
      <c r="E9604" t="str">
        <f>"515518066"</f>
        <v>515518066</v>
      </c>
      <c r="F9604" s="1">
        <v>45160</v>
      </c>
      <c r="G9604" t="str">
        <f t="shared" si="1720"/>
        <v>89312</v>
      </c>
      <c r="H9604">
        <v>3</v>
      </c>
      <c r="I9604">
        <v>936</v>
      </c>
      <c r="J9604">
        <v>0</v>
      </c>
      <c r="K9604" t="str">
        <f t="shared" si="1721"/>
        <v>809</v>
      </c>
      <c r="L9604">
        <v>1020.24</v>
      </c>
    </row>
    <row r="9605" spans="1:12" x14ac:dyDescent="0.25">
      <c r="A9605" t="str">
        <f t="shared" si="1719"/>
        <v>89301000</v>
      </c>
      <c r="B9605" t="str">
        <f t="shared" si="1718"/>
        <v>89063000</v>
      </c>
      <c r="C9605" t="str">
        <f t="shared" si="1718"/>
        <v>89063000</v>
      </c>
      <c r="D9605">
        <v>89301037</v>
      </c>
      <c r="E9605" t="str">
        <f>"476003453"</f>
        <v>476003453</v>
      </c>
      <c r="F9605" s="1">
        <v>45161</v>
      </c>
      <c r="G9605" t="str">
        <f t="shared" si="1720"/>
        <v>89312</v>
      </c>
      <c r="H9605">
        <v>3</v>
      </c>
      <c r="I9605">
        <v>936</v>
      </c>
      <c r="J9605">
        <v>0</v>
      </c>
      <c r="K9605" t="str">
        <f t="shared" si="1721"/>
        <v>809</v>
      </c>
      <c r="L9605">
        <v>1020.24</v>
      </c>
    </row>
    <row r="9606" spans="1:12" x14ac:dyDescent="0.25">
      <c r="A9606" t="str">
        <f t="shared" si="1719"/>
        <v>89301000</v>
      </c>
      <c r="B9606" t="str">
        <f t="shared" si="1718"/>
        <v>89063000</v>
      </c>
      <c r="C9606" t="str">
        <f t="shared" si="1718"/>
        <v>89063000</v>
      </c>
      <c r="D9606">
        <v>89301212</v>
      </c>
      <c r="E9606" t="str">
        <f>"5756301947"</f>
        <v>5756301947</v>
      </c>
      <c r="F9606" s="1">
        <v>45161</v>
      </c>
      <c r="G9606" t="str">
        <f t="shared" si="1720"/>
        <v>89312</v>
      </c>
      <c r="H9606">
        <v>3</v>
      </c>
      <c r="I9606">
        <v>936</v>
      </c>
      <c r="J9606">
        <v>0</v>
      </c>
      <c r="K9606" t="str">
        <f t="shared" si="1721"/>
        <v>809</v>
      </c>
      <c r="L9606">
        <v>1020.24</v>
      </c>
    </row>
    <row r="9607" spans="1:12" x14ac:dyDescent="0.25">
      <c r="A9607" t="str">
        <f t="shared" si="1719"/>
        <v>89301000</v>
      </c>
      <c r="B9607" t="str">
        <f t="shared" si="1718"/>
        <v>89063000</v>
      </c>
      <c r="C9607" t="str">
        <f t="shared" si="1718"/>
        <v>89063000</v>
      </c>
      <c r="D9607">
        <v>89301039</v>
      </c>
      <c r="E9607" t="str">
        <f>"7753194152"</f>
        <v>7753194152</v>
      </c>
      <c r="F9607" s="1">
        <v>45161</v>
      </c>
      <c r="G9607" t="str">
        <f t="shared" si="1720"/>
        <v>89312</v>
      </c>
      <c r="H9607">
        <v>3</v>
      </c>
      <c r="I9607">
        <v>936</v>
      </c>
      <c r="J9607">
        <v>0</v>
      </c>
      <c r="K9607" t="str">
        <f t="shared" si="1721"/>
        <v>809</v>
      </c>
      <c r="L9607">
        <v>1020.24</v>
      </c>
    </row>
    <row r="9608" spans="1:12" x14ac:dyDescent="0.25">
      <c r="A9608" t="str">
        <f t="shared" si="1719"/>
        <v>89301000</v>
      </c>
      <c r="B9608" t="str">
        <f t="shared" si="1718"/>
        <v>89063000</v>
      </c>
      <c r="C9608" t="str">
        <f t="shared" si="1718"/>
        <v>89063000</v>
      </c>
      <c r="D9608">
        <v>89301022</v>
      </c>
      <c r="E9608" t="str">
        <f>"7159085362"</f>
        <v>7159085362</v>
      </c>
      <c r="F9608" s="1">
        <v>45161</v>
      </c>
      <c r="G9608" t="str">
        <f t="shared" si="1720"/>
        <v>89312</v>
      </c>
      <c r="H9608">
        <v>3</v>
      </c>
      <c r="I9608">
        <v>936</v>
      </c>
      <c r="J9608">
        <v>0</v>
      </c>
      <c r="K9608" t="str">
        <f t="shared" si="1721"/>
        <v>809</v>
      </c>
      <c r="L9608">
        <v>1020.24</v>
      </c>
    </row>
    <row r="9609" spans="1:12" x14ac:dyDescent="0.25">
      <c r="A9609" t="str">
        <f t="shared" si="1719"/>
        <v>89301000</v>
      </c>
      <c r="B9609" t="str">
        <f t="shared" si="1718"/>
        <v>89063000</v>
      </c>
      <c r="C9609" t="str">
        <f t="shared" si="1718"/>
        <v>89063000</v>
      </c>
      <c r="D9609">
        <v>89301037</v>
      </c>
      <c r="E9609" t="str">
        <f>"0551031382"</f>
        <v>0551031382</v>
      </c>
      <c r="F9609" s="1">
        <v>45161</v>
      </c>
      <c r="G9609" t="str">
        <f t="shared" si="1720"/>
        <v>89312</v>
      </c>
      <c r="H9609">
        <v>1</v>
      </c>
      <c r="I9609">
        <v>312</v>
      </c>
      <c r="J9609">
        <v>0</v>
      </c>
      <c r="K9609" t="str">
        <f t="shared" si="1721"/>
        <v>809</v>
      </c>
      <c r="L9609">
        <v>340.08</v>
      </c>
    </row>
    <row r="9610" spans="1:12" x14ac:dyDescent="0.25">
      <c r="A9610" t="str">
        <f t="shared" si="1719"/>
        <v>89301000</v>
      </c>
      <c r="B9610" t="str">
        <f t="shared" ref="B9610:C9618" si="1722">"89063000"</f>
        <v>89063000</v>
      </c>
      <c r="C9610" t="str">
        <f t="shared" si="1722"/>
        <v>89063000</v>
      </c>
      <c r="D9610">
        <v>89301172</v>
      </c>
      <c r="E9610" t="str">
        <f>"7062035321"</f>
        <v>7062035321</v>
      </c>
      <c r="F9610" s="1">
        <v>45162</v>
      </c>
      <c r="G9610" t="str">
        <f t="shared" si="1720"/>
        <v>89312</v>
      </c>
      <c r="H9610">
        <v>3</v>
      </c>
      <c r="I9610">
        <v>936</v>
      </c>
      <c r="J9610">
        <v>0</v>
      </c>
      <c r="K9610" t="str">
        <f t="shared" si="1721"/>
        <v>809</v>
      </c>
      <c r="L9610">
        <v>1020.24</v>
      </c>
    </row>
    <row r="9611" spans="1:12" x14ac:dyDescent="0.25">
      <c r="A9611" t="str">
        <f t="shared" si="1719"/>
        <v>89301000</v>
      </c>
      <c r="B9611" t="str">
        <f t="shared" si="1722"/>
        <v>89063000</v>
      </c>
      <c r="C9611" t="str">
        <f t="shared" si="1722"/>
        <v>89063000</v>
      </c>
      <c r="D9611">
        <v>89301037</v>
      </c>
      <c r="E9611" t="str">
        <f>"485408401"</f>
        <v>485408401</v>
      </c>
      <c r="F9611" s="1">
        <v>45162</v>
      </c>
      <c r="G9611" t="str">
        <f t="shared" si="1720"/>
        <v>89312</v>
      </c>
      <c r="H9611">
        <v>3</v>
      </c>
      <c r="I9611">
        <v>936</v>
      </c>
      <c r="J9611">
        <v>0</v>
      </c>
      <c r="K9611" t="str">
        <f t="shared" si="1721"/>
        <v>809</v>
      </c>
      <c r="L9611">
        <v>1020.24</v>
      </c>
    </row>
    <row r="9612" spans="1:12" x14ac:dyDescent="0.25">
      <c r="A9612" t="str">
        <f t="shared" si="1719"/>
        <v>89301000</v>
      </c>
      <c r="B9612" t="str">
        <f t="shared" si="1722"/>
        <v>89063000</v>
      </c>
      <c r="C9612" t="str">
        <f t="shared" si="1722"/>
        <v>89063000</v>
      </c>
      <c r="D9612">
        <v>89301037</v>
      </c>
      <c r="E9612" t="str">
        <f>"5451200458"</f>
        <v>5451200458</v>
      </c>
      <c r="F9612" s="1">
        <v>45166</v>
      </c>
      <c r="G9612" t="str">
        <f t="shared" si="1720"/>
        <v>89312</v>
      </c>
      <c r="H9612">
        <v>3</v>
      </c>
      <c r="I9612">
        <v>936</v>
      </c>
      <c r="J9612">
        <v>0</v>
      </c>
      <c r="K9612" t="str">
        <f t="shared" si="1721"/>
        <v>809</v>
      </c>
      <c r="L9612">
        <v>1020.24</v>
      </c>
    </row>
    <row r="9613" spans="1:12" x14ac:dyDescent="0.25">
      <c r="A9613" t="str">
        <f t="shared" si="1719"/>
        <v>89301000</v>
      </c>
      <c r="B9613" t="str">
        <f t="shared" si="1722"/>
        <v>89063000</v>
      </c>
      <c r="C9613" t="str">
        <f t="shared" si="1722"/>
        <v>89063000</v>
      </c>
      <c r="D9613">
        <v>89301702</v>
      </c>
      <c r="E9613" t="str">
        <f>"1561130120"</f>
        <v>1561130120</v>
      </c>
      <c r="F9613" s="1">
        <v>45166</v>
      </c>
      <c r="G9613" t="str">
        <f t="shared" si="1720"/>
        <v>89312</v>
      </c>
      <c r="H9613">
        <v>1</v>
      </c>
      <c r="I9613">
        <v>312</v>
      </c>
      <c r="J9613">
        <v>0</v>
      </c>
      <c r="K9613" t="str">
        <f t="shared" si="1721"/>
        <v>809</v>
      </c>
      <c r="L9613">
        <v>340.08</v>
      </c>
    </row>
    <row r="9614" spans="1:12" x14ac:dyDescent="0.25">
      <c r="A9614" t="str">
        <f t="shared" si="1719"/>
        <v>89301000</v>
      </c>
      <c r="B9614" t="str">
        <f t="shared" si="1722"/>
        <v>89063000</v>
      </c>
      <c r="C9614" t="str">
        <f t="shared" si="1722"/>
        <v>89063000</v>
      </c>
      <c r="D9614">
        <v>89301037</v>
      </c>
      <c r="E9614" t="str">
        <f>"6153031269"</f>
        <v>6153031269</v>
      </c>
      <c r="F9614" s="1">
        <v>45167</v>
      </c>
      <c r="G9614" t="str">
        <f t="shared" si="1720"/>
        <v>89312</v>
      </c>
      <c r="H9614">
        <v>3</v>
      </c>
      <c r="I9614">
        <v>936</v>
      </c>
      <c r="J9614">
        <v>0</v>
      </c>
      <c r="K9614" t="str">
        <f t="shared" si="1721"/>
        <v>809</v>
      </c>
      <c r="L9614">
        <v>1020.24</v>
      </c>
    </row>
    <row r="9615" spans="1:12" x14ac:dyDescent="0.25">
      <c r="A9615" t="str">
        <f t="shared" si="1719"/>
        <v>89301000</v>
      </c>
      <c r="B9615" t="str">
        <f t="shared" si="1722"/>
        <v>89063000</v>
      </c>
      <c r="C9615" t="str">
        <f t="shared" si="1722"/>
        <v>89063000</v>
      </c>
      <c r="D9615">
        <v>89301036</v>
      </c>
      <c r="E9615" t="str">
        <f>"7707295321"</f>
        <v>7707295321</v>
      </c>
      <c r="F9615" s="1">
        <v>45167</v>
      </c>
      <c r="G9615" t="str">
        <f t="shared" si="1720"/>
        <v>89312</v>
      </c>
      <c r="H9615">
        <v>3</v>
      </c>
      <c r="I9615">
        <v>936</v>
      </c>
      <c r="J9615">
        <v>0</v>
      </c>
      <c r="K9615" t="str">
        <f t="shared" si="1721"/>
        <v>809</v>
      </c>
      <c r="L9615">
        <v>1020.24</v>
      </c>
    </row>
    <row r="9616" spans="1:12" x14ac:dyDescent="0.25">
      <c r="A9616" t="str">
        <f t="shared" si="1719"/>
        <v>89301000</v>
      </c>
      <c r="B9616" t="str">
        <f t="shared" si="1722"/>
        <v>89063000</v>
      </c>
      <c r="C9616" t="str">
        <f t="shared" si="1722"/>
        <v>89063000</v>
      </c>
      <c r="D9616">
        <v>89301212</v>
      </c>
      <c r="E9616" t="str">
        <f>"6351180297"</f>
        <v>6351180297</v>
      </c>
      <c r="F9616" s="1">
        <v>45167</v>
      </c>
      <c r="G9616" t="str">
        <f t="shared" si="1720"/>
        <v>89312</v>
      </c>
      <c r="H9616">
        <v>3</v>
      </c>
      <c r="I9616">
        <v>936</v>
      </c>
      <c r="J9616">
        <v>0</v>
      </c>
      <c r="K9616" t="str">
        <f t="shared" si="1721"/>
        <v>809</v>
      </c>
      <c r="L9616">
        <v>1020.24</v>
      </c>
    </row>
    <row r="9617" spans="1:12" x14ac:dyDescent="0.25">
      <c r="A9617" t="str">
        <f t="shared" si="1719"/>
        <v>89301000</v>
      </c>
      <c r="B9617" t="str">
        <f t="shared" si="1722"/>
        <v>89063000</v>
      </c>
      <c r="C9617" t="str">
        <f t="shared" si="1722"/>
        <v>89063000</v>
      </c>
      <c r="D9617">
        <v>89301037</v>
      </c>
      <c r="E9617" t="str">
        <f>"516004253"</f>
        <v>516004253</v>
      </c>
      <c r="F9617" s="1">
        <v>45167</v>
      </c>
      <c r="G9617" t="str">
        <f t="shared" si="1720"/>
        <v>89312</v>
      </c>
      <c r="H9617">
        <v>3</v>
      </c>
      <c r="I9617">
        <v>936</v>
      </c>
      <c r="J9617">
        <v>0</v>
      </c>
      <c r="K9617" t="str">
        <f t="shared" si="1721"/>
        <v>809</v>
      </c>
      <c r="L9617">
        <v>1020.24</v>
      </c>
    </row>
    <row r="9618" spans="1:12" x14ac:dyDescent="0.25">
      <c r="A9618" t="str">
        <f t="shared" si="1719"/>
        <v>89301000</v>
      </c>
      <c r="B9618" t="str">
        <f t="shared" si="1722"/>
        <v>89063000</v>
      </c>
      <c r="C9618" t="str">
        <f t="shared" si="1722"/>
        <v>89063000</v>
      </c>
      <c r="D9618">
        <v>89301212</v>
      </c>
      <c r="E9618" t="str">
        <f>"486221128"</f>
        <v>486221128</v>
      </c>
      <c r="F9618" s="1">
        <v>45168</v>
      </c>
      <c r="G9618" t="str">
        <f t="shared" si="1720"/>
        <v>89312</v>
      </c>
      <c r="H9618">
        <v>3</v>
      </c>
      <c r="I9618">
        <v>936</v>
      </c>
      <c r="J9618">
        <v>0</v>
      </c>
      <c r="K9618" t="str">
        <f t="shared" si="1721"/>
        <v>809</v>
      </c>
      <c r="L9618">
        <v>1020.24</v>
      </c>
    </row>
    <row r="9619" spans="1:12" x14ac:dyDescent="0.25">
      <c r="A9619" t="str">
        <f t="shared" si="1719"/>
        <v>89301000</v>
      </c>
      <c r="B9619" t="str">
        <f>"91997900"</f>
        <v>91997900</v>
      </c>
      <c r="C9619" t="str">
        <f>"91997901"</f>
        <v>91997901</v>
      </c>
      <c r="D9619">
        <v>89301162</v>
      </c>
      <c r="E9619" t="str">
        <f>"8003065532"</f>
        <v>8003065532</v>
      </c>
      <c r="F9619" s="1">
        <v>45155</v>
      </c>
      <c r="G9619" t="str">
        <f>"09119"</f>
        <v>09119</v>
      </c>
      <c r="H9619">
        <v>1</v>
      </c>
      <c r="I9619">
        <v>43</v>
      </c>
      <c r="J9619">
        <v>0</v>
      </c>
      <c r="K9619" t="str">
        <f>"801"</f>
        <v>801</v>
      </c>
      <c r="L9619">
        <v>54.18</v>
      </c>
    </row>
    <row r="9620" spans="1:12" x14ac:dyDescent="0.25">
      <c r="A9620" t="str">
        <f t="shared" si="1719"/>
        <v>89301000</v>
      </c>
      <c r="B9620" t="str">
        <f>"91997900"</f>
        <v>91997900</v>
      </c>
      <c r="C9620" t="str">
        <f>"91997901"</f>
        <v>91997901</v>
      </c>
      <c r="D9620">
        <v>89301162</v>
      </c>
      <c r="E9620" t="str">
        <f>"8003065532"</f>
        <v>8003065532</v>
      </c>
      <c r="F9620" s="1">
        <v>45160</v>
      </c>
      <c r="G9620" t="str">
        <f>"81369"</f>
        <v>81369</v>
      </c>
      <c r="H9620">
        <v>1</v>
      </c>
      <c r="I9620">
        <v>24</v>
      </c>
      <c r="J9620">
        <v>0</v>
      </c>
      <c r="K9620" t="str">
        <f>"801"</f>
        <v>801</v>
      </c>
      <c r="L9620">
        <v>20.16</v>
      </c>
    </row>
    <row r="9621" spans="1:12" x14ac:dyDescent="0.25">
      <c r="A9621" t="str">
        <f t="shared" si="1719"/>
        <v>89301000</v>
      </c>
      <c r="B9621" t="str">
        <f t="shared" ref="B9621:B9652" si="1723">"89383000"</f>
        <v>89383000</v>
      </c>
      <c r="C9621" t="str">
        <f t="shared" ref="C9621:C9652" si="1724">"89383002"</f>
        <v>89383002</v>
      </c>
      <c r="D9621">
        <v>89301045</v>
      </c>
      <c r="E9621" t="str">
        <f>"385824428"</f>
        <v>385824428</v>
      </c>
      <c r="F9621" s="1">
        <v>45139</v>
      </c>
      <c r="G9621" t="str">
        <f>"89513"</f>
        <v>89513</v>
      </c>
      <c r="H9621">
        <v>1</v>
      </c>
      <c r="I9621">
        <v>378</v>
      </c>
      <c r="J9621">
        <v>0</v>
      </c>
      <c r="K9621" t="str">
        <f t="shared" ref="K9621:K9652" si="1725">"809"</f>
        <v>809</v>
      </c>
      <c r="L9621">
        <v>555.66</v>
      </c>
    </row>
    <row r="9622" spans="1:12" x14ac:dyDescent="0.25">
      <c r="A9622" t="str">
        <f t="shared" si="1719"/>
        <v>89301000</v>
      </c>
      <c r="B9622" t="str">
        <f t="shared" si="1723"/>
        <v>89383000</v>
      </c>
      <c r="C9622" t="str">
        <f t="shared" si="1724"/>
        <v>89383002</v>
      </c>
      <c r="D9622">
        <v>89301045</v>
      </c>
      <c r="E9622" t="str">
        <f>"385824428"</f>
        <v>385824428</v>
      </c>
      <c r="F9622" s="1">
        <v>45139</v>
      </c>
      <c r="G9622" t="str">
        <f>"89514"</f>
        <v>89514</v>
      </c>
      <c r="H9622">
        <v>1</v>
      </c>
      <c r="I9622">
        <v>378</v>
      </c>
      <c r="J9622">
        <v>0</v>
      </c>
      <c r="K9622" t="str">
        <f t="shared" si="1725"/>
        <v>809</v>
      </c>
      <c r="L9622">
        <v>555.66</v>
      </c>
    </row>
    <row r="9623" spans="1:12" x14ac:dyDescent="0.25">
      <c r="A9623" t="str">
        <f t="shared" si="1719"/>
        <v>89301000</v>
      </c>
      <c r="B9623" t="str">
        <f t="shared" si="1723"/>
        <v>89383000</v>
      </c>
      <c r="C9623" t="str">
        <f t="shared" si="1724"/>
        <v>89383002</v>
      </c>
      <c r="D9623">
        <v>89301212</v>
      </c>
      <c r="E9623" t="str">
        <f>"8060204471"</f>
        <v>8060204471</v>
      </c>
      <c r="F9623" s="1">
        <v>45139</v>
      </c>
      <c r="G9623" t="str">
        <f>"89512"</f>
        <v>89512</v>
      </c>
      <c r="H9623">
        <v>1</v>
      </c>
      <c r="I9623">
        <v>283</v>
      </c>
      <c r="J9623">
        <v>0</v>
      </c>
      <c r="K9623" t="str">
        <f t="shared" si="1725"/>
        <v>809</v>
      </c>
      <c r="L9623">
        <v>416.01</v>
      </c>
    </row>
    <row r="9624" spans="1:12" x14ac:dyDescent="0.25">
      <c r="A9624" t="str">
        <f t="shared" si="1719"/>
        <v>89301000</v>
      </c>
      <c r="B9624" t="str">
        <f t="shared" si="1723"/>
        <v>89383000</v>
      </c>
      <c r="C9624" t="str">
        <f t="shared" si="1724"/>
        <v>89383002</v>
      </c>
      <c r="D9624">
        <v>89301212</v>
      </c>
      <c r="E9624" t="str">
        <f>"375322446"</f>
        <v>375322446</v>
      </c>
      <c r="F9624" s="1">
        <v>45140</v>
      </c>
      <c r="G9624" t="str">
        <f>"89180"</f>
        <v>89180</v>
      </c>
      <c r="H9624">
        <v>2</v>
      </c>
      <c r="I9624">
        <v>762</v>
      </c>
      <c r="J9624">
        <v>0</v>
      </c>
      <c r="K9624" t="str">
        <f t="shared" si="1725"/>
        <v>809</v>
      </c>
      <c r="L9624">
        <v>1120.1400000000001</v>
      </c>
    </row>
    <row r="9625" spans="1:12" x14ac:dyDescent="0.25">
      <c r="A9625" t="str">
        <f t="shared" si="1719"/>
        <v>89301000</v>
      </c>
      <c r="B9625" t="str">
        <f t="shared" si="1723"/>
        <v>89383000</v>
      </c>
      <c r="C9625" t="str">
        <f t="shared" si="1724"/>
        <v>89383002</v>
      </c>
      <c r="D9625">
        <v>89301212</v>
      </c>
      <c r="E9625" t="str">
        <f>"375322446"</f>
        <v>375322446</v>
      </c>
      <c r="F9625" s="1">
        <v>45140</v>
      </c>
      <c r="G9625" t="str">
        <f>"89512"</f>
        <v>89512</v>
      </c>
      <c r="H9625">
        <v>1</v>
      </c>
      <c r="I9625">
        <v>283</v>
      </c>
      <c r="J9625">
        <v>0</v>
      </c>
      <c r="K9625" t="str">
        <f t="shared" si="1725"/>
        <v>809</v>
      </c>
      <c r="L9625">
        <v>416.01</v>
      </c>
    </row>
    <row r="9626" spans="1:12" x14ac:dyDescent="0.25">
      <c r="A9626" t="str">
        <f t="shared" si="1719"/>
        <v>89301000</v>
      </c>
      <c r="B9626" t="str">
        <f t="shared" si="1723"/>
        <v>89383000</v>
      </c>
      <c r="C9626" t="str">
        <f t="shared" si="1724"/>
        <v>89383002</v>
      </c>
      <c r="D9626">
        <v>89301212</v>
      </c>
      <c r="E9626" t="str">
        <f>"7562085322"</f>
        <v>7562085322</v>
      </c>
      <c r="F9626" s="1">
        <v>45141</v>
      </c>
      <c r="G9626" t="str">
        <f>"89512"</f>
        <v>89512</v>
      </c>
      <c r="H9626">
        <v>1</v>
      </c>
      <c r="I9626">
        <v>283</v>
      </c>
      <c r="J9626">
        <v>0</v>
      </c>
      <c r="K9626" t="str">
        <f t="shared" si="1725"/>
        <v>809</v>
      </c>
      <c r="L9626">
        <v>416.01</v>
      </c>
    </row>
    <row r="9627" spans="1:12" x14ac:dyDescent="0.25">
      <c r="A9627" t="str">
        <f t="shared" si="1719"/>
        <v>89301000</v>
      </c>
      <c r="B9627" t="str">
        <f t="shared" si="1723"/>
        <v>89383000</v>
      </c>
      <c r="C9627" t="str">
        <f t="shared" si="1724"/>
        <v>89383002</v>
      </c>
      <c r="D9627">
        <v>89301212</v>
      </c>
      <c r="E9627" t="str">
        <f>"7562085322"</f>
        <v>7562085322</v>
      </c>
      <c r="F9627" s="1">
        <v>45141</v>
      </c>
      <c r="G9627" t="str">
        <f>"89513"</f>
        <v>89513</v>
      </c>
      <c r="H9627">
        <v>1</v>
      </c>
      <c r="I9627">
        <v>378</v>
      </c>
      <c r="J9627">
        <v>0</v>
      </c>
      <c r="K9627" t="str">
        <f t="shared" si="1725"/>
        <v>809</v>
      </c>
      <c r="L9627">
        <v>555.66</v>
      </c>
    </row>
    <row r="9628" spans="1:12" x14ac:dyDescent="0.25">
      <c r="A9628" t="str">
        <f t="shared" si="1719"/>
        <v>89301000</v>
      </c>
      <c r="B9628" t="str">
        <f t="shared" si="1723"/>
        <v>89383000</v>
      </c>
      <c r="C9628" t="str">
        <f t="shared" si="1724"/>
        <v>89383002</v>
      </c>
      <c r="D9628">
        <v>89301212</v>
      </c>
      <c r="E9628" t="str">
        <f>"7562085322"</f>
        <v>7562085322</v>
      </c>
      <c r="F9628" s="1">
        <v>45141</v>
      </c>
      <c r="G9628" t="str">
        <f>"89514"</f>
        <v>89514</v>
      </c>
      <c r="H9628">
        <v>1</v>
      </c>
      <c r="I9628">
        <v>378</v>
      </c>
      <c r="J9628">
        <v>0</v>
      </c>
      <c r="K9628" t="str">
        <f t="shared" si="1725"/>
        <v>809</v>
      </c>
      <c r="L9628">
        <v>555.66</v>
      </c>
    </row>
    <row r="9629" spans="1:12" x14ac:dyDescent="0.25">
      <c r="A9629" t="str">
        <f t="shared" si="1719"/>
        <v>89301000</v>
      </c>
      <c r="B9629" t="str">
        <f t="shared" si="1723"/>
        <v>89383000</v>
      </c>
      <c r="C9629" t="str">
        <f t="shared" si="1724"/>
        <v>89383002</v>
      </c>
      <c r="D9629">
        <v>89301212</v>
      </c>
      <c r="E9629" t="str">
        <f>"7762205363"</f>
        <v>7762205363</v>
      </c>
      <c r="F9629" s="1">
        <v>45141</v>
      </c>
      <c r="G9629" t="str">
        <f>"89180"</f>
        <v>89180</v>
      </c>
      <c r="H9629">
        <v>1</v>
      </c>
      <c r="I9629">
        <v>381</v>
      </c>
      <c r="J9629">
        <v>0</v>
      </c>
      <c r="K9629" t="str">
        <f t="shared" si="1725"/>
        <v>809</v>
      </c>
      <c r="L9629">
        <v>560.07000000000005</v>
      </c>
    </row>
    <row r="9630" spans="1:12" x14ac:dyDescent="0.25">
      <c r="A9630" t="str">
        <f t="shared" si="1719"/>
        <v>89301000</v>
      </c>
      <c r="B9630" t="str">
        <f t="shared" si="1723"/>
        <v>89383000</v>
      </c>
      <c r="C9630" t="str">
        <f t="shared" si="1724"/>
        <v>89383002</v>
      </c>
      <c r="D9630">
        <v>89301212</v>
      </c>
      <c r="E9630" t="str">
        <f>"7762205363"</f>
        <v>7762205363</v>
      </c>
      <c r="F9630" s="1">
        <v>45141</v>
      </c>
      <c r="G9630" t="str">
        <f>"89512"</f>
        <v>89512</v>
      </c>
      <c r="H9630">
        <v>1</v>
      </c>
      <c r="I9630">
        <v>283</v>
      </c>
      <c r="J9630">
        <v>0</v>
      </c>
      <c r="K9630" t="str">
        <f t="shared" si="1725"/>
        <v>809</v>
      </c>
      <c r="L9630">
        <v>416.01</v>
      </c>
    </row>
    <row r="9631" spans="1:12" x14ac:dyDescent="0.25">
      <c r="A9631" t="str">
        <f t="shared" si="1719"/>
        <v>89301000</v>
      </c>
      <c r="B9631" t="str">
        <f t="shared" si="1723"/>
        <v>89383000</v>
      </c>
      <c r="C9631" t="str">
        <f t="shared" si="1724"/>
        <v>89383002</v>
      </c>
      <c r="D9631">
        <v>89301212</v>
      </c>
      <c r="E9631" t="str">
        <f>"485511130"</f>
        <v>485511130</v>
      </c>
      <c r="F9631" s="1">
        <v>45142</v>
      </c>
      <c r="G9631" t="str">
        <f>"89180"</f>
        <v>89180</v>
      </c>
      <c r="H9631">
        <v>2</v>
      </c>
      <c r="I9631">
        <v>762</v>
      </c>
      <c r="J9631">
        <v>0</v>
      </c>
      <c r="K9631" t="str">
        <f t="shared" si="1725"/>
        <v>809</v>
      </c>
      <c r="L9631">
        <v>1120.1400000000001</v>
      </c>
    </row>
    <row r="9632" spans="1:12" x14ac:dyDescent="0.25">
      <c r="A9632" t="str">
        <f t="shared" si="1719"/>
        <v>89301000</v>
      </c>
      <c r="B9632" t="str">
        <f t="shared" si="1723"/>
        <v>89383000</v>
      </c>
      <c r="C9632" t="str">
        <f t="shared" si="1724"/>
        <v>89383002</v>
      </c>
      <c r="D9632">
        <v>89301212</v>
      </c>
      <c r="E9632" t="str">
        <f>"485511130"</f>
        <v>485511130</v>
      </c>
      <c r="F9632" s="1">
        <v>45142</v>
      </c>
      <c r="G9632" t="str">
        <f>"89512"</f>
        <v>89512</v>
      </c>
      <c r="H9632">
        <v>1</v>
      </c>
      <c r="I9632">
        <v>283</v>
      </c>
      <c r="J9632">
        <v>0</v>
      </c>
      <c r="K9632" t="str">
        <f t="shared" si="1725"/>
        <v>809</v>
      </c>
      <c r="L9632">
        <v>416.01</v>
      </c>
    </row>
    <row r="9633" spans="1:12" x14ac:dyDescent="0.25">
      <c r="A9633" t="str">
        <f t="shared" si="1719"/>
        <v>89301000</v>
      </c>
      <c r="B9633" t="str">
        <f t="shared" si="1723"/>
        <v>89383000</v>
      </c>
      <c r="C9633" t="str">
        <f t="shared" si="1724"/>
        <v>89383002</v>
      </c>
      <c r="D9633">
        <v>89301212</v>
      </c>
      <c r="E9633" t="str">
        <f>"8159155345"</f>
        <v>8159155345</v>
      </c>
      <c r="F9633" s="1">
        <v>45142</v>
      </c>
      <c r="G9633" t="str">
        <f>"89180"</f>
        <v>89180</v>
      </c>
      <c r="H9633">
        <v>1</v>
      </c>
      <c r="I9633">
        <v>381</v>
      </c>
      <c r="J9633">
        <v>0</v>
      </c>
      <c r="K9633" t="str">
        <f t="shared" si="1725"/>
        <v>809</v>
      </c>
      <c r="L9633">
        <v>560.07000000000005</v>
      </c>
    </row>
    <row r="9634" spans="1:12" x14ac:dyDescent="0.25">
      <c r="A9634" t="str">
        <f t="shared" si="1719"/>
        <v>89301000</v>
      </c>
      <c r="B9634" t="str">
        <f t="shared" si="1723"/>
        <v>89383000</v>
      </c>
      <c r="C9634" t="str">
        <f t="shared" si="1724"/>
        <v>89383002</v>
      </c>
      <c r="D9634">
        <v>89301212</v>
      </c>
      <c r="E9634" t="str">
        <f>"8159155345"</f>
        <v>8159155345</v>
      </c>
      <c r="F9634" s="1">
        <v>45142</v>
      </c>
      <c r="G9634" t="str">
        <f>"89512"</f>
        <v>89512</v>
      </c>
      <c r="H9634">
        <v>1</v>
      </c>
      <c r="I9634">
        <v>283</v>
      </c>
      <c r="J9634">
        <v>0</v>
      </c>
      <c r="K9634" t="str">
        <f t="shared" si="1725"/>
        <v>809</v>
      </c>
      <c r="L9634">
        <v>416.01</v>
      </c>
    </row>
    <row r="9635" spans="1:12" x14ac:dyDescent="0.25">
      <c r="A9635" t="str">
        <f t="shared" si="1719"/>
        <v>89301000</v>
      </c>
      <c r="B9635" t="str">
        <f t="shared" si="1723"/>
        <v>89383000</v>
      </c>
      <c r="C9635" t="str">
        <f t="shared" si="1724"/>
        <v>89383002</v>
      </c>
      <c r="D9635">
        <v>89301212</v>
      </c>
      <c r="E9635" t="str">
        <f>"8159155345"</f>
        <v>8159155345</v>
      </c>
      <c r="F9635" s="1">
        <v>45142</v>
      </c>
      <c r="G9635" t="str">
        <f>"89513"</f>
        <v>89513</v>
      </c>
      <c r="H9635">
        <v>1</v>
      </c>
      <c r="I9635">
        <v>378</v>
      </c>
      <c r="J9635">
        <v>0</v>
      </c>
      <c r="K9635" t="str">
        <f t="shared" si="1725"/>
        <v>809</v>
      </c>
      <c r="L9635">
        <v>555.66</v>
      </c>
    </row>
    <row r="9636" spans="1:12" x14ac:dyDescent="0.25">
      <c r="A9636" t="str">
        <f t="shared" si="1719"/>
        <v>89301000</v>
      </c>
      <c r="B9636" t="str">
        <f t="shared" si="1723"/>
        <v>89383000</v>
      </c>
      <c r="C9636" t="str">
        <f t="shared" si="1724"/>
        <v>89383002</v>
      </c>
      <c r="D9636">
        <v>89301212</v>
      </c>
      <c r="E9636" t="str">
        <f>"8159155345"</f>
        <v>8159155345</v>
      </c>
      <c r="F9636" s="1">
        <v>45142</v>
      </c>
      <c r="G9636" t="str">
        <f>"89514"</f>
        <v>89514</v>
      </c>
      <c r="H9636">
        <v>1</v>
      </c>
      <c r="I9636">
        <v>378</v>
      </c>
      <c r="J9636">
        <v>0</v>
      </c>
      <c r="K9636" t="str">
        <f t="shared" si="1725"/>
        <v>809</v>
      </c>
      <c r="L9636">
        <v>555.66</v>
      </c>
    </row>
    <row r="9637" spans="1:12" x14ac:dyDescent="0.25">
      <c r="A9637" t="str">
        <f t="shared" si="1719"/>
        <v>89301000</v>
      </c>
      <c r="B9637" t="str">
        <f t="shared" si="1723"/>
        <v>89383000</v>
      </c>
      <c r="C9637" t="str">
        <f t="shared" si="1724"/>
        <v>89383002</v>
      </c>
      <c r="D9637">
        <v>89301212</v>
      </c>
      <c r="E9637" t="str">
        <f>"6357170754"</f>
        <v>6357170754</v>
      </c>
      <c r="F9637" s="1">
        <v>45145</v>
      </c>
      <c r="G9637" t="str">
        <f>"89180"</f>
        <v>89180</v>
      </c>
      <c r="H9637">
        <v>1</v>
      </c>
      <c r="I9637">
        <v>381</v>
      </c>
      <c r="J9637">
        <v>0</v>
      </c>
      <c r="K9637" t="str">
        <f t="shared" si="1725"/>
        <v>809</v>
      </c>
      <c r="L9637">
        <v>560.07000000000005</v>
      </c>
    </row>
    <row r="9638" spans="1:12" x14ac:dyDescent="0.25">
      <c r="A9638" t="str">
        <f t="shared" si="1719"/>
        <v>89301000</v>
      </c>
      <c r="B9638" t="str">
        <f t="shared" si="1723"/>
        <v>89383000</v>
      </c>
      <c r="C9638" t="str">
        <f t="shared" si="1724"/>
        <v>89383002</v>
      </c>
      <c r="D9638">
        <v>89301212</v>
      </c>
      <c r="E9638" t="str">
        <f>"6357170754"</f>
        <v>6357170754</v>
      </c>
      <c r="F9638" s="1">
        <v>45145</v>
      </c>
      <c r="G9638" t="str">
        <f>"89512"</f>
        <v>89512</v>
      </c>
      <c r="H9638">
        <v>1</v>
      </c>
      <c r="I9638">
        <v>283</v>
      </c>
      <c r="J9638">
        <v>0</v>
      </c>
      <c r="K9638" t="str">
        <f t="shared" si="1725"/>
        <v>809</v>
      </c>
      <c r="L9638">
        <v>416.01</v>
      </c>
    </row>
    <row r="9639" spans="1:12" x14ac:dyDescent="0.25">
      <c r="A9639" t="str">
        <f t="shared" si="1719"/>
        <v>89301000</v>
      </c>
      <c r="B9639" t="str">
        <f t="shared" si="1723"/>
        <v>89383000</v>
      </c>
      <c r="C9639" t="str">
        <f t="shared" si="1724"/>
        <v>89383002</v>
      </c>
      <c r="D9639">
        <v>89301212</v>
      </c>
      <c r="E9639" t="str">
        <f>"5751101400"</f>
        <v>5751101400</v>
      </c>
      <c r="F9639" s="1">
        <v>45145</v>
      </c>
      <c r="G9639" t="str">
        <f>"89180"</f>
        <v>89180</v>
      </c>
      <c r="H9639">
        <v>2</v>
      </c>
      <c r="I9639">
        <v>762</v>
      </c>
      <c r="J9639">
        <v>0</v>
      </c>
      <c r="K9639" t="str">
        <f t="shared" si="1725"/>
        <v>809</v>
      </c>
      <c r="L9639">
        <v>1120.1400000000001</v>
      </c>
    </row>
    <row r="9640" spans="1:12" x14ac:dyDescent="0.25">
      <c r="A9640" t="str">
        <f t="shared" si="1719"/>
        <v>89301000</v>
      </c>
      <c r="B9640" t="str">
        <f t="shared" si="1723"/>
        <v>89383000</v>
      </c>
      <c r="C9640" t="str">
        <f t="shared" si="1724"/>
        <v>89383002</v>
      </c>
      <c r="D9640">
        <v>89301212</v>
      </c>
      <c r="E9640" t="str">
        <f>"5751101400"</f>
        <v>5751101400</v>
      </c>
      <c r="F9640" s="1">
        <v>45145</v>
      </c>
      <c r="G9640" t="str">
        <f>"89512"</f>
        <v>89512</v>
      </c>
      <c r="H9640">
        <v>1</v>
      </c>
      <c r="I9640">
        <v>283</v>
      </c>
      <c r="J9640">
        <v>0</v>
      </c>
      <c r="K9640" t="str">
        <f t="shared" si="1725"/>
        <v>809</v>
      </c>
      <c r="L9640">
        <v>416.01</v>
      </c>
    </row>
    <row r="9641" spans="1:12" x14ac:dyDescent="0.25">
      <c r="A9641" t="str">
        <f t="shared" si="1719"/>
        <v>89301000</v>
      </c>
      <c r="B9641" t="str">
        <f t="shared" si="1723"/>
        <v>89383000</v>
      </c>
      <c r="C9641" t="str">
        <f t="shared" si="1724"/>
        <v>89383002</v>
      </c>
      <c r="D9641">
        <v>89301212</v>
      </c>
      <c r="E9641" t="str">
        <f>"416228405"</f>
        <v>416228405</v>
      </c>
      <c r="F9641" s="1">
        <v>45146</v>
      </c>
      <c r="G9641" t="str">
        <f>"89513"</f>
        <v>89513</v>
      </c>
      <c r="H9641">
        <v>1</v>
      </c>
      <c r="I9641">
        <v>378</v>
      </c>
      <c r="J9641">
        <v>0</v>
      </c>
      <c r="K9641" t="str">
        <f t="shared" si="1725"/>
        <v>809</v>
      </c>
      <c r="L9641">
        <v>555.66</v>
      </c>
    </row>
    <row r="9642" spans="1:12" x14ac:dyDescent="0.25">
      <c r="A9642" t="str">
        <f t="shared" si="1719"/>
        <v>89301000</v>
      </c>
      <c r="B9642" t="str">
        <f t="shared" si="1723"/>
        <v>89383000</v>
      </c>
      <c r="C9642" t="str">
        <f t="shared" si="1724"/>
        <v>89383002</v>
      </c>
      <c r="D9642">
        <v>89301212</v>
      </c>
      <c r="E9642" t="str">
        <f>"416228405"</f>
        <v>416228405</v>
      </c>
      <c r="F9642" s="1">
        <v>45146</v>
      </c>
      <c r="G9642" t="str">
        <f>"89514"</f>
        <v>89514</v>
      </c>
      <c r="H9642">
        <v>1</v>
      </c>
      <c r="I9642">
        <v>378</v>
      </c>
      <c r="J9642">
        <v>0</v>
      </c>
      <c r="K9642" t="str">
        <f t="shared" si="1725"/>
        <v>809</v>
      </c>
      <c r="L9642">
        <v>555.66</v>
      </c>
    </row>
    <row r="9643" spans="1:12" x14ac:dyDescent="0.25">
      <c r="A9643" t="str">
        <f t="shared" si="1719"/>
        <v>89301000</v>
      </c>
      <c r="B9643" t="str">
        <f t="shared" si="1723"/>
        <v>89383000</v>
      </c>
      <c r="C9643" t="str">
        <f t="shared" si="1724"/>
        <v>89383002</v>
      </c>
      <c r="D9643">
        <v>89301045</v>
      </c>
      <c r="E9643" t="str">
        <f>"486005156"</f>
        <v>486005156</v>
      </c>
      <c r="F9643" s="1">
        <v>45146</v>
      </c>
      <c r="G9643" t="str">
        <f>"89513"</f>
        <v>89513</v>
      </c>
      <c r="H9643">
        <v>1</v>
      </c>
      <c r="I9643">
        <v>378</v>
      </c>
      <c r="J9643">
        <v>0</v>
      </c>
      <c r="K9643" t="str">
        <f t="shared" si="1725"/>
        <v>809</v>
      </c>
      <c r="L9643">
        <v>555.66</v>
      </c>
    </row>
    <row r="9644" spans="1:12" x14ac:dyDescent="0.25">
      <c r="A9644" t="str">
        <f t="shared" si="1719"/>
        <v>89301000</v>
      </c>
      <c r="B9644" t="str">
        <f t="shared" si="1723"/>
        <v>89383000</v>
      </c>
      <c r="C9644" t="str">
        <f t="shared" si="1724"/>
        <v>89383002</v>
      </c>
      <c r="D9644">
        <v>89301045</v>
      </c>
      <c r="E9644" t="str">
        <f>"486005156"</f>
        <v>486005156</v>
      </c>
      <c r="F9644" s="1">
        <v>45146</v>
      </c>
      <c r="G9644" t="str">
        <f>"89514"</f>
        <v>89514</v>
      </c>
      <c r="H9644">
        <v>1</v>
      </c>
      <c r="I9644">
        <v>378</v>
      </c>
      <c r="J9644">
        <v>0</v>
      </c>
      <c r="K9644" t="str">
        <f t="shared" si="1725"/>
        <v>809</v>
      </c>
      <c r="L9644">
        <v>555.66</v>
      </c>
    </row>
    <row r="9645" spans="1:12" x14ac:dyDescent="0.25">
      <c r="A9645" t="str">
        <f t="shared" si="1719"/>
        <v>89301000</v>
      </c>
      <c r="B9645" t="str">
        <f t="shared" si="1723"/>
        <v>89383000</v>
      </c>
      <c r="C9645" t="str">
        <f t="shared" si="1724"/>
        <v>89383002</v>
      </c>
      <c r="D9645">
        <v>89301042</v>
      </c>
      <c r="E9645" t="str">
        <f>"7855305304"</f>
        <v>7855305304</v>
      </c>
      <c r="F9645" s="1">
        <v>45146</v>
      </c>
      <c r="G9645" t="str">
        <f>"89513"</f>
        <v>89513</v>
      </c>
      <c r="H9645">
        <v>1</v>
      </c>
      <c r="I9645">
        <v>378</v>
      </c>
      <c r="J9645">
        <v>0</v>
      </c>
      <c r="K9645" t="str">
        <f t="shared" si="1725"/>
        <v>809</v>
      </c>
      <c r="L9645">
        <v>555.66</v>
      </c>
    </row>
    <row r="9646" spans="1:12" x14ac:dyDescent="0.25">
      <c r="A9646" t="str">
        <f t="shared" si="1719"/>
        <v>89301000</v>
      </c>
      <c r="B9646" t="str">
        <f t="shared" si="1723"/>
        <v>89383000</v>
      </c>
      <c r="C9646" t="str">
        <f t="shared" si="1724"/>
        <v>89383002</v>
      </c>
      <c r="D9646">
        <v>89301042</v>
      </c>
      <c r="E9646" t="str">
        <f>"7855305304"</f>
        <v>7855305304</v>
      </c>
      <c r="F9646" s="1">
        <v>45146</v>
      </c>
      <c r="G9646" t="str">
        <f>"89514"</f>
        <v>89514</v>
      </c>
      <c r="H9646">
        <v>1</v>
      </c>
      <c r="I9646">
        <v>378</v>
      </c>
      <c r="J9646">
        <v>0</v>
      </c>
      <c r="K9646" t="str">
        <f t="shared" si="1725"/>
        <v>809</v>
      </c>
      <c r="L9646">
        <v>555.66</v>
      </c>
    </row>
    <row r="9647" spans="1:12" x14ac:dyDescent="0.25">
      <c r="A9647" t="str">
        <f t="shared" si="1719"/>
        <v>89301000</v>
      </c>
      <c r="B9647" t="str">
        <f t="shared" si="1723"/>
        <v>89383000</v>
      </c>
      <c r="C9647" t="str">
        <f t="shared" si="1724"/>
        <v>89383002</v>
      </c>
      <c r="D9647">
        <v>89301045</v>
      </c>
      <c r="E9647" t="str">
        <f>"535323114"</f>
        <v>535323114</v>
      </c>
      <c r="F9647" s="1">
        <v>45146</v>
      </c>
      <c r="G9647" t="str">
        <f>"89513"</f>
        <v>89513</v>
      </c>
      <c r="H9647">
        <v>1</v>
      </c>
      <c r="I9647">
        <v>378</v>
      </c>
      <c r="J9647">
        <v>0</v>
      </c>
      <c r="K9647" t="str">
        <f t="shared" si="1725"/>
        <v>809</v>
      </c>
      <c r="L9647">
        <v>555.66</v>
      </c>
    </row>
    <row r="9648" spans="1:12" x14ac:dyDescent="0.25">
      <c r="A9648" t="str">
        <f t="shared" si="1719"/>
        <v>89301000</v>
      </c>
      <c r="B9648" t="str">
        <f t="shared" si="1723"/>
        <v>89383000</v>
      </c>
      <c r="C9648" t="str">
        <f t="shared" si="1724"/>
        <v>89383002</v>
      </c>
      <c r="D9648">
        <v>89301045</v>
      </c>
      <c r="E9648" t="str">
        <f>"535323114"</f>
        <v>535323114</v>
      </c>
      <c r="F9648" s="1">
        <v>45146</v>
      </c>
      <c r="G9648" t="str">
        <f>"89514"</f>
        <v>89514</v>
      </c>
      <c r="H9648">
        <v>1</v>
      </c>
      <c r="I9648">
        <v>378</v>
      </c>
      <c r="J9648">
        <v>0</v>
      </c>
      <c r="K9648" t="str">
        <f t="shared" si="1725"/>
        <v>809</v>
      </c>
      <c r="L9648">
        <v>555.66</v>
      </c>
    </row>
    <row r="9649" spans="1:12" x14ac:dyDescent="0.25">
      <c r="A9649" t="str">
        <f t="shared" si="1719"/>
        <v>89301000</v>
      </c>
      <c r="B9649" t="str">
        <f t="shared" si="1723"/>
        <v>89383000</v>
      </c>
      <c r="C9649" t="str">
        <f t="shared" si="1724"/>
        <v>89383002</v>
      </c>
      <c r="D9649">
        <v>89301212</v>
      </c>
      <c r="E9649" t="str">
        <f>"7253095773"</f>
        <v>7253095773</v>
      </c>
      <c r="F9649" s="1">
        <v>45147</v>
      </c>
      <c r="G9649" t="str">
        <f>"89512"</f>
        <v>89512</v>
      </c>
      <c r="H9649">
        <v>1</v>
      </c>
      <c r="I9649">
        <v>283</v>
      </c>
      <c r="J9649">
        <v>0</v>
      </c>
      <c r="K9649" t="str">
        <f t="shared" si="1725"/>
        <v>809</v>
      </c>
      <c r="L9649">
        <v>416.01</v>
      </c>
    </row>
    <row r="9650" spans="1:12" x14ac:dyDescent="0.25">
      <c r="A9650" t="str">
        <f t="shared" si="1719"/>
        <v>89301000</v>
      </c>
      <c r="B9650" t="str">
        <f t="shared" si="1723"/>
        <v>89383000</v>
      </c>
      <c r="C9650" t="str">
        <f t="shared" si="1724"/>
        <v>89383002</v>
      </c>
      <c r="D9650">
        <v>89301212</v>
      </c>
      <c r="E9650" t="str">
        <f>"7253095773"</f>
        <v>7253095773</v>
      </c>
      <c r="F9650" s="1">
        <v>45147</v>
      </c>
      <c r="G9650" t="str">
        <f>"89311"</f>
        <v>89311</v>
      </c>
      <c r="H9650">
        <v>1</v>
      </c>
      <c r="I9650">
        <v>970</v>
      </c>
      <c r="J9650">
        <v>0</v>
      </c>
      <c r="K9650" t="str">
        <f t="shared" si="1725"/>
        <v>809</v>
      </c>
      <c r="L9650">
        <v>1425.9</v>
      </c>
    </row>
    <row r="9651" spans="1:12" x14ac:dyDescent="0.25">
      <c r="A9651" t="str">
        <f t="shared" si="1719"/>
        <v>89301000</v>
      </c>
      <c r="B9651" t="str">
        <f t="shared" si="1723"/>
        <v>89383000</v>
      </c>
      <c r="C9651" t="str">
        <f t="shared" si="1724"/>
        <v>89383002</v>
      </c>
      <c r="D9651">
        <v>89301212</v>
      </c>
      <c r="E9651" t="str">
        <f>"5751101400"</f>
        <v>5751101400</v>
      </c>
      <c r="F9651" s="1">
        <v>45146</v>
      </c>
      <c r="G9651" t="str">
        <f>"89512"</f>
        <v>89512</v>
      </c>
      <c r="H9651">
        <v>1</v>
      </c>
      <c r="I9651">
        <v>283</v>
      </c>
      <c r="J9651">
        <v>0</v>
      </c>
      <c r="K9651" t="str">
        <f t="shared" si="1725"/>
        <v>809</v>
      </c>
      <c r="L9651">
        <v>416.01</v>
      </c>
    </row>
    <row r="9652" spans="1:12" x14ac:dyDescent="0.25">
      <c r="A9652" t="str">
        <f t="shared" si="1719"/>
        <v>89301000</v>
      </c>
      <c r="B9652" t="str">
        <f t="shared" si="1723"/>
        <v>89383000</v>
      </c>
      <c r="C9652" t="str">
        <f t="shared" si="1724"/>
        <v>89383002</v>
      </c>
      <c r="D9652">
        <v>89301212</v>
      </c>
      <c r="E9652" t="str">
        <f>"5751101400"</f>
        <v>5751101400</v>
      </c>
      <c r="F9652" s="1">
        <v>45146</v>
      </c>
      <c r="G9652" t="str">
        <f>"89311"</f>
        <v>89311</v>
      </c>
      <c r="H9652">
        <v>1</v>
      </c>
      <c r="I9652">
        <v>970</v>
      </c>
      <c r="J9652">
        <v>0</v>
      </c>
      <c r="K9652" t="str">
        <f t="shared" si="1725"/>
        <v>809</v>
      </c>
      <c r="L9652">
        <v>1425.9</v>
      </c>
    </row>
    <row r="9653" spans="1:12" x14ac:dyDescent="0.25">
      <c r="A9653" t="str">
        <f t="shared" si="1719"/>
        <v>89301000</v>
      </c>
      <c r="B9653" t="str">
        <f t="shared" ref="B9653:B9684" si="1726">"89383000"</f>
        <v>89383000</v>
      </c>
      <c r="C9653" t="str">
        <f t="shared" ref="C9653:C9684" si="1727">"89383002"</f>
        <v>89383002</v>
      </c>
      <c r="D9653">
        <v>89301212</v>
      </c>
      <c r="E9653" t="str">
        <f>"7660255339"</f>
        <v>7660255339</v>
      </c>
      <c r="F9653" s="1">
        <v>45148</v>
      </c>
      <c r="G9653" t="str">
        <f>"89513"</f>
        <v>89513</v>
      </c>
      <c r="H9653">
        <v>1</v>
      </c>
      <c r="I9653">
        <v>378</v>
      </c>
      <c r="J9653">
        <v>0</v>
      </c>
      <c r="K9653" t="str">
        <f t="shared" ref="K9653:K9684" si="1728">"809"</f>
        <v>809</v>
      </c>
      <c r="L9653">
        <v>555.66</v>
      </c>
    </row>
    <row r="9654" spans="1:12" x14ac:dyDescent="0.25">
      <c r="A9654" t="str">
        <f t="shared" si="1719"/>
        <v>89301000</v>
      </c>
      <c r="B9654" t="str">
        <f t="shared" si="1726"/>
        <v>89383000</v>
      </c>
      <c r="C9654" t="str">
        <f t="shared" si="1727"/>
        <v>89383002</v>
      </c>
      <c r="D9654">
        <v>89301212</v>
      </c>
      <c r="E9654" t="str">
        <f>"7660255339"</f>
        <v>7660255339</v>
      </c>
      <c r="F9654" s="1">
        <v>45148</v>
      </c>
      <c r="G9654" t="str">
        <f>"89514"</f>
        <v>89514</v>
      </c>
      <c r="H9654">
        <v>1</v>
      </c>
      <c r="I9654">
        <v>378</v>
      </c>
      <c r="J9654">
        <v>0</v>
      </c>
      <c r="K9654" t="str">
        <f t="shared" si="1728"/>
        <v>809</v>
      </c>
      <c r="L9654">
        <v>555.66</v>
      </c>
    </row>
    <row r="9655" spans="1:12" x14ac:dyDescent="0.25">
      <c r="A9655" t="str">
        <f t="shared" si="1719"/>
        <v>89301000</v>
      </c>
      <c r="B9655" t="str">
        <f t="shared" si="1726"/>
        <v>89383000</v>
      </c>
      <c r="C9655" t="str">
        <f t="shared" si="1727"/>
        <v>89383002</v>
      </c>
      <c r="D9655">
        <v>89301215</v>
      </c>
      <c r="E9655" t="str">
        <f>"6553240881"</f>
        <v>6553240881</v>
      </c>
      <c r="F9655" s="1">
        <v>45149</v>
      </c>
      <c r="G9655" t="str">
        <f>"89180"</f>
        <v>89180</v>
      </c>
      <c r="H9655">
        <v>2</v>
      </c>
      <c r="I9655">
        <v>762</v>
      </c>
      <c r="J9655">
        <v>0</v>
      </c>
      <c r="K9655" t="str">
        <f t="shared" si="1728"/>
        <v>809</v>
      </c>
      <c r="L9655">
        <v>1120.1400000000001</v>
      </c>
    </row>
    <row r="9656" spans="1:12" x14ac:dyDescent="0.25">
      <c r="A9656" t="str">
        <f t="shared" si="1719"/>
        <v>89301000</v>
      </c>
      <c r="B9656" t="str">
        <f t="shared" si="1726"/>
        <v>89383000</v>
      </c>
      <c r="C9656" t="str">
        <f t="shared" si="1727"/>
        <v>89383002</v>
      </c>
      <c r="D9656">
        <v>89301215</v>
      </c>
      <c r="E9656" t="str">
        <f>"6553240881"</f>
        <v>6553240881</v>
      </c>
      <c r="F9656" s="1">
        <v>45149</v>
      </c>
      <c r="G9656" t="str">
        <f>"89512"</f>
        <v>89512</v>
      </c>
      <c r="H9656">
        <v>1</v>
      </c>
      <c r="I9656">
        <v>283</v>
      </c>
      <c r="J9656">
        <v>0</v>
      </c>
      <c r="K9656" t="str">
        <f t="shared" si="1728"/>
        <v>809</v>
      </c>
      <c r="L9656">
        <v>416.01</v>
      </c>
    </row>
    <row r="9657" spans="1:12" x14ac:dyDescent="0.25">
      <c r="A9657" t="str">
        <f t="shared" si="1719"/>
        <v>89301000</v>
      </c>
      <c r="B9657" t="str">
        <f t="shared" si="1726"/>
        <v>89383000</v>
      </c>
      <c r="C9657" t="str">
        <f t="shared" si="1727"/>
        <v>89383002</v>
      </c>
      <c r="D9657">
        <v>89301215</v>
      </c>
      <c r="E9657" t="str">
        <f>"6553240881"</f>
        <v>6553240881</v>
      </c>
      <c r="F9657" s="1">
        <v>45149</v>
      </c>
      <c r="G9657" t="str">
        <f>"89513"</f>
        <v>89513</v>
      </c>
      <c r="H9657">
        <v>1</v>
      </c>
      <c r="I9657">
        <v>378</v>
      </c>
      <c r="J9657">
        <v>0</v>
      </c>
      <c r="K9657" t="str">
        <f t="shared" si="1728"/>
        <v>809</v>
      </c>
      <c r="L9657">
        <v>555.66</v>
      </c>
    </row>
    <row r="9658" spans="1:12" x14ac:dyDescent="0.25">
      <c r="A9658" t="str">
        <f t="shared" si="1719"/>
        <v>89301000</v>
      </c>
      <c r="B9658" t="str">
        <f t="shared" si="1726"/>
        <v>89383000</v>
      </c>
      <c r="C9658" t="str">
        <f t="shared" si="1727"/>
        <v>89383002</v>
      </c>
      <c r="D9658">
        <v>89301215</v>
      </c>
      <c r="E9658" t="str">
        <f>"6553240881"</f>
        <v>6553240881</v>
      </c>
      <c r="F9658" s="1">
        <v>45149</v>
      </c>
      <c r="G9658" t="str">
        <f>"89514"</f>
        <v>89514</v>
      </c>
      <c r="H9658">
        <v>1</v>
      </c>
      <c r="I9658">
        <v>378</v>
      </c>
      <c r="J9658">
        <v>0</v>
      </c>
      <c r="K9658" t="str">
        <f t="shared" si="1728"/>
        <v>809</v>
      </c>
      <c r="L9658">
        <v>555.66</v>
      </c>
    </row>
    <row r="9659" spans="1:12" x14ac:dyDescent="0.25">
      <c r="A9659" t="str">
        <f t="shared" si="1719"/>
        <v>89301000</v>
      </c>
      <c r="B9659" t="str">
        <f t="shared" si="1726"/>
        <v>89383000</v>
      </c>
      <c r="C9659" t="str">
        <f t="shared" si="1727"/>
        <v>89383002</v>
      </c>
      <c r="D9659">
        <v>89301212</v>
      </c>
      <c r="E9659" t="str">
        <f>"495607002"</f>
        <v>495607002</v>
      </c>
      <c r="F9659" s="1">
        <v>45149</v>
      </c>
      <c r="G9659" t="str">
        <f>"89180"</f>
        <v>89180</v>
      </c>
      <c r="H9659">
        <v>2</v>
      </c>
      <c r="I9659">
        <v>762</v>
      </c>
      <c r="J9659">
        <v>0</v>
      </c>
      <c r="K9659" t="str">
        <f t="shared" si="1728"/>
        <v>809</v>
      </c>
      <c r="L9659">
        <v>1120.1400000000001</v>
      </c>
    </row>
    <row r="9660" spans="1:12" x14ac:dyDescent="0.25">
      <c r="A9660" t="str">
        <f t="shared" si="1719"/>
        <v>89301000</v>
      </c>
      <c r="B9660" t="str">
        <f t="shared" si="1726"/>
        <v>89383000</v>
      </c>
      <c r="C9660" t="str">
        <f t="shared" si="1727"/>
        <v>89383002</v>
      </c>
      <c r="D9660">
        <v>89301212</v>
      </c>
      <c r="E9660" t="str">
        <f>"495607002"</f>
        <v>495607002</v>
      </c>
      <c r="F9660" s="1">
        <v>45149</v>
      </c>
      <c r="G9660" t="str">
        <f>"89512"</f>
        <v>89512</v>
      </c>
      <c r="H9660">
        <v>1</v>
      </c>
      <c r="I9660">
        <v>283</v>
      </c>
      <c r="J9660">
        <v>0</v>
      </c>
      <c r="K9660" t="str">
        <f t="shared" si="1728"/>
        <v>809</v>
      </c>
      <c r="L9660">
        <v>416.01</v>
      </c>
    </row>
    <row r="9661" spans="1:12" x14ac:dyDescent="0.25">
      <c r="A9661" t="str">
        <f t="shared" si="1719"/>
        <v>89301000</v>
      </c>
      <c r="B9661" t="str">
        <f t="shared" si="1726"/>
        <v>89383000</v>
      </c>
      <c r="C9661" t="str">
        <f t="shared" si="1727"/>
        <v>89383002</v>
      </c>
      <c r="D9661">
        <v>89301212</v>
      </c>
      <c r="E9661" t="str">
        <f>"495607002"</f>
        <v>495607002</v>
      </c>
      <c r="F9661" s="1">
        <v>45149</v>
      </c>
      <c r="G9661" t="str">
        <f>"89513"</f>
        <v>89513</v>
      </c>
      <c r="H9661">
        <v>1</v>
      </c>
      <c r="I9661">
        <v>378</v>
      </c>
      <c r="J9661">
        <v>0</v>
      </c>
      <c r="K9661" t="str">
        <f t="shared" si="1728"/>
        <v>809</v>
      </c>
      <c r="L9661">
        <v>555.66</v>
      </c>
    </row>
    <row r="9662" spans="1:12" x14ac:dyDescent="0.25">
      <c r="A9662" t="str">
        <f t="shared" si="1719"/>
        <v>89301000</v>
      </c>
      <c r="B9662" t="str">
        <f t="shared" si="1726"/>
        <v>89383000</v>
      </c>
      <c r="C9662" t="str">
        <f t="shared" si="1727"/>
        <v>89383002</v>
      </c>
      <c r="D9662">
        <v>89301212</v>
      </c>
      <c r="E9662" t="str">
        <f>"495607002"</f>
        <v>495607002</v>
      </c>
      <c r="F9662" s="1">
        <v>45149</v>
      </c>
      <c r="G9662" t="str">
        <f>"89514"</f>
        <v>89514</v>
      </c>
      <c r="H9662">
        <v>1</v>
      </c>
      <c r="I9662">
        <v>378</v>
      </c>
      <c r="J9662">
        <v>0</v>
      </c>
      <c r="K9662" t="str">
        <f t="shared" si="1728"/>
        <v>809</v>
      </c>
      <c r="L9662">
        <v>555.66</v>
      </c>
    </row>
    <row r="9663" spans="1:12" x14ac:dyDescent="0.25">
      <c r="A9663" t="str">
        <f t="shared" si="1719"/>
        <v>89301000</v>
      </c>
      <c r="B9663" t="str">
        <f t="shared" si="1726"/>
        <v>89383000</v>
      </c>
      <c r="C9663" t="str">
        <f t="shared" si="1727"/>
        <v>89383002</v>
      </c>
      <c r="D9663">
        <v>89301212</v>
      </c>
      <c r="E9663" t="str">
        <f t="shared" ref="E9663:E9668" si="1729">"416228405"</f>
        <v>416228405</v>
      </c>
      <c r="F9663" s="1">
        <v>45145</v>
      </c>
      <c r="G9663" t="str">
        <f>"89313"</f>
        <v>89313</v>
      </c>
      <c r="H9663">
        <v>1</v>
      </c>
      <c r="I9663">
        <v>420</v>
      </c>
      <c r="J9663">
        <v>0</v>
      </c>
      <c r="K9663" t="str">
        <f t="shared" si="1728"/>
        <v>809</v>
      </c>
      <c r="L9663">
        <v>617.4</v>
      </c>
    </row>
    <row r="9664" spans="1:12" x14ac:dyDescent="0.25">
      <c r="A9664" t="str">
        <f t="shared" si="1719"/>
        <v>89301000</v>
      </c>
      <c r="B9664" t="str">
        <f t="shared" si="1726"/>
        <v>89383000</v>
      </c>
      <c r="C9664" t="str">
        <f t="shared" si="1727"/>
        <v>89383002</v>
      </c>
      <c r="D9664">
        <v>89301212</v>
      </c>
      <c r="E9664" t="str">
        <f t="shared" si="1729"/>
        <v>416228405</v>
      </c>
      <c r="F9664" s="1">
        <v>45145</v>
      </c>
      <c r="G9664" t="str">
        <f>"09233"</f>
        <v>09233</v>
      </c>
      <c r="H9664">
        <v>1</v>
      </c>
      <c r="I9664">
        <v>102</v>
      </c>
      <c r="J9664">
        <v>0</v>
      </c>
      <c r="K9664" t="str">
        <f t="shared" si="1728"/>
        <v>809</v>
      </c>
      <c r="L9664">
        <v>149.94</v>
      </c>
    </row>
    <row r="9665" spans="1:12" x14ac:dyDescent="0.25">
      <c r="A9665" t="str">
        <f t="shared" si="1719"/>
        <v>89301000</v>
      </c>
      <c r="B9665" t="str">
        <f t="shared" si="1726"/>
        <v>89383000</v>
      </c>
      <c r="C9665" t="str">
        <f t="shared" si="1727"/>
        <v>89383002</v>
      </c>
      <c r="D9665">
        <v>89301212</v>
      </c>
      <c r="E9665" t="str">
        <f t="shared" si="1729"/>
        <v>416228405</v>
      </c>
      <c r="F9665" s="1">
        <v>45145</v>
      </c>
      <c r="G9665" t="str">
        <f>"89512"</f>
        <v>89512</v>
      </c>
      <c r="H9665">
        <v>1</v>
      </c>
      <c r="I9665">
        <v>283</v>
      </c>
      <c r="J9665">
        <v>0</v>
      </c>
      <c r="K9665" t="str">
        <f t="shared" si="1728"/>
        <v>809</v>
      </c>
      <c r="L9665">
        <v>416.01</v>
      </c>
    </row>
    <row r="9666" spans="1:12" x14ac:dyDescent="0.25">
      <c r="A9666" t="str">
        <f t="shared" ref="A9666:A9729" si="1730">"89301000"</f>
        <v>89301000</v>
      </c>
      <c r="B9666" t="str">
        <f t="shared" si="1726"/>
        <v>89383000</v>
      </c>
      <c r="C9666" t="str">
        <f t="shared" si="1727"/>
        <v>89383002</v>
      </c>
      <c r="D9666">
        <v>89301212</v>
      </c>
      <c r="E9666" t="str">
        <f t="shared" si="1729"/>
        <v>416228405</v>
      </c>
      <c r="F9666" s="1">
        <v>45145</v>
      </c>
      <c r="G9666" t="str">
        <f>"89311"</f>
        <v>89311</v>
      </c>
      <c r="H9666">
        <v>1</v>
      </c>
      <c r="I9666">
        <v>970</v>
      </c>
      <c r="J9666">
        <v>0</v>
      </c>
      <c r="K9666" t="str">
        <f t="shared" si="1728"/>
        <v>809</v>
      </c>
      <c r="L9666">
        <v>1425.9</v>
      </c>
    </row>
    <row r="9667" spans="1:12" x14ac:dyDescent="0.25">
      <c r="A9667" t="str">
        <f t="shared" si="1730"/>
        <v>89301000</v>
      </c>
      <c r="B9667" t="str">
        <f t="shared" si="1726"/>
        <v>89383000</v>
      </c>
      <c r="C9667" t="str">
        <f t="shared" si="1727"/>
        <v>89383002</v>
      </c>
      <c r="D9667">
        <v>89301212</v>
      </c>
      <c r="E9667" t="str">
        <f t="shared" si="1729"/>
        <v>416228405</v>
      </c>
      <c r="F9667" s="1">
        <v>45145</v>
      </c>
      <c r="G9667" t="str">
        <f>"0093109"</f>
        <v>0093109</v>
      </c>
      <c r="H9667">
        <v>0.2</v>
      </c>
      <c r="J9667">
        <v>54.2</v>
      </c>
      <c r="K9667" t="str">
        <f t="shared" si="1728"/>
        <v>809</v>
      </c>
      <c r="L9667">
        <v>54.2</v>
      </c>
    </row>
    <row r="9668" spans="1:12" x14ac:dyDescent="0.25">
      <c r="A9668" t="str">
        <f t="shared" si="1730"/>
        <v>89301000</v>
      </c>
      <c r="B9668" t="str">
        <f t="shared" si="1726"/>
        <v>89383000</v>
      </c>
      <c r="C9668" t="str">
        <f t="shared" si="1727"/>
        <v>89383002</v>
      </c>
      <c r="D9668">
        <v>89301212</v>
      </c>
      <c r="E9668" t="str">
        <f t="shared" si="1729"/>
        <v>416228405</v>
      </c>
      <c r="F9668" s="1">
        <v>45145</v>
      </c>
      <c r="G9668" t="str">
        <f>"0082502"</f>
        <v>0082502</v>
      </c>
      <c r="H9668">
        <v>2</v>
      </c>
      <c r="J9668">
        <v>4520.3999999999996</v>
      </c>
      <c r="K9668" t="str">
        <f t="shared" si="1728"/>
        <v>809</v>
      </c>
      <c r="L9668">
        <v>4520.3999999999996</v>
      </c>
    </row>
    <row r="9669" spans="1:12" x14ac:dyDescent="0.25">
      <c r="A9669" t="str">
        <f t="shared" si="1730"/>
        <v>89301000</v>
      </c>
      <c r="B9669" t="str">
        <f t="shared" si="1726"/>
        <v>89383000</v>
      </c>
      <c r="C9669" t="str">
        <f t="shared" si="1727"/>
        <v>89383002</v>
      </c>
      <c r="D9669">
        <v>89301212</v>
      </c>
      <c r="E9669" t="str">
        <f>"8553185850"</f>
        <v>8553185850</v>
      </c>
      <c r="F9669" s="1">
        <v>45154</v>
      </c>
      <c r="G9669" t="str">
        <f>"89180"</f>
        <v>89180</v>
      </c>
      <c r="H9669">
        <v>2</v>
      </c>
      <c r="I9669">
        <v>762</v>
      </c>
      <c r="J9669">
        <v>0</v>
      </c>
      <c r="K9669" t="str">
        <f t="shared" si="1728"/>
        <v>809</v>
      </c>
      <c r="L9669">
        <v>1120.1400000000001</v>
      </c>
    </row>
    <row r="9670" spans="1:12" x14ac:dyDescent="0.25">
      <c r="A9670" t="str">
        <f t="shared" si="1730"/>
        <v>89301000</v>
      </c>
      <c r="B9670" t="str">
        <f t="shared" si="1726"/>
        <v>89383000</v>
      </c>
      <c r="C9670" t="str">
        <f t="shared" si="1727"/>
        <v>89383002</v>
      </c>
      <c r="D9670">
        <v>89301212</v>
      </c>
      <c r="E9670" t="str">
        <f>"8553185850"</f>
        <v>8553185850</v>
      </c>
      <c r="F9670" s="1">
        <v>45154</v>
      </c>
      <c r="G9670" t="str">
        <f>"89512"</f>
        <v>89512</v>
      </c>
      <c r="H9670">
        <v>1</v>
      </c>
      <c r="I9670">
        <v>283</v>
      </c>
      <c r="J9670">
        <v>0</v>
      </c>
      <c r="K9670" t="str">
        <f t="shared" si="1728"/>
        <v>809</v>
      </c>
      <c r="L9670">
        <v>416.01</v>
      </c>
    </row>
    <row r="9671" spans="1:12" x14ac:dyDescent="0.25">
      <c r="A9671" t="str">
        <f t="shared" si="1730"/>
        <v>89301000</v>
      </c>
      <c r="B9671" t="str">
        <f t="shared" si="1726"/>
        <v>89383000</v>
      </c>
      <c r="C9671" t="str">
        <f t="shared" si="1727"/>
        <v>89383002</v>
      </c>
      <c r="D9671">
        <v>89301212</v>
      </c>
      <c r="E9671" t="str">
        <f>"8553185850"</f>
        <v>8553185850</v>
      </c>
      <c r="F9671" s="1">
        <v>45154</v>
      </c>
      <c r="G9671" t="str">
        <f>"89513"</f>
        <v>89513</v>
      </c>
      <c r="H9671">
        <v>1</v>
      </c>
      <c r="I9671">
        <v>378</v>
      </c>
      <c r="J9671">
        <v>0</v>
      </c>
      <c r="K9671" t="str">
        <f t="shared" si="1728"/>
        <v>809</v>
      </c>
      <c r="L9671">
        <v>555.66</v>
      </c>
    </row>
    <row r="9672" spans="1:12" x14ac:dyDescent="0.25">
      <c r="A9672" t="str">
        <f t="shared" si="1730"/>
        <v>89301000</v>
      </c>
      <c r="B9672" t="str">
        <f t="shared" si="1726"/>
        <v>89383000</v>
      </c>
      <c r="C9672" t="str">
        <f t="shared" si="1727"/>
        <v>89383002</v>
      </c>
      <c r="D9672">
        <v>89301212</v>
      </c>
      <c r="E9672" t="str">
        <f>"8553185850"</f>
        <v>8553185850</v>
      </c>
      <c r="F9672" s="1">
        <v>45154</v>
      </c>
      <c r="G9672" t="str">
        <f>"89514"</f>
        <v>89514</v>
      </c>
      <c r="H9672">
        <v>1</v>
      </c>
      <c r="I9672">
        <v>378</v>
      </c>
      <c r="J9672">
        <v>0</v>
      </c>
      <c r="K9672" t="str">
        <f t="shared" si="1728"/>
        <v>809</v>
      </c>
      <c r="L9672">
        <v>555.66</v>
      </c>
    </row>
    <row r="9673" spans="1:12" x14ac:dyDescent="0.25">
      <c r="A9673" t="str">
        <f t="shared" si="1730"/>
        <v>89301000</v>
      </c>
      <c r="B9673" t="str">
        <f t="shared" si="1726"/>
        <v>89383000</v>
      </c>
      <c r="C9673" t="str">
        <f t="shared" si="1727"/>
        <v>89383002</v>
      </c>
      <c r="D9673">
        <v>89301215</v>
      </c>
      <c r="E9673" t="str">
        <f t="shared" ref="E9673:E9679" si="1731">"7858025329"</f>
        <v>7858025329</v>
      </c>
      <c r="F9673" s="1">
        <v>45152</v>
      </c>
      <c r="G9673" t="str">
        <f>"89513"</f>
        <v>89513</v>
      </c>
      <c r="H9673">
        <v>1</v>
      </c>
      <c r="I9673">
        <v>378</v>
      </c>
      <c r="J9673">
        <v>0</v>
      </c>
      <c r="K9673" t="str">
        <f t="shared" si="1728"/>
        <v>809</v>
      </c>
      <c r="L9673">
        <v>555.66</v>
      </c>
    </row>
    <row r="9674" spans="1:12" x14ac:dyDescent="0.25">
      <c r="A9674" t="str">
        <f t="shared" si="1730"/>
        <v>89301000</v>
      </c>
      <c r="B9674" t="str">
        <f t="shared" si="1726"/>
        <v>89383000</v>
      </c>
      <c r="C9674" t="str">
        <f t="shared" si="1727"/>
        <v>89383002</v>
      </c>
      <c r="D9674">
        <v>89301215</v>
      </c>
      <c r="E9674" t="str">
        <f t="shared" si="1731"/>
        <v>7858025329</v>
      </c>
      <c r="F9674" s="1">
        <v>45152</v>
      </c>
      <c r="G9674" t="str">
        <f>"89514"</f>
        <v>89514</v>
      </c>
      <c r="H9674">
        <v>1</v>
      </c>
      <c r="I9674">
        <v>378</v>
      </c>
      <c r="J9674">
        <v>0</v>
      </c>
      <c r="K9674" t="str">
        <f t="shared" si="1728"/>
        <v>809</v>
      </c>
      <c r="L9674">
        <v>555.66</v>
      </c>
    </row>
    <row r="9675" spans="1:12" x14ac:dyDescent="0.25">
      <c r="A9675" t="str">
        <f t="shared" si="1730"/>
        <v>89301000</v>
      </c>
      <c r="B9675" t="str">
        <f t="shared" si="1726"/>
        <v>89383000</v>
      </c>
      <c r="C9675" t="str">
        <f t="shared" si="1727"/>
        <v>89383002</v>
      </c>
      <c r="D9675">
        <v>89301215</v>
      </c>
      <c r="E9675" t="str">
        <f t="shared" si="1731"/>
        <v>7858025329</v>
      </c>
      <c r="F9675" s="1">
        <v>45152</v>
      </c>
      <c r="G9675" t="str">
        <f>"89313"</f>
        <v>89313</v>
      </c>
      <c r="H9675">
        <v>1</v>
      </c>
      <c r="I9675">
        <v>420</v>
      </c>
      <c r="J9675">
        <v>0</v>
      </c>
      <c r="K9675" t="str">
        <f t="shared" si="1728"/>
        <v>809</v>
      </c>
      <c r="L9675">
        <v>617.4</v>
      </c>
    </row>
    <row r="9676" spans="1:12" x14ac:dyDescent="0.25">
      <c r="A9676" t="str">
        <f t="shared" si="1730"/>
        <v>89301000</v>
      </c>
      <c r="B9676" t="str">
        <f t="shared" si="1726"/>
        <v>89383000</v>
      </c>
      <c r="C9676" t="str">
        <f t="shared" si="1727"/>
        <v>89383002</v>
      </c>
      <c r="D9676">
        <v>89301215</v>
      </c>
      <c r="E9676" t="str">
        <f t="shared" si="1731"/>
        <v>7858025329</v>
      </c>
      <c r="F9676" s="1">
        <v>45152</v>
      </c>
      <c r="G9676" t="str">
        <f>"09233"</f>
        <v>09233</v>
      </c>
      <c r="H9676">
        <v>1</v>
      </c>
      <c r="I9676">
        <v>102</v>
      </c>
      <c r="J9676">
        <v>0</v>
      </c>
      <c r="K9676" t="str">
        <f t="shared" si="1728"/>
        <v>809</v>
      </c>
      <c r="L9676">
        <v>149.94</v>
      </c>
    </row>
    <row r="9677" spans="1:12" x14ac:dyDescent="0.25">
      <c r="A9677" t="str">
        <f t="shared" si="1730"/>
        <v>89301000</v>
      </c>
      <c r="B9677" t="str">
        <f t="shared" si="1726"/>
        <v>89383000</v>
      </c>
      <c r="C9677" t="str">
        <f t="shared" si="1727"/>
        <v>89383002</v>
      </c>
      <c r="D9677">
        <v>89301215</v>
      </c>
      <c r="E9677" t="str">
        <f t="shared" si="1731"/>
        <v>7858025329</v>
      </c>
      <c r="F9677" s="1">
        <v>45152</v>
      </c>
      <c r="G9677" t="str">
        <f>"89512"</f>
        <v>89512</v>
      </c>
      <c r="H9677">
        <v>1</v>
      </c>
      <c r="I9677">
        <v>283</v>
      </c>
      <c r="J9677">
        <v>0</v>
      </c>
      <c r="K9677" t="str">
        <f t="shared" si="1728"/>
        <v>809</v>
      </c>
      <c r="L9677">
        <v>416.01</v>
      </c>
    </row>
    <row r="9678" spans="1:12" x14ac:dyDescent="0.25">
      <c r="A9678" t="str">
        <f t="shared" si="1730"/>
        <v>89301000</v>
      </c>
      <c r="B9678" t="str">
        <f t="shared" si="1726"/>
        <v>89383000</v>
      </c>
      <c r="C9678" t="str">
        <f t="shared" si="1727"/>
        <v>89383002</v>
      </c>
      <c r="D9678">
        <v>89301215</v>
      </c>
      <c r="E9678" t="str">
        <f t="shared" si="1731"/>
        <v>7858025329</v>
      </c>
      <c r="F9678" s="1">
        <v>45152</v>
      </c>
      <c r="G9678" t="str">
        <f>"0093109"</f>
        <v>0093109</v>
      </c>
      <c r="H9678">
        <v>0.2</v>
      </c>
      <c r="J9678">
        <v>54.2</v>
      </c>
      <c r="K9678" t="str">
        <f t="shared" si="1728"/>
        <v>809</v>
      </c>
      <c r="L9678">
        <v>54.2</v>
      </c>
    </row>
    <row r="9679" spans="1:12" x14ac:dyDescent="0.25">
      <c r="A9679" t="str">
        <f t="shared" si="1730"/>
        <v>89301000</v>
      </c>
      <c r="B9679" t="str">
        <f t="shared" si="1726"/>
        <v>89383000</v>
      </c>
      <c r="C9679" t="str">
        <f t="shared" si="1727"/>
        <v>89383002</v>
      </c>
      <c r="D9679">
        <v>89301215</v>
      </c>
      <c r="E9679" t="str">
        <f t="shared" si="1731"/>
        <v>7858025329</v>
      </c>
      <c r="F9679" s="1">
        <v>45152</v>
      </c>
      <c r="G9679" t="str">
        <f>"0082502"</f>
        <v>0082502</v>
      </c>
      <c r="H9679">
        <v>1</v>
      </c>
      <c r="J9679">
        <v>2260.1999999999998</v>
      </c>
      <c r="K9679" t="str">
        <f t="shared" si="1728"/>
        <v>809</v>
      </c>
      <c r="L9679">
        <v>2260.1999999999998</v>
      </c>
    </row>
    <row r="9680" spans="1:12" x14ac:dyDescent="0.25">
      <c r="A9680" t="str">
        <f t="shared" si="1730"/>
        <v>89301000</v>
      </c>
      <c r="B9680" t="str">
        <f t="shared" si="1726"/>
        <v>89383000</v>
      </c>
      <c r="C9680" t="str">
        <f t="shared" si="1727"/>
        <v>89383002</v>
      </c>
      <c r="D9680">
        <v>89301212</v>
      </c>
      <c r="E9680" t="str">
        <f>"7457015313"</f>
        <v>7457015313</v>
      </c>
      <c r="F9680" s="1">
        <v>45155</v>
      </c>
      <c r="G9680" t="str">
        <f>"89512"</f>
        <v>89512</v>
      </c>
      <c r="H9680">
        <v>1</v>
      </c>
      <c r="I9680">
        <v>283</v>
      </c>
      <c r="J9680">
        <v>0</v>
      </c>
      <c r="K9680" t="str">
        <f t="shared" si="1728"/>
        <v>809</v>
      </c>
      <c r="L9680">
        <v>416.01</v>
      </c>
    </row>
    <row r="9681" spans="1:12" x14ac:dyDescent="0.25">
      <c r="A9681" t="str">
        <f t="shared" si="1730"/>
        <v>89301000</v>
      </c>
      <c r="B9681" t="str">
        <f t="shared" si="1726"/>
        <v>89383000</v>
      </c>
      <c r="C9681" t="str">
        <f t="shared" si="1727"/>
        <v>89383002</v>
      </c>
      <c r="D9681">
        <v>89301212</v>
      </c>
      <c r="E9681" t="str">
        <f>"6456211740"</f>
        <v>6456211740</v>
      </c>
      <c r="F9681" s="1">
        <v>45156</v>
      </c>
      <c r="G9681" t="str">
        <f>"89512"</f>
        <v>89512</v>
      </c>
      <c r="H9681">
        <v>1</v>
      </c>
      <c r="I9681">
        <v>283</v>
      </c>
      <c r="J9681">
        <v>0</v>
      </c>
      <c r="K9681" t="str">
        <f t="shared" si="1728"/>
        <v>809</v>
      </c>
      <c r="L9681">
        <v>416.01</v>
      </c>
    </row>
    <row r="9682" spans="1:12" x14ac:dyDescent="0.25">
      <c r="A9682" t="str">
        <f t="shared" si="1730"/>
        <v>89301000</v>
      </c>
      <c r="B9682" t="str">
        <f t="shared" si="1726"/>
        <v>89383000</v>
      </c>
      <c r="C9682" t="str">
        <f t="shared" si="1727"/>
        <v>89383002</v>
      </c>
      <c r="D9682">
        <v>89301212</v>
      </c>
      <c r="E9682" t="str">
        <f>"6456211740"</f>
        <v>6456211740</v>
      </c>
      <c r="F9682" s="1">
        <v>45156</v>
      </c>
      <c r="G9682" t="str">
        <f>"89513"</f>
        <v>89513</v>
      </c>
      <c r="H9682">
        <v>1</v>
      </c>
      <c r="I9682">
        <v>378</v>
      </c>
      <c r="J9682">
        <v>0</v>
      </c>
      <c r="K9682" t="str">
        <f t="shared" si="1728"/>
        <v>809</v>
      </c>
      <c r="L9682">
        <v>555.66</v>
      </c>
    </row>
    <row r="9683" spans="1:12" x14ac:dyDescent="0.25">
      <c r="A9683" t="str">
        <f t="shared" si="1730"/>
        <v>89301000</v>
      </c>
      <c r="B9683" t="str">
        <f t="shared" si="1726"/>
        <v>89383000</v>
      </c>
      <c r="C9683" t="str">
        <f t="shared" si="1727"/>
        <v>89383002</v>
      </c>
      <c r="D9683">
        <v>89301212</v>
      </c>
      <c r="E9683" t="str">
        <f>"6456211740"</f>
        <v>6456211740</v>
      </c>
      <c r="F9683" s="1">
        <v>45156</v>
      </c>
      <c r="G9683" t="str">
        <f>"89514"</f>
        <v>89514</v>
      </c>
      <c r="H9683">
        <v>1</v>
      </c>
      <c r="I9683">
        <v>378</v>
      </c>
      <c r="J9683">
        <v>0</v>
      </c>
      <c r="K9683" t="str">
        <f t="shared" si="1728"/>
        <v>809</v>
      </c>
      <c r="L9683">
        <v>555.66</v>
      </c>
    </row>
    <row r="9684" spans="1:12" x14ac:dyDescent="0.25">
      <c r="A9684" t="str">
        <f t="shared" si="1730"/>
        <v>89301000</v>
      </c>
      <c r="B9684" t="str">
        <f t="shared" si="1726"/>
        <v>89383000</v>
      </c>
      <c r="C9684" t="str">
        <f t="shared" si="1727"/>
        <v>89383002</v>
      </c>
      <c r="D9684">
        <v>89301212</v>
      </c>
      <c r="E9684" t="str">
        <f>"6056021147"</f>
        <v>6056021147</v>
      </c>
      <c r="F9684" s="1">
        <v>45156</v>
      </c>
      <c r="G9684" t="str">
        <f>"89180"</f>
        <v>89180</v>
      </c>
      <c r="H9684">
        <v>2</v>
      </c>
      <c r="I9684">
        <v>762</v>
      </c>
      <c r="J9684">
        <v>0</v>
      </c>
      <c r="K9684" t="str">
        <f t="shared" si="1728"/>
        <v>809</v>
      </c>
      <c r="L9684">
        <v>1120.1400000000001</v>
      </c>
    </row>
    <row r="9685" spans="1:12" x14ac:dyDescent="0.25">
      <c r="A9685" t="str">
        <f t="shared" si="1730"/>
        <v>89301000</v>
      </c>
      <c r="B9685" t="str">
        <f t="shared" ref="B9685:B9716" si="1732">"89383000"</f>
        <v>89383000</v>
      </c>
      <c r="C9685" t="str">
        <f t="shared" ref="C9685:C9716" si="1733">"89383002"</f>
        <v>89383002</v>
      </c>
      <c r="D9685">
        <v>89301212</v>
      </c>
      <c r="E9685" t="str">
        <f>"6056021147"</f>
        <v>6056021147</v>
      </c>
      <c r="F9685" s="1">
        <v>45156</v>
      </c>
      <c r="G9685" t="str">
        <f>"89512"</f>
        <v>89512</v>
      </c>
      <c r="H9685">
        <v>1</v>
      </c>
      <c r="I9685">
        <v>283</v>
      </c>
      <c r="J9685">
        <v>0</v>
      </c>
      <c r="K9685" t="str">
        <f t="shared" ref="K9685:K9716" si="1734">"809"</f>
        <v>809</v>
      </c>
      <c r="L9685">
        <v>416.01</v>
      </c>
    </row>
    <row r="9686" spans="1:12" x14ac:dyDescent="0.25">
      <c r="A9686" t="str">
        <f t="shared" si="1730"/>
        <v>89301000</v>
      </c>
      <c r="B9686" t="str">
        <f t="shared" si="1732"/>
        <v>89383000</v>
      </c>
      <c r="C9686" t="str">
        <f t="shared" si="1733"/>
        <v>89383002</v>
      </c>
      <c r="D9686">
        <v>89301212</v>
      </c>
      <c r="E9686" t="str">
        <f>"6056021147"</f>
        <v>6056021147</v>
      </c>
      <c r="F9686" s="1">
        <v>45156</v>
      </c>
      <c r="G9686" t="str">
        <f>"89513"</f>
        <v>89513</v>
      </c>
      <c r="H9686">
        <v>1</v>
      </c>
      <c r="I9686">
        <v>378</v>
      </c>
      <c r="J9686">
        <v>0</v>
      </c>
      <c r="K9686" t="str">
        <f t="shared" si="1734"/>
        <v>809</v>
      </c>
      <c r="L9686">
        <v>555.66</v>
      </c>
    </row>
    <row r="9687" spans="1:12" x14ac:dyDescent="0.25">
      <c r="A9687" t="str">
        <f t="shared" si="1730"/>
        <v>89301000</v>
      </c>
      <c r="B9687" t="str">
        <f t="shared" si="1732"/>
        <v>89383000</v>
      </c>
      <c r="C9687" t="str">
        <f t="shared" si="1733"/>
        <v>89383002</v>
      </c>
      <c r="D9687">
        <v>89301212</v>
      </c>
      <c r="E9687" t="str">
        <f>"6056021147"</f>
        <v>6056021147</v>
      </c>
      <c r="F9687" s="1">
        <v>45156</v>
      </c>
      <c r="G9687" t="str">
        <f>"89514"</f>
        <v>89514</v>
      </c>
      <c r="H9687">
        <v>1</v>
      </c>
      <c r="I9687">
        <v>378</v>
      </c>
      <c r="J9687">
        <v>0</v>
      </c>
      <c r="K9687" t="str">
        <f t="shared" si="1734"/>
        <v>809</v>
      </c>
      <c r="L9687">
        <v>555.66</v>
      </c>
    </row>
    <row r="9688" spans="1:12" x14ac:dyDescent="0.25">
      <c r="A9688" t="str">
        <f t="shared" si="1730"/>
        <v>89301000</v>
      </c>
      <c r="B9688" t="str">
        <f t="shared" si="1732"/>
        <v>89383000</v>
      </c>
      <c r="C9688" t="str">
        <f t="shared" si="1733"/>
        <v>89383002</v>
      </c>
      <c r="D9688">
        <v>89301212</v>
      </c>
      <c r="E9688" t="str">
        <f>"7856075381"</f>
        <v>7856075381</v>
      </c>
      <c r="F9688" s="1">
        <v>45155</v>
      </c>
      <c r="G9688" t="str">
        <f>"89512"</f>
        <v>89512</v>
      </c>
      <c r="H9688">
        <v>1</v>
      </c>
      <c r="I9688">
        <v>283</v>
      </c>
      <c r="J9688">
        <v>0</v>
      </c>
      <c r="K9688" t="str">
        <f t="shared" si="1734"/>
        <v>809</v>
      </c>
      <c r="L9688">
        <v>416.01</v>
      </c>
    </row>
    <row r="9689" spans="1:12" x14ac:dyDescent="0.25">
      <c r="A9689" t="str">
        <f t="shared" si="1730"/>
        <v>89301000</v>
      </c>
      <c r="B9689" t="str">
        <f t="shared" si="1732"/>
        <v>89383000</v>
      </c>
      <c r="C9689" t="str">
        <f t="shared" si="1733"/>
        <v>89383002</v>
      </c>
      <c r="D9689">
        <v>89301212</v>
      </c>
      <c r="E9689" t="str">
        <f>"7856075381"</f>
        <v>7856075381</v>
      </c>
      <c r="F9689" s="1">
        <v>45156</v>
      </c>
      <c r="G9689" t="str">
        <f>"89512"</f>
        <v>89512</v>
      </c>
      <c r="H9689">
        <v>1</v>
      </c>
      <c r="I9689">
        <v>283</v>
      </c>
      <c r="J9689">
        <v>0</v>
      </c>
      <c r="K9689" t="str">
        <f t="shared" si="1734"/>
        <v>809</v>
      </c>
      <c r="L9689">
        <v>416.01</v>
      </c>
    </row>
    <row r="9690" spans="1:12" x14ac:dyDescent="0.25">
      <c r="A9690" t="str">
        <f t="shared" si="1730"/>
        <v>89301000</v>
      </c>
      <c r="B9690" t="str">
        <f t="shared" si="1732"/>
        <v>89383000</v>
      </c>
      <c r="C9690" t="str">
        <f t="shared" si="1733"/>
        <v>89383002</v>
      </c>
      <c r="D9690">
        <v>89301212</v>
      </c>
      <c r="E9690" t="str">
        <f>"7856075381"</f>
        <v>7856075381</v>
      </c>
      <c r="F9690" s="1">
        <v>45156</v>
      </c>
      <c r="G9690" t="str">
        <f>"89311"</f>
        <v>89311</v>
      </c>
      <c r="H9690">
        <v>1</v>
      </c>
      <c r="I9690">
        <v>970</v>
      </c>
      <c r="J9690">
        <v>0</v>
      </c>
      <c r="K9690" t="str">
        <f t="shared" si="1734"/>
        <v>809</v>
      </c>
      <c r="L9690">
        <v>1425.9</v>
      </c>
    </row>
    <row r="9691" spans="1:12" x14ac:dyDescent="0.25">
      <c r="A9691" t="str">
        <f t="shared" si="1730"/>
        <v>89301000</v>
      </c>
      <c r="B9691" t="str">
        <f t="shared" si="1732"/>
        <v>89383000</v>
      </c>
      <c r="C9691" t="str">
        <f t="shared" si="1733"/>
        <v>89383002</v>
      </c>
      <c r="D9691">
        <v>89301212</v>
      </c>
      <c r="E9691" t="str">
        <f>"465719487"</f>
        <v>465719487</v>
      </c>
      <c r="F9691" s="1">
        <v>45161</v>
      </c>
      <c r="G9691" t="str">
        <f>"89180"</f>
        <v>89180</v>
      </c>
      <c r="H9691">
        <v>2</v>
      </c>
      <c r="I9691">
        <v>762</v>
      </c>
      <c r="J9691">
        <v>0</v>
      </c>
      <c r="K9691" t="str">
        <f t="shared" si="1734"/>
        <v>809</v>
      </c>
      <c r="L9691">
        <v>1120.1400000000001</v>
      </c>
    </row>
    <row r="9692" spans="1:12" x14ac:dyDescent="0.25">
      <c r="A9692" t="str">
        <f t="shared" si="1730"/>
        <v>89301000</v>
      </c>
      <c r="B9692" t="str">
        <f t="shared" si="1732"/>
        <v>89383000</v>
      </c>
      <c r="C9692" t="str">
        <f t="shared" si="1733"/>
        <v>89383002</v>
      </c>
      <c r="D9692">
        <v>89301212</v>
      </c>
      <c r="E9692" t="str">
        <f>"465719487"</f>
        <v>465719487</v>
      </c>
      <c r="F9692" s="1">
        <v>45161</v>
      </c>
      <c r="G9692" t="str">
        <f>"89512"</f>
        <v>89512</v>
      </c>
      <c r="H9692">
        <v>1</v>
      </c>
      <c r="I9692">
        <v>283</v>
      </c>
      <c r="J9692">
        <v>0</v>
      </c>
      <c r="K9692" t="str">
        <f t="shared" si="1734"/>
        <v>809</v>
      </c>
      <c r="L9692">
        <v>416.01</v>
      </c>
    </row>
    <row r="9693" spans="1:12" x14ac:dyDescent="0.25">
      <c r="A9693" t="str">
        <f t="shared" si="1730"/>
        <v>89301000</v>
      </c>
      <c r="B9693" t="str">
        <f t="shared" si="1732"/>
        <v>89383000</v>
      </c>
      <c r="C9693" t="str">
        <f t="shared" si="1733"/>
        <v>89383002</v>
      </c>
      <c r="D9693">
        <v>89301212</v>
      </c>
      <c r="E9693" t="str">
        <f>"465719487"</f>
        <v>465719487</v>
      </c>
      <c r="F9693" s="1">
        <v>45161</v>
      </c>
      <c r="G9693" t="str">
        <f>"89513"</f>
        <v>89513</v>
      </c>
      <c r="H9693">
        <v>1</v>
      </c>
      <c r="I9693">
        <v>378</v>
      </c>
      <c r="J9693">
        <v>0</v>
      </c>
      <c r="K9693" t="str">
        <f t="shared" si="1734"/>
        <v>809</v>
      </c>
      <c r="L9693">
        <v>555.66</v>
      </c>
    </row>
    <row r="9694" spans="1:12" x14ac:dyDescent="0.25">
      <c r="A9694" t="str">
        <f t="shared" si="1730"/>
        <v>89301000</v>
      </c>
      <c r="B9694" t="str">
        <f t="shared" si="1732"/>
        <v>89383000</v>
      </c>
      <c r="C9694" t="str">
        <f t="shared" si="1733"/>
        <v>89383002</v>
      </c>
      <c r="D9694">
        <v>89301212</v>
      </c>
      <c r="E9694" t="str">
        <f>"465719487"</f>
        <v>465719487</v>
      </c>
      <c r="F9694" s="1">
        <v>45161</v>
      </c>
      <c r="G9694" t="str">
        <f>"89514"</f>
        <v>89514</v>
      </c>
      <c r="H9694">
        <v>1</v>
      </c>
      <c r="I9694">
        <v>378</v>
      </c>
      <c r="J9694">
        <v>0</v>
      </c>
      <c r="K9694" t="str">
        <f t="shared" si="1734"/>
        <v>809</v>
      </c>
      <c r="L9694">
        <v>555.66</v>
      </c>
    </row>
    <row r="9695" spans="1:12" x14ac:dyDescent="0.25">
      <c r="A9695" t="str">
        <f t="shared" si="1730"/>
        <v>89301000</v>
      </c>
      <c r="B9695" t="str">
        <f t="shared" si="1732"/>
        <v>89383000</v>
      </c>
      <c r="C9695" t="str">
        <f t="shared" si="1733"/>
        <v>89383002</v>
      </c>
      <c r="D9695">
        <v>89301212</v>
      </c>
      <c r="E9695" t="str">
        <f>"496020238"</f>
        <v>496020238</v>
      </c>
      <c r="F9695" s="1">
        <v>45161</v>
      </c>
      <c r="G9695" t="str">
        <f>"89180"</f>
        <v>89180</v>
      </c>
      <c r="H9695">
        <v>2</v>
      </c>
      <c r="I9695">
        <v>762</v>
      </c>
      <c r="J9695">
        <v>0</v>
      </c>
      <c r="K9695" t="str">
        <f t="shared" si="1734"/>
        <v>809</v>
      </c>
      <c r="L9695">
        <v>1120.1400000000001</v>
      </c>
    </row>
    <row r="9696" spans="1:12" x14ac:dyDescent="0.25">
      <c r="A9696" t="str">
        <f t="shared" si="1730"/>
        <v>89301000</v>
      </c>
      <c r="B9696" t="str">
        <f t="shared" si="1732"/>
        <v>89383000</v>
      </c>
      <c r="C9696" t="str">
        <f t="shared" si="1733"/>
        <v>89383002</v>
      </c>
      <c r="D9696">
        <v>89301212</v>
      </c>
      <c r="E9696" t="str">
        <f>"496020238"</f>
        <v>496020238</v>
      </c>
      <c r="F9696" s="1">
        <v>45161</v>
      </c>
      <c r="G9696" t="str">
        <f>"89512"</f>
        <v>89512</v>
      </c>
      <c r="H9696">
        <v>1</v>
      </c>
      <c r="I9696">
        <v>283</v>
      </c>
      <c r="J9696">
        <v>0</v>
      </c>
      <c r="K9696" t="str">
        <f t="shared" si="1734"/>
        <v>809</v>
      </c>
      <c r="L9696">
        <v>416.01</v>
      </c>
    </row>
    <row r="9697" spans="1:12" x14ac:dyDescent="0.25">
      <c r="A9697" t="str">
        <f t="shared" si="1730"/>
        <v>89301000</v>
      </c>
      <c r="B9697" t="str">
        <f t="shared" si="1732"/>
        <v>89383000</v>
      </c>
      <c r="C9697" t="str">
        <f t="shared" si="1733"/>
        <v>89383002</v>
      </c>
      <c r="D9697">
        <v>89301212</v>
      </c>
      <c r="E9697" t="str">
        <f>"496020238"</f>
        <v>496020238</v>
      </c>
      <c r="F9697" s="1">
        <v>45161</v>
      </c>
      <c r="G9697" t="str">
        <f>"89513"</f>
        <v>89513</v>
      </c>
      <c r="H9697">
        <v>1</v>
      </c>
      <c r="I9697">
        <v>378</v>
      </c>
      <c r="J9697">
        <v>0</v>
      </c>
      <c r="K9697" t="str">
        <f t="shared" si="1734"/>
        <v>809</v>
      </c>
      <c r="L9697">
        <v>555.66</v>
      </c>
    </row>
    <row r="9698" spans="1:12" x14ac:dyDescent="0.25">
      <c r="A9698" t="str">
        <f t="shared" si="1730"/>
        <v>89301000</v>
      </c>
      <c r="B9698" t="str">
        <f t="shared" si="1732"/>
        <v>89383000</v>
      </c>
      <c r="C9698" t="str">
        <f t="shared" si="1733"/>
        <v>89383002</v>
      </c>
      <c r="D9698">
        <v>89301212</v>
      </c>
      <c r="E9698" t="str">
        <f>"496020238"</f>
        <v>496020238</v>
      </c>
      <c r="F9698" s="1">
        <v>45161</v>
      </c>
      <c r="G9698" t="str">
        <f>"89514"</f>
        <v>89514</v>
      </c>
      <c r="H9698">
        <v>1</v>
      </c>
      <c r="I9698">
        <v>378</v>
      </c>
      <c r="J9698">
        <v>0</v>
      </c>
      <c r="K9698" t="str">
        <f t="shared" si="1734"/>
        <v>809</v>
      </c>
      <c r="L9698">
        <v>555.66</v>
      </c>
    </row>
    <row r="9699" spans="1:12" x14ac:dyDescent="0.25">
      <c r="A9699" t="str">
        <f t="shared" si="1730"/>
        <v>89301000</v>
      </c>
      <c r="B9699" t="str">
        <f t="shared" si="1732"/>
        <v>89383000</v>
      </c>
      <c r="C9699" t="str">
        <f t="shared" si="1733"/>
        <v>89383002</v>
      </c>
      <c r="D9699">
        <v>89301042</v>
      </c>
      <c r="E9699" t="str">
        <f>"7855305304"</f>
        <v>7855305304</v>
      </c>
      <c r="F9699" s="1">
        <v>45161</v>
      </c>
      <c r="G9699" t="str">
        <f>"89313"</f>
        <v>89313</v>
      </c>
      <c r="H9699">
        <v>1</v>
      </c>
      <c r="I9699">
        <v>420</v>
      </c>
      <c r="J9699">
        <v>0</v>
      </c>
      <c r="K9699" t="str">
        <f t="shared" si="1734"/>
        <v>809</v>
      </c>
      <c r="L9699">
        <v>617.4</v>
      </c>
    </row>
    <row r="9700" spans="1:12" x14ac:dyDescent="0.25">
      <c r="A9700" t="str">
        <f t="shared" si="1730"/>
        <v>89301000</v>
      </c>
      <c r="B9700" t="str">
        <f t="shared" si="1732"/>
        <v>89383000</v>
      </c>
      <c r="C9700" t="str">
        <f t="shared" si="1733"/>
        <v>89383002</v>
      </c>
      <c r="D9700">
        <v>89301042</v>
      </c>
      <c r="E9700" t="str">
        <f>"7855305304"</f>
        <v>7855305304</v>
      </c>
      <c r="F9700" s="1">
        <v>45161</v>
      </c>
      <c r="G9700" t="str">
        <f>"09233"</f>
        <v>09233</v>
      </c>
      <c r="H9700">
        <v>1</v>
      </c>
      <c r="I9700">
        <v>102</v>
      </c>
      <c r="J9700">
        <v>0</v>
      </c>
      <c r="K9700" t="str">
        <f t="shared" si="1734"/>
        <v>809</v>
      </c>
      <c r="L9700">
        <v>149.94</v>
      </c>
    </row>
    <row r="9701" spans="1:12" x14ac:dyDescent="0.25">
      <c r="A9701" t="str">
        <f t="shared" si="1730"/>
        <v>89301000</v>
      </c>
      <c r="B9701" t="str">
        <f t="shared" si="1732"/>
        <v>89383000</v>
      </c>
      <c r="C9701" t="str">
        <f t="shared" si="1733"/>
        <v>89383002</v>
      </c>
      <c r="D9701">
        <v>89301042</v>
      </c>
      <c r="E9701" t="str">
        <f>"7855305304"</f>
        <v>7855305304</v>
      </c>
      <c r="F9701" s="1">
        <v>45161</v>
      </c>
      <c r="G9701" t="str">
        <f>"89512"</f>
        <v>89512</v>
      </c>
      <c r="H9701">
        <v>1</v>
      </c>
      <c r="I9701">
        <v>283</v>
      </c>
      <c r="J9701">
        <v>0</v>
      </c>
      <c r="K9701" t="str">
        <f t="shared" si="1734"/>
        <v>809</v>
      </c>
      <c r="L9701">
        <v>416.01</v>
      </c>
    </row>
    <row r="9702" spans="1:12" x14ac:dyDescent="0.25">
      <c r="A9702" t="str">
        <f t="shared" si="1730"/>
        <v>89301000</v>
      </c>
      <c r="B9702" t="str">
        <f t="shared" si="1732"/>
        <v>89383000</v>
      </c>
      <c r="C9702" t="str">
        <f t="shared" si="1733"/>
        <v>89383002</v>
      </c>
      <c r="D9702">
        <v>89301042</v>
      </c>
      <c r="E9702" t="str">
        <f>"7855305304"</f>
        <v>7855305304</v>
      </c>
      <c r="F9702" s="1">
        <v>45161</v>
      </c>
      <c r="G9702" t="str">
        <f>"0093109"</f>
        <v>0093109</v>
      </c>
      <c r="H9702">
        <v>0.2</v>
      </c>
      <c r="J9702">
        <v>54.2</v>
      </c>
      <c r="K9702" t="str">
        <f t="shared" si="1734"/>
        <v>809</v>
      </c>
      <c r="L9702">
        <v>54.2</v>
      </c>
    </row>
    <row r="9703" spans="1:12" x14ac:dyDescent="0.25">
      <c r="A9703" t="str">
        <f t="shared" si="1730"/>
        <v>89301000</v>
      </c>
      <c r="B9703" t="str">
        <f t="shared" si="1732"/>
        <v>89383000</v>
      </c>
      <c r="C9703" t="str">
        <f t="shared" si="1733"/>
        <v>89383002</v>
      </c>
      <c r="D9703">
        <v>89301042</v>
      </c>
      <c r="E9703" t="str">
        <f>"7855305304"</f>
        <v>7855305304</v>
      </c>
      <c r="F9703" s="1">
        <v>45161</v>
      </c>
      <c r="G9703" t="str">
        <f>"0142906"</f>
        <v>0142906</v>
      </c>
      <c r="H9703">
        <v>1</v>
      </c>
      <c r="J9703">
        <v>6990</v>
      </c>
      <c r="K9703" t="str">
        <f t="shared" si="1734"/>
        <v>809</v>
      </c>
      <c r="L9703">
        <v>6990</v>
      </c>
    </row>
    <row r="9704" spans="1:12" x14ac:dyDescent="0.25">
      <c r="A9704" t="str">
        <f t="shared" si="1730"/>
        <v>89301000</v>
      </c>
      <c r="B9704" t="str">
        <f t="shared" si="1732"/>
        <v>89383000</v>
      </c>
      <c r="C9704" t="str">
        <f t="shared" si="1733"/>
        <v>89383002</v>
      </c>
      <c r="D9704">
        <v>89301045</v>
      </c>
      <c r="E9704" t="str">
        <f>"8756255365"</f>
        <v>8756255365</v>
      </c>
      <c r="F9704" s="1">
        <v>45161</v>
      </c>
      <c r="G9704" t="str">
        <f>"89512"</f>
        <v>89512</v>
      </c>
      <c r="H9704">
        <v>1</v>
      </c>
      <c r="I9704">
        <v>283</v>
      </c>
      <c r="J9704">
        <v>0</v>
      </c>
      <c r="K9704" t="str">
        <f t="shared" si="1734"/>
        <v>809</v>
      </c>
      <c r="L9704">
        <v>416.01</v>
      </c>
    </row>
    <row r="9705" spans="1:12" x14ac:dyDescent="0.25">
      <c r="A9705" t="str">
        <f t="shared" si="1730"/>
        <v>89301000</v>
      </c>
      <c r="B9705" t="str">
        <f t="shared" si="1732"/>
        <v>89383000</v>
      </c>
      <c r="C9705" t="str">
        <f t="shared" si="1733"/>
        <v>89383002</v>
      </c>
      <c r="D9705">
        <v>89301212</v>
      </c>
      <c r="E9705" t="str">
        <f>"7753194152"</f>
        <v>7753194152</v>
      </c>
      <c r="F9705" s="1">
        <v>45161</v>
      </c>
      <c r="G9705" t="str">
        <f>"89180"</f>
        <v>89180</v>
      </c>
      <c r="H9705">
        <v>1</v>
      </c>
      <c r="I9705">
        <v>381</v>
      </c>
      <c r="J9705">
        <v>0</v>
      </c>
      <c r="K9705" t="str">
        <f t="shared" si="1734"/>
        <v>809</v>
      </c>
      <c r="L9705">
        <v>560.07000000000005</v>
      </c>
    </row>
    <row r="9706" spans="1:12" x14ac:dyDescent="0.25">
      <c r="A9706" t="str">
        <f t="shared" si="1730"/>
        <v>89301000</v>
      </c>
      <c r="B9706" t="str">
        <f t="shared" si="1732"/>
        <v>89383000</v>
      </c>
      <c r="C9706" t="str">
        <f t="shared" si="1733"/>
        <v>89383002</v>
      </c>
      <c r="D9706">
        <v>89301212</v>
      </c>
      <c r="E9706" t="str">
        <f>"7753194152"</f>
        <v>7753194152</v>
      </c>
      <c r="F9706" s="1">
        <v>45161</v>
      </c>
      <c r="G9706" t="str">
        <f>"89512"</f>
        <v>89512</v>
      </c>
      <c r="H9706">
        <v>1</v>
      </c>
      <c r="I9706">
        <v>283</v>
      </c>
      <c r="J9706">
        <v>0</v>
      </c>
      <c r="K9706" t="str">
        <f t="shared" si="1734"/>
        <v>809</v>
      </c>
      <c r="L9706">
        <v>416.01</v>
      </c>
    </row>
    <row r="9707" spans="1:12" x14ac:dyDescent="0.25">
      <c r="A9707" t="str">
        <f t="shared" si="1730"/>
        <v>89301000</v>
      </c>
      <c r="B9707" t="str">
        <f t="shared" si="1732"/>
        <v>89383000</v>
      </c>
      <c r="C9707" t="str">
        <f t="shared" si="1733"/>
        <v>89383002</v>
      </c>
      <c r="D9707">
        <v>89301042</v>
      </c>
      <c r="E9707" t="str">
        <f>"7256244556"</f>
        <v>7256244556</v>
      </c>
      <c r="F9707" s="1">
        <v>45161</v>
      </c>
      <c r="G9707" t="str">
        <f>"89512"</f>
        <v>89512</v>
      </c>
      <c r="H9707">
        <v>1</v>
      </c>
      <c r="I9707">
        <v>283</v>
      </c>
      <c r="J9707">
        <v>0</v>
      </c>
      <c r="K9707" t="str">
        <f t="shared" si="1734"/>
        <v>809</v>
      </c>
      <c r="L9707">
        <v>416.01</v>
      </c>
    </row>
    <row r="9708" spans="1:12" x14ac:dyDescent="0.25">
      <c r="A9708" t="str">
        <f t="shared" si="1730"/>
        <v>89301000</v>
      </c>
      <c r="B9708" t="str">
        <f t="shared" si="1732"/>
        <v>89383000</v>
      </c>
      <c r="C9708" t="str">
        <f t="shared" si="1733"/>
        <v>89383002</v>
      </c>
      <c r="D9708">
        <v>89301212</v>
      </c>
      <c r="E9708" t="str">
        <f>"7756195326"</f>
        <v>7756195326</v>
      </c>
      <c r="F9708" s="1">
        <v>45162</v>
      </c>
      <c r="G9708" t="str">
        <f>"89180"</f>
        <v>89180</v>
      </c>
      <c r="H9708">
        <v>2</v>
      </c>
      <c r="I9708">
        <v>762</v>
      </c>
      <c r="J9708">
        <v>0</v>
      </c>
      <c r="K9708" t="str">
        <f t="shared" si="1734"/>
        <v>809</v>
      </c>
      <c r="L9708">
        <v>1120.1400000000001</v>
      </c>
    </row>
    <row r="9709" spans="1:12" x14ac:dyDescent="0.25">
      <c r="A9709" t="str">
        <f t="shared" si="1730"/>
        <v>89301000</v>
      </c>
      <c r="B9709" t="str">
        <f t="shared" si="1732"/>
        <v>89383000</v>
      </c>
      <c r="C9709" t="str">
        <f t="shared" si="1733"/>
        <v>89383002</v>
      </c>
      <c r="D9709">
        <v>89301212</v>
      </c>
      <c r="E9709" t="str">
        <f>"7756195326"</f>
        <v>7756195326</v>
      </c>
      <c r="F9709" s="1">
        <v>45162</v>
      </c>
      <c r="G9709" t="str">
        <f>"89512"</f>
        <v>89512</v>
      </c>
      <c r="H9709">
        <v>1</v>
      </c>
      <c r="I9709">
        <v>283</v>
      </c>
      <c r="J9709">
        <v>0</v>
      </c>
      <c r="K9709" t="str">
        <f t="shared" si="1734"/>
        <v>809</v>
      </c>
      <c r="L9709">
        <v>416.01</v>
      </c>
    </row>
    <row r="9710" spans="1:12" x14ac:dyDescent="0.25">
      <c r="A9710" t="str">
        <f t="shared" si="1730"/>
        <v>89301000</v>
      </c>
      <c r="B9710" t="str">
        <f t="shared" si="1732"/>
        <v>89383000</v>
      </c>
      <c r="C9710" t="str">
        <f t="shared" si="1733"/>
        <v>89383002</v>
      </c>
      <c r="D9710">
        <v>89301212</v>
      </c>
      <c r="E9710" t="str">
        <f>"7756195326"</f>
        <v>7756195326</v>
      </c>
      <c r="F9710" s="1">
        <v>45162</v>
      </c>
      <c r="G9710" t="str">
        <f>"89513"</f>
        <v>89513</v>
      </c>
      <c r="H9710">
        <v>1</v>
      </c>
      <c r="I9710">
        <v>378</v>
      </c>
      <c r="J9710">
        <v>0</v>
      </c>
      <c r="K9710" t="str">
        <f t="shared" si="1734"/>
        <v>809</v>
      </c>
      <c r="L9710">
        <v>555.66</v>
      </c>
    </row>
    <row r="9711" spans="1:12" x14ac:dyDescent="0.25">
      <c r="A9711" t="str">
        <f t="shared" si="1730"/>
        <v>89301000</v>
      </c>
      <c r="B9711" t="str">
        <f t="shared" si="1732"/>
        <v>89383000</v>
      </c>
      <c r="C9711" t="str">
        <f t="shared" si="1733"/>
        <v>89383002</v>
      </c>
      <c r="D9711">
        <v>89301212</v>
      </c>
      <c r="E9711" t="str">
        <f>"7756195326"</f>
        <v>7756195326</v>
      </c>
      <c r="F9711" s="1">
        <v>45162</v>
      </c>
      <c r="G9711" t="str">
        <f>"89514"</f>
        <v>89514</v>
      </c>
      <c r="H9711">
        <v>1</v>
      </c>
      <c r="I9711">
        <v>378</v>
      </c>
      <c r="J9711">
        <v>0</v>
      </c>
      <c r="K9711" t="str">
        <f t="shared" si="1734"/>
        <v>809</v>
      </c>
      <c r="L9711">
        <v>555.66</v>
      </c>
    </row>
    <row r="9712" spans="1:12" x14ac:dyDescent="0.25">
      <c r="A9712" t="str">
        <f t="shared" si="1730"/>
        <v>89301000</v>
      </c>
      <c r="B9712" t="str">
        <f t="shared" si="1732"/>
        <v>89383000</v>
      </c>
      <c r="C9712" t="str">
        <f t="shared" si="1733"/>
        <v>89383002</v>
      </c>
      <c r="D9712">
        <v>89301212</v>
      </c>
      <c r="E9712" t="str">
        <f>"5655082444"</f>
        <v>5655082444</v>
      </c>
      <c r="F9712" s="1">
        <v>45162</v>
      </c>
      <c r="G9712" t="str">
        <f>"89512"</f>
        <v>89512</v>
      </c>
      <c r="H9712">
        <v>1</v>
      </c>
      <c r="I9712">
        <v>283</v>
      </c>
      <c r="J9712">
        <v>0</v>
      </c>
      <c r="K9712" t="str">
        <f t="shared" si="1734"/>
        <v>809</v>
      </c>
      <c r="L9712">
        <v>416.01</v>
      </c>
    </row>
    <row r="9713" spans="1:12" x14ac:dyDescent="0.25">
      <c r="A9713" t="str">
        <f t="shared" si="1730"/>
        <v>89301000</v>
      </c>
      <c r="B9713" t="str">
        <f t="shared" si="1732"/>
        <v>89383000</v>
      </c>
      <c r="C9713" t="str">
        <f t="shared" si="1733"/>
        <v>89383002</v>
      </c>
      <c r="D9713">
        <v>89301212</v>
      </c>
      <c r="E9713" t="str">
        <f>"8359135697"</f>
        <v>8359135697</v>
      </c>
      <c r="F9713" s="1">
        <v>45166</v>
      </c>
      <c r="G9713" t="str">
        <f>"89180"</f>
        <v>89180</v>
      </c>
      <c r="H9713">
        <v>2</v>
      </c>
      <c r="I9713">
        <v>762</v>
      </c>
      <c r="J9713">
        <v>0</v>
      </c>
      <c r="K9713" t="str">
        <f t="shared" si="1734"/>
        <v>809</v>
      </c>
      <c r="L9713">
        <v>1120.1400000000001</v>
      </c>
    </row>
    <row r="9714" spans="1:12" x14ac:dyDescent="0.25">
      <c r="A9714" t="str">
        <f t="shared" si="1730"/>
        <v>89301000</v>
      </c>
      <c r="B9714" t="str">
        <f t="shared" si="1732"/>
        <v>89383000</v>
      </c>
      <c r="C9714" t="str">
        <f t="shared" si="1733"/>
        <v>89383002</v>
      </c>
      <c r="D9714">
        <v>89301212</v>
      </c>
      <c r="E9714" t="str">
        <f>"8359135697"</f>
        <v>8359135697</v>
      </c>
      <c r="F9714" s="1">
        <v>45166</v>
      </c>
      <c r="G9714" t="str">
        <f>"89512"</f>
        <v>89512</v>
      </c>
      <c r="H9714">
        <v>1</v>
      </c>
      <c r="I9714">
        <v>283</v>
      </c>
      <c r="J9714">
        <v>0</v>
      </c>
      <c r="K9714" t="str">
        <f t="shared" si="1734"/>
        <v>809</v>
      </c>
      <c r="L9714">
        <v>416.01</v>
      </c>
    </row>
    <row r="9715" spans="1:12" x14ac:dyDescent="0.25">
      <c r="A9715" t="str">
        <f t="shared" si="1730"/>
        <v>89301000</v>
      </c>
      <c r="B9715" t="str">
        <f t="shared" si="1732"/>
        <v>89383000</v>
      </c>
      <c r="C9715" t="str">
        <f t="shared" si="1733"/>
        <v>89383002</v>
      </c>
      <c r="D9715">
        <v>89301212</v>
      </c>
      <c r="E9715" t="str">
        <f>"8359135697"</f>
        <v>8359135697</v>
      </c>
      <c r="F9715" s="1">
        <v>45166</v>
      </c>
      <c r="G9715" t="str">
        <f>"89513"</f>
        <v>89513</v>
      </c>
      <c r="H9715">
        <v>1</v>
      </c>
      <c r="I9715">
        <v>378</v>
      </c>
      <c r="J9715">
        <v>0</v>
      </c>
      <c r="K9715" t="str">
        <f t="shared" si="1734"/>
        <v>809</v>
      </c>
      <c r="L9715">
        <v>555.66</v>
      </c>
    </row>
    <row r="9716" spans="1:12" x14ac:dyDescent="0.25">
      <c r="A9716" t="str">
        <f t="shared" si="1730"/>
        <v>89301000</v>
      </c>
      <c r="B9716" t="str">
        <f t="shared" si="1732"/>
        <v>89383000</v>
      </c>
      <c r="C9716" t="str">
        <f t="shared" si="1733"/>
        <v>89383002</v>
      </c>
      <c r="D9716">
        <v>89301212</v>
      </c>
      <c r="E9716" t="str">
        <f>"8359135697"</f>
        <v>8359135697</v>
      </c>
      <c r="F9716" s="1">
        <v>45166</v>
      </c>
      <c r="G9716" t="str">
        <f>"89514"</f>
        <v>89514</v>
      </c>
      <c r="H9716">
        <v>1</v>
      </c>
      <c r="I9716">
        <v>378</v>
      </c>
      <c r="J9716">
        <v>0</v>
      </c>
      <c r="K9716" t="str">
        <f t="shared" si="1734"/>
        <v>809</v>
      </c>
      <c r="L9716">
        <v>555.66</v>
      </c>
    </row>
    <row r="9717" spans="1:12" x14ac:dyDescent="0.25">
      <c r="A9717" t="str">
        <f t="shared" si="1730"/>
        <v>89301000</v>
      </c>
      <c r="B9717" t="str">
        <f t="shared" ref="B9717:B9744" si="1735">"89383000"</f>
        <v>89383000</v>
      </c>
      <c r="C9717" t="str">
        <f t="shared" ref="C9717:C9744" si="1736">"89383002"</f>
        <v>89383002</v>
      </c>
      <c r="D9717">
        <v>89301215</v>
      </c>
      <c r="E9717" t="str">
        <f>"406118430"</f>
        <v>406118430</v>
      </c>
      <c r="F9717" s="1">
        <v>45166</v>
      </c>
      <c r="G9717" t="str">
        <f>"89513"</f>
        <v>89513</v>
      </c>
      <c r="H9717">
        <v>1</v>
      </c>
      <c r="I9717">
        <v>378</v>
      </c>
      <c r="J9717">
        <v>0</v>
      </c>
      <c r="K9717" t="str">
        <f t="shared" ref="K9717:K9744" si="1737">"809"</f>
        <v>809</v>
      </c>
      <c r="L9717">
        <v>555.66</v>
      </c>
    </row>
    <row r="9718" spans="1:12" x14ac:dyDescent="0.25">
      <c r="A9718" t="str">
        <f t="shared" si="1730"/>
        <v>89301000</v>
      </c>
      <c r="B9718" t="str">
        <f t="shared" si="1735"/>
        <v>89383000</v>
      </c>
      <c r="C9718" t="str">
        <f t="shared" si="1736"/>
        <v>89383002</v>
      </c>
      <c r="D9718">
        <v>89301215</v>
      </c>
      <c r="E9718" t="str">
        <f>"406118430"</f>
        <v>406118430</v>
      </c>
      <c r="F9718" s="1">
        <v>45166</v>
      </c>
      <c r="G9718" t="str">
        <f>"89514"</f>
        <v>89514</v>
      </c>
      <c r="H9718">
        <v>1</v>
      </c>
      <c r="I9718">
        <v>378</v>
      </c>
      <c r="J9718">
        <v>0</v>
      </c>
      <c r="K9718" t="str">
        <f t="shared" si="1737"/>
        <v>809</v>
      </c>
      <c r="L9718">
        <v>555.66</v>
      </c>
    </row>
    <row r="9719" spans="1:12" x14ac:dyDescent="0.25">
      <c r="A9719" t="str">
        <f t="shared" si="1730"/>
        <v>89301000</v>
      </c>
      <c r="B9719" t="str">
        <f t="shared" si="1735"/>
        <v>89383000</v>
      </c>
      <c r="C9719" t="str">
        <f t="shared" si="1736"/>
        <v>89383002</v>
      </c>
      <c r="D9719">
        <v>89301045</v>
      </c>
      <c r="E9719" t="str">
        <f>"535323114"</f>
        <v>535323114</v>
      </c>
      <c r="F9719" s="1">
        <v>45168</v>
      </c>
      <c r="G9719" t="str">
        <f>"89313"</f>
        <v>89313</v>
      </c>
      <c r="H9719">
        <v>1</v>
      </c>
      <c r="I9719">
        <v>420</v>
      </c>
      <c r="J9719">
        <v>0</v>
      </c>
      <c r="K9719" t="str">
        <f t="shared" si="1737"/>
        <v>809</v>
      </c>
      <c r="L9719">
        <v>617.4</v>
      </c>
    </row>
    <row r="9720" spans="1:12" x14ac:dyDescent="0.25">
      <c r="A9720" t="str">
        <f t="shared" si="1730"/>
        <v>89301000</v>
      </c>
      <c r="B9720" t="str">
        <f t="shared" si="1735"/>
        <v>89383000</v>
      </c>
      <c r="C9720" t="str">
        <f t="shared" si="1736"/>
        <v>89383002</v>
      </c>
      <c r="D9720">
        <v>89301045</v>
      </c>
      <c r="E9720" t="str">
        <f>"535323114"</f>
        <v>535323114</v>
      </c>
      <c r="F9720" s="1">
        <v>45168</v>
      </c>
      <c r="G9720" t="str">
        <f>"09233"</f>
        <v>09233</v>
      </c>
      <c r="H9720">
        <v>1</v>
      </c>
      <c r="I9720">
        <v>102</v>
      </c>
      <c r="J9720">
        <v>0</v>
      </c>
      <c r="K9720" t="str">
        <f t="shared" si="1737"/>
        <v>809</v>
      </c>
      <c r="L9720">
        <v>149.94</v>
      </c>
    </row>
    <row r="9721" spans="1:12" x14ac:dyDescent="0.25">
      <c r="A9721" t="str">
        <f t="shared" si="1730"/>
        <v>89301000</v>
      </c>
      <c r="B9721" t="str">
        <f t="shared" si="1735"/>
        <v>89383000</v>
      </c>
      <c r="C9721" t="str">
        <f t="shared" si="1736"/>
        <v>89383002</v>
      </c>
      <c r="D9721">
        <v>89301045</v>
      </c>
      <c r="E9721" t="str">
        <f>"535323114"</f>
        <v>535323114</v>
      </c>
      <c r="F9721" s="1">
        <v>45168</v>
      </c>
      <c r="G9721" t="str">
        <f>"89512"</f>
        <v>89512</v>
      </c>
      <c r="H9721">
        <v>1</v>
      </c>
      <c r="I9721">
        <v>283</v>
      </c>
      <c r="J9721">
        <v>0</v>
      </c>
      <c r="K9721" t="str">
        <f t="shared" si="1737"/>
        <v>809</v>
      </c>
      <c r="L9721">
        <v>416.01</v>
      </c>
    </row>
    <row r="9722" spans="1:12" x14ac:dyDescent="0.25">
      <c r="A9722" t="str">
        <f t="shared" si="1730"/>
        <v>89301000</v>
      </c>
      <c r="B9722" t="str">
        <f t="shared" si="1735"/>
        <v>89383000</v>
      </c>
      <c r="C9722" t="str">
        <f t="shared" si="1736"/>
        <v>89383002</v>
      </c>
      <c r="D9722">
        <v>89301045</v>
      </c>
      <c r="E9722" t="str">
        <f>"535323114"</f>
        <v>535323114</v>
      </c>
      <c r="F9722" s="1">
        <v>45168</v>
      </c>
      <c r="G9722" t="str">
        <f>"0093109"</f>
        <v>0093109</v>
      </c>
      <c r="H9722">
        <v>0.05</v>
      </c>
      <c r="J9722">
        <v>13.55</v>
      </c>
      <c r="K9722" t="str">
        <f t="shared" si="1737"/>
        <v>809</v>
      </c>
      <c r="L9722">
        <v>13.55</v>
      </c>
    </row>
    <row r="9723" spans="1:12" x14ac:dyDescent="0.25">
      <c r="A9723" t="str">
        <f t="shared" si="1730"/>
        <v>89301000</v>
      </c>
      <c r="B9723" t="str">
        <f t="shared" si="1735"/>
        <v>89383000</v>
      </c>
      <c r="C9723" t="str">
        <f t="shared" si="1736"/>
        <v>89383002</v>
      </c>
      <c r="D9723">
        <v>89301045</v>
      </c>
      <c r="E9723" t="str">
        <f>"535323114"</f>
        <v>535323114</v>
      </c>
      <c r="F9723" s="1">
        <v>45168</v>
      </c>
      <c r="G9723" t="str">
        <f>"0142906"</f>
        <v>0142906</v>
      </c>
      <c r="H9723">
        <v>1</v>
      </c>
      <c r="J9723">
        <v>6990</v>
      </c>
      <c r="K9723" t="str">
        <f t="shared" si="1737"/>
        <v>809</v>
      </c>
      <c r="L9723">
        <v>6990</v>
      </c>
    </row>
    <row r="9724" spans="1:12" x14ac:dyDescent="0.25">
      <c r="A9724" t="str">
        <f t="shared" si="1730"/>
        <v>89301000</v>
      </c>
      <c r="B9724" t="str">
        <f t="shared" si="1735"/>
        <v>89383000</v>
      </c>
      <c r="C9724" t="str">
        <f t="shared" si="1736"/>
        <v>89383002</v>
      </c>
      <c r="D9724">
        <v>89301215</v>
      </c>
      <c r="E9724" t="str">
        <f>"426207426"</f>
        <v>426207426</v>
      </c>
      <c r="F9724" s="1">
        <v>45166</v>
      </c>
      <c r="G9724" t="str">
        <f>"89513"</f>
        <v>89513</v>
      </c>
      <c r="H9724">
        <v>1</v>
      </c>
      <c r="I9724">
        <v>378</v>
      </c>
      <c r="J9724">
        <v>0</v>
      </c>
      <c r="K9724" t="str">
        <f t="shared" si="1737"/>
        <v>809</v>
      </c>
      <c r="L9724">
        <v>555.66</v>
      </c>
    </row>
    <row r="9725" spans="1:12" x14ac:dyDescent="0.25">
      <c r="A9725" t="str">
        <f t="shared" si="1730"/>
        <v>89301000</v>
      </c>
      <c r="B9725" t="str">
        <f t="shared" si="1735"/>
        <v>89383000</v>
      </c>
      <c r="C9725" t="str">
        <f t="shared" si="1736"/>
        <v>89383002</v>
      </c>
      <c r="D9725">
        <v>89301215</v>
      </c>
      <c r="E9725" t="str">
        <f>"426207426"</f>
        <v>426207426</v>
      </c>
      <c r="F9725" s="1">
        <v>45166</v>
      </c>
      <c r="G9725" t="str">
        <f>"89514"</f>
        <v>89514</v>
      </c>
      <c r="H9725">
        <v>1</v>
      </c>
      <c r="I9725">
        <v>378</v>
      </c>
      <c r="J9725">
        <v>0</v>
      </c>
      <c r="K9725" t="str">
        <f t="shared" si="1737"/>
        <v>809</v>
      </c>
      <c r="L9725">
        <v>555.66</v>
      </c>
    </row>
    <row r="9726" spans="1:12" x14ac:dyDescent="0.25">
      <c r="A9726" t="str">
        <f t="shared" si="1730"/>
        <v>89301000</v>
      </c>
      <c r="B9726" t="str">
        <f t="shared" si="1735"/>
        <v>89383000</v>
      </c>
      <c r="C9726" t="str">
        <f t="shared" si="1736"/>
        <v>89383002</v>
      </c>
      <c r="D9726">
        <v>89301212</v>
      </c>
      <c r="E9726" t="str">
        <f>"7860084936"</f>
        <v>7860084936</v>
      </c>
      <c r="F9726" s="1">
        <v>45169</v>
      </c>
      <c r="G9726" t="str">
        <f>"89512"</f>
        <v>89512</v>
      </c>
      <c r="H9726">
        <v>1</v>
      </c>
      <c r="I9726">
        <v>283</v>
      </c>
      <c r="J9726">
        <v>0</v>
      </c>
      <c r="K9726" t="str">
        <f t="shared" si="1737"/>
        <v>809</v>
      </c>
      <c r="L9726">
        <v>416.01</v>
      </c>
    </row>
    <row r="9727" spans="1:12" x14ac:dyDescent="0.25">
      <c r="A9727" t="str">
        <f t="shared" si="1730"/>
        <v>89301000</v>
      </c>
      <c r="B9727" t="str">
        <f t="shared" si="1735"/>
        <v>89383000</v>
      </c>
      <c r="C9727" t="str">
        <f t="shared" si="1736"/>
        <v>89383002</v>
      </c>
      <c r="D9727">
        <v>89301212</v>
      </c>
      <c r="E9727" t="str">
        <f>"7860084936"</f>
        <v>7860084936</v>
      </c>
      <c r="F9727" s="1">
        <v>45169</v>
      </c>
      <c r="G9727" t="str">
        <f>"89513"</f>
        <v>89513</v>
      </c>
      <c r="H9727">
        <v>1</v>
      </c>
      <c r="I9727">
        <v>378</v>
      </c>
      <c r="J9727">
        <v>0</v>
      </c>
      <c r="K9727" t="str">
        <f t="shared" si="1737"/>
        <v>809</v>
      </c>
      <c r="L9727">
        <v>555.66</v>
      </c>
    </row>
    <row r="9728" spans="1:12" x14ac:dyDescent="0.25">
      <c r="A9728" t="str">
        <f t="shared" si="1730"/>
        <v>89301000</v>
      </c>
      <c r="B9728" t="str">
        <f t="shared" si="1735"/>
        <v>89383000</v>
      </c>
      <c r="C9728" t="str">
        <f t="shared" si="1736"/>
        <v>89383002</v>
      </c>
      <c r="D9728">
        <v>89301212</v>
      </c>
      <c r="E9728" t="str">
        <f>"7860084936"</f>
        <v>7860084936</v>
      </c>
      <c r="F9728" s="1">
        <v>45169</v>
      </c>
      <c r="G9728" t="str">
        <f>"89514"</f>
        <v>89514</v>
      </c>
      <c r="H9728">
        <v>1</v>
      </c>
      <c r="I9728">
        <v>378</v>
      </c>
      <c r="J9728">
        <v>0</v>
      </c>
      <c r="K9728" t="str">
        <f t="shared" si="1737"/>
        <v>809</v>
      </c>
      <c r="L9728">
        <v>555.66</v>
      </c>
    </row>
    <row r="9729" spans="1:12" x14ac:dyDescent="0.25">
      <c r="A9729" t="str">
        <f t="shared" si="1730"/>
        <v>89301000</v>
      </c>
      <c r="B9729" t="str">
        <f t="shared" si="1735"/>
        <v>89383000</v>
      </c>
      <c r="C9729" t="str">
        <f t="shared" si="1736"/>
        <v>89383002</v>
      </c>
      <c r="D9729">
        <v>89301292</v>
      </c>
      <c r="E9729" t="str">
        <f>"8056215310"</f>
        <v>8056215310</v>
      </c>
      <c r="F9729" s="1">
        <v>45169</v>
      </c>
      <c r="G9729" t="str">
        <f>"89180"</f>
        <v>89180</v>
      </c>
      <c r="H9729">
        <v>2</v>
      </c>
      <c r="I9729">
        <v>762</v>
      </c>
      <c r="J9729">
        <v>0</v>
      </c>
      <c r="K9729" t="str">
        <f t="shared" si="1737"/>
        <v>809</v>
      </c>
      <c r="L9729">
        <v>1120.1400000000001</v>
      </c>
    </row>
    <row r="9730" spans="1:12" x14ac:dyDescent="0.25">
      <c r="A9730" t="str">
        <f t="shared" ref="A9730:A9793" si="1738">"89301000"</f>
        <v>89301000</v>
      </c>
      <c r="B9730" t="str">
        <f t="shared" si="1735"/>
        <v>89383000</v>
      </c>
      <c r="C9730" t="str">
        <f t="shared" si="1736"/>
        <v>89383002</v>
      </c>
      <c r="D9730">
        <v>89301292</v>
      </c>
      <c r="E9730" t="str">
        <f>"8056215310"</f>
        <v>8056215310</v>
      </c>
      <c r="F9730" s="1">
        <v>45169</v>
      </c>
      <c r="G9730" t="str">
        <f>"89512"</f>
        <v>89512</v>
      </c>
      <c r="H9730">
        <v>1</v>
      </c>
      <c r="I9730">
        <v>283</v>
      </c>
      <c r="J9730">
        <v>0</v>
      </c>
      <c r="K9730" t="str">
        <f t="shared" si="1737"/>
        <v>809</v>
      </c>
      <c r="L9730">
        <v>416.01</v>
      </c>
    </row>
    <row r="9731" spans="1:12" x14ac:dyDescent="0.25">
      <c r="A9731" t="str">
        <f t="shared" si="1738"/>
        <v>89301000</v>
      </c>
      <c r="B9731" t="str">
        <f t="shared" si="1735"/>
        <v>89383000</v>
      </c>
      <c r="C9731" t="str">
        <f t="shared" si="1736"/>
        <v>89383002</v>
      </c>
      <c r="D9731">
        <v>89301215</v>
      </c>
      <c r="E9731" t="str">
        <f t="shared" ref="E9731:E9738" si="1739">"426207426"</f>
        <v>426207426</v>
      </c>
      <c r="F9731" s="1">
        <v>45168</v>
      </c>
      <c r="G9731" t="str">
        <f>"89313"</f>
        <v>89313</v>
      </c>
      <c r="H9731">
        <v>1</v>
      </c>
      <c r="I9731">
        <v>420</v>
      </c>
      <c r="J9731">
        <v>0</v>
      </c>
      <c r="K9731" t="str">
        <f t="shared" si="1737"/>
        <v>809</v>
      </c>
      <c r="L9731">
        <v>617.4</v>
      </c>
    </row>
    <row r="9732" spans="1:12" x14ac:dyDescent="0.25">
      <c r="A9732" t="str">
        <f t="shared" si="1738"/>
        <v>89301000</v>
      </c>
      <c r="B9732" t="str">
        <f t="shared" si="1735"/>
        <v>89383000</v>
      </c>
      <c r="C9732" t="str">
        <f t="shared" si="1736"/>
        <v>89383002</v>
      </c>
      <c r="D9732">
        <v>89301215</v>
      </c>
      <c r="E9732" t="str">
        <f t="shared" si="1739"/>
        <v>426207426</v>
      </c>
      <c r="F9732" s="1">
        <v>45168</v>
      </c>
      <c r="G9732" t="str">
        <f>"09233"</f>
        <v>09233</v>
      </c>
      <c r="H9732">
        <v>1</v>
      </c>
      <c r="I9732">
        <v>102</v>
      </c>
      <c r="J9732">
        <v>0</v>
      </c>
      <c r="K9732" t="str">
        <f t="shared" si="1737"/>
        <v>809</v>
      </c>
      <c r="L9732">
        <v>149.94</v>
      </c>
    </row>
    <row r="9733" spans="1:12" x14ac:dyDescent="0.25">
      <c r="A9733" t="str">
        <f t="shared" si="1738"/>
        <v>89301000</v>
      </c>
      <c r="B9733" t="str">
        <f t="shared" si="1735"/>
        <v>89383000</v>
      </c>
      <c r="C9733" t="str">
        <f t="shared" si="1736"/>
        <v>89383002</v>
      </c>
      <c r="D9733">
        <v>89301215</v>
      </c>
      <c r="E9733" t="str">
        <f t="shared" si="1739"/>
        <v>426207426</v>
      </c>
      <c r="F9733" s="1">
        <v>45168</v>
      </c>
      <c r="G9733" t="str">
        <f>"89515"</f>
        <v>89515</v>
      </c>
      <c r="H9733">
        <v>1</v>
      </c>
      <c r="I9733">
        <v>347</v>
      </c>
      <c r="J9733">
        <v>0</v>
      </c>
      <c r="K9733" t="str">
        <f t="shared" si="1737"/>
        <v>809</v>
      </c>
      <c r="L9733">
        <v>510.09</v>
      </c>
    </row>
    <row r="9734" spans="1:12" x14ac:dyDescent="0.25">
      <c r="A9734" t="str">
        <f t="shared" si="1738"/>
        <v>89301000</v>
      </c>
      <c r="B9734" t="str">
        <f t="shared" si="1735"/>
        <v>89383000</v>
      </c>
      <c r="C9734" t="str">
        <f t="shared" si="1736"/>
        <v>89383002</v>
      </c>
      <c r="D9734">
        <v>89301215</v>
      </c>
      <c r="E9734" t="str">
        <f t="shared" si="1739"/>
        <v>426207426</v>
      </c>
      <c r="F9734" s="1">
        <v>45168</v>
      </c>
      <c r="G9734" t="str">
        <f>"89512"</f>
        <v>89512</v>
      </c>
      <c r="H9734">
        <v>1</v>
      </c>
      <c r="I9734">
        <v>283</v>
      </c>
      <c r="J9734">
        <v>0</v>
      </c>
      <c r="K9734" t="str">
        <f t="shared" si="1737"/>
        <v>809</v>
      </c>
      <c r="L9734">
        <v>416.01</v>
      </c>
    </row>
    <row r="9735" spans="1:12" x14ac:dyDescent="0.25">
      <c r="A9735" t="str">
        <f t="shared" si="1738"/>
        <v>89301000</v>
      </c>
      <c r="B9735" t="str">
        <f t="shared" si="1735"/>
        <v>89383000</v>
      </c>
      <c r="C9735" t="str">
        <f t="shared" si="1736"/>
        <v>89383002</v>
      </c>
      <c r="D9735">
        <v>89301215</v>
      </c>
      <c r="E9735" t="str">
        <f t="shared" si="1739"/>
        <v>426207426</v>
      </c>
      <c r="F9735" s="1">
        <v>45168</v>
      </c>
      <c r="G9735" t="str">
        <f>"09572"</f>
        <v>09572</v>
      </c>
      <c r="H9735">
        <v>1</v>
      </c>
      <c r="I9735">
        <v>0</v>
      </c>
      <c r="J9735">
        <v>0</v>
      </c>
      <c r="K9735" t="str">
        <f t="shared" si="1737"/>
        <v>809</v>
      </c>
      <c r="L9735">
        <v>0</v>
      </c>
    </row>
    <row r="9736" spans="1:12" x14ac:dyDescent="0.25">
      <c r="A9736" t="str">
        <f t="shared" si="1738"/>
        <v>89301000</v>
      </c>
      <c r="B9736" t="str">
        <f t="shared" si="1735"/>
        <v>89383000</v>
      </c>
      <c r="C9736" t="str">
        <f t="shared" si="1736"/>
        <v>89383002</v>
      </c>
      <c r="D9736">
        <v>89301215</v>
      </c>
      <c r="E9736" t="str">
        <f t="shared" si="1739"/>
        <v>426207426</v>
      </c>
      <c r="F9736" s="1">
        <v>45168</v>
      </c>
      <c r="G9736" t="str">
        <f>"0093109"</f>
        <v>0093109</v>
      </c>
      <c r="H9736">
        <v>0.02</v>
      </c>
      <c r="J9736">
        <v>5.42</v>
      </c>
      <c r="K9736" t="str">
        <f t="shared" si="1737"/>
        <v>809</v>
      </c>
      <c r="L9736">
        <v>5.42</v>
      </c>
    </row>
    <row r="9737" spans="1:12" x14ac:dyDescent="0.25">
      <c r="A9737" t="str">
        <f t="shared" si="1738"/>
        <v>89301000</v>
      </c>
      <c r="B9737" t="str">
        <f t="shared" si="1735"/>
        <v>89383000</v>
      </c>
      <c r="C9737" t="str">
        <f t="shared" si="1736"/>
        <v>89383002</v>
      </c>
      <c r="D9737">
        <v>89301215</v>
      </c>
      <c r="E9737" t="str">
        <f t="shared" si="1739"/>
        <v>426207426</v>
      </c>
      <c r="F9737" s="1">
        <v>45168</v>
      </c>
      <c r="G9737" t="str">
        <f>"0142908"</f>
        <v>0142908</v>
      </c>
      <c r="H9737">
        <v>1</v>
      </c>
      <c r="J9737">
        <v>910</v>
      </c>
      <c r="K9737" t="str">
        <f t="shared" si="1737"/>
        <v>809</v>
      </c>
      <c r="L9737">
        <v>910</v>
      </c>
    </row>
    <row r="9738" spans="1:12" x14ac:dyDescent="0.25">
      <c r="A9738" t="str">
        <f t="shared" si="1738"/>
        <v>89301000</v>
      </c>
      <c r="B9738" t="str">
        <f t="shared" si="1735"/>
        <v>89383000</v>
      </c>
      <c r="C9738" t="str">
        <f t="shared" si="1736"/>
        <v>89383002</v>
      </c>
      <c r="D9738">
        <v>89301215</v>
      </c>
      <c r="E9738" t="str">
        <f t="shared" si="1739"/>
        <v>426207426</v>
      </c>
      <c r="F9738" s="1">
        <v>45168</v>
      </c>
      <c r="G9738" t="str">
        <f>"0082502"</f>
        <v>0082502</v>
      </c>
      <c r="H9738">
        <v>2</v>
      </c>
      <c r="J9738">
        <v>4520.3999999999996</v>
      </c>
      <c r="K9738" t="str">
        <f t="shared" si="1737"/>
        <v>809</v>
      </c>
      <c r="L9738">
        <v>4520.3999999999996</v>
      </c>
    </row>
    <row r="9739" spans="1:12" x14ac:dyDescent="0.25">
      <c r="A9739" t="str">
        <f t="shared" si="1738"/>
        <v>89301000</v>
      </c>
      <c r="B9739" t="str">
        <f t="shared" si="1735"/>
        <v>89383000</v>
      </c>
      <c r="C9739" t="str">
        <f t="shared" si="1736"/>
        <v>89383002</v>
      </c>
      <c r="D9739">
        <v>89301045</v>
      </c>
      <c r="E9739" t="str">
        <f t="shared" ref="E9739:E9744" si="1740">"486005156"</f>
        <v>486005156</v>
      </c>
      <c r="F9739" s="1">
        <v>45169</v>
      </c>
      <c r="G9739" t="str">
        <f>"89313"</f>
        <v>89313</v>
      </c>
      <c r="H9739">
        <v>1</v>
      </c>
      <c r="I9739">
        <v>420</v>
      </c>
      <c r="J9739">
        <v>0</v>
      </c>
      <c r="K9739" t="str">
        <f t="shared" si="1737"/>
        <v>809</v>
      </c>
      <c r="L9739">
        <v>617.4</v>
      </c>
    </row>
    <row r="9740" spans="1:12" x14ac:dyDescent="0.25">
      <c r="A9740" t="str">
        <f t="shared" si="1738"/>
        <v>89301000</v>
      </c>
      <c r="B9740" t="str">
        <f t="shared" si="1735"/>
        <v>89383000</v>
      </c>
      <c r="C9740" t="str">
        <f t="shared" si="1736"/>
        <v>89383002</v>
      </c>
      <c r="D9740">
        <v>89301045</v>
      </c>
      <c r="E9740" t="str">
        <f t="shared" si="1740"/>
        <v>486005156</v>
      </c>
      <c r="F9740" s="1">
        <v>45169</v>
      </c>
      <c r="G9740" t="str">
        <f>"09233"</f>
        <v>09233</v>
      </c>
      <c r="H9740">
        <v>1</v>
      </c>
      <c r="I9740">
        <v>102</v>
      </c>
      <c r="J9740">
        <v>0</v>
      </c>
      <c r="K9740" t="str">
        <f t="shared" si="1737"/>
        <v>809</v>
      </c>
      <c r="L9740">
        <v>149.94</v>
      </c>
    </row>
    <row r="9741" spans="1:12" x14ac:dyDescent="0.25">
      <c r="A9741" t="str">
        <f t="shared" si="1738"/>
        <v>89301000</v>
      </c>
      <c r="B9741" t="str">
        <f t="shared" si="1735"/>
        <v>89383000</v>
      </c>
      <c r="C9741" t="str">
        <f t="shared" si="1736"/>
        <v>89383002</v>
      </c>
      <c r="D9741">
        <v>89301045</v>
      </c>
      <c r="E9741" t="str">
        <f t="shared" si="1740"/>
        <v>486005156</v>
      </c>
      <c r="F9741" s="1">
        <v>45169</v>
      </c>
      <c r="G9741" t="str">
        <f>"89512"</f>
        <v>89512</v>
      </c>
      <c r="H9741">
        <v>1</v>
      </c>
      <c r="I9741">
        <v>283</v>
      </c>
      <c r="J9741">
        <v>0</v>
      </c>
      <c r="K9741" t="str">
        <f t="shared" si="1737"/>
        <v>809</v>
      </c>
      <c r="L9741">
        <v>416.01</v>
      </c>
    </row>
    <row r="9742" spans="1:12" x14ac:dyDescent="0.25">
      <c r="A9742" t="str">
        <f t="shared" si="1738"/>
        <v>89301000</v>
      </c>
      <c r="B9742" t="str">
        <f t="shared" si="1735"/>
        <v>89383000</v>
      </c>
      <c r="C9742" t="str">
        <f t="shared" si="1736"/>
        <v>89383002</v>
      </c>
      <c r="D9742">
        <v>89301045</v>
      </c>
      <c r="E9742" t="str">
        <f t="shared" si="1740"/>
        <v>486005156</v>
      </c>
      <c r="F9742" s="1">
        <v>45169</v>
      </c>
      <c r="G9742" t="str">
        <f>"89180"</f>
        <v>89180</v>
      </c>
      <c r="H9742">
        <v>1</v>
      </c>
      <c r="I9742">
        <v>381</v>
      </c>
      <c r="J9742">
        <v>0</v>
      </c>
      <c r="K9742" t="str">
        <f t="shared" si="1737"/>
        <v>809</v>
      </c>
      <c r="L9742">
        <v>560.07000000000005</v>
      </c>
    </row>
    <row r="9743" spans="1:12" x14ac:dyDescent="0.25">
      <c r="A9743" t="str">
        <f t="shared" si="1738"/>
        <v>89301000</v>
      </c>
      <c r="B9743" t="str">
        <f t="shared" si="1735"/>
        <v>89383000</v>
      </c>
      <c r="C9743" t="str">
        <f t="shared" si="1736"/>
        <v>89383002</v>
      </c>
      <c r="D9743">
        <v>89301045</v>
      </c>
      <c r="E9743" t="str">
        <f t="shared" si="1740"/>
        <v>486005156</v>
      </c>
      <c r="F9743" s="1">
        <v>45169</v>
      </c>
      <c r="G9743" t="str">
        <f>"0093109"</f>
        <v>0093109</v>
      </c>
      <c r="H9743">
        <v>0.02</v>
      </c>
      <c r="J9743">
        <v>5.42</v>
      </c>
      <c r="K9743" t="str">
        <f t="shared" si="1737"/>
        <v>809</v>
      </c>
      <c r="L9743">
        <v>5.42</v>
      </c>
    </row>
    <row r="9744" spans="1:12" x14ac:dyDescent="0.25">
      <c r="A9744" t="str">
        <f t="shared" si="1738"/>
        <v>89301000</v>
      </c>
      <c r="B9744" t="str">
        <f t="shared" si="1735"/>
        <v>89383000</v>
      </c>
      <c r="C9744" t="str">
        <f t="shared" si="1736"/>
        <v>89383002</v>
      </c>
      <c r="D9744">
        <v>89301045</v>
      </c>
      <c r="E9744" t="str">
        <f t="shared" si="1740"/>
        <v>486005156</v>
      </c>
      <c r="F9744" s="1">
        <v>45169</v>
      </c>
      <c r="G9744" t="str">
        <f>"0142906"</f>
        <v>0142906</v>
      </c>
      <c r="H9744">
        <v>1</v>
      </c>
      <c r="J9744">
        <v>6990</v>
      </c>
      <c r="K9744" t="str">
        <f t="shared" si="1737"/>
        <v>809</v>
      </c>
      <c r="L9744">
        <v>6990</v>
      </c>
    </row>
    <row r="9745" spans="1:12" x14ac:dyDescent="0.25">
      <c r="A9745" t="str">
        <f t="shared" si="1738"/>
        <v>89301000</v>
      </c>
      <c r="B9745" t="str">
        <f t="shared" ref="B9745:B9776" si="1741">"93501000"</f>
        <v>93501000</v>
      </c>
      <c r="C9745" t="str">
        <f t="shared" ref="C9745:C9776" si="1742">"93501001"</f>
        <v>93501001</v>
      </c>
      <c r="D9745">
        <v>89301167</v>
      </c>
      <c r="E9745" t="str">
        <f t="shared" ref="E9745:E9763" si="1743">"6003120068"</f>
        <v>6003120068</v>
      </c>
      <c r="F9745" s="1">
        <v>45141</v>
      </c>
      <c r="G9745" t="str">
        <f>"09119"</f>
        <v>09119</v>
      </c>
      <c r="H9745">
        <v>1</v>
      </c>
      <c r="I9745">
        <v>43</v>
      </c>
      <c r="J9745">
        <v>0</v>
      </c>
      <c r="K9745" t="str">
        <f t="shared" ref="K9745:K9776" si="1744">"801"</f>
        <v>801</v>
      </c>
      <c r="L9745">
        <v>54.18</v>
      </c>
    </row>
    <row r="9746" spans="1:12" x14ac:dyDescent="0.25">
      <c r="A9746" t="str">
        <f t="shared" si="1738"/>
        <v>89301000</v>
      </c>
      <c r="B9746" t="str">
        <f t="shared" si="1741"/>
        <v>93501000</v>
      </c>
      <c r="C9746" t="str">
        <f t="shared" si="1742"/>
        <v>93501001</v>
      </c>
      <c r="D9746">
        <v>89301167</v>
      </c>
      <c r="E9746" t="str">
        <f t="shared" si="1743"/>
        <v>6003120068</v>
      </c>
      <c r="F9746" s="1">
        <v>45141</v>
      </c>
      <c r="G9746" t="str">
        <f>"81329"</f>
        <v>81329</v>
      </c>
      <c r="H9746">
        <v>1</v>
      </c>
      <c r="I9746">
        <v>17</v>
      </c>
      <c r="J9746">
        <v>0</v>
      </c>
      <c r="K9746" t="str">
        <f t="shared" si="1744"/>
        <v>801</v>
      </c>
      <c r="L9746">
        <v>14.28</v>
      </c>
    </row>
    <row r="9747" spans="1:12" x14ac:dyDescent="0.25">
      <c r="A9747" t="str">
        <f t="shared" si="1738"/>
        <v>89301000</v>
      </c>
      <c r="B9747" t="str">
        <f t="shared" si="1741"/>
        <v>93501000</v>
      </c>
      <c r="C9747" t="str">
        <f t="shared" si="1742"/>
        <v>93501001</v>
      </c>
      <c r="D9747">
        <v>89301167</v>
      </c>
      <c r="E9747" t="str">
        <f t="shared" si="1743"/>
        <v>6003120068</v>
      </c>
      <c r="F9747" s="1">
        <v>45141</v>
      </c>
      <c r="G9747" t="str">
        <f>"81337"</f>
        <v>81337</v>
      </c>
      <c r="H9747">
        <v>1</v>
      </c>
      <c r="I9747">
        <v>20</v>
      </c>
      <c r="J9747">
        <v>0</v>
      </c>
      <c r="K9747" t="str">
        <f t="shared" si="1744"/>
        <v>801</v>
      </c>
      <c r="L9747">
        <v>16.8</v>
      </c>
    </row>
    <row r="9748" spans="1:12" x14ac:dyDescent="0.25">
      <c r="A9748" t="str">
        <f t="shared" si="1738"/>
        <v>89301000</v>
      </c>
      <c r="B9748" t="str">
        <f t="shared" si="1741"/>
        <v>93501000</v>
      </c>
      <c r="C9748" t="str">
        <f t="shared" si="1742"/>
        <v>93501001</v>
      </c>
      <c r="D9748">
        <v>89301167</v>
      </c>
      <c r="E9748" t="str">
        <f t="shared" si="1743"/>
        <v>6003120068</v>
      </c>
      <c r="F9748" s="1">
        <v>45141</v>
      </c>
      <c r="G9748" t="str">
        <f>"81357"</f>
        <v>81357</v>
      </c>
      <c r="H9748">
        <v>1</v>
      </c>
      <c r="I9748">
        <v>20</v>
      </c>
      <c r="J9748">
        <v>0</v>
      </c>
      <c r="K9748" t="str">
        <f t="shared" si="1744"/>
        <v>801</v>
      </c>
      <c r="L9748">
        <v>16.8</v>
      </c>
    </row>
    <row r="9749" spans="1:12" x14ac:dyDescent="0.25">
      <c r="A9749" t="str">
        <f t="shared" si="1738"/>
        <v>89301000</v>
      </c>
      <c r="B9749" t="str">
        <f t="shared" si="1741"/>
        <v>93501000</v>
      </c>
      <c r="C9749" t="str">
        <f t="shared" si="1742"/>
        <v>93501001</v>
      </c>
      <c r="D9749">
        <v>89301167</v>
      </c>
      <c r="E9749" t="str">
        <f t="shared" si="1743"/>
        <v>6003120068</v>
      </c>
      <c r="F9749" s="1">
        <v>45141</v>
      </c>
      <c r="G9749" t="str">
        <f>"81361"</f>
        <v>81361</v>
      </c>
      <c r="H9749">
        <v>1</v>
      </c>
      <c r="I9749">
        <v>17</v>
      </c>
      <c r="J9749">
        <v>0</v>
      </c>
      <c r="K9749" t="str">
        <f t="shared" si="1744"/>
        <v>801</v>
      </c>
      <c r="L9749">
        <v>14.28</v>
      </c>
    </row>
    <row r="9750" spans="1:12" x14ac:dyDescent="0.25">
      <c r="A9750" t="str">
        <f t="shared" si="1738"/>
        <v>89301000</v>
      </c>
      <c r="B9750" t="str">
        <f t="shared" si="1741"/>
        <v>93501000</v>
      </c>
      <c r="C9750" t="str">
        <f t="shared" si="1742"/>
        <v>93501001</v>
      </c>
      <c r="D9750">
        <v>89301167</v>
      </c>
      <c r="E9750" t="str">
        <f t="shared" si="1743"/>
        <v>6003120068</v>
      </c>
      <c r="F9750" s="1">
        <v>45141</v>
      </c>
      <c r="G9750" t="str">
        <f>"81365"</f>
        <v>81365</v>
      </c>
      <c r="H9750">
        <v>1</v>
      </c>
      <c r="I9750">
        <v>16</v>
      </c>
      <c r="J9750">
        <v>0</v>
      </c>
      <c r="K9750" t="str">
        <f t="shared" si="1744"/>
        <v>801</v>
      </c>
      <c r="L9750">
        <v>13.44</v>
      </c>
    </row>
    <row r="9751" spans="1:12" x14ac:dyDescent="0.25">
      <c r="A9751" t="str">
        <f t="shared" si="1738"/>
        <v>89301000</v>
      </c>
      <c r="B9751" t="str">
        <f t="shared" si="1741"/>
        <v>93501000</v>
      </c>
      <c r="C9751" t="str">
        <f t="shared" si="1742"/>
        <v>93501001</v>
      </c>
      <c r="D9751">
        <v>89301167</v>
      </c>
      <c r="E9751" t="str">
        <f t="shared" si="1743"/>
        <v>6003120068</v>
      </c>
      <c r="F9751" s="1">
        <v>45141</v>
      </c>
      <c r="G9751" t="str">
        <f>"81383"</f>
        <v>81383</v>
      </c>
      <c r="H9751">
        <v>1</v>
      </c>
      <c r="I9751">
        <v>24</v>
      </c>
      <c r="J9751">
        <v>0</v>
      </c>
      <c r="K9751" t="str">
        <f t="shared" si="1744"/>
        <v>801</v>
      </c>
      <c r="L9751">
        <v>20.16</v>
      </c>
    </row>
    <row r="9752" spans="1:12" x14ac:dyDescent="0.25">
      <c r="A9752" t="str">
        <f t="shared" si="1738"/>
        <v>89301000</v>
      </c>
      <c r="B9752" t="str">
        <f t="shared" si="1741"/>
        <v>93501000</v>
      </c>
      <c r="C9752" t="str">
        <f t="shared" si="1742"/>
        <v>93501001</v>
      </c>
      <c r="D9752">
        <v>89301167</v>
      </c>
      <c r="E9752" t="str">
        <f t="shared" si="1743"/>
        <v>6003120068</v>
      </c>
      <c r="F9752" s="1">
        <v>45141</v>
      </c>
      <c r="G9752" t="str">
        <f>"81393"</f>
        <v>81393</v>
      </c>
      <c r="H9752">
        <v>1</v>
      </c>
      <c r="I9752">
        <v>24</v>
      </c>
      <c r="J9752">
        <v>0</v>
      </c>
      <c r="K9752" t="str">
        <f t="shared" si="1744"/>
        <v>801</v>
      </c>
      <c r="L9752">
        <v>20.16</v>
      </c>
    </row>
    <row r="9753" spans="1:12" x14ac:dyDescent="0.25">
      <c r="A9753" t="str">
        <f t="shared" si="1738"/>
        <v>89301000</v>
      </c>
      <c r="B9753" t="str">
        <f t="shared" si="1741"/>
        <v>93501000</v>
      </c>
      <c r="C9753" t="str">
        <f t="shared" si="1742"/>
        <v>93501001</v>
      </c>
      <c r="D9753">
        <v>89301167</v>
      </c>
      <c r="E9753" t="str">
        <f t="shared" si="1743"/>
        <v>6003120068</v>
      </c>
      <c r="F9753" s="1">
        <v>45141</v>
      </c>
      <c r="G9753" t="str">
        <f>"81421"</f>
        <v>81421</v>
      </c>
      <c r="H9753">
        <v>1</v>
      </c>
      <c r="I9753">
        <v>19</v>
      </c>
      <c r="J9753">
        <v>0</v>
      </c>
      <c r="K9753" t="str">
        <f t="shared" si="1744"/>
        <v>801</v>
      </c>
      <c r="L9753">
        <v>15.96</v>
      </c>
    </row>
    <row r="9754" spans="1:12" x14ac:dyDescent="0.25">
      <c r="A9754" t="str">
        <f t="shared" si="1738"/>
        <v>89301000</v>
      </c>
      <c r="B9754" t="str">
        <f t="shared" si="1741"/>
        <v>93501000</v>
      </c>
      <c r="C9754" t="str">
        <f t="shared" si="1742"/>
        <v>93501001</v>
      </c>
      <c r="D9754">
        <v>89301167</v>
      </c>
      <c r="E9754" t="str">
        <f t="shared" si="1743"/>
        <v>6003120068</v>
      </c>
      <c r="F9754" s="1">
        <v>45141</v>
      </c>
      <c r="G9754" t="str">
        <f>"81435"</f>
        <v>81435</v>
      </c>
      <c r="H9754">
        <v>1</v>
      </c>
      <c r="I9754">
        <v>22</v>
      </c>
      <c r="J9754">
        <v>0</v>
      </c>
      <c r="K9754" t="str">
        <f t="shared" si="1744"/>
        <v>801</v>
      </c>
      <c r="L9754">
        <v>18.48</v>
      </c>
    </row>
    <row r="9755" spans="1:12" x14ac:dyDescent="0.25">
      <c r="A9755" t="str">
        <f t="shared" si="1738"/>
        <v>89301000</v>
      </c>
      <c r="B9755" t="str">
        <f t="shared" si="1741"/>
        <v>93501000</v>
      </c>
      <c r="C9755" t="str">
        <f t="shared" si="1742"/>
        <v>93501001</v>
      </c>
      <c r="D9755">
        <v>89301167</v>
      </c>
      <c r="E9755" t="str">
        <f t="shared" si="1743"/>
        <v>6003120068</v>
      </c>
      <c r="F9755" s="1">
        <v>45141</v>
      </c>
      <c r="G9755" t="str">
        <f>"81439"</f>
        <v>81439</v>
      </c>
      <c r="H9755">
        <v>1</v>
      </c>
      <c r="I9755">
        <v>16</v>
      </c>
      <c r="J9755">
        <v>0</v>
      </c>
      <c r="K9755" t="str">
        <f t="shared" si="1744"/>
        <v>801</v>
      </c>
      <c r="L9755">
        <v>13.44</v>
      </c>
    </row>
    <row r="9756" spans="1:12" x14ac:dyDescent="0.25">
      <c r="A9756" t="str">
        <f t="shared" si="1738"/>
        <v>89301000</v>
      </c>
      <c r="B9756" t="str">
        <f t="shared" si="1741"/>
        <v>93501000</v>
      </c>
      <c r="C9756" t="str">
        <f t="shared" si="1742"/>
        <v>93501001</v>
      </c>
      <c r="D9756">
        <v>89301167</v>
      </c>
      <c r="E9756" t="str">
        <f t="shared" si="1743"/>
        <v>6003120068</v>
      </c>
      <c r="F9756" s="1">
        <v>45141</v>
      </c>
      <c r="G9756" t="str">
        <f>"81469"</f>
        <v>81469</v>
      </c>
      <c r="H9756">
        <v>1</v>
      </c>
      <c r="I9756">
        <v>16</v>
      </c>
      <c r="J9756">
        <v>0</v>
      </c>
      <c r="K9756" t="str">
        <f t="shared" si="1744"/>
        <v>801</v>
      </c>
      <c r="L9756">
        <v>13.44</v>
      </c>
    </row>
    <row r="9757" spans="1:12" x14ac:dyDescent="0.25">
      <c r="A9757" t="str">
        <f t="shared" si="1738"/>
        <v>89301000</v>
      </c>
      <c r="B9757" t="str">
        <f t="shared" si="1741"/>
        <v>93501000</v>
      </c>
      <c r="C9757" t="str">
        <f t="shared" si="1742"/>
        <v>93501001</v>
      </c>
      <c r="D9757">
        <v>89301167</v>
      </c>
      <c r="E9757" t="str">
        <f t="shared" si="1743"/>
        <v>6003120068</v>
      </c>
      <c r="F9757" s="1">
        <v>45141</v>
      </c>
      <c r="G9757" t="str">
        <f>"81499"</f>
        <v>81499</v>
      </c>
      <c r="H9757">
        <v>1</v>
      </c>
      <c r="I9757">
        <v>18</v>
      </c>
      <c r="J9757">
        <v>0</v>
      </c>
      <c r="K9757" t="str">
        <f t="shared" si="1744"/>
        <v>801</v>
      </c>
      <c r="L9757">
        <v>15.12</v>
      </c>
    </row>
    <row r="9758" spans="1:12" x14ac:dyDescent="0.25">
      <c r="A9758" t="str">
        <f t="shared" si="1738"/>
        <v>89301000</v>
      </c>
      <c r="B9758" t="str">
        <f t="shared" si="1741"/>
        <v>93501000</v>
      </c>
      <c r="C9758" t="str">
        <f t="shared" si="1742"/>
        <v>93501001</v>
      </c>
      <c r="D9758">
        <v>89301167</v>
      </c>
      <c r="E9758" t="str">
        <f t="shared" si="1743"/>
        <v>6003120068</v>
      </c>
      <c r="F9758" s="1">
        <v>45141</v>
      </c>
      <c r="G9758" t="str">
        <f>"81523"</f>
        <v>81523</v>
      </c>
      <c r="H9758">
        <v>1</v>
      </c>
      <c r="I9758">
        <v>23</v>
      </c>
      <c r="J9758">
        <v>0</v>
      </c>
      <c r="K9758" t="str">
        <f t="shared" si="1744"/>
        <v>801</v>
      </c>
      <c r="L9758">
        <v>19.32</v>
      </c>
    </row>
    <row r="9759" spans="1:12" x14ac:dyDescent="0.25">
      <c r="A9759" t="str">
        <f t="shared" si="1738"/>
        <v>89301000</v>
      </c>
      <c r="B9759" t="str">
        <f t="shared" si="1741"/>
        <v>93501000</v>
      </c>
      <c r="C9759" t="str">
        <f t="shared" si="1742"/>
        <v>93501001</v>
      </c>
      <c r="D9759">
        <v>89301167</v>
      </c>
      <c r="E9759" t="str">
        <f t="shared" si="1743"/>
        <v>6003120068</v>
      </c>
      <c r="F9759" s="1">
        <v>45141</v>
      </c>
      <c r="G9759" t="str">
        <f>"81593"</f>
        <v>81593</v>
      </c>
      <c r="H9759">
        <v>1</v>
      </c>
      <c r="I9759">
        <v>22</v>
      </c>
      <c r="J9759">
        <v>0</v>
      </c>
      <c r="K9759" t="str">
        <f t="shared" si="1744"/>
        <v>801</v>
      </c>
      <c r="L9759">
        <v>18.48</v>
      </c>
    </row>
    <row r="9760" spans="1:12" x14ac:dyDescent="0.25">
      <c r="A9760" t="str">
        <f t="shared" si="1738"/>
        <v>89301000</v>
      </c>
      <c r="B9760" t="str">
        <f t="shared" si="1741"/>
        <v>93501000</v>
      </c>
      <c r="C9760" t="str">
        <f t="shared" si="1742"/>
        <v>93501001</v>
      </c>
      <c r="D9760">
        <v>89301167</v>
      </c>
      <c r="E9760" t="str">
        <f t="shared" si="1743"/>
        <v>6003120068</v>
      </c>
      <c r="F9760" s="1">
        <v>45141</v>
      </c>
      <c r="G9760" t="str">
        <f>"81621"</f>
        <v>81621</v>
      </c>
      <c r="H9760">
        <v>1</v>
      </c>
      <c r="I9760">
        <v>19</v>
      </c>
      <c r="J9760">
        <v>0</v>
      </c>
      <c r="K9760" t="str">
        <f t="shared" si="1744"/>
        <v>801</v>
      </c>
      <c r="L9760">
        <v>15.96</v>
      </c>
    </row>
    <row r="9761" spans="1:12" x14ac:dyDescent="0.25">
      <c r="A9761" t="str">
        <f t="shared" si="1738"/>
        <v>89301000</v>
      </c>
      <c r="B9761" t="str">
        <f t="shared" si="1741"/>
        <v>93501000</v>
      </c>
      <c r="C9761" t="str">
        <f t="shared" si="1742"/>
        <v>93501001</v>
      </c>
      <c r="D9761">
        <v>89301167</v>
      </c>
      <c r="E9761" t="str">
        <f t="shared" si="1743"/>
        <v>6003120068</v>
      </c>
      <c r="F9761" s="1">
        <v>45141</v>
      </c>
      <c r="G9761" t="str">
        <f>"81625"</f>
        <v>81625</v>
      </c>
      <c r="H9761">
        <v>1</v>
      </c>
      <c r="I9761">
        <v>21</v>
      </c>
      <c r="J9761">
        <v>0</v>
      </c>
      <c r="K9761" t="str">
        <f t="shared" si="1744"/>
        <v>801</v>
      </c>
      <c r="L9761">
        <v>17.64</v>
      </c>
    </row>
    <row r="9762" spans="1:12" x14ac:dyDescent="0.25">
      <c r="A9762" t="str">
        <f t="shared" si="1738"/>
        <v>89301000</v>
      </c>
      <c r="B9762" t="str">
        <f t="shared" si="1741"/>
        <v>93501000</v>
      </c>
      <c r="C9762" t="str">
        <f t="shared" si="1742"/>
        <v>93501001</v>
      </c>
      <c r="D9762">
        <v>89301167</v>
      </c>
      <c r="E9762" t="str">
        <f t="shared" si="1743"/>
        <v>6003120068</v>
      </c>
      <c r="F9762" s="1">
        <v>45141</v>
      </c>
      <c r="G9762" t="str">
        <f>"91153"</f>
        <v>91153</v>
      </c>
      <c r="H9762">
        <v>1</v>
      </c>
      <c r="I9762">
        <v>153</v>
      </c>
      <c r="J9762">
        <v>0</v>
      </c>
      <c r="K9762" t="str">
        <f t="shared" si="1744"/>
        <v>801</v>
      </c>
      <c r="L9762">
        <v>128.52000000000001</v>
      </c>
    </row>
    <row r="9763" spans="1:12" x14ac:dyDescent="0.25">
      <c r="A9763" t="str">
        <f t="shared" si="1738"/>
        <v>89301000</v>
      </c>
      <c r="B9763" t="str">
        <f t="shared" si="1741"/>
        <v>93501000</v>
      </c>
      <c r="C9763" t="str">
        <f t="shared" si="1742"/>
        <v>93501001</v>
      </c>
      <c r="D9763">
        <v>89301167</v>
      </c>
      <c r="E9763" t="str">
        <f t="shared" si="1743"/>
        <v>6003120068</v>
      </c>
      <c r="F9763" s="1">
        <v>45141</v>
      </c>
      <c r="G9763" t="str">
        <f>"97111"</f>
        <v>97111</v>
      </c>
      <c r="H9763">
        <v>1</v>
      </c>
      <c r="I9763">
        <v>19</v>
      </c>
      <c r="J9763">
        <v>0</v>
      </c>
      <c r="K9763" t="str">
        <f t="shared" si="1744"/>
        <v>801</v>
      </c>
      <c r="L9763">
        <v>23.94</v>
      </c>
    </row>
    <row r="9764" spans="1:12" x14ac:dyDescent="0.25">
      <c r="A9764" t="str">
        <f t="shared" si="1738"/>
        <v>89301000</v>
      </c>
      <c r="B9764" t="str">
        <f t="shared" si="1741"/>
        <v>93501000</v>
      </c>
      <c r="C9764" t="str">
        <f t="shared" si="1742"/>
        <v>93501001</v>
      </c>
      <c r="D9764">
        <v>89301167</v>
      </c>
      <c r="E9764" t="str">
        <f t="shared" ref="E9764:E9798" si="1745">"470127462"</f>
        <v>470127462</v>
      </c>
      <c r="F9764" s="1">
        <v>45169</v>
      </c>
      <c r="G9764" t="str">
        <f>"09119"</f>
        <v>09119</v>
      </c>
      <c r="H9764">
        <v>1</v>
      </c>
      <c r="I9764">
        <v>43</v>
      </c>
      <c r="J9764">
        <v>0</v>
      </c>
      <c r="K9764" t="str">
        <f t="shared" si="1744"/>
        <v>801</v>
      </c>
      <c r="L9764">
        <v>54.18</v>
      </c>
    </row>
    <row r="9765" spans="1:12" x14ac:dyDescent="0.25">
      <c r="A9765" t="str">
        <f t="shared" si="1738"/>
        <v>89301000</v>
      </c>
      <c r="B9765" t="str">
        <f t="shared" si="1741"/>
        <v>93501000</v>
      </c>
      <c r="C9765" t="str">
        <f t="shared" si="1742"/>
        <v>93501001</v>
      </c>
      <c r="D9765">
        <v>89301167</v>
      </c>
      <c r="E9765" t="str">
        <f t="shared" si="1745"/>
        <v>470127462</v>
      </c>
      <c r="F9765" s="1">
        <v>45169</v>
      </c>
      <c r="G9765" t="str">
        <f>"81329"</f>
        <v>81329</v>
      </c>
      <c r="H9765">
        <v>1</v>
      </c>
      <c r="I9765">
        <v>17</v>
      </c>
      <c r="J9765">
        <v>0</v>
      </c>
      <c r="K9765" t="str">
        <f t="shared" si="1744"/>
        <v>801</v>
      </c>
      <c r="L9765">
        <v>14.28</v>
      </c>
    </row>
    <row r="9766" spans="1:12" x14ac:dyDescent="0.25">
      <c r="A9766" t="str">
        <f t="shared" si="1738"/>
        <v>89301000</v>
      </c>
      <c r="B9766" t="str">
        <f t="shared" si="1741"/>
        <v>93501000</v>
      </c>
      <c r="C9766" t="str">
        <f t="shared" si="1742"/>
        <v>93501001</v>
      </c>
      <c r="D9766">
        <v>89301167</v>
      </c>
      <c r="E9766" t="str">
        <f t="shared" si="1745"/>
        <v>470127462</v>
      </c>
      <c r="F9766" s="1">
        <v>45169</v>
      </c>
      <c r="G9766" t="str">
        <f>"81337"</f>
        <v>81337</v>
      </c>
      <c r="H9766">
        <v>1</v>
      </c>
      <c r="I9766">
        <v>20</v>
      </c>
      <c r="J9766">
        <v>0</v>
      </c>
      <c r="K9766" t="str">
        <f t="shared" si="1744"/>
        <v>801</v>
      </c>
      <c r="L9766">
        <v>16.8</v>
      </c>
    </row>
    <row r="9767" spans="1:12" x14ac:dyDescent="0.25">
      <c r="A9767" t="str">
        <f t="shared" si="1738"/>
        <v>89301000</v>
      </c>
      <c r="B9767" t="str">
        <f t="shared" si="1741"/>
        <v>93501000</v>
      </c>
      <c r="C9767" t="str">
        <f t="shared" si="1742"/>
        <v>93501001</v>
      </c>
      <c r="D9767">
        <v>89301167</v>
      </c>
      <c r="E9767" t="str">
        <f t="shared" si="1745"/>
        <v>470127462</v>
      </c>
      <c r="F9767" s="1">
        <v>45169</v>
      </c>
      <c r="G9767" t="str">
        <f>"81357"</f>
        <v>81357</v>
      </c>
      <c r="H9767">
        <v>1</v>
      </c>
      <c r="I9767">
        <v>20</v>
      </c>
      <c r="J9767">
        <v>0</v>
      </c>
      <c r="K9767" t="str">
        <f t="shared" si="1744"/>
        <v>801</v>
      </c>
      <c r="L9767">
        <v>16.8</v>
      </c>
    </row>
    <row r="9768" spans="1:12" x14ac:dyDescent="0.25">
      <c r="A9768" t="str">
        <f t="shared" si="1738"/>
        <v>89301000</v>
      </c>
      <c r="B9768" t="str">
        <f t="shared" si="1741"/>
        <v>93501000</v>
      </c>
      <c r="C9768" t="str">
        <f t="shared" si="1742"/>
        <v>93501001</v>
      </c>
      <c r="D9768">
        <v>89301167</v>
      </c>
      <c r="E9768" t="str">
        <f t="shared" si="1745"/>
        <v>470127462</v>
      </c>
      <c r="F9768" s="1">
        <v>45169</v>
      </c>
      <c r="G9768" t="str">
        <f>"81365"</f>
        <v>81365</v>
      </c>
      <c r="H9768">
        <v>1</v>
      </c>
      <c r="I9768">
        <v>16</v>
      </c>
      <c r="J9768">
        <v>0</v>
      </c>
      <c r="K9768" t="str">
        <f t="shared" si="1744"/>
        <v>801</v>
      </c>
      <c r="L9768">
        <v>13.44</v>
      </c>
    </row>
    <row r="9769" spans="1:12" x14ac:dyDescent="0.25">
      <c r="A9769" t="str">
        <f t="shared" si="1738"/>
        <v>89301000</v>
      </c>
      <c r="B9769" t="str">
        <f t="shared" si="1741"/>
        <v>93501000</v>
      </c>
      <c r="C9769" t="str">
        <f t="shared" si="1742"/>
        <v>93501001</v>
      </c>
      <c r="D9769">
        <v>89301167</v>
      </c>
      <c r="E9769" t="str">
        <f t="shared" si="1745"/>
        <v>470127462</v>
      </c>
      <c r="F9769" s="1">
        <v>45169</v>
      </c>
      <c r="G9769" t="str">
        <f>"81383"</f>
        <v>81383</v>
      </c>
      <c r="H9769">
        <v>1</v>
      </c>
      <c r="I9769">
        <v>24</v>
      </c>
      <c r="J9769">
        <v>0</v>
      </c>
      <c r="K9769" t="str">
        <f t="shared" si="1744"/>
        <v>801</v>
      </c>
      <c r="L9769">
        <v>20.16</v>
      </c>
    </row>
    <row r="9770" spans="1:12" x14ac:dyDescent="0.25">
      <c r="A9770" t="str">
        <f t="shared" si="1738"/>
        <v>89301000</v>
      </c>
      <c r="B9770" t="str">
        <f t="shared" si="1741"/>
        <v>93501000</v>
      </c>
      <c r="C9770" t="str">
        <f t="shared" si="1742"/>
        <v>93501001</v>
      </c>
      <c r="D9770">
        <v>89301167</v>
      </c>
      <c r="E9770" t="str">
        <f t="shared" si="1745"/>
        <v>470127462</v>
      </c>
      <c r="F9770" s="1">
        <v>45169</v>
      </c>
      <c r="G9770" t="str">
        <f>"81393"</f>
        <v>81393</v>
      </c>
      <c r="H9770">
        <v>1</v>
      </c>
      <c r="I9770">
        <v>24</v>
      </c>
      <c r="J9770">
        <v>0</v>
      </c>
      <c r="K9770" t="str">
        <f t="shared" si="1744"/>
        <v>801</v>
      </c>
      <c r="L9770">
        <v>20.16</v>
      </c>
    </row>
    <row r="9771" spans="1:12" x14ac:dyDescent="0.25">
      <c r="A9771" t="str">
        <f t="shared" si="1738"/>
        <v>89301000</v>
      </c>
      <c r="B9771" t="str">
        <f t="shared" si="1741"/>
        <v>93501000</v>
      </c>
      <c r="C9771" t="str">
        <f t="shared" si="1742"/>
        <v>93501001</v>
      </c>
      <c r="D9771">
        <v>89301167</v>
      </c>
      <c r="E9771" t="str">
        <f t="shared" si="1745"/>
        <v>470127462</v>
      </c>
      <c r="F9771" s="1">
        <v>45169</v>
      </c>
      <c r="G9771" t="str">
        <f>"81421"</f>
        <v>81421</v>
      </c>
      <c r="H9771">
        <v>1</v>
      </c>
      <c r="I9771">
        <v>19</v>
      </c>
      <c r="J9771">
        <v>0</v>
      </c>
      <c r="K9771" t="str">
        <f t="shared" si="1744"/>
        <v>801</v>
      </c>
      <c r="L9771">
        <v>15.96</v>
      </c>
    </row>
    <row r="9772" spans="1:12" x14ac:dyDescent="0.25">
      <c r="A9772" t="str">
        <f t="shared" si="1738"/>
        <v>89301000</v>
      </c>
      <c r="B9772" t="str">
        <f t="shared" si="1741"/>
        <v>93501000</v>
      </c>
      <c r="C9772" t="str">
        <f t="shared" si="1742"/>
        <v>93501001</v>
      </c>
      <c r="D9772">
        <v>89301167</v>
      </c>
      <c r="E9772" t="str">
        <f t="shared" si="1745"/>
        <v>470127462</v>
      </c>
      <c r="F9772" s="1">
        <v>45169</v>
      </c>
      <c r="G9772" t="str">
        <f>"81435"</f>
        <v>81435</v>
      </c>
      <c r="H9772">
        <v>1</v>
      </c>
      <c r="I9772">
        <v>22</v>
      </c>
      <c r="J9772">
        <v>0</v>
      </c>
      <c r="K9772" t="str">
        <f t="shared" si="1744"/>
        <v>801</v>
      </c>
      <c r="L9772">
        <v>18.48</v>
      </c>
    </row>
    <row r="9773" spans="1:12" x14ac:dyDescent="0.25">
      <c r="A9773" t="str">
        <f t="shared" si="1738"/>
        <v>89301000</v>
      </c>
      <c r="B9773" t="str">
        <f t="shared" si="1741"/>
        <v>93501000</v>
      </c>
      <c r="C9773" t="str">
        <f t="shared" si="1742"/>
        <v>93501001</v>
      </c>
      <c r="D9773">
        <v>89301167</v>
      </c>
      <c r="E9773" t="str">
        <f t="shared" si="1745"/>
        <v>470127462</v>
      </c>
      <c r="F9773" s="1">
        <v>45169</v>
      </c>
      <c r="G9773" t="str">
        <f>"81439"</f>
        <v>81439</v>
      </c>
      <c r="H9773">
        <v>1</v>
      </c>
      <c r="I9773">
        <v>16</v>
      </c>
      <c r="J9773">
        <v>0</v>
      </c>
      <c r="K9773" t="str">
        <f t="shared" si="1744"/>
        <v>801</v>
      </c>
      <c r="L9773">
        <v>13.44</v>
      </c>
    </row>
    <row r="9774" spans="1:12" x14ac:dyDescent="0.25">
      <c r="A9774" t="str">
        <f t="shared" si="1738"/>
        <v>89301000</v>
      </c>
      <c r="B9774" t="str">
        <f t="shared" si="1741"/>
        <v>93501000</v>
      </c>
      <c r="C9774" t="str">
        <f t="shared" si="1742"/>
        <v>93501001</v>
      </c>
      <c r="D9774">
        <v>89301167</v>
      </c>
      <c r="E9774" t="str">
        <f t="shared" si="1745"/>
        <v>470127462</v>
      </c>
      <c r="F9774" s="1">
        <v>45169</v>
      </c>
      <c r="G9774" t="str">
        <f>"81469"</f>
        <v>81469</v>
      </c>
      <c r="H9774">
        <v>1</v>
      </c>
      <c r="I9774">
        <v>16</v>
      </c>
      <c r="J9774">
        <v>0</v>
      </c>
      <c r="K9774" t="str">
        <f t="shared" si="1744"/>
        <v>801</v>
      </c>
      <c r="L9774">
        <v>13.44</v>
      </c>
    </row>
    <row r="9775" spans="1:12" x14ac:dyDescent="0.25">
      <c r="A9775" t="str">
        <f t="shared" si="1738"/>
        <v>89301000</v>
      </c>
      <c r="B9775" t="str">
        <f t="shared" si="1741"/>
        <v>93501000</v>
      </c>
      <c r="C9775" t="str">
        <f t="shared" si="1742"/>
        <v>93501001</v>
      </c>
      <c r="D9775">
        <v>89301167</v>
      </c>
      <c r="E9775" t="str">
        <f t="shared" si="1745"/>
        <v>470127462</v>
      </c>
      <c r="F9775" s="1">
        <v>45169</v>
      </c>
      <c r="G9775" t="str">
        <f>"81499"</f>
        <v>81499</v>
      </c>
      <c r="H9775">
        <v>1</v>
      </c>
      <c r="I9775">
        <v>18</v>
      </c>
      <c r="J9775">
        <v>0</v>
      </c>
      <c r="K9775" t="str">
        <f t="shared" si="1744"/>
        <v>801</v>
      </c>
      <c r="L9775">
        <v>15.12</v>
      </c>
    </row>
    <row r="9776" spans="1:12" x14ac:dyDescent="0.25">
      <c r="A9776" t="str">
        <f t="shared" si="1738"/>
        <v>89301000</v>
      </c>
      <c r="B9776" t="str">
        <f t="shared" si="1741"/>
        <v>93501000</v>
      </c>
      <c r="C9776" t="str">
        <f t="shared" si="1742"/>
        <v>93501001</v>
      </c>
      <c r="D9776">
        <v>89301167</v>
      </c>
      <c r="E9776" t="str">
        <f t="shared" si="1745"/>
        <v>470127462</v>
      </c>
      <c r="F9776" s="1">
        <v>45169</v>
      </c>
      <c r="G9776" t="str">
        <f>"81593"</f>
        <v>81593</v>
      </c>
      <c r="H9776">
        <v>1</v>
      </c>
      <c r="I9776">
        <v>22</v>
      </c>
      <c r="J9776">
        <v>0</v>
      </c>
      <c r="K9776" t="str">
        <f t="shared" si="1744"/>
        <v>801</v>
      </c>
      <c r="L9776">
        <v>18.48</v>
      </c>
    </row>
    <row r="9777" spans="1:12" x14ac:dyDescent="0.25">
      <c r="A9777" t="str">
        <f t="shared" si="1738"/>
        <v>89301000</v>
      </c>
      <c r="B9777" t="str">
        <f t="shared" ref="B9777:B9808" si="1746">"93501000"</f>
        <v>93501000</v>
      </c>
      <c r="C9777" t="str">
        <f t="shared" ref="C9777:C9808" si="1747">"93501001"</f>
        <v>93501001</v>
      </c>
      <c r="D9777">
        <v>89301167</v>
      </c>
      <c r="E9777" t="str">
        <f t="shared" si="1745"/>
        <v>470127462</v>
      </c>
      <c r="F9777" s="1">
        <v>45169</v>
      </c>
      <c r="G9777" t="str">
        <f>"81621"</f>
        <v>81621</v>
      </c>
      <c r="H9777">
        <v>1</v>
      </c>
      <c r="I9777">
        <v>19</v>
      </c>
      <c r="J9777">
        <v>0</v>
      </c>
      <c r="K9777" t="str">
        <f t="shared" ref="K9777:K9808" si="1748">"801"</f>
        <v>801</v>
      </c>
      <c r="L9777">
        <v>15.96</v>
      </c>
    </row>
    <row r="9778" spans="1:12" x14ac:dyDescent="0.25">
      <c r="A9778" t="str">
        <f t="shared" si="1738"/>
        <v>89301000</v>
      </c>
      <c r="B9778" t="str">
        <f t="shared" si="1746"/>
        <v>93501000</v>
      </c>
      <c r="C9778" t="str">
        <f t="shared" si="1747"/>
        <v>93501001</v>
      </c>
      <c r="D9778">
        <v>89301167</v>
      </c>
      <c r="E9778" t="str">
        <f t="shared" si="1745"/>
        <v>470127462</v>
      </c>
      <c r="F9778" s="1">
        <v>45169</v>
      </c>
      <c r="G9778" t="str">
        <f>"81625"</f>
        <v>81625</v>
      </c>
      <c r="H9778">
        <v>1</v>
      </c>
      <c r="I9778">
        <v>21</v>
      </c>
      <c r="J9778">
        <v>0</v>
      </c>
      <c r="K9778" t="str">
        <f t="shared" si="1748"/>
        <v>801</v>
      </c>
      <c r="L9778">
        <v>17.64</v>
      </c>
    </row>
    <row r="9779" spans="1:12" x14ac:dyDescent="0.25">
      <c r="A9779" t="str">
        <f t="shared" si="1738"/>
        <v>89301000</v>
      </c>
      <c r="B9779" t="str">
        <f t="shared" si="1746"/>
        <v>93501000</v>
      </c>
      <c r="C9779" t="str">
        <f t="shared" si="1747"/>
        <v>93501001</v>
      </c>
      <c r="D9779">
        <v>89301167</v>
      </c>
      <c r="E9779" t="str">
        <f t="shared" si="1745"/>
        <v>470127462</v>
      </c>
      <c r="F9779" s="1">
        <v>45169</v>
      </c>
      <c r="G9779" t="str">
        <f>"91153"</f>
        <v>91153</v>
      </c>
      <c r="H9779">
        <v>1</v>
      </c>
      <c r="I9779">
        <v>153</v>
      </c>
      <c r="J9779">
        <v>0</v>
      </c>
      <c r="K9779" t="str">
        <f t="shared" si="1748"/>
        <v>801</v>
      </c>
      <c r="L9779">
        <v>128.52000000000001</v>
      </c>
    </row>
    <row r="9780" spans="1:12" x14ac:dyDescent="0.25">
      <c r="A9780" t="str">
        <f t="shared" si="1738"/>
        <v>89301000</v>
      </c>
      <c r="B9780" t="str">
        <f t="shared" si="1746"/>
        <v>93501000</v>
      </c>
      <c r="C9780" t="str">
        <f t="shared" si="1747"/>
        <v>93501001</v>
      </c>
      <c r="D9780">
        <v>89301167</v>
      </c>
      <c r="E9780" t="str">
        <f t="shared" si="1745"/>
        <v>470127462</v>
      </c>
      <c r="F9780" s="1">
        <v>45169</v>
      </c>
      <c r="G9780" t="str">
        <f>"97111"</f>
        <v>97111</v>
      </c>
      <c r="H9780">
        <v>1</v>
      </c>
      <c r="I9780">
        <v>19</v>
      </c>
      <c r="J9780">
        <v>0</v>
      </c>
      <c r="K9780" t="str">
        <f t="shared" si="1748"/>
        <v>801</v>
      </c>
      <c r="L9780">
        <v>23.94</v>
      </c>
    </row>
    <row r="9781" spans="1:12" x14ac:dyDescent="0.25">
      <c r="A9781" t="str">
        <f t="shared" si="1738"/>
        <v>89301000</v>
      </c>
      <c r="B9781" t="str">
        <f t="shared" si="1746"/>
        <v>93501000</v>
      </c>
      <c r="C9781" t="str">
        <f t="shared" si="1747"/>
        <v>93501001</v>
      </c>
      <c r="D9781">
        <v>89301167</v>
      </c>
      <c r="E9781" t="str">
        <f t="shared" si="1745"/>
        <v>470127462</v>
      </c>
      <c r="F9781" s="1">
        <v>45147</v>
      </c>
      <c r="G9781" t="str">
        <f>"09119"</f>
        <v>09119</v>
      </c>
      <c r="H9781">
        <v>1</v>
      </c>
      <c r="I9781">
        <v>43</v>
      </c>
      <c r="J9781">
        <v>0</v>
      </c>
      <c r="K9781" t="str">
        <f t="shared" si="1748"/>
        <v>801</v>
      </c>
      <c r="L9781">
        <v>54.18</v>
      </c>
    </row>
    <row r="9782" spans="1:12" x14ac:dyDescent="0.25">
      <c r="A9782" t="str">
        <f t="shared" si="1738"/>
        <v>89301000</v>
      </c>
      <c r="B9782" t="str">
        <f t="shared" si="1746"/>
        <v>93501000</v>
      </c>
      <c r="C9782" t="str">
        <f t="shared" si="1747"/>
        <v>93501001</v>
      </c>
      <c r="D9782">
        <v>89301167</v>
      </c>
      <c r="E9782" t="str">
        <f t="shared" si="1745"/>
        <v>470127462</v>
      </c>
      <c r="F9782" s="1">
        <v>45147</v>
      </c>
      <c r="G9782" t="str">
        <f>"81329"</f>
        <v>81329</v>
      </c>
      <c r="H9782">
        <v>1</v>
      </c>
      <c r="I9782">
        <v>17</v>
      </c>
      <c r="J9782">
        <v>0</v>
      </c>
      <c r="K9782" t="str">
        <f t="shared" si="1748"/>
        <v>801</v>
      </c>
      <c r="L9782">
        <v>14.28</v>
      </c>
    </row>
    <row r="9783" spans="1:12" x14ac:dyDescent="0.25">
      <c r="A9783" t="str">
        <f t="shared" si="1738"/>
        <v>89301000</v>
      </c>
      <c r="B9783" t="str">
        <f t="shared" si="1746"/>
        <v>93501000</v>
      </c>
      <c r="C9783" t="str">
        <f t="shared" si="1747"/>
        <v>93501001</v>
      </c>
      <c r="D9783">
        <v>89301167</v>
      </c>
      <c r="E9783" t="str">
        <f t="shared" si="1745"/>
        <v>470127462</v>
      </c>
      <c r="F9783" s="1">
        <v>45147</v>
      </c>
      <c r="G9783" t="str">
        <f>"81337"</f>
        <v>81337</v>
      </c>
      <c r="H9783">
        <v>1</v>
      </c>
      <c r="I9783">
        <v>20</v>
      </c>
      <c r="J9783">
        <v>0</v>
      </c>
      <c r="K9783" t="str">
        <f t="shared" si="1748"/>
        <v>801</v>
      </c>
      <c r="L9783">
        <v>16.8</v>
      </c>
    </row>
    <row r="9784" spans="1:12" x14ac:dyDescent="0.25">
      <c r="A9784" t="str">
        <f t="shared" si="1738"/>
        <v>89301000</v>
      </c>
      <c r="B9784" t="str">
        <f t="shared" si="1746"/>
        <v>93501000</v>
      </c>
      <c r="C9784" t="str">
        <f t="shared" si="1747"/>
        <v>93501001</v>
      </c>
      <c r="D9784">
        <v>89301167</v>
      </c>
      <c r="E9784" t="str">
        <f t="shared" si="1745"/>
        <v>470127462</v>
      </c>
      <c r="F9784" s="1">
        <v>45147</v>
      </c>
      <c r="G9784" t="str">
        <f>"81357"</f>
        <v>81357</v>
      </c>
      <c r="H9784">
        <v>1</v>
      </c>
      <c r="I9784">
        <v>20</v>
      </c>
      <c r="J9784">
        <v>0</v>
      </c>
      <c r="K9784" t="str">
        <f t="shared" si="1748"/>
        <v>801</v>
      </c>
      <c r="L9784">
        <v>16.8</v>
      </c>
    </row>
    <row r="9785" spans="1:12" x14ac:dyDescent="0.25">
      <c r="A9785" t="str">
        <f t="shared" si="1738"/>
        <v>89301000</v>
      </c>
      <c r="B9785" t="str">
        <f t="shared" si="1746"/>
        <v>93501000</v>
      </c>
      <c r="C9785" t="str">
        <f t="shared" si="1747"/>
        <v>93501001</v>
      </c>
      <c r="D9785">
        <v>89301167</v>
      </c>
      <c r="E9785" t="str">
        <f t="shared" si="1745"/>
        <v>470127462</v>
      </c>
      <c r="F9785" s="1">
        <v>45147</v>
      </c>
      <c r="G9785" t="str">
        <f>"81361"</f>
        <v>81361</v>
      </c>
      <c r="H9785">
        <v>1</v>
      </c>
      <c r="I9785">
        <v>17</v>
      </c>
      <c r="J9785">
        <v>0</v>
      </c>
      <c r="K9785" t="str">
        <f t="shared" si="1748"/>
        <v>801</v>
      </c>
      <c r="L9785">
        <v>14.28</v>
      </c>
    </row>
    <row r="9786" spans="1:12" x14ac:dyDescent="0.25">
      <c r="A9786" t="str">
        <f t="shared" si="1738"/>
        <v>89301000</v>
      </c>
      <c r="B9786" t="str">
        <f t="shared" si="1746"/>
        <v>93501000</v>
      </c>
      <c r="C9786" t="str">
        <f t="shared" si="1747"/>
        <v>93501001</v>
      </c>
      <c r="D9786">
        <v>89301167</v>
      </c>
      <c r="E9786" t="str">
        <f t="shared" si="1745"/>
        <v>470127462</v>
      </c>
      <c r="F9786" s="1">
        <v>45147</v>
      </c>
      <c r="G9786" t="str">
        <f>"81383"</f>
        <v>81383</v>
      </c>
      <c r="H9786">
        <v>1</v>
      </c>
      <c r="I9786">
        <v>24</v>
      </c>
      <c r="J9786">
        <v>0</v>
      </c>
      <c r="K9786" t="str">
        <f t="shared" si="1748"/>
        <v>801</v>
      </c>
      <c r="L9786">
        <v>20.16</v>
      </c>
    </row>
    <row r="9787" spans="1:12" x14ac:dyDescent="0.25">
      <c r="A9787" t="str">
        <f t="shared" si="1738"/>
        <v>89301000</v>
      </c>
      <c r="B9787" t="str">
        <f t="shared" si="1746"/>
        <v>93501000</v>
      </c>
      <c r="C9787" t="str">
        <f t="shared" si="1747"/>
        <v>93501001</v>
      </c>
      <c r="D9787">
        <v>89301167</v>
      </c>
      <c r="E9787" t="str">
        <f t="shared" si="1745"/>
        <v>470127462</v>
      </c>
      <c r="F9787" s="1">
        <v>45147</v>
      </c>
      <c r="G9787" t="str">
        <f>"81393"</f>
        <v>81393</v>
      </c>
      <c r="H9787">
        <v>1</v>
      </c>
      <c r="I9787">
        <v>24</v>
      </c>
      <c r="J9787">
        <v>0</v>
      </c>
      <c r="K9787" t="str">
        <f t="shared" si="1748"/>
        <v>801</v>
      </c>
      <c r="L9787">
        <v>20.16</v>
      </c>
    </row>
    <row r="9788" spans="1:12" x14ac:dyDescent="0.25">
      <c r="A9788" t="str">
        <f t="shared" si="1738"/>
        <v>89301000</v>
      </c>
      <c r="B9788" t="str">
        <f t="shared" si="1746"/>
        <v>93501000</v>
      </c>
      <c r="C9788" t="str">
        <f t="shared" si="1747"/>
        <v>93501001</v>
      </c>
      <c r="D9788">
        <v>89301167</v>
      </c>
      <c r="E9788" t="str">
        <f t="shared" si="1745"/>
        <v>470127462</v>
      </c>
      <c r="F9788" s="1">
        <v>45147</v>
      </c>
      <c r="G9788" t="str">
        <f>"81421"</f>
        <v>81421</v>
      </c>
      <c r="H9788">
        <v>1</v>
      </c>
      <c r="I9788">
        <v>19</v>
      </c>
      <c r="J9788">
        <v>0</v>
      </c>
      <c r="K9788" t="str">
        <f t="shared" si="1748"/>
        <v>801</v>
      </c>
      <c r="L9788">
        <v>15.96</v>
      </c>
    </row>
    <row r="9789" spans="1:12" x14ac:dyDescent="0.25">
      <c r="A9789" t="str">
        <f t="shared" si="1738"/>
        <v>89301000</v>
      </c>
      <c r="B9789" t="str">
        <f t="shared" si="1746"/>
        <v>93501000</v>
      </c>
      <c r="C9789" t="str">
        <f t="shared" si="1747"/>
        <v>93501001</v>
      </c>
      <c r="D9789">
        <v>89301167</v>
      </c>
      <c r="E9789" t="str">
        <f t="shared" si="1745"/>
        <v>470127462</v>
      </c>
      <c r="F9789" s="1">
        <v>45147</v>
      </c>
      <c r="G9789" t="str">
        <f>"81435"</f>
        <v>81435</v>
      </c>
      <c r="H9789">
        <v>1</v>
      </c>
      <c r="I9789">
        <v>22</v>
      </c>
      <c r="J9789">
        <v>0</v>
      </c>
      <c r="K9789" t="str">
        <f t="shared" si="1748"/>
        <v>801</v>
      </c>
      <c r="L9789">
        <v>18.48</v>
      </c>
    </row>
    <row r="9790" spans="1:12" x14ac:dyDescent="0.25">
      <c r="A9790" t="str">
        <f t="shared" si="1738"/>
        <v>89301000</v>
      </c>
      <c r="B9790" t="str">
        <f t="shared" si="1746"/>
        <v>93501000</v>
      </c>
      <c r="C9790" t="str">
        <f t="shared" si="1747"/>
        <v>93501001</v>
      </c>
      <c r="D9790">
        <v>89301167</v>
      </c>
      <c r="E9790" t="str">
        <f t="shared" si="1745"/>
        <v>470127462</v>
      </c>
      <c r="F9790" s="1">
        <v>45147</v>
      </c>
      <c r="G9790" t="str">
        <f>"81439"</f>
        <v>81439</v>
      </c>
      <c r="H9790">
        <v>1</v>
      </c>
      <c r="I9790">
        <v>16</v>
      </c>
      <c r="J9790">
        <v>0</v>
      </c>
      <c r="K9790" t="str">
        <f t="shared" si="1748"/>
        <v>801</v>
      </c>
      <c r="L9790">
        <v>13.44</v>
      </c>
    </row>
    <row r="9791" spans="1:12" x14ac:dyDescent="0.25">
      <c r="A9791" t="str">
        <f t="shared" si="1738"/>
        <v>89301000</v>
      </c>
      <c r="B9791" t="str">
        <f t="shared" si="1746"/>
        <v>93501000</v>
      </c>
      <c r="C9791" t="str">
        <f t="shared" si="1747"/>
        <v>93501001</v>
      </c>
      <c r="D9791">
        <v>89301167</v>
      </c>
      <c r="E9791" t="str">
        <f t="shared" si="1745"/>
        <v>470127462</v>
      </c>
      <c r="F9791" s="1">
        <v>45147</v>
      </c>
      <c r="G9791" t="str">
        <f>"81469"</f>
        <v>81469</v>
      </c>
      <c r="H9791">
        <v>1</v>
      </c>
      <c r="I9791">
        <v>16</v>
      </c>
      <c r="J9791">
        <v>0</v>
      </c>
      <c r="K9791" t="str">
        <f t="shared" si="1748"/>
        <v>801</v>
      </c>
      <c r="L9791">
        <v>13.44</v>
      </c>
    </row>
    <row r="9792" spans="1:12" x14ac:dyDescent="0.25">
      <c r="A9792" t="str">
        <f t="shared" si="1738"/>
        <v>89301000</v>
      </c>
      <c r="B9792" t="str">
        <f t="shared" si="1746"/>
        <v>93501000</v>
      </c>
      <c r="C9792" t="str">
        <f t="shared" si="1747"/>
        <v>93501001</v>
      </c>
      <c r="D9792">
        <v>89301167</v>
      </c>
      <c r="E9792" t="str">
        <f t="shared" si="1745"/>
        <v>470127462</v>
      </c>
      <c r="F9792" s="1">
        <v>45147</v>
      </c>
      <c r="G9792" t="str">
        <f>"81499"</f>
        <v>81499</v>
      </c>
      <c r="H9792">
        <v>1</v>
      </c>
      <c r="I9792">
        <v>18</v>
      </c>
      <c r="J9792">
        <v>0</v>
      </c>
      <c r="K9792" t="str">
        <f t="shared" si="1748"/>
        <v>801</v>
      </c>
      <c r="L9792">
        <v>15.12</v>
      </c>
    </row>
    <row r="9793" spans="1:12" x14ac:dyDescent="0.25">
      <c r="A9793" t="str">
        <f t="shared" si="1738"/>
        <v>89301000</v>
      </c>
      <c r="B9793" t="str">
        <f t="shared" si="1746"/>
        <v>93501000</v>
      </c>
      <c r="C9793" t="str">
        <f t="shared" si="1747"/>
        <v>93501001</v>
      </c>
      <c r="D9793">
        <v>89301167</v>
      </c>
      <c r="E9793" t="str">
        <f t="shared" si="1745"/>
        <v>470127462</v>
      </c>
      <c r="F9793" s="1">
        <v>45147</v>
      </c>
      <c r="G9793" t="str">
        <f>"81523"</f>
        <v>81523</v>
      </c>
      <c r="H9793">
        <v>1</v>
      </c>
      <c r="I9793">
        <v>23</v>
      </c>
      <c r="J9793">
        <v>0</v>
      </c>
      <c r="K9793" t="str">
        <f t="shared" si="1748"/>
        <v>801</v>
      </c>
      <c r="L9793">
        <v>19.32</v>
      </c>
    </row>
    <row r="9794" spans="1:12" x14ac:dyDescent="0.25">
      <c r="A9794" t="str">
        <f t="shared" ref="A9794:A9857" si="1749">"89301000"</f>
        <v>89301000</v>
      </c>
      <c r="B9794" t="str">
        <f t="shared" si="1746"/>
        <v>93501000</v>
      </c>
      <c r="C9794" t="str">
        <f t="shared" si="1747"/>
        <v>93501001</v>
      </c>
      <c r="D9794">
        <v>89301167</v>
      </c>
      <c r="E9794" t="str">
        <f t="shared" si="1745"/>
        <v>470127462</v>
      </c>
      <c r="F9794" s="1">
        <v>45147</v>
      </c>
      <c r="G9794" t="str">
        <f>"81593"</f>
        <v>81593</v>
      </c>
      <c r="H9794">
        <v>1</v>
      </c>
      <c r="I9794">
        <v>22</v>
      </c>
      <c r="J9794">
        <v>0</v>
      </c>
      <c r="K9794" t="str">
        <f t="shared" si="1748"/>
        <v>801</v>
      </c>
      <c r="L9794">
        <v>18.48</v>
      </c>
    </row>
    <row r="9795" spans="1:12" x14ac:dyDescent="0.25">
      <c r="A9795" t="str">
        <f t="shared" si="1749"/>
        <v>89301000</v>
      </c>
      <c r="B9795" t="str">
        <f t="shared" si="1746"/>
        <v>93501000</v>
      </c>
      <c r="C9795" t="str">
        <f t="shared" si="1747"/>
        <v>93501001</v>
      </c>
      <c r="D9795">
        <v>89301167</v>
      </c>
      <c r="E9795" t="str">
        <f t="shared" si="1745"/>
        <v>470127462</v>
      </c>
      <c r="F9795" s="1">
        <v>45147</v>
      </c>
      <c r="G9795" t="str">
        <f>"81621"</f>
        <v>81621</v>
      </c>
      <c r="H9795">
        <v>1</v>
      </c>
      <c r="I9795">
        <v>19</v>
      </c>
      <c r="J9795">
        <v>0</v>
      </c>
      <c r="K9795" t="str">
        <f t="shared" si="1748"/>
        <v>801</v>
      </c>
      <c r="L9795">
        <v>15.96</v>
      </c>
    </row>
    <row r="9796" spans="1:12" x14ac:dyDescent="0.25">
      <c r="A9796" t="str">
        <f t="shared" si="1749"/>
        <v>89301000</v>
      </c>
      <c r="B9796" t="str">
        <f t="shared" si="1746"/>
        <v>93501000</v>
      </c>
      <c r="C9796" t="str">
        <f t="shared" si="1747"/>
        <v>93501001</v>
      </c>
      <c r="D9796">
        <v>89301167</v>
      </c>
      <c r="E9796" t="str">
        <f t="shared" si="1745"/>
        <v>470127462</v>
      </c>
      <c r="F9796" s="1">
        <v>45147</v>
      </c>
      <c r="G9796" t="str">
        <f>"81625"</f>
        <v>81625</v>
      </c>
      <c r="H9796">
        <v>1</v>
      </c>
      <c r="I9796">
        <v>21</v>
      </c>
      <c r="J9796">
        <v>0</v>
      </c>
      <c r="K9796" t="str">
        <f t="shared" si="1748"/>
        <v>801</v>
      </c>
      <c r="L9796">
        <v>17.64</v>
      </c>
    </row>
    <row r="9797" spans="1:12" x14ac:dyDescent="0.25">
      <c r="A9797" t="str">
        <f t="shared" si="1749"/>
        <v>89301000</v>
      </c>
      <c r="B9797" t="str">
        <f t="shared" si="1746"/>
        <v>93501000</v>
      </c>
      <c r="C9797" t="str">
        <f t="shared" si="1747"/>
        <v>93501001</v>
      </c>
      <c r="D9797">
        <v>89301167</v>
      </c>
      <c r="E9797" t="str">
        <f t="shared" si="1745"/>
        <v>470127462</v>
      </c>
      <c r="F9797" s="1">
        <v>45147</v>
      </c>
      <c r="G9797" t="str">
        <f>"91153"</f>
        <v>91153</v>
      </c>
      <c r="H9797">
        <v>1</v>
      </c>
      <c r="I9797">
        <v>153</v>
      </c>
      <c r="J9797">
        <v>0</v>
      </c>
      <c r="K9797" t="str">
        <f t="shared" si="1748"/>
        <v>801</v>
      </c>
      <c r="L9797">
        <v>128.52000000000001</v>
      </c>
    </row>
    <row r="9798" spans="1:12" x14ac:dyDescent="0.25">
      <c r="A9798" t="str">
        <f t="shared" si="1749"/>
        <v>89301000</v>
      </c>
      <c r="B9798" t="str">
        <f t="shared" si="1746"/>
        <v>93501000</v>
      </c>
      <c r="C9798" t="str">
        <f t="shared" si="1747"/>
        <v>93501001</v>
      </c>
      <c r="D9798">
        <v>89301167</v>
      </c>
      <c r="E9798" t="str">
        <f t="shared" si="1745"/>
        <v>470127462</v>
      </c>
      <c r="F9798" s="1">
        <v>45147</v>
      </c>
      <c r="G9798" t="str">
        <f>"97111"</f>
        <v>97111</v>
      </c>
      <c r="H9798">
        <v>1</v>
      </c>
      <c r="I9798">
        <v>19</v>
      </c>
      <c r="J9798">
        <v>0</v>
      </c>
      <c r="K9798" t="str">
        <f t="shared" si="1748"/>
        <v>801</v>
      </c>
      <c r="L9798">
        <v>23.94</v>
      </c>
    </row>
    <row r="9799" spans="1:12" x14ac:dyDescent="0.25">
      <c r="A9799" t="str">
        <f t="shared" si="1749"/>
        <v>89301000</v>
      </c>
      <c r="B9799" t="str">
        <f t="shared" si="1746"/>
        <v>93501000</v>
      </c>
      <c r="C9799" t="str">
        <f t="shared" si="1747"/>
        <v>93501001</v>
      </c>
      <c r="D9799">
        <v>89301167</v>
      </c>
      <c r="E9799" t="str">
        <f t="shared" ref="E9799:E9818" si="1750">"6003120068"</f>
        <v>6003120068</v>
      </c>
      <c r="F9799" s="1">
        <v>45163</v>
      </c>
      <c r="G9799" t="str">
        <f>"09119"</f>
        <v>09119</v>
      </c>
      <c r="H9799">
        <v>1</v>
      </c>
      <c r="I9799">
        <v>43</v>
      </c>
      <c r="J9799">
        <v>0</v>
      </c>
      <c r="K9799" t="str">
        <f t="shared" si="1748"/>
        <v>801</v>
      </c>
      <c r="L9799">
        <v>54.18</v>
      </c>
    </row>
    <row r="9800" spans="1:12" x14ac:dyDescent="0.25">
      <c r="A9800" t="str">
        <f t="shared" si="1749"/>
        <v>89301000</v>
      </c>
      <c r="B9800" t="str">
        <f t="shared" si="1746"/>
        <v>93501000</v>
      </c>
      <c r="C9800" t="str">
        <f t="shared" si="1747"/>
        <v>93501001</v>
      </c>
      <c r="D9800">
        <v>89301167</v>
      </c>
      <c r="E9800" t="str">
        <f t="shared" si="1750"/>
        <v>6003120068</v>
      </c>
      <c r="F9800" s="1">
        <v>45163</v>
      </c>
      <c r="G9800" t="str">
        <f>"81337"</f>
        <v>81337</v>
      </c>
      <c r="H9800">
        <v>1</v>
      </c>
      <c r="I9800">
        <v>20</v>
      </c>
      <c r="J9800">
        <v>0</v>
      </c>
      <c r="K9800" t="str">
        <f t="shared" si="1748"/>
        <v>801</v>
      </c>
      <c r="L9800">
        <v>16.8</v>
      </c>
    </row>
    <row r="9801" spans="1:12" x14ac:dyDescent="0.25">
      <c r="A9801" t="str">
        <f t="shared" si="1749"/>
        <v>89301000</v>
      </c>
      <c r="B9801" t="str">
        <f t="shared" si="1746"/>
        <v>93501000</v>
      </c>
      <c r="C9801" t="str">
        <f t="shared" si="1747"/>
        <v>93501001</v>
      </c>
      <c r="D9801">
        <v>89301167</v>
      </c>
      <c r="E9801" t="str">
        <f t="shared" si="1750"/>
        <v>6003120068</v>
      </c>
      <c r="F9801" s="1">
        <v>45163</v>
      </c>
      <c r="G9801" t="str">
        <f>"81357"</f>
        <v>81357</v>
      </c>
      <c r="H9801">
        <v>1</v>
      </c>
      <c r="I9801">
        <v>20</v>
      </c>
      <c r="J9801">
        <v>0</v>
      </c>
      <c r="K9801" t="str">
        <f t="shared" si="1748"/>
        <v>801</v>
      </c>
      <c r="L9801">
        <v>16.8</v>
      </c>
    </row>
    <row r="9802" spans="1:12" x14ac:dyDescent="0.25">
      <c r="A9802" t="str">
        <f t="shared" si="1749"/>
        <v>89301000</v>
      </c>
      <c r="B9802" t="str">
        <f t="shared" si="1746"/>
        <v>93501000</v>
      </c>
      <c r="C9802" t="str">
        <f t="shared" si="1747"/>
        <v>93501001</v>
      </c>
      <c r="D9802">
        <v>89301167</v>
      </c>
      <c r="E9802" t="str">
        <f t="shared" si="1750"/>
        <v>6003120068</v>
      </c>
      <c r="F9802" s="1">
        <v>45163</v>
      </c>
      <c r="G9802" t="str">
        <f>"81361"</f>
        <v>81361</v>
      </c>
      <c r="H9802">
        <v>1</v>
      </c>
      <c r="I9802">
        <v>17</v>
      </c>
      <c r="J9802">
        <v>0</v>
      </c>
      <c r="K9802" t="str">
        <f t="shared" si="1748"/>
        <v>801</v>
      </c>
      <c r="L9802">
        <v>14.28</v>
      </c>
    </row>
    <row r="9803" spans="1:12" x14ac:dyDescent="0.25">
      <c r="A9803" t="str">
        <f t="shared" si="1749"/>
        <v>89301000</v>
      </c>
      <c r="B9803" t="str">
        <f t="shared" si="1746"/>
        <v>93501000</v>
      </c>
      <c r="C9803" t="str">
        <f t="shared" si="1747"/>
        <v>93501001</v>
      </c>
      <c r="D9803">
        <v>89301167</v>
      </c>
      <c r="E9803" t="str">
        <f t="shared" si="1750"/>
        <v>6003120068</v>
      </c>
      <c r="F9803" s="1">
        <v>45163</v>
      </c>
      <c r="G9803" t="str">
        <f>"81383"</f>
        <v>81383</v>
      </c>
      <c r="H9803">
        <v>1</v>
      </c>
      <c r="I9803">
        <v>24</v>
      </c>
      <c r="J9803">
        <v>0</v>
      </c>
      <c r="K9803" t="str">
        <f t="shared" si="1748"/>
        <v>801</v>
      </c>
      <c r="L9803">
        <v>20.16</v>
      </c>
    </row>
    <row r="9804" spans="1:12" x14ac:dyDescent="0.25">
      <c r="A9804" t="str">
        <f t="shared" si="1749"/>
        <v>89301000</v>
      </c>
      <c r="B9804" t="str">
        <f t="shared" si="1746"/>
        <v>93501000</v>
      </c>
      <c r="C9804" t="str">
        <f t="shared" si="1747"/>
        <v>93501001</v>
      </c>
      <c r="D9804">
        <v>89301167</v>
      </c>
      <c r="E9804" t="str">
        <f t="shared" si="1750"/>
        <v>6003120068</v>
      </c>
      <c r="F9804" s="1">
        <v>45163</v>
      </c>
      <c r="G9804" t="str">
        <f>"81393"</f>
        <v>81393</v>
      </c>
      <c r="H9804">
        <v>1</v>
      </c>
      <c r="I9804">
        <v>24</v>
      </c>
      <c r="J9804">
        <v>0</v>
      </c>
      <c r="K9804" t="str">
        <f t="shared" si="1748"/>
        <v>801</v>
      </c>
      <c r="L9804">
        <v>20.16</v>
      </c>
    </row>
    <row r="9805" spans="1:12" x14ac:dyDescent="0.25">
      <c r="A9805" t="str">
        <f t="shared" si="1749"/>
        <v>89301000</v>
      </c>
      <c r="B9805" t="str">
        <f t="shared" si="1746"/>
        <v>93501000</v>
      </c>
      <c r="C9805" t="str">
        <f t="shared" si="1747"/>
        <v>93501001</v>
      </c>
      <c r="D9805">
        <v>89301167</v>
      </c>
      <c r="E9805" t="str">
        <f t="shared" si="1750"/>
        <v>6003120068</v>
      </c>
      <c r="F9805" s="1">
        <v>45163</v>
      </c>
      <c r="G9805" t="str">
        <f>"81421"</f>
        <v>81421</v>
      </c>
      <c r="H9805">
        <v>1</v>
      </c>
      <c r="I9805">
        <v>19</v>
      </c>
      <c r="J9805">
        <v>0</v>
      </c>
      <c r="K9805" t="str">
        <f t="shared" si="1748"/>
        <v>801</v>
      </c>
      <c r="L9805">
        <v>15.96</v>
      </c>
    </row>
    <row r="9806" spans="1:12" x14ac:dyDescent="0.25">
      <c r="A9806" t="str">
        <f t="shared" si="1749"/>
        <v>89301000</v>
      </c>
      <c r="B9806" t="str">
        <f t="shared" si="1746"/>
        <v>93501000</v>
      </c>
      <c r="C9806" t="str">
        <f t="shared" si="1747"/>
        <v>93501001</v>
      </c>
      <c r="D9806">
        <v>89301167</v>
      </c>
      <c r="E9806" t="str">
        <f t="shared" si="1750"/>
        <v>6003120068</v>
      </c>
      <c r="F9806" s="1">
        <v>45163</v>
      </c>
      <c r="G9806" t="str">
        <f>"81435"</f>
        <v>81435</v>
      </c>
      <c r="H9806">
        <v>1</v>
      </c>
      <c r="I9806">
        <v>22</v>
      </c>
      <c r="J9806">
        <v>0</v>
      </c>
      <c r="K9806" t="str">
        <f t="shared" si="1748"/>
        <v>801</v>
      </c>
      <c r="L9806">
        <v>18.48</v>
      </c>
    </row>
    <row r="9807" spans="1:12" x14ac:dyDescent="0.25">
      <c r="A9807" t="str">
        <f t="shared" si="1749"/>
        <v>89301000</v>
      </c>
      <c r="B9807" t="str">
        <f t="shared" si="1746"/>
        <v>93501000</v>
      </c>
      <c r="C9807" t="str">
        <f t="shared" si="1747"/>
        <v>93501001</v>
      </c>
      <c r="D9807">
        <v>89301167</v>
      </c>
      <c r="E9807" t="str">
        <f t="shared" si="1750"/>
        <v>6003120068</v>
      </c>
      <c r="F9807" s="1">
        <v>45163</v>
      </c>
      <c r="G9807" t="str">
        <f>"81439"</f>
        <v>81439</v>
      </c>
      <c r="H9807">
        <v>1</v>
      </c>
      <c r="I9807">
        <v>16</v>
      </c>
      <c r="J9807">
        <v>0</v>
      </c>
      <c r="K9807" t="str">
        <f t="shared" si="1748"/>
        <v>801</v>
      </c>
      <c r="L9807">
        <v>13.44</v>
      </c>
    </row>
    <row r="9808" spans="1:12" x14ac:dyDescent="0.25">
      <c r="A9808" t="str">
        <f t="shared" si="1749"/>
        <v>89301000</v>
      </c>
      <c r="B9808" t="str">
        <f t="shared" si="1746"/>
        <v>93501000</v>
      </c>
      <c r="C9808" t="str">
        <f t="shared" si="1747"/>
        <v>93501001</v>
      </c>
      <c r="D9808">
        <v>89301167</v>
      </c>
      <c r="E9808" t="str">
        <f t="shared" si="1750"/>
        <v>6003120068</v>
      </c>
      <c r="F9808" s="1">
        <v>45163</v>
      </c>
      <c r="G9808" t="str">
        <f>"81465"</f>
        <v>81465</v>
      </c>
      <c r="H9808">
        <v>1</v>
      </c>
      <c r="I9808">
        <v>21</v>
      </c>
      <c r="J9808">
        <v>0</v>
      </c>
      <c r="K9808" t="str">
        <f t="shared" si="1748"/>
        <v>801</v>
      </c>
      <c r="L9808">
        <v>17.64</v>
      </c>
    </row>
    <row r="9809" spans="1:12" x14ac:dyDescent="0.25">
      <c r="A9809" t="str">
        <f t="shared" si="1749"/>
        <v>89301000</v>
      </c>
      <c r="B9809" t="str">
        <f t="shared" ref="B9809:B9843" si="1751">"93501000"</f>
        <v>93501000</v>
      </c>
      <c r="C9809" t="str">
        <f t="shared" ref="C9809:C9831" si="1752">"93501001"</f>
        <v>93501001</v>
      </c>
      <c r="D9809">
        <v>89301167</v>
      </c>
      <c r="E9809" t="str">
        <f t="shared" si="1750"/>
        <v>6003120068</v>
      </c>
      <c r="F9809" s="1">
        <v>45163</v>
      </c>
      <c r="G9809" t="str">
        <f>"81469"</f>
        <v>81469</v>
      </c>
      <c r="H9809">
        <v>1</v>
      </c>
      <c r="I9809">
        <v>16</v>
      </c>
      <c r="J9809">
        <v>0</v>
      </c>
      <c r="K9809" t="str">
        <f t="shared" ref="K9809:K9834" si="1753">"801"</f>
        <v>801</v>
      </c>
      <c r="L9809">
        <v>13.44</v>
      </c>
    </row>
    <row r="9810" spans="1:12" x14ac:dyDescent="0.25">
      <c r="A9810" t="str">
        <f t="shared" si="1749"/>
        <v>89301000</v>
      </c>
      <c r="B9810" t="str">
        <f t="shared" si="1751"/>
        <v>93501000</v>
      </c>
      <c r="C9810" t="str">
        <f t="shared" si="1752"/>
        <v>93501001</v>
      </c>
      <c r="D9810">
        <v>89301167</v>
      </c>
      <c r="E9810" t="str">
        <f t="shared" si="1750"/>
        <v>6003120068</v>
      </c>
      <c r="F9810" s="1">
        <v>45163</v>
      </c>
      <c r="G9810" t="str">
        <f>"81499"</f>
        <v>81499</v>
      </c>
      <c r="H9810">
        <v>1</v>
      </c>
      <c r="I9810">
        <v>18</v>
      </c>
      <c r="J9810">
        <v>0</v>
      </c>
      <c r="K9810" t="str">
        <f t="shared" si="1753"/>
        <v>801</v>
      </c>
      <c r="L9810">
        <v>15.12</v>
      </c>
    </row>
    <row r="9811" spans="1:12" x14ac:dyDescent="0.25">
      <c r="A9811" t="str">
        <f t="shared" si="1749"/>
        <v>89301000</v>
      </c>
      <c r="B9811" t="str">
        <f t="shared" si="1751"/>
        <v>93501000</v>
      </c>
      <c r="C9811" t="str">
        <f t="shared" si="1752"/>
        <v>93501001</v>
      </c>
      <c r="D9811">
        <v>89301167</v>
      </c>
      <c r="E9811" t="str">
        <f t="shared" si="1750"/>
        <v>6003120068</v>
      </c>
      <c r="F9811" s="1">
        <v>45163</v>
      </c>
      <c r="G9811" t="str">
        <f>"81593"</f>
        <v>81593</v>
      </c>
      <c r="H9811">
        <v>1</v>
      </c>
      <c r="I9811">
        <v>22</v>
      </c>
      <c r="J9811">
        <v>0</v>
      </c>
      <c r="K9811" t="str">
        <f t="shared" si="1753"/>
        <v>801</v>
      </c>
      <c r="L9811">
        <v>18.48</v>
      </c>
    </row>
    <row r="9812" spans="1:12" x14ac:dyDescent="0.25">
      <c r="A9812" t="str">
        <f t="shared" si="1749"/>
        <v>89301000</v>
      </c>
      <c r="B9812" t="str">
        <f t="shared" si="1751"/>
        <v>93501000</v>
      </c>
      <c r="C9812" t="str">
        <f t="shared" si="1752"/>
        <v>93501001</v>
      </c>
      <c r="D9812">
        <v>89301167</v>
      </c>
      <c r="E9812" t="str">
        <f t="shared" si="1750"/>
        <v>6003120068</v>
      </c>
      <c r="F9812" s="1">
        <v>45163</v>
      </c>
      <c r="G9812" t="str">
        <f>"81621"</f>
        <v>81621</v>
      </c>
      <c r="H9812">
        <v>1</v>
      </c>
      <c r="I9812">
        <v>19</v>
      </c>
      <c r="J9812">
        <v>0</v>
      </c>
      <c r="K9812" t="str">
        <f t="shared" si="1753"/>
        <v>801</v>
      </c>
      <c r="L9812">
        <v>15.96</v>
      </c>
    </row>
    <row r="9813" spans="1:12" x14ac:dyDescent="0.25">
      <c r="A9813" t="str">
        <f t="shared" si="1749"/>
        <v>89301000</v>
      </c>
      <c r="B9813" t="str">
        <f t="shared" si="1751"/>
        <v>93501000</v>
      </c>
      <c r="C9813" t="str">
        <f t="shared" si="1752"/>
        <v>93501001</v>
      </c>
      <c r="D9813">
        <v>89301167</v>
      </c>
      <c r="E9813" t="str">
        <f t="shared" si="1750"/>
        <v>6003120068</v>
      </c>
      <c r="F9813" s="1">
        <v>45163</v>
      </c>
      <c r="G9813" t="str">
        <f>"81625"</f>
        <v>81625</v>
      </c>
      <c r="H9813">
        <v>1</v>
      </c>
      <c r="I9813">
        <v>21</v>
      </c>
      <c r="J9813">
        <v>0</v>
      </c>
      <c r="K9813" t="str">
        <f t="shared" si="1753"/>
        <v>801</v>
      </c>
      <c r="L9813">
        <v>17.64</v>
      </c>
    </row>
    <row r="9814" spans="1:12" x14ac:dyDescent="0.25">
      <c r="A9814" t="str">
        <f t="shared" si="1749"/>
        <v>89301000</v>
      </c>
      <c r="B9814" t="str">
        <f t="shared" si="1751"/>
        <v>93501000</v>
      </c>
      <c r="C9814" t="str">
        <f t="shared" si="1752"/>
        <v>93501001</v>
      </c>
      <c r="D9814">
        <v>89301167</v>
      </c>
      <c r="E9814" t="str">
        <f t="shared" si="1750"/>
        <v>6003120068</v>
      </c>
      <c r="F9814" s="1">
        <v>45163</v>
      </c>
      <c r="G9814" t="str">
        <f>"91153"</f>
        <v>91153</v>
      </c>
      <c r="H9814">
        <v>1</v>
      </c>
      <c r="I9814">
        <v>153</v>
      </c>
      <c r="J9814">
        <v>0</v>
      </c>
      <c r="K9814" t="str">
        <f t="shared" si="1753"/>
        <v>801</v>
      </c>
      <c r="L9814">
        <v>128.52000000000001</v>
      </c>
    </row>
    <row r="9815" spans="1:12" x14ac:dyDescent="0.25">
      <c r="A9815" t="str">
        <f t="shared" si="1749"/>
        <v>89301000</v>
      </c>
      <c r="B9815" t="str">
        <f t="shared" si="1751"/>
        <v>93501000</v>
      </c>
      <c r="C9815" t="str">
        <f t="shared" si="1752"/>
        <v>93501001</v>
      </c>
      <c r="D9815">
        <v>89301167</v>
      </c>
      <c r="E9815" t="str">
        <f t="shared" si="1750"/>
        <v>6003120068</v>
      </c>
      <c r="F9815" s="1">
        <v>45163</v>
      </c>
      <c r="G9815" t="str">
        <f>"97111"</f>
        <v>97111</v>
      </c>
      <c r="H9815">
        <v>1</v>
      </c>
      <c r="I9815">
        <v>19</v>
      </c>
      <c r="J9815">
        <v>0</v>
      </c>
      <c r="K9815" t="str">
        <f t="shared" si="1753"/>
        <v>801</v>
      </c>
      <c r="L9815">
        <v>23.94</v>
      </c>
    </row>
    <row r="9816" spans="1:12" x14ac:dyDescent="0.25">
      <c r="A9816" t="str">
        <f t="shared" si="1749"/>
        <v>89301000</v>
      </c>
      <c r="B9816" t="str">
        <f t="shared" si="1751"/>
        <v>93501000</v>
      </c>
      <c r="C9816" t="str">
        <f t="shared" si="1752"/>
        <v>93501001</v>
      </c>
      <c r="D9816">
        <v>89301167</v>
      </c>
      <c r="E9816" t="str">
        <f t="shared" si="1750"/>
        <v>6003120068</v>
      </c>
      <c r="F9816" s="1">
        <v>45152</v>
      </c>
      <c r="G9816" t="str">
        <f>"09119"</f>
        <v>09119</v>
      </c>
      <c r="H9816">
        <v>1</v>
      </c>
      <c r="I9816">
        <v>43</v>
      </c>
      <c r="J9816">
        <v>0</v>
      </c>
      <c r="K9816" t="str">
        <f t="shared" si="1753"/>
        <v>801</v>
      </c>
      <c r="L9816">
        <v>54.18</v>
      </c>
    </row>
    <row r="9817" spans="1:12" x14ac:dyDescent="0.25">
      <c r="A9817" t="str">
        <f t="shared" si="1749"/>
        <v>89301000</v>
      </c>
      <c r="B9817" t="str">
        <f t="shared" si="1751"/>
        <v>93501000</v>
      </c>
      <c r="C9817" t="str">
        <f t="shared" si="1752"/>
        <v>93501001</v>
      </c>
      <c r="D9817">
        <v>89301167</v>
      </c>
      <c r="E9817" t="str">
        <f t="shared" si="1750"/>
        <v>6003120068</v>
      </c>
      <c r="F9817" s="1">
        <v>45152</v>
      </c>
      <c r="G9817" t="str">
        <f>"91153"</f>
        <v>91153</v>
      </c>
      <c r="H9817">
        <v>1</v>
      </c>
      <c r="I9817">
        <v>153</v>
      </c>
      <c r="J9817">
        <v>0</v>
      </c>
      <c r="K9817" t="str">
        <f t="shared" si="1753"/>
        <v>801</v>
      </c>
      <c r="L9817">
        <v>128.52000000000001</v>
      </c>
    </row>
    <row r="9818" spans="1:12" x14ac:dyDescent="0.25">
      <c r="A9818" t="str">
        <f t="shared" si="1749"/>
        <v>89301000</v>
      </c>
      <c r="B9818" t="str">
        <f t="shared" si="1751"/>
        <v>93501000</v>
      </c>
      <c r="C9818" t="str">
        <f t="shared" si="1752"/>
        <v>93501001</v>
      </c>
      <c r="D9818">
        <v>89301167</v>
      </c>
      <c r="E9818" t="str">
        <f t="shared" si="1750"/>
        <v>6003120068</v>
      </c>
      <c r="F9818" s="1">
        <v>45152</v>
      </c>
      <c r="G9818" t="str">
        <f>"97111"</f>
        <v>97111</v>
      </c>
      <c r="H9818">
        <v>1</v>
      </c>
      <c r="I9818">
        <v>19</v>
      </c>
      <c r="J9818">
        <v>0</v>
      </c>
      <c r="K9818" t="str">
        <f t="shared" si="1753"/>
        <v>801</v>
      </c>
      <c r="L9818">
        <v>23.94</v>
      </c>
    </row>
    <row r="9819" spans="1:12" x14ac:dyDescent="0.25">
      <c r="A9819" t="str">
        <f t="shared" si="1749"/>
        <v>89301000</v>
      </c>
      <c r="B9819" t="str">
        <f t="shared" si="1751"/>
        <v>93501000</v>
      </c>
      <c r="C9819" t="str">
        <f t="shared" si="1752"/>
        <v>93501001</v>
      </c>
      <c r="D9819">
        <v>89301167</v>
      </c>
      <c r="E9819" t="str">
        <f t="shared" ref="E9819:E9831" si="1754">"420102444"</f>
        <v>420102444</v>
      </c>
      <c r="F9819" s="1">
        <v>45169</v>
      </c>
      <c r="G9819" t="str">
        <f>"81337"</f>
        <v>81337</v>
      </c>
      <c r="H9819">
        <v>1</v>
      </c>
      <c r="I9819">
        <v>20</v>
      </c>
      <c r="J9819">
        <v>0</v>
      </c>
      <c r="K9819" t="str">
        <f t="shared" si="1753"/>
        <v>801</v>
      </c>
      <c r="L9819">
        <v>16.8</v>
      </c>
    </row>
    <row r="9820" spans="1:12" x14ac:dyDescent="0.25">
      <c r="A9820" t="str">
        <f t="shared" si="1749"/>
        <v>89301000</v>
      </c>
      <c r="B9820" t="str">
        <f t="shared" si="1751"/>
        <v>93501000</v>
      </c>
      <c r="C9820" t="str">
        <f t="shared" si="1752"/>
        <v>93501001</v>
      </c>
      <c r="D9820">
        <v>89301167</v>
      </c>
      <c r="E9820" t="str">
        <f t="shared" si="1754"/>
        <v>420102444</v>
      </c>
      <c r="F9820" s="1">
        <v>45169</v>
      </c>
      <c r="G9820" t="str">
        <f>"81357"</f>
        <v>81357</v>
      </c>
      <c r="H9820">
        <v>1</v>
      </c>
      <c r="I9820">
        <v>20</v>
      </c>
      <c r="J9820">
        <v>0</v>
      </c>
      <c r="K9820" t="str">
        <f t="shared" si="1753"/>
        <v>801</v>
      </c>
      <c r="L9820">
        <v>16.8</v>
      </c>
    </row>
    <row r="9821" spans="1:12" x14ac:dyDescent="0.25">
      <c r="A9821" t="str">
        <f t="shared" si="1749"/>
        <v>89301000</v>
      </c>
      <c r="B9821" t="str">
        <f t="shared" si="1751"/>
        <v>93501000</v>
      </c>
      <c r="C9821" t="str">
        <f t="shared" si="1752"/>
        <v>93501001</v>
      </c>
      <c r="D9821">
        <v>89301167</v>
      </c>
      <c r="E9821" t="str">
        <f t="shared" si="1754"/>
        <v>420102444</v>
      </c>
      <c r="F9821" s="1">
        <v>45169</v>
      </c>
      <c r="G9821" t="str">
        <f>"81361"</f>
        <v>81361</v>
      </c>
      <c r="H9821">
        <v>1</v>
      </c>
      <c r="I9821">
        <v>17</v>
      </c>
      <c r="J9821">
        <v>0</v>
      </c>
      <c r="K9821" t="str">
        <f t="shared" si="1753"/>
        <v>801</v>
      </c>
      <c r="L9821">
        <v>14.28</v>
      </c>
    </row>
    <row r="9822" spans="1:12" x14ac:dyDescent="0.25">
      <c r="A9822" t="str">
        <f t="shared" si="1749"/>
        <v>89301000</v>
      </c>
      <c r="B9822" t="str">
        <f t="shared" si="1751"/>
        <v>93501000</v>
      </c>
      <c r="C9822" t="str">
        <f t="shared" si="1752"/>
        <v>93501001</v>
      </c>
      <c r="D9822">
        <v>89301167</v>
      </c>
      <c r="E9822" t="str">
        <f t="shared" si="1754"/>
        <v>420102444</v>
      </c>
      <c r="F9822" s="1">
        <v>45169</v>
      </c>
      <c r="G9822" t="str">
        <f>"81383"</f>
        <v>81383</v>
      </c>
      <c r="H9822">
        <v>1</v>
      </c>
      <c r="I9822">
        <v>24</v>
      </c>
      <c r="J9822">
        <v>0</v>
      </c>
      <c r="K9822" t="str">
        <f t="shared" si="1753"/>
        <v>801</v>
      </c>
      <c r="L9822">
        <v>20.16</v>
      </c>
    </row>
    <row r="9823" spans="1:12" x14ac:dyDescent="0.25">
      <c r="A9823" t="str">
        <f t="shared" si="1749"/>
        <v>89301000</v>
      </c>
      <c r="B9823" t="str">
        <f t="shared" si="1751"/>
        <v>93501000</v>
      </c>
      <c r="C9823" t="str">
        <f t="shared" si="1752"/>
        <v>93501001</v>
      </c>
      <c r="D9823">
        <v>89301167</v>
      </c>
      <c r="E9823" t="str">
        <f t="shared" si="1754"/>
        <v>420102444</v>
      </c>
      <c r="F9823" s="1">
        <v>45169</v>
      </c>
      <c r="G9823" t="str">
        <f>"81393"</f>
        <v>81393</v>
      </c>
      <c r="H9823">
        <v>1</v>
      </c>
      <c r="I9823">
        <v>24</v>
      </c>
      <c r="J9823">
        <v>0</v>
      </c>
      <c r="K9823" t="str">
        <f t="shared" si="1753"/>
        <v>801</v>
      </c>
      <c r="L9823">
        <v>20.16</v>
      </c>
    </row>
    <row r="9824" spans="1:12" x14ac:dyDescent="0.25">
      <c r="A9824" t="str">
        <f t="shared" si="1749"/>
        <v>89301000</v>
      </c>
      <c r="B9824" t="str">
        <f t="shared" si="1751"/>
        <v>93501000</v>
      </c>
      <c r="C9824" t="str">
        <f t="shared" si="1752"/>
        <v>93501001</v>
      </c>
      <c r="D9824">
        <v>89301167</v>
      </c>
      <c r="E9824" t="str">
        <f t="shared" si="1754"/>
        <v>420102444</v>
      </c>
      <c r="F9824" s="1">
        <v>45169</v>
      </c>
      <c r="G9824" t="str">
        <f>"81421"</f>
        <v>81421</v>
      </c>
      <c r="H9824">
        <v>1</v>
      </c>
      <c r="I9824">
        <v>19</v>
      </c>
      <c r="J9824">
        <v>0</v>
      </c>
      <c r="K9824" t="str">
        <f t="shared" si="1753"/>
        <v>801</v>
      </c>
      <c r="L9824">
        <v>15.96</v>
      </c>
    </row>
    <row r="9825" spans="1:12" x14ac:dyDescent="0.25">
      <c r="A9825" t="str">
        <f t="shared" si="1749"/>
        <v>89301000</v>
      </c>
      <c r="B9825" t="str">
        <f t="shared" si="1751"/>
        <v>93501000</v>
      </c>
      <c r="C9825" t="str">
        <f t="shared" si="1752"/>
        <v>93501001</v>
      </c>
      <c r="D9825">
        <v>89301167</v>
      </c>
      <c r="E9825" t="str">
        <f t="shared" si="1754"/>
        <v>420102444</v>
      </c>
      <c r="F9825" s="1">
        <v>45169</v>
      </c>
      <c r="G9825" t="str">
        <f>"81435"</f>
        <v>81435</v>
      </c>
      <c r="H9825">
        <v>1</v>
      </c>
      <c r="I9825">
        <v>22</v>
      </c>
      <c r="J9825">
        <v>0</v>
      </c>
      <c r="K9825" t="str">
        <f t="shared" si="1753"/>
        <v>801</v>
      </c>
      <c r="L9825">
        <v>18.48</v>
      </c>
    </row>
    <row r="9826" spans="1:12" x14ac:dyDescent="0.25">
      <c r="A9826" t="str">
        <f t="shared" si="1749"/>
        <v>89301000</v>
      </c>
      <c r="B9826" t="str">
        <f t="shared" si="1751"/>
        <v>93501000</v>
      </c>
      <c r="C9826" t="str">
        <f t="shared" si="1752"/>
        <v>93501001</v>
      </c>
      <c r="D9826">
        <v>89301167</v>
      </c>
      <c r="E9826" t="str">
        <f t="shared" si="1754"/>
        <v>420102444</v>
      </c>
      <c r="F9826" s="1">
        <v>45169</v>
      </c>
      <c r="G9826" t="str">
        <f>"81469"</f>
        <v>81469</v>
      </c>
      <c r="H9826">
        <v>1</v>
      </c>
      <c r="I9826">
        <v>16</v>
      </c>
      <c r="J9826">
        <v>0</v>
      </c>
      <c r="K9826" t="str">
        <f t="shared" si="1753"/>
        <v>801</v>
      </c>
      <c r="L9826">
        <v>13.44</v>
      </c>
    </row>
    <row r="9827" spans="1:12" x14ac:dyDescent="0.25">
      <c r="A9827" t="str">
        <f t="shared" si="1749"/>
        <v>89301000</v>
      </c>
      <c r="B9827" t="str">
        <f t="shared" si="1751"/>
        <v>93501000</v>
      </c>
      <c r="C9827" t="str">
        <f t="shared" si="1752"/>
        <v>93501001</v>
      </c>
      <c r="D9827">
        <v>89301167</v>
      </c>
      <c r="E9827" t="str">
        <f t="shared" si="1754"/>
        <v>420102444</v>
      </c>
      <c r="F9827" s="1">
        <v>45169</v>
      </c>
      <c r="G9827" t="str">
        <f>"81523"</f>
        <v>81523</v>
      </c>
      <c r="H9827">
        <v>1</v>
      </c>
      <c r="I9827">
        <v>23</v>
      </c>
      <c r="J9827">
        <v>0</v>
      </c>
      <c r="K9827" t="str">
        <f t="shared" si="1753"/>
        <v>801</v>
      </c>
      <c r="L9827">
        <v>19.32</v>
      </c>
    </row>
    <row r="9828" spans="1:12" x14ac:dyDescent="0.25">
      <c r="A9828" t="str">
        <f t="shared" si="1749"/>
        <v>89301000</v>
      </c>
      <c r="B9828" t="str">
        <f t="shared" si="1751"/>
        <v>93501000</v>
      </c>
      <c r="C9828" t="str">
        <f t="shared" si="1752"/>
        <v>93501001</v>
      </c>
      <c r="D9828">
        <v>89301167</v>
      </c>
      <c r="E9828" t="str">
        <f t="shared" si="1754"/>
        <v>420102444</v>
      </c>
      <c r="F9828" s="1">
        <v>45169</v>
      </c>
      <c r="G9828" t="str">
        <f>"81593"</f>
        <v>81593</v>
      </c>
      <c r="H9828">
        <v>1</v>
      </c>
      <c r="I9828">
        <v>22</v>
      </c>
      <c r="J9828">
        <v>0</v>
      </c>
      <c r="K9828" t="str">
        <f t="shared" si="1753"/>
        <v>801</v>
      </c>
      <c r="L9828">
        <v>18.48</v>
      </c>
    </row>
    <row r="9829" spans="1:12" x14ac:dyDescent="0.25">
      <c r="A9829" t="str">
        <f t="shared" si="1749"/>
        <v>89301000</v>
      </c>
      <c r="B9829" t="str">
        <f t="shared" si="1751"/>
        <v>93501000</v>
      </c>
      <c r="C9829" t="str">
        <f t="shared" si="1752"/>
        <v>93501001</v>
      </c>
      <c r="D9829">
        <v>89301167</v>
      </c>
      <c r="E9829" t="str">
        <f t="shared" si="1754"/>
        <v>420102444</v>
      </c>
      <c r="F9829" s="1">
        <v>45169</v>
      </c>
      <c r="G9829" t="str">
        <f>"81625"</f>
        <v>81625</v>
      </c>
      <c r="H9829">
        <v>1</v>
      </c>
      <c r="I9829">
        <v>21</v>
      </c>
      <c r="J9829">
        <v>0</v>
      </c>
      <c r="K9829" t="str">
        <f t="shared" si="1753"/>
        <v>801</v>
      </c>
      <c r="L9829">
        <v>17.64</v>
      </c>
    </row>
    <row r="9830" spans="1:12" x14ac:dyDescent="0.25">
      <c r="A9830" t="str">
        <f t="shared" si="1749"/>
        <v>89301000</v>
      </c>
      <c r="B9830" t="str">
        <f t="shared" si="1751"/>
        <v>93501000</v>
      </c>
      <c r="C9830" t="str">
        <f t="shared" si="1752"/>
        <v>93501001</v>
      </c>
      <c r="D9830">
        <v>89301167</v>
      </c>
      <c r="E9830" t="str">
        <f t="shared" si="1754"/>
        <v>420102444</v>
      </c>
      <c r="F9830" s="1">
        <v>45169</v>
      </c>
      <c r="G9830" t="str">
        <f>"91153"</f>
        <v>91153</v>
      </c>
      <c r="H9830">
        <v>1</v>
      </c>
      <c r="I9830">
        <v>153</v>
      </c>
      <c r="J9830">
        <v>0</v>
      </c>
      <c r="K9830" t="str">
        <f t="shared" si="1753"/>
        <v>801</v>
      </c>
      <c r="L9830">
        <v>128.52000000000001</v>
      </c>
    </row>
    <row r="9831" spans="1:12" x14ac:dyDescent="0.25">
      <c r="A9831" t="str">
        <f t="shared" si="1749"/>
        <v>89301000</v>
      </c>
      <c r="B9831" t="str">
        <f t="shared" si="1751"/>
        <v>93501000</v>
      </c>
      <c r="C9831" t="str">
        <f t="shared" si="1752"/>
        <v>93501001</v>
      </c>
      <c r="D9831">
        <v>89301167</v>
      </c>
      <c r="E9831" t="str">
        <f t="shared" si="1754"/>
        <v>420102444</v>
      </c>
      <c r="F9831" s="1">
        <v>45169</v>
      </c>
      <c r="G9831" t="str">
        <f>"97111"</f>
        <v>97111</v>
      </c>
      <c r="H9831">
        <v>1</v>
      </c>
      <c r="I9831">
        <v>19</v>
      </c>
      <c r="J9831">
        <v>0</v>
      </c>
      <c r="K9831" t="str">
        <f t="shared" si="1753"/>
        <v>801</v>
      </c>
      <c r="L9831">
        <v>23.94</v>
      </c>
    </row>
    <row r="9832" spans="1:12" x14ac:dyDescent="0.25">
      <c r="A9832" t="str">
        <f t="shared" si="1749"/>
        <v>89301000</v>
      </c>
      <c r="B9832" t="str">
        <f t="shared" si="1751"/>
        <v>93501000</v>
      </c>
      <c r="C9832" t="str">
        <f>"93501003"</f>
        <v>93501003</v>
      </c>
      <c r="D9832">
        <v>89301082</v>
      </c>
      <c r="E9832" t="str">
        <f>"8655286211"</f>
        <v>8655286211</v>
      </c>
      <c r="F9832" s="1">
        <v>45145</v>
      </c>
      <c r="G9832" t="str">
        <f>"09119"</f>
        <v>09119</v>
      </c>
      <c r="H9832">
        <v>1</v>
      </c>
      <c r="I9832">
        <v>43</v>
      </c>
      <c r="J9832">
        <v>0</v>
      </c>
      <c r="K9832" t="str">
        <f t="shared" si="1753"/>
        <v>801</v>
      </c>
      <c r="L9832">
        <v>54.18</v>
      </c>
    </row>
    <row r="9833" spans="1:12" x14ac:dyDescent="0.25">
      <c r="A9833" t="str">
        <f t="shared" si="1749"/>
        <v>89301000</v>
      </c>
      <c r="B9833" t="str">
        <f t="shared" si="1751"/>
        <v>93501000</v>
      </c>
      <c r="C9833" t="str">
        <f>"93501001"</f>
        <v>93501001</v>
      </c>
      <c r="D9833">
        <v>89301082</v>
      </c>
      <c r="E9833" t="str">
        <f>"8655286211"</f>
        <v>8655286211</v>
      </c>
      <c r="F9833" s="1">
        <v>45145</v>
      </c>
      <c r="G9833" t="str">
        <f>"93159"</f>
        <v>93159</v>
      </c>
      <c r="H9833">
        <v>1</v>
      </c>
      <c r="I9833">
        <v>197</v>
      </c>
      <c r="J9833">
        <v>0</v>
      </c>
      <c r="K9833" t="str">
        <f t="shared" si="1753"/>
        <v>801</v>
      </c>
      <c r="L9833">
        <v>165.48</v>
      </c>
    </row>
    <row r="9834" spans="1:12" x14ac:dyDescent="0.25">
      <c r="A9834" t="str">
        <f t="shared" si="1749"/>
        <v>89301000</v>
      </c>
      <c r="B9834" t="str">
        <f t="shared" si="1751"/>
        <v>93501000</v>
      </c>
      <c r="C9834" t="str">
        <f>"93501001"</f>
        <v>93501001</v>
      </c>
      <c r="D9834">
        <v>89301082</v>
      </c>
      <c r="E9834" t="str">
        <f>"8655286211"</f>
        <v>8655286211</v>
      </c>
      <c r="F9834" s="1">
        <v>45145</v>
      </c>
      <c r="G9834" t="str">
        <f>"97111"</f>
        <v>97111</v>
      </c>
      <c r="H9834">
        <v>1</v>
      </c>
      <c r="I9834">
        <v>19</v>
      </c>
      <c r="J9834">
        <v>0</v>
      </c>
      <c r="K9834" t="str">
        <f t="shared" si="1753"/>
        <v>801</v>
      </c>
      <c r="L9834">
        <v>23.94</v>
      </c>
    </row>
    <row r="9835" spans="1:12" x14ac:dyDescent="0.25">
      <c r="A9835" t="str">
        <f t="shared" si="1749"/>
        <v>89301000</v>
      </c>
      <c r="B9835" t="str">
        <f t="shared" si="1751"/>
        <v>93501000</v>
      </c>
      <c r="C9835" t="str">
        <f t="shared" ref="C9835:C9843" si="1755">"93501005"</f>
        <v>93501005</v>
      </c>
      <c r="D9835">
        <v>89301167</v>
      </c>
      <c r="E9835" t="str">
        <f>"470127462"</f>
        <v>470127462</v>
      </c>
      <c r="F9835" s="1">
        <v>45147</v>
      </c>
      <c r="G9835" t="str">
        <f>"96167"</f>
        <v>96167</v>
      </c>
      <c r="H9835">
        <v>1</v>
      </c>
      <c r="I9835">
        <v>67</v>
      </c>
      <c r="J9835">
        <v>0</v>
      </c>
      <c r="K9835" t="str">
        <f t="shared" ref="K9835:K9843" si="1756">"818"</f>
        <v>818</v>
      </c>
      <c r="L9835">
        <v>64.989999999999995</v>
      </c>
    </row>
    <row r="9836" spans="1:12" x14ac:dyDescent="0.25">
      <c r="A9836" t="str">
        <f t="shared" si="1749"/>
        <v>89301000</v>
      </c>
      <c r="B9836" t="str">
        <f t="shared" si="1751"/>
        <v>93501000</v>
      </c>
      <c r="C9836" t="str">
        <f t="shared" si="1755"/>
        <v>93501005</v>
      </c>
      <c r="D9836">
        <v>89301167</v>
      </c>
      <c r="E9836" t="str">
        <f>"6003120068"</f>
        <v>6003120068</v>
      </c>
      <c r="F9836" s="1">
        <v>45141</v>
      </c>
      <c r="G9836" t="str">
        <f>"96167"</f>
        <v>96167</v>
      </c>
      <c r="H9836">
        <v>1</v>
      </c>
      <c r="I9836">
        <v>67</v>
      </c>
      <c r="J9836">
        <v>0</v>
      </c>
      <c r="K9836" t="str">
        <f t="shared" si="1756"/>
        <v>818</v>
      </c>
      <c r="L9836">
        <v>64.989999999999995</v>
      </c>
    </row>
    <row r="9837" spans="1:12" x14ac:dyDescent="0.25">
      <c r="A9837" t="str">
        <f t="shared" si="1749"/>
        <v>89301000</v>
      </c>
      <c r="B9837" t="str">
        <f t="shared" si="1751"/>
        <v>93501000</v>
      </c>
      <c r="C9837" t="str">
        <f t="shared" si="1755"/>
        <v>93501005</v>
      </c>
      <c r="D9837">
        <v>89301167</v>
      </c>
      <c r="E9837" t="str">
        <f>"6003120068"</f>
        <v>6003120068</v>
      </c>
      <c r="F9837" s="1">
        <v>45141</v>
      </c>
      <c r="G9837" t="str">
        <f>"96315"</f>
        <v>96315</v>
      </c>
      <c r="H9837">
        <v>1</v>
      </c>
      <c r="I9837">
        <v>30</v>
      </c>
      <c r="J9837">
        <v>0</v>
      </c>
      <c r="K9837" t="str">
        <f t="shared" si="1756"/>
        <v>818</v>
      </c>
      <c r="L9837">
        <v>29.1</v>
      </c>
    </row>
    <row r="9838" spans="1:12" x14ac:dyDescent="0.25">
      <c r="A9838" t="str">
        <f t="shared" si="1749"/>
        <v>89301000</v>
      </c>
      <c r="B9838" t="str">
        <f t="shared" si="1751"/>
        <v>93501000</v>
      </c>
      <c r="C9838" t="str">
        <f t="shared" si="1755"/>
        <v>93501005</v>
      </c>
      <c r="D9838">
        <v>89301167</v>
      </c>
      <c r="E9838" t="str">
        <f>"6003120068"</f>
        <v>6003120068</v>
      </c>
      <c r="F9838" s="1">
        <v>45141</v>
      </c>
      <c r="G9838" t="str">
        <f>"96711"</f>
        <v>96711</v>
      </c>
      <c r="H9838">
        <v>1</v>
      </c>
      <c r="I9838">
        <v>28</v>
      </c>
      <c r="J9838">
        <v>0</v>
      </c>
      <c r="K9838" t="str">
        <f t="shared" si="1756"/>
        <v>818</v>
      </c>
      <c r="L9838">
        <v>27.16</v>
      </c>
    </row>
    <row r="9839" spans="1:12" x14ac:dyDescent="0.25">
      <c r="A9839" t="str">
        <f t="shared" si="1749"/>
        <v>89301000</v>
      </c>
      <c r="B9839" t="str">
        <f t="shared" si="1751"/>
        <v>93501000</v>
      </c>
      <c r="C9839" t="str">
        <f t="shared" si="1755"/>
        <v>93501005</v>
      </c>
      <c r="D9839">
        <v>89301167</v>
      </c>
      <c r="E9839" t="str">
        <f>"6003120068"</f>
        <v>6003120068</v>
      </c>
      <c r="F9839" s="1">
        <v>45141</v>
      </c>
      <c r="G9839" t="str">
        <f>"96713"</f>
        <v>96713</v>
      </c>
      <c r="H9839">
        <v>1</v>
      </c>
      <c r="I9839">
        <v>14</v>
      </c>
      <c r="J9839">
        <v>0</v>
      </c>
      <c r="K9839" t="str">
        <f t="shared" si="1756"/>
        <v>818</v>
      </c>
      <c r="L9839">
        <v>13.58</v>
      </c>
    </row>
    <row r="9840" spans="1:12" x14ac:dyDescent="0.25">
      <c r="A9840" t="str">
        <f t="shared" si="1749"/>
        <v>89301000</v>
      </c>
      <c r="B9840" t="str">
        <f t="shared" si="1751"/>
        <v>93501000</v>
      </c>
      <c r="C9840" t="str">
        <f t="shared" si="1755"/>
        <v>93501005</v>
      </c>
      <c r="D9840">
        <v>89301167</v>
      </c>
      <c r="E9840" t="str">
        <f>"470127462"</f>
        <v>470127462</v>
      </c>
      <c r="F9840" s="1">
        <v>45169</v>
      </c>
      <c r="G9840" t="str">
        <f>"96167"</f>
        <v>96167</v>
      </c>
      <c r="H9840">
        <v>1</v>
      </c>
      <c r="I9840">
        <v>67</v>
      </c>
      <c r="J9840">
        <v>0</v>
      </c>
      <c r="K9840" t="str">
        <f t="shared" si="1756"/>
        <v>818</v>
      </c>
      <c r="L9840">
        <v>64.989999999999995</v>
      </c>
    </row>
    <row r="9841" spans="1:12" x14ac:dyDescent="0.25">
      <c r="A9841" t="str">
        <f t="shared" si="1749"/>
        <v>89301000</v>
      </c>
      <c r="B9841" t="str">
        <f t="shared" si="1751"/>
        <v>93501000</v>
      </c>
      <c r="C9841" t="str">
        <f t="shared" si="1755"/>
        <v>93501005</v>
      </c>
      <c r="D9841">
        <v>89301167</v>
      </c>
      <c r="E9841" t="str">
        <f>"420102444"</f>
        <v>420102444</v>
      </c>
      <c r="F9841" s="1">
        <v>45169</v>
      </c>
      <c r="G9841" t="str">
        <f>"96167"</f>
        <v>96167</v>
      </c>
      <c r="H9841">
        <v>1</v>
      </c>
      <c r="I9841">
        <v>67</v>
      </c>
      <c r="J9841">
        <v>0</v>
      </c>
      <c r="K9841" t="str">
        <f t="shared" si="1756"/>
        <v>818</v>
      </c>
      <c r="L9841">
        <v>64.989999999999995</v>
      </c>
    </row>
    <row r="9842" spans="1:12" x14ac:dyDescent="0.25">
      <c r="A9842" t="str">
        <f t="shared" si="1749"/>
        <v>89301000</v>
      </c>
      <c r="B9842" t="str">
        <f t="shared" si="1751"/>
        <v>93501000</v>
      </c>
      <c r="C9842" t="str">
        <f t="shared" si="1755"/>
        <v>93501005</v>
      </c>
      <c r="D9842">
        <v>89301167</v>
      </c>
      <c r="E9842" t="str">
        <f>"6003120068"</f>
        <v>6003120068</v>
      </c>
      <c r="F9842" s="1">
        <v>45152</v>
      </c>
      <c r="G9842" t="str">
        <f>"96167"</f>
        <v>96167</v>
      </c>
      <c r="H9842">
        <v>1</v>
      </c>
      <c r="I9842">
        <v>67</v>
      </c>
      <c r="J9842">
        <v>0</v>
      </c>
      <c r="K9842" t="str">
        <f t="shared" si="1756"/>
        <v>818</v>
      </c>
      <c r="L9842">
        <v>64.989999999999995</v>
      </c>
    </row>
    <row r="9843" spans="1:12" x14ac:dyDescent="0.25">
      <c r="A9843" t="str">
        <f t="shared" si="1749"/>
        <v>89301000</v>
      </c>
      <c r="B9843" t="str">
        <f t="shared" si="1751"/>
        <v>93501000</v>
      </c>
      <c r="C9843" t="str">
        <f t="shared" si="1755"/>
        <v>93501005</v>
      </c>
      <c r="D9843">
        <v>89301167</v>
      </c>
      <c r="E9843" t="str">
        <f>"6003120068"</f>
        <v>6003120068</v>
      </c>
      <c r="F9843" s="1">
        <v>45163</v>
      </c>
      <c r="G9843" t="str">
        <f>"96167"</f>
        <v>96167</v>
      </c>
      <c r="H9843">
        <v>1</v>
      </c>
      <c r="I9843">
        <v>67</v>
      </c>
      <c r="J9843">
        <v>0</v>
      </c>
      <c r="K9843" t="str">
        <f t="shared" si="1756"/>
        <v>818</v>
      </c>
      <c r="L9843">
        <v>64.989999999999995</v>
      </c>
    </row>
    <row r="9844" spans="1:12" x14ac:dyDescent="0.25">
      <c r="A9844" t="str">
        <f t="shared" si="1749"/>
        <v>89301000</v>
      </c>
      <c r="B9844" t="str">
        <f t="shared" ref="B9844:C9851" si="1757">"89345401"</f>
        <v>89345401</v>
      </c>
      <c r="C9844" t="str">
        <f t="shared" si="1757"/>
        <v>89345401</v>
      </c>
      <c r="D9844">
        <v>89301212</v>
      </c>
      <c r="E9844" t="str">
        <f>"525122064"</f>
        <v>525122064</v>
      </c>
      <c r="F9844" s="1">
        <v>45155</v>
      </c>
      <c r="G9844" t="str">
        <f>"89131"</f>
        <v>89131</v>
      </c>
      <c r="H9844">
        <v>1</v>
      </c>
      <c r="I9844">
        <v>190</v>
      </c>
      <c r="J9844">
        <v>0</v>
      </c>
      <c r="K9844" t="str">
        <f t="shared" ref="K9844:K9851" si="1758">"809"</f>
        <v>809</v>
      </c>
      <c r="L9844">
        <v>279.3</v>
      </c>
    </row>
    <row r="9845" spans="1:12" x14ac:dyDescent="0.25">
      <c r="A9845" t="str">
        <f t="shared" si="1749"/>
        <v>89301000</v>
      </c>
      <c r="B9845" t="str">
        <f t="shared" si="1757"/>
        <v>89345401</v>
      </c>
      <c r="C9845" t="str">
        <f t="shared" si="1757"/>
        <v>89345401</v>
      </c>
      <c r="D9845">
        <v>89301121</v>
      </c>
      <c r="E9845" t="str">
        <f>"5455051096"</f>
        <v>5455051096</v>
      </c>
      <c r="F9845" s="1">
        <v>45139</v>
      </c>
      <c r="G9845" t="str">
        <f>"89513"</f>
        <v>89513</v>
      </c>
      <c r="H9845">
        <v>1</v>
      </c>
      <c r="I9845">
        <v>378</v>
      </c>
      <c r="J9845">
        <v>0</v>
      </c>
      <c r="K9845" t="str">
        <f t="shared" si="1758"/>
        <v>809</v>
      </c>
      <c r="L9845">
        <v>555.66</v>
      </c>
    </row>
    <row r="9846" spans="1:12" x14ac:dyDescent="0.25">
      <c r="A9846" t="str">
        <f t="shared" si="1749"/>
        <v>89301000</v>
      </c>
      <c r="B9846" t="str">
        <f t="shared" si="1757"/>
        <v>89345401</v>
      </c>
      <c r="C9846" t="str">
        <f t="shared" si="1757"/>
        <v>89345401</v>
      </c>
      <c r="D9846">
        <v>89301121</v>
      </c>
      <c r="E9846" t="str">
        <f>"5455051096"</f>
        <v>5455051096</v>
      </c>
      <c r="F9846" s="1">
        <v>45139</v>
      </c>
      <c r="G9846" t="str">
        <f>"89514"</f>
        <v>89514</v>
      </c>
      <c r="H9846">
        <v>1</v>
      </c>
      <c r="I9846">
        <v>378</v>
      </c>
      <c r="J9846">
        <v>0</v>
      </c>
      <c r="K9846" t="str">
        <f t="shared" si="1758"/>
        <v>809</v>
      </c>
      <c r="L9846">
        <v>555.66</v>
      </c>
    </row>
    <row r="9847" spans="1:12" x14ac:dyDescent="0.25">
      <c r="A9847" t="str">
        <f t="shared" si="1749"/>
        <v>89301000</v>
      </c>
      <c r="B9847" t="str">
        <f t="shared" si="1757"/>
        <v>89345401</v>
      </c>
      <c r="C9847" t="str">
        <f t="shared" si="1757"/>
        <v>89345401</v>
      </c>
      <c r="D9847">
        <v>89301212</v>
      </c>
      <c r="E9847" t="str">
        <f>"525105081"</f>
        <v>525105081</v>
      </c>
      <c r="F9847" s="1">
        <v>45139</v>
      </c>
      <c r="G9847" t="str">
        <f>"89513"</f>
        <v>89513</v>
      </c>
      <c r="H9847">
        <v>1</v>
      </c>
      <c r="I9847">
        <v>378</v>
      </c>
      <c r="J9847">
        <v>0</v>
      </c>
      <c r="K9847" t="str">
        <f t="shared" si="1758"/>
        <v>809</v>
      </c>
      <c r="L9847">
        <v>555.66</v>
      </c>
    </row>
    <row r="9848" spans="1:12" x14ac:dyDescent="0.25">
      <c r="A9848" t="str">
        <f t="shared" si="1749"/>
        <v>89301000</v>
      </c>
      <c r="B9848" t="str">
        <f t="shared" si="1757"/>
        <v>89345401</v>
      </c>
      <c r="C9848" t="str">
        <f t="shared" si="1757"/>
        <v>89345401</v>
      </c>
      <c r="D9848">
        <v>89301212</v>
      </c>
      <c r="E9848" t="str">
        <f>"525105081"</f>
        <v>525105081</v>
      </c>
      <c r="F9848" s="1">
        <v>45139</v>
      </c>
      <c r="G9848" t="str">
        <f>"89514"</f>
        <v>89514</v>
      </c>
      <c r="H9848">
        <v>1</v>
      </c>
      <c r="I9848">
        <v>378</v>
      </c>
      <c r="J9848">
        <v>0</v>
      </c>
      <c r="K9848" t="str">
        <f t="shared" si="1758"/>
        <v>809</v>
      </c>
      <c r="L9848">
        <v>555.66</v>
      </c>
    </row>
    <row r="9849" spans="1:12" x14ac:dyDescent="0.25">
      <c r="A9849" t="str">
        <f t="shared" si="1749"/>
        <v>89301000</v>
      </c>
      <c r="B9849" t="str">
        <f t="shared" si="1757"/>
        <v>89345401</v>
      </c>
      <c r="C9849" t="str">
        <f t="shared" si="1757"/>
        <v>89345401</v>
      </c>
      <c r="D9849">
        <v>89301215</v>
      </c>
      <c r="E9849" t="str">
        <f>"495521001"</f>
        <v>495521001</v>
      </c>
      <c r="F9849" s="1">
        <v>45166</v>
      </c>
      <c r="G9849" t="str">
        <f>"89513"</f>
        <v>89513</v>
      </c>
      <c r="H9849">
        <v>1</v>
      </c>
      <c r="I9849">
        <v>378</v>
      </c>
      <c r="J9849">
        <v>0</v>
      </c>
      <c r="K9849" t="str">
        <f t="shared" si="1758"/>
        <v>809</v>
      </c>
      <c r="L9849">
        <v>555.66</v>
      </c>
    </row>
    <row r="9850" spans="1:12" x14ac:dyDescent="0.25">
      <c r="A9850" t="str">
        <f t="shared" si="1749"/>
        <v>89301000</v>
      </c>
      <c r="B9850" t="str">
        <f t="shared" si="1757"/>
        <v>89345401</v>
      </c>
      <c r="C9850" t="str">
        <f t="shared" si="1757"/>
        <v>89345401</v>
      </c>
      <c r="D9850">
        <v>89301215</v>
      </c>
      <c r="E9850" t="str">
        <f>"495521001"</f>
        <v>495521001</v>
      </c>
      <c r="F9850" s="1">
        <v>45166</v>
      </c>
      <c r="G9850" t="str">
        <f>"89514"</f>
        <v>89514</v>
      </c>
      <c r="H9850">
        <v>1</v>
      </c>
      <c r="I9850">
        <v>378</v>
      </c>
      <c r="J9850">
        <v>0</v>
      </c>
      <c r="K9850" t="str">
        <f t="shared" si="1758"/>
        <v>809</v>
      </c>
      <c r="L9850">
        <v>555.66</v>
      </c>
    </row>
    <row r="9851" spans="1:12" x14ac:dyDescent="0.25">
      <c r="A9851" t="str">
        <f t="shared" si="1749"/>
        <v>89301000</v>
      </c>
      <c r="B9851" t="str">
        <f t="shared" si="1757"/>
        <v>89345401</v>
      </c>
      <c r="C9851" t="str">
        <f t="shared" si="1757"/>
        <v>89345401</v>
      </c>
      <c r="D9851">
        <v>89301215</v>
      </c>
      <c r="E9851" t="str">
        <f>"495521001"</f>
        <v>495521001</v>
      </c>
      <c r="F9851" s="1">
        <v>45166</v>
      </c>
      <c r="G9851" t="str">
        <f>"09137"</f>
        <v>09137</v>
      </c>
      <c r="H9851">
        <v>1</v>
      </c>
      <c r="I9851">
        <v>238</v>
      </c>
      <c r="J9851">
        <v>0</v>
      </c>
      <c r="K9851" t="str">
        <f t="shared" si="1758"/>
        <v>809</v>
      </c>
      <c r="L9851">
        <v>349.86</v>
      </c>
    </row>
    <row r="9852" spans="1:12" x14ac:dyDescent="0.25">
      <c r="A9852" t="str">
        <f t="shared" si="1749"/>
        <v>89301000</v>
      </c>
      <c r="B9852" t="str">
        <f t="shared" ref="B9852:C9873" si="1759">"91970116"</f>
        <v>91970116</v>
      </c>
      <c r="C9852" t="str">
        <f t="shared" si="1759"/>
        <v>91970116</v>
      </c>
      <c r="D9852">
        <v>89301167</v>
      </c>
      <c r="E9852" t="str">
        <f t="shared" ref="E9852:E9878" si="1760">"530220073"</f>
        <v>530220073</v>
      </c>
      <c r="F9852" s="1">
        <v>45163</v>
      </c>
      <c r="G9852" t="str">
        <f>"97111"</f>
        <v>97111</v>
      </c>
      <c r="H9852">
        <v>1</v>
      </c>
      <c r="I9852">
        <v>19</v>
      </c>
      <c r="J9852">
        <v>0</v>
      </c>
      <c r="K9852" t="str">
        <f t="shared" ref="K9852:K9873" si="1761">"801"</f>
        <v>801</v>
      </c>
      <c r="L9852">
        <v>23.94</v>
      </c>
    </row>
    <row r="9853" spans="1:12" x14ac:dyDescent="0.25">
      <c r="A9853" t="str">
        <f t="shared" si="1749"/>
        <v>89301000</v>
      </c>
      <c r="B9853" t="str">
        <f t="shared" si="1759"/>
        <v>91970116</v>
      </c>
      <c r="C9853" t="str">
        <f t="shared" si="1759"/>
        <v>91970116</v>
      </c>
      <c r="D9853">
        <v>89301167</v>
      </c>
      <c r="E9853" t="str">
        <f t="shared" si="1760"/>
        <v>530220073</v>
      </c>
      <c r="F9853" s="1">
        <v>45163</v>
      </c>
      <c r="G9853" t="str">
        <f>"81625"</f>
        <v>81625</v>
      </c>
      <c r="H9853">
        <v>1</v>
      </c>
      <c r="I9853">
        <v>21</v>
      </c>
      <c r="J9853">
        <v>0</v>
      </c>
      <c r="K9853" t="str">
        <f t="shared" si="1761"/>
        <v>801</v>
      </c>
      <c r="L9853">
        <v>17.64</v>
      </c>
    </row>
    <row r="9854" spans="1:12" x14ac:dyDescent="0.25">
      <c r="A9854" t="str">
        <f t="shared" si="1749"/>
        <v>89301000</v>
      </c>
      <c r="B9854" t="str">
        <f t="shared" si="1759"/>
        <v>91970116</v>
      </c>
      <c r="C9854" t="str">
        <f t="shared" si="1759"/>
        <v>91970116</v>
      </c>
      <c r="D9854">
        <v>89301167</v>
      </c>
      <c r="E9854" t="str">
        <f t="shared" si="1760"/>
        <v>530220073</v>
      </c>
      <c r="F9854" s="1">
        <v>45163</v>
      </c>
      <c r="G9854" t="str">
        <f>"81621"</f>
        <v>81621</v>
      </c>
      <c r="H9854">
        <v>1</v>
      </c>
      <c r="I9854">
        <v>19</v>
      </c>
      <c r="J9854">
        <v>0</v>
      </c>
      <c r="K9854" t="str">
        <f t="shared" si="1761"/>
        <v>801</v>
      </c>
      <c r="L9854">
        <v>15.96</v>
      </c>
    </row>
    <row r="9855" spans="1:12" x14ac:dyDescent="0.25">
      <c r="A9855" t="str">
        <f t="shared" si="1749"/>
        <v>89301000</v>
      </c>
      <c r="B9855" t="str">
        <f t="shared" si="1759"/>
        <v>91970116</v>
      </c>
      <c r="C9855" t="str">
        <f t="shared" si="1759"/>
        <v>91970116</v>
      </c>
      <c r="D9855">
        <v>89301167</v>
      </c>
      <c r="E9855" t="str">
        <f t="shared" si="1760"/>
        <v>530220073</v>
      </c>
      <c r="F9855" s="1">
        <v>45163</v>
      </c>
      <c r="G9855" t="str">
        <f>"81499"</f>
        <v>81499</v>
      </c>
      <c r="H9855">
        <v>1</v>
      </c>
      <c r="I9855">
        <v>18</v>
      </c>
      <c r="J9855">
        <v>0</v>
      </c>
      <c r="K9855" t="str">
        <f t="shared" si="1761"/>
        <v>801</v>
      </c>
      <c r="L9855">
        <v>15.12</v>
      </c>
    </row>
    <row r="9856" spans="1:12" x14ac:dyDescent="0.25">
      <c r="A9856" t="str">
        <f t="shared" si="1749"/>
        <v>89301000</v>
      </c>
      <c r="B9856" t="str">
        <f t="shared" si="1759"/>
        <v>91970116</v>
      </c>
      <c r="C9856" t="str">
        <f t="shared" si="1759"/>
        <v>91970116</v>
      </c>
      <c r="D9856">
        <v>89301167</v>
      </c>
      <c r="E9856" t="str">
        <f t="shared" si="1760"/>
        <v>530220073</v>
      </c>
      <c r="F9856" s="1">
        <v>45163</v>
      </c>
      <c r="G9856" t="str">
        <f>"81523"</f>
        <v>81523</v>
      </c>
      <c r="H9856">
        <v>1</v>
      </c>
      <c r="I9856">
        <v>23</v>
      </c>
      <c r="J9856">
        <v>0</v>
      </c>
      <c r="K9856" t="str">
        <f t="shared" si="1761"/>
        <v>801</v>
      </c>
      <c r="L9856">
        <v>19.32</v>
      </c>
    </row>
    <row r="9857" spans="1:12" x14ac:dyDescent="0.25">
      <c r="A9857" t="str">
        <f t="shared" si="1749"/>
        <v>89301000</v>
      </c>
      <c r="B9857" t="str">
        <f t="shared" si="1759"/>
        <v>91970116</v>
      </c>
      <c r="C9857" t="str">
        <f t="shared" si="1759"/>
        <v>91970116</v>
      </c>
      <c r="D9857">
        <v>89301167</v>
      </c>
      <c r="E9857" t="str">
        <f t="shared" si="1760"/>
        <v>530220073</v>
      </c>
      <c r="F9857" s="1">
        <v>45163</v>
      </c>
      <c r="G9857" t="str">
        <f>"81365"</f>
        <v>81365</v>
      </c>
      <c r="H9857">
        <v>1</v>
      </c>
      <c r="I9857">
        <v>16</v>
      </c>
      <c r="J9857">
        <v>0</v>
      </c>
      <c r="K9857" t="str">
        <f t="shared" si="1761"/>
        <v>801</v>
      </c>
      <c r="L9857">
        <v>13.44</v>
      </c>
    </row>
    <row r="9858" spans="1:12" x14ac:dyDescent="0.25">
      <c r="A9858" t="str">
        <f t="shared" ref="A9858:A9921" si="1762">"89301000"</f>
        <v>89301000</v>
      </c>
      <c r="B9858" t="str">
        <f t="shared" si="1759"/>
        <v>91970116</v>
      </c>
      <c r="C9858" t="str">
        <f t="shared" si="1759"/>
        <v>91970116</v>
      </c>
      <c r="D9858">
        <v>89301167</v>
      </c>
      <c r="E9858" t="str">
        <f t="shared" si="1760"/>
        <v>530220073</v>
      </c>
      <c r="F9858" s="1">
        <v>45163</v>
      </c>
      <c r="G9858" t="str">
        <f>"81329"</f>
        <v>81329</v>
      </c>
      <c r="H9858">
        <v>1</v>
      </c>
      <c r="I9858">
        <v>17</v>
      </c>
      <c r="J9858">
        <v>0</v>
      </c>
      <c r="K9858" t="str">
        <f t="shared" si="1761"/>
        <v>801</v>
      </c>
      <c r="L9858">
        <v>14.28</v>
      </c>
    </row>
    <row r="9859" spans="1:12" x14ac:dyDescent="0.25">
      <c r="A9859" t="str">
        <f t="shared" si="1762"/>
        <v>89301000</v>
      </c>
      <c r="B9859" t="str">
        <f t="shared" si="1759"/>
        <v>91970116</v>
      </c>
      <c r="C9859" t="str">
        <f t="shared" si="1759"/>
        <v>91970116</v>
      </c>
      <c r="D9859">
        <v>89301167</v>
      </c>
      <c r="E9859" t="str">
        <f t="shared" si="1760"/>
        <v>530220073</v>
      </c>
      <c r="F9859" s="1">
        <v>45163</v>
      </c>
      <c r="G9859" t="str">
        <f>"81361"</f>
        <v>81361</v>
      </c>
      <c r="H9859">
        <v>1</v>
      </c>
      <c r="I9859">
        <v>17</v>
      </c>
      <c r="J9859">
        <v>0</v>
      </c>
      <c r="K9859" t="str">
        <f t="shared" si="1761"/>
        <v>801</v>
      </c>
      <c r="L9859">
        <v>14.28</v>
      </c>
    </row>
    <row r="9860" spans="1:12" x14ac:dyDescent="0.25">
      <c r="A9860" t="str">
        <f t="shared" si="1762"/>
        <v>89301000</v>
      </c>
      <c r="B9860" t="str">
        <f t="shared" si="1759"/>
        <v>91970116</v>
      </c>
      <c r="C9860" t="str">
        <f t="shared" si="1759"/>
        <v>91970116</v>
      </c>
      <c r="D9860">
        <v>89301167</v>
      </c>
      <c r="E9860" t="str">
        <f t="shared" si="1760"/>
        <v>530220073</v>
      </c>
      <c r="F9860" s="1">
        <v>45163</v>
      </c>
      <c r="G9860" t="str">
        <f>"81337"</f>
        <v>81337</v>
      </c>
      <c r="H9860">
        <v>1</v>
      </c>
      <c r="I9860">
        <v>20</v>
      </c>
      <c r="J9860">
        <v>0</v>
      </c>
      <c r="K9860" t="str">
        <f t="shared" si="1761"/>
        <v>801</v>
      </c>
      <c r="L9860">
        <v>16.8</v>
      </c>
    </row>
    <row r="9861" spans="1:12" x14ac:dyDescent="0.25">
      <c r="A9861" t="str">
        <f t="shared" si="1762"/>
        <v>89301000</v>
      </c>
      <c r="B9861" t="str">
        <f t="shared" si="1759"/>
        <v>91970116</v>
      </c>
      <c r="C9861" t="str">
        <f t="shared" si="1759"/>
        <v>91970116</v>
      </c>
      <c r="D9861">
        <v>89301167</v>
      </c>
      <c r="E9861" t="str">
        <f t="shared" si="1760"/>
        <v>530220073</v>
      </c>
      <c r="F9861" s="1">
        <v>45163</v>
      </c>
      <c r="G9861" t="str">
        <f>"81357"</f>
        <v>81357</v>
      </c>
      <c r="H9861">
        <v>1</v>
      </c>
      <c r="I9861">
        <v>20</v>
      </c>
      <c r="J9861">
        <v>0</v>
      </c>
      <c r="K9861" t="str">
        <f t="shared" si="1761"/>
        <v>801</v>
      </c>
      <c r="L9861">
        <v>16.8</v>
      </c>
    </row>
    <row r="9862" spans="1:12" x14ac:dyDescent="0.25">
      <c r="A9862" t="str">
        <f t="shared" si="1762"/>
        <v>89301000</v>
      </c>
      <c r="B9862" t="str">
        <f t="shared" si="1759"/>
        <v>91970116</v>
      </c>
      <c r="C9862" t="str">
        <f t="shared" si="1759"/>
        <v>91970116</v>
      </c>
      <c r="D9862">
        <v>89301167</v>
      </c>
      <c r="E9862" t="str">
        <f t="shared" si="1760"/>
        <v>530220073</v>
      </c>
      <c r="F9862" s="1">
        <v>45163</v>
      </c>
      <c r="G9862" t="str">
        <f>"81421"</f>
        <v>81421</v>
      </c>
      <c r="H9862">
        <v>1</v>
      </c>
      <c r="I9862">
        <v>19</v>
      </c>
      <c r="J9862">
        <v>0</v>
      </c>
      <c r="K9862" t="str">
        <f t="shared" si="1761"/>
        <v>801</v>
      </c>
      <c r="L9862">
        <v>15.96</v>
      </c>
    </row>
    <row r="9863" spans="1:12" x14ac:dyDescent="0.25">
      <c r="A9863" t="str">
        <f t="shared" si="1762"/>
        <v>89301000</v>
      </c>
      <c r="B9863" t="str">
        <f t="shared" si="1759"/>
        <v>91970116</v>
      </c>
      <c r="C9863" t="str">
        <f t="shared" si="1759"/>
        <v>91970116</v>
      </c>
      <c r="D9863">
        <v>89301167</v>
      </c>
      <c r="E9863" t="str">
        <f t="shared" si="1760"/>
        <v>530220073</v>
      </c>
      <c r="F9863" s="1">
        <v>45163</v>
      </c>
      <c r="G9863" t="str">
        <f>"81495"</f>
        <v>81495</v>
      </c>
      <c r="H9863">
        <v>1</v>
      </c>
      <c r="I9863">
        <v>32</v>
      </c>
      <c r="J9863">
        <v>0</v>
      </c>
      <c r="K9863" t="str">
        <f t="shared" si="1761"/>
        <v>801</v>
      </c>
      <c r="L9863">
        <v>26.88</v>
      </c>
    </row>
    <row r="9864" spans="1:12" x14ac:dyDescent="0.25">
      <c r="A9864" t="str">
        <f t="shared" si="1762"/>
        <v>89301000</v>
      </c>
      <c r="B9864" t="str">
        <f t="shared" si="1759"/>
        <v>91970116</v>
      </c>
      <c r="C9864" t="str">
        <f t="shared" si="1759"/>
        <v>91970116</v>
      </c>
      <c r="D9864">
        <v>89301167</v>
      </c>
      <c r="E9864" t="str">
        <f t="shared" si="1760"/>
        <v>530220073</v>
      </c>
      <c r="F9864" s="1">
        <v>45163</v>
      </c>
      <c r="G9864" t="str">
        <f>"81435"</f>
        <v>81435</v>
      </c>
      <c r="H9864">
        <v>1</v>
      </c>
      <c r="I9864">
        <v>22</v>
      </c>
      <c r="J9864">
        <v>0</v>
      </c>
      <c r="K9864" t="str">
        <f t="shared" si="1761"/>
        <v>801</v>
      </c>
      <c r="L9864">
        <v>18.48</v>
      </c>
    </row>
    <row r="9865" spans="1:12" x14ac:dyDescent="0.25">
      <c r="A9865" t="str">
        <f t="shared" si="1762"/>
        <v>89301000</v>
      </c>
      <c r="B9865" t="str">
        <f t="shared" si="1759"/>
        <v>91970116</v>
      </c>
      <c r="C9865" t="str">
        <f t="shared" si="1759"/>
        <v>91970116</v>
      </c>
      <c r="D9865">
        <v>89301167</v>
      </c>
      <c r="E9865" t="str">
        <f t="shared" si="1760"/>
        <v>530220073</v>
      </c>
      <c r="F9865" s="1">
        <v>45163</v>
      </c>
      <c r="G9865" t="str">
        <f>"81439"</f>
        <v>81439</v>
      </c>
      <c r="H9865">
        <v>1</v>
      </c>
      <c r="I9865">
        <v>16</v>
      </c>
      <c r="J9865">
        <v>0</v>
      </c>
      <c r="K9865" t="str">
        <f t="shared" si="1761"/>
        <v>801</v>
      </c>
      <c r="L9865">
        <v>13.44</v>
      </c>
    </row>
    <row r="9866" spans="1:12" x14ac:dyDescent="0.25">
      <c r="A9866" t="str">
        <f t="shared" si="1762"/>
        <v>89301000</v>
      </c>
      <c r="B9866" t="str">
        <f t="shared" si="1759"/>
        <v>91970116</v>
      </c>
      <c r="C9866" t="str">
        <f t="shared" si="1759"/>
        <v>91970116</v>
      </c>
      <c r="D9866">
        <v>89301167</v>
      </c>
      <c r="E9866" t="str">
        <f t="shared" si="1760"/>
        <v>530220073</v>
      </c>
      <c r="F9866" s="1">
        <v>45163</v>
      </c>
      <c r="G9866" t="str">
        <f>"91153"</f>
        <v>91153</v>
      </c>
      <c r="H9866">
        <v>1</v>
      </c>
      <c r="I9866">
        <v>153</v>
      </c>
      <c r="J9866">
        <v>0</v>
      </c>
      <c r="K9866" t="str">
        <f t="shared" si="1761"/>
        <v>801</v>
      </c>
      <c r="L9866">
        <v>128.52000000000001</v>
      </c>
    </row>
    <row r="9867" spans="1:12" x14ac:dyDescent="0.25">
      <c r="A9867" t="str">
        <f t="shared" si="1762"/>
        <v>89301000</v>
      </c>
      <c r="B9867" t="str">
        <f t="shared" si="1759"/>
        <v>91970116</v>
      </c>
      <c r="C9867" t="str">
        <f t="shared" si="1759"/>
        <v>91970116</v>
      </c>
      <c r="D9867">
        <v>89301167</v>
      </c>
      <c r="E9867" t="str">
        <f t="shared" si="1760"/>
        <v>530220073</v>
      </c>
      <c r="F9867" s="1">
        <v>45163</v>
      </c>
      <c r="G9867" t="str">
        <f>"81511"</f>
        <v>81511</v>
      </c>
      <c r="H9867">
        <v>1</v>
      </c>
      <c r="I9867">
        <v>10</v>
      </c>
      <c r="J9867">
        <v>0</v>
      </c>
      <c r="K9867" t="str">
        <f t="shared" si="1761"/>
        <v>801</v>
      </c>
      <c r="L9867">
        <v>8.4</v>
      </c>
    </row>
    <row r="9868" spans="1:12" x14ac:dyDescent="0.25">
      <c r="A9868" t="str">
        <f t="shared" si="1762"/>
        <v>89301000</v>
      </c>
      <c r="B9868" t="str">
        <f t="shared" si="1759"/>
        <v>91970116</v>
      </c>
      <c r="C9868" t="str">
        <f t="shared" si="1759"/>
        <v>91970116</v>
      </c>
      <c r="D9868">
        <v>89301167</v>
      </c>
      <c r="E9868" t="str">
        <f t="shared" si="1760"/>
        <v>530220073</v>
      </c>
      <c r="F9868" s="1">
        <v>45163</v>
      </c>
      <c r="G9868" t="str">
        <f>"81593"</f>
        <v>81593</v>
      </c>
      <c r="H9868">
        <v>1</v>
      </c>
      <c r="I9868">
        <v>22</v>
      </c>
      <c r="J9868">
        <v>0</v>
      </c>
      <c r="K9868" t="str">
        <f t="shared" si="1761"/>
        <v>801</v>
      </c>
      <c r="L9868">
        <v>18.48</v>
      </c>
    </row>
    <row r="9869" spans="1:12" x14ac:dyDescent="0.25">
      <c r="A9869" t="str">
        <f t="shared" si="1762"/>
        <v>89301000</v>
      </c>
      <c r="B9869" t="str">
        <f t="shared" si="1759"/>
        <v>91970116</v>
      </c>
      <c r="C9869" t="str">
        <f t="shared" si="1759"/>
        <v>91970116</v>
      </c>
      <c r="D9869">
        <v>89301167</v>
      </c>
      <c r="E9869" t="str">
        <f t="shared" si="1760"/>
        <v>530220073</v>
      </c>
      <c r="F9869" s="1">
        <v>45163</v>
      </c>
      <c r="G9869" t="str">
        <f>"81393"</f>
        <v>81393</v>
      </c>
      <c r="H9869">
        <v>1</v>
      </c>
      <c r="I9869">
        <v>24</v>
      </c>
      <c r="J9869">
        <v>0</v>
      </c>
      <c r="K9869" t="str">
        <f t="shared" si="1761"/>
        <v>801</v>
      </c>
      <c r="L9869">
        <v>20.16</v>
      </c>
    </row>
    <row r="9870" spans="1:12" x14ac:dyDescent="0.25">
      <c r="A9870" t="str">
        <f t="shared" si="1762"/>
        <v>89301000</v>
      </c>
      <c r="B9870" t="str">
        <f t="shared" si="1759"/>
        <v>91970116</v>
      </c>
      <c r="C9870" t="str">
        <f t="shared" si="1759"/>
        <v>91970116</v>
      </c>
      <c r="D9870">
        <v>89301167</v>
      </c>
      <c r="E9870" t="str">
        <f t="shared" si="1760"/>
        <v>530220073</v>
      </c>
      <c r="F9870" s="1">
        <v>45163</v>
      </c>
      <c r="G9870" t="str">
        <f>"81469"</f>
        <v>81469</v>
      </c>
      <c r="H9870">
        <v>1</v>
      </c>
      <c r="I9870">
        <v>16</v>
      </c>
      <c r="J9870">
        <v>0</v>
      </c>
      <c r="K9870" t="str">
        <f t="shared" si="1761"/>
        <v>801</v>
      </c>
      <c r="L9870">
        <v>13.44</v>
      </c>
    </row>
    <row r="9871" spans="1:12" x14ac:dyDescent="0.25">
      <c r="A9871" t="str">
        <f t="shared" si="1762"/>
        <v>89301000</v>
      </c>
      <c r="B9871" t="str">
        <f t="shared" si="1759"/>
        <v>91970116</v>
      </c>
      <c r="C9871" t="str">
        <f t="shared" si="1759"/>
        <v>91970116</v>
      </c>
      <c r="D9871">
        <v>89301167</v>
      </c>
      <c r="E9871" t="str">
        <f t="shared" si="1760"/>
        <v>530220073</v>
      </c>
      <c r="F9871" s="1">
        <v>45163</v>
      </c>
      <c r="G9871" t="str">
        <f>"93195"</f>
        <v>93195</v>
      </c>
      <c r="H9871">
        <v>1</v>
      </c>
      <c r="I9871">
        <v>183</v>
      </c>
      <c r="J9871">
        <v>0</v>
      </c>
      <c r="K9871" t="str">
        <f t="shared" si="1761"/>
        <v>801</v>
      </c>
      <c r="L9871">
        <v>153.72</v>
      </c>
    </row>
    <row r="9872" spans="1:12" x14ac:dyDescent="0.25">
      <c r="A9872" t="str">
        <f t="shared" si="1762"/>
        <v>89301000</v>
      </c>
      <c r="B9872" t="str">
        <f t="shared" si="1759"/>
        <v>91970116</v>
      </c>
      <c r="C9872" t="str">
        <f t="shared" si="1759"/>
        <v>91970116</v>
      </c>
      <c r="D9872">
        <v>89301167</v>
      </c>
      <c r="E9872" t="str">
        <f t="shared" si="1760"/>
        <v>530220073</v>
      </c>
      <c r="F9872" s="1">
        <v>45163</v>
      </c>
      <c r="G9872" t="str">
        <f>"93189"</f>
        <v>93189</v>
      </c>
      <c r="H9872">
        <v>1</v>
      </c>
      <c r="I9872">
        <v>191</v>
      </c>
      <c r="J9872">
        <v>0</v>
      </c>
      <c r="K9872" t="str">
        <f t="shared" si="1761"/>
        <v>801</v>
      </c>
      <c r="L9872">
        <v>160.44</v>
      </c>
    </row>
    <row r="9873" spans="1:12" x14ac:dyDescent="0.25">
      <c r="A9873" t="str">
        <f t="shared" si="1762"/>
        <v>89301000</v>
      </c>
      <c r="B9873" t="str">
        <f t="shared" si="1759"/>
        <v>91970116</v>
      </c>
      <c r="C9873" t="str">
        <f t="shared" si="1759"/>
        <v>91970116</v>
      </c>
      <c r="D9873">
        <v>89301167</v>
      </c>
      <c r="E9873" t="str">
        <f t="shared" si="1760"/>
        <v>530220073</v>
      </c>
      <c r="F9873" s="1">
        <v>45163</v>
      </c>
      <c r="G9873" t="str">
        <f>"81249"</f>
        <v>81249</v>
      </c>
      <c r="H9873">
        <v>1</v>
      </c>
      <c r="I9873">
        <v>334</v>
      </c>
      <c r="J9873">
        <v>0</v>
      </c>
      <c r="K9873" t="str">
        <f t="shared" si="1761"/>
        <v>801</v>
      </c>
      <c r="L9873">
        <v>280.56</v>
      </c>
    </row>
    <row r="9874" spans="1:12" x14ac:dyDescent="0.25">
      <c r="A9874" t="str">
        <f t="shared" si="1762"/>
        <v>89301000</v>
      </c>
      <c r="B9874" t="str">
        <f>"91970116"</f>
        <v>91970116</v>
      </c>
      <c r="C9874" t="str">
        <f>"91970115"</f>
        <v>91970115</v>
      </c>
      <c r="D9874">
        <v>89301167</v>
      </c>
      <c r="E9874" t="str">
        <f t="shared" si="1760"/>
        <v>530220073</v>
      </c>
      <c r="F9874" s="1">
        <v>45163</v>
      </c>
      <c r="G9874" t="str">
        <f>"09119"</f>
        <v>09119</v>
      </c>
      <c r="H9874">
        <v>1</v>
      </c>
      <c r="I9874">
        <v>43</v>
      </c>
      <c r="J9874">
        <v>0</v>
      </c>
      <c r="K9874" t="str">
        <f>"818"</f>
        <v>818</v>
      </c>
      <c r="L9874">
        <v>54.18</v>
      </c>
    </row>
    <row r="9875" spans="1:12" x14ac:dyDescent="0.25">
      <c r="A9875" t="str">
        <f t="shared" si="1762"/>
        <v>89301000</v>
      </c>
      <c r="B9875" t="str">
        <f>"91970116"</f>
        <v>91970116</v>
      </c>
      <c r="C9875" t="str">
        <f>"91970115"</f>
        <v>91970115</v>
      </c>
      <c r="D9875">
        <v>89301167</v>
      </c>
      <c r="E9875" t="str">
        <f t="shared" si="1760"/>
        <v>530220073</v>
      </c>
      <c r="F9875" s="1">
        <v>45163</v>
      </c>
      <c r="G9875" t="str">
        <f>"96163"</f>
        <v>96163</v>
      </c>
      <c r="H9875">
        <v>1</v>
      </c>
      <c r="I9875">
        <v>28</v>
      </c>
      <c r="J9875">
        <v>0</v>
      </c>
      <c r="K9875" t="str">
        <f>"818"</f>
        <v>818</v>
      </c>
      <c r="L9875">
        <v>27.16</v>
      </c>
    </row>
    <row r="9876" spans="1:12" x14ac:dyDescent="0.25">
      <c r="A9876" t="str">
        <f t="shared" si="1762"/>
        <v>89301000</v>
      </c>
      <c r="B9876" t="str">
        <f>"91970116"</f>
        <v>91970116</v>
      </c>
      <c r="C9876" t="str">
        <f>"91970115"</f>
        <v>91970115</v>
      </c>
      <c r="D9876">
        <v>89301167</v>
      </c>
      <c r="E9876" t="str">
        <f t="shared" si="1760"/>
        <v>530220073</v>
      </c>
      <c r="F9876" s="1">
        <v>45163</v>
      </c>
      <c r="G9876" t="str">
        <f>"96315"</f>
        <v>96315</v>
      </c>
      <c r="H9876">
        <v>1</v>
      </c>
      <c r="I9876">
        <v>30</v>
      </c>
      <c r="J9876">
        <v>0</v>
      </c>
      <c r="K9876" t="str">
        <f>"818"</f>
        <v>818</v>
      </c>
      <c r="L9876">
        <v>29.1</v>
      </c>
    </row>
    <row r="9877" spans="1:12" x14ac:dyDescent="0.25">
      <c r="A9877" t="str">
        <f t="shared" si="1762"/>
        <v>89301000</v>
      </c>
      <c r="B9877" t="str">
        <f>"91970116"</f>
        <v>91970116</v>
      </c>
      <c r="C9877" t="str">
        <f>"91970115"</f>
        <v>91970115</v>
      </c>
      <c r="D9877">
        <v>89301167</v>
      </c>
      <c r="E9877" t="str">
        <f t="shared" si="1760"/>
        <v>530220073</v>
      </c>
      <c r="F9877" s="1">
        <v>45163</v>
      </c>
      <c r="G9877" t="str">
        <f>"96711"</f>
        <v>96711</v>
      </c>
      <c r="H9877">
        <v>1</v>
      </c>
      <c r="I9877">
        <v>28</v>
      </c>
      <c r="J9877">
        <v>0</v>
      </c>
      <c r="K9877" t="str">
        <f>"818"</f>
        <v>818</v>
      </c>
      <c r="L9877">
        <v>27.16</v>
      </c>
    </row>
    <row r="9878" spans="1:12" x14ac:dyDescent="0.25">
      <c r="A9878" t="str">
        <f t="shared" si="1762"/>
        <v>89301000</v>
      </c>
      <c r="B9878" t="str">
        <f>"91970116"</f>
        <v>91970116</v>
      </c>
      <c r="C9878" t="str">
        <f>"91970115"</f>
        <v>91970115</v>
      </c>
      <c r="D9878">
        <v>89301167</v>
      </c>
      <c r="E9878" t="str">
        <f t="shared" si="1760"/>
        <v>530220073</v>
      </c>
      <c r="F9878" s="1">
        <v>45163</v>
      </c>
      <c r="G9878" t="str">
        <f>"96713"</f>
        <v>96713</v>
      </c>
      <c r="H9878">
        <v>1</v>
      </c>
      <c r="I9878">
        <v>14</v>
      </c>
      <c r="J9878">
        <v>0</v>
      </c>
      <c r="K9878" t="str">
        <f>"818"</f>
        <v>818</v>
      </c>
      <c r="L9878">
        <v>13.58</v>
      </c>
    </row>
    <row r="9879" spans="1:12" x14ac:dyDescent="0.25">
      <c r="A9879" t="str">
        <f t="shared" si="1762"/>
        <v>89301000</v>
      </c>
      <c r="B9879" t="str">
        <f>"91970117"</f>
        <v>91970117</v>
      </c>
      <c r="C9879" t="str">
        <f>"91970117"</f>
        <v>91970117</v>
      </c>
      <c r="D9879">
        <v>89301212</v>
      </c>
      <c r="E9879" t="str">
        <f>"520811237"</f>
        <v>520811237</v>
      </c>
      <c r="F9879" s="1">
        <v>45160</v>
      </c>
      <c r="G9879" t="str">
        <f>"89131"</f>
        <v>89131</v>
      </c>
      <c r="H9879">
        <v>1</v>
      </c>
      <c r="I9879">
        <v>190</v>
      </c>
      <c r="J9879">
        <v>0</v>
      </c>
      <c r="K9879" t="str">
        <f>"809"</f>
        <v>809</v>
      </c>
      <c r="L9879">
        <v>279.3</v>
      </c>
    </row>
    <row r="9880" spans="1:12" x14ac:dyDescent="0.25">
      <c r="A9880" t="str">
        <f t="shared" si="1762"/>
        <v>89301000</v>
      </c>
      <c r="B9880" t="str">
        <f t="shared" ref="B9880:B9917" si="1763">"72077000"</f>
        <v>72077000</v>
      </c>
      <c r="C9880" t="str">
        <f t="shared" ref="C9880:C9917" si="1764">"72077001"</f>
        <v>72077001</v>
      </c>
      <c r="D9880">
        <v>89301107</v>
      </c>
      <c r="E9880" t="str">
        <f>"2052080800"</f>
        <v>2052080800</v>
      </c>
      <c r="F9880" s="1">
        <v>45141</v>
      </c>
      <c r="G9880" t="str">
        <f>"91197"</f>
        <v>91197</v>
      </c>
      <c r="H9880">
        <v>1</v>
      </c>
      <c r="I9880">
        <v>1048</v>
      </c>
      <c r="J9880">
        <v>0</v>
      </c>
      <c r="K9880" t="str">
        <f t="shared" ref="K9880:K9917" si="1765">"813"</f>
        <v>813</v>
      </c>
      <c r="L9880">
        <v>880.32</v>
      </c>
    </row>
    <row r="9881" spans="1:12" x14ac:dyDescent="0.25">
      <c r="A9881" t="str">
        <f t="shared" si="1762"/>
        <v>89301000</v>
      </c>
      <c r="B9881" t="str">
        <f t="shared" si="1763"/>
        <v>72077000</v>
      </c>
      <c r="C9881" t="str">
        <f t="shared" si="1764"/>
        <v>72077001</v>
      </c>
      <c r="D9881">
        <v>89301152</v>
      </c>
      <c r="E9881" t="str">
        <f>"8257265313"</f>
        <v>8257265313</v>
      </c>
      <c r="F9881" s="1">
        <v>45148</v>
      </c>
      <c r="G9881" t="str">
        <f>"91197"</f>
        <v>91197</v>
      </c>
      <c r="H9881">
        <v>1</v>
      </c>
      <c r="I9881">
        <v>1048</v>
      </c>
      <c r="J9881">
        <v>0</v>
      </c>
      <c r="K9881" t="str">
        <f t="shared" si="1765"/>
        <v>813</v>
      </c>
      <c r="L9881">
        <v>880.32</v>
      </c>
    </row>
    <row r="9882" spans="1:12" x14ac:dyDescent="0.25">
      <c r="A9882" t="str">
        <f t="shared" si="1762"/>
        <v>89301000</v>
      </c>
      <c r="B9882" t="str">
        <f t="shared" si="1763"/>
        <v>72077000</v>
      </c>
      <c r="C9882" t="str">
        <f t="shared" si="1764"/>
        <v>72077001</v>
      </c>
      <c r="D9882">
        <v>89301152</v>
      </c>
      <c r="E9882" t="str">
        <f>"8257265313"</f>
        <v>8257265313</v>
      </c>
      <c r="F9882" s="1">
        <v>45149</v>
      </c>
      <c r="G9882" t="str">
        <f>"91465"</f>
        <v>91465</v>
      </c>
      <c r="H9882">
        <v>1</v>
      </c>
      <c r="I9882">
        <v>1412</v>
      </c>
      <c r="J9882">
        <v>0</v>
      </c>
      <c r="K9882" t="str">
        <f t="shared" si="1765"/>
        <v>813</v>
      </c>
      <c r="L9882">
        <v>1186.08</v>
      </c>
    </row>
    <row r="9883" spans="1:12" x14ac:dyDescent="0.25">
      <c r="A9883" t="str">
        <f t="shared" si="1762"/>
        <v>89301000</v>
      </c>
      <c r="B9883" t="str">
        <f t="shared" si="1763"/>
        <v>72077000</v>
      </c>
      <c r="C9883" t="str">
        <f t="shared" si="1764"/>
        <v>72077001</v>
      </c>
      <c r="D9883">
        <v>89301152</v>
      </c>
      <c r="E9883" t="str">
        <f>"7304034463"</f>
        <v>7304034463</v>
      </c>
      <c r="F9883" s="1">
        <v>45139</v>
      </c>
      <c r="G9883" t="str">
        <f>"91219"</f>
        <v>91219</v>
      </c>
      <c r="H9883">
        <v>1</v>
      </c>
      <c r="I9883">
        <v>343</v>
      </c>
      <c r="J9883">
        <v>0</v>
      </c>
      <c r="K9883" t="str">
        <f t="shared" si="1765"/>
        <v>813</v>
      </c>
      <c r="L9883">
        <v>288.12</v>
      </c>
    </row>
    <row r="9884" spans="1:12" x14ac:dyDescent="0.25">
      <c r="A9884" t="str">
        <f t="shared" si="1762"/>
        <v>89301000</v>
      </c>
      <c r="B9884" t="str">
        <f t="shared" si="1763"/>
        <v>72077000</v>
      </c>
      <c r="C9884" t="str">
        <f t="shared" si="1764"/>
        <v>72077001</v>
      </c>
      <c r="D9884">
        <v>89301152</v>
      </c>
      <c r="E9884" t="str">
        <f>"7304034463"</f>
        <v>7304034463</v>
      </c>
      <c r="F9884" s="1">
        <v>45139</v>
      </c>
      <c r="G9884" t="str">
        <f>"91219"</f>
        <v>91219</v>
      </c>
      <c r="H9884">
        <v>1</v>
      </c>
      <c r="I9884">
        <v>343</v>
      </c>
      <c r="J9884">
        <v>0</v>
      </c>
      <c r="K9884" t="str">
        <f t="shared" si="1765"/>
        <v>813</v>
      </c>
      <c r="L9884">
        <v>288.12</v>
      </c>
    </row>
    <row r="9885" spans="1:12" x14ac:dyDescent="0.25">
      <c r="A9885" t="str">
        <f t="shared" si="1762"/>
        <v>89301000</v>
      </c>
      <c r="B9885" t="str">
        <f t="shared" si="1763"/>
        <v>72077000</v>
      </c>
      <c r="C9885" t="str">
        <f t="shared" si="1764"/>
        <v>72077001</v>
      </c>
      <c r="D9885">
        <v>89301152</v>
      </c>
      <c r="E9885" t="str">
        <f>"7304034463"</f>
        <v>7304034463</v>
      </c>
      <c r="F9885" s="1">
        <v>45139</v>
      </c>
      <c r="G9885" t="str">
        <f>"91219"</f>
        <v>91219</v>
      </c>
      <c r="H9885">
        <v>1</v>
      </c>
      <c r="I9885">
        <v>343</v>
      </c>
      <c r="J9885">
        <v>0</v>
      </c>
      <c r="K9885" t="str">
        <f t="shared" si="1765"/>
        <v>813</v>
      </c>
      <c r="L9885">
        <v>288.12</v>
      </c>
    </row>
    <row r="9886" spans="1:12" x14ac:dyDescent="0.25">
      <c r="A9886" t="str">
        <f t="shared" si="1762"/>
        <v>89301000</v>
      </c>
      <c r="B9886" t="str">
        <f t="shared" si="1763"/>
        <v>72077000</v>
      </c>
      <c r="C9886" t="str">
        <f t="shared" si="1764"/>
        <v>72077001</v>
      </c>
      <c r="D9886">
        <v>89301152</v>
      </c>
      <c r="E9886" t="str">
        <f>"7304034463"</f>
        <v>7304034463</v>
      </c>
      <c r="F9886" s="1">
        <v>45139</v>
      </c>
      <c r="G9886" t="str">
        <f>"91465"</f>
        <v>91465</v>
      </c>
      <c r="H9886">
        <v>1</v>
      </c>
      <c r="I9886">
        <v>1412</v>
      </c>
      <c r="J9886">
        <v>0</v>
      </c>
      <c r="K9886" t="str">
        <f t="shared" si="1765"/>
        <v>813</v>
      </c>
      <c r="L9886">
        <v>1186.08</v>
      </c>
    </row>
    <row r="9887" spans="1:12" x14ac:dyDescent="0.25">
      <c r="A9887" t="str">
        <f t="shared" si="1762"/>
        <v>89301000</v>
      </c>
      <c r="B9887" t="str">
        <f t="shared" si="1763"/>
        <v>72077000</v>
      </c>
      <c r="C9887" t="str">
        <f t="shared" si="1764"/>
        <v>72077001</v>
      </c>
      <c r="D9887">
        <v>89301152</v>
      </c>
      <c r="E9887" t="str">
        <f>"9254225717"</f>
        <v>9254225717</v>
      </c>
      <c r="F9887" s="1">
        <v>45139</v>
      </c>
      <c r="G9887" t="str">
        <f>"91219"</f>
        <v>91219</v>
      </c>
      <c r="H9887">
        <v>1</v>
      </c>
      <c r="I9887">
        <v>343</v>
      </c>
      <c r="J9887">
        <v>0</v>
      </c>
      <c r="K9887" t="str">
        <f t="shared" si="1765"/>
        <v>813</v>
      </c>
      <c r="L9887">
        <v>288.12</v>
      </c>
    </row>
    <row r="9888" spans="1:12" x14ac:dyDescent="0.25">
      <c r="A9888" t="str">
        <f t="shared" si="1762"/>
        <v>89301000</v>
      </c>
      <c r="B9888" t="str">
        <f t="shared" si="1763"/>
        <v>72077000</v>
      </c>
      <c r="C9888" t="str">
        <f t="shared" si="1764"/>
        <v>72077001</v>
      </c>
      <c r="D9888">
        <v>89301152</v>
      </c>
      <c r="E9888" t="str">
        <f>"9254225717"</f>
        <v>9254225717</v>
      </c>
      <c r="F9888" s="1">
        <v>45139</v>
      </c>
      <c r="G9888" t="str">
        <f>"91219"</f>
        <v>91219</v>
      </c>
      <c r="H9888">
        <v>1</v>
      </c>
      <c r="I9888">
        <v>343</v>
      </c>
      <c r="J9888">
        <v>0</v>
      </c>
      <c r="K9888" t="str">
        <f t="shared" si="1765"/>
        <v>813</v>
      </c>
      <c r="L9888">
        <v>288.12</v>
      </c>
    </row>
    <row r="9889" spans="1:12" x14ac:dyDescent="0.25">
      <c r="A9889" t="str">
        <f t="shared" si="1762"/>
        <v>89301000</v>
      </c>
      <c r="B9889" t="str">
        <f t="shared" si="1763"/>
        <v>72077000</v>
      </c>
      <c r="C9889" t="str">
        <f t="shared" si="1764"/>
        <v>72077001</v>
      </c>
      <c r="D9889">
        <v>89301152</v>
      </c>
      <c r="E9889" t="str">
        <f>"9254225717"</f>
        <v>9254225717</v>
      </c>
      <c r="F9889" s="1">
        <v>45139</v>
      </c>
      <c r="G9889" t="str">
        <f>"91465"</f>
        <v>91465</v>
      </c>
      <c r="H9889">
        <v>1</v>
      </c>
      <c r="I9889">
        <v>1412</v>
      </c>
      <c r="J9889">
        <v>0</v>
      </c>
      <c r="K9889" t="str">
        <f t="shared" si="1765"/>
        <v>813</v>
      </c>
      <c r="L9889">
        <v>1186.08</v>
      </c>
    </row>
    <row r="9890" spans="1:12" x14ac:dyDescent="0.25">
      <c r="A9890" t="str">
        <f t="shared" si="1762"/>
        <v>89301000</v>
      </c>
      <c r="B9890" t="str">
        <f t="shared" si="1763"/>
        <v>72077000</v>
      </c>
      <c r="C9890" t="str">
        <f t="shared" si="1764"/>
        <v>72077001</v>
      </c>
      <c r="D9890">
        <v>89301152</v>
      </c>
      <c r="E9890" t="str">
        <f>"6759130532"</f>
        <v>6759130532</v>
      </c>
      <c r="F9890" s="1">
        <v>45139</v>
      </c>
      <c r="G9890" t="str">
        <f>"91219"</f>
        <v>91219</v>
      </c>
      <c r="H9890">
        <v>1</v>
      </c>
      <c r="I9890">
        <v>343</v>
      </c>
      <c r="J9890">
        <v>0</v>
      </c>
      <c r="K9890" t="str">
        <f t="shared" si="1765"/>
        <v>813</v>
      </c>
      <c r="L9890">
        <v>288.12</v>
      </c>
    </row>
    <row r="9891" spans="1:12" x14ac:dyDescent="0.25">
      <c r="A9891" t="str">
        <f t="shared" si="1762"/>
        <v>89301000</v>
      </c>
      <c r="B9891" t="str">
        <f t="shared" si="1763"/>
        <v>72077000</v>
      </c>
      <c r="C9891" t="str">
        <f t="shared" si="1764"/>
        <v>72077001</v>
      </c>
      <c r="D9891">
        <v>89301152</v>
      </c>
      <c r="E9891" t="str">
        <f>"6759130532"</f>
        <v>6759130532</v>
      </c>
      <c r="F9891" s="1">
        <v>45139</v>
      </c>
      <c r="G9891" t="str">
        <f>"91219"</f>
        <v>91219</v>
      </c>
      <c r="H9891">
        <v>1</v>
      </c>
      <c r="I9891">
        <v>343</v>
      </c>
      <c r="J9891">
        <v>0</v>
      </c>
      <c r="K9891" t="str">
        <f t="shared" si="1765"/>
        <v>813</v>
      </c>
      <c r="L9891">
        <v>288.12</v>
      </c>
    </row>
    <row r="9892" spans="1:12" x14ac:dyDescent="0.25">
      <c r="A9892" t="str">
        <f t="shared" si="1762"/>
        <v>89301000</v>
      </c>
      <c r="B9892" t="str">
        <f t="shared" si="1763"/>
        <v>72077000</v>
      </c>
      <c r="C9892" t="str">
        <f t="shared" si="1764"/>
        <v>72077001</v>
      </c>
      <c r="D9892">
        <v>89301152</v>
      </c>
      <c r="E9892" t="str">
        <f>"6759130532"</f>
        <v>6759130532</v>
      </c>
      <c r="F9892" s="1">
        <v>45139</v>
      </c>
      <c r="G9892" t="str">
        <f>"91219"</f>
        <v>91219</v>
      </c>
      <c r="H9892">
        <v>1</v>
      </c>
      <c r="I9892">
        <v>343</v>
      </c>
      <c r="J9892">
        <v>0</v>
      </c>
      <c r="K9892" t="str">
        <f t="shared" si="1765"/>
        <v>813</v>
      </c>
      <c r="L9892">
        <v>288.12</v>
      </c>
    </row>
    <row r="9893" spans="1:12" x14ac:dyDescent="0.25">
      <c r="A9893" t="str">
        <f t="shared" si="1762"/>
        <v>89301000</v>
      </c>
      <c r="B9893" t="str">
        <f t="shared" si="1763"/>
        <v>72077000</v>
      </c>
      <c r="C9893" t="str">
        <f t="shared" si="1764"/>
        <v>72077001</v>
      </c>
      <c r="D9893">
        <v>89301152</v>
      </c>
      <c r="E9893" t="str">
        <f>"6759130532"</f>
        <v>6759130532</v>
      </c>
      <c r="F9893" s="1">
        <v>45139</v>
      </c>
      <c r="G9893" t="str">
        <f>"91465"</f>
        <v>91465</v>
      </c>
      <c r="H9893">
        <v>1</v>
      </c>
      <c r="I9893">
        <v>1412</v>
      </c>
      <c r="J9893">
        <v>0</v>
      </c>
      <c r="K9893" t="str">
        <f t="shared" si="1765"/>
        <v>813</v>
      </c>
      <c r="L9893">
        <v>1186.08</v>
      </c>
    </row>
    <row r="9894" spans="1:12" x14ac:dyDescent="0.25">
      <c r="A9894" t="str">
        <f t="shared" si="1762"/>
        <v>89301000</v>
      </c>
      <c r="B9894" t="str">
        <f t="shared" si="1763"/>
        <v>72077000</v>
      </c>
      <c r="C9894" t="str">
        <f t="shared" si="1764"/>
        <v>72077001</v>
      </c>
      <c r="D9894">
        <v>89301152</v>
      </c>
      <c r="E9894" t="str">
        <f>"7454204461"</f>
        <v>7454204461</v>
      </c>
      <c r="F9894" s="1">
        <v>45139</v>
      </c>
      <c r="G9894" t="str">
        <f>"91219"</f>
        <v>91219</v>
      </c>
      <c r="H9894">
        <v>1</v>
      </c>
      <c r="I9894">
        <v>343</v>
      </c>
      <c r="J9894">
        <v>0</v>
      </c>
      <c r="K9894" t="str">
        <f t="shared" si="1765"/>
        <v>813</v>
      </c>
      <c r="L9894">
        <v>288.12</v>
      </c>
    </row>
    <row r="9895" spans="1:12" x14ac:dyDescent="0.25">
      <c r="A9895" t="str">
        <f t="shared" si="1762"/>
        <v>89301000</v>
      </c>
      <c r="B9895" t="str">
        <f t="shared" si="1763"/>
        <v>72077000</v>
      </c>
      <c r="C9895" t="str">
        <f t="shared" si="1764"/>
        <v>72077001</v>
      </c>
      <c r="D9895">
        <v>89301152</v>
      </c>
      <c r="E9895" t="str">
        <f>"7454204461"</f>
        <v>7454204461</v>
      </c>
      <c r="F9895" s="1">
        <v>45145</v>
      </c>
      <c r="G9895" t="str">
        <f>"91219"</f>
        <v>91219</v>
      </c>
      <c r="H9895">
        <v>1</v>
      </c>
      <c r="I9895">
        <v>343</v>
      </c>
      <c r="J9895">
        <v>0</v>
      </c>
      <c r="K9895" t="str">
        <f t="shared" si="1765"/>
        <v>813</v>
      </c>
      <c r="L9895">
        <v>288.12</v>
      </c>
    </row>
    <row r="9896" spans="1:12" x14ac:dyDescent="0.25">
      <c r="A9896" t="str">
        <f t="shared" si="1762"/>
        <v>89301000</v>
      </c>
      <c r="B9896" t="str">
        <f t="shared" si="1763"/>
        <v>72077000</v>
      </c>
      <c r="C9896" t="str">
        <f t="shared" si="1764"/>
        <v>72077001</v>
      </c>
      <c r="D9896">
        <v>89301152</v>
      </c>
      <c r="E9896" t="str">
        <f>"8802235794"</f>
        <v>8802235794</v>
      </c>
      <c r="F9896" s="1">
        <v>45146</v>
      </c>
      <c r="G9896" t="str">
        <f>"91197"</f>
        <v>91197</v>
      </c>
      <c r="H9896">
        <v>1</v>
      </c>
      <c r="I9896">
        <v>1048</v>
      </c>
      <c r="J9896">
        <v>0</v>
      </c>
      <c r="K9896" t="str">
        <f t="shared" si="1765"/>
        <v>813</v>
      </c>
      <c r="L9896">
        <v>880.32</v>
      </c>
    </row>
    <row r="9897" spans="1:12" x14ac:dyDescent="0.25">
      <c r="A9897" t="str">
        <f t="shared" si="1762"/>
        <v>89301000</v>
      </c>
      <c r="B9897" t="str">
        <f t="shared" si="1763"/>
        <v>72077000</v>
      </c>
      <c r="C9897" t="str">
        <f t="shared" si="1764"/>
        <v>72077001</v>
      </c>
      <c r="D9897">
        <v>89301152</v>
      </c>
      <c r="E9897" t="str">
        <f>"8802235794"</f>
        <v>8802235794</v>
      </c>
      <c r="F9897" s="1">
        <v>45149</v>
      </c>
      <c r="G9897" t="str">
        <f>"91465"</f>
        <v>91465</v>
      </c>
      <c r="H9897">
        <v>1</v>
      </c>
      <c r="I9897">
        <v>1412</v>
      </c>
      <c r="J9897">
        <v>0</v>
      </c>
      <c r="K9897" t="str">
        <f t="shared" si="1765"/>
        <v>813</v>
      </c>
      <c r="L9897">
        <v>1186.08</v>
      </c>
    </row>
    <row r="9898" spans="1:12" x14ac:dyDescent="0.25">
      <c r="A9898" t="str">
        <f t="shared" si="1762"/>
        <v>89301000</v>
      </c>
      <c r="B9898" t="str">
        <f t="shared" si="1763"/>
        <v>72077000</v>
      </c>
      <c r="C9898" t="str">
        <f t="shared" si="1764"/>
        <v>72077001</v>
      </c>
      <c r="D9898">
        <v>89301152</v>
      </c>
      <c r="E9898" t="str">
        <f>"7562115374"</f>
        <v>7562115374</v>
      </c>
      <c r="F9898" s="1">
        <v>45148</v>
      </c>
      <c r="G9898" t="str">
        <f>"91171"</f>
        <v>91171</v>
      </c>
      <c r="H9898">
        <v>1</v>
      </c>
      <c r="I9898">
        <v>362</v>
      </c>
      <c r="J9898">
        <v>0</v>
      </c>
      <c r="K9898" t="str">
        <f t="shared" si="1765"/>
        <v>813</v>
      </c>
      <c r="L9898">
        <v>304.08</v>
      </c>
    </row>
    <row r="9899" spans="1:12" x14ac:dyDescent="0.25">
      <c r="A9899" t="str">
        <f t="shared" si="1762"/>
        <v>89301000</v>
      </c>
      <c r="B9899" t="str">
        <f t="shared" si="1763"/>
        <v>72077000</v>
      </c>
      <c r="C9899" t="str">
        <f t="shared" si="1764"/>
        <v>72077001</v>
      </c>
      <c r="D9899">
        <v>89301152</v>
      </c>
      <c r="E9899" t="str">
        <f>"7562115374"</f>
        <v>7562115374</v>
      </c>
      <c r="F9899" s="1">
        <v>45148</v>
      </c>
      <c r="G9899" t="str">
        <f>"91197"</f>
        <v>91197</v>
      </c>
      <c r="H9899">
        <v>1</v>
      </c>
      <c r="I9899">
        <v>1048</v>
      </c>
      <c r="J9899">
        <v>0</v>
      </c>
      <c r="K9899" t="str">
        <f t="shared" si="1765"/>
        <v>813</v>
      </c>
      <c r="L9899">
        <v>880.32</v>
      </c>
    </row>
    <row r="9900" spans="1:12" x14ac:dyDescent="0.25">
      <c r="A9900" t="str">
        <f t="shared" si="1762"/>
        <v>89301000</v>
      </c>
      <c r="B9900" t="str">
        <f t="shared" si="1763"/>
        <v>72077000</v>
      </c>
      <c r="C9900" t="str">
        <f t="shared" si="1764"/>
        <v>72077001</v>
      </c>
      <c r="D9900">
        <v>89301152</v>
      </c>
      <c r="E9900" t="str">
        <f>"7562115374"</f>
        <v>7562115374</v>
      </c>
      <c r="F9900" s="1">
        <v>45149</v>
      </c>
      <c r="G9900" t="str">
        <f>"91465"</f>
        <v>91465</v>
      </c>
      <c r="H9900">
        <v>1</v>
      </c>
      <c r="I9900">
        <v>1412</v>
      </c>
      <c r="J9900">
        <v>0</v>
      </c>
      <c r="K9900" t="str">
        <f t="shared" si="1765"/>
        <v>813</v>
      </c>
      <c r="L9900">
        <v>1186.08</v>
      </c>
    </row>
    <row r="9901" spans="1:12" x14ac:dyDescent="0.25">
      <c r="A9901" t="str">
        <f t="shared" si="1762"/>
        <v>89301000</v>
      </c>
      <c r="B9901" t="str">
        <f t="shared" si="1763"/>
        <v>72077000</v>
      </c>
      <c r="C9901" t="str">
        <f t="shared" si="1764"/>
        <v>72077001</v>
      </c>
      <c r="D9901">
        <v>89301152</v>
      </c>
      <c r="E9901" t="str">
        <f>"0404035269"</f>
        <v>0404035269</v>
      </c>
      <c r="F9901" s="1">
        <v>45156</v>
      </c>
      <c r="G9901" t="str">
        <f>"91171"</f>
        <v>91171</v>
      </c>
      <c r="H9901">
        <v>1</v>
      </c>
      <c r="I9901">
        <v>362</v>
      </c>
      <c r="J9901">
        <v>0</v>
      </c>
      <c r="K9901" t="str">
        <f t="shared" si="1765"/>
        <v>813</v>
      </c>
      <c r="L9901">
        <v>304.08</v>
      </c>
    </row>
    <row r="9902" spans="1:12" x14ac:dyDescent="0.25">
      <c r="A9902" t="str">
        <f t="shared" si="1762"/>
        <v>89301000</v>
      </c>
      <c r="B9902" t="str">
        <f t="shared" si="1763"/>
        <v>72077000</v>
      </c>
      <c r="C9902" t="str">
        <f t="shared" si="1764"/>
        <v>72077001</v>
      </c>
      <c r="D9902">
        <v>89301152</v>
      </c>
      <c r="E9902" t="str">
        <f>"7358225325"</f>
        <v>7358225325</v>
      </c>
      <c r="F9902" s="1">
        <v>45156</v>
      </c>
      <c r="G9902" t="str">
        <f>"91197"</f>
        <v>91197</v>
      </c>
      <c r="H9902">
        <v>1</v>
      </c>
      <c r="I9902">
        <v>1048</v>
      </c>
      <c r="J9902">
        <v>0</v>
      </c>
      <c r="K9902" t="str">
        <f t="shared" si="1765"/>
        <v>813</v>
      </c>
      <c r="L9902">
        <v>880.32</v>
      </c>
    </row>
    <row r="9903" spans="1:12" x14ac:dyDescent="0.25">
      <c r="A9903" t="str">
        <f t="shared" si="1762"/>
        <v>89301000</v>
      </c>
      <c r="B9903" t="str">
        <f t="shared" si="1763"/>
        <v>72077000</v>
      </c>
      <c r="C9903" t="str">
        <f t="shared" si="1764"/>
        <v>72077001</v>
      </c>
      <c r="D9903">
        <v>89301152</v>
      </c>
      <c r="E9903" t="str">
        <f>"7358225325"</f>
        <v>7358225325</v>
      </c>
      <c r="F9903" s="1">
        <v>45160</v>
      </c>
      <c r="G9903" t="str">
        <f>"91465"</f>
        <v>91465</v>
      </c>
      <c r="H9903">
        <v>1</v>
      </c>
      <c r="I9903">
        <v>1412</v>
      </c>
      <c r="J9903">
        <v>0</v>
      </c>
      <c r="K9903" t="str">
        <f t="shared" si="1765"/>
        <v>813</v>
      </c>
      <c r="L9903">
        <v>1186.08</v>
      </c>
    </row>
    <row r="9904" spans="1:12" x14ac:dyDescent="0.25">
      <c r="A9904" t="str">
        <f t="shared" si="1762"/>
        <v>89301000</v>
      </c>
      <c r="B9904" t="str">
        <f t="shared" si="1763"/>
        <v>72077000</v>
      </c>
      <c r="C9904" t="str">
        <f t="shared" si="1764"/>
        <v>72077001</v>
      </c>
      <c r="D9904">
        <v>89301152</v>
      </c>
      <c r="E9904" t="str">
        <f>"8856024870"</f>
        <v>8856024870</v>
      </c>
      <c r="F9904" s="1">
        <v>45155</v>
      </c>
      <c r="G9904" t="str">
        <f>"91171"</f>
        <v>91171</v>
      </c>
      <c r="H9904">
        <v>1</v>
      </c>
      <c r="I9904">
        <v>362</v>
      </c>
      <c r="J9904">
        <v>0</v>
      </c>
      <c r="K9904" t="str">
        <f t="shared" si="1765"/>
        <v>813</v>
      </c>
      <c r="L9904">
        <v>304.08</v>
      </c>
    </row>
    <row r="9905" spans="1:12" x14ac:dyDescent="0.25">
      <c r="A9905" t="str">
        <f t="shared" si="1762"/>
        <v>89301000</v>
      </c>
      <c r="B9905" t="str">
        <f t="shared" si="1763"/>
        <v>72077000</v>
      </c>
      <c r="C9905" t="str">
        <f t="shared" si="1764"/>
        <v>72077001</v>
      </c>
      <c r="D9905">
        <v>89301152</v>
      </c>
      <c r="E9905" t="str">
        <f>"8856024870"</f>
        <v>8856024870</v>
      </c>
      <c r="F9905" s="1">
        <v>45155</v>
      </c>
      <c r="G9905" t="str">
        <f>"91175"</f>
        <v>91175</v>
      </c>
      <c r="H9905">
        <v>1</v>
      </c>
      <c r="I9905">
        <v>362</v>
      </c>
      <c r="J9905">
        <v>0</v>
      </c>
      <c r="K9905" t="str">
        <f t="shared" si="1765"/>
        <v>813</v>
      </c>
      <c r="L9905">
        <v>304.08</v>
      </c>
    </row>
    <row r="9906" spans="1:12" x14ac:dyDescent="0.25">
      <c r="A9906" t="str">
        <f t="shared" si="1762"/>
        <v>89301000</v>
      </c>
      <c r="B9906" t="str">
        <f t="shared" si="1763"/>
        <v>72077000</v>
      </c>
      <c r="C9906" t="str">
        <f t="shared" si="1764"/>
        <v>72077001</v>
      </c>
      <c r="D9906">
        <v>89301152</v>
      </c>
      <c r="E9906" t="str">
        <f>"8459215776"</f>
        <v>8459215776</v>
      </c>
      <c r="F9906" s="1">
        <v>45156</v>
      </c>
      <c r="G9906" t="str">
        <f>"91175"</f>
        <v>91175</v>
      </c>
      <c r="H9906">
        <v>1</v>
      </c>
      <c r="I9906">
        <v>362</v>
      </c>
      <c r="J9906">
        <v>0</v>
      </c>
      <c r="K9906" t="str">
        <f t="shared" si="1765"/>
        <v>813</v>
      </c>
      <c r="L9906">
        <v>304.08</v>
      </c>
    </row>
    <row r="9907" spans="1:12" x14ac:dyDescent="0.25">
      <c r="A9907" t="str">
        <f t="shared" si="1762"/>
        <v>89301000</v>
      </c>
      <c r="B9907" t="str">
        <f t="shared" si="1763"/>
        <v>72077000</v>
      </c>
      <c r="C9907" t="str">
        <f t="shared" si="1764"/>
        <v>72077001</v>
      </c>
      <c r="D9907">
        <v>89301152</v>
      </c>
      <c r="E9907" t="str">
        <f>"8459215776"</f>
        <v>8459215776</v>
      </c>
      <c r="F9907" s="1">
        <v>45156</v>
      </c>
      <c r="G9907" t="str">
        <f>"91171"</f>
        <v>91171</v>
      </c>
      <c r="H9907">
        <v>1</v>
      </c>
      <c r="I9907">
        <v>362</v>
      </c>
      <c r="J9907">
        <v>0</v>
      </c>
      <c r="K9907" t="str">
        <f t="shared" si="1765"/>
        <v>813</v>
      </c>
      <c r="L9907">
        <v>304.08</v>
      </c>
    </row>
    <row r="9908" spans="1:12" x14ac:dyDescent="0.25">
      <c r="A9908" t="str">
        <f t="shared" si="1762"/>
        <v>89301000</v>
      </c>
      <c r="B9908" t="str">
        <f t="shared" si="1763"/>
        <v>72077000</v>
      </c>
      <c r="C9908" t="str">
        <f t="shared" si="1764"/>
        <v>72077001</v>
      </c>
      <c r="D9908">
        <v>89301152</v>
      </c>
      <c r="E9908" t="str">
        <f>"525407378"</f>
        <v>525407378</v>
      </c>
      <c r="F9908" s="1">
        <v>45160</v>
      </c>
      <c r="G9908" t="str">
        <f>"91213"</f>
        <v>91213</v>
      </c>
      <c r="H9908">
        <v>1</v>
      </c>
      <c r="I9908">
        <v>348</v>
      </c>
      <c r="J9908">
        <v>0</v>
      </c>
      <c r="K9908" t="str">
        <f t="shared" si="1765"/>
        <v>813</v>
      </c>
      <c r="L9908">
        <v>292.32</v>
      </c>
    </row>
    <row r="9909" spans="1:12" x14ac:dyDescent="0.25">
      <c r="A9909" t="str">
        <f t="shared" si="1762"/>
        <v>89301000</v>
      </c>
      <c r="B9909" t="str">
        <f t="shared" si="1763"/>
        <v>72077000</v>
      </c>
      <c r="C9909" t="str">
        <f t="shared" si="1764"/>
        <v>72077001</v>
      </c>
      <c r="D9909">
        <v>89301152</v>
      </c>
      <c r="E9909" t="str">
        <f>"9860255702"</f>
        <v>9860255702</v>
      </c>
      <c r="F9909" s="1">
        <v>45162</v>
      </c>
      <c r="G9909" t="str">
        <f>"91465"</f>
        <v>91465</v>
      </c>
      <c r="H9909">
        <v>1</v>
      </c>
      <c r="I9909">
        <v>1412</v>
      </c>
      <c r="J9909">
        <v>0</v>
      </c>
      <c r="K9909" t="str">
        <f t="shared" si="1765"/>
        <v>813</v>
      </c>
      <c r="L9909">
        <v>1186.08</v>
      </c>
    </row>
    <row r="9910" spans="1:12" x14ac:dyDescent="0.25">
      <c r="A9910" t="str">
        <f t="shared" si="1762"/>
        <v>89301000</v>
      </c>
      <c r="B9910" t="str">
        <f t="shared" si="1763"/>
        <v>72077000</v>
      </c>
      <c r="C9910" t="str">
        <f t="shared" si="1764"/>
        <v>72077001</v>
      </c>
      <c r="D9910">
        <v>89301152</v>
      </c>
      <c r="E9910" t="str">
        <f>"9860255702"</f>
        <v>9860255702</v>
      </c>
      <c r="F9910" s="1">
        <v>45162</v>
      </c>
      <c r="G9910" t="str">
        <f>"91197"</f>
        <v>91197</v>
      </c>
      <c r="H9910">
        <v>1</v>
      </c>
      <c r="I9910">
        <v>1048</v>
      </c>
      <c r="J9910">
        <v>0</v>
      </c>
      <c r="K9910" t="str">
        <f t="shared" si="1765"/>
        <v>813</v>
      </c>
      <c r="L9910">
        <v>880.32</v>
      </c>
    </row>
    <row r="9911" spans="1:12" x14ac:dyDescent="0.25">
      <c r="A9911" t="str">
        <f t="shared" si="1762"/>
        <v>89301000</v>
      </c>
      <c r="B9911" t="str">
        <f t="shared" si="1763"/>
        <v>72077000</v>
      </c>
      <c r="C9911" t="str">
        <f t="shared" si="1764"/>
        <v>72077001</v>
      </c>
      <c r="D9911">
        <v>89301152</v>
      </c>
      <c r="E9911" t="str">
        <f>"9257275709"</f>
        <v>9257275709</v>
      </c>
      <c r="F9911" s="1">
        <v>45167</v>
      </c>
      <c r="G9911" t="str">
        <f>"91197"</f>
        <v>91197</v>
      </c>
      <c r="H9911">
        <v>1</v>
      </c>
      <c r="I9911">
        <v>1048</v>
      </c>
      <c r="J9911">
        <v>0</v>
      </c>
      <c r="K9911" t="str">
        <f t="shared" si="1765"/>
        <v>813</v>
      </c>
      <c r="L9911">
        <v>880.32</v>
      </c>
    </row>
    <row r="9912" spans="1:12" x14ac:dyDescent="0.25">
      <c r="A9912" t="str">
        <f t="shared" si="1762"/>
        <v>89301000</v>
      </c>
      <c r="B9912" t="str">
        <f t="shared" si="1763"/>
        <v>72077000</v>
      </c>
      <c r="C9912" t="str">
        <f t="shared" si="1764"/>
        <v>72077001</v>
      </c>
      <c r="D9912">
        <v>89301152</v>
      </c>
      <c r="E9912" t="str">
        <f>"9257275709"</f>
        <v>9257275709</v>
      </c>
      <c r="F9912" s="1">
        <v>45167</v>
      </c>
      <c r="G9912" t="str">
        <f>"91465"</f>
        <v>91465</v>
      </c>
      <c r="H9912">
        <v>1</v>
      </c>
      <c r="I9912">
        <v>1412</v>
      </c>
      <c r="J9912">
        <v>0</v>
      </c>
      <c r="K9912" t="str">
        <f t="shared" si="1765"/>
        <v>813</v>
      </c>
      <c r="L9912">
        <v>1186.08</v>
      </c>
    </row>
    <row r="9913" spans="1:12" x14ac:dyDescent="0.25">
      <c r="A9913" t="str">
        <f t="shared" si="1762"/>
        <v>89301000</v>
      </c>
      <c r="B9913" t="str">
        <f t="shared" si="1763"/>
        <v>72077000</v>
      </c>
      <c r="C9913" t="str">
        <f t="shared" si="1764"/>
        <v>72077001</v>
      </c>
      <c r="D9913">
        <v>89301152</v>
      </c>
      <c r="E9913" t="str">
        <f>"9162056068"</f>
        <v>9162056068</v>
      </c>
      <c r="F9913" s="1">
        <v>45162</v>
      </c>
      <c r="G9913" t="str">
        <f>"91175"</f>
        <v>91175</v>
      </c>
      <c r="H9913">
        <v>1</v>
      </c>
      <c r="I9913">
        <v>362</v>
      </c>
      <c r="J9913">
        <v>0</v>
      </c>
      <c r="K9913" t="str">
        <f t="shared" si="1765"/>
        <v>813</v>
      </c>
      <c r="L9913">
        <v>304.08</v>
      </c>
    </row>
    <row r="9914" spans="1:12" x14ac:dyDescent="0.25">
      <c r="A9914" t="str">
        <f t="shared" si="1762"/>
        <v>89301000</v>
      </c>
      <c r="B9914" t="str">
        <f t="shared" si="1763"/>
        <v>72077000</v>
      </c>
      <c r="C9914" t="str">
        <f t="shared" si="1764"/>
        <v>72077001</v>
      </c>
      <c r="D9914">
        <v>89301152</v>
      </c>
      <c r="E9914" t="str">
        <f>"9162056068"</f>
        <v>9162056068</v>
      </c>
      <c r="F9914" s="1">
        <v>45162</v>
      </c>
      <c r="G9914" t="str">
        <f>"91171"</f>
        <v>91171</v>
      </c>
      <c r="H9914">
        <v>1</v>
      </c>
      <c r="I9914">
        <v>362</v>
      </c>
      <c r="J9914">
        <v>0</v>
      </c>
      <c r="K9914" t="str">
        <f t="shared" si="1765"/>
        <v>813</v>
      </c>
      <c r="L9914">
        <v>304.08</v>
      </c>
    </row>
    <row r="9915" spans="1:12" x14ac:dyDescent="0.25">
      <c r="A9915" t="str">
        <f t="shared" si="1762"/>
        <v>89301000</v>
      </c>
      <c r="B9915" t="str">
        <f t="shared" si="1763"/>
        <v>72077000</v>
      </c>
      <c r="C9915" t="str">
        <f t="shared" si="1764"/>
        <v>72077001</v>
      </c>
      <c r="D9915">
        <v>89301152</v>
      </c>
      <c r="E9915" t="str">
        <f>"9458056157"</f>
        <v>9458056157</v>
      </c>
      <c r="F9915" s="1">
        <v>45168</v>
      </c>
      <c r="G9915" t="str">
        <f>"91359"</f>
        <v>91359</v>
      </c>
      <c r="H9915">
        <v>1</v>
      </c>
      <c r="I9915">
        <v>205</v>
      </c>
      <c r="J9915">
        <v>0</v>
      </c>
      <c r="K9915" t="str">
        <f t="shared" si="1765"/>
        <v>813</v>
      </c>
      <c r="L9915">
        <v>172.2</v>
      </c>
    </row>
    <row r="9916" spans="1:12" x14ac:dyDescent="0.25">
      <c r="A9916" t="str">
        <f t="shared" si="1762"/>
        <v>89301000</v>
      </c>
      <c r="B9916" t="str">
        <f t="shared" si="1763"/>
        <v>72077000</v>
      </c>
      <c r="C9916" t="str">
        <f t="shared" si="1764"/>
        <v>72077001</v>
      </c>
      <c r="D9916">
        <v>89301152</v>
      </c>
      <c r="E9916" t="str">
        <f>"9458056157"</f>
        <v>9458056157</v>
      </c>
      <c r="F9916" s="1">
        <v>45168</v>
      </c>
      <c r="G9916" t="str">
        <f>"91361"</f>
        <v>91361</v>
      </c>
      <c r="H9916">
        <v>1</v>
      </c>
      <c r="I9916">
        <v>444</v>
      </c>
      <c r="J9916">
        <v>0</v>
      </c>
      <c r="K9916" t="str">
        <f t="shared" si="1765"/>
        <v>813</v>
      </c>
      <c r="L9916">
        <v>372.96</v>
      </c>
    </row>
    <row r="9917" spans="1:12" x14ac:dyDescent="0.25">
      <c r="A9917" t="str">
        <f t="shared" si="1762"/>
        <v>89301000</v>
      </c>
      <c r="B9917" t="str">
        <f t="shared" si="1763"/>
        <v>72077000</v>
      </c>
      <c r="C9917" t="str">
        <f t="shared" si="1764"/>
        <v>72077001</v>
      </c>
      <c r="D9917">
        <v>89301152</v>
      </c>
      <c r="E9917" t="str">
        <f>"9458056157"</f>
        <v>9458056157</v>
      </c>
      <c r="F9917" s="1">
        <v>45168</v>
      </c>
      <c r="G9917" t="str">
        <f>"91577"</f>
        <v>91577</v>
      </c>
      <c r="H9917">
        <v>1</v>
      </c>
      <c r="I9917">
        <v>398</v>
      </c>
      <c r="J9917">
        <v>0</v>
      </c>
      <c r="K9917" t="str">
        <f t="shared" si="1765"/>
        <v>813</v>
      </c>
      <c r="L9917">
        <v>334.32</v>
      </c>
    </row>
    <row r="9918" spans="1:12" x14ac:dyDescent="0.25">
      <c r="A9918" t="str">
        <f t="shared" si="1762"/>
        <v>89301000</v>
      </c>
      <c r="B9918" t="str">
        <f>"02384000"</f>
        <v>02384000</v>
      </c>
      <c r="C9918" t="str">
        <f>"02384007"</f>
        <v>02384007</v>
      </c>
      <c r="D9918">
        <v>89301212</v>
      </c>
      <c r="E9918" t="str">
        <f>"6359170444"</f>
        <v>6359170444</v>
      </c>
      <c r="F9918" s="1">
        <v>45145</v>
      </c>
      <c r="G9918" t="str">
        <f>"89312"</f>
        <v>89312</v>
      </c>
      <c r="H9918">
        <v>1</v>
      </c>
      <c r="I9918">
        <v>312</v>
      </c>
      <c r="J9918">
        <v>0</v>
      </c>
      <c r="K9918" t="str">
        <f t="shared" ref="K9918:K9928" si="1766">"809"</f>
        <v>809</v>
      </c>
      <c r="L9918">
        <v>340.08</v>
      </c>
    </row>
    <row r="9919" spans="1:12" x14ac:dyDescent="0.25">
      <c r="A9919" t="str">
        <f t="shared" si="1762"/>
        <v>89301000</v>
      </c>
      <c r="B9919" t="str">
        <f>"02384000"</f>
        <v>02384000</v>
      </c>
      <c r="C9919" t="str">
        <f>"02384007"</f>
        <v>02384007</v>
      </c>
      <c r="D9919">
        <v>89301212</v>
      </c>
      <c r="E9919" t="str">
        <f>"6359170444"</f>
        <v>6359170444</v>
      </c>
      <c r="F9919" s="1">
        <v>45145</v>
      </c>
      <c r="G9919" t="str">
        <f>"89312"</f>
        <v>89312</v>
      </c>
      <c r="H9919">
        <v>2</v>
      </c>
      <c r="I9919">
        <v>624</v>
      </c>
      <c r="J9919">
        <v>0</v>
      </c>
      <c r="K9919" t="str">
        <f t="shared" si="1766"/>
        <v>809</v>
      </c>
      <c r="L9919">
        <v>680.16</v>
      </c>
    </row>
    <row r="9920" spans="1:12" x14ac:dyDescent="0.25">
      <c r="A9920" t="str">
        <f t="shared" si="1762"/>
        <v>89301000</v>
      </c>
      <c r="B9920" t="str">
        <f>"02384000"</f>
        <v>02384000</v>
      </c>
      <c r="C9920" t="str">
        <f>"02384007"</f>
        <v>02384007</v>
      </c>
      <c r="D9920">
        <v>89301037</v>
      </c>
      <c r="E9920" t="str">
        <f>"6257110552"</f>
        <v>6257110552</v>
      </c>
      <c r="F9920" s="1">
        <v>45153</v>
      </c>
      <c r="G9920" t="str">
        <f>"89312"</f>
        <v>89312</v>
      </c>
      <c r="H9920">
        <v>1</v>
      </c>
      <c r="I9920">
        <v>312</v>
      </c>
      <c r="J9920">
        <v>0</v>
      </c>
      <c r="K9920" t="str">
        <f t="shared" si="1766"/>
        <v>809</v>
      </c>
      <c r="L9920">
        <v>340.08</v>
      </c>
    </row>
    <row r="9921" spans="1:12" x14ac:dyDescent="0.25">
      <c r="A9921" t="str">
        <f t="shared" si="1762"/>
        <v>89301000</v>
      </c>
      <c r="B9921" t="str">
        <f>"02384000"</f>
        <v>02384000</v>
      </c>
      <c r="C9921" t="str">
        <f>"02384007"</f>
        <v>02384007</v>
      </c>
      <c r="D9921">
        <v>89301037</v>
      </c>
      <c r="E9921" t="str">
        <f>"6257110552"</f>
        <v>6257110552</v>
      </c>
      <c r="F9921" s="1">
        <v>45153</v>
      </c>
      <c r="G9921" t="str">
        <f>"89312"</f>
        <v>89312</v>
      </c>
      <c r="H9921">
        <v>2</v>
      </c>
      <c r="I9921">
        <v>624</v>
      </c>
      <c r="J9921">
        <v>0</v>
      </c>
      <c r="K9921" t="str">
        <f t="shared" si="1766"/>
        <v>809</v>
      </c>
      <c r="L9921">
        <v>680.16</v>
      </c>
    </row>
    <row r="9922" spans="1:12" x14ac:dyDescent="0.25">
      <c r="A9922" t="str">
        <f t="shared" ref="A9922:A9985" si="1767">"89301000"</f>
        <v>89301000</v>
      </c>
      <c r="B9922" t="str">
        <f>"92327000"</f>
        <v>92327000</v>
      </c>
      <c r="C9922" t="str">
        <f>"92327000"</f>
        <v>92327000</v>
      </c>
      <c r="D9922">
        <v>89301212</v>
      </c>
      <c r="E9922" t="str">
        <f>"6952055374"</f>
        <v>6952055374</v>
      </c>
      <c r="F9922" s="1">
        <v>45145</v>
      </c>
      <c r="G9922" t="str">
        <f>"89513"</f>
        <v>89513</v>
      </c>
      <c r="H9922">
        <v>1</v>
      </c>
      <c r="I9922">
        <v>378</v>
      </c>
      <c r="J9922">
        <v>0</v>
      </c>
      <c r="K9922" t="str">
        <f t="shared" si="1766"/>
        <v>809</v>
      </c>
      <c r="L9922">
        <v>555.66</v>
      </c>
    </row>
    <row r="9923" spans="1:12" x14ac:dyDescent="0.25">
      <c r="A9923" t="str">
        <f t="shared" si="1767"/>
        <v>89301000</v>
      </c>
      <c r="B9923" t="str">
        <f>"92327000"</f>
        <v>92327000</v>
      </c>
      <c r="C9923" t="str">
        <f>"92327000"</f>
        <v>92327000</v>
      </c>
      <c r="D9923">
        <v>89301212</v>
      </c>
      <c r="E9923" t="str">
        <f>"6952055374"</f>
        <v>6952055374</v>
      </c>
      <c r="F9923" s="1">
        <v>45145</v>
      </c>
      <c r="G9923" t="str">
        <f>"89514"</f>
        <v>89514</v>
      </c>
      <c r="H9923">
        <v>1</v>
      </c>
      <c r="I9923">
        <v>378</v>
      </c>
      <c r="J9923">
        <v>0</v>
      </c>
      <c r="K9923" t="str">
        <f t="shared" si="1766"/>
        <v>809</v>
      </c>
      <c r="L9923">
        <v>555.66</v>
      </c>
    </row>
    <row r="9924" spans="1:12" x14ac:dyDescent="0.25">
      <c r="A9924" t="str">
        <f t="shared" si="1767"/>
        <v>89301000</v>
      </c>
      <c r="B9924" t="str">
        <f>"91950000"</f>
        <v>91950000</v>
      </c>
      <c r="C9924" t="str">
        <f>"91950028"</f>
        <v>91950028</v>
      </c>
      <c r="D9924">
        <v>89301212</v>
      </c>
      <c r="E9924" t="str">
        <f>"7156235581"</f>
        <v>7156235581</v>
      </c>
      <c r="F9924" s="1">
        <v>45149</v>
      </c>
      <c r="G9924" t="str">
        <f>"89131"</f>
        <v>89131</v>
      </c>
      <c r="H9924">
        <v>1</v>
      </c>
      <c r="I9924">
        <v>190</v>
      </c>
      <c r="J9924">
        <v>0</v>
      </c>
      <c r="K9924" t="str">
        <f t="shared" si="1766"/>
        <v>809</v>
      </c>
      <c r="L9924">
        <v>279.3</v>
      </c>
    </row>
    <row r="9925" spans="1:12" x14ac:dyDescent="0.25">
      <c r="A9925" t="str">
        <f t="shared" si="1767"/>
        <v>89301000</v>
      </c>
      <c r="B9925" t="str">
        <f>"91950000"</f>
        <v>91950000</v>
      </c>
      <c r="C9925" t="str">
        <f>"91950028"</f>
        <v>91950028</v>
      </c>
      <c r="D9925">
        <v>89301062</v>
      </c>
      <c r="E9925" t="str">
        <f>"7455025512"</f>
        <v>7455025512</v>
      </c>
      <c r="F9925" s="1">
        <v>45153</v>
      </c>
      <c r="G9925" t="str">
        <f>"89713"</f>
        <v>89713</v>
      </c>
      <c r="H9925">
        <v>1</v>
      </c>
      <c r="I9925">
        <v>5411</v>
      </c>
      <c r="J9925">
        <v>0</v>
      </c>
      <c r="K9925" t="str">
        <f t="shared" si="1766"/>
        <v>809</v>
      </c>
      <c r="L9925">
        <v>3517.15</v>
      </c>
    </row>
    <row r="9926" spans="1:12" x14ac:dyDescent="0.25">
      <c r="A9926" t="str">
        <f t="shared" si="1767"/>
        <v>89301000</v>
      </c>
      <c r="B9926" t="str">
        <f>"91950000"</f>
        <v>91950000</v>
      </c>
      <c r="C9926" t="str">
        <f>"91950028"</f>
        <v>91950028</v>
      </c>
      <c r="D9926">
        <v>89301062</v>
      </c>
      <c r="E9926" t="str">
        <f>"7455025512"</f>
        <v>7455025512</v>
      </c>
      <c r="F9926" s="1">
        <v>45153</v>
      </c>
      <c r="G9926" t="str">
        <f>"89725"</f>
        <v>89725</v>
      </c>
      <c r="H9926">
        <v>1</v>
      </c>
      <c r="I9926">
        <v>2863</v>
      </c>
      <c r="J9926">
        <v>0</v>
      </c>
      <c r="K9926" t="str">
        <f t="shared" si="1766"/>
        <v>809</v>
      </c>
      <c r="L9926">
        <v>1860.95</v>
      </c>
    </row>
    <row r="9927" spans="1:12" x14ac:dyDescent="0.25">
      <c r="A9927" t="str">
        <f t="shared" si="1767"/>
        <v>89301000</v>
      </c>
      <c r="B9927" t="str">
        <f>"91950000"</f>
        <v>91950000</v>
      </c>
      <c r="C9927" t="str">
        <f>"91950028"</f>
        <v>91950028</v>
      </c>
      <c r="D9927">
        <v>89301062</v>
      </c>
      <c r="E9927" t="str">
        <f>"7455025512"</f>
        <v>7455025512</v>
      </c>
      <c r="F9927" s="1">
        <v>45153</v>
      </c>
      <c r="G9927" t="str">
        <f>"0054253"</f>
        <v>0054253</v>
      </c>
      <c r="H9927">
        <v>1</v>
      </c>
      <c r="J9927">
        <v>843.46</v>
      </c>
      <c r="K9927" t="str">
        <f t="shared" si="1766"/>
        <v>809</v>
      </c>
      <c r="L9927">
        <v>843.46</v>
      </c>
    </row>
    <row r="9928" spans="1:12" x14ac:dyDescent="0.25">
      <c r="A9928" t="str">
        <f t="shared" si="1767"/>
        <v>89301000</v>
      </c>
      <c r="B9928" t="str">
        <f>"93482000"</f>
        <v>93482000</v>
      </c>
      <c r="C9928" t="str">
        <f>"93482001"</f>
        <v>93482001</v>
      </c>
      <c r="D9928">
        <v>89301607</v>
      </c>
      <c r="E9928" t="str">
        <f>"1512020169"</f>
        <v>1512020169</v>
      </c>
      <c r="F9928" s="1">
        <v>45146</v>
      </c>
      <c r="G9928" t="str">
        <f>"89127"</f>
        <v>89127</v>
      </c>
      <c r="H9928">
        <v>2</v>
      </c>
      <c r="I9928">
        <v>484</v>
      </c>
      <c r="J9928">
        <v>0</v>
      </c>
      <c r="K9928" t="str">
        <f t="shared" si="1766"/>
        <v>809</v>
      </c>
      <c r="L9928">
        <v>711.48</v>
      </c>
    </row>
    <row r="9929" spans="1:12" x14ac:dyDescent="0.25">
      <c r="A9929" t="str">
        <f t="shared" si="1767"/>
        <v>89301000</v>
      </c>
      <c r="B9929" t="str">
        <f t="shared" ref="B9929:B9957" si="1768">"88805000"</f>
        <v>88805000</v>
      </c>
      <c r="C9929" t="str">
        <f>"88805014"</f>
        <v>88805014</v>
      </c>
      <c r="D9929">
        <v>89301282</v>
      </c>
      <c r="E9929" t="str">
        <f>"0456293244"</f>
        <v>0456293244</v>
      </c>
      <c r="F9929" s="1">
        <v>45117</v>
      </c>
      <c r="G9929" t="str">
        <f>"94221"</f>
        <v>94221</v>
      </c>
      <c r="H9929">
        <v>2</v>
      </c>
      <c r="I9929">
        <v>4934</v>
      </c>
      <c r="J9929">
        <v>0</v>
      </c>
      <c r="K9929" t="str">
        <f>"816"</f>
        <v>816</v>
      </c>
      <c r="L9929">
        <v>4440.6000000000004</v>
      </c>
    </row>
    <row r="9930" spans="1:12" x14ac:dyDescent="0.25">
      <c r="A9930" t="str">
        <f t="shared" si="1767"/>
        <v>89301000</v>
      </c>
      <c r="B9930" t="str">
        <f t="shared" si="1768"/>
        <v>88805000</v>
      </c>
      <c r="C9930" t="str">
        <f>"88805014"</f>
        <v>88805014</v>
      </c>
      <c r="D9930">
        <v>89301282</v>
      </c>
      <c r="E9930" t="str">
        <f>"0456293244"</f>
        <v>0456293244</v>
      </c>
      <c r="F9930" s="1">
        <v>45117</v>
      </c>
      <c r="G9930" t="str">
        <f>"94331"</f>
        <v>94331</v>
      </c>
      <c r="H9930">
        <v>1</v>
      </c>
      <c r="I9930">
        <v>7866</v>
      </c>
      <c r="J9930">
        <v>0</v>
      </c>
      <c r="K9930" t="str">
        <f>"816"</f>
        <v>816</v>
      </c>
      <c r="L9930">
        <v>7079.4</v>
      </c>
    </row>
    <row r="9931" spans="1:12" x14ac:dyDescent="0.25">
      <c r="A9931" t="str">
        <f t="shared" si="1767"/>
        <v>89301000</v>
      </c>
      <c r="B9931" t="str">
        <f t="shared" si="1768"/>
        <v>88805000</v>
      </c>
      <c r="C9931" t="str">
        <f>"88805014"</f>
        <v>88805014</v>
      </c>
      <c r="D9931">
        <v>89301282</v>
      </c>
      <c r="E9931" t="str">
        <f>"0456293244"</f>
        <v>0456293244</v>
      </c>
      <c r="F9931" s="1">
        <v>45117</v>
      </c>
      <c r="G9931" t="str">
        <f>"94237"</f>
        <v>94237</v>
      </c>
      <c r="H9931">
        <v>1</v>
      </c>
      <c r="I9931">
        <v>3936</v>
      </c>
      <c r="J9931">
        <v>0</v>
      </c>
      <c r="K9931" t="str">
        <f>"816"</f>
        <v>816</v>
      </c>
      <c r="L9931">
        <v>3542.4</v>
      </c>
    </row>
    <row r="9932" spans="1:12" x14ac:dyDescent="0.25">
      <c r="A9932" t="str">
        <f t="shared" si="1767"/>
        <v>89301000</v>
      </c>
      <c r="B9932" t="str">
        <f t="shared" si="1768"/>
        <v>88805000</v>
      </c>
      <c r="C9932" t="str">
        <f>"88805014"</f>
        <v>88805014</v>
      </c>
      <c r="D9932">
        <v>89301282</v>
      </c>
      <c r="E9932" t="str">
        <f>"0456293244"</f>
        <v>0456293244</v>
      </c>
      <c r="F9932" s="1">
        <v>45117</v>
      </c>
      <c r="G9932" t="str">
        <f>"94227"</f>
        <v>94227</v>
      </c>
      <c r="H9932">
        <v>9</v>
      </c>
      <c r="I9932">
        <v>5697</v>
      </c>
      <c r="J9932">
        <v>0</v>
      </c>
      <c r="K9932" t="str">
        <f>"816"</f>
        <v>816</v>
      </c>
      <c r="L9932">
        <v>5127.3</v>
      </c>
    </row>
    <row r="9933" spans="1:12" x14ac:dyDescent="0.25">
      <c r="A9933" t="str">
        <f t="shared" si="1767"/>
        <v>89301000</v>
      </c>
      <c r="B9933" t="str">
        <f t="shared" si="1768"/>
        <v>88805000</v>
      </c>
      <c r="C9933" t="str">
        <f>"88805014"</f>
        <v>88805014</v>
      </c>
      <c r="D9933">
        <v>89301282</v>
      </c>
      <c r="E9933" t="str">
        <f>"0456293244"</f>
        <v>0456293244</v>
      </c>
      <c r="F9933" s="1">
        <v>45117</v>
      </c>
      <c r="G9933" t="str">
        <f>"94227"</f>
        <v>94227</v>
      </c>
      <c r="H9933">
        <v>6</v>
      </c>
      <c r="I9933">
        <v>3798</v>
      </c>
      <c r="J9933">
        <v>0</v>
      </c>
      <c r="K9933" t="str">
        <f>"816"</f>
        <v>816</v>
      </c>
      <c r="L9933">
        <v>3418.2</v>
      </c>
    </row>
    <row r="9934" spans="1:12" x14ac:dyDescent="0.25">
      <c r="A9934" t="str">
        <f t="shared" si="1767"/>
        <v>89301000</v>
      </c>
      <c r="B9934" t="str">
        <f t="shared" si="1768"/>
        <v>88805000</v>
      </c>
      <c r="C9934" t="str">
        <f t="shared" ref="C9934:C9942" si="1769">"88805001"</f>
        <v>88805001</v>
      </c>
      <c r="D9934">
        <v>89301202</v>
      </c>
      <c r="E9934" t="str">
        <f>"1058160290"</f>
        <v>1058160290</v>
      </c>
      <c r="F9934" s="1">
        <v>45147</v>
      </c>
      <c r="G9934" t="str">
        <f>"97111"</f>
        <v>97111</v>
      </c>
      <c r="H9934">
        <v>1</v>
      </c>
      <c r="I9934">
        <v>19</v>
      </c>
      <c r="J9934">
        <v>0</v>
      </c>
      <c r="K9934" t="str">
        <f t="shared" ref="K9934:K9942" si="1770">"801"</f>
        <v>801</v>
      </c>
      <c r="L9934">
        <v>23.94</v>
      </c>
    </row>
    <row r="9935" spans="1:12" x14ac:dyDescent="0.25">
      <c r="A9935" t="str">
        <f t="shared" si="1767"/>
        <v>89301000</v>
      </c>
      <c r="B9935" t="str">
        <f t="shared" si="1768"/>
        <v>88805000</v>
      </c>
      <c r="C9935" t="str">
        <f t="shared" si="1769"/>
        <v>88805001</v>
      </c>
      <c r="D9935">
        <v>89301108</v>
      </c>
      <c r="E9935" t="str">
        <f>"2157022043"</f>
        <v>2157022043</v>
      </c>
      <c r="F9935" s="1">
        <v>45168</v>
      </c>
      <c r="G9935" t="str">
        <f>"97111"</f>
        <v>97111</v>
      </c>
      <c r="H9935">
        <v>1</v>
      </c>
      <c r="I9935">
        <v>19</v>
      </c>
      <c r="J9935">
        <v>0</v>
      </c>
      <c r="K9935" t="str">
        <f t="shared" si="1770"/>
        <v>801</v>
      </c>
      <c r="L9935">
        <v>23.94</v>
      </c>
    </row>
    <row r="9936" spans="1:12" x14ac:dyDescent="0.25">
      <c r="A9936" t="str">
        <f t="shared" si="1767"/>
        <v>89301000</v>
      </c>
      <c r="B9936" t="str">
        <f t="shared" si="1768"/>
        <v>88805000</v>
      </c>
      <c r="C9936" t="str">
        <f t="shared" si="1769"/>
        <v>88805001</v>
      </c>
      <c r="D9936">
        <v>89301202</v>
      </c>
      <c r="E9936" t="str">
        <f>"8854155816"</f>
        <v>8854155816</v>
      </c>
      <c r="F9936" s="1">
        <v>45147</v>
      </c>
      <c r="G9936" t="str">
        <f>"97111"</f>
        <v>97111</v>
      </c>
      <c r="H9936">
        <v>1</v>
      </c>
      <c r="I9936">
        <v>19</v>
      </c>
      <c r="J9936">
        <v>0</v>
      </c>
      <c r="K9936" t="str">
        <f t="shared" si="1770"/>
        <v>801</v>
      </c>
      <c r="L9936">
        <v>23.94</v>
      </c>
    </row>
    <row r="9937" spans="1:12" x14ac:dyDescent="0.25">
      <c r="A9937" t="str">
        <f t="shared" si="1767"/>
        <v>89301000</v>
      </c>
      <c r="B9937" t="str">
        <f t="shared" si="1768"/>
        <v>88805000</v>
      </c>
      <c r="C9937" t="str">
        <f t="shared" si="1769"/>
        <v>88805001</v>
      </c>
      <c r="D9937">
        <v>89301202</v>
      </c>
      <c r="E9937" t="str">
        <f>"1058160290"</f>
        <v>1058160290</v>
      </c>
      <c r="F9937" s="1">
        <v>45147</v>
      </c>
      <c r="G9937" t="str">
        <f>"81643"</f>
        <v>81643</v>
      </c>
      <c r="H9937">
        <v>1</v>
      </c>
      <c r="I9937">
        <v>104</v>
      </c>
      <c r="J9937">
        <v>0</v>
      </c>
      <c r="K9937" t="str">
        <f t="shared" si="1770"/>
        <v>801</v>
      </c>
      <c r="L9937">
        <v>87.36</v>
      </c>
    </row>
    <row r="9938" spans="1:12" x14ac:dyDescent="0.25">
      <c r="A9938" t="str">
        <f t="shared" si="1767"/>
        <v>89301000</v>
      </c>
      <c r="B9938" t="str">
        <f t="shared" si="1768"/>
        <v>88805000</v>
      </c>
      <c r="C9938" t="str">
        <f t="shared" si="1769"/>
        <v>88805001</v>
      </c>
      <c r="D9938">
        <v>89301202</v>
      </c>
      <c r="E9938" t="str">
        <f>"8854155816"</f>
        <v>8854155816</v>
      </c>
      <c r="F9938" s="1">
        <v>45147</v>
      </c>
      <c r="G9938" t="str">
        <f>"81643"</f>
        <v>81643</v>
      </c>
      <c r="H9938">
        <v>1</v>
      </c>
      <c r="I9938">
        <v>104</v>
      </c>
      <c r="J9938">
        <v>0</v>
      </c>
      <c r="K9938" t="str">
        <f t="shared" si="1770"/>
        <v>801</v>
      </c>
      <c r="L9938">
        <v>87.36</v>
      </c>
    </row>
    <row r="9939" spans="1:12" x14ac:dyDescent="0.25">
      <c r="A9939" t="str">
        <f t="shared" si="1767"/>
        <v>89301000</v>
      </c>
      <c r="B9939" t="str">
        <f t="shared" si="1768"/>
        <v>88805000</v>
      </c>
      <c r="C9939" t="str">
        <f t="shared" si="1769"/>
        <v>88805001</v>
      </c>
      <c r="D9939">
        <v>89301108</v>
      </c>
      <c r="E9939" t="str">
        <f>"2157022043"</f>
        <v>2157022043</v>
      </c>
      <c r="F9939" s="1">
        <v>45168</v>
      </c>
      <c r="G9939" t="str">
        <f>"81631"</f>
        <v>81631</v>
      </c>
      <c r="H9939">
        <v>1</v>
      </c>
      <c r="I9939">
        <v>299</v>
      </c>
      <c r="J9939">
        <v>0</v>
      </c>
      <c r="K9939" t="str">
        <f t="shared" si="1770"/>
        <v>801</v>
      </c>
      <c r="L9939">
        <v>251.16</v>
      </c>
    </row>
    <row r="9940" spans="1:12" x14ac:dyDescent="0.25">
      <c r="A9940" t="str">
        <f t="shared" si="1767"/>
        <v>89301000</v>
      </c>
      <c r="B9940" t="str">
        <f t="shared" si="1768"/>
        <v>88805000</v>
      </c>
      <c r="C9940" t="str">
        <f t="shared" si="1769"/>
        <v>88805001</v>
      </c>
      <c r="D9940">
        <v>89301108</v>
      </c>
      <c r="E9940" t="str">
        <f>"2157022043"</f>
        <v>2157022043</v>
      </c>
      <c r="F9940" s="1">
        <v>45168</v>
      </c>
      <c r="G9940" t="str">
        <f>"92143"</f>
        <v>92143</v>
      </c>
      <c r="H9940">
        <v>1</v>
      </c>
      <c r="I9940">
        <v>1772</v>
      </c>
      <c r="J9940">
        <v>0</v>
      </c>
      <c r="K9940" t="str">
        <f t="shared" si="1770"/>
        <v>801</v>
      </c>
      <c r="L9940">
        <v>1488.48</v>
      </c>
    </row>
    <row r="9941" spans="1:12" x14ac:dyDescent="0.25">
      <c r="A9941" t="str">
        <f t="shared" si="1767"/>
        <v>89301000</v>
      </c>
      <c r="B9941" t="str">
        <f t="shared" si="1768"/>
        <v>88805000</v>
      </c>
      <c r="C9941" t="str">
        <f t="shared" si="1769"/>
        <v>88805001</v>
      </c>
      <c r="D9941">
        <v>89301167</v>
      </c>
      <c r="E9941" t="str">
        <f>"5709166199"</f>
        <v>5709166199</v>
      </c>
      <c r="F9941" s="1">
        <v>45160</v>
      </c>
      <c r="G9941" t="str">
        <f>"09119"</f>
        <v>09119</v>
      </c>
      <c r="H9941">
        <v>1</v>
      </c>
      <c r="I9941">
        <v>43</v>
      </c>
      <c r="J9941">
        <v>0</v>
      </c>
      <c r="K9941" t="str">
        <f t="shared" si="1770"/>
        <v>801</v>
      </c>
      <c r="L9941">
        <v>54.18</v>
      </c>
    </row>
    <row r="9942" spans="1:12" x14ac:dyDescent="0.25">
      <c r="A9942" t="str">
        <f t="shared" si="1767"/>
        <v>89301000</v>
      </c>
      <c r="B9942" t="str">
        <f t="shared" si="1768"/>
        <v>88805000</v>
      </c>
      <c r="C9942" t="str">
        <f t="shared" si="1769"/>
        <v>88805001</v>
      </c>
      <c r="D9942">
        <v>89301167</v>
      </c>
      <c r="E9942" t="str">
        <f>"5709166199"</f>
        <v>5709166199</v>
      </c>
      <c r="F9942" s="1">
        <v>45139</v>
      </c>
      <c r="G9942" t="str">
        <f>"09119"</f>
        <v>09119</v>
      </c>
      <c r="H9942">
        <v>1</v>
      </c>
      <c r="I9942">
        <v>43</v>
      </c>
      <c r="J9942">
        <v>0</v>
      </c>
      <c r="K9942" t="str">
        <f t="shared" si="1770"/>
        <v>801</v>
      </c>
      <c r="L9942">
        <v>54.18</v>
      </c>
    </row>
    <row r="9943" spans="1:12" x14ac:dyDescent="0.25">
      <c r="A9943" t="str">
        <f t="shared" si="1767"/>
        <v>89301000</v>
      </c>
      <c r="B9943" t="str">
        <f t="shared" si="1768"/>
        <v>88805000</v>
      </c>
      <c r="C9943" t="str">
        <f t="shared" ref="C9943:C9957" si="1771">"88805014"</f>
        <v>88805014</v>
      </c>
      <c r="D9943">
        <v>89301282</v>
      </c>
      <c r="E9943" t="str">
        <f t="shared" ref="E9943:E9948" si="1772">"9451245727"</f>
        <v>9451245727</v>
      </c>
      <c r="F9943" s="1">
        <v>45168</v>
      </c>
      <c r="G9943" t="str">
        <f>"94227"</f>
        <v>94227</v>
      </c>
      <c r="H9943">
        <v>9</v>
      </c>
      <c r="I9943">
        <v>5697</v>
      </c>
      <c r="J9943">
        <v>0</v>
      </c>
      <c r="K9943" t="str">
        <f t="shared" ref="K9943:K9957" si="1773">"816"</f>
        <v>816</v>
      </c>
      <c r="L9943">
        <v>5127.3</v>
      </c>
    </row>
    <row r="9944" spans="1:12" x14ac:dyDescent="0.25">
      <c r="A9944" t="str">
        <f t="shared" si="1767"/>
        <v>89301000</v>
      </c>
      <c r="B9944" t="str">
        <f t="shared" si="1768"/>
        <v>88805000</v>
      </c>
      <c r="C9944" t="str">
        <f t="shared" si="1771"/>
        <v>88805014</v>
      </c>
      <c r="D9944">
        <v>89301282</v>
      </c>
      <c r="E9944" t="str">
        <f t="shared" si="1772"/>
        <v>9451245727</v>
      </c>
      <c r="F9944" s="1">
        <v>45168</v>
      </c>
      <c r="G9944" t="str">
        <f>"94227"</f>
        <v>94227</v>
      </c>
      <c r="H9944">
        <v>9</v>
      </c>
      <c r="I9944">
        <v>5697</v>
      </c>
      <c r="J9944">
        <v>0</v>
      </c>
      <c r="K9944" t="str">
        <f t="shared" si="1773"/>
        <v>816</v>
      </c>
      <c r="L9944">
        <v>5127.3</v>
      </c>
    </row>
    <row r="9945" spans="1:12" x14ac:dyDescent="0.25">
      <c r="A9945" t="str">
        <f t="shared" si="1767"/>
        <v>89301000</v>
      </c>
      <c r="B9945" t="str">
        <f t="shared" si="1768"/>
        <v>88805000</v>
      </c>
      <c r="C9945" t="str">
        <f t="shared" si="1771"/>
        <v>88805014</v>
      </c>
      <c r="D9945">
        <v>89301282</v>
      </c>
      <c r="E9945" t="str">
        <f t="shared" si="1772"/>
        <v>9451245727</v>
      </c>
      <c r="F9945" s="1">
        <v>45168</v>
      </c>
      <c r="G9945" t="str">
        <f>"94227"</f>
        <v>94227</v>
      </c>
      <c r="H9945">
        <v>2</v>
      </c>
      <c r="I9945">
        <v>1266</v>
      </c>
      <c r="J9945">
        <v>0</v>
      </c>
      <c r="K9945" t="str">
        <f t="shared" si="1773"/>
        <v>816</v>
      </c>
      <c r="L9945">
        <v>1139.4000000000001</v>
      </c>
    </row>
    <row r="9946" spans="1:12" x14ac:dyDescent="0.25">
      <c r="A9946" t="str">
        <f t="shared" si="1767"/>
        <v>89301000</v>
      </c>
      <c r="B9946" t="str">
        <f t="shared" si="1768"/>
        <v>88805000</v>
      </c>
      <c r="C9946" t="str">
        <f t="shared" si="1771"/>
        <v>88805014</v>
      </c>
      <c r="D9946">
        <v>89301282</v>
      </c>
      <c r="E9946" t="str">
        <f t="shared" si="1772"/>
        <v>9451245727</v>
      </c>
      <c r="F9946" s="1">
        <v>45168</v>
      </c>
      <c r="G9946" t="str">
        <f>"94237"</f>
        <v>94237</v>
      </c>
      <c r="H9946">
        <v>1</v>
      </c>
      <c r="I9946">
        <v>3936</v>
      </c>
      <c r="J9946">
        <v>0</v>
      </c>
      <c r="K9946" t="str">
        <f t="shared" si="1773"/>
        <v>816</v>
      </c>
      <c r="L9946">
        <v>3542.4</v>
      </c>
    </row>
    <row r="9947" spans="1:12" x14ac:dyDescent="0.25">
      <c r="A9947" t="str">
        <f t="shared" si="1767"/>
        <v>89301000</v>
      </c>
      <c r="B9947" t="str">
        <f t="shared" si="1768"/>
        <v>88805000</v>
      </c>
      <c r="C9947" t="str">
        <f t="shared" si="1771"/>
        <v>88805014</v>
      </c>
      <c r="D9947">
        <v>89301282</v>
      </c>
      <c r="E9947" t="str">
        <f t="shared" si="1772"/>
        <v>9451245727</v>
      </c>
      <c r="F9947" s="1">
        <v>45168</v>
      </c>
      <c r="G9947" t="str">
        <f>"94331"</f>
        <v>94331</v>
      </c>
      <c r="H9947">
        <v>2</v>
      </c>
      <c r="I9947">
        <v>15732</v>
      </c>
      <c r="J9947">
        <v>0</v>
      </c>
      <c r="K9947" t="str">
        <f t="shared" si="1773"/>
        <v>816</v>
      </c>
      <c r="L9947">
        <v>14158.8</v>
      </c>
    </row>
    <row r="9948" spans="1:12" x14ac:dyDescent="0.25">
      <c r="A9948" t="str">
        <f t="shared" si="1767"/>
        <v>89301000</v>
      </c>
      <c r="B9948" t="str">
        <f t="shared" si="1768"/>
        <v>88805000</v>
      </c>
      <c r="C9948" t="str">
        <f t="shared" si="1771"/>
        <v>88805014</v>
      </c>
      <c r="D9948">
        <v>89301282</v>
      </c>
      <c r="E9948" t="str">
        <f t="shared" si="1772"/>
        <v>9451245727</v>
      </c>
      <c r="F9948" s="1">
        <v>45168</v>
      </c>
      <c r="G9948" t="str">
        <f>"94948"</f>
        <v>94948</v>
      </c>
      <c r="H9948">
        <v>1</v>
      </c>
      <c r="I9948">
        <v>0</v>
      </c>
      <c r="J9948">
        <v>0</v>
      </c>
      <c r="K9948" t="str">
        <f t="shared" si="1773"/>
        <v>816</v>
      </c>
      <c r="L9948">
        <v>0</v>
      </c>
    </row>
    <row r="9949" spans="1:12" x14ac:dyDescent="0.25">
      <c r="A9949" t="str">
        <f t="shared" si="1767"/>
        <v>89301000</v>
      </c>
      <c r="B9949" t="str">
        <f t="shared" si="1768"/>
        <v>88805000</v>
      </c>
      <c r="C9949" t="str">
        <f t="shared" si="1771"/>
        <v>88805014</v>
      </c>
      <c r="D9949">
        <v>89301282</v>
      </c>
      <c r="E9949" t="str">
        <f>"6259240295"</f>
        <v>6259240295</v>
      </c>
      <c r="F9949" s="1">
        <v>45147</v>
      </c>
      <c r="G9949" t="str">
        <f>"94331"</f>
        <v>94331</v>
      </c>
      <c r="H9949">
        <v>2</v>
      </c>
      <c r="I9949">
        <v>15732</v>
      </c>
      <c r="J9949">
        <v>0</v>
      </c>
      <c r="K9949" t="str">
        <f t="shared" si="1773"/>
        <v>816</v>
      </c>
      <c r="L9949">
        <v>14158.8</v>
      </c>
    </row>
    <row r="9950" spans="1:12" x14ac:dyDescent="0.25">
      <c r="A9950" t="str">
        <f t="shared" si="1767"/>
        <v>89301000</v>
      </c>
      <c r="B9950" t="str">
        <f t="shared" si="1768"/>
        <v>88805000</v>
      </c>
      <c r="C9950" t="str">
        <f t="shared" si="1771"/>
        <v>88805014</v>
      </c>
      <c r="D9950">
        <v>89301282</v>
      </c>
      <c r="E9950" t="str">
        <f>"6259240295"</f>
        <v>6259240295</v>
      </c>
      <c r="F9950" s="1">
        <v>45147</v>
      </c>
      <c r="G9950" t="str">
        <f>"94948"</f>
        <v>94948</v>
      </c>
      <c r="H9950">
        <v>1</v>
      </c>
      <c r="I9950">
        <v>0</v>
      </c>
      <c r="J9950">
        <v>0</v>
      </c>
      <c r="K9950" t="str">
        <f t="shared" si="1773"/>
        <v>816</v>
      </c>
      <c r="L9950">
        <v>0</v>
      </c>
    </row>
    <row r="9951" spans="1:12" x14ac:dyDescent="0.25">
      <c r="A9951" t="str">
        <f t="shared" si="1767"/>
        <v>89301000</v>
      </c>
      <c r="B9951" t="str">
        <f t="shared" si="1768"/>
        <v>88805000</v>
      </c>
      <c r="C9951" t="str">
        <f t="shared" si="1771"/>
        <v>88805014</v>
      </c>
      <c r="D9951">
        <v>89301282</v>
      </c>
      <c r="E9951" t="str">
        <f>"9410076071"</f>
        <v>9410076071</v>
      </c>
      <c r="F9951" s="1">
        <v>45153</v>
      </c>
      <c r="G9951" t="str">
        <f>"94345"</f>
        <v>94345</v>
      </c>
      <c r="H9951">
        <v>1</v>
      </c>
      <c r="I9951">
        <v>4662</v>
      </c>
      <c r="J9951">
        <v>0</v>
      </c>
      <c r="K9951" t="str">
        <f t="shared" si="1773"/>
        <v>816</v>
      </c>
      <c r="L9951">
        <v>4195.8</v>
      </c>
    </row>
    <row r="9952" spans="1:12" x14ac:dyDescent="0.25">
      <c r="A9952" t="str">
        <f t="shared" si="1767"/>
        <v>89301000</v>
      </c>
      <c r="B9952" t="str">
        <f t="shared" si="1768"/>
        <v>88805000</v>
      </c>
      <c r="C9952" t="str">
        <f t="shared" si="1771"/>
        <v>88805014</v>
      </c>
      <c r="D9952">
        <v>89301282</v>
      </c>
      <c r="E9952" t="str">
        <f>"7957309965"</f>
        <v>7957309965</v>
      </c>
      <c r="F9952" s="1">
        <v>45160</v>
      </c>
      <c r="G9952" t="str">
        <f>"94983"</f>
        <v>94983</v>
      </c>
      <c r="H9952">
        <v>1</v>
      </c>
      <c r="I9952">
        <v>0</v>
      </c>
      <c r="J9952">
        <v>39600</v>
      </c>
      <c r="K9952" t="str">
        <f t="shared" si="1773"/>
        <v>816</v>
      </c>
      <c r="L9952">
        <v>39600</v>
      </c>
    </row>
    <row r="9953" spans="1:12" x14ac:dyDescent="0.25">
      <c r="A9953" t="str">
        <f t="shared" si="1767"/>
        <v>89301000</v>
      </c>
      <c r="B9953" t="str">
        <f t="shared" si="1768"/>
        <v>88805000</v>
      </c>
      <c r="C9953" t="str">
        <f t="shared" si="1771"/>
        <v>88805014</v>
      </c>
      <c r="D9953">
        <v>89301282</v>
      </c>
      <c r="E9953" t="str">
        <f>"7957309965"</f>
        <v>7957309965</v>
      </c>
      <c r="F9953" s="1">
        <v>45160</v>
      </c>
      <c r="G9953" t="str">
        <f>"94996"</f>
        <v>94996</v>
      </c>
      <c r="H9953">
        <v>1</v>
      </c>
      <c r="I9953">
        <v>0</v>
      </c>
      <c r="J9953">
        <v>0</v>
      </c>
      <c r="K9953" t="str">
        <f t="shared" si="1773"/>
        <v>816</v>
      </c>
      <c r="L9953">
        <v>0</v>
      </c>
    </row>
    <row r="9954" spans="1:12" x14ac:dyDescent="0.25">
      <c r="A9954" t="str">
        <f t="shared" si="1767"/>
        <v>89301000</v>
      </c>
      <c r="B9954" t="str">
        <f t="shared" si="1768"/>
        <v>88805000</v>
      </c>
      <c r="C9954" t="str">
        <f t="shared" si="1771"/>
        <v>88805014</v>
      </c>
      <c r="D9954">
        <v>89301282</v>
      </c>
      <c r="E9954" t="str">
        <f>"1111280280"</f>
        <v>1111280280</v>
      </c>
      <c r="F9954" s="1">
        <v>45160</v>
      </c>
      <c r="G9954" t="str">
        <f>"94983"</f>
        <v>94983</v>
      </c>
      <c r="H9954">
        <v>1</v>
      </c>
      <c r="I9954">
        <v>0</v>
      </c>
      <c r="J9954">
        <v>39600</v>
      </c>
      <c r="K9954" t="str">
        <f t="shared" si="1773"/>
        <v>816</v>
      </c>
      <c r="L9954">
        <v>39600</v>
      </c>
    </row>
    <row r="9955" spans="1:12" x14ac:dyDescent="0.25">
      <c r="A9955" t="str">
        <f t="shared" si="1767"/>
        <v>89301000</v>
      </c>
      <c r="B9955" t="str">
        <f t="shared" si="1768"/>
        <v>88805000</v>
      </c>
      <c r="C9955" t="str">
        <f t="shared" si="1771"/>
        <v>88805014</v>
      </c>
      <c r="D9955">
        <v>89301282</v>
      </c>
      <c r="E9955" t="str">
        <f>"1111280280"</f>
        <v>1111280280</v>
      </c>
      <c r="F9955" s="1">
        <v>45160</v>
      </c>
      <c r="G9955" t="str">
        <f>"94996"</f>
        <v>94996</v>
      </c>
      <c r="H9955">
        <v>1</v>
      </c>
      <c r="I9955">
        <v>0</v>
      </c>
      <c r="J9955">
        <v>0</v>
      </c>
      <c r="K9955" t="str">
        <f t="shared" si="1773"/>
        <v>816</v>
      </c>
      <c r="L9955">
        <v>0</v>
      </c>
    </row>
    <row r="9956" spans="1:12" x14ac:dyDescent="0.25">
      <c r="A9956" t="str">
        <f t="shared" si="1767"/>
        <v>89301000</v>
      </c>
      <c r="B9956" t="str">
        <f t="shared" si="1768"/>
        <v>88805000</v>
      </c>
      <c r="C9956" t="str">
        <f t="shared" si="1771"/>
        <v>88805014</v>
      </c>
      <c r="D9956">
        <v>89301282</v>
      </c>
      <c r="E9956" t="str">
        <f>"8656154914"</f>
        <v>8656154914</v>
      </c>
      <c r="F9956" s="1">
        <v>45161</v>
      </c>
      <c r="G9956" t="str">
        <f>"94983"</f>
        <v>94983</v>
      </c>
      <c r="H9956">
        <v>1</v>
      </c>
      <c r="I9956">
        <v>0</v>
      </c>
      <c r="J9956">
        <v>39600</v>
      </c>
      <c r="K9956" t="str">
        <f t="shared" si="1773"/>
        <v>816</v>
      </c>
      <c r="L9956">
        <v>39600</v>
      </c>
    </row>
    <row r="9957" spans="1:12" x14ac:dyDescent="0.25">
      <c r="A9957" t="str">
        <f t="shared" si="1767"/>
        <v>89301000</v>
      </c>
      <c r="B9957" t="str">
        <f t="shared" si="1768"/>
        <v>88805000</v>
      </c>
      <c r="C9957" t="str">
        <f t="shared" si="1771"/>
        <v>88805014</v>
      </c>
      <c r="D9957">
        <v>89301282</v>
      </c>
      <c r="E9957" t="str">
        <f>"8656154914"</f>
        <v>8656154914</v>
      </c>
      <c r="F9957" s="1">
        <v>45161</v>
      </c>
      <c r="G9957" t="str">
        <f>"94996"</f>
        <v>94996</v>
      </c>
      <c r="H9957">
        <v>1</v>
      </c>
      <c r="I9957">
        <v>0</v>
      </c>
      <c r="J9957">
        <v>0</v>
      </c>
      <c r="K9957" t="str">
        <f t="shared" si="1773"/>
        <v>816</v>
      </c>
      <c r="L9957">
        <v>0</v>
      </c>
    </row>
    <row r="9958" spans="1:12" x14ac:dyDescent="0.25">
      <c r="A9958" t="str">
        <f t="shared" si="1767"/>
        <v>89301000</v>
      </c>
      <c r="B9958" t="str">
        <f>"85600000"</f>
        <v>85600000</v>
      </c>
      <c r="C9958" t="str">
        <f>"85600421"</f>
        <v>85600421</v>
      </c>
      <c r="D9958">
        <v>89301212</v>
      </c>
      <c r="E9958" t="str">
        <f>"5758140465"</f>
        <v>5758140465</v>
      </c>
      <c r="F9958" s="1">
        <v>45166</v>
      </c>
      <c r="G9958" t="str">
        <f>"89180"</f>
        <v>89180</v>
      </c>
      <c r="H9958">
        <v>1</v>
      </c>
      <c r="I9958">
        <v>381</v>
      </c>
      <c r="J9958">
        <v>0</v>
      </c>
      <c r="K9958" t="str">
        <f t="shared" ref="K9958:K9967" si="1774">"809"</f>
        <v>809</v>
      </c>
      <c r="L9958">
        <v>560.07000000000005</v>
      </c>
    </row>
    <row r="9959" spans="1:12" x14ac:dyDescent="0.25">
      <c r="A9959" t="str">
        <f t="shared" si="1767"/>
        <v>89301000</v>
      </c>
      <c r="B9959" t="str">
        <f>"85600000"</f>
        <v>85600000</v>
      </c>
      <c r="C9959" t="str">
        <f>"85600421"</f>
        <v>85600421</v>
      </c>
      <c r="D9959">
        <v>89301212</v>
      </c>
      <c r="E9959" t="str">
        <f>"5758140465"</f>
        <v>5758140465</v>
      </c>
      <c r="F9959" s="1">
        <v>45166</v>
      </c>
      <c r="G9959" t="str">
        <f>"89512"</f>
        <v>89512</v>
      </c>
      <c r="H9959">
        <v>1</v>
      </c>
      <c r="I9959">
        <v>283</v>
      </c>
      <c r="J9959">
        <v>0</v>
      </c>
      <c r="K9959" t="str">
        <f t="shared" si="1774"/>
        <v>809</v>
      </c>
      <c r="L9959">
        <v>416.01</v>
      </c>
    </row>
    <row r="9960" spans="1:12" x14ac:dyDescent="0.25">
      <c r="A9960" t="str">
        <f t="shared" si="1767"/>
        <v>89301000</v>
      </c>
      <c r="B9960" t="str">
        <f t="shared" ref="B9960:B9967" si="1775">"78934000"</f>
        <v>78934000</v>
      </c>
      <c r="C9960" t="str">
        <f t="shared" ref="C9960:C9967" si="1776">"78934001"</f>
        <v>78934001</v>
      </c>
      <c r="D9960">
        <v>89301212</v>
      </c>
      <c r="E9960" t="str">
        <f>"7556085339"</f>
        <v>7556085339</v>
      </c>
      <c r="F9960" s="1">
        <v>45146</v>
      </c>
      <c r="G9960" t="str">
        <f>"89513"</f>
        <v>89513</v>
      </c>
      <c r="H9960">
        <v>1</v>
      </c>
      <c r="I9960">
        <v>378</v>
      </c>
      <c r="J9960">
        <v>0</v>
      </c>
      <c r="K9960" t="str">
        <f t="shared" si="1774"/>
        <v>809</v>
      </c>
      <c r="L9960">
        <v>555.66</v>
      </c>
    </row>
    <row r="9961" spans="1:12" x14ac:dyDescent="0.25">
      <c r="A9961" t="str">
        <f t="shared" si="1767"/>
        <v>89301000</v>
      </c>
      <c r="B9961" t="str">
        <f t="shared" si="1775"/>
        <v>78934000</v>
      </c>
      <c r="C9961" t="str">
        <f t="shared" si="1776"/>
        <v>78934001</v>
      </c>
      <c r="D9961">
        <v>89301212</v>
      </c>
      <c r="E9961" t="str">
        <f>"7556085339"</f>
        <v>7556085339</v>
      </c>
      <c r="F9961" s="1">
        <v>45146</v>
      </c>
      <c r="G9961" t="str">
        <f>"89514"</f>
        <v>89514</v>
      </c>
      <c r="H9961">
        <v>1</v>
      </c>
      <c r="I9961">
        <v>378</v>
      </c>
      <c r="J9961">
        <v>0</v>
      </c>
      <c r="K9961" t="str">
        <f t="shared" si="1774"/>
        <v>809</v>
      </c>
      <c r="L9961">
        <v>555.66</v>
      </c>
    </row>
    <row r="9962" spans="1:12" x14ac:dyDescent="0.25">
      <c r="A9962" t="str">
        <f t="shared" si="1767"/>
        <v>89301000</v>
      </c>
      <c r="B9962" t="str">
        <f t="shared" si="1775"/>
        <v>78934000</v>
      </c>
      <c r="C9962" t="str">
        <f t="shared" si="1776"/>
        <v>78934001</v>
      </c>
      <c r="D9962">
        <v>89301212</v>
      </c>
      <c r="E9962" t="str">
        <f>"7556085339"</f>
        <v>7556085339</v>
      </c>
      <c r="F9962" s="1">
        <v>45146</v>
      </c>
      <c r="G9962" t="str">
        <f>"89131"</f>
        <v>89131</v>
      </c>
      <c r="H9962">
        <v>1</v>
      </c>
      <c r="I9962">
        <v>190</v>
      </c>
      <c r="J9962">
        <v>0</v>
      </c>
      <c r="K9962" t="str">
        <f t="shared" si="1774"/>
        <v>809</v>
      </c>
      <c r="L9962">
        <v>279.3</v>
      </c>
    </row>
    <row r="9963" spans="1:12" x14ac:dyDescent="0.25">
      <c r="A9963" t="str">
        <f t="shared" si="1767"/>
        <v>89301000</v>
      </c>
      <c r="B9963" t="str">
        <f t="shared" si="1775"/>
        <v>78934000</v>
      </c>
      <c r="C9963" t="str">
        <f t="shared" si="1776"/>
        <v>78934001</v>
      </c>
      <c r="D9963">
        <v>89301212</v>
      </c>
      <c r="E9963" t="str">
        <f>"6052171796"</f>
        <v>6052171796</v>
      </c>
      <c r="F9963" s="1">
        <v>45147</v>
      </c>
      <c r="G9963" t="str">
        <f>"89513"</f>
        <v>89513</v>
      </c>
      <c r="H9963">
        <v>1</v>
      </c>
      <c r="I9963">
        <v>378</v>
      </c>
      <c r="J9963">
        <v>0</v>
      </c>
      <c r="K9963" t="str">
        <f t="shared" si="1774"/>
        <v>809</v>
      </c>
      <c r="L9963">
        <v>555.66</v>
      </c>
    </row>
    <row r="9964" spans="1:12" x14ac:dyDescent="0.25">
      <c r="A9964" t="str">
        <f t="shared" si="1767"/>
        <v>89301000</v>
      </c>
      <c r="B9964" t="str">
        <f t="shared" si="1775"/>
        <v>78934000</v>
      </c>
      <c r="C9964" t="str">
        <f t="shared" si="1776"/>
        <v>78934001</v>
      </c>
      <c r="D9964">
        <v>89301212</v>
      </c>
      <c r="E9964" t="str">
        <f>"6052171796"</f>
        <v>6052171796</v>
      </c>
      <c r="F9964" s="1">
        <v>45147</v>
      </c>
      <c r="G9964" t="str">
        <f>"89514"</f>
        <v>89514</v>
      </c>
      <c r="H9964">
        <v>1</v>
      </c>
      <c r="I9964">
        <v>378</v>
      </c>
      <c r="J9964">
        <v>0</v>
      </c>
      <c r="K9964" t="str">
        <f t="shared" si="1774"/>
        <v>809</v>
      </c>
      <c r="L9964">
        <v>555.66</v>
      </c>
    </row>
    <row r="9965" spans="1:12" x14ac:dyDescent="0.25">
      <c r="A9965" t="str">
        <f t="shared" si="1767"/>
        <v>89301000</v>
      </c>
      <c r="B9965" t="str">
        <f t="shared" si="1775"/>
        <v>78934000</v>
      </c>
      <c r="C9965" t="str">
        <f t="shared" si="1776"/>
        <v>78934001</v>
      </c>
      <c r="D9965">
        <v>89301172</v>
      </c>
      <c r="E9965" t="str">
        <f>"6959164465"</f>
        <v>6959164465</v>
      </c>
      <c r="F9965" s="1">
        <v>45154</v>
      </c>
      <c r="G9965" t="str">
        <f>"89513"</f>
        <v>89513</v>
      </c>
      <c r="H9965">
        <v>1</v>
      </c>
      <c r="I9965">
        <v>378</v>
      </c>
      <c r="J9965">
        <v>0</v>
      </c>
      <c r="K9965" t="str">
        <f t="shared" si="1774"/>
        <v>809</v>
      </c>
      <c r="L9965">
        <v>555.66</v>
      </c>
    </row>
    <row r="9966" spans="1:12" x14ac:dyDescent="0.25">
      <c r="A9966" t="str">
        <f t="shared" si="1767"/>
        <v>89301000</v>
      </c>
      <c r="B9966" t="str">
        <f t="shared" si="1775"/>
        <v>78934000</v>
      </c>
      <c r="C9966" t="str">
        <f t="shared" si="1776"/>
        <v>78934001</v>
      </c>
      <c r="D9966">
        <v>89301172</v>
      </c>
      <c r="E9966" t="str">
        <f>"6959164465"</f>
        <v>6959164465</v>
      </c>
      <c r="F9966" s="1">
        <v>45154</v>
      </c>
      <c r="G9966" t="str">
        <f>"89514"</f>
        <v>89514</v>
      </c>
      <c r="H9966">
        <v>1</v>
      </c>
      <c r="I9966">
        <v>378</v>
      </c>
      <c r="J9966">
        <v>0</v>
      </c>
      <c r="K9966" t="str">
        <f t="shared" si="1774"/>
        <v>809</v>
      </c>
      <c r="L9966">
        <v>555.66</v>
      </c>
    </row>
    <row r="9967" spans="1:12" x14ac:dyDescent="0.25">
      <c r="A9967" t="str">
        <f t="shared" si="1767"/>
        <v>89301000</v>
      </c>
      <c r="B9967" t="str">
        <f t="shared" si="1775"/>
        <v>78934000</v>
      </c>
      <c r="C9967" t="str">
        <f t="shared" si="1776"/>
        <v>78934001</v>
      </c>
      <c r="D9967">
        <v>89301172</v>
      </c>
      <c r="E9967" t="str">
        <f>"6959164465"</f>
        <v>6959164465</v>
      </c>
      <c r="F9967" s="1">
        <v>45154</v>
      </c>
      <c r="G9967" t="str">
        <f>"89131"</f>
        <v>89131</v>
      </c>
      <c r="H9967">
        <v>1</v>
      </c>
      <c r="I9967">
        <v>190</v>
      </c>
      <c r="J9967">
        <v>0</v>
      </c>
      <c r="K9967" t="str">
        <f t="shared" si="1774"/>
        <v>809</v>
      </c>
      <c r="L9967">
        <v>279.3</v>
      </c>
    </row>
    <row r="9968" spans="1:12" x14ac:dyDescent="0.25">
      <c r="A9968" t="str">
        <f t="shared" si="1767"/>
        <v>89301000</v>
      </c>
      <c r="B9968" t="str">
        <f t="shared" ref="B9968:B10004" si="1777">"93201000"</f>
        <v>93201000</v>
      </c>
      <c r="C9968" t="str">
        <f t="shared" ref="C9968:C9986" si="1778">"93201250"</f>
        <v>93201250</v>
      </c>
      <c r="D9968">
        <v>89301167</v>
      </c>
      <c r="E9968" t="str">
        <f t="shared" ref="E9968:E9988" si="1779">"7657065790"</f>
        <v>7657065790</v>
      </c>
      <c r="F9968" s="1">
        <v>45161</v>
      </c>
      <c r="G9968" t="str">
        <f>"97111"</f>
        <v>97111</v>
      </c>
      <c r="H9968">
        <v>1</v>
      </c>
      <c r="I9968">
        <v>19</v>
      </c>
      <c r="J9968">
        <v>0</v>
      </c>
      <c r="K9968" t="str">
        <f t="shared" ref="K9968:K9986" si="1780">"801"</f>
        <v>801</v>
      </c>
      <c r="L9968">
        <v>23.94</v>
      </c>
    </row>
    <row r="9969" spans="1:12" x14ac:dyDescent="0.25">
      <c r="A9969" t="str">
        <f t="shared" si="1767"/>
        <v>89301000</v>
      </c>
      <c r="B9969" t="str">
        <f t="shared" si="1777"/>
        <v>93201000</v>
      </c>
      <c r="C9969" t="str">
        <f t="shared" si="1778"/>
        <v>93201250</v>
      </c>
      <c r="D9969">
        <v>89301167</v>
      </c>
      <c r="E9969" t="str">
        <f t="shared" si="1779"/>
        <v>7657065790</v>
      </c>
      <c r="F9969" s="1">
        <v>45161</v>
      </c>
      <c r="G9969" t="str">
        <f>"81329"</f>
        <v>81329</v>
      </c>
      <c r="H9969">
        <v>1</v>
      </c>
      <c r="I9969">
        <v>17</v>
      </c>
      <c r="J9969">
        <v>0</v>
      </c>
      <c r="K9969" t="str">
        <f t="shared" si="1780"/>
        <v>801</v>
      </c>
      <c r="L9969">
        <v>14.28</v>
      </c>
    </row>
    <row r="9970" spans="1:12" x14ac:dyDescent="0.25">
      <c r="A9970" t="str">
        <f t="shared" si="1767"/>
        <v>89301000</v>
      </c>
      <c r="B9970" t="str">
        <f t="shared" si="1777"/>
        <v>93201000</v>
      </c>
      <c r="C9970" t="str">
        <f t="shared" si="1778"/>
        <v>93201250</v>
      </c>
      <c r="D9970">
        <v>89301167</v>
      </c>
      <c r="E9970" t="str">
        <f t="shared" si="1779"/>
        <v>7657065790</v>
      </c>
      <c r="F9970" s="1">
        <v>45161</v>
      </c>
      <c r="G9970" t="str">
        <f>"81337"</f>
        <v>81337</v>
      </c>
      <c r="H9970">
        <v>1</v>
      </c>
      <c r="I9970">
        <v>20</v>
      </c>
      <c r="J9970">
        <v>0</v>
      </c>
      <c r="K9970" t="str">
        <f t="shared" si="1780"/>
        <v>801</v>
      </c>
      <c r="L9970">
        <v>16.8</v>
      </c>
    </row>
    <row r="9971" spans="1:12" x14ac:dyDescent="0.25">
      <c r="A9971" t="str">
        <f t="shared" si="1767"/>
        <v>89301000</v>
      </c>
      <c r="B9971" t="str">
        <f t="shared" si="1777"/>
        <v>93201000</v>
      </c>
      <c r="C9971" t="str">
        <f t="shared" si="1778"/>
        <v>93201250</v>
      </c>
      <c r="D9971">
        <v>89301167</v>
      </c>
      <c r="E9971" t="str">
        <f t="shared" si="1779"/>
        <v>7657065790</v>
      </c>
      <c r="F9971" s="1">
        <v>45161</v>
      </c>
      <c r="G9971" t="str">
        <f>"81421"</f>
        <v>81421</v>
      </c>
      <c r="H9971">
        <v>1</v>
      </c>
      <c r="I9971">
        <v>19</v>
      </c>
      <c r="J9971">
        <v>0</v>
      </c>
      <c r="K9971" t="str">
        <f t="shared" si="1780"/>
        <v>801</v>
      </c>
      <c r="L9971">
        <v>15.96</v>
      </c>
    </row>
    <row r="9972" spans="1:12" x14ac:dyDescent="0.25">
      <c r="A9972" t="str">
        <f t="shared" si="1767"/>
        <v>89301000</v>
      </c>
      <c r="B9972" t="str">
        <f t="shared" si="1777"/>
        <v>93201000</v>
      </c>
      <c r="C9972" t="str">
        <f t="shared" si="1778"/>
        <v>93201250</v>
      </c>
      <c r="D9972">
        <v>89301167</v>
      </c>
      <c r="E9972" t="str">
        <f t="shared" si="1779"/>
        <v>7657065790</v>
      </c>
      <c r="F9972" s="1">
        <v>45161</v>
      </c>
      <c r="G9972" t="str">
        <f>"81357"</f>
        <v>81357</v>
      </c>
      <c r="H9972">
        <v>1</v>
      </c>
      <c r="I9972">
        <v>20</v>
      </c>
      <c r="J9972">
        <v>0</v>
      </c>
      <c r="K9972" t="str">
        <f t="shared" si="1780"/>
        <v>801</v>
      </c>
      <c r="L9972">
        <v>16.8</v>
      </c>
    </row>
    <row r="9973" spans="1:12" x14ac:dyDescent="0.25">
      <c r="A9973" t="str">
        <f t="shared" si="1767"/>
        <v>89301000</v>
      </c>
      <c r="B9973" t="str">
        <f t="shared" si="1777"/>
        <v>93201000</v>
      </c>
      <c r="C9973" t="str">
        <f t="shared" si="1778"/>
        <v>93201250</v>
      </c>
      <c r="D9973">
        <v>89301167</v>
      </c>
      <c r="E9973" t="str">
        <f t="shared" si="1779"/>
        <v>7657065790</v>
      </c>
      <c r="F9973" s="1">
        <v>45161</v>
      </c>
      <c r="G9973" t="str">
        <f>"81249"</f>
        <v>81249</v>
      </c>
      <c r="H9973">
        <v>1</v>
      </c>
      <c r="I9973">
        <v>334</v>
      </c>
      <c r="J9973">
        <v>0</v>
      </c>
      <c r="K9973" t="str">
        <f t="shared" si="1780"/>
        <v>801</v>
      </c>
      <c r="L9973">
        <v>280.56</v>
      </c>
    </row>
    <row r="9974" spans="1:12" x14ac:dyDescent="0.25">
      <c r="A9974" t="str">
        <f t="shared" si="1767"/>
        <v>89301000</v>
      </c>
      <c r="B9974" t="str">
        <f t="shared" si="1777"/>
        <v>93201000</v>
      </c>
      <c r="C9974" t="str">
        <f t="shared" si="1778"/>
        <v>93201250</v>
      </c>
      <c r="D9974">
        <v>89301167</v>
      </c>
      <c r="E9974" t="str">
        <f t="shared" si="1779"/>
        <v>7657065790</v>
      </c>
      <c r="F9974" s="1">
        <v>45161</v>
      </c>
      <c r="G9974" t="str">
        <f>"81625"</f>
        <v>81625</v>
      </c>
      <c r="H9974">
        <v>1</v>
      </c>
      <c r="I9974">
        <v>21</v>
      </c>
      <c r="J9974">
        <v>0</v>
      </c>
      <c r="K9974" t="str">
        <f t="shared" si="1780"/>
        <v>801</v>
      </c>
      <c r="L9974">
        <v>17.64</v>
      </c>
    </row>
    <row r="9975" spans="1:12" x14ac:dyDescent="0.25">
      <c r="A9975" t="str">
        <f t="shared" si="1767"/>
        <v>89301000</v>
      </c>
      <c r="B9975" t="str">
        <f t="shared" si="1777"/>
        <v>93201000</v>
      </c>
      <c r="C9975" t="str">
        <f t="shared" si="1778"/>
        <v>93201250</v>
      </c>
      <c r="D9975">
        <v>89301167</v>
      </c>
      <c r="E9975" t="str">
        <f t="shared" si="1779"/>
        <v>7657065790</v>
      </c>
      <c r="F9975" s="1">
        <v>45161</v>
      </c>
      <c r="G9975" t="str">
        <f>"81469"</f>
        <v>81469</v>
      </c>
      <c r="H9975">
        <v>1</v>
      </c>
      <c r="I9975">
        <v>16</v>
      </c>
      <c r="J9975">
        <v>0</v>
      </c>
      <c r="K9975" t="str">
        <f t="shared" si="1780"/>
        <v>801</v>
      </c>
      <c r="L9975">
        <v>13.44</v>
      </c>
    </row>
    <row r="9976" spans="1:12" x14ac:dyDescent="0.25">
      <c r="A9976" t="str">
        <f t="shared" si="1767"/>
        <v>89301000</v>
      </c>
      <c r="B9976" t="str">
        <f t="shared" si="1777"/>
        <v>93201000</v>
      </c>
      <c r="C9976" t="str">
        <f t="shared" si="1778"/>
        <v>93201250</v>
      </c>
      <c r="D9976">
        <v>89301167</v>
      </c>
      <c r="E9976" t="str">
        <f t="shared" si="1779"/>
        <v>7657065790</v>
      </c>
      <c r="F9976" s="1">
        <v>45161</v>
      </c>
      <c r="G9976" t="str">
        <f>"81439"</f>
        <v>81439</v>
      </c>
      <c r="H9976">
        <v>1</v>
      </c>
      <c r="I9976">
        <v>16</v>
      </c>
      <c r="J9976">
        <v>0</v>
      </c>
      <c r="K9976" t="str">
        <f t="shared" si="1780"/>
        <v>801</v>
      </c>
      <c r="L9976">
        <v>13.44</v>
      </c>
    </row>
    <row r="9977" spans="1:12" x14ac:dyDescent="0.25">
      <c r="A9977" t="str">
        <f t="shared" si="1767"/>
        <v>89301000</v>
      </c>
      <c r="B9977" t="str">
        <f t="shared" si="1777"/>
        <v>93201000</v>
      </c>
      <c r="C9977" t="str">
        <f t="shared" si="1778"/>
        <v>93201250</v>
      </c>
      <c r="D9977">
        <v>89301167</v>
      </c>
      <c r="E9977" t="str">
        <f t="shared" si="1779"/>
        <v>7657065790</v>
      </c>
      <c r="F9977" s="1">
        <v>45161</v>
      </c>
      <c r="G9977" t="str">
        <f>"81499"</f>
        <v>81499</v>
      </c>
      <c r="H9977">
        <v>1</v>
      </c>
      <c r="I9977">
        <v>18</v>
      </c>
      <c r="J9977">
        <v>0</v>
      </c>
      <c r="K9977" t="str">
        <f t="shared" si="1780"/>
        <v>801</v>
      </c>
      <c r="L9977">
        <v>15.12</v>
      </c>
    </row>
    <row r="9978" spans="1:12" x14ac:dyDescent="0.25">
      <c r="A9978" t="str">
        <f t="shared" si="1767"/>
        <v>89301000</v>
      </c>
      <c r="B9978" t="str">
        <f t="shared" si="1777"/>
        <v>93201000</v>
      </c>
      <c r="C9978" t="str">
        <f t="shared" si="1778"/>
        <v>93201250</v>
      </c>
      <c r="D9978">
        <v>89301167</v>
      </c>
      <c r="E9978" t="str">
        <f t="shared" si="1779"/>
        <v>7657065790</v>
      </c>
      <c r="F9978" s="1">
        <v>45161</v>
      </c>
      <c r="G9978" t="str">
        <f>"81393"</f>
        <v>81393</v>
      </c>
      <c r="H9978">
        <v>1</v>
      </c>
      <c r="I9978">
        <v>24</v>
      </c>
      <c r="J9978">
        <v>0</v>
      </c>
      <c r="K9978" t="str">
        <f t="shared" si="1780"/>
        <v>801</v>
      </c>
      <c r="L9978">
        <v>20.16</v>
      </c>
    </row>
    <row r="9979" spans="1:12" x14ac:dyDescent="0.25">
      <c r="A9979" t="str">
        <f t="shared" si="1767"/>
        <v>89301000</v>
      </c>
      <c r="B9979" t="str">
        <f t="shared" si="1777"/>
        <v>93201000</v>
      </c>
      <c r="C9979" t="str">
        <f t="shared" si="1778"/>
        <v>93201250</v>
      </c>
      <c r="D9979">
        <v>89301167</v>
      </c>
      <c r="E9979" t="str">
        <f t="shared" si="1779"/>
        <v>7657065790</v>
      </c>
      <c r="F9979" s="1">
        <v>45161</v>
      </c>
      <c r="G9979" t="str">
        <f>"81383"</f>
        <v>81383</v>
      </c>
      <c r="H9979">
        <v>1</v>
      </c>
      <c r="I9979">
        <v>24</v>
      </c>
      <c r="J9979">
        <v>0</v>
      </c>
      <c r="K9979" t="str">
        <f t="shared" si="1780"/>
        <v>801</v>
      </c>
      <c r="L9979">
        <v>20.16</v>
      </c>
    </row>
    <row r="9980" spans="1:12" x14ac:dyDescent="0.25">
      <c r="A9980" t="str">
        <f t="shared" si="1767"/>
        <v>89301000</v>
      </c>
      <c r="B9980" t="str">
        <f t="shared" si="1777"/>
        <v>93201000</v>
      </c>
      <c r="C9980" t="str">
        <f t="shared" si="1778"/>
        <v>93201250</v>
      </c>
      <c r="D9980">
        <v>89301167</v>
      </c>
      <c r="E9980" t="str">
        <f t="shared" si="1779"/>
        <v>7657065790</v>
      </c>
      <c r="F9980" s="1">
        <v>45161</v>
      </c>
      <c r="G9980" t="str">
        <f>"81365"</f>
        <v>81365</v>
      </c>
      <c r="H9980">
        <v>1</v>
      </c>
      <c r="I9980">
        <v>16</v>
      </c>
      <c r="J9980">
        <v>0</v>
      </c>
      <c r="K9980" t="str">
        <f t="shared" si="1780"/>
        <v>801</v>
      </c>
      <c r="L9980">
        <v>13.44</v>
      </c>
    </row>
    <row r="9981" spans="1:12" x14ac:dyDescent="0.25">
      <c r="A9981" t="str">
        <f t="shared" si="1767"/>
        <v>89301000</v>
      </c>
      <c r="B9981" t="str">
        <f t="shared" si="1777"/>
        <v>93201000</v>
      </c>
      <c r="C9981" t="str">
        <f t="shared" si="1778"/>
        <v>93201250</v>
      </c>
      <c r="D9981">
        <v>89301167</v>
      </c>
      <c r="E9981" t="str">
        <f t="shared" si="1779"/>
        <v>7657065790</v>
      </c>
      <c r="F9981" s="1">
        <v>45161</v>
      </c>
      <c r="G9981" t="str">
        <f>"81593"</f>
        <v>81593</v>
      </c>
      <c r="H9981">
        <v>1</v>
      </c>
      <c r="I9981">
        <v>22</v>
      </c>
      <c r="J9981">
        <v>0</v>
      </c>
      <c r="K9981" t="str">
        <f t="shared" si="1780"/>
        <v>801</v>
      </c>
      <c r="L9981">
        <v>18.48</v>
      </c>
    </row>
    <row r="9982" spans="1:12" x14ac:dyDescent="0.25">
      <c r="A9982" t="str">
        <f t="shared" si="1767"/>
        <v>89301000</v>
      </c>
      <c r="B9982" t="str">
        <f t="shared" si="1777"/>
        <v>93201000</v>
      </c>
      <c r="C9982" t="str">
        <f t="shared" si="1778"/>
        <v>93201250</v>
      </c>
      <c r="D9982">
        <v>89301167</v>
      </c>
      <c r="E9982" t="str">
        <f t="shared" si="1779"/>
        <v>7657065790</v>
      </c>
      <c r="F9982" s="1">
        <v>45161</v>
      </c>
      <c r="G9982" t="str">
        <f>"93245"</f>
        <v>93245</v>
      </c>
      <c r="H9982">
        <v>1</v>
      </c>
      <c r="I9982">
        <v>191</v>
      </c>
      <c r="J9982">
        <v>0</v>
      </c>
      <c r="K9982" t="str">
        <f t="shared" si="1780"/>
        <v>801</v>
      </c>
      <c r="L9982">
        <v>160.44</v>
      </c>
    </row>
    <row r="9983" spans="1:12" x14ac:dyDescent="0.25">
      <c r="A9983" t="str">
        <f t="shared" si="1767"/>
        <v>89301000</v>
      </c>
      <c r="B9983" t="str">
        <f t="shared" si="1777"/>
        <v>93201000</v>
      </c>
      <c r="C9983" t="str">
        <f t="shared" si="1778"/>
        <v>93201250</v>
      </c>
      <c r="D9983">
        <v>89301167</v>
      </c>
      <c r="E9983" t="str">
        <f t="shared" si="1779"/>
        <v>7657065790</v>
      </c>
      <c r="F9983" s="1">
        <v>45161</v>
      </c>
      <c r="G9983" t="str">
        <f>"93195"</f>
        <v>93195</v>
      </c>
      <c r="H9983">
        <v>1</v>
      </c>
      <c r="I9983">
        <v>183</v>
      </c>
      <c r="J9983">
        <v>0</v>
      </c>
      <c r="K9983" t="str">
        <f t="shared" si="1780"/>
        <v>801</v>
      </c>
      <c r="L9983">
        <v>153.72</v>
      </c>
    </row>
    <row r="9984" spans="1:12" x14ac:dyDescent="0.25">
      <c r="A9984" t="str">
        <f t="shared" si="1767"/>
        <v>89301000</v>
      </c>
      <c r="B9984" t="str">
        <f t="shared" si="1777"/>
        <v>93201000</v>
      </c>
      <c r="C9984" t="str">
        <f t="shared" si="1778"/>
        <v>93201250</v>
      </c>
      <c r="D9984">
        <v>89301167</v>
      </c>
      <c r="E9984" t="str">
        <f t="shared" si="1779"/>
        <v>7657065790</v>
      </c>
      <c r="F9984" s="1">
        <v>45161</v>
      </c>
      <c r="G9984" t="str">
        <f>"93189"</f>
        <v>93189</v>
      </c>
      <c r="H9984">
        <v>1</v>
      </c>
      <c r="I9984">
        <v>191</v>
      </c>
      <c r="J9984">
        <v>0</v>
      </c>
      <c r="K9984" t="str">
        <f t="shared" si="1780"/>
        <v>801</v>
      </c>
      <c r="L9984">
        <v>160.44</v>
      </c>
    </row>
    <row r="9985" spans="1:12" x14ac:dyDescent="0.25">
      <c r="A9985" t="str">
        <f t="shared" si="1767"/>
        <v>89301000</v>
      </c>
      <c r="B9985" t="str">
        <f t="shared" si="1777"/>
        <v>93201000</v>
      </c>
      <c r="C9985" t="str">
        <f t="shared" si="1778"/>
        <v>93201250</v>
      </c>
      <c r="D9985">
        <v>89301167</v>
      </c>
      <c r="E9985" t="str">
        <f t="shared" si="1779"/>
        <v>7657065790</v>
      </c>
      <c r="F9985" s="1">
        <v>45161</v>
      </c>
      <c r="G9985" t="str">
        <f>"81621"</f>
        <v>81621</v>
      </c>
      <c r="H9985">
        <v>1</v>
      </c>
      <c r="I9985">
        <v>19</v>
      </c>
      <c r="J9985">
        <v>0</v>
      </c>
      <c r="K9985" t="str">
        <f t="shared" si="1780"/>
        <v>801</v>
      </c>
      <c r="L9985">
        <v>15.96</v>
      </c>
    </row>
    <row r="9986" spans="1:12" x14ac:dyDescent="0.25">
      <c r="A9986" t="str">
        <f t="shared" ref="A9986:A10049" si="1781">"89301000"</f>
        <v>89301000</v>
      </c>
      <c r="B9986" t="str">
        <f t="shared" si="1777"/>
        <v>93201000</v>
      </c>
      <c r="C9986" t="str">
        <f t="shared" si="1778"/>
        <v>93201250</v>
      </c>
      <c r="D9986">
        <v>89301167</v>
      </c>
      <c r="E9986" t="str">
        <f t="shared" si="1779"/>
        <v>7657065790</v>
      </c>
      <c r="F9986" s="1">
        <v>45161</v>
      </c>
      <c r="G9986" t="str">
        <f>"81435"</f>
        <v>81435</v>
      </c>
      <c r="H9986">
        <v>1</v>
      </c>
      <c r="I9986">
        <v>22</v>
      </c>
      <c r="J9986">
        <v>0</v>
      </c>
      <c r="K9986" t="str">
        <f t="shared" si="1780"/>
        <v>801</v>
      </c>
      <c r="L9986">
        <v>18.48</v>
      </c>
    </row>
    <row r="9987" spans="1:12" x14ac:dyDescent="0.25">
      <c r="A9987" t="str">
        <f t="shared" si="1781"/>
        <v>89301000</v>
      </c>
      <c r="B9987" t="str">
        <f t="shared" si="1777"/>
        <v>93201000</v>
      </c>
      <c r="C9987" t="str">
        <f>"93201130"</f>
        <v>93201130</v>
      </c>
      <c r="D9987">
        <v>89301167</v>
      </c>
      <c r="E9987" t="str">
        <f t="shared" si="1779"/>
        <v>7657065790</v>
      </c>
      <c r="F9987" s="1">
        <v>45161</v>
      </c>
      <c r="G9987" t="str">
        <f>"96167"</f>
        <v>96167</v>
      </c>
      <c r="H9987">
        <v>1</v>
      </c>
      <c r="I9987">
        <v>67</v>
      </c>
      <c r="J9987">
        <v>0</v>
      </c>
      <c r="K9987" t="str">
        <f>"818"</f>
        <v>818</v>
      </c>
      <c r="L9987">
        <v>64.989999999999995</v>
      </c>
    </row>
    <row r="9988" spans="1:12" x14ac:dyDescent="0.25">
      <c r="A9988" t="str">
        <f t="shared" si="1781"/>
        <v>89301000</v>
      </c>
      <c r="B9988" t="str">
        <f t="shared" si="1777"/>
        <v>93201000</v>
      </c>
      <c r="C9988" t="str">
        <f>"93201012"</f>
        <v>93201012</v>
      </c>
      <c r="D9988">
        <v>89301167</v>
      </c>
      <c r="E9988" t="str">
        <f t="shared" si="1779"/>
        <v>7657065790</v>
      </c>
      <c r="F9988" s="1">
        <v>45161</v>
      </c>
      <c r="G9988" t="str">
        <f>"91153"</f>
        <v>91153</v>
      </c>
      <c r="H9988">
        <v>1</v>
      </c>
      <c r="I9988">
        <v>153</v>
      </c>
      <c r="J9988">
        <v>0</v>
      </c>
      <c r="K9988" t="str">
        <f>"813"</f>
        <v>813</v>
      </c>
      <c r="L9988">
        <v>128.52000000000001</v>
      </c>
    </row>
    <row r="9989" spans="1:12" x14ac:dyDescent="0.25">
      <c r="A9989" t="str">
        <f t="shared" si="1781"/>
        <v>89301000</v>
      </c>
      <c r="B9989" t="str">
        <f t="shared" si="1777"/>
        <v>93201000</v>
      </c>
      <c r="C9989" t="str">
        <f t="shared" ref="C9989:C10002" si="1782">"93201350"</f>
        <v>93201350</v>
      </c>
      <c r="D9989">
        <v>89301215</v>
      </c>
      <c r="E9989" t="str">
        <f>"7758181398"</f>
        <v>7758181398</v>
      </c>
      <c r="F9989" s="1">
        <v>45152</v>
      </c>
      <c r="G9989" t="str">
        <f>"89513"</f>
        <v>89513</v>
      </c>
      <c r="H9989">
        <v>1</v>
      </c>
      <c r="I9989">
        <v>378</v>
      </c>
      <c r="J9989">
        <v>0</v>
      </c>
      <c r="K9989" t="str">
        <f t="shared" ref="K9989:K10002" si="1783">"809"</f>
        <v>809</v>
      </c>
      <c r="L9989">
        <v>555.66</v>
      </c>
    </row>
    <row r="9990" spans="1:12" x14ac:dyDescent="0.25">
      <c r="A9990" t="str">
        <f t="shared" si="1781"/>
        <v>89301000</v>
      </c>
      <c r="B9990" t="str">
        <f t="shared" si="1777"/>
        <v>93201000</v>
      </c>
      <c r="C9990" t="str">
        <f t="shared" si="1782"/>
        <v>93201350</v>
      </c>
      <c r="D9990">
        <v>89301215</v>
      </c>
      <c r="E9990" t="str">
        <f>"7758181398"</f>
        <v>7758181398</v>
      </c>
      <c r="F9990" s="1">
        <v>45152</v>
      </c>
      <c r="G9990" t="str">
        <f>"89514"</f>
        <v>89514</v>
      </c>
      <c r="H9990">
        <v>1</v>
      </c>
      <c r="I9990">
        <v>378</v>
      </c>
      <c r="J9990">
        <v>0</v>
      </c>
      <c r="K9990" t="str">
        <f t="shared" si="1783"/>
        <v>809</v>
      </c>
      <c r="L9990">
        <v>555.66</v>
      </c>
    </row>
    <row r="9991" spans="1:12" x14ac:dyDescent="0.25">
      <c r="A9991" t="str">
        <f t="shared" si="1781"/>
        <v>89301000</v>
      </c>
      <c r="B9991" t="str">
        <f t="shared" si="1777"/>
        <v>93201000</v>
      </c>
      <c r="C9991" t="str">
        <f t="shared" si="1782"/>
        <v>93201350</v>
      </c>
      <c r="D9991">
        <v>89301212</v>
      </c>
      <c r="E9991" t="str">
        <f>"515110056"</f>
        <v>515110056</v>
      </c>
      <c r="F9991" s="1">
        <v>45153</v>
      </c>
      <c r="G9991" t="str">
        <f>"89617"</f>
        <v>89617</v>
      </c>
      <c r="H9991">
        <v>1</v>
      </c>
      <c r="I9991">
        <v>1342</v>
      </c>
      <c r="J9991">
        <v>0</v>
      </c>
      <c r="K9991" t="str">
        <f t="shared" si="1783"/>
        <v>809</v>
      </c>
      <c r="L9991">
        <v>872.3</v>
      </c>
    </row>
    <row r="9992" spans="1:12" x14ac:dyDescent="0.25">
      <c r="A9992" t="str">
        <f t="shared" si="1781"/>
        <v>89301000</v>
      </c>
      <c r="B9992" t="str">
        <f t="shared" si="1777"/>
        <v>93201000</v>
      </c>
      <c r="C9992" t="str">
        <f t="shared" si="1782"/>
        <v>93201350</v>
      </c>
      <c r="D9992">
        <v>89301212</v>
      </c>
      <c r="E9992" t="str">
        <f>"515110056"</f>
        <v>515110056</v>
      </c>
      <c r="F9992" s="1">
        <v>45153</v>
      </c>
      <c r="G9992" t="str">
        <f>"0137481"</f>
        <v>0137481</v>
      </c>
      <c r="H9992">
        <v>0.16</v>
      </c>
      <c r="J9992">
        <v>709.96</v>
      </c>
      <c r="K9992" t="str">
        <f t="shared" si="1783"/>
        <v>809</v>
      </c>
      <c r="L9992">
        <v>709.96</v>
      </c>
    </row>
    <row r="9993" spans="1:12" x14ac:dyDescent="0.25">
      <c r="A9993" t="str">
        <f t="shared" si="1781"/>
        <v>89301000</v>
      </c>
      <c r="B9993" t="str">
        <f t="shared" si="1777"/>
        <v>93201000</v>
      </c>
      <c r="C9993" t="str">
        <f t="shared" si="1782"/>
        <v>93201350</v>
      </c>
      <c r="D9993">
        <v>89301212</v>
      </c>
      <c r="E9993" t="str">
        <f>"515110056"</f>
        <v>515110056</v>
      </c>
      <c r="F9993" s="1">
        <v>45153</v>
      </c>
      <c r="G9993" t="str">
        <f>"0137480"</f>
        <v>0137480</v>
      </c>
      <c r="H9993">
        <v>0.03</v>
      </c>
      <c r="J9993">
        <v>150.72</v>
      </c>
      <c r="K9993" t="str">
        <f t="shared" si="1783"/>
        <v>809</v>
      </c>
      <c r="L9993">
        <v>150.72</v>
      </c>
    </row>
    <row r="9994" spans="1:12" x14ac:dyDescent="0.25">
      <c r="A9994" t="str">
        <f t="shared" si="1781"/>
        <v>89301000</v>
      </c>
      <c r="B9994" t="str">
        <f t="shared" si="1777"/>
        <v>93201000</v>
      </c>
      <c r="C9994" t="str">
        <f t="shared" si="1782"/>
        <v>93201350</v>
      </c>
      <c r="D9994">
        <v>89301212</v>
      </c>
      <c r="E9994" t="str">
        <f>"5401053867"</f>
        <v>5401053867</v>
      </c>
      <c r="F9994" s="1">
        <v>45166</v>
      </c>
      <c r="G9994" t="str">
        <f>"89617"</f>
        <v>89617</v>
      </c>
      <c r="H9994">
        <v>1</v>
      </c>
      <c r="I9994">
        <v>1342</v>
      </c>
      <c r="J9994">
        <v>0</v>
      </c>
      <c r="K9994" t="str">
        <f t="shared" si="1783"/>
        <v>809</v>
      </c>
      <c r="L9994">
        <v>872.3</v>
      </c>
    </row>
    <row r="9995" spans="1:12" x14ac:dyDescent="0.25">
      <c r="A9995" t="str">
        <f t="shared" si="1781"/>
        <v>89301000</v>
      </c>
      <c r="B9995" t="str">
        <f t="shared" si="1777"/>
        <v>93201000</v>
      </c>
      <c r="C9995" t="str">
        <f t="shared" si="1782"/>
        <v>93201350</v>
      </c>
      <c r="D9995">
        <v>89301212</v>
      </c>
      <c r="E9995" t="str">
        <f>"5401053867"</f>
        <v>5401053867</v>
      </c>
      <c r="F9995" s="1">
        <v>45166</v>
      </c>
      <c r="G9995" t="str">
        <f>"89619"</f>
        <v>89619</v>
      </c>
      <c r="H9995">
        <v>1</v>
      </c>
      <c r="I9995">
        <v>1218</v>
      </c>
      <c r="J9995">
        <v>0</v>
      </c>
      <c r="K9995" t="str">
        <f t="shared" si="1783"/>
        <v>809</v>
      </c>
      <c r="L9995">
        <v>791.7</v>
      </c>
    </row>
    <row r="9996" spans="1:12" x14ac:dyDescent="0.25">
      <c r="A9996" t="str">
        <f t="shared" si="1781"/>
        <v>89301000</v>
      </c>
      <c r="B9996" t="str">
        <f t="shared" si="1777"/>
        <v>93201000</v>
      </c>
      <c r="C9996" t="str">
        <f t="shared" si="1782"/>
        <v>93201350</v>
      </c>
      <c r="D9996">
        <v>89301212</v>
      </c>
      <c r="E9996" t="str">
        <f>"5401053867"</f>
        <v>5401053867</v>
      </c>
      <c r="F9996" s="1">
        <v>45166</v>
      </c>
      <c r="G9996" t="str">
        <f>"0137480"</f>
        <v>0137480</v>
      </c>
      <c r="H9996">
        <v>0.16</v>
      </c>
      <c r="J9996">
        <v>803.86</v>
      </c>
      <c r="K9996" t="str">
        <f t="shared" si="1783"/>
        <v>809</v>
      </c>
      <c r="L9996">
        <v>803.86</v>
      </c>
    </row>
    <row r="9997" spans="1:12" x14ac:dyDescent="0.25">
      <c r="A9997" t="str">
        <f t="shared" si="1781"/>
        <v>89301000</v>
      </c>
      <c r="B9997" t="str">
        <f t="shared" si="1777"/>
        <v>93201000</v>
      </c>
      <c r="C9997" t="str">
        <f t="shared" si="1782"/>
        <v>93201350</v>
      </c>
      <c r="D9997">
        <v>89301212</v>
      </c>
      <c r="E9997" t="str">
        <f>"526009140"</f>
        <v>526009140</v>
      </c>
      <c r="F9997" s="1">
        <v>45149</v>
      </c>
      <c r="G9997" t="str">
        <f>"89512"</f>
        <v>89512</v>
      </c>
      <c r="H9997">
        <v>1</v>
      </c>
      <c r="I9997">
        <v>283</v>
      </c>
      <c r="J9997">
        <v>0</v>
      </c>
      <c r="K9997" t="str">
        <f t="shared" si="1783"/>
        <v>809</v>
      </c>
      <c r="L9997">
        <v>416.01</v>
      </c>
    </row>
    <row r="9998" spans="1:12" x14ac:dyDescent="0.25">
      <c r="A9998" t="str">
        <f t="shared" si="1781"/>
        <v>89301000</v>
      </c>
      <c r="B9998" t="str">
        <f t="shared" si="1777"/>
        <v>93201000</v>
      </c>
      <c r="C9998" t="str">
        <f t="shared" si="1782"/>
        <v>93201350</v>
      </c>
      <c r="D9998">
        <v>89301212</v>
      </c>
      <c r="E9998" t="str">
        <f>"6053211131"</f>
        <v>6053211131</v>
      </c>
      <c r="F9998" s="1">
        <v>45146</v>
      </c>
      <c r="G9998" t="str">
        <f>"89512"</f>
        <v>89512</v>
      </c>
      <c r="H9998">
        <v>1</v>
      </c>
      <c r="I9998">
        <v>283</v>
      </c>
      <c r="J9998">
        <v>0</v>
      </c>
      <c r="K9998" t="str">
        <f t="shared" si="1783"/>
        <v>809</v>
      </c>
      <c r="L9998">
        <v>416.01</v>
      </c>
    </row>
    <row r="9999" spans="1:12" x14ac:dyDescent="0.25">
      <c r="A9999" t="str">
        <f t="shared" si="1781"/>
        <v>89301000</v>
      </c>
      <c r="B9999" t="str">
        <f t="shared" si="1777"/>
        <v>93201000</v>
      </c>
      <c r="C9999" t="str">
        <f t="shared" si="1782"/>
        <v>93201350</v>
      </c>
      <c r="D9999">
        <v>89301212</v>
      </c>
      <c r="E9999" t="str">
        <f>"7651295817"</f>
        <v>7651295817</v>
      </c>
      <c r="F9999" s="1">
        <v>45154</v>
      </c>
      <c r="G9999" t="str">
        <f>"89180"</f>
        <v>89180</v>
      </c>
      <c r="H9999">
        <v>2</v>
      </c>
      <c r="I9999">
        <v>762</v>
      </c>
      <c r="J9999">
        <v>0</v>
      </c>
      <c r="K9999" t="str">
        <f t="shared" si="1783"/>
        <v>809</v>
      </c>
      <c r="L9999">
        <v>1120.1400000000001</v>
      </c>
    </row>
    <row r="10000" spans="1:12" x14ac:dyDescent="0.25">
      <c r="A10000" t="str">
        <f t="shared" si="1781"/>
        <v>89301000</v>
      </c>
      <c r="B10000" t="str">
        <f t="shared" si="1777"/>
        <v>93201000</v>
      </c>
      <c r="C10000" t="str">
        <f t="shared" si="1782"/>
        <v>93201350</v>
      </c>
      <c r="D10000">
        <v>89301212</v>
      </c>
      <c r="E10000" t="str">
        <f>"7651295817"</f>
        <v>7651295817</v>
      </c>
      <c r="F10000" s="1">
        <v>45154</v>
      </c>
      <c r="G10000" t="str">
        <f>"89512"</f>
        <v>89512</v>
      </c>
      <c r="H10000">
        <v>1</v>
      </c>
      <c r="I10000">
        <v>283</v>
      </c>
      <c r="J10000">
        <v>0</v>
      </c>
      <c r="K10000" t="str">
        <f t="shared" si="1783"/>
        <v>809</v>
      </c>
      <c r="L10000">
        <v>416.01</v>
      </c>
    </row>
    <row r="10001" spans="1:12" x14ac:dyDescent="0.25">
      <c r="A10001" t="str">
        <f t="shared" si="1781"/>
        <v>89301000</v>
      </c>
      <c r="B10001" t="str">
        <f t="shared" si="1777"/>
        <v>93201000</v>
      </c>
      <c r="C10001" t="str">
        <f t="shared" si="1782"/>
        <v>93201350</v>
      </c>
      <c r="D10001">
        <v>89301212</v>
      </c>
      <c r="E10001" t="str">
        <f>"7262225806"</f>
        <v>7262225806</v>
      </c>
      <c r="F10001" s="1">
        <v>45147</v>
      </c>
      <c r="G10001" t="str">
        <f>"89180"</f>
        <v>89180</v>
      </c>
      <c r="H10001">
        <v>2</v>
      </c>
      <c r="I10001">
        <v>762</v>
      </c>
      <c r="J10001">
        <v>0</v>
      </c>
      <c r="K10001" t="str">
        <f t="shared" si="1783"/>
        <v>809</v>
      </c>
      <c r="L10001">
        <v>1120.1400000000001</v>
      </c>
    </row>
    <row r="10002" spans="1:12" x14ac:dyDescent="0.25">
      <c r="A10002" t="str">
        <f t="shared" si="1781"/>
        <v>89301000</v>
      </c>
      <c r="B10002" t="str">
        <f t="shared" si="1777"/>
        <v>93201000</v>
      </c>
      <c r="C10002" t="str">
        <f t="shared" si="1782"/>
        <v>93201350</v>
      </c>
      <c r="D10002">
        <v>89301212</v>
      </c>
      <c r="E10002" t="str">
        <f>"7262225806"</f>
        <v>7262225806</v>
      </c>
      <c r="F10002" s="1">
        <v>45147</v>
      </c>
      <c r="G10002" t="str">
        <f>"89512"</f>
        <v>89512</v>
      </c>
      <c r="H10002">
        <v>1</v>
      </c>
      <c r="I10002">
        <v>283</v>
      </c>
      <c r="J10002">
        <v>0</v>
      </c>
      <c r="K10002" t="str">
        <f t="shared" si="1783"/>
        <v>809</v>
      </c>
      <c r="L10002">
        <v>416.01</v>
      </c>
    </row>
    <row r="10003" spans="1:12" x14ac:dyDescent="0.25">
      <c r="A10003" t="str">
        <f t="shared" si="1781"/>
        <v>89301000</v>
      </c>
      <c r="B10003" t="str">
        <f t="shared" si="1777"/>
        <v>93201000</v>
      </c>
      <c r="C10003" t="str">
        <f>"93201355"</f>
        <v>93201355</v>
      </c>
      <c r="D10003">
        <v>89301062</v>
      </c>
      <c r="E10003" t="str">
        <f>"7257135765"</f>
        <v>7257135765</v>
      </c>
      <c r="F10003" s="1">
        <v>45166</v>
      </c>
      <c r="G10003" t="str">
        <f>"89713"</f>
        <v>89713</v>
      </c>
      <c r="H10003">
        <v>1</v>
      </c>
      <c r="I10003">
        <v>5411</v>
      </c>
      <c r="J10003">
        <v>0</v>
      </c>
      <c r="K10003" t="str">
        <f>"810"</f>
        <v>810</v>
      </c>
      <c r="L10003">
        <v>3517.15</v>
      </c>
    </row>
    <row r="10004" spans="1:12" x14ac:dyDescent="0.25">
      <c r="A10004" t="str">
        <f t="shared" si="1781"/>
        <v>89301000</v>
      </c>
      <c r="B10004" t="str">
        <f t="shared" si="1777"/>
        <v>93201000</v>
      </c>
      <c r="C10004" t="str">
        <f>"93201355"</f>
        <v>93201355</v>
      </c>
      <c r="D10004">
        <v>89301062</v>
      </c>
      <c r="E10004" t="str">
        <f>"7054125771"</f>
        <v>7054125771</v>
      </c>
      <c r="F10004" s="1">
        <v>45147</v>
      </c>
      <c r="G10004" t="str">
        <f>"89713"</f>
        <v>89713</v>
      </c>
      <c r="H10004">
        <v>1</v>
      </c>
      <c r="I10004">
        <v>5411</v>
      </c>
      <c r="J10004">
        <v>0</v>
      </c>
      <c r="K10004" t="str">
        <f>"810"</f>
        <v>810</v>
      </c>
      <c r="L10004">
        <v>3517.15</v>
      </c>
    </row>
    <row r="10005" spans="1:12" x14ac:dyDescent="0.25">
      <c r="A10005" t="str">
        <f t="shared" si="1781"/>
        <v>89301000</v>
      </c>
      <c r="B10005" t="str">
        <f t="shared" ref="B10005:B10036" si="1784">"10510000"</f>
        <v>10510000</v>
      </c>
      <c r="C10005" t="str">
        <f t="shared" ref="C10005:C10036" si="1785">"10510001"</f>
        <v>10510001</v>
      </c>
      <c r="D10005">
        <v>89301202</v>
      </c>
      <c r="E10005" t="str">
        <f t="shared" ref="E10005:E10011" si="1786">"8410235328"</f>
        <v>8410235328</v>
      </c>
      <c r="F10005" s="1">
        <v>45140</v>
      </c>
      <c r="G10005" t="str">
        <f>"82145"</f>
        <v>82145</v>
      </c>
      <c r="H10005">
        <v>1</v>
      </c>
      <c r="I10005">
        <v>59</v>
      </c>
      <c r="J10005">
        <v>0</v>
      </c>
      <c r="K10005" t="str">
        <f t="shared" ref="K10005:K10036" si="1787">"802"</f>
        <v>802</v>
      </c>
      <c r="L10005">
        <v>57.23</v>
      </c>
    </row>
    <row r="10006" spans="1:12" x14ac:dyDescent="0.25">
      <c r="A10006" t="str">
        <f t="shared" si="1781"/>
        <v>89301000</v>
      </c>
      <c r="B10006" t="str">
        <f t="shared" si="1784"/>
        <v>10510000</v>
      </c>
      <c r="C10006" t="str">
        <f t="shared" si="1785"/>
        <v>10510001</v>
      </c>
      <c r="D10006">
        <v>89301202</v>
      </c>
      <c r="E10006" t="str">
        <f t="shared" si="1786"/>
        <v>8410235328</v>
      </c>
      <c r="F10006" s="1">
        <v>45140</v>
      </c>
      <c r="G10006" t="str">
        <f>"82111"</f>
        <v>82111</v>
      </c>
      <c r="H10006">
        <v>1</v>
      </c>
      <c r="I10006">
        <v>37</v>
      </c>
      <c r="J10006">
        <v>0</v>
      </c>
      <c r="K10006" t="str">
        <f t="shared" si="1787"/>
        <v>802</v>
      </c>
      <c r="L10006">
        <v>35.89</v>
      </c>
    </row>
    <row r="10007" spans="1:12" x14ac:dyDescent="0.25">
      <c r="A10007" t="str">
        <f t="shared" si="1781"/>
        <v>89301000</v>
      </c>
      <c r="B10007" t="str">
        <f t="shared" si="1784"/>
        <v>10510000</v>
      </c>
      <c r="C10007" t="str">
        <f t="shared" si="1785"/>
        <v>10510001</v>
      </c>
      <c r="D10007">
        <v>89301202</v>
      </c>
      <c r="E10007" t="str">
        <f t="shared" si="1786"/>
        <v>8410235328</v>
      </c>
      <c r="F10007" s="1">
        <v>45139</v>
      </c>
      <c r="G10007" t="str">
        <f>"82111"</f>
        <v>82111</v>
      </c>
      <c r="H10007">
        <v>1</v>
      </c>
      <c r="I10007">
        <v>37</v>
      </c>
      <c r="J10007">
        <v>0</v>
      </c>
      <c r="K10007" t="str">
        <f t="shared" si="1787"/>
        <v>802</v>
      </c>
      <c r="L10007">
        <v>35.89</v>
      </c>
    </row>
    <row r="10008" spans="1:12" x14ac:dyDescent="0.25">
      <c r="A10008" t="str">
        <f t="shared" si="1781"/>
        <v>89301000</v>
      </c>
      <c r="B10008" t="str">
        <f t="shared" si="1784"/>
        <v>10510000</v>
      </c>
      <c r="C10008" t="str">
        <f t="shared" si="1785"/>
        <v>10510001</v>
      </c>
      <c r="D10008">
        <v>89301202</v>
      </c>
      <c r="E10008" t="str">
        <f t="shared" si="1786"/>
        <v>8410235328</v>
      </c>
      <c r="F10008" s="1">
        <v>45140</v>
      </c>
      <c r="G10008" t="str">
        <f>"82079"</f>
        <v>82079</v>
      </c>
      <c r="H10008">
        <v>1</v>
      </c>
      <c r="I10008">
        <v>333</v>
      </c>
      <c r="J10008">
        <v>0</v>
      </c>
      <c r="K10008" t="str">
        <f t="shared" si="1787"/>
        <v>802</v>
      </c>
      <c r="L10008">
        <v>323.01</v>
      </c>
    </row>
    <row r="10009" spans="1:12" x14ac:dyDescent="0.25">
      <c r="A10009" t="str">
        <f t="shared" si="1781"/>
        <v>89301000</v>
      </c>
      <c r="B10009" t="str">
        <f t="shared" si="1784"/>
        <v>10510000</v>
      </c>
      <c r="C10009" t="str">
        <f t="shared" si="1785"/>
        <v>10510001</v>
      </c>
      <c r="D10009">
        <v>89301202</v>
      </c>
      <c r="E10009" t="str">
        <f t="shared" si="1786"/>
        <v>8410235328</v>
      </c>
      <c r="F10009" s="1">
        <v>45140</v>
      </c>
      <c r="G10009" t="str">
        <f>"82113"</f>
        <v>82113</v>
      </c>
      <c r="H10009">
        <v>1</v>
      </c>
      <c r="I10009">
        <v>363</v>
      </c>
      <c r="J10009">
        <v>0</v>
      </c>
      <c r="K10009" t="str">
        <f t="shared" si="1787"/>
        <v>802</v>
      </c>
      <c r="L10009">
        <v>352.11</v>
      </c>
    </row>
    <row r="10010" spans="1:12" x14ac:dyDescent="0.25">
      <c r="A10010" t="str">
        <f t="shared" si="1781"/>
        <v>89301000</v>
      </c>
      <c r="B10010" t="str">
        <f t="shared" si="1784"/>
        <v>10510000</v>
      </c>
      <c r="C10010" t="str">
        <f t="shared" si="1785"/>
        <v>10510001</v>
      </c>
      <c r="D10010">
        <v>89301202</v>
      </c>
      <c r="E10010" t="str">
        <f t="shared" si="1786"/>
        <v>8410235328</v>
      </c>
      <c r="F10010" s="1">
        <v>45140</v>
      </c>
      <c r="G10010" t="str">
        <f>"82113"</f>
        <v>82113</v>
      </c>
      <c r="H10010">
        <v>1</v>
      </c>
      <c r="I10010">
        <v>363</v>
      </c>
      <c r="J10010">
        <v>0</v>
      </c>
      <c r="K10010" t="str">
        <f t="shared" si="1787"/>
        <v>802</v>
      </c>
      <c r="L10010">
        <v>352.11</v>
      </c>
    </row>
    <row r="10011" spans="1:12" x14ac:dyDescent="0.25">
      <c r="A10011" t="str">
        <f t="shared" si="1781"/>
        <v>89301000</v>
      </c>
      <c r="B10011" t="str">
        <f t="shared" si="1784"/>
        <v>10510000</v>
      </c>
      <c r="C10011" t="str">
        <f t="shared" si="1785"/>
        <v>10510001</v>
      </c>
      <c r="D10011">
        <v>89301202</v>
      </c>
      <c r="E10011" t="str">
        <f t="shared" si="1786"/>
        <v>8410235328</v>
      </c>
      <c r="F10011" s="1">
        <v>45139</v>
      </c>
      <c r="G10011" t="str">
        <f>"97111"</f>
        <v>97111</v>
      </c>
      <c r="H10011">
        <v>1</v>
      </c>
      <c r="I10011">
        <v>19</v>
      </c>
      <c r="J10011">
        <v>0</v>
      </c>
      <c r="K10011" t="str">
        <f t="shared" si="1787"/>
        <v>802</v>
      </c>
      <c r="L10011">
        <v>23.94</v>
      </c>
    </row>
    <row r="10012" spans="1:12" x14ac:dyDescent="0.25">
      <c r="A10012" t="str">
        <f t="shared" si="1781"/>
        <v>89301000</v>
      </c>
      <c r="B10012" t="str">
        <f t="shared" si="1784"/>
        <v>10510000</v>
      </c>
      <c r="C10012" t="str">
        <f t="shared" si="1785"/>
        <v>10510001</v>
      </c>
      <c r="D10012">
        <v>89301202</v>
      </c>
      <c r="E10012" t="str">
        <f>"7206011835"</f>
        <v>7206011835</v>
      </c>
      <c r="F10012" s="1">
        <v>45141</v>
      </c>
      <c r="G10012" t="str">
        <f>"82113"</f>
        <v>82113</v>
      </c>
      <c r="H10012">
        <v>1</v>
      </c>
      <c r="I10012">
        <v>363</v>
      </c>
      <c r="J10012">
        <v>0</v>
      </c>
      <c r="K10012" t="str">
        <f t="shared" si="1787"/>
        <v>802</v>
      </c>
      <c r="L10012">
        <v>352.11</v>
      </c>
    </row>
    <row r="10013" spans="1:12" x14ac:dyDescent="0.25">
      <c r="A10013" t="str">
        <f t="shared" si="1781"/>
        <v>89301000</v>
      </c>
      <c r="B10013" t="str">
        <f t="shared" si="1784"/>
        <v>10510000</v>
      </c>
      <c r="C10013" t="str">
        <f t="shared" si="1785"/>
        <v>10510001</v>
      </c>
      <c r="D10013">
        <v>89301202</v>
      </c>
      <c r="E10013" t="str">
        <f>"7206011835"</f>
        <v>7206011835</v>
      </c>
      <c r="F10013" s="1">
        <v>45140</v>
      </c>
      <c r="G10013" t="str">
        <f>"97111"</f>
        <v>97111</v>
      </c>
      <c r="H10013">
        <v>1</v>
      </c>
      <c r="I10013">
        <v>19</v>
      </c>
      <c r="J10013">
        <v>0</v>
      </c>
      <c r="K10013" t="str">
        <f t="shared" si="1787"/>
        <v>802</v>
      </c>
      <c r="L10013">
        <v>23.94</v>
      </c>
    </row>
    <row r="10014" spans="1:12" x14ac:dyDescent="0.25">
      <c r="A10014" t="str">
        <f t="shared" si="1781"/>
        <v>89301000</v>
      </c>
      <c r="B10014" t="str">
        <f t="shared" si="1784"/>
        <v>10510000</v>
      </c>
      <c r="C10014" t="str">
        <f t="shared" si="1785"/>
        <v>10510001</v>
      </c>
      <c r="D10014">
        <v>89301202</v>
      </c>
      <c r="E10014" t="str">
        <f>"7206011835"</f>
        <v>7206011835</v>
      </c>
      <c r="F10014" s="1">
        <v>45141</v>
      </c>
      <c r="G10014" t="str">
        <f>"82079"</f>
        <v>82079</v>
      </c>
      <c r="H10014">
        <v>1</v>
      </c>
      <c r="I10014">
        <v>333</v>
      </c>
      <c r="J10014">
        <v>0</v>
      </c>
      <c r="K10014" t="str">
        <f t="shared" si="1787"/>
        <v>802</v>
      </c>
      <c r="L10014">
        <v>323.01</v>
      </c>
    </row>
    <row r="10015" spans="1:12" x14ac:dyDescent="0.25">
      <c r="A10015" t="str">
        <f t="shared" si="1781"/>
        <v>89301000</v>
      </c>
      <c r="B10015" t="str">
        <f t="shared" si="1784"/>
        <v>10510000</v>
      </c>
      <c r="C10015" t="str">
        <f t="shared" si="1785"/>
        <v>10510001</v>
      </c>
      <c r="D10015">
        <v>89301202</v>
      </c>
      <c r="E10015" t="str">
        <f>"7206011835"</f>
        <v>7206011835</v>
      </c>
      <c r="F10015" s="1">
        <v>45141</v>
      </c>
      <c r="G10015" t="str">
        <f>"82111"</f>
        <v>82111</v>
      </c>
      <c r="H10015">
        <v>1</v>
      </c>
      <c r="I10015">
        <v>37</v>
      </c>
      <c r="J10015">
        <v>0</v>
      </c>
      <c r="K10015" t="str">
        <f t="shared" si="1787"/>
        <v>802</v>
      </c>
      <c r="L10015">
        <v>35.89</v>
      </c>
    </row>
    <row r="10016" spans="1:12" x14ac:dyDescent="0.25">
      <c r="A10016" t="str">
        <f t="shared" si="1781"/>
        <v>89301000</v>
      </c>
      <c r="B10016" t="str">
        <f t="shared" si="1784"/>
        <v>10510000</v>
      </c>
      <c r="C10016" t="str">
        <f t="shared" si="1785"/>
        <v>10510001</v>
      </c>
      <c r="D10016">
        <v>89301202</v>
      </c>
      <c r="E10016" t="str">
        <f>"7206011835"</f>
        <v>7206011835</v>
      </c>
      <c r="F10016" s="1">
        <v>45141</v>
      </c>
      <c r="G10016" t="str">
        <f>"82145"</f>
        <v>82145</v>
      </c>
      <c r="H10016">
        <v>6</v>
      </c>
      <c r="I10016">
        <v>354</v>
      </c>
      <c r="J10016">
        <v>0</v>
      </c>
      <c r="K10016" t="str">
        <f t="shared" si="1787"/>
        <v>802</v>
      </c>
      <c r="L10016">
        <v>343.38</v>
      </c>
    </row>
    <row r="10017" spans="1:12" x14ac:dyDescent="0.25">
      <c r="A10017" t="str">
        <f t="shared" si="1781"/>
        <v>89301000</v>
      </c>
      <c r="B10017" t="str">
        <f t="shared" si="1784"/>
        <v>10510000</v>
      </c>
      <c r="C10017" t="str">
        <f t="shared" si="1785"/>
        <v>10510001</v>
      </c>
      <c r="D10017">
        <v>89301202</v>
      </c>
      <c r="E10017" t="str">
        <f>"8260143628"</f>
        <v>8260143628</v>
      </c>
      <c r="F10017" s="1">
        <v>45145</v>
      </c>
      <c r="G10017" t="str">
        <f>"82111"</f>
        <v>82111</v>
      </c>
      <c r="H10017">
        <v>1</v>
      </c>
      <c r="I10017">
        <v>37</v>
      </c>
      <c r="J10017">
        <v>0</v>
      </c>
      <c r="K10017" t="str">
        <f t="shared" si="1787"/>
        <v>802</v>
      </c>
      <c r="L10017">
        <v>35.89</v>
      </c>
    </row>
    <row r="10018" spans="1:12" x14ac:dyDescent="0.25">
      <c r="A10018" t="str">
        <f t="shared" si="1781"/>
        <v>89301000</v>
      </c>
      <c r="B10018" t="str">
        <f t="shared" si="1784"/>
        <v>10510000</v>
      </c>
      <c r="C10018" t="str">
        <f t="shared" si="1785"/>
        <v>10510001</v>
      </c>
      <c r="D10018">
        <v>89301202</v>
      </c>
      <c r="E10018" t="str">
        <f>"8260143628"</f>
        <v>8260143628</v>
      </c>
      <c r="F10018" s="1">
        <v>45145</v>
      </c>
      <c r="G10018" t="str">
        <f>"82079"</f>
        <v>82079</v>
      </c>
      <c r="H10018">
        <v>1</v>
      </c>
      <c r="I10018">
        <v>333</v>
      </c>
      <c r="J10018">
        <v>0</v>
      </c>
      <c r="K10018" t="str">
        <f t="shared" si="1787"/>
        <v>802</v>
      </c>
      <c r="L10018">
        <v>323.01</v>
      </c>
    </row>
    <row r="10019" spans="1:12" x14ac:dyDescent="0.25">
      <c r="A10019" t="str">
        <f t="shared" si="1781"/>
        <v>89301000</v>
      </c>
      <c r="B10019" t="str">
        <f t="shared" si="1784"/>
        <v>10510000</v>
      </c>
      <c r="C10019" t="str">
        <f t="shared" si="1785"/>
        <v>10510001</v>
      </c>
      <c r="D10019">
        <v>89301202</v>
      </c>
      <c r="E10019" t="str">
        <f>"8260143628"</f>
        <v>8260143628</v>
      </c>
      <c r="F10019" s="1">
        <v>45145</v>
      </c>
      <c r="G10019" t="str">
        <f>"82145"</f>
        <v>82145</v>
      </c>
      <c r="H10019">
        <v>6</v>
      </c>
      <c r="I10019">
        <v>354</v>
      </c>
      <c r="J10019">
        <v>0</v>
      </c>
      <c r="K10019" t="str">
        <f t="shared" si="1787"/>
        <v>802</v>
      </c>
      <c r="L10019">
        <v>343.38</v>
      </c>
    </row>
    <row r="10020" spans="1:12" x14ac:dyDescent="0.25">
      <c r="A10020" t="str">
        <f t="shared" si="1781"/>
        <v>89301000</v>
      </c>
      <c r="B10020" t="str">
        <f t="shared" si="1784"/>
        <v>10510000</v>
      </c>
      <c r="C10020" t="str">
        <f t="shared" si="1785"/>
        <v>10510001</v>
      </c>
      <c r="D10020">
        <v>89301202</v>
      </c>
      <c r="E10020" t="str">
        <f>"8260143628"</f>
        <v>8260143628</v>
      </c>
      <c r="F10020" s="1">
        <v>45145</v>
      </c>
      <c r="G10020" t="str">
        <f>"82113"</f>
        <v>82113</v>
      </c>
      <c r="H10020">
        <v>1</v>
      </c>
      <c r="I10020">
        <v>363</v>
      </c>
      <c r="J10020">
        <v>0</v>
      </c>
      <c r="K10020" t="str">
        <f t="shared" si="1787"/>
        <v>802</v>
      </c>
      <c r="L10020">
        <v>352.11</v>
      </c>
    </row>
    <row r="10021" spans="1:12" x14ac:dyDescent="0.25">
      <c r="A10021" t="str">
        <f t="shared" si="1781"/>
        <v>89301000</v>
      </c>
      <c r="B10021" t="str">
        <f t="shared" si="1784"/>
        <v>10510000</v>
      </c>
      <c r="C10021" t="str">
        <f t="shared" si="1785"/>
        <v>10510001</v>
      </c>
      <c r="D10021">
        <v>89301202</v>
      </c>
      <c r="E10021" t="str">
        <f>"8260143628"</f>
        <v>8260143628</v>
      </c>
      <c r="F10021" s="1">
        <v>45142</v>
      </c>
      <c r="G10021" t="str">
        <f>"97111"</f>
        <v>97111</v>
      </c>
      <c r="H10021">
        <v>1</v>
      </c>
      <c r="I10021">
        <v>19</v>
      </c>
      <c r="J10021">
        <v>0</v>
      </c>
      <c r="K10021" t="str">
        <f t="shared" si="1787"/>
        <v>802</v>
      </c>
      <c r="L10021">
        <v>23.94</v>
      </c>
    </row>
    <row r="10022" spans="1:12" x14ac:dyDescent="0.25">
      <c r="A10022" t="str">
        <f t="shared" si="1781"/>
        <v>89301000</v>
      </c>
      <c r="B10022" t="str">
        <f t="shared" si="1784"/>
        <v>10510000</v>
      </c>
      <c r="C10022" t="str">
        <f t="shared" si="1785"/>
        <v>10510001</v>
      </c>
      <c r="D10022">
        <v>89301202</v>
      </c>
      <c r="E10022" t="str">
        <f>"7358185340"</f>
        <v>7358185340</v>
      </c>
      <c r="F10022" s="1">
        <v>45147</v>
      </c>
      <c r="G10022" t="str">
        <f>"82079"</f>
        <v>82079</v>
      </c>
      <c r="H10022">
        <v>1</v>
      </c>
      <c r="I10022">
        <v>333</v>
      </c>
      <c r="J10022">
        <v>0</v>
      </c>
      <c r="K10022" t="str">
        <f t="shared" si="1787"/>
        <v>802</v>
      </c>
      <c r="L10022">
        <v>323.01</v>
      </c>
    </row>
    <row r="10023" spans="1:12" x14ac:dyDescent="0.25">
      <c r="A10023" t="str">
        <f t="shared" si="1781"/>
        <v>89301000</v>
      </c>
      <c r="B10023" t="str">
        <f t="shared" si="1784"/>
        <v>10510000</v>
      </c>
      <c r="C10023" t="str">
        <f t="shared" si="1785"/>
        <v>10510001</v>
      </c>
      <c r="D10023">
        <v>89301202</v>
      </c>
      <c r="E10023" t="str">
        <f>"7358185340"</f>
        <v>7358185340</v>
      </c>
      <c r="F10023" s="1">
        <v>45147</v>
      </c>
      <c r="G10023" t="str">
        <f>"82145"</f>
        <v>82145</v>
      </c>
      <c r="H10023">
        <v>6</v>
      </c>
      <c r="I10023">
        <v>354</v>
      </c>
      <c r="J10023">
        <v>0</v>
      </c>
      <c r="K10023" t="str">
        <f t="shared" si="1787"/>
        <v>802</v>
      </c>
      <c r="L10023">
        <v>343.38</v>
      </c>
    </row>
    <row r="10024" spans="1:12" x14ac:dyDescent="0.25">
      <c r="A10024" t="str">
        <f t="shared" si="1781"/>
        <v>89301000</v>
      </c>
      <c r="B10024" t="str">
        <f t="shared" si="1784"/>
        <v>10510000</v>
      </c>
      <c r="C10024" t="str">
        <f t="shared" si="1785"/>
        <v>10510001</v>
      </c>
      <c r="D10024">
        <v>89301202</v>
      </c>
      <c r="E10024" t="str">
        <f>"7358185340"</f>
        <v>7358185340</v>
      </c>
      <c r="F10024" s="1">
        <v>45147</v>
      </c>
      <c r="G10024" t="str">
        <f>"82111"</f>
        <v>82111</v>
      </c>
      <c r="H10024">
        <v>1</v>
      </c>
      <c r="I10024">
        <v>37</v>
      </c>
      <c r="J10024">
        <v>0</v>
      </c>
      <c r="K10024" t="str">
        <f t="shared" si="1787"/>
        <v>802</v>
      </c>
      <c r="L10024">
        <v>35.89</v>
      </c>
    </row>
    <row r="10025" spans="1:12" x14ac:dyDescent="0.25">
      <c r="A10025" t="str">
        <f t="shared" si="1781"/>
        <v>89301000</v>
      </c>
      <c r="B10025" t="str">
        <f t="shared" si="1784"/>
        <v>10510000</v>
      </c>
      <c r="C10025" t="str">
        <f t="shared" si="1785"/>
        <v>10510001</v>
      </c>
      <c r="D10025">
        <v>89301202</v>
      </c>
      <c r="E10025" t="str">
        <f>"7358185340"</f>
        <v>7358185340</v>
      </c>
      <c r="F10025" s="1">
        <v>45147</v>
      </c>
      <c r="G10025" t="str">
        <f>"82113"</f>
        <v>82113</v>
      </c>
      <c r="H10025">
        <v>1</v>
      </c>
      <c r="I10025">
        <v>363</v>
      </c>
      <c r="J10025">
        <v>0</v>
      </c>
      <c r="K10025" t="str">
        <f t="shared" si="1787"/>
        <v>802</v>
      </c>
      <c r="L10025">
        <v>352.11</v>
      </c>
    </row>
    <row r="10026" spans="1:12" x14ac:dyDescent="0.25">
      <c r="A10026" t="str">
        <f t="shared" si="1781"/>
        <v>89301000</v>
      </c>
      <c r="B10026" t="str">
        <f t="shared" si="1784"/>
        <v>10510000</v>
      </c>
      <c r="C10026" t="str">
        <f t="shared" si="1785"/>
        <v>10510001</v>
      </c>
      <c r="D10026">
        <v>89301202</v>
      </c>
      <c r="E10026" t="str">
        <f>"7358185340"</f>
        <v>7358185340</v>
      </c>
      <c r="F10026" s="1">
        <v>45146</v>
      </c>
      <c r="G10026" t="str">
        <f>"97111"</f>
        <v>97111</v>
      </c>
      <c r="H10026">
        <v>1</v>
      </c>
      <c r="I10026">
        <v>19</v>
      </c>
      <c r="J10026">
        <v>0</v>
      </c>
      <c r="K10026" t="str">
        <f t="shared" si="1787"/>
        <v>802</v>
      </c>
      <c r="L10026">
        <v>23.94</v>
      </c>
    </row>
    <row r="10027" spans="1:12" x14ac:dyDescent="0.25">
      <c r="A10027" t="str">
        <f t="shared" si="1781"/>
        <v>89301000</v>
      </c>
      <c r="B10027" t="str">
        <f t="shared" si="1784"/>
        <v>10510000</v>
      </c>
      <c r="C10027" t="str">
        <f t="shared" si="1785"/>
        <v>10510001</v>
      </c>
      <c r="D10027">
        <v>89301202</v>
      </c>
      <c r="E10027" t="str">
        <f>"8951105713"</f>
        <v>8951105713</v>
      </c>
      <c r="F10027" s="1">
        <v>45147</v>
      </c>
      <c r="G10027" t="str">
        <f>"82113"</f>
        <v>82113</v>
      </c>
      <c r="H10027">
        <v>1</v>
      </c>
      <c r="I10027">
        <v>363</v>
      </c>
      <c r="J10027">
        <v>0</v>
      </c>
      <c r="K10027" t="str">
        <f t="shared" si="1787"/>
        <v>802</v>
      </c>
      <c r="L10027">
        <v>352.11</v>
      </c>
    </row>
    <row r="10028" spans="1:12" x14ac:dyDescent="0.25">
      <c r="A10028" t="str">
        <f t="shared" si="1781"/>
        <v>89301000</v>
      </c>
      <c r="B10028" t="str">
        <f t="shared" si="1784"/>
        <v>10510000</v>
      </c>
      <c r="C10028" t="str">
        <f t="shared" si="1785"/>
        <v>10510001</v>
      </c>
      <c r="D10028">
        <v>89301202</v>
      </c>
      <c r="E10028" t="str">
        <f>"8951105713"</f>
        <v>8951105713</v>
      </c>
      <c r="F10028" s="1">
        <v>45146</v>
      </c>
      <c r="G10028" t="str">
        <f>"97111"</f>
        <v>97111</v>
      </c>
      <c r="H10028">
        <v>1</v>
      </c>
      <c r="I10028">
        <v>19</v>
      </c>
      <c r="J10028">
        <v>0</v>
      </c>
      <c r="K10028" t="str">
        <f t="shared" si="1787"/>
        <v>802</v>
      </c>
      <c r="L10028">
        <v>23.94</v>
      </c>
    </row>
    <row r="10029" spans="1:12" x14ac:dyDescent="0.25">
      <c r="A10029" t="str">
        <f t="shared" si="1781"/>
        <v>89301000</v>
      </c>
      <c r="B10029" t="str">
        <f t="shared" si="1784"/>
        <v>10510000</v>
      </c>
      <c r="C10029" t="str">
        <f t="shared" si="1785"/>
        <v>10510001</v>
      </c>
      <c r="D10029">
        <v>89301202</v>
      </c>
      <c r="E10029" t="str">
        <f>"8951105713"</f>
        <v>8951105713</v>
      </c>
      <c r="F10029" s="1">
        <v>45147</v>
      </c>
      <c r="G10029" t="str">
        <f>"82111"</f>
        <v>82111</v>
      </c>
      <c r="H10029">
        <v>1</v>
      </c>
      <c r="I10029">
        <v>37</v>
      </c>
      <c r="J10029">
        <v>0</v>
      </c>
      <c r="K10029" t="str">
        <f t="shared" si="1787"/>
        <v>802</v>
      </c>
      <c r="L10029">
        <v>35.89</v>
      </c>
    </row>
    <row r="10030" spans="1:12" x14ac:dyDescent="0.25">
      <c r="A10030" t="str">
        <f t="shared" si="1781"/>
        <v>89301000</v>
      </c>
      <c r="B10030" t="str">
        <f t="shared" si="1784"/>
        <v>10510000</v>
      </c>
      <c r="C10030" t="str">
        <f t="shared" si="1785"/>
        <v>10510001</v>
      </c>
      <c r="D10030">
        <v>89301202</v>
      </c>
      <c r="E10030" t="str">
        <f>"8951105713"</f>
        <v>8951105713</v>
      </c>
      <c r="F10030" s="1">
        <v>45147</v>
      </c>
      <c r="G10030" t="str">
        <f>"82145"</f>
        <v>82145</v>
      </c>
      <c r="H10030">
        <v>6</v>
      </c>
      <c r="I10030">
        <v>354</v>
      </c>
      <c r="J10030">
        <v>0</v>
      </c>
      <c r="K10030" t="str">
        <f t="shared" si="1787"/>
        <v>802</v>
      </c>
      <c r="L10030">
        <v>343.38</v>
      </c>
    </row>
    <row r="10031" spans="1:12" x14ac:dyDescent="0.25">
      <c r="A10031" t="str">
        <f t="shared" si="1781"/>
        <v>89301000</v>
      </c>
      <c r="B10031" t="str">
        <f t="shared" si="1784"/>
        <v>10510000</v>
      </c>
      <c r="C10031" t="str">
        <f t="shared" si="1785"/>
        <v>10510001</v>
      </c>
      <c r="D10031">
        <v>89301202</v>
      </c>
      <c r="E10031" t="str">
        <f>"8951105713"</f>
        <v>8951105713</v>
      </c>
      <c r="F10031" s="1">
        <v>45147</v>
      </c>
      <c r="G10031" t="str">
        <f>"82079"</f>
        <v>82079</v>
      </c>
      <c r="H10031">
        <v>1</v>
      </c>
      <c r="I10031">
        <v>333</v>
      </c>
      <c r="J10031">
        <v>0</v>
      </c>
      <c r="K10031" t="str">
        <f t="shared" si="1787"/>
        <v>802</v>
      </c>
      <c r="L10031">
        <v>323.01</v>
      </c>
    </row>
    <row r="10032" spans="1:12" x14ac:dyDescent="0.25">
      <c r="A10032" t="str">
        <f t="shared" si="1781"/>
        <v>89301000</v>
      </c>
      <c r="B10032" t="str">
        <f t="shared" si="1784"/>
        <v>10510000</v>
      </c>
      <c r="C10032" t="str">
        <f t="shared" si="1785"/>
        <v>10510001</v>
      </c>
      <c r="D10032">
        <v>89301202</v>
      </c>
      <c r="E10032" t="str">
        <f>"8009055340"</f>
        <v>8009055340</v>
      </c>
      <c r="F10032" s="1">
        <v>45152</v>
      </c>
      <c r="G10032" t="str">
        <f>"82113"</f>
        <v>82113</v>
      </c>
      <c r="H10032">
        <v>1</v>
      </c>
      <c r="I10032">
        <v>363</v>
      </c>
      <c r="J10032">
        <v>0</v>
      </c>
      <c r="K10032" t="str">
        <f t="shared" si="1787"/>
        <v>802</v>
      </c>
      <c r="L10032">
        <v>352.11</v>
      </c>
    </row>
    <row r="10033" spans="1:12" x14ac:dyDescent="0.25">
      <c r="A10033" t="str">
        <f t="shared" si="1781"/>
        <v>89301000</v>
      </c>
      <c r="B10033" t="str">
        <f t="shared" si="1784"/>
        <v>10510000</v>
      </c>
      <c r="C10033" t="str">
        <f t="shared" si="1785"/>
        <v>10510001</v>
      </c>
      <c r="D10033">
        <v>89301202</v>
      </c>
      <c r="E10033" t="str">
        <f>"8009055340"</f>
        <v>8009055340</v>
      </c>
      <c r="F10033" s="1">
        <v>45149</v>
      </c>
      <c r="G10033" t="str">
        <f>"97111"</f>
        <v>97111</v>
      </c>
      <c r="H10033">
        <v>1</v>
      </c>
      <c r="I10033">
        <v>19</v>
      </c>
      <c r="J10033">
        <v>0</v>
      </c>
      <c r="K10033" t="str">
        <f t="shared" si="1787"/>
        <v>802</v>
      </c>
      <c r="L10033">
        <v>23.94</v>
      </c>
    </row>
    <row r="10034" spans="1:12" x14ac:dyDescent="0.25">
      <c r="A10034" t="str">
        <f t="shared" si="1781"/>
        <v>89301000</v>
      </c>
      <c r="B10034" t="str">
        <f t="shared" si="1784"/>
        <v>10510000</v>
      </c>
      <c r="C10034" t="str">
        <f t="shared" si="1785"/>
        <v>10510001</v>
      </c>
      <c r="D10034">
        <v>89301202</v>
      </c>
      <c r="E10034" t="str">
        <f>"8009055340"</f>
        <v>8009055340</v>
      </c>
      <c r="F10034" s="1">
        <v>45152</v>
      </c>
      <c r="G10034" t="str">
        <f>"82079"</f>
        <v>82079</v>
      </c>
      <c r="H10034">
        <v>1</v>
      </c>
      <c r="I10034">
        <v>333</v>
      </c>
      <c r="J10034">
        <v>0</v>
      </c>
      <c r="K10034" t="str">
        <f t="shared" si="1787"/>
        <v>802</v>
      </c>
      <c r="L10034">
        <v>323.01</v>
      </c>
    </row>
    <row r="10035" spans="1:12" x14ac:dyDescent="0.25">
      <c r="A10035" t="str">
        <f t="shared" si="1781"/>
        <v>89301000</v>
      </c>
      <c r="B10035" t="str">
        <f t="shared" si="1784"/>
        <v>10510000</v>
      </c>
      <c r="C10035" t="str">
        <f t="shared" si="1785"/>
        <v>10510001</v>
      </c>
      <c r="D10035">
        <v>89301202</v>
      </c>
      <c r="E10035" t="str">
        <f>"8009055340"</f>
        <v>8009055340</v>
      </c>
      <c r="F10035" s="1">
        <v>45152</v>
      </c>
      <c r="G10035" t="str">
        <f>"82111"</f>
        <v>82111</v>
      </c>
      <c r="H10035">
        <v>1</v>
      </c>
      <c r="I10035">
        <v>37</v>
      </c>
      <c r="J10035">
        <v>0</v>
      </c>
      <c r="K10035" t="str">
        <f t="shared" si="1787"/>
        <v>802</v>
      </c>
      <c r="L10035">
        <v>35.89</v>
      </c>
    </row>
    <row r="10036" spans="1:12" x14ac:dyDescent="0.25">
      <c r="A10036" t="str">
        <f t="shared" si="1781"/>
        <v>89301000</v>
      </c>
      <c r="B10036" t="str">
        <f t="shared" si="1784"/>
        <v>10510000</v>
      </c>
      <c r="C10036" t="str">
        <f t="shared" si="1785"/>
        <v>10510001</v>
      </c>
      <c r="D10036">
        <v>89301202</v>
      </c>
      <c r="E10036" t="str">
        <f>"8009055340"</f>
        <v>8009055340</v>
      </c>
      <c r="F10036" s="1">
        <v>45152</v>
      </c>
      <c r="G10036" t="str">
        <f>"82145"</f>
        <v>82145</v>
      </c>
      <c r="H10036">
        <v>1</v>
      </c>
      <c r="I10036">
        <v>59</v>
      </c>
      <c r="J10036">
        <v>0</v>
      </c>
      <c r="K10036" t="str">
        <f t="shared" si="1787"/>
        <v>802</v>
      </c>
      <c r="L10036">
        <v>57.23</v>
      </c>
    </row>
    <row r="10037" spans="1:12" x14ac:dyDescent="0.25">
      <c r="A10037" t="str">
        <f t="shared" si="1781"/>
        <v>89301000</v>
      </c>
      <c r="B10037" t="str">
        <f t="shared" ref="B10037:B10061" si="1788">"10510000"</f>
        <v>10510000</v>
      </c>
      <c r="C10037" t="str">
        <f t="shared" ref="C10037:C10061" si="1789">"10510001"</f>
        <v>10510001</v>
      </c>
      <c r="D10037">
        <v>89301202</v>
      </c>
      <c r="E10037" t="str">
        <f>"7758305346"</f>
        <v>7758305346</v>
      </c>
      <c r="F10037" s="1">
        <v>45155</v>
      </c>
      <c r="G10037" t="str">
        <f>"82079"</f>
        <v>82079</v>
      </c>
      <c r="H10037">
        <v>1</v>
      </c>
      <c r="I10037">
        <v>333</v>
      </c>
      <c r="J10037">
        <v>0</v>
      </c>
      <c r="K10037" t="str">
        <f t="shared" ref="K10037:K10065" si="1790">"802"</f>
        <v>802</v>
      </c>
      <c r="L10037">
        <v>323.01</v>
      </c>
    </row>
    <row r="10038" spans="1:12" x14ac:dyDescent="0.25">
      <c r="A10038" t="str">
        <f t="shared" si="1781"/>
        <v>89301000</v>
      </c>
      <c r="B10038" t="str">
        <f t="shared" si="1788"/>
        <v>10510000</v>
      </c>
      <c r="C10038" t="str">
        <f t="shared" si="1789"/>
        <v>10510001</v>
      </c>
      <c r="D10038">
        <v>89301202</v>
      </c>
      <c r="E10038" t="str">
        <f>"7758305346"</f>
        <v>7758305346</v>
      </c>
      <c r="F10038" s="1">
        <v>45155</v>
      </c>
      <c r="G10038" t="str">
        <f>"82111"</f>
        <v>82111</v>
      </c>
      <c r="H10038">
        <v>1</v>
      </c>
      <c r="I10038">
        <v>37</v>
      </c>
      <c r="J10038">
        <v>0</v>
      </c>
      <c r="K10038" t="str">
        <f t="shared" si="1790"/>
        <v>802</v>
      </c>
      <c r="L10038">
        <v>35.89</v>
      </c>
    </row>
    <row r="10039" spans="1:12" x14ac:dyDescent="0.25">
      <c r="A10039" t="str">
        <f t="shared" si="1781"/>
        <v>89301000</v>
      </c>
      <c r="B10039" t="str">
        <f t="shared" si="1788"/>
        <v>10510000</v>
      </c>
      <c r="C10039" t="str">
        <f t="shared" si="1789"/>
        <v>10510001</v>
      </c>
      <c r="D10039">
        <v>89301202</v>
      </c>
      <c r="E10039" t="str">
        <f>"7758305346"</f>
        <v>7758305346</v>
      </c>
      <c r="F10039" s="1">
        <v>45155</v>
      </c>
      <c r="G10039" t="str">
        <f>"82145"</f>
        <v>82145</v>
      </c>
      <c r="H10039">
        <v>6</v>
      </c>
      <c r="I10039">
        <v>354</v>
      </c>
      <c r="J10039">
        <v>0</v>
      </c>
      <c r="K10039" t="str">
        <f t="shared" si="1790"/>
        <v>802</v>
      </c>
      <c r="L10039">
        <v>343.38</v>
      </c>
    </row>
    <row r="10040" spans="1:12" x14ac:dyDescent="0.25">
      <c r="A10040" t="str">
        <f t="shared" si="1781"/>
        <v>89301000</v>
      </c>
      <c r="B10040" t="str">
        <f t="shared" si="1788"/>
        <v>10510000</v>
      </c>
      <c r="C10040" t="str">
        <f t="shared" si="1789"/>
        <v>10510001</v>
      </c>
      <c r="D10040">
        <v>89301202</v>
      </c>
      <c r="E10040" t="str">
        <f>"7758305346"</f>
        <v>7758305346</v>
      </c>
      <c r="F10040" s="1">
        <v>45155</v>
      </c>
      <c r="G10040" t="str">
        <f>"82113"</f>
        <v>82113</v>
      </c>
      <c r="H10040">
        <v>1</v>
      </c>
      <c r="I10040">
        <v>363</v>
      </c>
      <c r="J10040">
        <v>0</v>
      </c>
      <c r="K10040" t="str">
        <f t="shared" si="1790"/>
        <v>802</v>
      </c>
      <c r="L10040">
        <v>352.11</v>
      </c>
    </row>
    <row r="10041" spans="1:12" x14ac:dyDescent="0.25">
      <c r="A10041" t="str">
        <f t="shared" si="1781"/>
        <v>89301000</v>
      </c>
      <c r="B10041" t="str">
        <f t="shared" si="1788"/>
        <v>10510000</v>
      </c>
      <c r="C10041" t="str">
        <f t="shared" si="1789"/>
        <v>10510001</v>
      </c>
      <c r="D10041">
        <v>89301202</v>
      </c>
      <c r="E10041" t="str">
        <f>"7758305346"</f>
        <v>7758305346</v>
      </c>
      <c r="F10041" s="1">
        <v>45154</v>
      </c>
      <c r="G10041" t="str">
        <f>"97111"</f>
        <v>97111</v>
      </c>
      <c r="H10041">
        <v>1</v>
      </c>
      <c r="I10041">
        <v>19</v>
      </c>
      <c r="J10041">
        <v>0</v>
      </c>
      <c r="K10041" t="str">
        <f t="shared" si="1790"/>
        <v>802</v>
      </c>
      <c r="L10041">
        <v>23.94</v>
      </c>
    </row>
    <row r="10042" spans="1:12" x14ac:dyDescent="0.25">
      <c r="A10042" t="str">
        <f t="shared" si="1781"/>
        <v>89301000</v>
      </c>
      <c r="B10042" t="str">
        <f t="shared" si="1788"/>
        <v>10510000</v>
      </c>
      <c r="C10042" t="str">
        <f t="shared" si="1789"/>
        <v>10510001</v>
      </c>
      <c r="D10042">
        <v>89301202</v>
      </c>
      <c r="E10042" t="str">
        <f>"8251174470"</f>
        <v>8251174470</v>
      </c>
      <c r="F10042" s="1">
        <v>45161</v>
      </c>
      <c r="G10042" t="str">
        <f>"82113"</f>
        <v>82113</v>
      </c>
      <c r="H10042">
        <v>1</v>
      </c>
      <c r="I10042">
        <v>363</v>
      </c>
      <c r="J10042">
        <v>0</v>
      </c>
      <c r="K10042" t="str">
        <f t="shared" si="1790"/>
        <v>802</v>
      </c>
      <c r="L10042">
        <v>352.11</v>
      </c>
    </row>
    <row r="10043" spans="1:12" x14ac:dyDescent="0.25">
      <c r="A10043" t="str">
        <f t="shared" si="1781"/>
        <v>89301000</v>
      </c>
      <c r="B10043" t="str">
        <f t="shared" si="1788"/>
        <v>10510000</v>
      </c>
      <c r="C10043" t="str">
        <f t="shared" si="1789"/>
        <v>10510001</v>
      </c>
      <c r="D10043">
        <v>89301202</v>
      </c>
      <c r="E10043" t="str">
        <f>"8251174470"</f>
        <v>8251174470</v>
      </c>
      <c r="F10043" s="1">
        <v>45160</v>
      </c>
      <c r="G10043" t="str">
        <f>"97111"</f>
        <v>97111</v>
      </c>
      <c r="H10043">
        <v>1</v>
      </c>
      <c r="I10043">
        <v>19</v>
      </c>
      <c r="J10043">
        <v>0</v>
      </c>
      <c r="K10043" t="str">
        <f t="shared" si="1790"/>
        <v>802</v>
      </c>
      <c r="L10043">
        <v>23.94</v>
      </c>
    </row>
    <row r="10044" spans="1:12" x14ac:dyDescent="0.25">
      <c r="A10044" t="str">
        <f t="shared" si="1781"/>
        <v>89301000</v>
      </c>
      <c r="B10044" t="str">
        <f t="shared" si="1788"/>
        <v>10510000</v>
      </c>
      <c r="C10044" t="str">
        <f t="shared" si="1789"/>
        <v>10510001</v>
      </c>
      <c r="D10044">
        <v>89301202</v>
      </c>
      <c r="E10044" t="str">
        <f>"8251174470"</f>
        <v>8251174470</v>
      </c>
      <c r="F10044" s="1">
        <v>45161</v>
      </c>
      <c r="G10044" t="str">
        <f>"82145"</f>
        <v>82145</v>
      </c>
      <c r="H10044">
        <v>6</v>
      </c>
      <c r="I10044">
        <v>354</v>
      </c>
      <c r="J10044">
        <v>0</v>
      </c>
      <c r="K10044" t="str">
        <f t="shared" si="1790"/>
        <v>802</v>
      </c>
      <c r="L10044">
        <v>343.38</v>
      </c>
    </row>
    <row r="10045" spans="1:12" x14ac:dyDescent="0.25">
      <c r="A10045" t="str">
        <f t="shared" si="1781"/>
        <v>89301000</v>
      </c>
      <c r="B10045" t="str">
        <f t="shared" si="1788"/>
        <v>10510000</v>
      </c>
      <c r="C10045" t="str">
        <f t="shared" si="1789"/>
        <v>10510001</v>
      </c>
      <c r="D10045">
        <v>89301202</v>
      </c>
      <c r="E10045" t="str">
        <f>"8251174470"</f>
        <v>8251174470</v>
      </c>
      <c r="F10045" s="1">
        <v>45161</v>
      </c>
      <c r="G10045" t="str">
        <f>"82111"</f>
        <v>82111</v>
      </c>
      <c r="H10045">
        <v>1</v>
      </c>
      <c r="I10045">
        <v>37</v>
      </c>
      <c r="J10045">
        <v>0</v>
      </c>
      <c r="K10045" t="str">
        <f t="shared" si="1790"/>
        <v>802</v>
      </c>
      <c r="L10045">
        <v>35.89</v>
      </c>
    </row>
    <row r="10046" spans="1:12" x14ac:dyDescent="0.25">
      <c r="A10046" t="str">
        <f t="shared" si="1781"/>
        <v>89301000</v>
      </c>
      <c r="B10046" t="str">
        <f t="shared" si="1788"/>
        <v>10510000</v>
      </c>
      <c r="C10046" t="str">
        <f t="shared" si="1789"/>
        <v>10510001</v>
      </c>
      <c r="D10046">
        <v>89301202</v>
      </c>
      <c r="E10046" t="str">
        <f>"8251174470"</f>
        <v>8251174470</v>
      </c>
      <c r="F10046" s="1">
        <v>45161</v>
      </c>
      <c r="G10046" t="str">
        <f>"82079"</f>
        <v>82079</v>
      </c>
      <c r="H10046">
        <v>1</v>
      </c>
      <c r="I10046">
        <v>333</v>
      </c>
      <c r="J10046">
        <v>0</v>
      </c>
      <c r="K10046" t="str">
        <f t="shared" si="1790"/>
        <v>802</v>
      </c>
      <c r="L10046">
        <v>323.01</v>
      </c>
    </row>
    <row r="10047" spans="1:12" x14ac:dyDescent="0.25">
      <c r="A10047" t="str">
        <f t="shared" si="1781"/>
        <v>89301000</v>
      </c>
      <c r="B10047" t="str">
        <f t="shared" si="1788"/>
        <v>10510000</v>
      </c>
      <c r="C10047" t="str">
        <f t="shared" si="1789"/>
        <v>10510001</v>
      </c>
      <c r="D10047">
        <v>89301323</v>
      </c>
      <c r="E10047" t="str">
        <f t="shared" ref="E10047:E10052" si="1791">"5707161427"</f>
        <v>5707161427</v>
      </c>
      <c r="F10047" s="1">
        <v>45156</v>
      </c>
      <c r="G10047" t="str">
        <f>"82113"</f>
        <v>82113</v>
      </c>
      <c r="H10047">
        <v>1</v>
      </c>
      <c r="I10047">
        <v>363</v>
      </c>
      <c r="J10047">
        <v>0</v>
      </c>
      <c r="K10047" t="str">
        <f t="shared" si="1790"/>
        <v>802</v>
      </c>
      <c r="L10047">
        <v>352.11</v>
      </c>
    </row>
    <row r="10048" spans="1:12" x14ac:dyDescent="0.25">
      <c r="A10048" t="str">
        <f t="shared" si="1781"/>
        <v>89301000</v>
      </c>
      <c r="B10048" t="str">
        <f t="shared" si="1788"/>
        <v>10510000</v>
      </c>
      <c r="C10048" t="str">
        <f t="shared" si="1789"/>
        <v>10510001</v>
      </c>
      <c r="D10048">
        <v>89301323</v>
      </c>
      <c r="E10048" t="str">
        <f t="shared" si="1791"/>
        <v>5707161427</v>
      </c>
      <c r="F10048" s="1">
        <v>45156</v>
      </c>
      <c r="G10048" t="str">
        <f>"82113"</f>
        <v>82113</v>
      </c>
      <c r="H10048">
        <v>1</v>
      </c>
      <c r="I10048">
        <v>363</v>
      </c>
      <c r="J10048">
        <v>0</v>
      </c>
      <c r="K10048" t="str">
        <f t="shared" si="1790"/>
        <v>802</v>
      </c>
      <c r="L10048">
        <v>352.11</v>
      </c>
    </row>
    <row r="10049" spans="1:12" x14ac:dyDescent="0.25">
      <c r="A10049" t="str">
        <f t="shared" si="1781"/>
        <v>89301000</v>
      </c>
      <c r="B10049" t="str">
        <f t="shared" si="1788"/>
        <v>10510000</v>
      </c>
      <c r="C10049" t="str">
        <f t="shared" si="1789"/>
        <v>10510001</v>
      </c>
      <c r="D10049">
        <v>89301323</v>
      </c>
      <c r="E10049" t="str">
        <f t="shared" si="1791"/>
        <v>5707161427</v>
      </c>
      <c r="F10049" s="1">
        <v>45156</v>
      </c>
      <c r="G10049" t="str">
        <f>"82113"</f>
        <v>82113</v>
      </c>
      <c r="H10049">
        <v>1</v>
      </c>
      <c r="I10049">
        <v>363</v>
      </c>
      <c r="J10049">
        <v>0</v>
      </c>
      <c r="K10049" t="str">
        <f t="shared" si="1790"/>
        <v>802</v>
      </c>
      <c r="L10049">
        <v>352.11</v>
      </c>
    </row>
    <row r="10050" spans="1:12" x14ac:dyDescent="0.25">
      <c r="A10050" t="str">
        <f t="shared" ref="A10050:A10113" si="1792">"89301000"</f>
        <v>89301000</v>
      </c>
      <c r="B10050" t="str">
        <f t="shared" si="1788"/>
        <v>10510000</v>
      </c>
      <c r="C10050" t="str">
        <f t="shared" si="1789"/>
        <v>10510001</v>
      </c>
      <c r="D10050">
        <v>89301323</v>
      </c>
      <c r="E10050" t="str">
        <f t="shared" si="1791"/>
        <v>5707161427</v>
      </c>
      <c r="F10050" s="1">
        <v>45156</v>
      </c>
      <c r="G10050" t="str">
        <f>"82113"</f>
        <v>82113</v>
      </c>
      <c r="H10050">
        <v>1</v>
      </c>
      <c r="I10050">
        <v>363</v>
      </c>
      <c r="J10050">
        <v>0</v>
      </c>
      <c r="K10050" t="str">
        <f t="shared" si="1790"/>
        <v>802</v>
      </c>
      <c r="L10050">
        <v>352.11</v>
      </c>
    </row>
    <row r="10051" spans="1:12" x14ac:dyDescent="0.25">
      <c r="A10051" t="str">
        <f t="shared" si="1792"/>
        <v>89301000</v>
      </c>
      <c r="B10051" t="str">
        <f t="shared" si="1788"/>
        <v>10510000</v>
      </c>
      <c r="C10051" t="str">
        <f t="shared" si="1789"/>
        <v>10510001</v>
      </c>
      <c r="D10051">
        <v>89301323</v>
      </c>
      <c r="E10051" t="str">
        <f t="shared" si="1791"/>
        <v>5707161427</v>
      </c>
      <c r="F10051" s="1">
        <v>45154</v>
      </c>
      <c r="G10051" t="str">
        <f>"82041"</f>
        <v>82041</v>
      </c>
      <c r="H10051">
        <v>1</v>
      </c>
      <c r="I10051">
        <v>1096</v>
      </c>
      <c r="J10051">
        <v>0</v>
      </c>
      <c r="K10051" t="str">
        <f t="shared" si="1790"/>
        <v>802</v>
      </c>
      <c r="L10051">
        <v>1063.1199999999999</v>
      </c>
    </row>
    <row r="10052" spans="1:12" x14ac:dyDescent="0.25">
      <c r="A10052" t="str">
        <f t="shared" si="1792"/>
        <v>89301000</v>
      </c>
      <c r="B10052" t="str">
        <f t="shared" si="1788"/>
        <v>10510000</v>
      </c>
      <c r="C10052" t="str">
        <f t="shared" si="1789"/>
        <v>10510001</v>
      </c>
      <c r="D10052">
        <v>89301323</v>
      </c>
      <c r="E10052" t="str">
        <f t="shared" si="1791"/>
        <v>5707161427</v>
      </c>
      <c r="F10052" s="1">
        <v>45153</v>
      </c>
      <c r="G10052" t="str">
        <f>"82034"</f>
        <v>82034</v>
      </c>
      <c r="H10052">
        <v>1</v>
      </c>
      <c r="I10052">
        <v>354</v>
      </c>
      <c r="J10052">
        <v>0</v>
      </c>
      <c r="K10052" t="str">
        <f t="shared" si="1790"/>
        <v>802</v>
      </c>
      <c r="L10052">
        <v>343.38</v>
      </c>
    </row>
    <row r="10053" spans="1:12" x14ac:dyDescent="0.25">
      <c r="A10053" t="str">
        <f t="shared" si="1792"/>
        <v>89301000</v>
      </c>
      <c r="B10053" t="str">
        <f t="shared" si="1788"/>
        <v>10510000</v>
      </c>
      <c r="C10053" t="str">
        <f t="shared" si="1789"/>
        <v>10510001</v>
      </c>
      <c r="D10053">
        <v>89301171</v>
      </c>
      <c r="E10053" t="str">
        <f>"9260085703"</f>
        <v>9260085703</v>
      </c>
      <c r="F10053" s="1">
        <v>45153</v>
      </c>
      <c r="G10053" t="str">
        <f>"82041"</f>
        <v>82041</v>
      </c>
      <c r="H10053">
        <v>1</v>
      </c>
      <c r="I10053">
        <v>1096</v>
      </c>
      <c r="J10053">
        <v>0</v>
      </c>
      <c r="K10053" t="str">
        <f t="shared" si="1790"/>
        <v>802</v>
      </c>
      <c r="L10053">
        <v>1063.1199999999999</v>
      </c>
    </row>
    <row r="10054" spans="1:12" x14ac:dyDescent="0.25">
      <c r="A10054" t="str">
        <f t="shared" si="1792"/>
        <v>89301000</v>
      </c>
      <c r="B10054" t="str">
        <f t="shared" si="1788"/>
        <v>10510000</v>
      </c>
      <c r="C10054" t="str">
        <f t="shared" si="1789"/>
        <v>10510001</v>
      </c>
      <c r="D10054">
        <v>89301171</v>
      </c>
      <c r="E10054" t="str">
        <f>"9260085703"</f>
        <v>9260085703</v>
      </c>
      <c r="F10054" s="1">
        <v>45153</v>
      </c>
      <c r="G10054" t="str">
        <f>"82041"</f>
        <v>82041</v>
      </c>
      <c r="H10054">
        <v>1</v>
      </c>
      <c r="I10054">
        <v>1096</v>
      </c>
      <c r="J10054">
        <v>0</v>
      </c>
      <c r="K10054" t="str">
        <f t="shared" si="1790"/>
        <v>802</v>
      </c>
      <c r="L10054">
        <v>1063.1199999999999</v>
      </c>
    </row>
    <row r="10055" spans="1:12" x14ac:dyDescent="0.25">
      <c r="A10055" t="str">
        <f t="shared" si="1792"/>
        <v>89301000</v>
      </c>
      <c r="B10055" t="str">
        <f t="shared" si="1788"/>
        <v>10510000</v>
      </c>
      <c r="C10055" t="str">
        <f t="shared" si="1789"/>
        <v>10510001</v>
      </c>
      <c r="D10055">
        <v>89301171</v>
      </c>
      <c r="E10055" t="str">
        <f>"9260085703"</f>
        <v>9260085703</v>
      </c>
      <c r="F10055" s="1">
        <v>45153</v>
      </c>
      <c r="G10055" t="str">
        <f>"82034"</f>
        <v>82034</v>
      </c>
      <c r="H10055">
        <v>1</v>
      </c>
      <c r="I10055">
        <v>354</v>
      </c>
      <c r="J10055">
        <v>0</v>
      </c>
      <c r="K10055" t="str">
        <f t="shared" si="1790"/>
        <v>802</v>
      </c>
      <c r="L10055">
        <v>343.38</v>
      </c>
    </row>
    <row r="10056" spans="1:12" x14ac:dyDescent="0.25">
      <c r="A10056" t="str">
        <f t="shared" si="1792"/>
        <v>89301000</v>
      </c>
      <c r="B10056" t="str">
        <f t="shared" si="1788"/>
        <v>10510000</v>
      </c>
      <c r="C10056" t="str">
        <f t="shared" si="1789"/>
        <v>10510001</v>
      </c>
      <c r="D10056">
        <v>89301171</v>
      </c>
      <c r="E10056" t="str">
        <f>"8701144936"</f>
        <v>8701144936</v>
      </c>
      <c r="F10056" s="1">
        <v>45159</v>
      </c>
      <c r="G10056" t="str">
        <f>"82034"</f>
        <v>82034</v>
      </c>
      <c r="H10056">
        <v>1</v>
      </c>
      <c r="I10056">
        <v>354</v>
      </c>
      <c r="J10056">
        <v>0</v>
      </c>
      <c r="K10056" t="str">
        <f t="shared" si="1790"/>
        <v>802</v>
      </c>
      <c r="L10056">
        <v>343.38</v>
      </c>
    </row>
    <row r="10057" spans="1:12" x14ac:dyDescent="0.25">
      <c r="A10057" t="str">
        <f t="shared" si="1792"/>
        <v>89301000</v>
      </c>
      <c r="B10057" t="str">
        <f t="shared" si="1788"/>
        <v>10510000</v>
      </c>
      <c r="C10057" t="str">
        <f t="shared" si="1789"/>
        <v>10510001</v>
      </c>
      <c r="D10057">
        <v>89301171</v>
      </c>
      <c r="E10057" t="str">
        <f>"8701144936"</f>
        <v>8701144936</v>
      </c>
      <c r="F10057" s="1">
        <v>45159</v>
      </c>
      <c r="G10057" t="str">
        <f>"82041"</f>
        <v>82041</v>
      </c>
      <c r="H10057">
        <v>1</v>
      </c>
      <c r="I10057">
        <v>1096</v>
      </c>
      <c r="J10057">
        <v>0</v>
      </c>
      <c r="K10057" t="str">
        <f t="shared" si="1790"/>
        <v>802</v>
      </c>
      <c r="L10057">
        <v>1063.1199999999999</v>
      </c>
    </row>
    <row r="10058" spans="1:12" x14ac:dyDescent="0.25">
      <c r="A10058" t="str">
        <f t="shared" si="1792"/>
        <v>89301000</v>
      </c>
      <c r="B10058" t="str">
        <f t="shared" si="1788"/>
        <v>10510000</v>
      </c>
      <c r="C10058" t="str">
        <f t="shared" si="1789"/>
        <v>10510001</v>
      </c>
      <c r="D10058">
        <v>89301171</v>
      </c>
      <c r="E10058" t="str">
        <f>"8701144936"</f>
        <v>8701144936</v>
      </c>
      <c r="F10058" s="1">
        <v>45159</v>
      </c>
      <c r="G10058" t="str">
        <f>"82041"</f>
        <v>82041</v>
      </c>
      <c r="H10058">
        <v>1</v>
      </c>
      <c r="I10058">
        <v>1096</v>
      </c>
      <c r="J10058">
        <v>0</v>
      </c>
      <c r="K10058" t="str">
        <f t="shared" si="1790"/>
        <v>802</v>
      </c>
      <c r="L10058">
        <v>1063.1199999999999</v>
      </c>
    </row>
    <row r="10059" spans="1:12" x14ac:dyDescent="0.25">
      <c r="A10059" t="str">
        <f t="shared" si="1792"/>
        <v>89301000</v>
      </c>
      <c r="B10059" t="str">
        <f t="shared" si="1788"/>
        <v>10510000</v>
      </c>
      <c r="C10059" t="str">
        <f t="shared" si="1789"/>
        <v>10510001</v>
      </c>
      <c r="D10059">
        <v>89301171</v>
      </c>
      <c r="E10059" t="str">
        <f>"9157254854"</f>
        <v>9157254854</v>
      </c>
      <c r="F10059" s="1">
        <v>45169</v>
      </c>
      <c r="G10059" t="str">
        <f>"82034"</f>
        <v>82034</v>
      </c>
      <c r="H10059">
        <v>1</v>
      </c>
      <c r="I10059">
        <v>354</v>
      </c>
      <c r="J10059">
        <v>0</v>
      </c>
      <c r="K10059" t="str">
        <f t="shared" si="1790"/>
        <v>802</v>
      </c>
      <c r="L10059">
        <v>343.38</v>
      </c>
    </row>
    <row r="10060" spans="1:12" x14ac:dyDescent="0.25">
      <c r="A10060" t="str">
        <f t="shared" si="1792"/>
        <v>89301000</v>
      </c>
      <c r="B10060" t="str">
        <f t="shared" si="1788"/>
        <v>10510000</v>
      </c>
      <c r="C10060" t="str">
        <f t="shared" si="1789"/>
        <v>10510001</v>
      </c>
      <c r="D10060">
        <v>89301171</v>
      </c>
      <c r="E10060" t="str">
        <f>"9157254854"</f>
        <v>9157254854</v>
      </c>
      <c r="F10060" s="1">
        <v>45169</v>
      </c>
      <c r="G10060" t="str">
        <f>"82041"</f>
        <v>82041</v>
      </c>
      <c r="H10060">
        <v>1</v>
      </c>
      <c r="I10060">
        <v>1096</v>
      </c>
      <c r="J10060">
        <v>0</v>
      </c>
      <c r="K10060" t="str">
        <f t="shared" si="1790"/>
        <v>802</v>
      </c>
      <c r="L10060">
        <v>1063.1199999999999</v>
      </c>
    </row>
    <row r="10061" spans="1:12" x14ac:dyDescent="0.25">
      <c r="A10061" t="str">
        <f t="shared" si="1792"/>
        <v>89301000</v>
      </c>
      <c r="B10061" t="str">
        <f t="shared" si="1788"/>
        <v>10510000</v>
      </c>
      <c r="C10061" t="str">
        <f t="shared" si="1789"/>
        <v>10510001</v>
      </c>
      <c r="D10061">
        <v>89301171</v>
      </c>
      <c r="E10061" t="str">
        <f>"9157254854"</f>
        <v>9157254854</v>
      </c>
      <c r="F10061" s="1">
        <v>45169</v>
      </c>
      <c r="G10061" t="str">
        <f>"82041"</f>
        <v>82041</v>
      </c>
      <c r="H10061">
        <v>1</v>
      </c>
      <c r="I10061">
        <v>1096</v>
      </c>
      <c r="J10061">
        <v>0</v>
      </c>
      <c r="K10061" t="str">
        <f t="shared" si="1790"/>
        <v>802</v>
      </c>
      <c r="L10061">
        <v>1063.1199999999999</v>
      </c>
    </row>
    <row r="10062" spans="1:12" x14ac:dyDescent="0.25">
      <c r="A10062" t="str">
        <f t="shared" si="1792"/>
        <v>89301000</v>
      </c>
      <c r="B10062" t="str">
        <f>"89670000"</f>
        <v>89670000</v>
      </c>
      <c r="C10062" t="str">
        <f>"89670001"</f>
        <v>89670001</v>
      </c>
      <c r="D10062">
        <v>89301112</v>
      </c>
      <c r="E10062" t="str">
        <f>"0905313255"</f>
        <v>0905313255</v>
      </c>
      <c r="F10062" s="1">
        <v>45146</v>
      </c>
      <c r="G10062" t="str">
        <f>"91399"</f>
        <v>91399</v>
      </c>
      <c r="H10062">
        <v>1</v>
      </c>
      <c r="I10062">
        <v>2380</v>
      </c>
      <c r="J10062">
        <v>0</v>
      </c>
      <c r="K10062" t="str">
        <f t="shared" si="1790"/>
        <v>802</v>
      </c>
      <c r="L10062">
        <v>2308.6</v>
      </c>
    </row>
    <row r="10063" spans="1:12" x14ac:dyDescent="0.25">
      <c r="A10063" t="str">
        <f t="shared" si="1792"/>
        <v>89301000</v>
      </c>
      <c r="B10063" t="str">
        <f>"89670000"</f>
        <v>89670000</v>
      </c>
      <c r="C10063" t="str">
        <f>"89670001"</f>
        <v>89670001</v>
      </c>
      <c r="D10063">
        <v>89301112</v>
      </c>
      <c r="E10063" t="str">
        <f>"0905313255"</f>
        <v>0905313255</v>
      </c>
      <c r="F10063" s="1">
        <v>45146</v>
      </c>
      <c r="G10063" t="str">
        <f>"91399"</f>
        <v>91399</v>
      </c>
      <c r="H10063">
        <v>1</v>
      </c>
      <c r="I10063">
        <v>2380</v>
      </c>
      <c r="J10063">
        <v>0</v>
      </c>
      <c r="K10063" t="str">
        <f t="shared" si="1790"/>
        <v>802</v>
      </c>
      <c r="L10063">
        <v>2308.6</v>
      </c>
    </row>
    <row r="10064" spans="1:12" x14ac:dyDescent="0.25">
      <c r="A10064" t="str">
        <f t="shared" si="1792"/>
        <v>89301000</v>
      </c>
      <c r="B10064" t="str">
        <f>"89670000"</f>
        <v>89670000</v>
      </c>
      <c r="C10064" t="str">
        <f>"89670001"</f>
        <v>89670001</v>
      </c>
      <c r="D10064">
        <v>89301322</v>
      </c>
      <c r="E10064" t="str">
        <f>"5707161427"</f>
        <v>5707161427</v>
      </c>
      <c r="F10064" s="1">
        <v>45162</v>
      </c>
      <c r="G10064" t="str">
        <f>"97111"</f>
        <v>97111</v>
      </c>
      <c r="H10064">
        <v>1</v>
      </c>
      <c r="I10064">
        <v>19</v>
      </c>
      <c r="J10064">
        <v>0</v>
      </c>
      <c r="K10064" t="str">
        <f t="shared" si="1790"/>
        <v>802</v>
      </c>
      <c r="L10064">
        <v>23.94</v>
      </c>
    </row>
    <row r="10065" spans="1:12" x14ac:dyDescent="0.25">
      <c r="A10065" t="str">
        <f t="shared" si="1792"/>
        <v>89301000</v>
      </c>
      <c r="B10065" t="str">
        <f>"89670000"</f>
        <v>89670000</v>
      </c>
      <c r="C10065" t="str">
        <f>"89670001"</f>
        <v>89670001</v>
      </c>
      <c r="D10065">
        <v>89301322</v>
      </c>
      <c r="E10065" t="str">
        <f>"5707161427"</f>
        <v>5707161427</v>
      </c>
      <c r="F10065" s="1">
        <v>45167</v>
      </c>
      <c r="G10065" t="str">
        <f>"82087"</f>
        <v>82087</v>
      </c>
      <c r="H10065">
        <v>2</v>
      </c>
      <c r="I10065">
        <v>106</v>
      </c>
      <c r="J10065">
        <v>0</v>
      </c>
      <c r="K10065" t="str">
        <f t="shared" si="1790"/>
        <v>802</v>
      </c>
      <c r="L10065">
        <v>102.82</v>
      </c>
    </row>
    <row r="10066" spans="1:12" x14ac:dyDescent="0.25">
      <c r="A10066" t="str">
        <f t="shared" si="1792"/>
        <v>89301000</v>
      </c>
      <c r="B10066" t="str">
        <f t="shared" ref="B10066:C10075" si="1793">"89632000"</f>
        <v>89632000</v>
      </c>
      <c r="C10066" t="str">
        <f t="shared" si="1793"/>
        <v>89632000</v>
      </c>
      <c r="D10066">
        <v>89301212</v>
      </c>
      <c r="E10066" t="str">
        <f>"445507438"</f>
        <v>445507438</v>
      </c>
      <c r="F10066" s="1">
        <v>45166</v>
      </c>
      <c r="G10066" t="str">
        <f>"89131"</f>
        <v>89131</v>
      </c>
      <c r="H10066">
        <v>1</v>
      </c>
      <c r="I10066">
        <v>190</v>
      </c>
      <c r="J10066">
        <v>0</v>
      </c>
      <c r="K10066" t="str">
        <f t="shared" ref="K10066:K10077" si="1794">"809"</f>
        <v>809</v>
      </c>
      <c r="L10066">
        <v>279.3</v>
      </c>
    </row>
    <row r="10067" spans="1:12" x14ac:dyDescent="0.25">
      <c r="A10067" t="str">
        <f t="shared" si="1792"/>
        <v>89301000</v>
      </c>
      <c r="B10067" t="str">
        <f t="shared" si="1793"/>
        <v>89632000</v>
      </c>
      <c r="C10067" t="str">
        <f t="shared" si="1793"/>
        <v>89632000</v>
      </c>
      <c r="D10067">
        <v>89301212</v>
      </c>
      <c r="E10067" t="str">
        <f>"445507438"</f>
        <v>445507438</v>
      </c>
      <c r="F10067" s="1">
        <v>45166</v>
      </c>
      <c r="G10067" t="str">
        <f>"89513"</f>
        <v>89513</v>
      </c>
      <c r="H10067">
        <v>1</v>
      </c>
      <c r="I10067">
        <v>378</v>
      </c>
      <c r="J10067">
        <v>0</v>
      </c>
      <c r="K10067" t="str">
        <f t="shared" si="1794"/>
        <v>809</v>
      </c>
      <c r="L10067">
        <v>555.66</v>
      </c>
    </row>
    <row r="10068" spans="1:12" x14ac:dyDescent="0.25">
      <c r="A10068" t="str">
        <f t="shared" si="1792"/>
        <v>89301000</v>
      </c>
      <c r="B10068" t="str">
        <f t="shared" si="1793"/>
        <v>89632000</v>
      </c>
      <c r="C10068" t="str">
        <f t="shared" si="1793"/>
        <v>89632000</v>
      </c>
      <c r="D10068">
        <v>89301212</v>
      </c>
      <c r="E10068" t="str">
        <f>"445507438"</f>
        <v>445507438</v>
      </c>
      <c r="F10068" s="1">
        <v>45166</v>
      </c>
      <c r="G10068" t="str">
        <f>"89514"</f>
        <v>89514</v>
      </c>
      <c r="H10068">
        <v>1</v>
      </c>
      <c r="I10068">
        <v>378</v>
      </c>
      <c r="J10068">
        <v>0</v>
      </c>
      <c r="K10068" t="str">
        <f t="shared" si="1794"/>
        <v>809</v>
      </c>
      <c r="L10068">
        <v>555.66</v>
      </c>
    </row>
    <row r="10069" spans="1:12" x14ac:dyDescent="0.25">
      <c r="A10069" t="str">
        <f t="shared" si="1792"/>
        <v>89301000</v>
      </c>
      <c r="B10069" t="str">
        <f t="shared" si="1793"/>
        <v>89632000</v>
      </c>
      <c r="C10069" t="str">
        <f t="shared" si="1793"/>
        <v>89632000</v>
      </c>
      <c r="D10069">
        <v>89301212</v>
      </c>
      <c r="E10069" t="str">
        <f>"6756200253"</f>
        <v>6756200253</v>
      </c>
      <c r="F10069" s="1">
        <v>45168</v>
      </c>
      <c r="G10069" t="str">
        <f>"89513"</f>
        <v>89513</v>
      </c>
      <c r="H10069">
        <v>1</v>
      </c>
      <c r="I10069">
        <v>378</v>
      </c>
      <c r="J10069">
        <v>0</v>
      </c>
      <c r="K10069" t="str">
        <f t="shared" si="1794"/>
        <v>809</v>
      </c>
      <c r="L10069">
        <v>555.66</v>
      </c>
    </row>
    <row r="10070" spans="1:12" x14ac:dyDescent="0.25">
      <c r="A10070" t="str">
        <f t="shared" si="1792"/>
        <v>89301000</v>
      </c>
      <c r="B10070" t="str">
        <f t="shared" si="1793"/>
        <v>89632000</v>
      </c>
      <c r="C10070" t="str">
        <f t="shared" si="1793"/>
        <v>89632000</v>
      </c>
      <c r="D10070">
        <v>89301212</v>
      </c>
      <c r="E10070" t="str">
        <f>"6756200253"</f>
        <v>6756200253</v>
      </c>
      <c r="F10070" s="1">
        <v>45168</v>
      </c>
      <c r="G10070" t="str">
        <f>"89514"</f>
        <v>89514</v>
      </c>
      <c r="H10070">
        <v>1</v>
      </c>
      <c r="I10070">
        <v>378</v>
      </c>
      <c r="J10070">
        <v>0</v>
      </c>
      <c r="K10070" t="str">
        <f t="shared" si="1794"/>
        <v>809</v>
      </c>
      <c r="L10070">
        <v>555.66</v>
      </c>
    </row>
    <row r="10071" spans="1:12" x14ac:dyDescent="0.25">
      <c r="A10071" t="str">
        <f t="shared" si="1792"/>
        <v>89301000</v>
      </c>
      <c r="B10071" t="str">
        <f t="shared" si="1793"/>
        <v>89632000</v>
      </c>
      <c r="C10071" t="str">
        <f t="shared" si="1793"/>
        <v>89632000</v>
      </c>
      <c r="D10071">
        <v>89301212</v>
      </c>
      <c r="E10071" t="str">
        <f>"7560315763"</f>
        <v>7560315763</v>
      </c>
      <c r="F10071" s="1">
        <v>45167</v>
      </c>
      <c r="G10071" t="str">
        <f>"89513"</f>
        <v>89513</v>
      </c>
      <c r="H10071">
        <v>1</v>
      </c>
      <c r="I10071">
        <v>378</v>
      </c>
      <c r="J10071">
        <v>0</v>
      </c>
      <c r="K10071" t="str">
        <f t="shared" si="1794"/>
        <v>809</v>
      </c>
      <c r="L10071">
        <v>555.66</v>
      </c>
    </row>
    <row r="10072" spans="1:12" x14ac:dyDescent="0.25">
      <c r="A10072" t="str">
        <f t="shared" si="1792"/>
        <v>89301000</v>
      </c>
      <c r="B10072" t="str">
        <f t="shared" si="1793"/>
        <v>89632000</v>
      </c>
      <c r="C10072" t="str">
        <f t="shared" si="1793"/>
        <v>89632000</v>
      </c>
      <c r="D10072">
        <v>89301212</v>
      </c>
      <c r="E10072" t="str">
        <f>"7560315763"</f>
        <v>7560315763</v>
      </c>
      <c r="F10072" s="1">
        <v>45167</v>
      </c>
      <c r="G10072" t="str">
        <f>"89514"</f>
        <v>89514</v>
      </c>
      <c r="H10072">
        <v>1</v>
      </c>
      <c r="I10072">
        <v>378</v>
      </c>
      <c r="J10072">
        <v>0</v>
      </c>
      <c r="K10072" t="str">
        <f t="shared" si="1794"/>
        <v>809</v>
      </c>
      <c r="L10072">
        <v>555.66</v>
      </c>
    </row>
    <row r="10073" spans="1:12" x14ac:dyDescent="0.25">
      <c r="A10073" t="str">
        <f t="shared" si="1792"/>
        <v>89301000</v>
      </c>
      <c r="B10073" t="str">
        <f t="shared" si="1793"/>
        <v>89632000</v>
      </c>
      <c r="C10073" t="str">
        <f t="shared" si="1793"/>
        <v>89632000</v>
      </c>
      <c r="D10073">
        <v>89301322</v>
      </c>
      <c r="E10073" t="str">
        <f>"516016167"</f>
        <v>516016167</v>
      </c>
      <c r="F10073" s="1">
        <v>45155</v>
      </c>
      <c r="G10073" t="str">
        <f>"89513"</f>
        <v>89513</v>
      </c>
      <c r="H10073">
        <v>1</v>
      </c>
      <c r="I10073">
        <v>378</v>
      </c>
      <c r="J10073">
        <v>0</v>
      </c>
      <c r="K10073" t="str">
        <f t="shared" si="1794"/>
        <v>809</v>
      </c>
      <c r="L10073">
        <v>555.66</v>
      </c>
    </row>
    <row r="10074" spans="1:12" x14ac:dyDescent="0.25">
      <c r="A10074" t="str">
        <f t="shared" si="1792"/>
        <v>89301000</v>
      </c>
      <c r="B10074" t="str">
        <f t="shared" si="1793"/>
        <v>89632000</v>
      </c>
      <c r="C10074" t="str">
        <f t="shared" si="1793"/>
        <v>89632000</v>
      </c>
      <c r="D10074">
        <v>89301322</v>
      </c>
      <c r="E10074" t="str">
        <f>"516016167"</f>
        <v>516016167</v>
      </c>
      <c r="F10074" s="1">
        <v>45155</v>
      </c>
      <c r="G10074" t="str">
        <f>"89514"</f>
        <v>89514</v>
      </c>
      <c r="H10074">
        <v>1</v>
      </c>
      <c r="I10074">
        <v>378</v>
      </c>
      <c r="J10074">
        <v>0</v>
      </c>
      <c r="K10074" t="str">
        <f t="shared" si="1794"/>
        <v>809</v>
      </c>
      <c r="L10074">
        <v>555.66</v>
      </c>
    </row>
    <row r="10075" spans="1:12" x14ac:dyDescent="0.25">
      <c r="A10075" t="str">
        <f t="shared" si="1792"/>
        <v>89301000</v>
      </c>
      <c r="B10075" t="str">
        <f t="shared" si="1793"/>
        <v>89632000</v>
      </c>
      <c r="C10075" t="str">
        <f t="shared" si="1793"/>
        <v>89632000</v>
      </c>
      <c r="D10075">
        <v>89301322</v>
      </c>
      <c r="E10075" t="str">
        <f>"516016167"</f>
        <v>516016167</v>
      </c>
      <c r="F10075" s="1">
        <v>45155</v>
      </c>
      <c r="G10075" t="str">
        <f>"09137"</f>
        <v>09137</v>
      </c>
      <c r="H10075">
        <v>1</v>
      </c>
      <c r="I10075">
        <v>238</v>
      </c>
      <c r="J10075">
        <v>0</v>
      </c>
      <c r="K10075" t="str">
        <f t="shared" si="1794"/>
        <v>809</v>
      </c>
      <c r="L10075">
        <v>349.86</v>
      </c>
    </row>
    <row r="10076" spans="1:12" x14ac:dyDescent="0.25">
      <c r="A10076" t="str">
        <f t="shared" si="1792"/>
        <v>89301000</v>
      </c>
      <c r="B10076" t="str">
        <f>"85200000"</f>
        <v>85200000</v>
      </c>
      <c r="C10076" t="str">
        <f>"85200500"</f>
        <v>85200500</v>
      </c>
      <c r="D10076">
        <v>89301212</v>
      </c>
      <c r="E10076" t="str">
        <f>"5958251090"</f>
        <v>5958251090</v>
      </c>
      <c r="F10076" s="1">
        <v>45167</v>
      </c>
      <c r="G10076" t="str">
        <f>"89513"</f>
        <v>89513</v>
      </c>
      <c r="H10076">
        <v>1</v>
      </c>
      <c r="I10076">
        <v>378</v>
      </c>
      <c r="J10076">
        <v>0</v>
      </c>
      <c r="K10076" t="str">
        <f t="shared" si="1794"/>
        <v>809</v>
      </c>
      <c r="L10076">
        <v>555.66</v>
      </c>
    </row>
    <row r="10077" spans="1:12" x14ac:dyDescent="0.25">
      <c r="A10077" t="str">
        <f t="shared" si="1792"/>
        <v>89301000</v>
      </c>
      <c r="B10077" t="str">
        <f>"85200000"</f>
        <v>85200000</v>
      </c>
      <c r="C10077" t="str">
        <f>"85200500"</f>
        <v>85200500</v>
      </c>
      <c r="D10077">
        <v>89301212</v>
      </c>
      <c r="E10077" t="str">
        <f>"5958251090"</f>
        <v>5958251090</v>
      </c>
      <c r="F10077" s="1">
        <v>45167</v>
      </c>
      <c r="G10077" t="str">
        <f>"89514"</f>
        <v>89514</v>
      </c>
      <c r="H10077">
        <v>1</v>
      </c>
      <c r="I10077">
        <v>378</v>
      </c>
      <c r="J10077">
        <v>0</v>
      </c>
      <c r="K10077" t="str">
        <f t="shared" si="1794"/>
        <v>809</v>
      </c>
      <c r="L10077">
        <v>555.66</v>
      </c>
    </row>
    <row r="10078" spans="1:12" x14ac:dyDescent="0.25">
      <c r="A10078" t="str">
        <f t="shared" si="1792"/>
        <v>89301000</v>
      </c>
      <c r="B10078" t="str">
        <f t="shared" ref="B10078:B10109" si="1795">"95202000"</f>
        <v>95202000</v>
      </c>
      <c r="C10078" t="str">
        <f t="shared" ref="C10078:C10088" si="1796">"95202818"</f>
        <v>95202818</v>
      </c>
      <c r="D10078">
        <v>89301167</v>
      </c>
      <c r="E10078" t="str">
        <f>"6109280386"</f>
        <v>6109280386</v>
      </c>
      <c r="F10078" s="1">
        <v>45152</v>
      </c>
      <c r="G10078" t="str">
        <f>"96167"</f>
        <v>96167</v>
      </c>
      <c r="H10078">
        <v>1</v>
      </c>
      <c r="I10078">
        <v>67</v>
      </c>
      <c r="J10078">
        <v>0</v>
      </c>
      <c r="K10078" t="str">
        <f t="shared" ref="K10078:K10088" si="1797">"818"</f>
        <v>818</v>
      </c>
      <c r="L10078">
        <v>64.989999999999995</v>
      </c>
    </row>
    <row r="10079" spans="1:12" x14ac:dyDescent="0.25">
      <c r="A10079" t="str">
        <f t="shared" si="1792"/>
        <v>89301000</v>
      </c>
      <c r="B10079" t="str">
        <f t="shared" si="1795"/>
        <v>95202000</v>
      </c>
      <c r="C10079" t="str">
        <f t="shared" si="1796"/>
        <v>95202818</v>
      </c>
      <c r="D10079">
        <v>89301167</v>
      </c>
      <c r="E10079" t="str">
        <f t="shared" ref="E10079:E10087" si="1798">"5709166199"</f>
        <v>5709166199</v>
      </c>
      <c r="F10079" s="1">
        <v>45146</v>
      </c>
      <c r="G10079" t="str">
        <f>"96167"</f>
        <v>96167</v>
      </c>
      <c r="H10079">
        <v>1</v>
      </c>
      <c r="I10079">
        <v>67</v>
      </c>
      <c r="J10079">
        <v>0</v>
      </c>
      <c r="K10079" t="str">
        <f t="shared" si="1797"/>
        <v>818</v>
      </c>
      <c r="L10079">
        <v>64.989999999999995</v>
      </c>
    </row>
    <row r="10080" spans="1:12" x14ac:dyDescent="0.25">
      <c r="A10080" t="str">
        <f t="shared" si="1792"/>
        <v>89301000</v>
      </c>
      <c r="B10080" t="str">
        <f t="shared" si="1795"/>
        <v>95202000</v>
      </c>
      <c r="C10080" t="str">
        <f t="shared" si="1796"/>
        <v>95202818</v>
      </c>
      <c r="D10080">
        <v>89301167</v>
      </c>
      <c r="E10080" t="str">
        <f t="shared" si="1798"/>
        <v>5709166199</v>
      </c>
      <c r="F10080" s="1">
        <v>45139</v>
      </c>
      <c r="G10080" t="str">
        <f>"96167"</f>
        <v>96167</v>
      </c>
      <c r="H10080">
        <v>1</v>
      </c>
      <c r="I10080">
        <v>67</v>
      </c>
      <c r="J10080">
        <v>0</v>
      </c>
      <c r="K10080" t="str">
        <f t="shared" si="1797"/>
        <v>818</v>
      </c>
      <c r="L10080">
        <v>64.989999999999995</v>
      </c>
    </row>
    <row r="10081" spans="1:12" x14ac:dyDescent="0.25">
      <c r="A10081" t="str">
        <f t="shared" si="1792"/>
        <v>89301000</v>
      </c>
      <c r="B10081" t="str">
        <f t="shared" si="1795"/>
        <v>95202000</v>
      </c>
      <c r="C10081" t="str">
        <f t="shared" si="1796"/>
        <v>95202818</v>
      </c>
      <c r="D10081">
        <v>89301167</v>
      </c>
      <c r="E10081" t="str">
        <f t="shared" si="1798"/>
        <v>5709166199</v>
      </c>
      <c r="F10081" s="1">
        <v>45139</v>
      </c>
      <c r="G10081" t="str">
        <f>"96315"</f>
        <v>96315</v>
      </c>
      <c r="H10081">
        <v>1</v>
      </c>
      <c r="I10081">
        <v>30</v>
      </c>
      <c r="J10081">
        <v>0</v>
      </c>
      <c r="K10081" t="str">
        <f t="shared" si="1797"/>
        <v>818</v>
      </c>
      <c r="L10081">
        <v>29.1</v>
      </c>
    </row>
    <row r="10082" spans="1:12" x14ac:dyDescent="0.25">
      <c r="A10082" t="str">
        <f t="shared" si="1792"/>
        <v>89301000</v>
      </c>
      <c r="B10082" t="str">
        <f t="shared" si="1795"/>
        <v>95202000</v>
      </c>
      <c r="C10082" t="str">
        <f t="shared" si="1796"/>
        <v>95202818</v>
      </c>
      <c r="D10082">
        <v>89301167</v>
      </c>
      <c r="E10082" t="str">
        <f t="shared" si="1798"/>
        <v>5709166199</v>
      </c>
      <c r="F10082" s="1">
        <v>45139</v>
      </c>
      <c r="G10082" t="str">
        <f>"96711"</f>
        <v>96711</v>
      </c>
      <c r="H10082">
        <v>1</v>
      </c>
      <c r="I10082">
        <v>28</v>
      </c>
      <c r="J10082">
        <v>0</v>
      </c>
      <c r="K10082" t="str">
        <f t="shared" si="1797"/>
        <v>818</v>
      </c>
      <c r="L10082">
        <v>27.16</v>
      </c>
    </row>
    <row r="10083" spans="1:12" x14ac:dyDescent="0.25">
      <c r="A10083" t="str">
        <f t="shared" si="1792"/>
        <v>89301000</v>
      </c>
      <c r="B10083" t="str">
        <f t="shared" si="1795"/>
        <v>95202000</v>
      </c>
      <c r="C10083" t="str">
        <f t="shared" si="1796"/>
        <v>95202818</v>
      </c>
      <c r="D10083">
        <v>89301167</v>
      </c>
      <c r="E10083" t="str">
        <f t="shared" si="1798"/>
        <v>5709166199</v>
      </c>
      <c r="F10083" s="1">
        <v>45139</v>
      </c>
      <c r="G10083" t="str">
        <f>"96713"</f>
        <v>96713</v>
      </c>
      <c r="H10083">
        <v>1</v>
      </c>
      <c r="I10083">
        <v>14</v>
      </c>
      <c r="J10083">
        <v>0</v>
      </c>
      <c r="K10083" t="str">
        <f t="shared" si="1797"/>
        <v>818</v>
      </c>
      <c r="L10083">
        <v>13.58</v>
      </c>
    </row>
    <row r="10084" spans="1:12" x14ac:dyDescent="0.25">
      <c r="A10084" t="str">
        <f t="shared" si="1792"/>
        <v>89301000</v>
      </c>
      <c r="B10084" t="str">
        <f t="shared" si="1795"/>
        <v>95202000</v>
      </c>
      <c r="C10084" t="str">
        <f t="shared" si="1796"/>
        <v>95202818</v>
      </c>
      <c r="D10084">
        <v>89301167</v>
      </c>
      <c r="E10084" t="str">
        <f t="shared" si="1798"/>
        <v>5709166199</v>
      </c>
      <c r="F10084" s="1">
        <v>45147</v>
      </c>
      <c r="G10084" t="str">
        <f>"96315"</f>
        <v>96315</v>
      </c>
      <c r="H10084">
        <v>1</v>
      </c>
      <c r="I10084">
        <v>30</v>
      </c>
      <c r="J10084">
        <v>0</v>
      </c>
      <c r="K10084" t="str">
        <f t="shared" si="1797"/>
        <v>818</v>
      </c>
      <c r="L10084">
        <v>29.1</v>
      </c>
    </row>
    <row r="10085" spans="1:12" x14ac:dyDescent="0.25">
      <c r="A10085" t="str">
        <f t="shared" si="1792"/>
        <v>89301000</v>
      </c>
      <c r="B10085" t="str">
        <f t="shared" si="1795"/>
        <v>95202000</v>
      </c>
      <c r="C10085" t="str">
        <f t="shared" si="1796"/>
        <v>95202818</v>
      </c>
      <c r="D10085">
        <v>89301167</v>
      </c>
      <c r="E10085" t="str">
        <f t="shared" si="1798"/>
        <v>5709166199</v>
      </c>
      <c r="F10085" s="1">
        <v>45147</v>
      </c>
      <c r="G10085" t="str">
        <f>"96711"</f>
        <v>96711</v>
      </c>
      <c r="H10085">
        <v>1</v>
      </c>
      <c r="I10085">
        <v>28</v>
      </c>
      <c r="J10085">
        <v>0</v>
      </c>
      <c r="K10085" t="str">
        <f t="shared" si="1797"/>
        <v>818</v>
      </c>
      <c r="L10085">
        <v>27.16</v>
      </c>
    </row>
    <row r="10086" spans="1:12" x14ac:dyDescent="0.25">
      <c r="A10086" t="str">
        <f t="shared" si="1792"/>
        <v>89301000</v>
      </c>
      <c r="B10086" t="str">
        <f t="shared" si="1795"/>
        <v>95202000</v>
      </c>
      <c r="C10086" t="str">
        <f t="shared" si="1796"/>
        <v>95202818</v>
      </c>
      <c r="D10086">
        <v>89301167</v>
      </c>
      <c r="E10086" t="str">
        <f t="shared" si="1798"/>
        <v>5709166199</v>
      </c>
      <c r="F10086" s="1">
        <v>45147</v>
      </c>
      <c r="G10086" t="str">
        <f>"96713"</f>
        <v>96713</v>
      </c>
      <c r="H10086">
        <v>1</v>
      </c>
      <c r="I10086">
        <v>14</v>
      </c>
      <c r="J10086">
        <v>0</v>
      </c>
      <c r="K10086" t="str">
        <f t="shared" si="1797"/>
        <v>818</v>
      </c>
      <c r="L10086">
        <v>13.58</v>
      </c>
    </row>
    <row r="10087" spans="1:12" x14ac:dyDescent="0.25">
      <c r="A10087" t="str">
        <f t="shared" si="1792"/>
        <v>89301000</v>
      </c>
      <c r="B10087" t="str">
        <f t="shared" si="1795"/>
        <v>95202000</v>
      </c>
      <c r="C10087" t="str">
        <f t="shared" si="1796"/>
        <v>95202818</v>
      </c>
      <c r="D10087">
        <v>89301167</v>
      </c>
      <c r="E10087" t="str">
        <f t="shared" si="1798"/>
        <v>5709166199</v>
      </c>
      <c r="F10087" s="1">
        <v>45160</v>
      </c>
      <c r="G10087" t="str">
        <f>"96167"</f>
        <v>96167</v>
      </c>
      <c r="H10087">
        <v>1</v>
      </c>
      <c r="I10087">
        <v>67</v>
      </c>
      <c r="J10087">
        <v>0</v>
      </c>
      <c r="K10087" t="str">
        <f t="shared" si="1797"/>
        <v>818</v>
      </c>
      <c r="L10087">
        <v>64.989999999999995</v>
      </c>
    </row>
    <row r="10088" spans="1:12" x14ac:dyDescent="0.25">
      <c r="A10088" t="str">
        <f t="shared" si="1792"/>
        <v>89301000</v>
      </c>
      <c r="B10088" t="str">
        <f t="shared" si="1795"/>
        <v>95202000</v>
      </c>
      <c r="C10088" t="str">
        <f t="shared" si="1796"/>
        <v>95202818</v>
      </c>
      <c r="D10088">
        <v>89301167</v>
      </c>
      <c r="E10088" t="str">
        <f>"521204004"</f>
        <v>521204004</v>
      </c>
      <c r="F10088" s="1">
        <v>45159</v>
      </c>
      <c r="G10088" t="str">
        <f>"96167"</f>
        <v>96167</v>
      </c>
      <c r="H10088">
        <v>1</v>
      </c>
      <c r="I10088">
        <v>67</v>
      </c>
      <c r="J10088">
        <v>0</v>
      </c>
      <c r="K10088" t="str">
        <f t="shared" si="1797"/>
        <v>818</v>
      </c>
      <c r="L10088">
        <v>64.989999999999995</v>
      </c>
    </row>
    <row r="10089" spans="1:12" x14ac:dyDescent="0.25">
      <c r="A10089" t="str">
        <f t="shared" si="1792"/>
        <v>89301000</v>
      </c>
      <c r="B10089" t="str">
        <f t="shared" si="1795"/>
        <v>95202000</v>
      </c>
      <c r="C10089" t="str">
        <f t="shared" ref="C10089:C10096" si="1799">"95202511"</f>
        <v>95202511</v>
      </c>
      <c r="D10089">
        <v>89301212</v>
      </c>
      <c r="E10089" t="str">
        <f>"7262225806"</f>
        <v>7262225806</v>
      </c>
      <c r="F10089" s="1">
        <v>45140</v>
      </c>
      <c r="G10089" t="str">
        <f>"89131"</f>
        <v>89131</v>
      </c>
      <c r="H10089">
        <v>1</v>
      </c>
      <c r="I10089">
        <v>190</v>
      </c>
      <c r="J10089">
        <v>0</v>
      </c>
      <c r="K10089" t="str">
        <f t="shared" ref="K10089:K10096" si="1800">"809"</f>
        <v>809</v>
      </c>
      <c r="L10089">
        <v>279.3</v>
      </c>
    </row>
    <row r="10090" spans="1:12" x14ac:dyDescent="0.25">
      <c r="A10090" t="str">
        <f t="shared" si="1792"/>
        <v>89301000</v>
      </c>
      <c r="B10090" t="str">
        <f t="shared" si="1795"/>
        <v>95202000</v>
      </c>
      <c r="C10090" t="str">
        <f t="shared" si="1799"/>
        <v>95202511</v>
      </c>
      <c r="D10090">
        <v>89301212</v>
      </c>
      <c r="E10090" t="str">
        <f>"7262225806"</f>
        <v>7262225806</v>
      </c>
      <c r="F10090" s="1">
        <v>45140</v>
      </c>
      <c r="G10090" t="str">
        <f>"09572"</f>
        <v>09572</v>
      </c>
      <c r="H10090">
        <v>1</v>
      </c>
      <c r="I10090">
        <v>0</v>
      </c>
      <c r="J10090">
        <v>0</v>
      </c>
      <c r="K10090" t="str">
        <f t="shared" si="1800"/>
        <v>809</v>
      </c>
      <c r="L10090">
        <v>0</v>
      </c>
    </row>
    <row r="10091" spans="1:12" x14ac:dyDescent="0.25">
      <c r="A10091" t="str">
        <f t="shared" si="1792"/>
        <v>89301000</v>
      </c>
      <c r="B10091" t="str">
        <f t="shared" si="1795"/>
        <v>95202000</v>
      </c>
      <c r="C10091" t="str">
        <f t="shared" si="1799"/>
        <v>95202511</v>
      </c>
      <c r="D10091">
        <v>89301062</v>
      </c>
      <c r="E10091" t="str">
        <f>"6662070118"</f>
        <v>6662070118</v>
      </c>
      <c r="F10091" s="1">
        <v>45162</v>
      </c>
      <c r="G10091" t="str">
        <f>"89119"</f>
        <v>89119</v>
      </c>
      <c r="H10091">
        <v>1</v>
      </c>
      <c r="I10091">
        <v>204</v>
      </c>
      <c r="J10091">
        <v>0</v>
      </c>
      <c r="K10091" t="str">
        <f t="shared" si="1800"/>
        <v>809</v>
      </c>
      <c r="L10091">
        <v>299.88</v>
      </c>
    </row>
    <row r="10092" spans="1:12" x14ac:dyDescent="0.25">
      <c r="A10092" t="str">
        <f t="shared" si="1792"/>
        <v>89301000</v>
      </c>
      <c r="B10092" t="str">
        <f t="shared" si="1795"/>
        <v>95202000</v>
      </c>
      <c r="C10092" t="str">
        <f t="shared" si="1799"/>
        <v>95202511</v>
      </c>
      <c r="D10092">
        <v>89301062</v>
      </c>
      <c r="E10092" t="str">
        <f>"6662070118"</f>
        <v>6662070118</v>
      </c>
      <c r="F10092" s="1">
        <v>45162</v>
      </c>
      <c r="G10092" t="str">
        <f>"89119"</f>
        <v>89119</v>
      </c>
      <c r="H10092">
        <v>1</v>
      </c>
      <c r="I10092">
        <v>204</v>
      </c>
      <c r="J10092">
        <v>0</v>
      </c>
      <c r="K10092" t="str">
        <f t="shared" si="1800"/>
        <v>809</v>
      </c>
      <c r="L10092">
        <v>299.88</v>
      </c>
    </row>
    <row r="10093" spans="1:12" x14ac:dyDescent="0.25">
      <c r="A10093" t="str">
        <f t="shared" si="1792"/>
        <v>89301000</v>
      </c>
      <c r="B10093" t="str">
        <f t="shared" si="1795"/>
        <v>95202000</v>
      </c>
      <c r="C10093" t="str">
        <f t="shared" si="1799"/>
        <v>95202511</v>
      </c>
      <c r="D10093">
        <v>89301212</v>
      </c>
      <c r="E10093" t="str">
        <f>"7262225806"</f>
        <v>7262225806</v>
      </c>
      <c r="F10093" s="1">
        <v>45146</v>
      </c>
      <c r="G10093" t="str">
        <f>"89513"</f>
        <v>89513</v>
      </c>
      <c r="H10093">
        <v>1</v>
      </c>
      <c r="I10093">
        <v>378</v>
      </c>
      <c r="J10093">
        <v>0</v>
      </c>
      <c r="K10093" t="str">
        <f t="shared" si="1800"/>
        <v>809</v>
      </c>
      <c r="L10093">
        <v>555.66</v>
      </c>
    </row>
    <row r="10094" spans="1:12" x14ac:dyDescent="0.25">
      <c r="A10094" t="str">
        <f t="shared" si="1792"/>
        <v>89301000</v>
      </c>
      <c r="B10094" t="str">
        <f t="shared" si="1795"/>
        <v>95202000</v>
      </c>
      <c r="C10094" t="str">
        <f t="shared" si="1799"/>
        <v>95202511</v>
      </c>
      <c r="D10094">
        <v>89301212</v>
      </c>
      <c r="E10094" t="str">
        <f>"7262225806"</f>
        <v>7262225806</v>
      </c>
      <c r="F10094" s="1">
        <v>45146</v>
      </c>
      <c r="G10094" t="str">
        <f>"89514"</f>
        <v>89514</v>
      </c>
      <c r="H10094">
        <v>1</v>
      </c>
      <c r="I10094">
        <v>378</v>
      </c>
      <c r="J10094">
        <v>0</v>
      </c>
      <c r="K10094" t="str">
        <f t="shared" si="1800"/>
        <v>809</v>
      </c>
      <c r="L10094">
        <v>555.66</v>
      </c>
    </row>
    <row r="10095" spans="1:12" x14ac:dyDescent="0.25">
      <c r="A10095" t="str">
        <f t="shared" si="1792"/>
        <v>89301000</v>
      </c>
      <c r="B10095" t="str">
        <f t="shared" si="1795"/>
        <v>95202000</v>
      </c>
      <c r="C10095" t="str">
        <f t="shared" si="1799"/>
        <v>95202511</v>
      </c>
      <c r="D10095">
        <v>89301212</v>
      </c>
      <c r="E10095" t="str">
        <f>"5756131513"</f>
        <v>5756131513</v>
      </c>
      <c r="F10095" s="1">
        <v>45167</v>
      </c>
      <c r="G10095" t="str">
        <f>"89513"</f>
        <v>89513</v>
      </c>
      <c r="H10095">
        <v>1</v>
      </c>
      <c r="I10095">
        <v>378</v>
      </c>
      <c r="J10095">
        <v>0</v>
      </c>
      <c r="K10095" t="str">
        <f t="shared" si="1800"/>
        <v>809</v>
      </c>
      <c r="L10095">
        <v>555.66</v>
      </c>
    </row>
    <row r="10096" spans="1:12" x14ac:dyDescent="0.25">
      <c r="A10096" t="str">
        <f t="shared" si="1792"/>
        <v>89301000</v>
      </c>
      <c r="B10096" t="str">
        <f t="shared" si="1795"/>
        <v>95202000</v>
      </c>
      <c r="C10096" t="str">
        <f t="shared" si="1799"/>
        <v>95202511</v>
      </c>
      <c r="D10096">
        <v>89301212</v>
      </c>
      <c r="E10096" t="str">
        <f>"5756131513"</f>
        <v>5756131513</v>
      </c>
      <c r="F10096" s="1">
        <v>45167</v>
      </c>
      <c r="G10096" t="str">
        <f>"89514"</f>
        <v>89514</v>
      </c>
      <c r="H10096">
        <v>1</v>
      </c>
      <c r="I10096">
        <v>378</v>
      </c>
      <c r="J10096">
        <v>0</v>
      </c>
      <c r="K10096" t="str">
        <f t="shared" si="1800"/>
        <v>809</v>
      </c>
      <c r="L10096">
        <v>555.66</v>
      </c>
    </row>
    <row r="10097" spans="1:12" x14ac:dyDescent="0.25">
      <c r="A10097" t="str">
        <f t="shared" si="1792"/>
        <v>89301000</v>
      </c>
      <c r="B10097" t="str">
        <f t="shared" si="1795"/>
        <v>95202000</v>
      </c>
      <c r="C10097" t="str">
        <f t="shared" ref="C10097:C10128" si="1801">"95202096"</f>
        <v>95202096</v>
      </c>
      <c r="D10097">
        <v>89301167</v>
      </c>
      <c r="E10097" t="str">
        <f t="shared" ref="E10097:E10116" si="1802">"6109280386"</f>
        <v>6109280386</v>
      </c>
      <c r="F10097" s="1">
        <v>45152</v>
      </c>
      <c r="G10097" t="str">
        <f>"81329"</f>
        <v>81329</v>
      </c>
      <c r="H10097">
        <v>1</v>
      </c>
      <c r="I10097">
        <v>17</v>
      </c>
      <c r="J10097">
        <v>0</v>
      </c>
      <c r="K10097" t="str">
        <f t="shared" ref="K10097:K10128" si="1803">"801"</f>
        <v>801</v>
      </c>
      <c r="L10097">
        <v>14.28</v>
      </c>
    </row>
    <row r="10098" spans="1:12" x14ac:dyDescent="0.25">
      <c r="A10098" t="str">
        <f t="shared" si="1792"/>
        <v>89301000</v>
      </c>
      <c r="B10098" t="str">
        <f t="shared" si="1795"/>
        <v>95202000</v>
      </c>
      <c r="C10098" t="str">
        <f t="shared" si="1801"/>
        <v>95202096</v>
      </c>
      <c r="D10098">
        <v>89301167</v>
      </c>
      <c r="E10098" t="str">
        <f t="shared" si="1802"/>
        <v>6109280386</v>
      </c>
      <c r="F10098" s="1">
        <v>45152</v>
      </c>
      <c r="G10098" t="str">
        <f>"81337"</f>
        <v>81337</v>
      </c>
      <c r="H10098">
        <v>1</v>
      </c>
      <c r="I10098">
        <v>20</v>
      </c>
      <c r="J10098">
        <v>0</v>
      </c>
      <c r="K10098" t="str">
        <f t="shared" si="1803"/>
        <v>801</v>
      </c>
      <c r="L10098">
        <v>16.8</v>
      </c>
    </row>
    <row r="10099" spans="1:12" x14ac:dyDescent="0.25">
      <c r="A10099" t="str">
        <f t="shared" si="1792"/>
        <v>89301000</v>
      </c>
      <c r="B10099" t="str">
        <f t="shared" si="1795"/>
        <v>95202000</v>
      </c>
      <c r="C10099" t="str">
        <f t="shared" si="1801"/>
        <v>95202096</v>
      </c>
      <c r="D10099">
        <v>89301167</v>
      </c>
      <c r="E10099" t="str">
        <f t="shared" si="1802"/>
        <v>6109280386</v>
      </c>
      <c r="F10099" s="1">
        <v>45152</v>
      </c>
      <c r="G10099" t="str">
        <f>"81357"</f>
        <v>81357</v>
      </c>
      <c r="H10099">
        <v>1</v>
      </c>
      <c r="I10099">
        <v>20</v>
      </c>
      <c r="J10099">
        <v>0</v>
      </c>
      <c r="K10099" t="str">
        <f t="shared" si="1803"/>
        <v>801</v>
      </c>
      <c r="L10099">
        <v>16.8</v>
      </c>
    </row>
    <row r="10100" spans="1:12" x14ac:dyDescent="0.25">
      <c r="A10100" t="str">
        <f t="shared" si="1792"/>
        <v>89301000</v>
      </c>
      <c r="B10100" t="str">
        <f t="shared" si="1795"/>
        <v>95202000</v>
      </c>
      <c r="C10100" t="str">
        <f t="shared" si="1801"/>
        <v>95202096</v>
      </c>
      <c r="D10100">
        <v>89301167</v>
      </c>
      <c r="E10100" t="str">
        <f t="shared" si="1802"/>
        <v>6109280386</v>
      </c>
      <c r="F10100" s="1">
        <v>45152</v>
      </c>
      <c r="G10100" t="str">
        <f>"81361"</f>
        <v>81361</v>
      </c>
      <c r="H10100">
        <v>1</v>
      </c>
      <c r="I10100">
        <v>17</v>
      </c>
      <c r="J10100">
        <v>0</v>
      </c>
      <c r="K10100" t="str">
        <f t="shared" si="1803"/>
        <v>801</v>
      </c>
      <c r="L10100">
        <v>14.28</v>
      </c>
    </row>
    <row r="10101" spans="1:12" x14ac:dyDescent="0.25">
      <c r="A10101" t="str">
        <f t="shared" si="1792"/>
        <v>89301000</v>
      </c>
      <c r="B10101" t="str">
        <f t="shared" si="1795"/>
        <v>95202000</v>
      </c>
      <c r="C10101" t="str">
        <f t="shared" si="1801"/>
        <v>95202096</v>
      </c>
      <c r="D10101">
        <v>89301167</v>
      </c>
      <c r="E10101" t="str">
        <f t="shared" si="1802"/>
        <v>6109280386</v>
      </c>
      <c r="F10101" s="1">
        <v>45152</v>
      </c>
      <c r="G10101" t="str">
        <f>"81365"</f>
        <v>81365</v>
      </c>
      <c r="H10101">
        <v>1</v>
      </c>
      <c r="I10101">
        <v>16</v>
      </c>
      <c r="J10101">
        <v>0</v>
      </c>
      <c r="K10101" t="str">
        <f t="shared" si="1803"/>
        <v>801</v>
      </c>
      <c r="L10101">
        <v>13.44</v>
      </c>
    </row>
    <row r="10102" spans="1:12" x14ac:dyDescent="0.25">
      <c r="A10102" t="str">
        <f t="shared" si="1792"/>
        <v>89301000</v>
      </c>
      <c r="B10102" t="str">
        <f t="shared" si="1795"/>
        <v>95202000</v>
      </c>
      <c r="C10102" t="str">
        <f t="shared" si="1801"/>
        <v>95202096</v>
      </c>
      <c r="D10102">
        <v>89301167</v>
      </c>
      <c r="E10102" t="str">
        <f t="shared" si="1802"/>
        <v>6109280386</v>
      </c>
      <c r="F10102" s="1">
        <v>45152</v>
      </c>
      <c r="G10102" t="str">
        <f>"81383"</f>
        <v>81383</v>
      </c>
      <c r="H10102">
        <v>1</v>
      </c>
      <c r="I10102">
        <v>24</v>
      </c>
      <c r="J10102">
        <v>0</v>
      </c>
      <c r="K10102" t="str">
        <f t="shared" si="1803"/>
        <v>801</v>
      </c>
      <c r="L10102">
        <v>20.16</v>
      </c>
    </row>
    <row r="10103" spans="1:12" x14ac:dyDescent="0.25">
      <c r="A10103" t="str">
        <f t="shared" si="1792"/>
        <v>89301000</v>
      </c>
      <c r="B10103" t="str">
        <f t="shared" si="1795"/>
        <v>95202000</v>
      </c>
      <c r="C10103" t="str">
        <f t="shared" si="1801"/>
        <v>95202096</v>
      </c>
      <c r="D10103">
        <v>89301167</v>
      </c>
      <c r="E10103" t="str">
        <f t="shared" si="1802"/>
        <v>6109280386</v>
      </c>
      <c r="F10103" s="1">
        <v>45152</v>
      </c>
      <c r="G10103" t="str">
        <f>"81393"</f>
        <v>81393</v>
      </c>
      <c r="H10103">
        <v>1</v>
      </c>
      <c r="I10103">
        <v>24</v>
      </c>
      <c r="J10103">
        <v>0</v>
      </c>
      <c r="K10103" t="str">
        <f t="shared" si="1803"/>
        <v>801</v>
      </c>
      <c r="L10103">
        <v>20.16</v>
      </c>
    </row>
    <row r="10104" spans="1:12" x14ac:dyDescent="0.25">
      <c r="A10104" t="str">
        <f t="shared" si="1792"/>
        <v>89301000</v>
      </c>
      <c r="B10104" t="str">
        <f t="shared" si="1795"/>
        <v>95202000</v>
      </c>
      <c r="C10104" t="str">
        <f t="shared" si="1801"/>
        <v>95202096</v>
      </c>
      <c r="D10104">
        <v>89301167</v>
      </c>
      <c r="E10104" t="str">
        <f t="shared" si="1802"/>
        <v>6109280386</v>
      </c>
      <c r="F10104" s="1">
        <v>45152</v>
      </c>
      <c r="G10104" t="str">
        <f>"81421"</f>
        <v>81421</v>
      </c>
      <c r="H10104">
        <v>1</v>
      </c>
      <c r="I10104">
        <v>19</v>
      </c>
      <c r="J10104">
        <v>0</v>
      </c>
      <c r="K10104" t="str">
        <f t="shared" si="1803"/>
        <v>801</v>
      </c>
      <c r="L10104">
        <v>15.96</v>
      </c>
    </row>
    <row r="10105" spans="1:12" x14ac:dyDescent="0.25">
      <c r="A10105" t="str">
        <f t="shared" si="1792"/>
        <v>89301000</v>
      </c>
      <c r="B10105" t="str">
        <f t="shared" si="1795"/>
        <v>95202000</v>
      </c>
      <c r="C10105" t="str">
        <f t="shared" si="1801"/>
        <v>95202096</v>
      </c>
      <c r="D10105">
        <v>89301167</v>
      </c>
      <c r="E10105" t="str">
        <f t="shared" si="1802"/>
        <v>6109280386</v>
      </c>
      <c r="F10105" s="1">
        <v>45152</v>
      </c>
      <c r="G10105" t="str">
        <f>"81435"</f>
        <v>81435</v>
      </c>
      <c r="H10105">
        <v>1</v>
      </c>
      <c r="I10105">
        <v>22</v>
      </c>
      <c r="J10105">
        <v>0</v>
      </c>
      <c r="K10105" t="str">
        <f t="shared" si="1803"/>
        <v>801</v>
      </c>
      <c r="L10105">
        <v>18.48</v>
      </c>
    </row>
    <row r="10106" spans="1:12" x14ac:dyDescent="0.25">
      <c r="A10106" t="str">
        <f t="shared" si="1792"/>
        <v>89301000</v>
      </c>
      <c r="B10106" t="str">
        <f t="shared" si="1795"/>
        <v>95202000</v>
      </c>
      <c r="C10106" t="str">
        <f t="shared" si="1801"/>
        <v>95202096</v>
      </c>
      <c r="D10106">
        <v>89301167</v>
      </c>
      <c r="E10106" t="str">
        <f t="shared" si="1802"/>
        <v>6109280386</v>
      </c>
      <c r="F10106" s="1">
        <v>45152</v>
      </c>
      <c r="G10106" t="str">
        <f>"81439"</f>
        <v>81439</v>
      </c>
      <c r="H10106">
        <v>1</v>
      </c>
      <c r="I10106">
        <v>16</v>
      </c>
      <c r="J10106">
        <v>0</v>
      </c>
      <c r="K10106" t="str">
        <f t="shared" si="1803"/>
        <v>801</v>
      </c>
      <c r="L10106">
        <v>13.44</v>
      </c>
    </row>
    <row r="10107" spans="1:12" x14ac:dyDescent="0.25">
      <c r="A10107" t="str">
        <f t="shared" si="1792"/>
        <v>89301000</v>
      </c>
      <c r="B10107" t="str">
        <f t="shared" si="1795"/>
        <v>95202000</v>
      </c>
      <c r="C10107" t="str">
        <f t="shared" si="1801"/>
        <v>95202096</v>
      </c>
      <c r="D10107">
        <v>89301167</v>
      </c>
      <c r="E10107" t="str">
        <f t="shared" si="1802"/>
        <v>6109280386</v>
      </c>
      <c r="F10107" s="1">
        <v>45152</v>
      </c>
      <c r="G10107" t="str">
        <f>"81469"</f>
        <v>81469</v>
      </c>
      <c r="H10107">
        <v>1</v>
      </c>
      <c r="I10107">
        <v>16</v>
      </c>
      <c r="J10107">
        <v>0</v>
      </c>
      <c r="K10107" t="str">
        <f t="shared" si="1803"/>
        <v>801</v>
      </c>
      <c r="L10107">
        <v>13.44</v>
      </c>
    </row>
    <row r="10108" spans="1:12" x14ac:dyDescent="0.25">
      <c r="A10108" t="str">
        <f t="shared" si="1792"/>
        <v>89301000</v>
      </c>
      <c r="B10108" t="str">
        <f t="shared" si="1795"/>
        <v>95202000</v>
      </c>
      <c r="C10108" t="str">
        <f t="shared" si="1801"/>
        <v>95202096</v>
      </c>
      <c r="D10108">
        <v>89301167</v>
      </c>
      <c r="E10108" t="str">
        <f t="shared" si="1802"/>
        <v>6109280386</v>
      </c>
      <c r="F10108" s="1">
        <v>45152</v>
      </c>
      <c r="G10108" t="str">
        <f>"81495"</f>
        <v>81495</v>
      </c>
      <c r="H10108">
        <v>1</v>
      </c>
      <c r="I10108">
        <v>32</v>
      </c>
      <c r="J10108">
        <v>0</v>
      </c>
      <c r="K10108" t="str">
        <f t="shared" si="1803"/>
        <v>801</v>
      </c>
      <c r="L10108">
        <v>26.88</v>
      </c>
    </row>
    <row r="10109" spans="1:12" x14ac:dyDescent="0.25">
      <c r="A10109" t="str">
        <f t="shared" si="1792"/>
        <v>89301000</v>
      </c>
      <c r="B10109" t="str">
        <f t="shared" si="1795"/>
        <v>95202000</v>
      </c>
      <c r="C10109" t="str">
        <f t="shared" si="1801"/>
        <v>95202096</v>
      </c>
      <c r="D10109">
        <v>89301167</v>
      </c>
      <c r="E10109" t="str">
        <f t="shared" si="1802"/>
        <v>6109280386</v>
      </c>
      <c r="F10109" s="1">
        <v>45152</v>
      </c>
      <c r="G10109" t="str">
        <f>"81499"</f>
        <v>81499</v>
      </c>
      <c r="H10109">
        <v>1</v>
      </c>
      <c r="I10109">
        <v>18</v>
      </c>
      <c r="J10109">
        <v>0</v>
      </c>
      <c r="K10109" t="str">
        <f t="shared" si="1803"/>
        <v>801</v>
      </c>
      <c r="L10109">
        <v>15.12</v>
      </c>
    </row>
    <row r="10110" spans="1:12" x14ac:dyDescent="0.25">
      <c r="A10110" t="str">
        <f t="shared" si="1792"/>
        <v>89301000</v>
      </c>
      <c r="B10110" t="str">
        <f t="shared" ref="B10110:B10141" si="1804">"95202000"</f>
        <v>95202000</v>
      </c>
      <c r="C10110" t="str">
        <f t="shared" si="1801"/>
        <v>95202096</v>
      </c>
      <c r="D10110">
        <v>89301167</v>
      </c>
      <c r="E10110" t="str">
        <f t="shared" si="1802"/>
        <v>6109280386</v>
      </c>
      <c r="F10110" s="1">
        <v>45152</v>
      </c>
      <c r="G10110" t="str">
        <f>"81593"</f>
        <v>81593</v>
      </c>
      <c r="H10110">
        <v>1</v>
      </c>
      <c r="I10110">
        <v>22</v>
      </c>
      <c r="J10110">
        <v>0</v>
      </c>
      <c r="K10110" t="str">
        <f t="shared" si="1803"/>
        <v>801</v>
      </c>
      <c r="L10110">
        <v>18.48</v>
      </c>
    </row>
    <row r="10111" spans="1:12" x14ac:dyDescent="0.25">
      <c r="A10111" t="str">
        <f t="shared" si="1792"/>
        <v>89301000</v>
      </c>
      <c r="B10111" t="str">
        <f t="shared" si="1804"/>
        <v>95202000</v>
      </c>
      <c r="C10111" t="str">
        <f t="shared" si="1801"/>
        <v>95202096</v>
      </c>
      <c r="D10111">
        <v>89301167</v>
      </c>
      <c r="E10111" t="str">
        <f t="shared" si="1802"/>
        <v>6109280386</v>
      </c>
      <c r="F10111" s="1">
        <v>45152</v>
      </c>
      <c r="G10111" t="str">
        <f>"81621"</f>
        <v>81621</v>
      </c>
      <c r="H10111">
        <v>1</v>
      </c>
      <c r="I10111">
        <v>19</v>
      </c>
      <c r="J10111">
        <v>0</v>
      </c>
      <c r="K10111" t="str">
        <f t="shared" si="1803"/>
        <v>801</v>
      </c>
      <c r="L10111">
        <v>15.96</v>
      </c>
    </row>
    <row r="10112" spans="1:12" x14ac:dyDescent="0.25">
      <c r="A10112" t="str">
        <f t="shared" si="1792"/>
        <v>89301000</v>
      </c>
      <c r="B10112" t="str">
        <f t="shared" si="1804"/>
        <v>95202000</v>
      </c>
      <c r="C10112" t="str">
        <f t="shared" si="1801"/>
        <v>95202096</v>
      </c>
      <c r="D10112">
        <v>89301167</v>
      </c>
      <c r="E10112" t="str">
        <f t="shared" si="1802"/>
        <v>6109280386</v>
      </c>
      <c r="F10112" s="1">
        <v>45152</v>
      </c>
      <c r="G10112" t="str">
        <f>"91153"</f>
        <v>91153</v>
      </c>
      <c r="H10112">
        <v>1</v>
      </c>
      <c r="I10112">
        <v>153</v>
      </c>
      <c r="J10112">
        <v>0</v>
      </c>
      <c r="K10112" t="str">
        <f t="shared" si="1803"/>
        <v>801</v>
      </c>
      <c r="L10112">
        <v>128.52000000000001</v>
      </c>
    </row>
    <row r="10113" spans="1:12" x14ac:dyDescent="0.25">
      <c r="A10113" t="str">
        <f t="shared" si="1792"/>
        <v>89301000</v>
      </c>
      <c r="B10113" t="str">
        <f t="shared" si="1804"/>
        <v>95202000</v>
      </c>
      <c r="C10113" t="str">
        <f t="shared" si="1801"/>
        <v>95202096</v>
      </c>
      <c r="D10113">
        <v>89301167</v>
      </c>
      <c r="E10113" t="str">
        <f t="shared" si="1802"/>
        <v>6109280386</v>
      </c>
      <c r="F10113" s="1">
        <v>45152</v>
      </c>
      <c r="G10113" t="str">
        <f>"93189"</f>
        <v>93189</v>
      </c>
      <c r="H10113">
        <v>1</v>
      </c>
      <c r="I10113">
        <v>191</v>
      </c>
      <c r="J10113">
        <v>0</v>
      </c>
      <c r="K10113" t="str">
        <f t="shared" si="1803"/>
        <v>801</v>
      </c>
      <c r="L10113">
        <v>160.44</v>
      </c>
    </row>
    <row r="10114" spans="1:12" x14ac:dyDescent="0.25">
      <c r="A10114" t="str">
        <f t="shared" ref="A10114:A10177" si="1805">"89301000"</f>
        <v>89301000</v>
      </c>
      <c r="B10114" t="str">
        <f t="shared" si="1804"/>
        <v>95202000</v>
      </c>
      <c r="C10114" t="str">
        <f t="shared" si="1801"/>
        <v>95202096</v>
      </c>
      <c r="D10114">
        <v>89301167</v>
      </c>
      <c r="E10114" t="str">
        <f t="shared" si="1802"/>
        <v>6109280386</v>
      </c>
      <c r="F10114" s="1">
        <v>45152</v>
      </c>
      <c r="G10114" t="str">
        <f>"93195"</f>
        <v>93195</v>
      </c>
      <c r="H10114">
        <v>1</v>
      </c>
      <c r="I10114">
        <v>183</v>
      </c>
      <c r="J10114">
        <v>0</v>
      </c>
      <c r="K10114" t="str">
        <f t="shared" si="1803"/>
        <v>801</v>
      </c>
      <c r="L10114">
        <v>153.72</v>
      </c>
    </row>
    <row r="10115" spans="1:12" x14ac:dyDescent="0.25">
      <c r="A10115" t="str">
        <f t="shared" si="1805"/>
        <v>89301000</v>
      </c>
      <c r="B10115" t="str">
        <f t="shared" si="1804"/>
        <v>95202000</v>
      </c>
      <c r="C10115" t="str">
        <f t="shared" si="1801"/>
        <v>95202096</v>
      </c>
      <c r="D10115">
        <v>89301167</v>
      </c>
      <c r="E10115" t="str">
        <f t="shared" si="1802"/>
        <v>6109280386</v>
      </c>
      <c r="F10115" s="1">
        <v>45152</v>
      </c>
      <c r="G10115" t="str">
        <f>"93245"</f>
        <v>93245</v>
      </c>
      <c r="H10115">
        <v>1</v>
      </c>
      <c r="I10115">
        <v>191</v>
      </c>
      <c r="J10115">
        <v>0</v>
      </c>
      <c r="K10115" t="str">
        <f t="shared" si="1803"/>
        <v>801</v>
      </c>
      <c r="L10115">
        <v>160.44</v>
      </c>
    </row>
    <row r="10116" spans="1:12" x14ac:dyDescent="0.25">
      <c r="A10116" t="str">
        <f t="shared" si="1805"/>
        <v>89301000</v>
      </c>
      <c r="B10116" t="str">
        <f t="shared" si="1804"/>
        <v>95202000</v>
      </c>
      <c r="C10116" t="str">
        <f t="shared" si="1801"/>
        <v>95202096</v>
      </c>
      <c r="D10116">
        <v>89301167</v>
      </c>
      <c r="E10116" t="str">
        <f t="shared" si="1802"/>
        <v>6109280386</v>
      </c>
      <c r="F10116" s="1">
        <v>45152</v>
      </c>
      <c r="G10116" t="str">
        <f>"97111"</f>
        <v>97111</v>
      </c>
      <c r="H10116">
        <v>1</v>
      </c>
      <c r="I10116">
        <v>19</v>
      </c>
      <c r="J10116">
        <v>0</v>
      </c>
      <c r="K10116" t="str">
        <f t="shared" si="1803"/>
        <v>801</v>
      </c>
      <c r="L10116">
        <v>23.94</v>
      </c>
    </row>
    <row r="10117" spans="1:12" x14ac:dyDescent="0.25">
      <c r="A10117" t="str">
        <f t="shared" si="1805"/>
        <v>89301000</v>
      </c>
      <c r="B10117" t="str">
        <f t="shared" si="1804"/>
        <v>95202000</v>
      </c>
      <c r="C10117" t="str">
        <f t="shared" si="1801"/>
        <v>95202096</v>
      </c>
      <c r="D10117">
        <v>89301167</v>
      </c>
      <c r="E10117" t="str">
        <f t="shared" ref="E10117:E10131" si="1806">"5709166199"</f>
        <v>5709166199</v>
      </c>
      <c r="F10117" s="1">
        <v>45139</v>
      </c>
      <c r="G10117" t="str">
        <f>"81337"</f>
        <v>81337</v>
      </c>
      <c r="H10117">
        <v>1</v>
      </c>
      <c r="I10117">
        <v>20</v>
      </c>
      <c r="J10117">
        <v>0</v>
      </c>
      <c r="K10117" t="str">
        <f t="shared" si="1803"/>
        <v>801</v>
      </c>
      <c r="L10117">
        <v>16.8</v>
      </c>
    </row>
    <row r="10118" spans="1:12" x14ac:dyDescent="0.25">
      <c r="A10118" t="str">
        <f t="shared" si="1805"/>
        <v>89301000</v>
      </c>
      <c r="B10118" t="str">
        <f t="shared" si="1804"/>
        <v>95202000</v>
      </c>
      <c r="C10118" t="str">
        <f t="shared" si="1801"/>
        <v>95202096</v>
      </c>
      <c r="D10118">
        <v>89301167</v>
      </c>
      <c r="E10118" t="str">
        <f t="shared" si="1806"/>
        <v>5709166199</v>
      </c>
      <c r="F10118" s="1">
        <v>45139</v>
      </c>
      <c r="G10118" t="str">
        <f>"81357"</f>
        <v>81357</v>
      </c>
      <c r="H10118">
        <v>1</v>
      </c>
      <c r="I10118">
        <v>20</v>
      </c>
      <c r="J10118">
        <v>0</v>
      </c>
      <c r="K10118" t="str">
        <f t="shared" si="1803"/>
        <v>801</v>
      </c>
      <c r="L10118">
        <v>16.8</v>
      </c>
    </row>
    <row r="10119" spans="1:12" x14ac:dyDescent="0.25">
      <c r="A10119" t="str">
        <f t="shared" si="1805"/>
        <v>89301000</v>
      </c>
      <c r="B10119" t="str">
        <f t="shared" si="1804"/>
        <v>95202000</v>
      </c>
      <c r="C10119" t="str">
        <f t="shared" si="1801"/>
        <v>95202096</v>
      </c>
      <c r="D10119">
        <v>89301167</v>
      </c>
      <c r="E10119" t="str">
        <f t="shared" si="1806"/>
        <v>5709166199</v>
      </c>
      <c r="F10119" s="1">
        <v>45139</v>
      </c>
      <c r="G10119" t="str">
        <f>"81383"</f>
        <v>81383</v>
      </c>
      <c r="H10119">
        <v>1</v>
      </c>
      <c r="I10119">
        <v>24</v>
      </c>
      <c r="J10119">
        <v>0</v>
      </c>
      <c r="K10119" t="str">
        <f t="shared" si="1803"/>
        <v>801</v>
      </c>
      <c r="L10119">
        <v>20.16</v>
      </c>
    </row>
    <row r="10120" spans="1:12" x14ac:dyDescent="0.25">
      <c r="A10120" t="str">
        <f t="shared" si="1805"/>
        <v>89301000</v>
      </c>
      <c r="B10120" t="str">
        <f t="shared" si="1804"/>
        <v>95202000</v>
      </c>
      <c r="C10120" t="str">
        <f t="shared" si="1801"/>
        <v>95202096</v>
      </c>
      <c r="D10120">
        <v>89301167</v>
      </c>
      <c r="E10120" t="str">
        <f t="shared" si="1806"/>
        <v>5709166199</v>
      </c>
      <c r="F10120" s="1">
        <v>45139</v>
      </c>
      <c r="G10120" t="str">
        <f>"81393"</f>
        <v>81393</v>
      </c>
      <c r="H10120">
        <v>1</v>
      </c>
      <c r="I10120">
        <v>24</v>
      </c>
      <c r="J10120">
        <v>0</v>
      </c>
      <c r="K10120" t="str">
        <f t="shared" si="1803"/>
        <v>801</v>
      </c>
      <c r="L10120">
        <v>20.16</v>
      </c>
    </row>
    <row r="10121" spans="1:12" x14ac:dyDescent="0.25">
      <c r="A10121" t="str">
        <f t="shared" si="1805"/>
        <v>89301000</v>
      </c>
      <c r="B10121" t="str">
        <f t="shared" si="1804"/>
        <v>95202000</v>
      </c>
      <c r="C10121" t="str">
        <f t="shared" si="1801"/>
        <v>95202096</v>
      </c>
      <c r="D10121">
        <v>89301167</v>
      </c>
      <c r="E10121" t="str">
        <f t="shared" si="1806"/>
        <v>5709166199</v>
      </c>
      <c r="F10121" s="1">
        <v>45139</v>
      </c>
      <c r="G10121" t="str">
        <f>"81421"</f>
        <v>81421</v>
      </c>
      <c r="H10121">
        <v>1</v>
      </c>
      <c r="I10121">
        <v>19</v>
      </c>
      <c r="J10121">
        <v>0</v>
      </c>
      <c r="K10121" t="str">
        <f t="shared" si="1803"/>
        <v>801</v>
      </c>
      <c r="L10121">
        <v>15.96</v>
      </c>
    </row>
    <row r="10122" spans="1:12" x14ac:dyDescent="0.25">
      <c r="A10122" t="str">
        <f t="shared" si="1805"/>
        <v>89301000</v>
      </c>
      <c r="B10122" t="str">
        <f t="shared" si="1804"/>
        <v>95202000</v>
      </c>
      <c r="C10122" t="str">
        <f t="shared" si="1801"/>
        <v>95202096</v>
      </c>
      <c r="D10122">
        <v>89301167</v>
      </c>
      <c r="E10122" t="str">
        <f t="shared" si="1806"/>
        <v>5709166199</v>
      </c>
      <c r="F10122" s="1">
        <v>45139</v>
      </c>
      <c r="G10122" t="str">
        <f>"81435"</f>
        <v>81435</v>
      </c>
      <c r="H10122">
        <v>1</v>
      </c>
      <c r="I10122">
        <v>22</v>
      </c>
      <c r="J10122">
        <v>0</v>
      </c>
      <c r="K10122" t="str">
        <f t="shared" si="1803"/>
        <v>801</v>
      </c>
      <c r="L10122">
        <v>18.48</v>
      </c>
    </row>
    <row r="10123" spans="1:12" x14ac:dyDescent="0.25">
      <c r="A10123" t="str">
        <f t="shared" si="1805"/>
        <v>89301000</v>
      </c>
      <c r="B10123" t="str">
        <f t="shared" si="1804"/>
        <v>95202000</v>
      </c>
      <c r="C10123" t="str">
        <f t="shared" si="1801"/>
        <v>95202096</v>
      </c>
      <c r="D10123">
        <v>89301167</v>
      </c>
      <c r="E10123" t="str">
        <f t="shared" si="1806"/>
        <v>5709166199</v>
      </c>
      <c r="F10123" s="1">
        <v>45139</v>
      </c>
      <c r="G10123" t="str">
        <f>"81439"</f>
        <v>81439</v>
      </c>
      <c r="H10123">
        <v>1</v>
      </c>
      <c r="I10123">
        <v>16</v>
      </c>
      <c r="J10123">
        <v>0</v>
      </c>
      <c r="K10123" t="str">
        <f t="shared" si="1803"/>
        <v>801</v>
      </c>
      <c r="L10123">
        <v>13.44</v>
      </c>
    </row>
    <row r="10124" spans="1:12" x14ac:dyDescent="0.25">
      <c r="A10124" t="str">
        <f t="shared" si="1805"/>
        <v>89301000</v>
      </c>
      <c r="B10124" t="str">
        <f t="shared" si="1804"/>
        <v>95202000</v>
      </c>
      <c r="C10124" t="str">
        <f t="shared" si="1801"/>
        <v>95202096</v>
      </c>
      <c r="D10124">
        <v>89301167</v>
      </c>
      <c r="E10124" t="str">
        <f t="shared" si="1806"/>
        <v>5709166199</v>
      </c>
      <c r="F10124" s="1">
        <v>45139</v>
      </c>
      <c r="G10124" t="str">
        <f>"81499"</f>
        <v>81499</v>
      </c>
      <c r="H10124">
        <v>1</v>
      </c>
      <c r="I10124">
        <v>18</v>
      </c>
      <c r="J10124">
        <v>0</v>
      </c>
      <c r="K10124" t="str">
        <f t="shared" si="1803"/>
        <v>801</v>
      </c>
      <c r="L10124">
        <v>15.12</v>
      </c>
    </row>
    <row r="10125" spans="1:12" x14ac:dyDescent="0.25">
      <c r="A10125" t="str">
        <f t="shared" si="1805"/>
        <v>89301000</v>
      </c>
      <c r="B10125" t="str">
        <f t="shared" si="1804"/>
        <v>95202000</v>
      </c>
      <c r="C10125" t="str">
        <f t="shared" si="1801"/>
        <v>95202096</v>
      </c>
      <c r="D10125">
        <v>89301167</v>
      </c>
      <c r="E10125" t="str">
        <f t="shared" si="1806"/>
        <v>5709166199</v>
      </c>
      <c r="F10125" s="1">
        <v>45139</v>
      </c>
      <c r="G10125" t="str">
        <f>"81593"</f>
        <v>81593</v>
      </c>
      <c r="H10125">
        <v>1</v>
      </c>
      <c r="I10125">
        <v>22</v>
      </c>
      <c r="J10125">
        <v>0</v>
      </c>
      <c r="K10125" t="str">
        <f t="shared" si="1803"/>
        <v>801</v>
      </c>
      <c r="L10125">
        <v>18.48</v>
      </c>
    </row>
    <row r="10126" spans="1:12" x14ac:dyDescent="0.25">
      <c r="A10126" t="str">
        <f t="shared" si="1805"/>
        <v>89301000</v>
      </c>
      <c r="B10126" t="str">
        <f t="shared" si="1804"/>
        <v>95202000</v>
      </c>
      <c r="C10126" t="str">
        <f t="shared" si="1801"/>
        <v>95202096</v>
      </c>
      <c r="D10126">
        <v>89301167</v>
      </c>
      <c r="E10126" t="str">
        <f t="shared" si="1806"/>
        <v>5709166199</v>
      </c>
      <c r="F10126" s="1">
        <v>45139</v>
      </c>
      <c r="G10126" t="str">
        <f>"81621"</f>
        <v>81621</v>
      </c>
      <c r="H10126">
        <v>1</v>
      </c>
      <c r="I10126">
        <v>19</v>
      </c>
      <c r="J10126">
        <v>0</v>
      </c>
      <c r="K10126" t="str">
        <f t="shared" si="1803"/>
        <v>801</v>
      </c>
      <c r="L10126">
        <v>15.96</v>
      </c>
    </row>
    <row r="10127" spans="1:12" x14ac:dyDescent="0.25">
      <c r="A10127" t="str">
        <f t="shared" si="1805"/>
        <v>89301000</v>
      </c>
      <c r="B10127" t="str">
        <f t="shared" si="1804"/>
        <v>95202000</v>
      </c>
      <c r="C10127" t="str">
        <f t="shared" si="1801"/>
        <v>95202096</v>
      </c>
      <c r="D10127">
        <v>89301167</v>
      </c>
      <c r="E10127" t="str">
        <f t="shared" si="1806"/>
        <v>5709166199</v>
      </c>
      <c r="F10127" s="1">
        <v>45139</v>
      </c>
      <c r="G10127" t="str">
        <f>"91153"</f>
        <v>91153</v>
      </c>
      <c r="H10127">
        <v>1</v>
      </c>
      <c r="I10127">
        <v>153</v>
      </c>
      <c r="J10127">
        <v>0</v>
      </c>
      <c r="K10127" t="str">
        <f t="shared" si="1803"/>
        <v>801</v>
      </c>
      <c r="L10127">
        <v>128.52000000000001</v>
      </c>
    </row>
    <row r="10128" spans="1:12" x14ac:dyDescent="0.25">
      <c r="A10128" t="str">
        <f t="shared" si="1805"/>
        <v>89301000</v>
      </c>
      <c r="B10128" t="str">
        <f t="shared" si="1804"/>
        <v>95202000</v>
      </c>
      <c r="C10128" t="str">
        <f t="shared" si="1801"/>
        <v>95202096</v>
      </c>
      <c r="D10128">
        <v>89301167</v>
      </c>
      <c r="E10128" t="str">
        <f t="shared" si="1806"/>
        <v>5709166199</v>
      </c>
      <c r="F10128" s="1">
        <v>45139</v>
      </c>
      <c r="G10128" t="str">
        <f>"93189"</f>
        <v>93189</v>
      </c>
      <c r="H10128">
        <v>1</v>
      </c>
      <c r="I10128">
        <v>191</v>
      </c>
      <c r="J10128">
        <v>0</v>
      </c>
      <c r="K10128" t="str">
        <f t="shared" si="1803"/>
        <v>801</v>
      </c>
      <c r="L10128">
        <v>160.44</v>
      </c>
    </row>
    <row r="10129" spans="1:12" x14ac:dyDescent="0.25">
      <c r="A10129" t="str">
        <f t="shared" si="1805"/>
        <v>89301000</v>
      </c>
      <c r="B10129" t="str">
        <f t="shared" si="1804"/>
        <v>95202000</v>
      </c>
      <c r="C10129" t="str">
        <f t="shared" ref="C10129:C10160" si="1807">"95202096"</f>
        <v>95202096</v>
      </c>
      <c r="D10129">
        <v>89301167</v>
      </c>
      <c r="E10129" t="str">
        <f t="shared" si="1806"/>
        <v>5709166199</v>
      </c>
      <c r="F10129" s="1">
        <v>45139</v>
      </c>
      <c r="G10129" t="str">
        <f>"93195"</f>
        <v>93195</v>
      </c>
      <c r="H10129">
        <v>1</v>
      </c>
      <c r="I10129">
        <v>183</v>
      </c>
      <c r="J10129">
        <v>0</v>
      </c>
      <c r="K10129" t="str">
        <f t="shared" ref="K10129:K10160" si="1808">"801"</f>
        <v>801</v>
      </c>
      <c r="L10129">
        <v>153.72</v>
      </c>
    </row>
    <row r="10130" spans="1:12" x14ac:dyDescent="0.25">
      <c r="A10130" t="str">
        <f t="shared" si="1805"/>
        <v>89301000</v>
      </c>
      <c r="B10130" t="str">
        <f t="shared" si="1804"/>
        <v>95202000</v>
      </c>
      <c r="C10130" t="str">
        <f t="shared" si="1807"/>
        <v>95202096</v>
      </c>
      <c r="D10130">
        <v>89301167</v>
      </c>
      <c r="E10130" t="str">
        <f t="shared" si="1806"/>
        <v>5709166199</v>
      </c>
      <c r="F10130" s="1">
        <v>45139</v>
      </c>
      <c r="G10130" t="str">
        <f>"93245"</f>
        <v>93245</v>
      </c>
      <c r="H10130">
        <v>1</v>
      </c>
      <c r="I10130">
        <v>191</v>
      </c>
      <c r="J10130">
        <v>0</v>
      </c>
      <c r="K10130" t="str">
        <f t="shared" si="1808"/>
        <v>801</v>
      </c>
      <c r="L10130">
        <v>160.44</v>
      </c>
    </row>
    <row r="10131" spans="1:12" x14ac:dyDescent="0.25">
      <c r="A10131" t="str">
        <f t="shared" si="1805"/>
        <v>89301000</v>
      </c>
      <c r="B10131" t="str">
        <f t="shared" si="1804"/>
        <v>95202000</v>
      </c>
      <c r="C10131" t="str">
        <f t="shared" si="1807"/>
        <v>95202096</v>
      </c>
      <c r="D10131">
        <v>89301167</v>
      </c>
      <c r="E10131" t="str">
        <f t="shared" si="1806"/>
        <v>5709166199</v>
      </c>
      <c r="F10131" s="1">
        <v>45139</v>
      </c>
      <c r="G10131" t="str">
        <f>"97111"</f>
        <v>97111</v>
      </c>
      <c r="H10131">
        <v>1</v>
      </c>
      <c r="I10131">
        <v>19</v>
      </c>
      <c r="J10131">
        <v>0</v>
      </c>
      <c r="K10131" t="str">
        <f t="shared" si="1808"/>
        <v>801</v>
      </c>
      <c r="L10131">
        <v>23.94</v>
      </c>
    </row>
    <row r="10132" spans="1:12" x14ac:dyDescent="0.25">
      <c r="A10132" t="str">
        <f t="shared" si="1805"/>
        <v>89301000</v>
      </c>
      <c r="B10132" t="str">
        <f t="shared" si="1804"/>
        <v>95202000</v>
      </c>
      <c r="C10132" t="str">
        <f t="shared" si="1807"/>
        <v>95202096</v>
      </c>
      <c r="D10132">
        <v>89301082</v>
      </c>
      <c r="E10132" t="str">
        <f>"8459215776"</f>
        <v>8459215776</v>
      </c>
      <c r="F10132" s="1">
        <v>45145</v>
      </c>
      <c r="G10132" t="str">
        <f>"93159"</f>
        <v>93159</v>
      </c>
      <c r="H10132">
        <v>1</v>
      </c>
      <c r="I10132">
        <v>197</v>
      </c>
      <c r="J10132">
        <v>0</v>
      </c>
      <c r="K10132" t="str">
        <f t="shared" si="1808"/>
        <v>801</v>
      </c>
      <c r="L10132">
        <v>165.48</v>
      </c>
    </row>
    <row r="10133" spans="1:12" x14ac:dyDescent="0.25">
      <c r="A10133" t="str">
        <f t="shared" si="1805"/>
        <v>89301000</v>
      </c>
      <c r="B10133" t="str">
        <f t="shared" si="1804"/>
        <v>95202000</v>
      </c>
      <c r="C10133" t="str">
        <f t="shared" si="1807"/>
        <v>95202096</v>
      </c>
      <c r="D10133">
        <v>89301082</v>
      </c>
      <c r="E10133" t="str">
        <f>"8459215776"</f>
        <v>8459215776</v>
      </c>
      <c r="F10133" s="1">
        <v>45145</v>
      </c>
      <c r="G10133" t="str">
        <f>"97111"</f>
        <v>97111</v>
      </c>
      <c r="H10133">
        <v>1</v>
      </c>
      <c r="I10133">
        <v>19</v>
      </c>
      <c r="J10133">
        <v>0</v>
      </c>
      <c r="K10133" t="str">
        <f t="shared" si="1808"/>
        <v>801</v>
      </c>
      <c r="L10133">
        <v>23.94</v>
      </c>
    </row>
    <row r="10134" spans="1:12" x14ac:dyDescent="0.25">
      <c r="A10134" t="str">
        <f t="shared" si="1805"/>
        <v>89301000</v>
      </c>
      <c r="B10134" t="str">
        <f t="shared" si="1804"/>
        <v>95202000</v>
      </c>
      <c r="C10134" t="str">
        <f t="shared" si="1807"/>
        <v>95202096</v>
      </c>
      <c r="D10134">
        <v>89301167</v>
      </c>
      <c r="E10134" t="str">
        <f t="shared" ref="E10134:E10153" si="1809">"521204004"</f>
        <v>521204004</v>
      </c>
      <c r="F10134" s="1">
        <v>45159</v>
      </c>
      <c r="G10134" t="str">
        <f>"81329"</f>
        <v>81329</v>
      </c>
      <c r="H10134">
        <v>1</v>
      </c>
      <c r="I10134">
        <v>17</v>
      </c>
      <c r="J10134">
        <v>0</v>
      </c>
      <c r="K10134" t="str">
        <f t="shared" si="1808"/>
        <v>801</v>
      </c>
      <c r="L10134">
        <v>14.28</v>
      </c>
    </row>
    <row r="10135" spans="1:12" x14ac:dyDescent="0.25">
      <c r="A10135" t="str">
        <f t="shared" si="1805"/>
        <v>89301000</v>
      </c>
      <c r="B10135" t="str">
        <f t="shared" si="1804"/>
        <v>95202000</v>
      </c>
      <c r="C10135" t="str">
        <f t="shared" si="1807"/>
        <v>95202096</v>
      </c>
      <c r="D10135">
        <v>89301167</v>
      </c>
      <c r="E10135" t="str">
        <f t="shared" si="1809"/>
        <v>521204004</v>
      </c>
      <c r="F10135" s="1">
        <v>45159</v>
      </c>
      <c r="G10135" t="str">
        <f>"81337"</f>
        <v>81337</v>
      </c>
      <c r="H10135">
        <v>1</v>
      </c>
      <c r="I10135">
        <v>20</v>
      </c>
      <c r="J10135">
        <v>0</v>
      </c>
      <c r="K10135" t="str">
        <f t="shared" si="1808"/>
        <v>801</v>
      </c>
      <c r="L10135">
        <v>16.8</v>
      </c>
    </row>
    <row r="10136" spans="1:12" x14ac:dyDescent="0.25">
      <c r="A10136" t="str">
        <f t="shared" si="1805"/>
        <v>89301000</v>
      </c>
      <c r="B10136" t="str">
        <f t="shared" si="1804"/>
        <v>95202000</v>
      </c>
      <c r="C10136" t="str">
        <f t="shared" si="1807"/>
        <v>95202096</v>
      </c>
      <c r="D10136">
        <v>89301167</v>
      </c>
      <c r="E10136" t="str">
        <f t="shared" si="1809"/>
        <v>521204004</v>
      </c>
      <c r="F10136" s="1">
        <v>45159</v>
      </c>
      <c r="G10136" t="str">
        <f>"81345"</f>
        <v>81345</v>
      </c>
      <c r="H10136">
        <v>1</v>
      </c>
      <c r="I10136">
        <v>38</v>
      </c>
      <c r="J10136">
        <v>0</v>
      </c>
      <c r="K10136" t="str">
        <f t="shared" si="1808"/>
        <v>801</v>
      </c>
      <c r="L10136">
        <v>31.92</v>
      </c>
    </row>
    <row r="10137" spans="1:12" x14ac:dyDescent="0.25">
      <c r="A10137" t="str">
        <f t="shared" si="1805"/>
        <v>89301000</v>
      </c>
      <c r="B10137" t="str">
        <f t="shared" si="1804"/>
        <v>95202000</v>
      </c>
      <c r="C10137" t="str">
        <f t="shared" si="1807"/>
        <v>95202096</v>
      </c>
      <c r="D10137">
        <v>89301167</v>
      </c>
      <c r="E10137" t="str">
        <f t="shared" si="1809"/>
        <v>521204004</v>
      </c>
      <c r="F10137" s="1">
        <v>45159</v>
      </c>
      <c r="G10137" t="str">
        <f>"81357"</f>
        <v>81357</v>
      </c>
      <c r="H10137">
        <v>1</v>
      </c>
      <c r="I10137">
        <v>20</v>
      </c>
      <c r="J10137">
        <v>0</v>
      </c>
      <c r="K10137" t="str">
        <f t="shared" si="1808"/>
        <v>801</v>
      </c>
      <c r="L10137">
        <v>16.8</v>
      </c>
    </row>
    <row r="10138" spans="1:12" x14ac:dyDescent="0.25">
      <c r="A10138" t="str">
        <f t="shared" si="1805"/>
        <v>89301000</v>
      </c>
      <c r="B10138" t="str">
        <f t="shared" si="1804"/>
        <v>95202000</v>
      </c>
      <c r="C10138" t="str">
        <f t="shared" si="1807"/>
        <v>95202096</v>
      </c>
      <c r="D10138">
        <v>89301167</v>
      </c>
      <c r="E10138" t="str">
        <f t="shared" si="1809"/>
        <v>521204004</v>
      </c>
      <c r="F10138" s="1">
        <v>45159</v>
      </c>
      <c r="G10138" t="str">
        <f>"81361"</f>
        <v>81361</v>
      </c>
      <c r="H10138">
        <v>1</v>
      </c>
      <c r="I10138">
        <v>17</v>
      </c>
      <c r="J10138">
        <v>0</v>
      </c>
      <c r="K10138" t="str">
        <f t="shared" si="1808"/>
        <v>801</v>
      </c>
      <c r="L10138">
        <v>14.28</v>
      </c>
    </row>
    <row r="10139" spans="1:12" x14ac:dyDescent="0.25">
      <c r="A10139" t="str">
        <f t="shared" si="1805"/>
        <v>89301000</v>
      </c>
      <c r="B10139" t="str">
        <f t="shared" si="1804"/>
        <v>95202000</v>
      </c>
      <c r="C10139" t="str">
        <f t="shared" si="1807"/>
        <v>95202096</v>
      </c>
      <c r="D10139">
        <v>89301167</v>
      </c>
      <c r="E10139" t="str">
        <f t="shared" si="1809"/>
        <v>521204004</v>
      </c>
      <c r="F10139" s="1">
        <v>45159</v>
      </c>
      <c r="G10139" t="str">
        <f>"81383"</f>
        <v>81383</v>
      </c>
      <c r="H10139">
        <v>1</v>
      </c>
      <c r="I10139">
        <v>24</v>
      </c>
      <c r="J10139">
        <v>0</v>
      </c>
      <c r="K10139" t="str">
        <f t="shared" si="1808"/>
        <v>801</v>
      </c>
      <c r="L10139">
        <v>20.16</v>
      </c>
    </row>
    <row r="10140" spans="1:12" x14ac:dyDescent="0.25">
      <c r="A10140" t="str">
        <f t="shared" si="1805"/>
        <v>89301000</v>
      </c>
      <c r="B10140" t="str">
        <f t="shared" si="1804"/>
        <v>95202000</v>
      </c>
      <c r="C10140" t="str">
        <f t="shared" si="1807"/>
        <v>95202096</v>
      </c>
      <c r="D10140">
        <v>89301167</v>
      </c>
      <c r="E10140" t="str">
        <f t="shared" si="1809"/>
        <v>521204004</v>
      </c>
      <c r="F10140" s="1">
        <v>45159</v>
      </c>
      <c r="G10140" t="str">
        <f>"81393"</f>
        <v>81393</v>
      </c>
      <c r="H10140">
        <v>1</v>
      </c>
      <c r="I10140">
        <v>24</v>
      </c>
      <c r="J10140">
        <v>0</v>
      </c>
      <c r="K10140" t="str">
        <f t="shared" si="1808"/>
        <v>801</v>
      </c>
      <c r="L10140">
        <v>20.16</v>
      </c>
    </row>
    <row r="10141" spans="1:12" x14ac:dyDescent="0.25">
      <c r="A10141" t="str">
        <f t="shared" si="1805"/>
        <v>89301000</v>
      </c>
      <c r="B10141" t="str">
        <f t="shared" si="1804"/>
        <v>95202000</v>
      </c>
      <c r="C10141" t="str">
        <f t="shared" si="1807"/>
        <v>95202096</v>
      </c>
      <c r="D10141">
        <v>89301167</v>
      </c>
      <c r="E10141" t="str">
        <f t="shared" si="1809"/>
        <v>521204004</v>
      </c>
      <c r="F10141" s="1">
        <v>45159</v>
      </c>
      <c r="G10141" t="str">
        <f>"81421"</f>
        <v>81421</v>
      </c>
      <c r="H10141">
        <v>1</v>
      </c>
      <c r="I10141">
        <v>19</v>
      </c>
      <c r="J10141">
        <v>0</v>
      </c>
      <c r="K10141" t="str">
        <f t="shared" si="1808"/>
        <v>801</v>
      </c>
      <c r="L10141">
        <v>15.96</v>
      </c>
    </row>
    <row r="10142" spans="1:12" x14ac:dyDescent="0.25">
      <c r="A10142" t="str">
        <f t="shared" si="1805"/>
        <v>89301000</v>
      </c>
      <c r="B10142" t="str">
        <f t="shared" ref="B10142:B10170" si="1810">"95202000"</f>
        <v>95202000</v>
      </c>
      <c r="C10142" t="str">
        <f t="shared" si="1807"/>
        <v>95202096</v>
      </c>
      <c r="D10142">
        <v>89301167</v>
      </c>
      <c r="E10142" t="str">
        <f t="shared" si="1809"/>
        <v>521204004</v>
      </c>
      <c r="F10142" s="1">
        <v>45159</v>
      </c>
      <c r="G10142" t="str">
        <f>"81435"</f>
        <v>81435</v>
      </c>
      <c r="H10142">
        <v>1</v>
      </c>
      <c r="I10142">
        <v>22</v>
      </c>
      <c r="J10142">
        <v>0</v>
      </c>
      <c r="K10142" t="str">
        <f t="shared" si="1808"/>
        <v>801</v>
      </c>
      <c r="L10142">
        <v>18.48</v>
      </c>
    </row>
    <row r="10143" spans="1:12" x14ac:dyDescent="0.25">
      <c r="A10143" t="str">
        <f t="shared" si="1805"/>
        <v>89301000</v>
      </c>
      <c r="B10143" t="str">
        <f t="shared" si="1810"/>
        <v>95202000</v>
      </c>
      <c r="C10143" t="str">
        <f t="shared" si="1807"/>
        <v>95202096</v>
      </c>
      <c r="D10143">
        <v>89301167</v>
      </c>
      <c r="E10143" t="str">
        <f t="shared" si="1809"/>
        <v>521204004</v>
      </c>
      <c r="F10143" s="1">
        <v>45159</v>
      </c>
      <c r="G10143" t="str">
        <f>"81439"</f>
        <v>81439</v>
      </c>
      <c r="H10143">
        <v>1</v>
      </c>
      <c r="I10143">
        <v>16</v>
      </c>
      <c r="J10143">
        <v>0</v>
      </c>
      <c r="K10143" t="str">
        <f t="shared" si="1808"/>
        <v>801</v>
      </c>
      <c r="L10143">
        <v>13.44</v>
      </c>
    </row>
    <row r="10144" spans="1:12" x14ac:dyDescent="0.25">
      <c r="A10144" t="str">
        <f t="shared" si="1805"/>
        <v>89301000</v>
      </c>
      <c r="B10144" t="str">
        <f t="shared" si="1810"/>
        <v>95202000</v>
      </c>
      <c r="C10144" t="str">
        <f t="shared" si="1807"/>
        <v>95202096</v>
      </c>
      <c r="D10144">
        <v>89301167</v>
      </c>
      <c r="E10144" t="str">
        <f t="shared" si="1809"/>
        <v>521204004</v>
      </c>
      <c r="F10144" s="1">
        <v>45159</v>
      </c>
      <c r="G10144" t="str">
        <f>"81469"</f>
        <v>81469</v>
      </c>
      <c r="H10144">
        <v>1</v>
      </c>
      <c r="I10144">
        <v>16</v>
      </c>
      <c r="J10144">
        <v>0</v>
      </c>
      <c r="K10144" t="str">
        <f t="shared" si="1808"/>
        <v>801</v>
      </c>
      <c r="L10144">
        <v>13.44</v>
      </c>
    </row>
    <row r="10145" spans="1:12" x14ac:dyDescent="0.25">
      <c r="A10145" t="str">
        <f t="shared" si="1805"/>
        <v>89301000</v>
      </c>
      <c r="B10145" t="str">
        <f t="shared" si="1810"/>
        <v>95202000</v>
      </c>
      <c r="C10145" t="str">
        <f t="shared" si="1807"/>
        <v>95202096</v>
      </c>
      <c r="D10145">
        <v>89301167</v>
      </c>
      <c r="E10145" t="str">
        <f t="shared" si="1809"/>
        <v>521204004</v>
      </c>
      <c r="F10145" s="1">
        <v>45159</v>
      </c>
      <c r="G10145" t="str">
        <f>"81499"</f>
        <v>81499</v>
      </c>
      <c r="H10145">
        <v>1</v>
      </c>
      <c r="I10145">
        <v>18</v>
      </c>
      <c r="J10145">
        <v>0</v>
      </c>
      <c r="K10145" t="str">
        <f t="shared" si="1808"/>
        <v>801</v>
      </c>
      <c r="L10145">
        <v>15.12</v>
      </c>
    </row>
    <row r="10146" spans="1:12" x14ac:dyDescent="0.25">
      <c r="A10146" t="str">
        <f t="shared" si="1805"/>
        <v>89301000</v>
      </c>
      <c r="B10146" t="str">
        <f t="shared" si="1810"/>
        <v>95202000</v>
      </c>
      <c r="C10146" t="str">
        <f t="shared" si="1807"/>
        <v>95202096</v>
      </c>
      <c r="D10146">
        <v>89301167</v>
      </c>
      <c r="E10146" t="str">
        <f t="shared" si="1809"/>
        <v>521204004</v>
      </c>
      <c r="F10146" s="1">
        <v>45159</v>
      </c>
      <c r="G10146" t="str">
        <f>"81593"</f>
        <v>81593</v>
      </c>
      <c r="H10146">
        <v>1</v>
      </c>
      <c r="I10146">
        <v>22</v>
      </c>
      <c r="J10146">
        <v>0</v>
      </c>
      <c r="K10146" t="str">
        <f t="shared" si="1808"/>
        <v>801</v>
      </c>
      <c r="L10146">
        <v>18.48</v>
      </c>
    </row>
    <row r="10147" spans="1:12" x14ac:dyDescent="0.25">
      <c r="A10147" t="str">
        <f t="shared" si="1805"/>
        <v>89301000</v>
      </c>
      <c r="B10147" t="str">
        <f t="shared" si="1810"/>
        <v>95202000</v>
      </c>
      <c r="C10147" t="str">
        <f t="shared" si="1807"/>
        <v>95202096</v>
      </c>
      <c r="D10147">
        <v>89301167</v>
      </c>
      <c r="E10147" t="str">
        <f t="shared" si="1809"/>
        <v>521204004</v>
      </c>
      <c r="F10147" s="1">
        <v>45159</v>
      </c>
      <c r="G10147" t="str">
        <f>"81621"</f>
        <v>81621</v>
      </c>
      <c r="H10147">
        <v>1</v>
      </c>
      <c r="I10147">
        <v>19</v>
      </c>
      <c r="J10147">
        <v>0</v>
      </c>
      <c r="K10147" t="str">
        <f t="shared" si="1808"/>
        <v>801</v>
      </c>
      <c r="L10147">
        <v>15.96</v>
      </c>
    </row>
    <row r="10148" spans="1:12" x14ac:dyDescent="0.25">
      <c r="A10148" t="str">
        <f t="shared" si="1805"/>
        <v>89301000</v>
      </c>
      <c r="B10148" t="str">
        <f t="shared" si="1810"/>
        <v>95202000</v>
      </c>
      <c r="C10148" t="str">
        <f t="shared" si="1807"/>
        <v>95202096</v>
      </c>
      <c r="D10148">
        <v>89301167</v>
      </c>
      <c r="E10148" t="str">
        <f t="shared" si="1809"/>
        <v>521204004</v>
      </c>
      <c r="F10148" s="1">
        <v>45159</v>
      </c>
      <c r="G10148" t="str">
        <f>"81625"</f>
        <v>81625</v>
      </c>
      <c r="H10148">
        <v>1</v>
      </c>
      <c r="I10148">
        <v>21</v>
      </c>
      <c r="J10148">
        <v>0</v>
      </c>
      <c r="K10148" t="str">
        <f t="shared" si="1808"/>
        <v>801</v>
      </c>
      <c r="L10148">
        <v>17.64</v>
      </c>
    </row>
    <row r="10149" spans="1:12" x14ac:dyDescent="0.25">
      <c r="A10149" t="str">
        <f t="shared" si="1805"/>
        <v>89301000</v>
      </c>
      <c r="B10149" t="str">
        <f t="shared" si="1810"/>
        <v>95202000</v>
      </c>
      <c r="C10149" t="str">
        <f t="shared" si="1807"/>
        <v>95202096</v>
      </c>
      <c r="D10149">
        <v>89301167</v>
      </c>
      <c r="E10149" t="str">
        <f t="shared" si="1809"/>
        <v>521204004</v>
      </c>
      <c r="F10149" s="1">
        <v>45159</v>
      </c>
      <c r="G10149" t="str">
        <f>"91153"</f>
        <v>91153</v>
      </c>
      <c r="H10149">
        <v>1</v>
      </c>
      <c r="I10149">
        <v>153</v>
      </c>
      <c r="J10149">
        <v>0</v>
      </c>
      <c r="K10149" t="str">
        <f t="shared" si="1808"/>
        <v>801</v>
      </c>
      <c r="L10149">
        <v>128.52000000000001</v>
      </c>
    </row>
    <row r="10150" spans="1:12" x14ac:dyDescent="0.25">
      <c r="A10150" t="str">
        <f t="shared" si="1805"/>
        <v>89301000</v>
      </c>
      <c r="B10150" t="str">
        <f t="shared" si="1810"/>
        <v>95202000</v>
      </c>
      <c r="C10150" t="str">
        <f t="shared" si="1807"/>
        <v>95202096</v>
      </c>
      <c r="D10150">
        <v>89301167</v>
      </c>
      <c r="E10150" t="str">
        <f t="shared" si="1809"/>
        <v>521204004</v>
      </c>
      <c r="F10150" s="1">
        <v>45159</v>
      </c>
      <c r="G10150" t="str">
        <f>"93189"</f>
        <v>93189</v>
      </c>
      <c r="H10150">
        <v>1</v>
      </c>
      <c r="I10150">
        <v>191</v>
      </c>
      <c r="J10150">
        <v>0</v>
      </c>
      <c r="K10150" t="str">
        <f t="shared" si="1808"/>
        <v>801</v>
      </c>
      <c r="L10150">
        <v>160.44</v>
      </c>
    </row>
    <row r="10151" spans="1:12" x14ac:dyDescent="0.25">
      <c r="A10151" t="str">
        <f t="shared" si="1805"/>
        <v>89301000</v>
      </c>
      <c r="B10151" t="str">
        <f t="shared" si="1810"/>
        <v>95202000</v>
      </c>
      <c r="C10151" t="str">
        <f t="shared" si="1807"/>
        <v>95202096</v>
      </c>
      <c r="D10151">
        <v>89301167</v>
      </c>
      <c r="E10151" t="str">
        <f t="shared" si="1809"/>
        <v>521204004</v>
      </c>
      <c r="F10151" s="1">
        <v>45159</v>
      </c>
      <c r="G10151" t="str">
        <f>"93195"</f>
        <v>93195</v>
      </c>
      <c r="H10151">
        <v>1</v>
      </c>
      <c r="I10151">
        <v>183</v>
      </c>
      <c r="J10151">
        <v>0</v>
      </c>
      <c r="K10151" t="str">
        <f t="shared" si="1808"/>
        <v>801</v>
      </c>
      <c r="L10151">
        <v>153.72</v>
      </c>
    </row>
    <row r="10152" spans="1:12" x14ac:dyDescent="0.25">
      <c r="A10152" t="str">
        <f t="shared" si="1805"/>
        <v>89301000</v>
      </c>
      <c r="B10152" t="str">
        <f t="shared" si="1810"/>
        <v>95202000</v>
      </c>
      <c r="C10152" t="str">
        <f t="shared" si="1807"/>
        <v>95202096</v>
      </c>
      <c r="D10152">
        <v>89301167</v>
      </c>
      <c r="E10152" t="str">
        <f t="shared" si="1809"/>
        <v>521204004</v>
      </c>
      <c r="F10152" s="1">
        <v>45159</v>
      </c>
      <c r="G10152" t="str">
        <f>"93221"</f>
        <v>93221</v>
      </c>
      <c r="H10152">
        <v>1</v>
      </c>
      <c r="I10152">
        <v>190</v>
      </c>
      <c r="J10152">
        <v>0</v>
      </c>
      <c r="K10152" t="str">
        <f t="shared" si="1808"/>
        <v>801</v>
      </c>
      <c r="L10152">
        <v>159.6</v>
      </c>
    </row>
    <row r="10153" spans="1:12" x14ac:dyDescent="0.25">
      <c r="A10153" t="str">
        <f t="shared" si="1805"/>
        <v>89301000</v>
      </c>
      <c r="B10153" t="str">
        <f t="shared" si="1810"/>
        <v>95202000</v>
      </c>
      <c r="C10153" t="str">
        <f t="shared" si="1807"/>
        <v>95202096</v>
      </c>
      <c r="D10153">
        <v>89301167</v>
      </c>
      <c r="E10153" t="str">
        <f t="shared" si="1809"/>
        <v>521204004</v>
      </c>
      <c r="F10153" s="1">
        <v>45159</v>
      </c>
      <c r="G10153" t="str">
        <f>"97111"</f>
        <v>97111</v>
      </c>
      <c r="H10153">
        <v>1</v>
      </c>
      <c r="I10153">
        <v>19</v>
      </c>
      <c r="J10153">
        <v>0</v>
      </c>
      <c r="K10153" t="str">
        <f t="shared" si="1808"/>
        <v>801</v>
      </c>
      <c r="L10153">
        <v>23.94</v>
      </c>
    </row>
    <row r="10154" spans="1:12" x14ac:dyDescent="0.25">
      <c r="A10154" t="str">
        <f t="shared" si="1805"/>
        <v>89301000</v>
      </c>
      <c r="B10154" t="str">
        <f t="shared" si="1810"/>
        <v>95202000</v>
      </c>
      <c r="C10154" t="str">
        <f t="shared" si="1807"/>
        <v>95202096</v>
      </c>
      <c r="D10154">
        <v>89301167</v>
      </c>
      <c r="E10154" t="str">
        <f t="shared" ref="E10154:E10170" si="1811">"5709166199"</f>
        <v>5709166199</v>
      </c>
      <c r="F10154" s="1">
        <v>45160</v>
      </c>
      <c r="G10154" t="str">
        <f>"81337"</f>
        <v>81337</v>
      </c>
      <c r="H10154">
        <v>1</v>
      </c>
      <c r="I10154">
        <v>20</v>
      </c>
      <c r="J10154">
        <v>0</v>
      </c>
      <c r="K10154" t="str">
        <f t="shared" si="1808"/>
        <v>801</v>
      </c>
      <c r="L10154">
        <v>16.8</v>
      </c>
    </row>
    <row r="10155" spans="1:12" x14ac:dyDescent="0.25">
      <c r="A10155" t="str">
        <f t="shared" si="1805"/>
        <v>89301000</v>
      </c>
      <c r="B10155" t="str">
        <f t="shared" si="1810"/>
        <v>95202000</v>
      </c>
      <c r="C10155" t="str">
        <f t="shared" si="1807"/>
        <v>95202096</v>
      </c>
      <c r="D10155">
        <v>89301167</v>
      </c>
      <c r="E10155" t="str">
        <f t="shared" si="1811"/>
        <v>5709166199</v>
      </c>
      <c r="F10155" s="1">
        <v>45160</v>
      </c>
      <c r="G10155" t="str">
        <f>"81357"</f>
        <v>81357</v>
      </c>
      <c r="H10155">
        <v>1</v>
      </c>
      <c r="I10155">
        <v>20</v>
      </c>
      <c r="J10155">
        <v>0</v>
      </c>
      <c r="K10155" t="str">
        <f t="shared" si="1808"/>
        <v>801</v>
      </c>
      <c r="L10155">
        <v>16.8</v>
      </c>
    </row>
    <row r="10156" spans="1:12" x14ac:dyDescent="0.25">
      <c r="A10156" t="str">
        <f t="shared" si="1805"/>
        <v>89301000</v>
      </c>
      <c r="B10156" t="str">
        <f t="shared" si="1810"/>
        <v>95202000</v>
      </c>
      <c r="C10156" t="str">
        <f t="shared" si="1807"/>
        <v>95202096</v>
      </c>
      <c r="D10156">
        <v>89301167</v>
      </c>
      <c r="E10156" t="str">
        <f t="shared" si="1811"/>
        <v>5709166199</v>
      </c>
      <c r="F10156" s="1">
        <v>45160</v>
      </c>
      <c r="G10156" t="str">
        <f>"81383"</f>
        <v>81383</v>
      </c>
      <c r="H10156">
        <v>1</v>
      </c>
      <c r="I10156">
        <v>24</v>
      </c>
      <c r="J10156">
        <v>0</v>
      </c>
      <c r="K10156" t="str">
        <f t="shared" si="1808"/>
        <v>801</v>
      </c>
      <c r="L10156">
        <v>20.16</v>
      </c>
    </row>
    <row r="10157" spans="1:12" x14ac:dyDescent="0.25">
      <c r="A10157" t="str">
        <f t="shared" si="1805"/>
        <v>89301000</v>
      </c>
      <c r="B10157" t="str">
        <f t="shared" si="1810"/>
        <v>95202000</v>
      </c>
      <c r="C10157" t="str">
        <f t="shared" si="1807"/>
        <v>95202096</v>
      </c>
      <c r="D10157">
        <v>89301167</v>
      </c>
      <c r="E10157" t="str">
        <f t="shared" si="1811"/>
        <v>5709166199</v>
      </c>
      <c r="F10157" s="1">
        <v>45160</v>
      </c>
      <c r="G10157" t="str">
        <f>"81393"</f>
        <v>81393</v>
      </c>
      <c r="H10157">
        <v>1</v>
      </c>
      <c r="I10157">
        <v>24</v>
      </c>
      <c r="J10157">
        <v>0</v>
      </c>
      <c r="K10157" t="str">
        <f t="shared" si="1808"/>
        <v>801</v>
      </c>
      <c r="L10157">
        <v>20.16</v>
      </c>
    </row>
    <row r="10158" spans="1:12" x14ac:dyDescent="0.25">
      <c r="A10158" t="str">
        <f t="shared" si="1805"/>
        <v>89301000</v>
      </c>
      <c r="B10158" t="str">
        <f t="shared" si="1810"/>
        <v>95202000</v>
      </c>
      <c r="C10158" t="str">
        <f t="shared" si="1807"/>
        <v>95202096</v>
      </c>
      <c r="D10158">
        <v>89301167</v>
      </c>
      <c r="E10158" t="str">
        <f t="shared" si="1811"/>
        <v>5709166199</v>
      </c>
      <c r="F10158" s="1">
        <v>45160</v>
      </c>
      <c r="G10158" t="str">
        <f>"81421"</f>
        <v>81421</v>
      </c>
      <c r="H10158">
        <v>1</v>
      </c>
      <c r="I10158">
        <v>19</v>
      </c>
      <c r="J10158">
        <v>0</v>
      </c>
      <c r="K10158" t="str">
        <f t="shared" si="1808"/>
        <v>801</v>
      </c>
      <c r="L10158">
        <v>15.96</v>
      </c>
    </row>
    <row r="10159" spans="1:12" x14ac:dyDescent="0.25">
      <c r="A10159" t="str">
        <f t="shared" si="1805"/>
        <v>89301000</v>
      </c>
      <c r="B10159" t="str">
        <f t="shared" si="1810"/>
        <v>95202000</v>
      </c>
      <c r="C10159" t="str">
        <f t="shared" si="1807"/>
        <v>95202096</v>
      </c>
      <c r="D10159">
        <v>89301167</v>
      </c>
      <c r="E10159" t="str">
        <f t="shared" si="1811"/>
        <v>5709166199</v>
      </c>
      <c r="F10159" s="1">
        <v>45160</v>
      </c>
      <c r="G10159" t="str">
        <f>"81435"</f>
        <v>81435</v>
      </c>
      <c r="H10159">
        <v>1</v>
      </c>
      <c r="I10159">
        <v>22</v>
      </c>
      <c r="J10159">
        <v>0</v>
      </c>
      <c r="K10159" t="str">
        <f t="shared" si="1808"/>
        <v>801</v>
      </c>
      <c r="L10159">
        <v>18.48</v>
      </c>
    </row>
    <row r="10160" spans="1:12" x14ac:dyDescent="0.25">
      <c r="A10160" t="str">
        <f t="shared" si="1805"/>
        <v>89301000</v>
      </c>
      <c r="B10160" t="str">
        <f t="shared" si="1810"/>
        <v>95202000</v>
      </c>
      <c r="C10160" t="str">
        <f t="shared" si="1807"/>
        <v>95202096</v>
      </c>
      <c r="D10160">
        <v>89301167</v>
      </c>
      <c r="E10160" t="str">
        <f t="shared" si="1811"/>
        <v>5709166199</v>
      </c>
      <c r="F10160" s="1">
        <v>45160</v>
      </c>
      <c r="G10160" t="str">
        <f>"81439"</f>
        <v>81439</v>
      </c>
      <c r="H10160">
        <v>1</v>
      </c>
      <c r="I10160">
        <v>16</v>
      </c>
      <c r="J10160">
        <v>0</v>
      </c>
      <c r="K10160" t="str">
        <f t="shared" si="1808"/>
        <v>801</v>
      </c>
      <c r="L10160">
        <v>13.44</v>
      </c>
    </row>
    <row r="10161" spans="1:12" x14ac:dyDescent="0.25">
      <c r="A10161" t="str">
        <f t="shared" si="1805"/>
        <v>89301000</v>
      </c>
      <c r="B10161" t="str">
        <f t="shared" si="1810"/>
        <v>95202000</v>
      </c>
      <c r="C10161" t="str">
        <f t="shared" ref="C10161:C10170" si="1812">"95202096"</f>
        <v>95202096</v>
      </c>
      <c r="D10161">
        <v>89301167</v>
      </c>
      <c r="E10161" t="str">
        <f t="shared" si="1811"/>
        <v>5709166199</v>
      </c>
      <c r="F10161" s="1">
        <v>45160</v>
      </c>
      <c r="G10161" t="str">
        <f>"81465"</f>
        <v>81465</v>
      </c>
      <c r="H10161">
        <v>1</v>
      </c>
      <c r="I10161">
        <v>21</v>
      </c>
      <c r="J10161">
        <v>0</v>
      </c>
      <c r="K10161" t="str">
        <f t="shared" ref="K10161:K10170" si="1813">"801"</f>
        <v>801</v>
      </c>
      <c r="L10161">
        <v>17.64</v>
      </c>
    </row>
    <row r="10162" spans="1:12" x14ac:dyDescent="0.25">
      <c r="A10162" t="str">
        <f t="shared" si="1805"/>
        <v>89301000</v>
      </c>
      <c r="B10162" t="str">
        <f t="shared" si="1810"/>
        <v>95202000</v>
      </c>
      <c r="C10162" t="str">
        <f t="shared" si="1812"/>
        <v>95202096</v>
      </c>
      <c r="D10162">
        <v>89301167</v>
      </c>
      <c r="E10162" t="str">
        <f t="shared" si="1811"/>
        <v>5709166199</v>
      </c>
      <c r="F10162" s="1">
        <v>45160</v>
      </c>
      <c r="G10162" t="str">
        <f>"81469"</f>
        <v>81469</v>
      </c>
      <c r="H10162">
        <v>1</v>
      </c>
      <c r="I10162">
        <v>16</v>
      </c>
      <c r="J10162">
        <v>0</v>
      </c>
      <c r="K10162" t="str">
        <f t="shared" si="1813"/>
        <v>801</v>
      </c>
      <c r="L10162">
        <v>13.44</v>
      </c>
    </row>
    <row r="10163" spans="1:12" x14ac:dyDescent="0.25">
      <c r="A10163" t="str">
        <f t="shared" si="1805"/>
        <v>89301000</v>
      </c>
      <c r="B10163" t="str">
        <f t="shared" si="1810"/>
        <v>95202000</v>
      </c>
      <c r="C10163" t="str">
        <f t="shared" si="1812"/>
        <v>95202096</v>
      </c>
      <c r="D10163">
        <v>89301167</v>
      </c>
      <c r="E10163" t="str">
        <f t="shared" si="1811"/>
        <v>5709166199</v>
      </c>
      <c r="F10163" s="1">
        <v>45160</v>
      </c>
      <c r="G10163" t="str">
        <f>"81499"</f>
        <v>81499</v>
      </c>
      <c r="H10163">
        <v>1</v>
      </c>
      <c r="I10163">
        <v>18</v>
      </c>
      <c r="J10163">
        <v>0</v>
      </c>
      <c r="K10163" t="str">
        <f t="shared" si="1813"/>
        <v>801</v>
      </c>
      <c r="L10163">
        <v>15.12</v>
      </c>
    </row>
    <row r="10164" spans="1:12" x14ac:dyDescent="0.25">
      <c r="A10164" t="str">
        <f t="shared" si="1805"/>
        <v>89301000</v>
      </c>
      <c r="B10164" t="str">
        <f t="shared" si="1810"/>
        <v>95202000</v>
      </c>
      <c r="C10164" t="str">
        <f t="shared" si="1812"/>
        <v>95202096</v>
      </c>
      <c r="D10164">
        <v>89301167</v>
      </c>
      <c r="E10164" t="str">
        <f t="shared" si="1811"/>
        <v>5709166199</v>
      </c>
      <c r="F10164" s="1">
        <v>45160</v>
      </c>
      <c r="G10164" t="str">
        <f>"81593"</f>
        <v>81593</v>
      </c>
      <c r="H10164">
        <v>1</v>
      </c>
      <c r="I10164">
        <v>22</v>
      </c>
      <c r="J10164">
        <v>0</v>
      </c>
      <c r="K10164" t="str">
        <f t="shared" si="1813"/>
        <v>801</v>
      </c>
      <c r="L10164">
        <v>18.48</v>
      </c>
    </row>
    <row r="10165" spans="1:12" x14ac:dyDescent="0.25">
      <c r="A10165" t="str">
        <f t="shared" si="1805"/>
        <v>89301000</v>
      </c>
      <c r="B10165" t="str">
        <f t="shared" si="1810"/>
        <v>95202000</v>
      </c>
      <c r="C10165" t="str">
        <f t="shared" si="1812"/>
        <v>95202096</v>
      </c>
      <c r="D10165">
        <v>89301167</v>
      </c>
      <c r="E10165" t="str">
        <f t="shared" si="1811"/>
        <v>5709166199</v>
      </c>
      <c r="F10165" s="1">
        <v>45160</v>
      </c>
      <c r="G10165" t="str">
        <f>"81621"</f>
        <v>81621</v>
      </c>
      <c r="H10165">
        <v>1</v>
      </c>
      <c r="I10165">
        <v>19</v>
      </c>
      <c r="J10165">
        <v>0</v>
      </c>
      <c r="K10165" t="str">
        <f t="shared" si="1813"/>
        <v>801</v>
      </c>
      <c r="L10165">
        <v>15.96</v>
      </c>
    </row>
    <row r="10166" spans="1:12" x14ac:dyDescent="0.25">
      <c r="A10166" t="str">
        <f t="shared" si="1805"/>
        <v>89301000</v>
      </c>
      <c r="B10166" t="str">
        <f t="shared" si="1810"/>
        <v>95202000</v>
      </c>
      <c r="C10166" t="str">
        <f t="shared" si="1812"/>
        <v>95202096</v>
      </c>
      <c r="D10166">
        <v>89301167</v>
      </c>
      <c r="E10166" t="str">
        <f t="shared" si="1811"/>
        <v>5709166199</v>
      </c>
      <c r="F10166" s="1">
        <v>45160</v>
      </c>
      <c r="G10166" t="str">
        <f>"81625"</f>
        <v>81625</v>
      </c>
      <c r="H10166">
        <v>1</v>
      </c>
      <c r="I10166">
        <v>21</v>
      </c>
      <c r="J10166">
        <v>0</v>
      </c>
      <c r="K10166" t="str">
        <f t="shared" si="1813"/>
        <v>801</v>
      </c>
      <c r="L10166">
        <v>17.64</v>
      </c>
    </row>
    <row r="10167" spans="1:12" x14ac:dyDescent="0.25">
      <c r="A10167" t="str">
        <f t="shared" si="1805"/>
        <v>89301000</v>
      </c>
      <c r="B10167" t="str">
        <f t="shared" si="1810"/>
        <v>95202000</v>
      </c>
      <c r="C10167" t="str">
        <f t="shared" si="1812"/>
        <v>95202096</v>
      </c>
      <c r="D10167">
        <v>89301167</v>
      </c>
      <c r="E10167" t="str">
        <f t="shared" si="1811"/>
        <v>5709166199</v>
      </c>
      <c r="F10167" s="1">
        <v>45160</v>
      </c>
      <c r="G10167" t="str">
        <f>"91153"</f>
        <v>91153</v>
      </c>
      <c r="H10167">
        <v>1</v>
      </c>
      <c r="I10167">
        <v>153</v>
      </c>
      <c r="J10167">
        <v>0</v>
      </c>
      <c r="K10167" t="str">
        <f t="shared" si="1813"/>
        <v>801</v>
      </c>
      <c r="L10167">
        <v>128.52000000000001</v>
      </c>
    </row>
    <row r="10168" spans="1:12" x14ac:dyDescent="0.25">
      <c r="A10168" t="str">
        <f t="shared" si="1805"/>
        <v>89301000</v>
      </c>
      <c r="B10168" t="str">
        <f t="shared" si="1810"/>
        <v>95202000</v>
      </c>
      <c r="C10168" t="str">
        <f t="shared" si="1812"/>
        <v>95202096</v>
      </c>
      <c r="D10168">
        <v>89301167</v>
      </c>
      <c r="E10168" t="str">
        <f t="shared" si="1811"/>
        <v>5709166199</v>
      </c>
      <c r="F10168" s="1">
        <v>45160</v>
      </c>
      <c r="G10168" t="str">
        <f>"93189"</f>
        <v>93189</v>
      </c>
      <c r="H10168">
        <v>1</v>
      </c>
      <c r="I10168">
        <v>191</v>
      </c>
      <c r="J10168">
        <v>0</v>
      </c>
      <c r="K10168" t="str">
        <f t="shared" si="1813"/>
        <v>801</v>
      </c>
      <c r="L10168">
        <v>160.44</v>
      </c>
    </row>
    <row r="10169" spans="1:12" x14ac:dyDescent="0.25">
      <c r="A10169" t="str">
        <f t="shared" si="1805"/>
        <v>89301000</v>
      </c>
      <c r="B10169" t="str">
        <f t="shared" si="1810"/>
        <v>95202000</v>
      </c>
      <c r="C10169" t="str">
        <f t="shared" si="1812"/>
        <v>95202096</v>
      </c>
      <c r="D10169">
        <v>89301167</v>
      </c>
      <c r="E10169" t="str">
        <f t="shared" si="1811"/>
        <v>5709166199</v>
      </c>
      <c r="F10169" s="1">
        <v>45160</v>
      </c>
      <c r="G10169" t="str">
        <f>"93195"</f>
        <v>93195</v>
      </c>
      <c r="H10169">
        <v>1</v>
      </c>
      <c r="I10169">
        <v>183</v>
      </c>
      <c r="J10169">
        <v>0</v>
      </c>
      <c r="K10169" t="str">
        <f t="shared" si="1813"/>
        <v>801</v>
      </c>
      <c r="L10169">
        <v>153.72</v>
      </c>
    </row>
    <row r="10170" spans="1:12" x14ac:dyDescent="0.25">
      <c r="A10170" t="str">
        <f t="shared" si="1805"/>
        <v>89301000</v>
      </c>
      <c r="B10170" t="str">
        <f t="shared" si="1810"/>
        <v>95202000</v>
      </c>
      <c r="C10170" t="str">
        <f t="shared" si="1812"/>
        <v>95202096</v>
      </c>
      <c r="D10170">
        <v>89301167</v>
      </c>
      <c r="E10170" t="str">
        <f t="shared" si="1811"/>
        <v>5709166199</v>
      </c>
      <c r="F10170" s="1">
        <v>45160</v>
      </c>
      <c r="G10170" t="str">
        <f>"97111"</f>
        <v>97111</v>
      </c>
      <c r="H10170">
        <v>1</v>
      </c>
      <c r="I10170">
        <v>19</v>
      </c>
      <c r="J10170">
        <v>0</v>
      </c>
      <c r="K10170" t="str">
        <f t="shared" si="1813"/>
        <v>801</v>
      </c>
      <c r="L10170">
        <v>23.94</v>
      </c>
    </row>
    <row r="10171" spans="1:12" x14ac:dyDescent="0.25">
      <c r="A10171" t="str">
        <f t="shared" si="1805"/>
        <v>89301000</v>
      </c>
      <c r="B10171" t="str">
        <f t="shared" ref="B10171:C10173" si="1814">"72996675"</f>
        <v>72996675</v>
      </c>
      <c r="C10171" t="str">
        <f t="shared" si="1814"/>
        <v>72996675</v>
      </c>
      <c r="D10171">
        <v>89301282</v>
      </c>
      <c r="E10171" t="str">
        <f>"8051313490"</f>
        <v>8051313490</v>
      </c>
      <c r="F10171" s="1">
        <v>45135</v>
      </c>
      <c r="G10171" t="str">
        <f>"94948"</f>
        <v>94948</v>
      </c>
      <c r="H10171">
        <v>1</v>
      </c>
      <c r="I10171">
        <v>0</v>
      </c>
      <c r="J10171">
        <v>0</v>
      </c>
      <c r="K10171" t="str">
        <f>"816"</f>
        <v>816</v>
      </c>
      <c r="L10171">
        <v>0</v>
      </c>
    </row>
    <row r="10172" spans="1:12" x14ac:dyDescent="0.25">
      <c r="A10172" t="str">
        <f t="shared" si="1805"/>
        <v>89301000</v>
      </c>
      <c r="B10172" t="str">
        <f t="shared" si="1814"/>
        <v>72996675</v>
      </c>
      <c r="C10172" t="str">
        <f t="shared" si="1814"/>
        <v>72996675</v>
      </c>
      <c r="D10172">
        <v>89301282</v>
      </c>
      <c r="E10172" t="str">
        <f>"8051313490"</f>
        <v>8051313490</v>
      </c>
      <c r="F10172" s="1">
        <v>45135</v>
      </c>
      <c r="G10172" t="str">
        <f>"94982"</f>
        <v>94982</v>
      </c>
      <c r="H10172">
        <v>1</v>
      </c>
      <c r="I10172">
        <v>0</v>
      </c>
      <c r="J10172">
        <v>27500</v>
      </c>
      <c r="K10172" t="str">
        <f>"816"</f>
        <v>816</v>
      </c>
      <c r="L10172">
        <v>27500</v>
      </c>
    </row>
    <row r="10173" spans="1:12" x14ac:dyDescent="0.25">
      <c r="A10173" t="str">
        <f t="shared" si="1805"/>
        <v>89301000</v>
      </c>
      <c r="B10173" t="str">
        <f t="shared" si="1814"/>
        <v>72996675</v>
      </c>
      <c r="C10173" t="str">
        <f t="shared" si="1814"/>
        <v>72996675</v>
      </c>
      <c r="D10173">
        <v>89301282</v>
      </c>
      <c r="E10173" t="str">
        <f>"8051313490"</f>
        <v>8051313490</v>
      </c>
      <c r="F10173" s="1">
        <v>45135</v>
      </c>
      <c r="G10173" t="str">
        <f>"94996"</f>
        <v>94996</v>
      </c>
      <c r="H10173">
        <v>1</v>
      </c>
      <c r="I10173">
        <v>0</v>
      </c>
      <c r="J10173">
        <v>0</v>
      </c>
      <c r="K10173" t="str">
        <f>"816"</f>
        <v>816</v>
      </c>
      <c r="L10173">
        <v>0</v>
      </c>
    </row>
    <row r="10174" spans="1:12" x14ac:dyDescent="0.25">
      <c r="A10174" t="str">
        <f t="shared" si="1805"/>
        <v>89301000</v>
      </c>
      <c r="B10174" t="str">
        <f t="shared" ref="B10174:C10188" si="1815">"89434000"</f>
        <v>89434000</v>
      </c>
      <c r="C10174" t="str">
        <f t="shared" si="1815"/>
        <v>89434000</v>
      </c>
      <c r="D10174">
        <v>89301212</v>
      </c>
      <c r="E10174" t="str">
        <f>"451030446"</f>
        <v>451030446</v>
      </c>
      <c r="F10174" s="1">
        <v>45148</v>
      </c>
      <c r="G10174" t="str">
        <f>"89131"</f>
        <v>89131</v>
      </c>
      <c r="H10174">
        <v>1</v>
      </c>
      <c r="I10174">
        <v>190</v>
      </c>
      <c r="J10174">
        <v>0</v>
      </c>
      <c r="K10174" t="str">
        <f t="shared" ref="K10174:K10221" si="1816">"809"</f>
        <v>809</v>
      </c>
      <c r="L10174">
        <v>279.3</v>
      </c>
    </row>
    <row r="10175" spans="1:12" x14ac:dyDescent="0.25">
      <c r="A10175" t="str">
        <f t="shared" si="1805"/>
        <v>89301000</v>
      </c>
      <c r="B10175" t="str">
        <f t="shared" si="1815"/>
        <v>89434000</v>
      </c>
      <c r="C10175" t="str">
        <f t="shared" si="1815"/>
        <v>89434000</v>
      </c>
      <c r="D10175">
        <v>89301212</v>
      </c>
      <c r="E10175" t="str">
        <f>"451030446"</f>
        <v>451030446</v>
      </c>
      <c r="F10175" s="1">
        <v>45148</v>
      </c>
      <c r="G10175" t="str">
        <f>"89513"</f>
        <v>89513</v>
      </c>
      <c r="H10175">
        <v>1</v>
      </c>
      <c r="I10175">
        <v>378</v>
      </c>
      <c r="J10175">
        <v>0</v>
      </c>
      <c r="K10175" t="str">
        <f t="shared" si="1816"/>
        <v>809</v>
      </c>
      <c r="L10175">
        <v>555.66</v>
      </c>
    </row>
    <row r="10176" spans="1:12" x14ac:dyDescent="0.25">
      <c r="A10176" t="str">
        <f t="shared" si="1805"/>
        <v>89301000</v>
      </c>
      <c r="B10176" t="str">
        <f t="shared" si="1815"/>
        <v>89434000</v>
      </c>
      <c r="C10176" t="str">
        <f t="shared" si="1815"/>
        <v>89434000</v>
      </c>
      <c r="D10176">
        <v>89301212</v>
      </c>
      <c r="E10176" t="str">
        <f>"451030446"</f>
        <v>451030446</v>
      </c>
      <c r="F10176" s="1">
        <v>45148</v>
      </c>
      <c r="G10176" t="str">
        <f>"89514"</f>
        <v>89514</v>
      </c>
      <c r="H10176">
        <v>1</v>
      </c>
      <c r="I10176">
        <v>378</v>
      </c>
      <c r="J10176">
        <v>0</v>
      </c>
      <c r="K10176" t="str">
        <f t="shared" si="1816"/>
        <v>809</v>
      </c>
      <c r="L10176">
        <v>555.66</v>
      </c>
    </row>
    <row r="10177" spans="1:12" x14ac:dyDescent="0.25">
      <c r="A10177" t="str">
        <f t="shared" si="1805"/>
        <v>89301000</v>
      </c>
      <c r="B10177" t="str">
        <f t="shared" si="1815"/>
        <v>89434000</v>
      </c>
      <c r="C10177" t="str">
        <f t="shared" si="1815"/>
        <v>89434000</v>
      </c>
      <c r="D10177">
        <v>89301037</v>
      </c>
      <c r="E10177" t="str">
        <f>"5759041585"</f>
        <v>5759041585</v>
      </c>
      <c r="F10177" s="1">
        <v>45139</v>
      </c>
      <c r="G10177" t="str">
        <f>"89513"</f>
        <v>89513</v>
      </c>
      <c r="H10177">
        <v>1</v>
      </c>
      <c r="I10177">
        <v>378</v>
      </c>
      <c r="J10177">
        <v>0</v>
      </c>
      <c r="K10177" t="str">
        <f t="shared" si="1816"/>
        <v>809</v>
      </c>
      <c r="L10177">
        <v>555.66</v>
      </c>
    </row>
    <row r="10178" spans="1:12" x14ac:dyDescent="0.25">
      <c r="A10178" t="str">
        <f t="shared" ref="A10178:A10241" si="1817">"89301000"</f>
        <v>89301000</v>
      </c>
      <c r="B10178" t="str">
        <f t="shared" si="1815"/>
        <v>89434000</v>
      </c>
      <c r="C10178" t="str">
        <f t="shared" si="1815"/>
        <v>89434000</v>
      </c>
      <c r="D10178">
        <v>89301037</v>
      </c>
      <c r="E10178" t="str">
        <f>"5759041585"</f>
        <v>5759041585</v>
      </c>
      <c r="F10178" s="1">
        <v>45139</v>
      </c>
      <c r="G10178" t="str">
        <f>"89514"</f>
        <v>89514</v>
      </c>
      <c r="H10178">
        <v>1</v>
      </c>
      <c r="I10178">
        <v>378</v>
      </c>
      <c r="J10178">
        <v>0</v>
      </c>
      <c r="K10178" t="str">
        <f t="shared" si="1816"/>
        <v>809</v>
      </c>
      <c r="L10178">
        <v>555.66</v>
      </c>
    </row>
    <row r="10179" spans="1:12" x14ac:dyDescent="0.25">
      <c r="A10179" t="str">
        <f t="shared" si="1817"/>
        <v>89301000</v>
      </c>
      <c r="B10179" t="str">
        <f t="shared" si="1815"/>
        <v>89434000</v>
      </c>
      <c r="C10179" t="str">
        <f t="shared" si="1815"/>
        <v>89434000</v>
      </c>
      <c r="D10179">
        <v>89301037</v>
      </c>
      <c r="E10179" t="str">
        <f>"5759041585"</f>
        <v>5759041585</v>
      </c>
      <c r="F10179" s="1">
        <v>45139</v>
      </c>
      <c r="G10179" t="str">
        <f>"89143"</f>
        <v>89143</v>
      </c>
      <c r="H10179">
        <v>1</v>
      </c>
      <c r="I10179">
        <v>244</v>
      </c>
      <c r="J10179">
        <v>0</v>
      </c>
      <c r="K10179" t="str">
        <f t="shared" si="1816"/>
        <v>809</v>
      </c>
      <c r="L10179">
        <v>358.68</v>
      </c>
    </row>
    <row r="10180" spans="1:12" x14ac:dyDescent="0.25">
      <c r="A10180" t="str">
        <f t="shared" si="1817"/>
        <v>89301000</v>
      </c>
      <c r="B10180" t="str">
        <f t="shared" si="1815"/>
        <v>89434000</v>
      </c>
      <c r="C10180" t="str">
        <f t="shared" si="1815"/>
        <v>89434000</v>
      </c>
      <c r="D10180">
        <v>89301212</v>
      </c>
      <c r="E10180" t="str">
        <f>"6958155776"</f>
        <v>6958155776</v>
      </c>
      <c r="F10180" s="1">
        <v>45169</v>
      </c>
      <c r="G10180" t="str">
        <f>"89513"</f>
        <v>89513</v>
      </c>
      <c r="H10180">
        <v>1</v>
      </c>
      <c r="I10180">
        <v>378</v>
      </c>
      <c r="J10180">
        <v>0</v>
      </c>
      <c r="K10180" t="str">
        <f t="shared" si="1816"/>
        <v>809</v>
      </c>
      <c r="L10180">
        <v>555.66</v>
      </c>
    </row>
    <row r="10181" spans="1:12" x14ac:dyDescent="0.25">
      <c r="A10181" t="str">
        <f t="shared" si="1817"/>
        <v>89301000</v>
      </c>
      <c r="B10181" t="str">
        <f t="shared" si="1815"/>
        <v>89434000</v>
      </c>
      <c r="C10181" t="str">
        <f t="shared" si="1815"/>
        <v>89434000</v>
      </c>
      <c r="D10181">
        <v>89301212</v>
      </c>
      <c r="E10181" t="str">
        <f>"6958155776"</f>
        <v>6958155776</v>
      </c>
      <c r="F10181" s="1">
        <v>45169</v>
      </c>
      <c r="G10181" t="str">
        <f>"89514"</f>
        <v>89514</v>
      </c>
      <c r="H10181">
        <v>1</v>
      </c>
      <c r="I10181">
        <v>378</v>
      </c>
      <c r="J10181">
        <v>0</v>
      </c>
      <c r="K10181" t="str">
        <f t="shared" si="1816"/>
        <v>809</v>
      </c>
      <c r="L10181">
        <v>555.66</v>
      </c>
    </row>
    <row r="10182" spans="1:12" x14ac:dyDescent="0.25">
      <c r="A10182" t="str">
        <f t="shared" si="1817"/>
        <v>89301000</v>
      </c>
      <c r="B10182" t="str">
        <f t="shared" si="1815"/>
        <v>89434000</v>
      </c>
      <c r="C10182" t="str">
        <f t="shared" si="1815"/>
        <v>89434000</v>
      </c>
      <c r="D10182">
        <v>89301322</v>
      </c>
      <c r="E10182" t="str">
        <f>"7212275334"</f>
        <v>7212275334</v>
      </c>
      <c r="F10182" s="1">
        <v>45141</v>
      </c>
      <c r="G10182" t="str">
        <f>"89131"</f>
        <v>89131</v>
      </c>
      <c r="H10182">
        <v>1</v>
      </c>
      <c r="I10182">
        <v>190</v>
      </c>
      <c r="J10182">
        <v>0</v>
      </c>
      <c r="K10182" t="str">
        <f t="shared" si="1816"/>
        <v>809</v>
      </c>
      <c r="L10182">
        <v>279.3</v>
      </c>
    </row>
    <row r="10183" spans="1:12" x14ac:dyDescent="0.25">
      <c r="A10183" t="str">
        <f t="shared" si="1817"/>
        <v>89301000</v>
      </c>
      <c r="B10183" t="str">
        <f t="shared" si="1815"/>
        <v>89434000</v>
      </c>
      <c r="C10183" t="str">
        <f t="shared" si="1815"/>
        <v>89434000</v>
      </c>
      <c r="D10183">
        <v>89301322</v>
      </c>
      <c r="E10183" t="str">
        <f>"7212275334"</f>
        <v>7212275334</v>
      </c>
      <c r="F10183" s="1">
        <v>45141</v>
      </c>
      <c r="G10183" t="str">
        <f>"89513"</f>
        <v>89513</v>
      </c>
      <c r="H10183">
        <v>1</v>
      </c>
      <c r="I10183">
        <v>378</v>
      </c>
      <c r="J10183">
        <v>0</v>
      </c>
      <c r="K10183" t="str">
        <f t="shared" si="1816"/>
        <v>809</v>
      </c>
      <c r="L10183">
        <v>555.66</v>
      </c>
    </row>
    <row r="10184" spans="1:12" x14ac:dyDescent="0.25">
      <c r="A10184" t="str">
        <f t="shared" si="1817"/>
        <v>89301000</v>
      </c>
      <c r="B10184" t="str">
        <f t="shared" si="1815"/>
        <v>89434000</v>
      </c>
      <c r="C10184" t="str">
        <f t="shared" si="1815"/>
        <v>89434000</v>
      </c>
      <c r="D10184">
        <v>89301322</v>
      </c>
      <c r="E10184" t="str">
        <f>"7212275334"</f>
        <v>7212275334</v>
      </c>
      <c r="F10184" s="1">
        <v>45141</v>
      </c>
      <c r="G10184" t="str">
        <f>"89514"</f>
        <v>89514</v>
      </c>
      <c r="H10184">
        <v>1</v>
      </c>
      <c r="I10184">
        <v>378</v>
      </c>
      <c r="J10184">
        <v>0</v>
      </c>
      <c r="K10184" t="str">
        <f t="shared" si="1816"/>
        <v>809</v>
      </c>
      <c r="L10184">
        <v>555.66</v>
      </c>
    </row>
    <row r="10185" spans="1:12" x14ac:dyDescent="0.25">
      <c r="A10185" t="str">
        <f t="shared" si="1817"/>
        <v>89301000</v>
      </c>
      <c r="B10185" t="str">
        <f t="shared" si="1815"/>
        <v>89434000</v>
      </c>
      <c r="C10185" t="str">
        <f t="shared" si="1815"/>
        <v>89434000</v>
      </c>
      <c r="D10185">
        <v>89301215</v>
      </c>
      <c r="E10185" t="str">
        <f>"8254225309"</f>
        <v>8254225309</v>
      </c>
      <c r="F10185" s="1">
        <v>45169</v>
      </c>
      <c r="G10185" t="str">
        <f>"89513"</f>
        <v>89513</v>
      </c>
      <c r="H10185">
        <v>1</v>
      </c>
      <c r="I10185">
        <v>378</v>
      </c>
      <c r="J10185">
        <v>0</v>
      </c>
      <c r="K10185" t="str">
        <f t="shared" si="1816"/>
        <v>809</v>
      </c>
      <c r="L10185">
        <v>555.66</v>
      </c>
    </row>
    <row r="10186" spans="1:12" x14ac:dyDescent="0.25">
      <c r="A10186" t="str">
        <f t="shared" si="1817"/>
        <v>89301000</v>
      </c>
      <c r="B10186" t="str">
        <f t="shared" si="1815"/>
        <v>89434000</v>
      </c>
      <c r="C10186" t="str">
        <f t="shared" si="1815"/>
        <v>89434000</v>
      </c>
      <c r="D10186">
        <v>89301215</v>
      </c>
      <c r="E10186" t="str">
        <f>"8254225309"</f>
        <v>8254225309</v>
      </c>
      <c r="F10186" s="1">
        <v>45169</v>
      </c>
      <c r="G10186" t="str">
        <f>"89514"</f>
        <v>89514</v>
      </c>
      <c r="H10186">
        <v>1</v>
      </c>
      <c r="I10186">
        <v>378</v>
      </c>
      <c r="J10186">
        <v>0</v>
      </c>
      <c r="K10186" t="str">
        <f t="shared" si="1816"/>
        <v>809</v>
      </c>
      <c r="L10186">
        <v>555.66</v>
      </c>
    </row>
    <row r="10187" spans="1:12" x14ac:dyDescent="0.25">
      <c r="A10187" t="str">
        <f t="shared" si="1817"/>
        <v>89301000</v>
      </c>
      <c r="B10187" t="str">
        <f t="shared" si="1815"/>
        <v>89434000</v>
      </c>
      <c r="C10187" t="str">
        <f t="shared" si="1815"/>
        <v>89434000</v>
      </c>
      <c r="D10187">
        <v>89301034</v>
      </c>
      <c r="E10187" t="str">
        <f>"8560165768"</f>
        <v>8560165768</v>
      </c>
      <c r="F10187" s="1">
        <v>45148</v>
      </c>
      <c r="G10187" t="str">
        <f>"89513"</f>
        <v>89513</v>
      </c>
      <c r="H10187">
        <v>1</v>
      </c>
      <c r="I10187">
        <v>378</v>
      </c>
      <c r="J10187">
        <v>0</v>
      </c>
      <c r="K10187" t="str">
        <f t="shared" si="1816"/>
        <v>809</v>
      </c>
      <c r="L10187">
        <v>555.66</v>
      </c>
    </row>
    <row r="10188" spans="1:12" x14ac:dyDescent="0.25">
      <c r="A10188" t="str">
        <f t="shared" si="1817"/>
        <v>89301000</v>
      </c>
      <c r="B10188" t="str">
        <f t="shared" si="1815"/>
        <v>89434000</v>
      </c>
      <c r="C10188" t="str">
        <f t="shared" si="1815"/>
        <v>89434000</v>
      </c>
      <c r="D10188">
        <v>89301034</v>
      </c>
      <c r="E10188" t="str">
        <f>"8560165768"</f>
        <v>8560165768</v>
      </c>
      <c r="F10188" s="1">
        <v>45148</v>
      </c>
      <c r="G10188" t="str">
        <f>"89514"</f>
        <v>89514</v>
      </c>
      <c r="H10188">
        <v>1</v>
      </c>
      <c r="I10188">
        <v>378</v>
      </c>
      <c r="J10188">
        <v>0</v>
      </c>
      <c r="K10188" t="str">
        <f t="shared" si="1816"/>
        <v>809</v>
      </c>
      <c r="L10188">
        <v>555.66</v>
      </c>
    </row>
    <row r="10189" spans="1:12" x14ac:dyDescent="0.25">
      <c r="A10189" t="str">
        <f t="shared" si="1817"/>
        <v>89301000</v>
      </c>
      <c r="B10189" t="str">
        <f t="shared" ref="B10189:B10221" si="1818">"89895000"</f>
        <v>89895000</v>
      </c>
      <c r="C10189" t="str">
        <f t="shared" ref="C10189:C10221" si="1819">"89895002"</f>
        <v>89895002</v>
      </c>
      <c r="D10189">
        <v>89301212</v>
      </c>
      <c r="E10189" t="str">
        <f>"405510426"</f>
        <v>405510426</v>
      </c>
      <c r="F10189" s="1">
        <v>45166</v>
      </c>
      <c r="G10189" t="str">
        <f>"89512"</f>
        <v>89512</v>
      </c>
      <c r="H10189">
        <v>1</v>
      </c>
      <c r="I10189">
        <v>283</v>
      </c>
      <c r="J10189">
        <v>0</v>
      </c>
      <c r="K10189" t="str">
        <f t="shared" si="1816"/>
        <v>809</v>
      </c>
      <c r="L10189">
        <v>416.01</v>
      </c>
    </row>
    <row r="10190" spans="1:12" x14ac:dyDescent="0.25">
      <c r="A10190" t="str">
        <f t="shared" si="1817"/>
        <v>89301000</v>
      </c>
      <c r="B10190" t="str">
        <f t="shared" si="1818"/>
        <v>89895000</v>
      </c>
      <c r="C10190" t="str">
        <f t="shared" si="1819"/>
        <v>89895002</v>
      </c>
      <c r="D10190">
        <v>89301212</v>
      </c>
      <c r="E10190" t="str">
        <f>"405510426"</f>
        <v>405510426</v>
      </c>
      <c r="F10190" s="1">
        <v>45166</v>
      </c>
      <c r="G10190" t="str">
        <f>"09511"</f>
        <v>09511</v>
      </c>
      <c r="H10190">
        <v>1</v>
      </c>
      <c r="I10190">
        <v>45</v>
      </c>
      <c r="J10190">
        <v>0</v>
      </c>
      <c r="K10190" t="str">
        <f t="shared" si="1816"/>
        <v>809</v>
      </c>
      <c r="L10190">
        <v>66.150000000000006</v>
      </c>
    </row>
    <row r="10191" spans="1:12" x14ac:dyDescent="0.25">
      <c r="A10191" t="str">
        <f t="shared" si="1817"/>
        <v>89301000</v>
      </c>
      <c r="B10191" t="str">
        <f t="shared" si="1818"/>
        <v>89895000</v>
      </c>
      <c r="C10191" t="str">
        <f t="shared" si="1819"/>
        <v>89895002</v>
      </c>
      <c r="D10191">
        <v>89301212</v>
      </c>
      <c r="E10191" t="str">
        <f>"506123270"</f>
        <v>506123270</v>
      </c>
      <c r="F10191" s="1">
        <v>45149</v>
      </c>
      <c r="G10191" t="str">
        <f>"89180"</f>
        <v>89180</v>
      </c>
      <c r="H10191">
        <v>1</v>
      </c>
      <c r="I10191">
        <v>381</v>
      </c>
      <c r="J10191">
        <v>0</v>
      </c>
      <c r="K10191" t="str">
        <f t="shared" si="1816"/>
        <v>809</v>
      </c>
      <c r="L10191">
        <v>560.07000000000005</v>
      </c>
    </row>
    <row r="10192" spans="1:12" x14ac:dyDescent="0.25">
      <c r="A10192" t="str">
        <f t="shared" si="1817"/>
        <v>89301000</v>
      </c>
      <c r="B10192" t="str">
        <f t="shared" si="1818"/>
        <v>89895000</v>
      </c>
      <c r="C10192" t="str">
        <f t="shared" si="1819"/>
        <v>89895002</v>
      </c>
      <c r="D10192">
        <v>89301212</v>
      </c>
      <c r="E10192" t="str">
        <f>"506123270"</f>
        <v>506123270</v>
      </c>
      <c r="F10192" s="1">
        <v>45149</v>
      </c>
      <c r="G10192" t="str">
        <f>"89335"</f>
        <v>89335</v>
      </c>
      <c r="H10192">
        <v>1</v>
      </c>
      <c r="I10192">
        <v>185</v>
      </c>
      <c r="J10192">
        <v>0</v>
      </c>
      <c r="K10192" t="str">
        <f t="shared" si="1816"/>
        <v>809</v>
      </c>
      <c r="L10192">
        <v>271.95</v>
      </c>
    </row>
    <row r="10193" spans="1:12" x14ac:dyDescent="0.25">
      <c r="A10193" t="str">
        <f t="shared" si="1817"/>
        <v>89301000</v>
      </c>
      <c r="B10193" t="str">
        <f t="shared" si="1818"/>
        <v>89895000</v>
      </c>
      <c r="C10193" t="str">
        <f t="shared" si="1819"/>
        <v>89895002</v>
      </c>
      <c r="D10193">
        <v>89301212</v>
      </c>
      <c r="E10193" t="str">
        <f>"506123270"</f>
        <v>506123270</v>
      </c>
      <c r="F10193" s="1">
        <v>45149</v>
      </c>
      <c r="G10193" t="str">
        <f>"89512"</f>
        <v>89512</v>
      </c>
      <c r="H10193">
        <v>1</v>
      </c>
      <c r="I10193">
        <v>283</v>
      </c>
      <c r="J10193">
        <v>0</v>
      </c>
      <c r="K10193" t="str">
        <f t="shared" si="1816"/>
        <v>809</v>
      </c>
      <c r="L10193">
        <v>416.01</v>
      </c>
    </row>
    <row r="10194" spans="1:12" x14ac:dyDescent="0.25">
      <c r="A10194" t="str">
        <f t="shared" si="1817"/>
        <v>89301000</v>
      </c>
      <c r="B10194" t="str">
        <f t="shared" si="1818"/>
        <v>89895000</v>
      </c>
      <c r="C10194" t="str">
        <f t="shared" si="1819"/>
        <v>89895002</v>
      </c>
      <c r="D10194">
        <v>89301212</v>
      </c>
      <c r="E10194" t="str">
        <f>"506123270"</f>
        <v>506123270</v>
      </c>
      <c r="F10194" s="1">
        <v>45149</v>
      </c>
      <c r="G10194" t="str">
        <f>"0000502"</f>
        <v>0000502</v>
      </c>
      <c r="H10194">
        <v>0.1</v>
      </c>
      <c r="J10194">
        <v>6.97</v>
      </c>
      <c r="K10194" t="str">
        <f t="shared" si="1816"/>
        <v>809</v>
      </c>
      <c r="L10194">
        <v>6.97</v>
      </c>
    </row>
    <row r="10195" spans="1:12" x14ac:dyDescent="0.25">
      <c r="A10195" t="str">
        <f t="shared" si="1817"/>
        <v>89301000</v>
      </c>
      <c r="B10195" t="str">
        <f t="shared" si="1818"/>
        <v>89895000</v>
      </c>
      <c r="C10195" t="str">
        <f t="shared" si="1819"/>
        <v>89895002</v>
      </c>
      <c r="D10195">
        <v>89301212</v>
      </c>
      <c r="E10195" t="str">
        <f>"506123270"</f>
        <v>506123270</v>
      </c>
      <c r="F10195" s="1">
        <v>45149</v>
      </c>
      <c r="G10195" t="str">
        <f>"0142906"</f>
        <v>0142906</v>
      </c>
      <c r="H10195">
        <v>1</v>
      </c>
      <c r="J10195">
        <v>6990</v>
      </c>
      <c r="K10195" t="str">
        <f t="shared" si="1816"/>
        <v>809</v>
      </c>
      <c r="L10195">
        <v>6990</v>
      </c>
    </row>
    <row r="10196" spans="1:12" x14ac:dyDescent="0.25">
      <c r="A10196" t="str">
        <f t="shared" si="1817"/>
        <v>89301000</v>
      </c>
      <c r="B10196" t="str">
        <f t="shared" si="1818"/>
        <v>89895000</v>
      </c>
      <c r="C10196" t="str">
        <f t="shared" si="1819"/>
        <v>89895002</v>
      </c>
      <c r="D10196">
        <v>89301212</v>
      </c>
      <c r="E10196" t="str">
        <f>"5454081655"</f>
        <v>5454081655</v>
      </c>
      <c r="F10196" s="1">
        <v>45166</v>
      </c>
      <c r="G10196" t="str">
        <f>"89512"</f>
        <v>89512</v>
      </c>
      <c r="H10196">
        <v>1</v>
      </c>
      <c r="I10196">
        <v>283</v>
      </c>
      <c r="J10196">
        <v>0</v>
      </c>
      <c r="K10196" t="str">
        <f t="shared" si="1816"/>
        <v>809</v>
      </c>
      <c r="L10196">
        <v>416.01</v>
      </c>
    </row>
    <row r="10197" spans="1:12" x14ac:dyDescent="0.25">
      <c r="A10197" t="str">
        <f t="shared" si="1817"/>
        <v>89301000</v>
      </c>
      <c r="B10197" t="str">
        <f t="shared" si="1818"/>
        <v>89895000</v>
      </c>
      <c r="C10197" t="str">
        <f t="shared" si="1819"/>
        <v>89895002</v>
      </c>
      <c r="D10197">
        <v>89301212</v>
      </c>
      <c r="E10197" t="str">
        <f>"5454081655"</f>
        <v>5454081655</v>
      </c>
      <c r="F10197" s="1">
        <v>45166</v>
      </c>
      <c r="G10197" t="str">
        <f>"09511"</f>
        <v>09511</v>
      </c>
      <c r="H10197">
        <v>1</v>
      </c>
      <c r="I10197">
        <v>45</v>
      </c>
      <c r="J10197">
        <v>0</v>
      </c>
      <c r="K10197" t="str">
        <f t="shared" si="1816"/>
        <v>809</v>
      </c>
      <c r="L10197">
        <v>66.150000000000006</v>
      </c>
    </row>
    <row r="10198" spans="1:12" x14ac:dyDescent="0.25">
      <c r="A10198" t="str">
        <f t="shared" si="1817"/>
        <v>89301000</v>
      </c>
      <c r="B10198" t="str">
        <f t="shared" si="1818"/>
        <v>89895000</v>
      </c>
      <c r="C10198" t="str">
        <f t="shared" si="1819"/>
        <v>89895002</v>
      </c>
      <c r="D10198">
        <v>89301212</v>
      </c>
      <c r="E10198" t="str">
        <f>"5454081655"</f>
        <v>5454081655</v>
      </c>
      <c r="F10198" s="1">
        <v>45166</v>
      </c>
      <c r="G10198" t="str">
        <f>"89513"</f>
        <v>89513</v>
      </c>
      <c r="H10198">
        <v>1</v>
      </c>
      <c r="I10198">
        <v>378</v>
      </c>
      <c r="J10198">
        <v>0</v>
      </c>
      <c r="K10198" t="str">
        <f t="shared" si="1816"/>
        <v>809</v>
      </c>
      <c r="L10198">
        <v>555.66</v>
      </c>
    </row>
    <row r="10199" spans="1:12" x14ac:dyDescent="0.25">
      <c r="A10199" t="str">
        <f t="shared" si="1817"/>
        <v>89301000</v>
      </c>
      <c r="B10199" t="str">
        <f t="shared" si="1818"/>
        <v>89895000</v>
      </c>
      <c r="C10199" t="str">
        <f t="shared" si="1819"/>
        <v>89895002</v>
      </c>
      <c r="D10199">
        <v>89301212</v>
      </c>
      <c r="E10199" t="str">
        <f>"5454081655"</f>
        <v>5454081655</v>
      </c>
      <c r="F10199" s="1">
        <v>45166</v>
      </c>
      <c r="G10199" t="str">
        <f>"89514"</f>
        <v>89514</v>
      </c>
      <c r="H10199">
        <v>1</v>
      </c>
      <c r="I10199">
        <v>378</v>
      </c>
      <c r="J10199">
        <v>0</v>
      </c>
      <c r="K10199" t="str">
        <f t="shared" si="1816"/>
        <v>809</v>
      </c>
      <c r="L10199">
        <v>555.66</v>
      </c>
    </row>
    <row r="10200" spans="1:12" x14ac:dyDescent="0.25">
      <c r="A10200" t="str">
        <f t="shared" si="1817"/>
        <v>89301000</v>
      </c>
      <c r="B10200" t="str">
        <f t="shared" si="1818"/>
        <v>89895000</v>
      </c>
      <c r="C10200" t="str">
        <f t="shared" si="1819"/>
        <v>89895002</v>
      </c>
      <c r="D10200">
        <v>89301212</v>
      </c>
      <c r="E10200" t="str">
        <f>"5852192104"</f>
        <v>5852192104</v>
      </c>
      <c r="F10200" s="1">
        <v>45155</v>
      </c>
      <c r="G10200" t="str">
        <f>"89514"</f>
        <v>89514</v>
      </c>
      <c r="H10200">
        <v>1</v>
      </c>
      <c r="I10200">
        <v>378</v>
      </c>
      <c r="J10200">
        <v>0</v>
      </c>
      <c r="K10200" t="str">
        <f t="shared" si="1816"/>
        <v>809</v>
      </c>
      <c r="L10200">
        <v>555.66</v>
      </c>
    </row>
    <row r="10201" spans="1:12" x14ac:dyDescent="0.25">
      <c r="A10201" t="str">
        <f t="shared" si="1817"/>
        <v>89301000</v>
      </c>
      <c r="B10201" t="str">
        <f t="shared" si="1818"/>
        <v>89895000</v>
      </c>
      <c r="C10201" t="str">
        <f t="shared" si="1819"/>
        <v>89895002</v>
      </c>
      <c r="D10201">
        <v>89301212</v>
      </c>
      <c r="E10201" t="str">
        <f>"5852192104"</f>
        <v>5852192104</v>
      </c>
      <c r="F10201" s="1">
        <v>45155</v>
      </c>
      <c r="G10201" t="str">
        <f>"89513"</f>
        <v>89513</v>
      </c>
      <c r="H10201">
        <v>1</v>
      </c>
      <c r="I10201">
        <v>378</v>
      </c>
      <c r="J10201">
        <v>0</v>
      </c>
      <c r="K10201" t="str">
        <f t="shared" si="1816"/>
        <v>809</v>
      </c>
      <c r="L10201">
        <v>555.66</v>
      </c>
    </row>
    <row r="10202" spans="1:12" x14ac:dyDescent="0.25">
      <c r="A10202" t="str">
        <f t="shared" si="1817"/>
        <v>89301000</v>
      </c>
      <c r="B10202" t="str">
        <f t="shared" si="1818"/>
        <v>89895000</v>
      </c>
      <c r="C10202" t="str">
        <f t="shared" si="1819"/>
        <v>89895002</v>
      </c>
      <c r="D10202">
        <v>89301212</v>
      </c>
      <c r="E10202" t="str">
        <f>"5956232249"</f>
        <v>5956232249</v>
      </c>
      <c r="F10202" s="1">
        <v>45141</v>
      </c>
      <c r="G10202" t="str">
        <f>"89513"</f>
        <v>89513</v>
      </c>
      <c r="H10202">
        <v>1</v>
      </c>
      <c r="I10202">
        <v>378</v>
      </c>
      <c r="J10202">
        <v>0</v>
      </c>
      <c r="K10202" t="str">
        <f t="shared" si="1816"/>
        <v>809</v>
      </c>
      <c r="L10202">
        <v>555.66</v>
      </c>
    </row>
    <row r="10203" spans="1:12" x14ac:dyDescent="0.25">
      <c r="A10203" t="str">
        <f t="shared" si="1817"/>
        <v>89301000</v>
      </c>
      <c r="B10203" t="str">
        <f t="shared" si="1818"/>
        <v>89895000</v>
      </c>
      <c r="C10203" t="str">
        <f t="shared" si="1819"/>
        <v>89895002</v>
      </c>
      <c r="D10203">
        <v>89301212</v>
      </c>
      <c r="E10203" t="str">
        <f>"5956232249"</f>
        <v>5956232249</v>
      </c>
      <c r="F10203" s="1">
        <v>45141</v>
      </c>
      <c r="G10203" t="str">
        <f>"89514"</f>
        <v>89514</v>
      </c>
      <c r="H10203">
        <v>1</v>
      </c>
      <c r="I10203">
        <v>378</v>
      </c>
      <c r="J10203">
        <v>0</v>
      </c>
      <c r="K10203" t="str">
        <f t="shared" si="1816"/>
        <v>809</v>
      </c>
      <c r="L10203">
        <v>555.66</v>
      </c>
    </row>
    <row r="10204" spans="1:12" x14ac:dyDescent="0.25">
      <c r="A10204" t="str">
        <f t="shared" si="1817"/>
        <v>89301000</v>
      </c>
      <c r="B10204" t="str">
        <f t="shared" si="1818"/>
        <v>89895000</v>
      </c>
      <c r="C10204" t="str">
        <f t="shared" si="1819"/>
        <v>89895002</v>
      </c>
      <c r="D10204">
        <v>89301212</v>
      </c>
      <c r="E10204" t="str">
        <f>"6352270210"</f>
        <v>6352270210</v>
      </c>
      <c r="F10204" s="1">
        <v>45142</v>
      </c>
      <c r="G10204" t="str">
        <f>"89512"</f>
        <v>89512</v>
      </c>
      <c r="H10204">
        <v>1</v>
      </c>
      <c r="I10204">
        <v>283</v>
      </c>
      <c r="J10204">
        <v>0</v>
      </c>
      <c r="K10204" t="str">
        <f t="shared" si="1816"/>
        <v>809</v>
      </c>
      <c r="L10204">
        <v>416.01</v>
      </c>
    </row>
    <row r="10205" spans="1:12" x14ac:dyDescent="0.25">
      <c r="A10205" t="str">
        <f t="shared" si="1817"/>
        <v>89301000</v>
      </c>
      <c r="B10205" t="str">
        <f t="shared" si="1818"/>
        <v>89895000</v>
      </c>
      <c r="C10205" t="str">
        <f t="shared" si="1819"/>
        <v>89895002</v>
      </c>
      <c r="D10205">
        <v>89301212</v>
      </c>
      <c r="E10205" t="str">
        <f>"6652120508"</f>
        <v>6652120508</v>
      </c>
      <c r="F10205" s="1">
        <v>45163</v>
      </c>
      <c r="G10205" t="str">
        <f>"89180"</f>
        <v>89180</v>
      </c>
      <c r="H10205">
        <v>2</v>
      </c>
      <c r="I10205">
        <v>762</v>
      </c>
      <c r="J10205">
        <v>0</v>
      </c>
      <c r="K10205" t="str">
        <f t="shared" si="1816"/>
        <v>809</v>
      </c>
      <c r="L10205">
        <v>1120.1400000000001</v>
      </c>
    </row>
    <row r="10206" spans="1:12" x14ac:dyDescent="0.25">
      <c r="A10206" t="str">
        <f t="shared" si="1817"/>
        <v>89301000</v>
      </c>
      <c r="B10206" t="str">
        <f t="shared" si="1818"/>
        <v>89895000</v>
      </c>
      <c r="C10206" t="str">
        <f t="shared" si="1819"/>
        <v>89895002</v>
      </c>
      <c r="D10206">
        <v>89301212</v>
      </c>
      <c r="E10206" t="str">
        <f>"6652120508"</f>
        <v>6652120508</v>
      </c>
      <c r="F10206" s="1">
        <v>45163</v>
      </c>
      <c r="G10206" t="str">
        <f>"89512"</f>
        <v>89512</v>
      </c>
      <c r="H10206">
        <v>1</v>
      </c>
      <c r="I10206">
        <v>283</v>
      </c>
      <c r="J10206">
        <v>0</v>
      </c>
      <c r="K10206" t="str">
        <f t="shared" si="1816"/>
        <v>809</v>
      </c>
      <c r="L10206">
        <v>416.01</v>
      </c>
    </row>
    <row r="10207" spans="1:12" x14ac:dyDescent="0.25">
      <c r="A10207" t="str">
        <f t="shared" si="1817"/>
        <v>89301000</v>
      </c>
      <c r="B10207" t="str">
        <f t="shared" si="1818"/>
        <v>89895000</v>
      </c>
      <c r="C10207" t="str">
        <f t="shared" si="1819"/>
        <v>89895002</v>
      </c>
      <c r="D10207">
        <v>89301212</v>
      </c>
      <c r="E10207" t="str">
        <f>"6652120508"</f>
        <v>6652120508</v>
      </c>
      <c r="F10207" s="1">
        <v>45163</v>
      </c>
      <c r="G10207" t="str">
        <f>"09511"</f>
        <v>09511</v>
      </c>
      <c r="H10207">
        <v>1</v>
      </c>
      <c r="I10207">
        <v>45</v>
      </c>
      <c r="J10207">
        <v>0</v>
      </c>
      <c r="K10207" t="str">
        <f t="shared" si="1816"/>
        <v>809</v>
      </c>
      <c r="L10207">
        <v>66.150000000000006</v>
      </c>
    </row>
    <row r="10208" spans="1:12" x14ac:dyDescent="0.25">
      <c r="A10208" t="str">
        <f t="shared" si="1817"/>
        <v>89301000</v>
      </c>
      <c r="B10208" t="str">
        <f t="shared" si="1818"/>
        <v>89895000</v>
      </c>
      <c r="C10208" t="str">
        <f t="shared" si="1819"/>
        <v>89895002</v>
      </c>
      <c r="D10208">
        <v>89301212</v>
      </c>
      <c r="E10208" t="str">
        <f>"6652120508"</f>
        <v>6652120508</v>
      </c>
      <c r="F10208" s="1">
        <v>45163</v>
      </c>
      <c r="G10208" t="str">
        <f>"89513"</f>
        <v>89513</v>
      </c>
      <c r="H10208">
        <v>1</v>
      </c>
      <c r="I10208">
        <v>378</v>
      </c>
      <c r="J10208">
        <v>0</v>
      </c>
      <c r="K10208" t="str">
        <f t="shared" si="1816"/>
        <v>809</v>
      </c>
      <c r="L10208">
        <v>555.66</v>
      </c>
    </row>
    <row r="10209" spans="1:12" x14ac:dyDescent="0.25">
      <c r="A10209" t="str">
        <f t="shared" si="1817"/>
        <v>89301000</v>
      </c>
      <c r="B10209" t="str">
        <f t="shared" si="1818"/>
        <v>89895000</v>
      </c>
      <c r="C10209" t="str">
        <f t="shared" si="1819"/>
        <v>89895002</v>
      </c>
      <c r="D10209">
        <v>89301212</v>
      </c>
      <c r="E10209" t="str">
        <f>"6652120508"</f>
        <v>6652120508</v>
      </c>
      <c r="F10209" s="1">
        <v>45163</v>
      </c>
      <c r="G10209" t="str">
        <f>"89514"</f>
        <v>89514</v>
      </c>
      <c r="H10209">
        <v>1</v>
      </c>
      <c r="I10209">
        <v>378</v>
      </c>
      <c r="J10209">
        <v>0</v>
      </c>
      <c r="K10209" t="str">
        <f t="shared" si="1816"/>
        <v>809</v>
      </c>
      <c r="L10209">
        <v>555.66</v>
      </c>
    </row>
    <row r="10210" spans="1:12" x14ac:dyDescent="0.25">
      <c r="A10210" t="str">
        <f t="shared" si="1817"/>
        <v>89301000</v>
      </c>
      <c r="B10210" t="str">
        <f t="shared" si="1818"/>
        <v>89895000</v>
      </c>
      <c r="C10210" t="str">
        <f t="shared" si="1819"/>
        <v>89895002</v>
      </c>
      <c r="D10210">
        <v>89301212</v>
      </c>
      <c r="E10210" t="str">
        <f>"7357094459"</f>
        <v>7357094459</v>
      </c>
      <c r="F10210" s="1">
        <v>45154</v>
      </c>
      <c r="G10210" t="str">
        <f>"89512"</f>
        <v>89512</v>
      </c>
      <c r="H10210">
        <v>1</v>
      </c>
      <c r="I10210">
        <v>283</v>
      </c>
      <c r="J10210">
        <v>0</v>
      </c>
      <c r="K10210" t="str">
        <f t="shared" si="1816"/>
        <v>809</v>
      </c>
      <c r="L10210">
        <v>416.01</v>
      </c>
    </row>
    <row r="10211" spans="1:12" x14ac:dyDescent="0.25">
      <c r="A10211" t="str">
        <f t="shared" si="1817"/>
        <v>89301000</v>
      </c>
      <c r="B10211" t="str">
        <f t="shared" si="1818"/>
        <v>89895000</v>
      </c>
      <c r="C10211" t="str">
        <f t="shared" si="1819"/>
        <v>89895002</v>
      </c>
      <c r="D10211">
        <v>89301212</v>
      </c>
      <c r="E10211" t="str">
        <f>"7357094459"</f>
        <v>7357094459</v>
      </c>
      <c r="F10211" s="1">
        <v>45154</v>
      </c>
      <c r="G10211" t="str">
        <f>"09511"</f>
        <v>09511</v>
      </c>
      <c r="H10211">
        <v>1</v>
      </c>
      <c r="I10211">
        <v>45</v>
      </c>
      <c r="J10211">
        <v>0</v>
      </c>
      <c r="K10211" t="str">
        <f t="shared" si="1816"/>
        <v>809</v>
      </c>
      <c r="L10211">
        <v>66.150000000000006</v>
      </c>
    </row>
    <row r="10212" spans="1:12" x14ac:dyDescent="0.25">
      <c r="A10212" t="str">
        <f t="shared" si="1817"/>
        <v>89301000</v>
      </c>
      <c r="B10212" t="str">
        <f t="shared" si="1818"/>
        <v>89895000</v>
      </c>
      <c r="C10212" t="str">
        <f t="shared" si="1819"/>
        <v>89895002</v>
      </c>
      <c r="D10212">
        <v>89301212</v>
      </c>
      <c r="E10212" t="str">
        <f>"7357094459"</f>
        <v>7357094459</v>
      </c>
      <c r="F10212" s="1">
        <v>45154</v>
      </c>
      <c r="G10212" t="str">
        <f>"89513"</f>
        <v>89513</v>
      </c>
      <c r="H10212">
        <v>1</v>
      </c>
      <c r="I10212">
        <v>378</v>
      </c>
      <c r="J10212">
        <v>0</v>
      </c>
      <c r="K10212" t="str">
        <f t="shared" si="1816"/>
        <v>809</v>
      </c>
      <c r="L10212">
        <v>555.66</v>
      </c>
    </row>
    <row r="10213" spans="1:12" x14ac:dyDescent="0.25">
      <c r="A10213" t="str">
        <f t="shared" si="1817"/>
        <v>89301000</v>
      </c>
      <c r="B10213" t="str">
        <f t="shared" si="1818"/>
        <v>89895000</v>
      </c>
      <c r="C10213" t="str">
        <f t="shared" si="1819"/>
        <v>89895002</v>
      </c>
      <c r="D10213">
        <v>89301212</v>
      </c>
      <c r="E10213" t="str">
        <f>"7357094459"</f>
        <v>7357094459</v>
      </c>
      <c r="F10213" s="1">
        <v>45154</v>
      </c>
      <c r="G10213" t="str">
        <f>"89514"</f>
        <v>89514</v>
      </c>
      <c r="H10213">
        <v>1</v>
      </c>
      <c r="I10213">
        <v>378</v>
      </c>
      <c r="J10213">
        <v>0</v>
      </c>
      <c r="K10213" t="str">
        <f t="shared" si="1816"/>
        <v>809</v>
      </c>
      <c r="L10213">
        <v>555.66</v>
      </c>
    </row>
    <row r="10214" spans="1:12" x14ac:dyDescent="0.25">
      <c r="A10214" t="str">
        <f t="shared" si="1817"/>
        <v>89301000</v>
      </c>
      <c r="B10214" t="str">
        <f t="shared" si="1818"/>
        <v>89895000</v>
      </c>
      <c r="C10214" t="str">
        <f t="shared" si="1819"/>
        <v>89895002</v>
      </c>
      <c r="D10214">
        <v>89301212</v>
      </c>
      <c r="E10214" t="str">
        <f>"7552284685"</f>
        <v>7552284685</v>
      </c>
      <c r="F10214" s="1">
        <v>45159</v>
      </c>
      <c r="G10214" t="str">
        <f>"89180"</f>
        <v>89180</v>
      </c>
      <c r="H10214">
        <v>2</v>
      </c>
      <c r="I10214">
        <v>762</v>
      </c>
      <c r="J10214">
        <v>0</v>
      </c>
      <c r="K10214" t="str">
        <f t="shared" si="1816"/>
        <v>809</v>
      </c>
      <c r="L10214">
        <v>1120.1400000000001</v>
      </c>
    </row>
    <row r="10215" spans="1:12" x14ac:dyDescent="0.25">
      <c r="A10215" t="str">
        <f t="shared" si="1817"/>
        <v>89301000</v>
      </c>
      <c r="B10215" t="str">
        <f t="shared" si="1818"/>
        <v>89895000</v>
      </c>
      <c r="C10215" t="str">
        <f t="shared" si="1819"/>
        <v>89895002</v>
      </c>
      <c r="D10215">
        <v>89301212</v>
      </c>
      <c r="E10215" t="str">
        <f>"7552284685"</f>
        <v>7552284685</v>
      </c>
      <c r="F10215" s="1">
        <v>45159</v>
      </c>
      <c r="G10215" t="str">
        <f>"89513"</f>
        <v>89513</v>
      </c>
      <c r="H10215">
        <v>1</v>
      </c>
      <c r="I10215">
        <v>378</v>
      </c>
      <c r="J10215">
        <v>0</v>
      </c>
      <c r="K10215" t="str">
        <f t="shared" si="1816"/>
        <v>809</v>
      </c>
      <c r="L10215">
        <v>555.66</v>
      </c>
    </row>
    <row r="10216" spans="1:12" x14ac:dyDescent="0.25">
      <c r="A10216" t="str">
        <f t="shared" si="1817"/>
        <v>89301000</v>
      </c>
      <c r="B10216" t="str">
        <f t="shared" si="1818"/>
        <v>89895000</v>
      </c>
      <c r="C10216" t="str">
        <f t="shared" si="1819"/>
        <v>89895002</v>
      </c>
      <c r="D10216">
        <v>89301212</v>
      </c>
      <c r="E10216" t="str">
        <f>"7552284685"</f>
        <v>7552284685</v>
      </c>
      <c r="F10216" s="1">
        <v>45159</v>
      </c>
      <c r="G10216" t="str">
        <f>"89514"</f>
        <v>89514</v>
      </c>
      <c r="H10216">
        <v>1</v>
      </c>
      <c r="I10216">
        <v>378</v>
      </c>
      <c r="J10216">
        <v>0</v>
      </c>
      <c r="K10216" t="str">
        <f t="shared" si="1816"/>
        <v>809</v>
      </c>
      <c r="L10216">
        <v>555.66</v>
      </c>
    </row>
    <row r="10217" spans="1:12" x14ac:dyDescent="0.25">
      <c r="A10217" t="str">
        <f t="shared" si="1817"/>
        <v>89301000</v>
      </c>
      <c r="B10217" t="str">
        <f t="shared" si="1818"/>
        <v>89895000</v>
      </c>
      <c r="C10217" t="str">
        <f t="shared" si="1819"/>
        <v>89895002</v>
      </c>
      <c r="D10217">
        <v>89301212</v>
      </c>
      <c r="E10217" t="str">
        <f>"7552284685"</f>
        <v>7552284685</v>
      </c>
      <c r="F10217" s="1">
        <v>45159</v>
      </c>
      <c r="G10217" t="str">
        <f>"89512"</f>
        <v>89512</v>
      </c>
      <c r="H10217">
        <v>1</v>
      </c>
      <c r="I10217">
        <v>283</v>
      </c>
      <c r="J10217">
        <v>0</v>
      </c>
      <c r="K10217" t="str">
        <f t="shared" si="1816"/>
        <v>809</v>
      </c>
      <c r="L10217">
        <v>416.01</v>
      </c>
    </row>
    <row r="10218" spans="1:12" x14ac:dyDescent="0.25">
      <c r="A10218" t="str">
        <f t="shared" si="1817"/>
        <v>89301000</v>
      </c>
      <c r="B10218" t="str">
        <f t="shared" si="1818"/>
        <v>89895000</v>
      </c>
      <c r="C10218" t="str">
        <f t="shared" si="1819"/>
        <v>89895002</v>
      </c>
      <c r="D10218">
        <v>89301212</v>
      </c>
      <c r="E10218" t="str">
        <f>"7552284685"</f>
        <v>7552284685</v>
      </c>
      <c r="F10218" s="1">
        <v>45159</v>
      </c>
      <c r="G10218" t="str">
        <f>"09511"</f>
        <v>09511</v>
      </c>
      <c r="H10218">
        <v>1</v>
      </c>
      <c r="I10218">
        <v>45</v>
      </c>
      <c r="J10218">
        <v>0</v>
      </c>
      <c r="K10218" t="str">
        <f t="shared" si="1816"/>
        <v>809</v>
      </c>
      <c r="L10218">
        <v>66.150000000000006</v>
      </c>
    </row>
    <row r="10219" spans="1:12" x14ac:dyDescent="0.25">
      <c r="A10219" t="str">
        <f t="shared" si="1817"/>
        <v>89301000</v>
      </c>
      <c r="B10219" t="str">
        <f t="shared" si="1818"/>
        <v>89895000</v>
      </c>
      <c r="C10219" t="str">
        <f t="shared" si="1819"/>
        <v>89895002</v>
      </c>
      <c r="D10219">
        <v>89301212</v>
      </c>
      <c r="E10219" t="str">
        <f>"8061075319"</f>
        <v>8061075319</v>
      </c>
      <c r="F10219" s="1">
        <v>45169</v>
      </c>
      <c r="G10219" t="str">
        <f>"89180"</f>
        <v>89180</v>
      </c>
      <c r="H10219">
        <v>2</v>
      </c>
      <c r="I10219">
        <v>762</v>
      </c>
      <c r="J10219">
        <v>0</v>
      </c>
      <c r="K10219" t="str">
        <f t="shared" si="1816"/>
        <v>809</v>
      </c>
      <c r="L10219">
        <v>1120.1400000000001</v>
      </c>
    </row>
    <row r="10220" spans="1:12" x14ac:dyDescent="0.25">
      <c r="A10220" t="str">
        <f t="shared" si="1817"/>
        <v>89301000</v>
      </c>
      <c r="B10220" t="str">
        <f t="shared" si="1818"/>
        <v>89895000</v>
      </c>
      <c r="C10220" t="str">
        <f t="shared" si="1819"/>
        <v>89895002</v>
      </c>
      <c r="D10220">
        <v>89301212</v>
      </c>
      <c r="E10220" t="str">
        <f>"8061075319"</f>
        <v>8061075319</v>
      </c>
      <c r="F10220" s="1">
        <v>45169</v>
      </c>
      <c r="G10220" t="str">
        <f>"89512"</f>
        <v>89512</v>
      </c>
      <c r="H10220">
        <v>1</v>
      </c>
      <c r="I10220">
        <v>283</v>
      </c>
      <c r="J10220">
        <v>0</v>
      </c>
      <c r="K10220" t="str">
        <f t="shared" si="1816"/>
        <v>809</v>
      </c>
      <c r="L10220">
        <v>416.01</v>
      </c>
    </row>
    <row r="10221" spans="1:12" x14ac:dyDescent="0.25">
      <c r="A10221" t="str">
        <f t="shared" si="1817"/>
        <v>89301000</v>
      </c>
      <c r="B10221" t="str">
        <f t="shared" si="1818"/>
        <v>89895000</v>
      </c>
      <c r="C10221" t="str">
        <f t="shared" si="1819"/>
        <v>89895002</v>
      </c>
      <c r="D10221">
        <v>89301212</v>
      </c>
      <c r="E10221" t="str">
        <f>"8061075319"</f>
        <v>8061075319</v>
      </c>
      <c r="F10221" s="1">
        <v>45169</v>
      </c>
      <c r="G10221" t="str">
        <f>"09511"</f>
        <v>09511</v>
      </c>
      <c r="H10221">
        <v>1</v>
      </c>
      <c r="I10221">
        <v>45</v>
      </c>
      <c r="J10221">
        <v>0</v>
      </c>
      <c r="K10221" t="str">
        <f t="shared" si="1816"/>
        <v>809</v>
      </c>
      <c r="L10221">
        <v>66.150000000000006</v>
      </c>
    </row>
    <row r="10222" spans="1:12" x14ac:dyDescent="0.25">
      <c r="A10222" t="str">
        <f t="shared" si="1817"/>
        <v>89301000</v>
      </c>
      <c r="B10222" t="str">
        <f>"86101000"</f>
        <v>86101000</v>
      </c>
      <c r="C10222" t="str">
        <f>"86101920"</f>
        <v>86101920</v>
      </c>
      <c r="D10222">
        <v>89301112</v>
      </c>
      <c r="E10222" t="str">
        <f>"6606251377"</f>
        <v>6606251377</v>
      </c>
      <c r="F10222" s="1">
        <v>45167</v>
      </c>
      <c r="G10222" t="str">
        <f>"89725"</f>
        <v>89725</v>
      </c>
      <c r="H10222">
        <v>1</v>
      </c>
      <c r="I10222">
        <v>2863</v>
      </c>
      <c r="J10222">
        <v>0</v>
      </c>
      <c r="K10222" t="str">
        <f>"810"</f>
        <v>810</v>
      </c>
      <c r="L10222">
        <v>1860.95</v>
      </c>
    </row>
    <row r="10223" spans="1:12" x14ac:dyDescent="0.25">
      <c r="A10223" t="str">
        <f t="shared" si="1817"/>
        <v>89301000</v>
      </c>
      <c r="B10223" t="str">
        <f>"86101000"</f>
        <v>86101000</v>
      </c>
      <c r="C10223" t="str">
        <f>"86101920"</f>
        <v>86101920</v>
      </c>
      <c r="D10223">
        <v>89301112</v>
      </c>
      <c r="E10223" t="str">
        <f>"6606251377"</f>
        <v>6606251377</v>
      </c>
      <c r="F10223" s="1">
        <v>45167</v>
      </c>
      <c r="G10223" t="str">
        <f>"89713"</f>
        <v>89713</v>
      </c>
      <c r="H10223">
        <v>1</v>
      </c>
      <c r="I10223">
        <v>5411</v>
      </c>
      <c r="J10223">
        <v>0</v>
      </c>
      <c r="K10223" t="str">
        <f>"810"</f>
        <v>810</v>
      </c>
      <c r="L10223">
        <v>3517.15</v>
      </c>
    </row>
    <row r="10224" spans="1:12" x14ac:dyDescent="0.25">
      <c r="A10224" t="str">
        <f t="shared" si="1817"/>
        <v>89301000</v>
      </c>
      <c r="B10224" t="str">
        <f>"86101000"</f>
        <v>86101000</v>
      </c>
      <c r="C10224" t="str">
        <f>"86101920"</f>
        <v>86101920</v>
      </c>
      <c r="D10224">
        <v>89301600</v>
      </c>
      <c r="E10224" t="str">
        <f>"8451045768"</f>
        <v>8451045768</v>
      </c>
      <c r="F10224" s="1">
        <v>45150</v>
      </c>
      <c r="G10224" t="str">
        <f>"89713"</f>
        <v>89713</v>
      </c>
      <c r="H10224">
        <v>1</v>
      </c>
      <c r="I10224">
        <v>5411</v>
      </c>
      <c r="J10224">
        <v>0</v>
      </c>
      <c r="K10224" t="str">
        <f>"810"</f>
        <v>810</v>
      </c>
      <c r="L10224">
        <v>3517.15</v>
      </c>
    </row>
    <row r="10225" spans="1:12" x14ac:dyDescent="0.25">
      <c r="A10225" t="str">
        <f t="shared" si="1817"/>
        <v>89301000</v>
      </c>
      <c r="B10225" t="str">
        <f>"86101000"</f>
        <v>86101000</v>
      </c>
      <c r="C10225" t="str">
        <f>"86101920"</f>
        <v>86101920</v>
      </c>
      <c r="D10225">
        <v>89301600</v>
      </c>
      <c r="E10225" t="str">
        <f>"8451045768"</f>
        <v>8451045768</v>
      </c>
      <c r="F10225" s="1">
        <v>45150</v>
      </c>
      <c r="G10225" t="str">
        <f>"89723"</f>
        <v>89723</v>
      </c>
      <c r="H10225">
        <v>1</v>
      </c>
      <c r="I10225">
        <v>5940</v>
      </c>
      <c r="J10225">
        <v>0</v>
      </c>
      <c r="K10225" t="str">
        <f>"810"</f>
        <v>810</v>
      </c>
      <c r="L10225">
        <v>3861</v>
      </c>
    </row>
    <row r="10226" spans="1:12" x14ac:dyDescent="0.25">
      <c r="A10226" t="str">
        <f t="shared" si="1817"/>
        <v>89301000</v>
      </c>
      <c r="B10226" t="str">
        <f>"86101000"</f>
        <v>86101000</v>
      </c>
      <c r="C10226" t="str">
        <f>"86101920"</f>
        <v>86101920</v>
      </c>
      <c r="D10226">
        <v>89301600</v>
      </c>
      <c r="E10226" t="str">
        <f>"8451045768"</f>
        <v>8451045768</v>
      </c>
      <c r="F10226" s="1">
        <v>45150</v>
      </c>
      <c r="G10226" t="str">
        <f>"89725"</f>
        <v>89725</v>
      </c>
      <c r="H10226">
        <v>1</v>
      </c>
      <c r="I10226">
        <v>2863</v>
      </c>
      <c r="J10226">
        <v>0</v>
      </c>
      <c r="K10226" t="str">
        <f>"810"</f>
        <v>810</v>
      </c>
      <c r="L10226">
        <v>1860.95</v>
      </c>
    </row>
    <row r="10227" spans="1:12" x14ac:dyDescent="0.25">
      <c r="A10227" t="str">
        <f t="shared" si="1817"/>
        <v>89301000</v>
      </c>
      <c r="B10227" t="str">
        <f t="shared" ref="B10227:B10252" si="1820">"02004000"</f>
        <v>02004000</v>
      </c>
      <c r="C10227" t="str">
        <f>"02004153"</f>
        <v>02004153</v>
      </c>
      <c r="D10227">
        <v>89301282</v>
      </c>
      <c r="E10227" t="str">
        <f>"1905051214"</f>
        <v>1905051214</v>
      </c>
      <c r="F10227" s="1">
        <v>44988</v>
      </c>
      <c r="G10227" t="str">
        <f>"94983"</f>
        <v>94983</v>
      </c>
      <c r="H10227">
        <v>1</v>
      </c>
      <c r="I10227">
        <v>0</v>
      </c>
      <c r="J10227">
        <v>39600</v>
      </c>
      <c r="K10227" t="str">
        <f>"816"</f>
        <v>816</v>
      </c>
      <c r="L10227">
        <v>39600</v>
      </c>
    </row>
    <row r="10228" spans="1:12" x14ac:dyDescent="0.25">
      <c r="A10228" t="str">
        <f t="shared" si="1817"/>
        <v>89301000</v>
      </c>
      <c r="B10228" t="str">
        <f t="shared" si="1820"/>
        <v>02004000</v>
      </c>
      <c r="C10228" t="str">
        <f>"02004153"</f>
        <v>02004153</v>
      </c>
      <c r="D10228">
        <v>89301282</v>
      </c>
      <c r="E10228" t="str">
        <f>"1905051214"</f>
        <v>1905051214</v>
      </c>
      <c r="F10228" s="1">
        <v>44988</v>
      </c>
      <c r="G10228" t="str">
        <f>"94996"</f>
        <v>94996</v>
      </c>
      <c r="H10228">
        <v>1</v>
      </c>
      <c r="I10228">
        <v>0</v>
      </c>
      <c r="J10228">
        <v>0</v>
      </c>
      <c r="K10228" t="str">
        <f>"816"</f>
        <v>816</v>
      </c>
      <c r="L10228">
        <v>0</v>
      </c>
    </row>
    <row r="10229" spans="1:12" x14ac:dyDescent="0.25">
      <c r="A10229" t="str">
        <f t="shared" si="1817"/>
        <v>89301000</v>
      </c>
      <c r="B10229" t="str">
        <f t="shared" si="1820"/>
        <v>02004000</v>
      </c>
      <c r="C10229" t="str">
        <f>"02004153"</f>
        <v>02004153</v>
      </c>
      <c r="D10229">
        <v>89301282</v>
      </c>
      <c r="E10229" t="str">
        <f>"9904055711"</f>
        <v>9904055711</v>
      </c>
      <c r="F10229" s="1">
        <v>45125</v>
      </c>
      <c r="G10229" t="str">
        <f>"94331"</f>
        <v>94331</v>
      </c>
      <c r="H10229">
        <v>1</v>
      </c>
      <c r="I10229">
        <v>7866</v>
      </c>
      <c r="J10229">
        <v>0</v>
      </c>
      <c r="K10229" t="str">
        <f>"816"</f>
        <v>816</v>
      </c>
      <c r="L10229">
        <v>7079.4</v>
      </c>
    </row>
    <row r="10230" spans="1:12" x14ac:dyDescent="0.25">
      <c r="A10230" t="str">
        <f t="shared" si="1817"/>
        <v>89301000</v>
      </c>
      <c r="B10230" t="str">
        <f t="shared" si="1820"/>
        <v>02004000</v>
      </c>
      <c r="C10230" t="str">
        <f t="shared" ref="C10230:C10239" si="1821">"02004556"</f>
        <v>02004556</v>
      </c>
      <c r="D10230">
        <v>89301028</v>
      </c>
      <c r="E10230" t="str">
        <f>"9751295730"</f>
        <v>9751295730</v>
      </c>
      <c r="F10230" s="1">
        <v>45139</v>
      </c>
      <c r="G10230" t="str">
        <f>"91249"</f>
        <v>91249</v>
      </c>
      <c r="H10230">
        <v>1</v>
      </c>
      <c r="I10230">
        <v>1495</v>
      </c>
      <c r="J10230">
        <v>0</v>
      </c>
      <c r="K10230" t="str">
        <f t="shared" ref="K10230:K10239" si="1822">"813"</f>
        <v>813</v>
      </c>
      <c r="L10230">
        <v>1255.8</v>
      </c>
    </row>
    <row r="10231" spans="1:12" x14ac:dyDescent="0.25">
      <c r="A10231" t="str">
        <f t="shared" si="1817"/>
        <v>89301000</v>
      </c>
      <c r="B10231" t="str">
        <f t="shared" si="1820"/>
        <v>02004000</v>
      </c>
      <c r="C10231" t="str">
        <f t="shared" si="1821"/>
        <v>02004556</v>
      </c>
      <c r="D10231">
        <v>89301028</v>
      </c>
      <c r="E10231" t="str">
        <f>"9751295730"</f>
        <v>9751295730</v>
      </c>
      <c r="F10231" s="1">
        <v>45139</v>
      </c>
      <c r="G10231" t="str">
        <f>"91251"</f>
        <v>91251</v>
      </c>
      <c r="H10231">
        <v>1</v>
      </c>
      <c r="I10231">
        <v>1495</v>
      </c>
      <c r="J10231">
        <v>0</v>
      </c>
      <c r="K10231" t="str">
        <f t="shared" si="1822"/>
        <v>813</v>
      </c>
      <c r="L10231">
        <v>1255.8</v>
      </c>
    </row>
    <row r="10232" spans="1:12" x14ac:dyDescent="0.25">
      <c r="A10232" t="str">
        <f t="shared" si="1817"/>
        <v>89301000</v>
      </c>
      <c r="B10232" t="str">
        <f t="shared" si="1820"/>
        <v>02004000</v>
      </c>
      <c r="C10232" t="str">
        <f t="shared" si="1821"/>
        <v>02004556</v>
      </c>
      <c r="D10232">
        <v>89301102</v>
      </c>
      <c r="E10232" t="str">
        <f>"0707116157"</f>
        <v>0707116157</v>
      </c>
      <c r="F10232" s="1">
        <v>45146</v>
      </c>
      <c r="G10232" t="str">
        <f>"91249"</f>
        <v>91249</v>
      </c>
      <c r="H10232">
        <v>1</v>
      </c>
      <c r="I10232">
        <v>1495</v>
      </c>
      <c r="J10232">
        <v>0</v>
      </c>
      <c r="K10232" t="str">
        <f t="shared" si="1822"/>
        <v>813</v>
      </c>
      <c r="L10232">
        <v>1255.8</v>
      </c>
    </row>
    <row r="10233" spans="1:12" x14ac:dyDescent="0.25">
      <c r="A10233" t="str">
        <f t="shared" si="1817"/>
        <v>89301000</v>
      </c>
      <c r="B10233" t="str">
        <f t="shared" si="1820"/>
        <v>02004000</v>
      </c>
      <c r="C10233" t="str">
        <f t="shared" si="1821"/>
        <v>02004556</v>
      </c>
      <c r="D10233">
        <v>89301102</v>
      </c>
      <c r="E10233" t="str">
        <f>"0707116157"</f>
        <v>0707116157</v>
      </c>
      <c r="F10233" s="1">
        <v>45146</v>
      </c>
      <c r="G10233" t="str">
        <f>"91251"</f>
        <v>91251</v>
      </c>
      <c r="H10233">
        <v>1</v>
      </c>
      <c r="I10233">
        <v>1495</v>
      </c>
      <c r="J10233">
        <v>0</v>
      </c>
      <c r="K10233" t="str">
        <f t="shared" si="1822"/>
        <v>813</v>
      </c>
      <c r="L10233">
        <v>1255.8</v>
      </c>
    </row>
    <row r="10234" spans="1:12" x14ac:dyDescent="0.25">
      <c r="A10234" t="str">
        <f t="shared" si="1817"/>
        <v>89301000</v>
      </c>
      <c r="B10234" t="str">
        <f t="shared" si="1820"/>
        <v>02004000</v>
      </c>
      <c r="C10234" t="str">
        <f t="shared" si="1821"/>
        <v>02004556</v>
      </c>
      <c r="D10234">
        <v>89301028</v>
      </c>
      <c r="E10234" t="str">
        <f>"7156175378"</f>
        <v>7156175378</v>
      </c>
      <c r="F10234" s="1">
        <v>45154</v>
      </c>
      <c r="G10234" t="str">
        <f>"91249"</f>
        <v>91249</v>
      </c>
      <c r="H10234">
        <v>1</v>
      </c>
      <c r="I10234">
        <v>1495</v>
      </c>
      <c r="J10234">
        <v>0</v>
      </c>
      <c r="K10234" t="str">
        <f t="shared" si="1822"/>
        <v>813</v>
      </c>
      <c r="L10234">
        <v>1255.8</v>
      </c>
    </row>
    <row r="10235" spans="1:12" x14ac:dyDescent="0.25">
      <c r="A10235" t="str">
        <f t="shared" si="1817"/>
        <v>89301000</v>
      </c>
      <c r="B10235" t="str">
        <f t="shared" si="1820"/>
        <v>02004000</v>
      </c>
      <c r="C10235" t="str">
        <f t="shared" si="1821"/>
        <v>02004556</v>
      </c>
      <c r="D10235">
        <v>89301028</v>
      </c>
      <c r="E10235" t="str">
        <f>"7156175378"</f>
        <v>7156175378</v>
      </c>
      <c r="F10235" s="1">
        <v>45154</v>
      </c>
      <c r="G10235" t="str">
        <f>"91251"</f>
        <v>91251</v>
      </c>
      <c r="H10235">
        <v>1</v>
      </c>
      <c r="I10235">
        <v>1495</v>
      </c>
      <c r="J10235">
        <v>0</v>
      </c>
      <c r="K10235" t="str">
        <f t="shared" si="1822"/>
        <v>813</v>
      </c>
      <c r="L10235">
        <v>1255.8</v>
      </c>
    </row>
    <row r="10236" spans="1:12" x14ac:dyDescent="0.25">
      <c r="A10236" t="str">
        <f t="shared" si="1817"/>
        <v>89301000</v>
      </c>
      <c r="B10236" t="str">
        <f t="shared" si="1820"/>
        <v>02004000</v>
      </c>
      <c r="C10236" t="str">
        <f t="shared" si="1821"/>
        <v>02004556</v>
      </c>
      <c r="D10236">
        <v>89301102</v>
      </c>
      <c r="E10236" t="str">
        <f>"0658303239"</f>
        <v>0658303239</v>
      </c>
      <c r="F10236" s="1">
        <v>45147</v>
      </c>
      <c r="G10236" t="str">
        <f>"91249"</f>
        <v>91249</v>
      </c>
      <c r="H10236">
        <v>1</v>
      </c>
      <c r="I10236">
        <v>1495</v>
      </c>
      <c r="J10236">
        <v>0</v>
      </c>
      <c r="K10236" t="str">
        <f t="shared" si="1822"/>
        <v>813</v>
      </c>
      <c r="L10236">
        <v>1255.8</v>
      </c>
    </row>
    <row r="10237" spans="1:12" x14ac:dyDescent="0.25">
      <c r="A10237" t="str">
        <f t="shared" si="1817"/>
        <v>89301000</v>
      </c>
      <c r="B10237" t="str">
        <f t="shared" si="1820"/>
        <v>02004000</v>
      </c>
      <c r="C10237" t="str">
        <f t="shared" si="1821"/>
        <v>02004556</v>
      </c>
      <c r="D10237">
        <v>89301102</v>
      </c>
      <c r="E10237" t="str">
        <f>"0658303239"</f>
        <v>0658303239</v>
      </c>
      <c r="F10237" s="1">
        <v>45147</v>
      </c>
      <c r="G10237" t="str">
        <f>"91251"</f>
        <v>91251</v>
      </c>
      <c r="H10237">
        <v>1</v>
      </c>
      <c r="I10237">
        <v>1495</v>
      </c>
      <c r="J10237">
        <v>0</v>
      </c>
      <c r="K10237" t="str">
        <f t="shared" si="1822"/>
        <v>813</v>
      </c>
      <c r="L10237">
        <v>1255.8</v>
      </c>
    </row>
    <row r="10238" spans="1:12" x14ac:dyDescent="0.25">
      <c r="A10238" t="str">
        <f t="shared" si="1817"/>
        <v>89301000</v>
      </c>
      <c r="B10238" t="str">
        <f t="shared" si="1820"/>
        <v>02004000</v>
      </c>
      <c r="C10238" t="str">
        <f t="shared" si="1821"/>
        <v>02004556</v>
      </c>
      <c r="D10238">
        <v>89301102</v>
      </c>
      <c r="E10238" t="str">
        <f>"0705263240"</f>
        <v>0705263240</v>
      </c>
      <c r="F10238" s="1">
        <v>45155</v>
      </c>
      <c r="G10238" t="str">
        <f>"91249"</f>
        <v>91249</v>
      </c>
      <c r="H10238">
        <v>1</v>
      </c>
      <c r="I10238">
        <v>1495</v>
      </c>
      <c r="J10238">
        <v>0</v>
      </c>
      <c r="K10238" t="str">
        <f t="shared" si="1822"/>
        <v>813</v>
      </c>
      <c r="L10238">
        <v>1255.8</v>
      </c>
    </row>
    <row r="10239" spans="1:12" x14ac:dyDescent="0.25">
      <c r="A10239" t="str">
        <f t="shared" si="1817"/>
        <v>89301000</v>
      </c>
      <c r="B10239" t="str">
        <f t="shared" si="1820"/>
        <v>02004000</v>
      </c>
      <c r="C10239" t="str">
        <f t="shared" si="1821"/>
        <v>02004556</v>
      </c>
      <c r="D10239">
        <v>89301102</v>
      </c>
      <c r="E10239" t="str">
        <f>"0705263240"</f>
        <v>0705263240</v>
      </c>
      <c r="F10239" s="1">
        <v>45155</v>
      </c>
      <c r="G10239" t="str">
        <f>"91251"</f>
        <v>91251</v>
      </c>
      <c r="H10239">
        <v>1</v>
      </c>
      <c r="I10239">
        <v>1495</v>
      </c>
      <c r="J10239">
        <v>0</v>
      </c>
      <c r="K10239" t="str">
        <f t="shared" si="1822"/>
        <v>813</v>
      </c>
      <c r="L10239">
        <v>1255.8</v>
      </c>
    </row>
    <row r="10240" spans="1:12" x14ac:dyDescent="0.25">
      <c r="A10240" t="str">
        <f t="shared" si="1817"/>
        <v>89301000</v>
      </c>
      <c r="B10240" t="str">
        <f t="shared" si="1820"/>
        <v>02004000</v>
      </c>
      <c r="C10240" t="str">
        <f>"02004149"</f>
        <v>02004149</v>
      </c>
      <c r="D10240">
        <v>89301375</v>
      </c>
      <c r="E10240" t="str">
        <f>"7559144461"</f>
        <v>7559144461</v>
      </c>
      <c r="F10240" s="1">
        <v>45138</v>
      </c>
      <c r="G10240" t="str">
        <f>"87217"</f>
        <v>87217</v>
      </c>
      <c r="H10240">
        <v>2</v>
      </c>
      <c r="I10240">
        <v>430</v>
      </c>
      <c r="J10240">
        <v>0</v>
      </c>
      <c r="K10240" t="str">
        <f>"807"</f>
        <v>807</v>
      </c>
      <c r="L10240">
        <v>361.2</v>
      </c>
    </row>
    <row r="10241" spans="1:12" x14ac:dyDescent="0.25">
      <c r="A10241" t="str">
        <f t="shared" si="1817"/>
        <v>89301000</v>
      </c>
      <c r="B10241" t="str">
        <f t="shared" si="1820"/>
        <v>02004000</v>
      </c>
      <c r="C10241" t="str">
        <f>"02004149"</f>
        <v>02004149</v>
      </c>
      <c r="D10241">
        <v>89301375</v>
      </c>
      <c r="E10241" t="str">
        <f>"7559144461"</f>
        <v>7559144461</v>
      </c>
      <c r="F10241" s="1">
        <v>45138</v>
      </c>
      <c r="G10241" t="str">
        <f>"87223"</f>
        <v>87223</v>
      </c>
      <c r="H10241">
        <v>1</v>
      </c>
      <c r="I10241">
        <v>398</v>
      </c>
      <c r="J10241">
        <v>0</v>
      </c>
      <c r="K10241" t="str">
        <f>"807"</f>
        <v>807</v>
      </c>
      <c r="L10241">
        <v>334.32</v>
      </c>
    </row>
    <row r="10242" spans="1:12" x14ac:dyDescent="0.25">
      <c r="A10242" t="str">
        <f t="shared" ref="A10242:A10305" si="1823">"89301000"</f>
        <v>89301000</v>
      </c>
      <c r="B10242" t="str">
        <f t="shared" si="1820"/>
        <v>02004000</v>
      </c>
      <c r="C10242" t="str">
        <f>"02004149"</f>
        <v>02004149</v>
      </c>
      <c r="D10242">
        <v>89301375</v>
      </c>
      <c r="E10242" t="str">
        <f>"7559144461"</f>
        <v>7559144461</v>
      </c>
      <c r="F10242" s="1">
        <v>45138</v>
      </c>
      <c r="G10242" t="str">
        <f>"87231"</f>
        <v>87231</v>
      </c>
      <c r="H10242">
        <v>9</v>
      </c>
      <c r="I10242">
        <v>3429</v>
      </c>
      <c r="J10242">
        <v>0</v>
      </c>
      <c r="K10242" t="str">
        <f>"807"</f>
        <v>807</v>
      </c>
      <c r="L10242">
        <v>2880.36</v>
      </c>
    </row>
    <row r="10243" spans="1:12" x14ac:dyDescent="0.25">
      <c r="A10243" t="str">
        <f t="shared" si="1823"/>
        <v>89301000</v>
      </c>
      <c r="B10243" t="str">
        <f t="shared" si="1820"/>
        <v>02004000</v>
      </c>
      <c r="C10243" t="str">
        <f>"02004149"</f>
        <v>02004149</v>
      </c>
      <c r="D10243">
        <v>89301375</v>
      </c>
      <c r="E10243" t="str">
        <f>"7559144461"</f>
        <v>7559144461</v>
      </c>
      <c r="F10243" s="1">
        <v>45138</v>
      </c>
      <c r="G10243" t="str">
        <f>"87231"</f>
        <v>87231</v>
      </c>
      <c r="H10243">
        <v>4</v>
      </c>
      <c r="I10243">
        <v>1524</v>
      </c>
      <c r="J10243">
        <v>0</v>
      </c>
      <c r="K10243" t="str">
        <f>"807"</f>
        <v>807</v>
      </c>
      <c r="L10243">
        <v>1280.1600000000001</v>
      </c>
    </row>
    <row r="10244" spans="1:12" x14ac:dyDescent="0.25">
      <c r="A10244" t="str">
        <f t="shared" si="1823"/>
        <v>89301000</v>
      </c>
      <c r="B10244" t="str">
        <f t="shared" si="1820"/>
        <v>02004000</v>
      </c>
      <c r="C10244" t="str">
        <f>"02004149"</f>
        <v>02004149</v>
      </c>
      <c r="D10244">
        <v>89301375</v>
      </c>
      <c r="E10244" t="str">
        <f>"7559144461"</f>
        <v>7559144461</v>
      </c>
      <c r="F10244" s="1">
        <v>45138</v>
      </c>
      <c r="G10244" t="str">
        <f>"94365"</f>
        <v>94365</v>
      </c>
      <c r="H10244">
        <v>1</v>
      </c>
      <c r="I10244">
        <v>36656</v>
      </c>
      <c r="J10244">
        <v>0</v>
      </c>
      <c r="K10244" t="str">
        <f>"807"</f>
        <v>807</v>
      </c>
      <c r="L10244">
        <v>30791.040000000001</v>
      </c>
    </row>
    <row r="10245" spans="1:12" x14ac:dyDescent="0.25">
      <c r="A10245" t="str">
        <f t="shared" si="1823"/>
        <v>89301000</v>
      </c>
      <c r="B10245" t="str">
        <f t="shared" si="1820"/>
        <v>02004000</v>
      </c>
      <c r="C10245" t="str">
        <f t="shared" ref="C10245:C10252" si="1824">"02004556"</f>
        <v>02004556</v>
      </c>
      <c r="D10245">
        <v>89301102</v>
      </c>
      <c r="E10245" t="str">
        <f>"0606161380"</f>
        <v>0606161380</v>
      </c>
      <c r="F10245" s="1">
        <v>45138</v>
      </c>
      <c r="G10245" t="str">
        <f>"91249"</f>
        <v>91249</v>
      </c>
      <c r="H10245">
        <v>1</v>
      </c>
      <c r="I10245">
        <v>1495</v>
      </c>
      <c r="J10245">
        <v>0</v>
      </c>
      <c r="K10245" t="str">
        <f t="shared" ref="K10245:K10252" si="1825">"813"</f>
        <v>813</v>
      </c>
      <c r="L10245">
        <v>1255.8</v>
      </c>
    </row>
    <row r="10246" spans="1:12" x14ac:dyDescent="0.25">
      <c r="A10246" t="str">
        <f t="shared" si="1823"/>
        <v>89301000</v>
      </c>
      <c r="B10246" t="str">
        <f t="shared" si="1820"/>
        <v>02004000</v>
      </c>
      <c r="C10246" t="str">
        <f t="shared" si="1824"/>
        <v>02004556</v>
      </c>
      <c r="D10246">
        <v>89301102</v>
      </c>
      <c r="E10246" t="str">
        <f>"0606161380"</f>
        <v>0606161380</v>
      </c>
      <c r="F10246" s="1">
        <v>45138</v>
      </c>
      <c r="G10246" t="str">
        <f>"91251"</f>
        <v>91251</v>
      </c>
      <c r="H10246">
        <v>1</v>
      </c>
      <c r="I10246">
        <v>1495</v>
      </c>
      <c r="J10246">
        <v>0</v>
      </c>
      <c r="K10246" t="str">
        <f t="shared" si="1825"/>
        <v>813</v>
      </c>
      <c r="L10246">
        <v>1255.8</v>
      </c>
    </row>
    <row r="10247" spans="1:12" x14ac:dyDescent="0.25">
      <c r="A10247" t="str">
        <f t="shared" si="1823"/>
        <v>89301000</v>
      </c>
      <c r="B10247" t="str">
        <f t="shared" si="1820"/>
        <v>02004000</v>
      </c>
      <c r="C10247" t="str">
        <f t="shared" si="1824"/>
        <v>02004556</v>
      </c>
      <c r="D10247">
        <v>89301101</v>
      </c>
      <c r="E10247" t="str">
        <f>"0859053261"</f>
        <v>0859053261</v>
      </c>
      <c r="F10247" s="1">
        <v>45134</v>
      </c>
      <c r="G10247" t="str">
        <f>"91249"</f>
        <v>91249</v>
      </c>
      <c r="H10247">
        <v>1</v>
      </c>
      <c r="I10247">
        <v>1495</v>
      </c>
      <c r="J10247">
        <v>0</v>
      </c>
      <c r="K10247" t="str">
        <f t="shared" si="1825"/>
        <v>813</v>
      </c>
      <c r="L10247">
        <v>1255.8</v>
      </c>
    </row>
    <row r="10248" spans="1:12" x14ac:dyDescent="0.25">
      <c r="A10248" t="str">
        <f t="shared" si="1823"/>
        <v>89301000</v>
      </c>
      <c r="B10248" t="str">
        <f t="shared" si="1820"/>
        <v>02004000</v>
      </c>
      <c r="C10248" t="str">
        <f t="shared" si="1824"/>
        <v>02004556</v>
      </c>
      <c r="D10248">
        <v>89301101</v>
      </c>
      <c r="E10248" t="str">
        <f>"0859053261"</f>
        <v>0859053261</v>
      </c>
      <c r="F10248" s="1">
        <v>45134</v>
      </c>
      <c r="G10248" t="str">
        <f>"91251"</f>
        <v>91251</v>
      </c>
      <c r="H10248">
        <v>1</v>
      </c>
      <c r="I10248">
        <v>1495</v>
      </c>
      <c r="J10248">
        <v>0</v>
      </c>
      <c r="K10248" t="str">
        <f t="shared" si="1825"/>
        <v>813</v>
      </c>
      <c r="L10248">
        <v>1255.8</v>
      </c>
    </row>
    <row r="10249" spans="1:12" x14ac:dyDescent="0.25">
      <c r="A10249" t="str">
        <f t="shared" si="1823"/>
        <v>89301000</v>
      </c>
      <c r="B10249" t="str">
        <f t="shared" si="1820"/>
        <v>02004000</v>
      </c>
      <c r="C10249" t="str">
        <f t="shared" si="1824"/>
        <v>02004556</v>
      </c>
      <c r="D10249">
        <v>89301028</v>
      </c>
      <c r="E10249" t="str">
        <f>"0207065914"</f>
        <v>0207065914</v>
      </c>
      <c r="F10249" s="1">
        <v>45138</v>
      </c>
      <c r="G10249" t="str">
        <f>"91249"</f>
        <v>91249</v>
      </c>
      <c r="H10249">
        <v>1</v>
      </c>
      <c r="I10249">
        <v>1495</v>
      </c>
      <c r="J10249">
        <v>0</v>
      </c>
      <c r="K10249" t="str">
        <f t="shared" si="1825"/>
        <v>813</v>
      </c>
      <c r="L10249">
        <v>1255.8</v>
      </c>
    </row>
    <row r="10250" spans="1:12" x14ac:dyDescent="0.25">
      <c r="A10250" t="str">
        <f t="shared" si="1823"/>
        <v>89301000</v>
      </c>
      <c r="B10250" t="str">
        <f t="shared" si="1820"/>
        <v>02004000</v>
      </c>
      <c r="C10250" t="str">
        <f t="shared" si="1824"/>
        <v>02004556</v>
      </c>
      <c r="D10250">
        <v>89301028</v>
      </c>
      <c r="E10250" t="str">
        <f>"0207065914"</f>
        <v>0207065914</v>
      </c>
      <c r="F10250" s="1">
        <v>45138</v>
      </c>
      <c r="G10250" t="str">
        <f>"91251"</f>
        <v>91251</v>
      </c>
      <c r="H10250">
        <v>1</v>
      </c>
      <c r="I10250">
        <v>1495</v>
      </c>
      <c r="J10250">
        <v>0</v>
      </c>
      <c r="K10250" t="str">
        <f t="shared" si="1825"/>
        <v>813</v>
      </c>
      <c r="L10250">
        <v>1255.8</v>
      </c>
    </row>
    <row r="10251" spans="1:12" x14ac:dyDescent="0.25">
      <c r="A10251" t="str">
        <f t="shared" si="1823"/>
        <v>89301000</v>
      </c>
      <c r="B10251" t="str">
        <f t="shared" si="1820"/>
        <v>02004000</v>
      </c>
      <c r="C10251" t="str">
        <f t="shared" si="1824"/>
        <v>02004556</v>
      </c>
      <c r="D10251">
        <v>89301102</v>
      </c>
      <c r="E10251" t="str">
        <f>"0706231383"</f>
        <v>0706231383</v>
      </c>
      <c r="F10251" s="1">
        <v>45135</v>
      </c>
      <c r="G10251" t="str">
        <f>"91249"</f>
        <v>91249</v>
      </c>
      <c r="H10251">
        <v>1</v>
      </c>
      <c r="I10251">
        <v>1495</v>
      </c>
      <c r="J10251">
        <v>0</v>
      </c>
      <c r="K10251" t="str">
        <f t="shared" si="1825"/>
        <v>813</v>
      </c>
      <c r="L10251">
        <v>1255.8</v>
      </c>
    </row>
    <row r="10252" spans="1:12" x14ac:dyDescent="0.25">
      <c r="A10252" t="str">
        <f t="shared" si="1823"/>
        <v>89301000</v>
      </c>
      <c r="B10252" t="str">
        <f t="shared" si="1820"/>
        <v>02004000</v>
      </c>
      <c r="C10252" t="str">
        <f t="shared" si="1824"/>
        <v>02004556</v>
      </c>
      <c r="D10252">
        <v>89301102</v>
      </c>
      <c r="E10252" t="str">
        <f>"0706231383"</f>
        <v>0706231383</v>
      </c>
      <c r="F10252" s="1">
        <v>45135</v>
      </c>
      <c r="G10252" t="str">
        <f>"91251"</f>
        <v>91251</v>
      </c>
      <c r="H10252">
        <v>1</v>
      </c>
      <c r="I10252">
        <v>1495</v>
      </c>
      <c r="J10252">
        <v>0</v>
      </c>
      <c r="K10252" t="str">
        <f t="shared" si="1825"/>
        <v>813</v>
      </c>
      <c r="L10252">
        <v>1255.8</v>
      </c>
    </row>
    <row r="10253" spans="1:12" x14ac:dyDescent="0.25">
      <c r="A10253" t="str">
        <f t="shared" si="1823"/>
        <v>89301000</v>
      </c>
      <c r="B10253" t="str">
        <f t="shared" ref="B10253:B10276" si="1826">"91009000"</f>
        <v>91009000</v>
      </c>
      <c r="C10253" t="str">
        <f>"91009572"</f>
        <v>91009572</v>
      </c>
      <c r="D10253">
        <v>89301212</v>
      </c>
      <c r="E10253" t="str">
        <f>"6658141523"</f>
        <v>6658141523</v>
      </c>
      <c r="F10253" s="1">
        <v>45169</v>
      </c>
      <c r="G10253" t="str">
        <f>"89512"</f>
        <v>89512</v>
      </c>
      <c r="H10253">
        <v>1</v>
      </c>
      <c r="I10253">
        <v>283</v>
      </c>
      <c r="J10253">
        <v>0</v>
      </c>
      <c r="K10253" t="str">
        <f t="shared" ref="K10253:K10258" si="1827">"809"</f>
        <v>809</v>
      </c>
      <c r="L10253">
        <v>416.01</v>
      </c>
    </row>
    <row r="10254" spans="1:12" x14ac:dyDescent="0.25">
      <c r="A10254" t="str">
        <f t="shared" si="1823"/>
        <v>89301000</v>
      </c>
      <c r="B10254" t="str">
        <f t="shared" si="1826"/>
        <v>91009000</v>
      </c>
      <c r="C10254" t="str">
        <f>"91009572"</f>
        <v>91009572</v>
      </c>
      <c r="D10254">
        <v>89301212</v>
      </c>
      <c r="E10254" t="str">
        <f>"6658141523"</f>
        <v>6658141523</v>
      </c>
      <c r="F10254" s="1">
        <v>45169</v>
      </c>
      <c r="G10254" t="str">
        <f>"89180"</f>
        <v>89180</v>
      </c>
      <c r="H10254">
        <v>2</v>
      </c>
      <c r="I10254">
        <v>762</v>
      </c>
      <c r="J10254">
        <v>0</v>
      </c>
      <c r="K10254" t="str">
        <f t="shared" si="1827"/>
        <v>809</v>
      </c>
      <c r="L10254">
        <v>1120.1400000000001</v>
      </c>
    </row>
    <row r="10255" spans="1:12" x14ac:dyDescent="0.25">
      <c r="A10255" t="str">
        <f t="shared" si="1823"/>
        <v>89301000</v>
      </c>
      <c r="B10255" t="str">
        <f t="shared" si="1826"/>
        <v>91009000</v>
      </c>
      <c r="C10255" t="str">
        <f>"91009573"</f>
        <v>91009573</v>
      </c>
      <c r="D10255">
        <v>89301212</v>
      </c>
      <c r="E10255" t="str">
        <f>"520811237"</f>
        <v>520811237</v>
      </c>
      <c r="F10255" s="1">
        <v>45163</v>
      </c>
      <c r="G10255" t="str">
        <f>"89617"</f>
        <v>89617</v>
      </c>
      <c r="H10255">
        <v>1</v>
      </c>
      <c r="I10255">
        <v>1342</v>
      </c>
      <c r="J10255">
        <v>0</v>
      </c>
      <c r="K10255" t="str">
        <f t="shared" si="1827"/>
        <v>809</v>
      </c>
      <c r="L10255">
        <v>872.3</v>
      </c>
    </row>
    <row r="10256" spans="1:12" x14ac:dyDescent="0.25">
      <c r="A10256" t="str">
        <f t="shared" si="1823"/>
        <v>89301000</v>
      </c>
      <c r="B10256" t="str">
        <f t="shared" si="1826"/>
        <v>91009000</v>
      </c>
      <c r="C10256" t="str">
        <f>"91009573"</f>
        <v>91009573</v>
      </c>
      <c r="D10256">
        <v>89301212</v>
      </c>
      <c r="E10256" t="str">
        <f>"520811237"</f>
        <v>520811237</v>
      </c>
      <c r="F10256" s="1">
        <v>45163</v>
      </c>
      <c r="G10256" t="str">
        <f>"89619"</f>
        <v>89619</v>
      </c>
      <c r="H10256">
        <v>1</v>
      </c>
      <c r="I10256">
        <v>1218</v>
      </c>
      <c r="J10256">
        <v>0</v>
      </c>
      <c r="K10256" t="str">
        <f t="shared" si="1827"/>
        <v>809</v>
      </c>
      <c r="L10256">
        <v>791.7</v>
      </c>
    </row>
    <row r="10257" spans="1:12" x14ac:dyDescent="0.25">
      <c r="A10257" t="str">
        <f t="shared" si="1823"/>
        <v>89301000</v>
      </c>
      <c r="B10257" t="str">
        <f t="shared" si="1826"/>
        <v>91009000</v>
      </c>
      <c r="C10257" t="str">
        <f>"91009573"</f>
        <v>91009573</v>
      </c>
      <c r="D10257">
        <v>89301212</v>
      </c>
      <c r="E10257" t="str">
        <f>"520811237"</f>
        <v>520811237</v>
      </c>
      <c r="F10257" s="1">
        <v>45163</v>
      </c>
      <c r="G10257" t="str">
        <f>"0042433"</f>
        <v>0042433</v>
      </c>
      <c r="H10257">
        <v>0.09</v>
      </c>
      <c r="J10257">
        <v>884.07</v>
      </c>
      <c r="K10257" t="str">
        <f t="shared" si="1827"/>
        <v>809</v>
      </c>
      <c r="L10257">
        <v>884.07</v>
      </c>
    </row>
    <row r="10258" spans="1:12" x14ac:dyDescent="0.25">
      <c r="A10258" t="str">
        <f t="shared" si="1823"/>
        <v>89301000</v>
      </c>
      <c r="B10258" t="str">
        <f t="shared" si="1826"/>
        <v>91009000</v>
      </c>
      <c r="C10258" t="str">
        <f>"91009573"</f>
        <v>91009573</v>
      </c>
      <c r="D10258">
        <v>89301212</v>
      </c>
      <c r="E10258" t="str">
        <f>"520811237"</f>
        <v>520811237</v>
      </c>
      <c r="F10258" s="1">
        <v>45163</v>
      </c>
      <c r="G10258" t="str">
        <f>"0095609"</f>
        <v>0095609</v>
      </c>
      <c r="H10258">
        <v>0.15</v>
      </c>
      <c r="J10258">
        <v>135.6</v>
      </c>
      <c r="K10258" t="str">
        <f t="shared" si="1827"/>
        <v>809</v>
      </c>
      <c r="L10258">
        <v>135.6</v>
      </c>
    </row>
    <row r="10259" spans="1:12" x14ac:dyDescent="0.25">
      <c r="A10259" t="str">
        <f t="shared" si="1823"/>
        <v>89301000</v>
      </c>
      <c r="B10259" t="str">
        <f t="shared" si="1826"/>
        <v>91009000</v>
      </c>
      <c r="C10259" t="str">
        <f>"91009561"</f>
        <v>91009561</v>
      </c>
      <c r="D10259">
        <v>89301167</v>
      </c>
      <c r="E10259" t="str">
        <f>"5562200743"</f>
        <v>5562200743</v>
      </c>
      <c r="F10259" s="1">
        <v>45162</v>
      </c>
      <c r="G10259" t="str">
        <f>"87217"</f>
        <v>87217</v>
      </c>
      <c r="H10259">
        <v>1</v>
      </c>
      <c r="I10259">
        <v>215</v>
      </c>
      <c r="J10259">
        <v>0</v>
      </c>
      <c r="K10259" t="str">
        <f>"807"</f>
        <v>807</v>
      </c>
      <c r="L10259">
        <v>180.6</v>
      </c>
    </row>
    <row r="10260" spans="1:12" x14ac:dyDescent="0.25">
      <c r="A10260" t="str">
        <f t="shared" si="1823"/>
        <v>89301000</v>
      </c>
      <c r="B10260" t="str">
        <f t="shared" si="1826"/>
        <v>91009000</v>
      </c>
      <c r="C10260" t="str">
        <f>"91009561"</f>
        <v>91009561</v>
      </c>
      <c r="D10260">
        <v>89301167</v>
      </c>
      <c r="E10260" t="str">
        <f>"5562200743"</f>
        <v>5562200743</v>
      </c>
      <c r="F10260" s="1">
        <v>45159</v>
      </c>
      <c r="G10260" t="str">
        <f>"87613"</f>
        <v>87613</v>
      </c>
      <c r="H10260">
        <v>1</v>
      </c>
      <c r="I10260">
        <v>436</v>
      </c>
      <c r="J10260">
        <v>0</v>
      </c>
      <c r="K10260" t="str">
        <f>"807"</f>
        <v>807</v>
      </c>
      <c r="L10260">
        <v>366.24</v>
      </c>
    </row>
    <row r="10261" spans="1:12" x14ac:dyDescent="0.25">
      <c r="A10261" t="str">
        <f t="shared" si="1823"/>
        <v>89301000</v>
      </c>
      <c r="B10261" t="str">
        <f t="shared" si="1826"/>
        <v>91009000</v>
      </c>
      <c r="C10261" t="str">
        <f>"91009561"</f>
        <v>91009561</v>
      </c>
      <c r="D10261">
        <v>89301167</v>
      </c>
      <c r="E10261" t="str">
        <f>"5562200743"</f>
        <v>5562200743</v>
      </c>
      <c r="F10261" s="1">
        <v>45159</v>
      </c>
      <c r="G10261" t="str">
        <f>"87217"</f>
        <v>87217</v>
      </c>
      <c r="H10261">
        <v>1</v>
      </c>
      <c r="I10261">
        <v>215</v>
      </c>
      <c r="J10261">
        <v>0</v>
      </c>
      <c r="K10261" t="str">
        <f>"807"</f>
        <v>807</v>
      </c>
      <c r="L10261">
        <v>180.6</v>
      </c>
    </row>
    <row r="10262" spans="1:12" x14ac:dyDescent="0.25">
      <c r="A10262" t="str">
        <f t="shared" si="1823"/>
        <v>89301000</v>
      </c>
      <c r="B10262" t="str">
        <f t="shared" si="1826"/>
        <v>91009000</v>
      </c>
      <c r="C10262" t="str">
        <f>"91009581"</f>
        <v>91009581</v>
      </c>
      <c r="D10262">
        <v>89301167</v>
      </c>
      <c r="E10262" t="str">
        <f>"530220073"</f>
        <v>530220073</v>
      </c>
      <c r="F10262" s="1">
        <v>45163</v>
      </c>
      <c r="G10262" t="str">
        <f>"81383"</f>
        <v>81383</v>
      </c>
      <c r="H10262">
        <v>1</v>
      </c>
      <c r="I10262">
        <v>24</v>
      </c>
      <c r="J10262">
        <v>0</v>
      </c>
      <c r="K10262" t="str">
        <f>"801"</f>
        <v>801</v>
      </c>
      <c r="L10262">
        <v>20.16</v>
      </c>
    </row>
    <row r="10263" spans="1:12" x14ac:dyDescent="0.25">
      <c r="A10263" t="str">
        <f t="shared" si="1823"/>
        <v>89301000</v>
      </c>
      <c r="B10263" t="str">
        <f t="shared" si="1826"/>
        <v>91009000</v>
      </c>
      <c r="C10263" t="str">
        <f>"91009581"</f>
        <v>91009581</v>
      </c>
      <c r="D10263">
        <v>89301167</v>
      </c>
      <c r="E10263" t="str">
        <f>"530220073"</f>
        <v>530220073</v>
      </c>
      <c r="F10263" s="1">
        <v>45163</v>
      </c>
      <c r="G10263" t="str">
        <f>"97111"</f>
        <v>97111</v>
      </c>
      <c r="H10263">
        <v>1</v>
      </c>
      <c r="I10263">
        <v>19</v>
      </c>
      <c r="J10263">
        <v>0</v>
      </c>
      <c r="K10263" t="str">
        <f>"801"</f>
        <v>801</v>
      </c>
      <c r="L10263">
        <v>23.94</v>
      </c>
    </row>
    <row r="10264" spans="1:12" x14ac:dyDescent="0.25">
      <c r="A10264" t="str">
        <f t="shared" si="1823"/>
        <v>89301000</v>
      </c>
      <c r="B10264" t="str">
        <f t="shared" si="1826"/>
        <v>91009000</v>
      </c>
      <c r="C10264" t="str">
        <f>"91009581"</f>
        <v>91009581</v>
      </c>
      <c r="D10264">
        <v>89301212</v>
      </c>
      <c r="E10264" t="str">
        <f>"8556125776"</f>
        <v>8556125776</v>
      </c>
      <c r="F10264" s="1">
        <v>45160</v>
      </c>
      <c r="G10264" t="str">
        <f>"97111"</f>
        <v>97111</v>
      </c>
      <c r="H10264">
        <v>1</v>
      </c>
      <c r="I10264">
        <v>19</v>
      </c>
      <c r="J10264">
        <v>0</v>
      </c>
      <c r="K10264" t="str">
        <f>"801"</f>
        <v>801</v>
      </c>
      <c r="L10264">
        <v>23.94</v>
      </c>
    </row>
    <row r="10265" spans="1:12" x14ac:dyDescent="0.25">
      <c r="A10265" t="str">
        <f t="shared" si="1823"/>
        <v>89301000</v>
      </c>
      <c r="B10265" t="str">
        <f t="shared" si="1826"/>
        <v>91009000</v>
      </c>
      <c r="C10265" t="str">
        <f>"91009132"</f>
        <v>91009132</v>
      </c>
      <c r="D10265">
        <v>89301212</v>
      </c>
      <c r="E10265" t="str">
        <f>"8556125776"</f>
        <v>8556125776</v>
      </c>
      <c r="F10265" s="1">
        <v>45160</v>
      </c>
      <c r="G10265" t="str">
        <f>"92157"</f>
        <v>92157</v>
      </c>
      <c r="H10265">
        <v>1</v>
      </c>
      <c r="I10265">
        <v>1778</v>
      </c>
      <c r="J10265">
        <v>0</v>
      </c>
      <c r="K10265" t="str">
        <f>"812"</f>
        <v>812</v>
      </c>
      <c r="L10265">
        <v>1493.52</v>
      </c>
    </row>
    <row r="10266" spans="1:12" x14ac:dyDescent="0.25">
      <c r="A10266" t="str">
        <f t="shared" si="1823"/>
        <v>89301000</v>
      </c>
      <c r="B10266" t="str">
        <f t="shared" si="1826"/>
        <v>91009000</v>
      </c>
      <c r="C10266" t="str">
        <f>"91009132"</f>
        <v>91009132</v>
      </c>
      <c r="D10266">
        <v>89301162</v>
      </c>
      <c r="E10266" t="str">
        <f>"8003065532"</f>
        <v>8003065532</v>
      </c>
      <c r="F10266" s="1">
        <v>45155</v>
      </c>
      <c r="G10266" t="str">
        <f>"92157"</f>
        <v>92157</v>
      </c>
      <c r="H10266">
        <v>1</v>
      </c>
      <c r="I10266">
        <v>1778</v>
      </c>
      <c r="J10266">
        <v>0</v>
      </c>
      <c r="K10266" t="str">
        <f>"812"</f>
        <v>812</v>
      </c>
      <c r="L10266">
        <v>1493.52</v>
      </c>
    </row>
    <row r="10267" spans="1:12" x14ac:dyDescent="0.25">
      <c r="A10267" t="str">
        <f t="shared" si="1823"/>
        <v>89301000</v>
      </c>
      <c r="B10267" t="str">
        <f t="shared" si="1826"/>
        <v>91009000</v>
      </c>
      <c r="C10267" t="str">
        <f>"91009132"</f>
        <v>91009132</v>
      </c>
      <c r="D10267">
        <v>89301162</v>
      </c>
      <c r="E10267" t="str">
        <f>"8003065532"</f>
        <v>8003065532</v>
      </c>
      <c r="F10267" s="1">
        <v>45155</v>
      </c>
      <c r="G10267" t="str">
        <f>"99111"</f>
        <v>99111</v>
      </c>
      <c r="H10267">
        <v>1</v>
      </c>
      <c r="I10267">
        <v>213</v>
      </c>
      <c r="J10267">
        <v>0</v>
      </c>
      <c r="K10267" t="str">
        <f>"812"</f>
        <v>812</v>
      </c>
      <c r="L10267">
        <v>178.92</v>
      </c>
    </row>
    <row r="10268" spans="1:12" x14ac:dyDescent="0.25">
      <c r="A10268" t="str">
        <f t="shared" si="1823"/>
        <v>89301000</v>
      </c>
      <c r="B10268" t="str">
        <f t="shared" si="1826"/>
        <v>91009000</v>
      </c>
      <c r="C10268" t="str">
        <f t="shared" ref="C10268:C10276" si="1828">"91009522"</f>
        <v>91009522</v>
      </c>
      <c r="D10268">
        <v>89301282</v>
      </c>
      <c r="E10268" t="str">
        <f>"1406070028"</f>
        <v>1406070028</v>
      </c>
      <c r="F10268" s="1">
        <v>45155</v>
      </c>
      <c r="G10268" t="str">
        <f>"94948"</f>
        <v>94948</v>
      </c>
      <c r="H10268">
        <v>2</v>
      </c>
      <c r="I10268">
        <v>0</v>
      </c>
      <c r="J10268">
        <v>0</v>
      </c>
      <c r="K10268" t="str">
        <f t="shared" ref="K10268:K10276" si="1829">"816"</f>
        <v>816</v>
      </c>
      <c r="L10268">
        <v>0</v>
      </c>
    </row>
    <row r="10269" spans="1:12" x14ac:dyDescent="0.25">
      <c r="A10269" t="str">
        <f t="shared" si="1823"/>
        <v>89301000</v>
      </c>
      <c r="B10269" t="str">
        <f t="shared" si="1826"/>
        <v>91009000</v>
      </c>
      <c r="C10269" t="str">
        <f t="shared" si="1828"/>
        <v>91009522</v>
      </c>
      <c r="D10269">
        <v>89301282</v>
      </c>
      <c r="E10269" t="str">
        <f>"1406070028"</f>
        <v>1406070028</v>
      </c>
      <c r="F10269" s="1">
        <v>45155</v>
      </c>
      <c r="G10269" t="str">
        <f>"94983"</f>
        <v>94983</v>
      </c>
      <c r="H10269">
        <v>1</v>
      </c>
      <c r="I10269">
        <v>0</v>
      </c>
      <c r="J10269">
        <v>39600</v>
      </c>
      <c r="K10269" t="str">
        <f t="shared" si="1829"/>
        <v>816</v>
      </c>
      <c r="L10269">
        <v>39600</v>
      </c>
    </row>
    <row r="10270" spans="1:12" x14ac:dyDescent="0.25">
      <c r="A10270" t="str">
        <f t="shared" si="1823"/>
        <v>89301000</v>
      </c>
      <c r="B10270" t="str">
        <f t="shared" si="1826"/>
        <v>91009000</v>
      </c>
      <c r="C10270" t="str">
        <f t="shared" si="1828"/>
        <v>91009522</v>
      </c>
      <c r="D10270">
        <v>89301282</v>
      </c>
      <c r="E10270" t="str">
        <f>"1406070028"</f>
        <v>1406070028</v>
      </c>
      <c r="F10270" s="1">
        <v>45155</v>
      </c>
      <c r="G10270" t="str">
        <f>"94996"</f>
        <v>94996</v>
      </c>
      <c r="H10270">
        <v>1</v>
      </c>
      <c r="I10270">
        <v>0</v>
      </c>
      <c r="J10270">
        <v>0</v>
      </c>
      <c r="K10270" t="str">
        <f t="shared" si="1829"/>
        <v>816</v>
      </c>
      <c r="L10270">
        <v>0</v>
      </c>
    </row>
    <row r="10271" spans="1:12" x14ac:dyDescent="0.25">
      <c r="A10271" t="str">
        <f t="shared" si="1823"/>
        <v>89301000</v>
      </c>
      <c r="B10271" t="str">
        <f t="shared" si="1826"/>
        <v>91009000</v>
      </c>
      <c r="C10271" t="str">
        <f t="shared" si="1828"/>
        <v>91009522</v>
      </c>
      <c r="D10271">
        <v>89301282</v>
      </c>
      <c r="E10271" t="str">
        <f>"7010065304"</f>
        <v>7010065304</v>
      </c>
      <c r="F10271" s="1">
        <v>45155</v>
      </c>
      <c r="G10271" t="str">
        <f>"94948"</f>
        <v>94948</v>
      </c>
      <c r="H10271">
        <v>2</v>
      </c>
      <c r="I10271">
        <v>0</v>
      </c>
      <c r="J10271">
        <v>0</v>
      </c>
      <c r="K10271" t="str">
        <f t="shared" si="1829"/>
        <v>816</v>
      </c>
      <c r="L10271">
        <v>0</v>
      </c>
    </row>
    <row r="10272" spans="1:12" x14ac:dyDescent="0.25">
      <c r="A10272" t="str">
        <f t="shared" si="1823"/>
        <v>89301000</v>
      </c>
      <c r="B10272" t="str">
        <f t="shared" si="1826"/>
        <v>91009000</v>
      </c>
      <c r="C10272" t="str">
        <f t="shared" si="1828"/>
        <v>91009522</v>
      </c>
      <c r="D10272">
        <v>89301282</v>
      </c>
      <c r="E10272" t="str">
        <f>"7010065304"</f>
        <v>7010065304</v>
      </c>
      <c r="F10272" s="1">
        <v>45155</v>
      </c>
      <c r="G10272" t="str">
        <f>"94984"</f>
        <v>94984</v>
      </c>
      <c r="H10272">
        <v>1</v>
      </c>
      <c r="I10272">
        <v>0</v>
      </c>
      <c r="J10272">
        <v>57200</v>
      </c>
      <c r="K10272" t="str">
        <f t="shared" si="1829"/>
        <v>816</v>
      </c>
      <c r="L10272">
        <v>57200</v>
      </c>
    </row>
    <row r="10273" spans="1:12" x14ac:dyDescent="0.25">
      <c r="A10273" t="str">
        <f t="shared" si="1823"/>
        <v>89301000</v>
      </c>
      <c r="B10273" t="str">
        <f t="shared" si="1826"/>
        <v>91009000</v>
      </c>
      <c r="C10273" t="str">
        <f t="shared" si="1828"/>
        <v>91009522</v>
      </c>
      <c r="D10273">
        <v>89301282</v>
      </c>
      <c r="E10273" t="str">
        <f>"7010065304"</f>
        <v>7010065304</v>
      </c>
      <c r="F10273" s="1">
        <v>45155</v>
      </c>
      <c r="G10273" t="str">
        <f>"94996"</f>
        <v>94996</v>
      </c>
      <c r="H10273">
        <v>1</v>
      </c>
      <c r="I10273">
        <v>0</v>
      </c>
      <c r="J10273">
        <v>0</v>
      </c>
      <c r="K10273" t="str">
        <f t="shared" si="1829"/>
        <v>816</v>
      </c>
      <c r="L10273">
        <v>0</v>
      </c>
    </row>
    <row r="10274" spans="1:12" x14ac:dyDescent="0.25">
      <c r="A10274" t="str">
        <f t="shared" si="1823"/>
        <v>89301000</v>
      </c>
      <c r="B10274" t="str">
        <f t="shared" si="1826"/>
        <v>91009000</v>
      </c>
      <c r="C10274" t="str">
        <f t="shared" si="1828"/>
        <v>91009522</v>
      </c>
      <c r="D10274">
        <v>89301282</v>
      </c>
      <c r="E10274" t="str">
        <f>"1757220168"</f>
        <v>1757220168</v>
      </c>
      <c r="F10274" s="1">
        <v>45142</v>
      </c>
      <c r="G10274" t="str">
        <f>"94948"</f>
        <v>94948</v>
      </c>
      <c r="H10274">
        <v>2</v>
      </c>
      <c r="I10274">
        <v>0</v>
      </c>
      <c r="J10274">
        <v>0</v>
      </c>
      <c r="K10274" t="str">
        <f t="shared" si="1829"/>
        <v>816</v>
      </c>
      <c r="L10274">
        <v>0</v>
      </c>
    </row>
    <row r="10275" spans="1:12" x14ac:dyDescent="0.25">
      <c r="A10275" t="str">
        <f t="shared" si="1823"/>
        <v>89301000</v>
      </c>
      <c r="B10275" t="str">
        <f t="shared" si="1826"/>
        <v>91009000</v>
      </c>
      <c r="C10275" t="str">
        <f t="shared" si="1828"/>
        <v>91009522</v>
      </c>
      <c r="D10275">
        <v>89301282</v>
      </c>
      <c r="E10275" t="str">
        <f>"1757220168"</f>
        <v>1757220168</v>
      </c>
      <c r="F10275" s="1">
        <v>45142</v>
      </c>
      <c r="G10275" t="str">
        <f>"94982"</f>
        <v>94982</v>
      </c>
      <c r="H10275">
        <v>1</v>
      </c>
      <c r="I10275">
        <v>0</v>
      </c>
      <c r="J10275">
        <v>27500</v>
      </c>
      <c r="K10275" t="str">
        <f t="shared" si="1829"/>
        <v>816</v>
      </c>
      <c r="L10275">
        <v>27500</v>
      </c>
    </row>
    <row r="10276" spans="1:12" x14ac:dyDescent="0.25">
      <c r="A10276" t="str">
        <f t="shared" si="1823"/>
        <v>89301000</v>
      </c>
      <c r="B10276" t="str">
        <f t="shared" si="1826"/>
        <v>91009000</v>
      </c>
      <c r="C10276" t="str">
        <f t="shared" si="1828"/>
        <v>91009522</v>
      </c>
      <c r="D10276">
        <v>89301282</v>
      </c>
      <c r="E10276" t="str">
        <f>"1757220168"</f>
        <v>1757220168</v>
      </c>
      <c r="F10276" s="1">
        <v>45142</v>
      </c>
      <c r="G10276" t="str">
        <f>"94996"</f>
        <v>94996</v>
      </c>
      <c r="H10276">
        <v>1</v>
      </c>
      <c r="I10276">
        <v>0</v>
      </c>
      <c r="J10276">
        <v>0</v>
      </c>
      <c r="K10276" t="str">
        <f t="shared" si="1829"/>
        <v>816</v>
      </c>
      <c r="L10276">
        <v>0</v>
      </c>
    </row>
    <row r="10277" spans="1:12" x14ac:dyDescent="0.25">
      <c r="A10277" t="str">
        <f t="shared" si="1823"/>
        <v>89301000</v>
      </c>
      <c r="B10277" t="str">
        <f t="shared" ref="B10277:B10295" si="1830">"89903000"</f>
        <v>89903000</v>
      </c>
      <c r="C10277" t="str">
        <f t="shared" ref="C10277:C10295" si="1831">"89903503"</f>
        <v>89903503</v>
      </c>
      <c r="D10277">
        <v>89301062</v>
      </c>
      <c r="E10277" t="str">
        <f t="shared" ref="E10277:E10289" si="1832">"9554246141"</f>
        <v>9554246141</v>
      </c>
      <c r="F10277" s="1">
        <v>45142</v>
      </c>
      <c r="G10277" t="str">
        <f>"09233"</f>
        <v>09233</v>
      </c>
      <c r="H10277">
        <v>1</v>
      </c>
      <c r="I10277">
        <v>102</v>
      </c>
      <c r="J10277">
        <v>0</v>
      </c>
      <c r="K10277" t="str">
        <f t="shared" ref="K10277:K10301" si="1833">"809"</f>
        <v>809</v>
      </c>
      <c r="L10277">
        <v>149.94</v>
      </c>
    </row>
    <row r="10278" spans="1:12" x14ac:dyDescent="0.25">
      <c r="A10278" t="str">
        <f t="shared" si="1823"/>
        <v>89301000</v>
      </c>
      <c r="B10278" t="str">
        <f t="shared" si="1830"/>
        <v>89903000</v>
      </c>
      <c r="C10278" t="str">
        <f t="shared" si="1831"/>
        <v>89903503</v>
      </c>
      <c r="D10278">
        <v>89301062</v>
      </c>
      <c r="E10278" t="str">
        <f t="shared" si="1832"/>
        <v>9554246141</v>
      </c>
      <c r="F10278" s="1">
        <v>45142</v>
      </c>
      <c r="G10278" t="str">
        <f>"89311"</f>
        <v>89311</v>
      </c>
      <c r="H10278">
        <v>1</v>
      </c>
      <c r="I10278">
        <v>970</v>
      </c>
      <c r="J10278">
        <v>0</v>
      </c>
      <c r="K10278" t="str">
        <f t="shared" si="1833"/>
        <v>809</v>
      </c>
      <c r="L10278">
        <v>1425.9</v>
      </c>
    </row>
    <row r="10279" spans="1:12" x14ac:dyDescent="0.25">
      <c r="A10279" t="str">
        <f t="shared" si="1823"/>
        <v>89301000</v>
      </c>
      <c r="B10279" t="str">
        <f t="shared" si="1830"/>
        <v>89903000</v>
      </c>
      <c r="C10279" t="str">
        <f t="shared" si="1831"/>
        <v>89903503</v>
      </c>
      <c r="D10279">
        <v>89301062</v>
      </c>
      <c r="E10279" t="str">
        <f t="shared" si="1832"/>
        <v>9554246141</v>
      </c>
      <c r="F10279" s="1">
        <v>45142</v>
      </c>
      <c r="G10279" t="str">
        <f>"89615"</f>
        <v>89615</v>
      </c>
      <c r="H10279">
        <v>1</v>
      </c>
      <c r="I10279">
        <v>2199</v>
      </c>
      <c r="J10279">
        <v>0</v>
      </c>
      <c r="K10279" t="str">
        <f t="shared" si="1833"/>
        <v>809</v>
      </c>
      <c r="L10279">
        <v>1429.35</v>
      </c>
    </row>
    <row r="10280" spans="1:12" x14ac:dyDescent="0.25">
      <c r="A10280" t="str">
        <f t="shared" si="1823"/>
        <v>89301000</v>
      </c>
      <c r="B10280" t="str">
        <f t="shared" si="1830"/>
        <v>89903000</v>
      </c>
      <c r="C10280" t="str">
        <f t="shared" si="1831"/>
        <v>89903503</v>
      </c>
      <c r="D10280">
        <v>89301062</v>
      </c>
      <c r="E10280" t="str">
        <f t="shared" si="1832"/>
        <v>9554246141</v>
      </c>
      <c r="F10280" s="1">
        <v>45142</v>
      </c>
      <c r="G10280" t="str">
        <f>"0000502"</f>
        <v>0000502</v>
      </c>
      <c r="H10280">
        <v>0.1</v>
      </c>
      <c r="J10280">
        <v>6.97</v>
      </c>
      <c r="K10280" t="str">
        <f t="shared" si="1833"/>
        <v>809</v>
      </c>
      <c r="L10280">
        <v>6.97</v>
      </c>
    </row>
    <row r="10281" spans="1:12" x14ac:dyDescent="0.25">
      <c r="A10281" t="str">
        <f t="shared" si="1823"/>
        <v>89301000</v>
      </c>
      <c r="B10281" t="str">
        <f t="shared" si="1830"/>
        <v>89903000</v>
      </c>
      <c r="C10281" t="str">
        <f t="shared" si="1831"/>
        <v>89903503</v>
      </c>
      <c r="D10281">
        <v>89301062</v>
      </c>
      <c r="E10281" t="str">
        <f t="shared" si="1832"/>
        <v>9554246141</v>
      </c>
      <c r="F10281" s="1">
        <v>45142</v>
      </c>
      <c r="G10281" t="str">
        <f>"0096251"</f>
        <v>0096251</v>
      </c>
      <c r="H10281">
        <v>8.0000000000000002E-3</v>
      </c>
      <c r="J10281">
        <v>9.36</v>
      </c>
      <c r="K10281" t="str">
        <f t="shared" si="1833"/>
        <v>809</v>
      </c>
      <c r="L10281">
        <v>9.36</v>
      </c>
    </row>
    <row r="10282" spans="1:12" x14ac:dyDescent="0.25">
      <c r="A10282" t="str">
        <f t="shared" si="1823"/>
        <v>89301000</v>
      </c>
      <c r="B10282" t="str">
        <f t="shared" si="1830"/>
        <v>89903000</v>
      </c>
      <c r="C10282" t="str">
        <f t="shared" si="1831"/>
        <v>89903503</v>
      </c>
      <c r="D10282">
        <v>89301062</v>
      </c>
      <c r="E10282" t="str">
        <f t="shared" si="1832"/>
        <v>9554246141</v>
      </c>
      <c r="F10282" s="1">
        <v>45142</v>
      </c>
      <c r="G10282" t="str">
        <f>"0194183"</f>
        <v>0194183</v>
      </c>
      <c r="H10282">
        <v>2</v>
      </c>
      <c r="J10282">
        <v>106</v>
      </c>
      <c r="K10282" t="str">
        <f t="shared" si="1833"/>
        <v>809</v>
      </c>
      <c r="L10282">
        <v>106</v>
      </c>
    </row>
    <row r="10283" spans="1:12" x14ac:dyDescent="0.25">
      <c r="A10283" t="str">
        <f t="shared" si="1823"/>
        <v>89301000</v>
      </c>
      <c r="B10283" t="str">
        <f t="shared" si="1830"/>
        <v>89903000</v>
      </c>
      <c r="C10283" t="str">
        <f t="shared" si="1831"/>
        <v>89903503</v>
      </c>
      <c r="D10283">
        <v>89301062</v>
      </c>
      <c r="E10283" t="str">
        <f t="shared" si="1832"/>
        <v>9554246141</v>
      </c>
      <c r="F10283" s="1">
        <v>45153</v>
      </c>
      <c r="G10283" t="str">
        <f>"09233"</f>
        <v>09233</v>
      </c>
      <c r="H10283">
        <v>1</v>
      </c>
      <c r="I10283">
        <v>102</v>
      </c>
      <c r="J10283">
        <v>0</v>
      </c>
      <c r="K10283" t="str">
        <f t="shared" si="1833"/>
        <v>809</v>
      </c>
      <c r="L10283">
        <v>149.94</v>
      </c>
    </row>
    <row r="10284" spans="1:12" x14ac:dyDescent="0.25">
      <c r="A10284" t="str">
        <f t="shared" si="1823"/>
        <v>89301000</v>
      </c>
      <c r="B10284" t="str">
        <f t="shared" si="1830"/>
        <v>89903000</v>
      </c>
      <c r="C10284" t="str">
        <f t="shared" si="1831"/>
        <v>89903503</v>
      </c>
      <c r="D10284">
        <v>89301062</v>
      </c>
      <c r="E10284" t="str">
        <f t="shared" si="1832"/>
        <v>9554246141</v>
      </c>
      <c r="F10284" s="1">
        <v>45153</v>
      </c>
      <c r="G10284" t="str">
        <f>"89311"</f>
        <v>89311</v>
      </c>
      <c r="H10284">
        <v>1</v>
      </c>
      <c r="I10284">
        <v>970</v>
      </c>
      <c r="J10284">
        <v>0</v>
      </c>
      <c r="K10284" t="str">
        <f t="shared" si="1833"/>
        <v>809</v>
      </c>
      <c r="L10284">
        <v>1425.9</v>
      </c>
    </row>
    <row r="10285" spans="1:12" x14ac:dyDescent="0.25">
      <c r="A10285" t="str">
        <f t="shared" si="1823"/>
        <v>89301000</v>
      </c>
      <c r="B10285" t="str">
        <f t="shared" si="1830"/>
        <v>89903000</v>
      </c>
      <c r="C10285" t="str">
        <f t="shared" si="1831"/>
        <v>89903503</v>
      </c>
      <c r="D10285">
        <v>89301062</v>
      </c>
      <c r="E10285" t="str">
        <f t="shared" si="1832"/>
        <v>9554246141</v>
      </c>
      <c r="F10285" s="1">
        <v>45153</v>
      </c>
      <c r="G10285" t="str">
        <f>"89615"</f>
        <v>89615</v>
      </c>
      <c r="H10285">
        <v>1</v>
      </c>
      <c r="I10285">
        <v>2199</v>
      </c>
      <c r="J10285">
        <v>0</v>
      </c>
      <c r="K10285" t="str">
        <f t="shared" si="1833"/>
        <v>809</v>
      </c>
      <c r="L10285">
        <v>1429.35</v>
      </c>
    </row>
    <row r="10286" spans="1:12" x14ac:dyDescent="0.25">
      <c r="A10286" t="str">
        <f t="shared" si="1823"/>
        <v>89301000</v>
      </c>
      <c r="B10286" t="str">
        <f t="shared" si="1830"/>
        <v>89903000</v>
      </c>
      <c r="C10286" t="str">
        <f t="shared" si="1831"/>
        <v>89903503</v>
      </c>
      <c r="D10286">
        <v>89301062</v>
      </c>
      <c r="E10286" t="str">
        <f t="shared" si="1832"/>
        <v>9554246141</v>
      </c>
      <c r="F10286" s="1">
        <v>45153</v>
      </c>
      <c r="G10286" t="str">
        <f>"0000502"</f>
        <v>0000502</v>
      </c>
      <c r="H10286">
        <v>0.1</v>
      </c>
      <c r="J10286">
        <v>6.97</v>
      </c>
      <c r="K10286" t="str">
        <f t="shared" si="1833"/>
        <v>809</v>
      </c>
      <c r="L10286">
        <v>6.97</v>
      </c>
    </row>
    <row r="10287" spans="1:12" x14ac:dyDescent="0.25">
      <c r="A10287" t="str">
        <f t="shared" si="1823"/>
        <v>89301000</v>
      </c>
      <c r="B10287" t="str">
        <f t="shared" si="1830"/>
        <v>89903000</v>
      </c>
      <c r="C10287" t="str">
        <f t="shared" si="1831"/>
        <v>89903503</v>
      </c>
      <c r="D10287">
        <v>89301062</v>
      </c>
      <c r="E10287" t="str">
        <f t="shared" si="1832"/>
        <v>9554246141</v>
      </c>
      <c r="F10287" s="1">
        <v>45153</v>
      </c>
      <c r="G10287" t="str">
        <f>"0084090"</f>
        <v>0084090</v>
      </c>
      <c r="H10287">
        <v>0.2</v>
      </c>
      <c r="J10287">
        <v>17.03</v>
      </c>
      <c r="K10287" t="str">
        <f t="shared" si="1833"/>
        <v>809</v>
      </c>
      <c r="L10287">
        <v>17.03</v>
      </c>
    </row>
    <row r="10288" spans="1:12" x14ac:dyDescent="0.25">
      <c r="A10288" t="str">
        <f t="shared" si="1823"/>
        <v>89301000</v>
      </c>
      <c r="B10288" t="str">
        <f t="shared" si="1830"/>
        <v>89903000</v>
      </c>
      <c r="C10288" t="str">
        <f t="shared" si="1831"/>
        <v>89903503</v>
      </c>
      <c r="D10288">
        <v>89301062</v>
      </c>
      <c r="E10288" t="str">
        <f t="shared" si="1832"/>
        <v>9554246141</v>
      </c>
      <c r="F10288" s="1">
        <v>45153</v>
      </c>
      <c r="G10288" t="str">
        <f>"0096251"</f>
        <v>0096251</v>
      </c>
      <c r="H10288">
        <v>8.0000000000000002E-3</v>
      </c>
      <c r="J10288">
        <v>9.36</v>
      </c>
      <c r="K10288" t="str">
        <f t="shared" si="1833"/>
        <v>809</v>
      </c>
      <c r="L10288">
        <v>9.36</v>
      </c>
    </row>
    <row r="10289" spans="1:12" x14ac:dyDescent="0.25">
      <c r="A10289" t="str">
        <f t="shared" si="1823"/>
        <v>89301000</v>
      </c>
      <c r="B10289" t="str">
        <f t="shared" si="1830"/>
        <v>89903000</v>
      </c>
      <c r="C10289" t="str">
        <f t="shared" si="1831"/>
        <v>89903503</v>
      </c>
      <c r="D10289">
        <v>89301062</v>
      </c>
      <c r="E10289" t="str">
        <f t="shared" si="1832"/>
        <v>9554246141</v>
      </c>
      <c r="F10289" s="1">
        <v>45153</v>
      </c>
      <c r="G10289" t="str">
        <f>"0194183"</f>
        <v>0194183</v>
      </c>
      <c r="H10289">
        <v>2</v>
      </c>
      <c r="J10289">
        <v>106</v>
      </c>
      <c r="K10289" t="str">
        <f t="shared" si="1833"/>
        <v>809</v>
      </c>
      <c r="L10289">
        <v>106</v>
      </c>
    </row>
    <row r="10290" spans="1:12" x14ac:dyDescent="0.25">
      <c r="A10290" t="str">
        <f t="shared" si="1823"/>
        <v>89301000</v>
      </c>
      <c r="B10290" t="str">
        <f t="shared" si="1830"/>
        <v>89903000</v>
      </c>
      <c r="C10290" t="str">
        <f t="shared" si="1831"/>
        <v>89903503</v>
      </c>
      <c r="D10290">
        <v>89301062</v>
      </c>
      <c r="E10290" t="str">
        <f t="shared" ref="E10290:E10295" si="1834">"5401310013"</f>
        <v>5401310013</v>
      </c>
      <c r="F10290" s="1">
        <v>45163</v>
      </c>
      <c r="G10290" t="str">
        <f>"09233"</f>
        <v>09233</v>
      </c>
      <c r="H10290">
        <v>1</v>
      </c>
      <c r="I10290">
        <v>102</v>
      </c>
      <c r="J10290">
        <v>0</v>
      </c>
      <c r="K10290" t="str">
        <f t="shared" si="1833"/>
        <v>809</v>
      </c>
      <c r="L10290">
        <v>149.94</v>
      </c>
    </row>
    <row r="10291" spans="1:12" x14ac:dyDescent="0.25">
      <c r="A10291" t="str">
        <f t="shared" si="1823"/>
        <v>89301000</v>
      </c>
      <c r="B10291" t="str">
        <f t="shared" si="1830"/>
        <v>89903000</v>
      </c>
      <c r="C10291" t="str">
        <f t="shared" si="1831"/>
        <v>89903503</v>
      </c>
      <c r="D10291">
        <v>89301062</v>
      </c>
      <c r="E10291" t="str">
        <f t="shared" si="1834"/>
        <v>5401310013</v>
      </c>
      <c r="F10291" s="1">
        <v>45163</v>
      </c>
      <c r="G10291" t="str">
        <f>"89311"</f>
        <v>89311</v>
      </c>
      <c r="H10291">
        <v>1</v>
      </c>
      <c r="I10291">
        <v>970</v>
      </c>
      <c r="J10291">
        <v>0</v>
      </c>
      <c r="K10291" t="str">
        <f t="shared" si="1833"/>
        <v>809</v>
      </c>
      <c r="L10291">
        <v>1425.9</v>
      </c>
    </row>
    <row r="10292" spans="1:12" x14ac:dyDescent="0.25">
      <c r="A10292" t="str">
        <f t="shared" si="1823"/>
        <v>89301000</v>
      </c>
      <c r="B10292" t="str">
        <f t="shared" si="1830"/>
        <v>89903000</v>
      </c>
      <c r="C10292" t="str">
        <f t="shared" si="1831"/>
        <v>89903503</v>
      </c>
      <c r="D10292">
        <v>89301062</v>
      </c>
      <c r="E10292" t="str">
        <f t="shared" si="1834"/>
        <v>5401310013</v>
      </c>
      <c r="F10292" s="1">
        <v>45163</v>
      </c>
      <c r="G10292" t="str">
        <f>"89615"</f>
        <v>89615</v>
      </c>
      <c r="H10292">
        <v>1</v>
      </c>
      <c r="I10292">
        <v>2199</v>
      </c>
      <c r="J10292">
        <v>0</v>
      </c>
      <c r="K10292" t="str">
        <f t="shared" si="1833"/>
        <v>809</v>
      </c>
      <c r="L10292">
        <v>1429.35</v>
      </c>
    </row>
    <row r="10293" spans="1:12" x14ac:dyDescent="0.25">
      <c r="A10293" t="str">
        <f t="shared" si="1823"/>
        <v>89301000</v>
      </c>
      <c r="B10293" t="str">
        <f t="shared" si="1830"/>
        <v>89903000</v>
      </c>
      <c r="C10293" t="str">
        <f t="shared" si="1831"/>
        <v>89903503</v>
      </c>
      <c r="D10293">
        <v>89301062</v>
      </c>
      <c r="E10293" t="str">
        <f t="shared" si="1834"/>
        <v>5401310013</v>
      </c>
      <c r="F10293" s="1">
        <v>45163</v>
      </c>
      <c r="G10293" t="str">
        <f>"0000502"</f>
        <v>0000502</v>
      </c>
      <c r="H10293">
        <v>0.1</v>
      </c>
      <c r="J10293">
        <v>6.97</v>
      </c>
      <c r="K10293" t="str">
        <f t="shared" si="1833"/>
        <v>809</v>
      </c>
      <c r="L10293">
        <v>6.97</v>
      </c>
    </row>
    <row r="10294" spans="1:12" x14ac:dyDescent="0.25">
      <c r="A10294" t="str">
        <f t="shared" si="1823"/>
        <v>89301000</v>
      </c>
      <c r="B10294" t="str">
        <f t="shared" si="1830"/>
        <v>89903000</v>
      </c>
      <c r="C10294" t="str">
        <f t="shared" si="1831"/>
        <v>89903503</v>
      </c>
      <c r="D10294">
        <v>89301062</v>
      </c>
      <c r="E10294" t="str">
        <f t="shared" si="1834"/>
        <v>5401310013</v>
      </c>
      <c r="F10294" s="1">
        <v>45163</v>
      </c>
      <c r="G10294" t="str">
        <f>"0096251"</f>
        <v>0096251</v>
      </c>
      <c r="H10294">
        <v>8.0000000000000002E-3</v>
      </c>
      <c r="J10294">
        <v>9.36</v>
      </c>
      <c r="K10294" t="str">
        <f t="shared" si="1833"/>
        <v>809</v>
      </c>
      <c r="L10294">
        <v>9.36</v>
      </c>
    </row>
    <row r="10295" spans="1:12" x14ac:dyDescent="0.25">
      <c r="A10295" t="str">
        <f t="shared" si="1823"/>
        <v>89301000</v>
      </c>
      <c r="B10295" t="str">
        <f t="shared" si="1830"/>
        <v>89903000</v>
      </c>
      <c r="C10295" t="str">
        <f t="shared" si="1831"/>
        <v>89903503</v>
      </c>
      <c r="D10295">
        <v>89301062</v>
      </c>
      <c r="E10295" t="str">
        <f t="shared" si="1834"/>
        <v>5401310013</v>
      </c>
      <c r="F10295" s="1">
        <v>45163</v>
      </c>
      <c r="G10295" t="str">
        <f>"0194183"</f>
        <v>0194183</v>
      </c>
      <c r="H10295">
        <v>3</v>
      </c>
      <c r="J10295">
        <v>159</v>
      </c>
      <c r="K10295" t="str">
        <f t="shared" si="1833"/>
        <v>809</v>
      </c>
      <c r="L10295">
        <v>159</v>
      </c>
    </row>
    <row r="10296" spans="1:12" x14ac:dyDescent="0.25">
      <c r="A10296" t="str">
        <f t="shared" si="1823"/>
        <v>89301000</v>
      </c>
      <c r="B10296" t="str">
        <f t="shared" ref="B10296:B10301" si="1835">"92002000"</f>
        <v>92002000</v>
      </c>
      <c r="C10296" t="str">
        <f>"92002027"</f>
        <v>92002027</v>
      </c>
      <c r="D10296">
        <v>89301212</v>
      </c>
      <c r="E10296" t="str">
        <f>"7257264410"</f>
        <v>7257264410</v>
      </c>
      <c r="F10296" s="1">
        <v>45166</v>
      </c>
      <c r="G10296" t="str">
        <f>"89513"</f>
        <v>89513</v>
      </c>
      <c r="H10296">
        <v>1</v>
      </c>
      <c r="I10296">
        <v>378</v>
      </c>
      <c r="J10296">
        <v>0</v>
      </c>
      <c r="K10296" t="str">
        <f t="shared" si="1833"/>
        <v>809</v>
      </c>
      <c r="L10296">
        <v>555.66</v>
      </c>
    </row>
    <row r="10297" spans="1:12" x14ac:dyDescent="0.25">
      <c r="A10297" t="str">
        <f t="shared" si="1823"/>
        <v>89301000</v>
      </c>
      <c r="B10297" t="str">
        <f t="shared" si="1835"/>
        <v>92002000</v>
      </c>
      <c r="C10297" t="str">
        <f>"92002027"</f>
        <v>92002027</v>
      </c>
      <c r="D10297">
        <v>89301212</v>
      </c>
      <c r="E10297" t="str">
        <f>"7257264410"</f>
        <v>7257264410</v>
      </c>
      <c r="F10297" s="1">
        <v>45166</v>
      </c>
      <c r="G10297" t="str">
        <f>"89514"</f>
        <v>89514</v>
      </c>
      <c r="H10297">
        <v>1</v>
      </c>
      <c r="I10297">
        <v>378</v>
      </c>
      <c r="J10297">
        <v>0</v>
      </c>
      <c r="K10297" t="str">
        <f t="shared" si="1833"/>
        <v>809</v>
      </c>
      <c r="L10297">
        <v>555.66</v>
      </c>
    </row>
    <row r="10298" spans="1:12" x14ac:dyDescent="0.25">
      <c r="A10298" t="str">
        <f t="shared" si="1823"/>
        <v>89301000</v>
      </c>
      <c r="B10298" t="str">
        <f t="shared" si="1835"/>
        <v>92002000</v>
      </c>
      <c r="C10298" t="str">
        <f>"92002175"</f>
        <v>92002175</v>
      </c>
      <c r="D10298">
        <v>89301212</v>
      </c>
      <c r="E10298" t="str">
        <f>"535414122"</f>
        <v>535414122</v>
      </c>
      <c r="F10298" s="1">
        <v>45153</v>
      </c>
      <c r="G10298" t="str">
        <f>"89180"</f>
        <v>89180</v>
      </c>
      <c r="H10298">
        <v>2</v>
      </c>
      <c r="I10298">
        <v>762</v>
      </c>
      <c r="J10298">
        <v>0</v>
      </c>
      <c r="K10298" t="str">
        <f t="shared" si="1833"/>
        <v>809</v>
      </c>
      <c r="L10298">
        <v>1120.1400000000001</v>
      </c>
    </row>
    <row r="10299" spans="1:12" x14ac:dyDescent="0.25">
      <c r="A10299" t="str">
        <f t="shared" si="1823"/>
        <v>89301000</v>
      </c>
      <c r="B10299" t="str">
        <f t="shared" si="1835"/>
        <v>92002000</v>
      </c>
      <c r="C10299" t="str">
        <f>"92002175"</f>
        <v>92002175</v>
      </c>
      <c r="D10299">
        <v>89301212</v>
      </c>
      <c r="E10299" t="str">
        <f>"7552173519"</f>
        <v>7552173519</v>
      </c>
      <c r="F10299" s="1">
        <v>45169</v>
      </c>
      <c r="G10299" t="str">
        <f>"89180"</f>
        <v>89180</v>
      </c>
      <c r="H10299">
        <v>2</v>
      </c>
      <c r="I10299">
        <v>762</v>
      </c>
      <c r="J10299">
        <v>0</v>
      </c>
      <c r="K10299" t="str">
        <f t="shared" si="1833"/>
        <v>809</v>
      </c>
      <c r="L10299">
        <v>1120.1400000000001</v>
      </c>
    </row>
    <row r="10300" spans="1:12" x14ac:dyDescent="0.25">
      <c r="A10300" t="str">
        <f t="shared" si="1823"/>
        <v>89301000</v>
      </c>
      <c r="B10300" t="str">
        <f t="shared" si="1835"/>
        <v>92002000</v>
      </c>
      <c r="C10300" t="str">
        <f>"92002175"</f>
        <v>92002175</v>
      </c>
      <c r="D10300">
        <v>89301212</v>
      </c>
      <c r="E10300" t="str">
        <f>"7552173519"</f>
        <v>7552173519</v>
      </c>
      <c r="F10300" s="1">
        <v>45169</v>
      </c>
      <c r="G10300" t="str">
        <f>"89512"</f>
        <v>89512</v>
      </c>
      <c r="H10300">
        <v>1</v>
      </c>
      <c r="I10300">
        <v>283</v>
      </c>
      <c r="J10300">
        <v>0</v>
      </c>
      <c r="K10300" t="str">
        <f t="shared" si="1833"/>
        <v>809</v>
      </c>
      <c r="L10300">
        <v>416.01</v>
      </c>
    </row>
    <row r="10301" spans="1:12" x14ac:dyDescent="0.25">
      <c r="A10301" t="str">
        <f t="shared" si="1823"/>
        <v>89301000</v>
      </c>
      <c r="B10301" t="str">
        <f t="shared" si="1835"/>
        <v>92002000</v>
      </c>
      <c r="C10301" t="str">
        <f>"92002175"</f>
        <v>92002175</v>
      </c>
      <c r="D10301">
        <v>89301212</v>
      </c>
      <c r="E10301" t="str">
        <f>"6952055374"</f>
        <v>6952055374</v>
      </c>
      <c r="F10301" s="1">
        <v>45166</v>
      </c>
      <c r="G10301" t="str">
        <f>"89180"</f>
        <v>89180</v>
      </c>
      <c r="H10301">
        <v>2</v>
      </c>
      <c r="I10301">
        <v>762</v>
      </c>
      <c r="J10301">
        <v>0</v>
      </c>
      <c r="K10301" t="str">
        <f t="shared" si="1833"/>
        <v>809</v>
      </c>
      <c r="L10301">
        <v>1120.1400000000001</v>
      </c>
    </row>
    <row r="10302" spans="1:12" x14ac:dyDescent="0.25">
      <c r="A10302" t="str">
        <f t="shared" si="1823"/>
        <v>89301000</v>
      </c>
      <c r="B10302" t="str">
        <f t="shared" ref="B10302:B10314" si="1836">"06223000"</f>
        <v>06223000</v>
      </c>
      <c r="C10302" t="str">
        <f t="shared" ref="C10302:C10314" si="1837">"06223043"</f>
        <v>06223043</v>
      </c>
      <c r="D10302">
        <v>89301122</v>
      </c>
      <c r="E10302" t="str">
        <f>"5906141637"</f>
        <v>5906141637</v>
      </c>
      <c r="F10302" s="1">
        <v>45140</v>
      </c>
      <c r="G10302" t="str">
        <f>"81485"</f>
        <v>81485</v>
      </c>
      <c r="H10302">
        <v>1</v>
      </c>
      <c r="I10302">
        <v>461</v>
      </c>
      <c r="J10302">
        <v>0</v>
      </c>
      <c r="K10302" t="str">
        <f t="shared" ref="K10302:K10314" si="1838">"801"</f>
        <v>801</v>
      </c>
      <c r="L10302">
        <v>387.24</v>
      </c>
    </row>
    <row r="10303" spans="1:12" x14ac:dyDescent="0.25">
      <c r="A10303" t="str">
        <f t="shared" si="1823"/>
        <v>89301000</v>
      </c>
      <c r="B10303" t="str">
        <f t="shared" si="1836"/>
        <v>06223000</v>
      </c>
      <c r="C10303" t="str">
        <f t="shared" si="1837"/>
        <v>06223043</v>
      </c>
      <c r="D10303">
        <v>89301022</v>
      </c>
      <c r="E10303" t="str">
        <f>"0960165338"</f>
        <v>0960165338</v>
      </c>
      <c r="F10303" s="1">
        <v>45153</v>
      </c>
      <c r="G10303" t="str">
        <f>"81485"</f>
        <v>81485</v>
      </c>
      <c r="H10303">
        <v>1</v>
      </c>
      <c r="I10303">
        <v>461</v>
      </c>
      <c r="J10303">
        <v>0</v>
      </c>
      <c r="K10303" t="str">
        <f t="shared" si="1838"/>
        <v>801</v>
      </c>
      <c r="L10303">
        <v>387.24</v>
      </c>
    </row>
    <row r="10304" spans="1:12" x14ac:dyDescent="0.25">
      <c r="A10304" t="str">
        <f t="shared" si="1823"/>
        <v>89301000</v>
      </c>
      <c r="B10304" t="str">
        <f t="shared" si="1836"/>
        <v>06223000</v>
      </c>
      <c r="C10304" t="str">
        <f t="shared" si="1837"/>
        <v>06223043</v>
      </c>
      <c r="D10304">
        <v>89301022</v>
      </c>
      <c r="E10304" t="str">
        <f>"7661285302"</f>
        <v>7661285302</v>
      </c>
      <c r="F10304" s="1">
        <v>45153</v>
      </c>
      <c r="G10304" t="str">
        <f>"81485"</f>
        <v>81485</v>
      </c>
      <c r="H10304">
        <v>1</v>
      </c>
      <c r="I10304">
        <v>461</v>
      </c>
      <c r="J10304">
        <v>0</v>
      </c>
      <c r="K10304" t="str">
        <f t="shared" si="1838"/>
        <v>801</v>
      </c>
      <c r="L10304">
        <v>387.24</v>
      </c>
    </row>
    <row r="10305" spans="1:12" x14ac:dyDescent="0.25">
      <c r="A10305" t="str">
        <f t="shared" si="1823"/>
        <v>89301000</v>
      </c>
      <c r="B10305" t="str">
        <f t="shared" si="1836"/>
        <v>06223000</v>
      </c>
      <c r="C10305" t="str">
        <f t="shared" si="1837"/>
        <v>06223043</v>
      </c>
      <c r="D10305">
        <v>89301022</v>
      </c>
      <c r="E10305" t="str">
        <f>"8807265786"</f>
        <v>8807265786</v>
      </c>
      <c r="F10305" s="1">
        <v>45153</v>
      </c>
      <c r="G10305" t="str">
        <f>"81485"</f>
        <v>81485</v>
      </c>
      <c r="H10305">
        <v>1</v>
      </c>
      <c r="I10305">
        <v>461</v>
      </c>
      <c r="J10305">
        <v>0</v>
      </c>
      <c r="K10305" t="str">
        <f t="shared" si="1838"/>
        <v>801</v>
      </c>
      <c r="L10305">
        <v>387.24</v>
      </c>
    </row>
    <row r="10306" spans="1:12" x14ac:dyDescent="0.25">
      <c r="A10306" t="str">
        <f t="shared" ref="A10306:A10369" si="1839">"89301000"</f>
        <v>89301000</v>
      </c>
      <c r="B10306" t="str">
        <f t="shared" si="1836"/>
        <v>06223000</v>
      </c>
      <c r="C10306" t="str">
        <f t="shared" si="1837"/>
        <v>06223043</v>
      </c>
      <c r="D10306">
        <v>89301122</v>
      </c>
      <c r="E10306" t="str">
        <f>"8161055342"</f>
        <v>8161055342</v>
      </c>
      <c r="F10306" s="1">
        <v>45162</v>
      </c>
      <c r="G10306" t="str">
        <f>"92165"</f>
        <v>92165</v>
      </c>
      <c r="H10306">
        <v>1</v>
      </c>
      <c r="I10306">
        <v>2162</v>
      </c>
      <c r="J10306">
        <v>0</v>
      </c>
      <c r="K10306" t="str">
        <f t="shared" si="1838"/>
        <v>801</v>
      </c>
      <c r="L10306">
        <v>1816.08</v>
      </c>
    </row>
    <row r="10307" spans="1:12" x14ac:dyDescent="0.25">
      <c r="A10307" t="str">
        <f t="shared" si="1839"/>
        <v>89301000</v>
      </c>
      <c r="B10307" t="str">
        <f t="shared" si="1836"/>
        <v>06223000</v>
      </c>
      <c r="C10307" t="str">
        <f t="shared" si="1837"/>
        <v>06223043</v>
      </c>
      <c r="D10307">
        <v>89301122</v>
      </c>
      <c r="E10307" t="str">
        <f>"445309109"</f>
        <v>445309109</v>
      </c>
      <c r="F10307" s="1">
        <v>45161</v>
      </c>
      <c r="G10307" t="str">
        <f t="shared" ref="G10307:G10314" si="1840">"81485"</f>
        <v>81485</v>
      </c>
      <c r="H10307">
        <v>1</v>
      </c>
      <c r="I10307">
        <v>461</v>
      </c>
      <c r="J10307">
        <v>0</v>
      </c>
      <c r="K10307" t="str">
        <f t="shared" si="1838"/>
        <v>801</v>
      </c>
      <c r="L10307">
        <v>387.24</v>
      </c>
    </row>
    <row r="10308" spans="1:12" x14ac:dyDescent="0.25">
      <c r="A10308" t="str">
        <f t="shared" si="1839"/>
        <v>89301000</v>
      </c>
      <c r="B10308" t="str">
        <f t="shared" si="1836"/>
        <v>06223000</v>
      </c>
      <c r="C10308" t="str">
        <f t="shared" si="1837"/>
        <v>06223043</v>
      </c>
      <c r="D10308">
        <v>89301122</v>
      </c>
      <c r="E10308" t="str">
        <f>"385510432"</f>
        <v>385510432</v>
      </c>
      <c r="F10308" s="1">
        <v>45161</v>
      </c>
      <c r="G10308" t="str">
        <f t="shared" si="1840"/>
        <v>81485</v>
      </c>
      <c r="H10308">
        <v>1</v>
      </c>
      <c r="I10308">
        <v>461</v>
      </c>
      <c r="J10308">
        <v>0</v>
      </c>
      <c r="K10308" t="str">
        <f t="shared" si="1838"/>
        <v>801</v>
      </c>
      <c r="L10308">
        <v>387.24</v>
      </c>
    </row>
    <row r="10309" spans="1:12" x14ac:dyDescent="0.25">
      <c r="A10309" t="str">
        <f t="shared" si="1839"/>
        <v>89301000</v>
      </c>
      <c r="B10309" t="str">
        <f t="shared" si="1836"/>
        <v>06223000</v>
      </c>
      <c r="C10309" t="str">
        <f t="shared" si="1837"/>
        <v>06223043</v>
      </c>
      <c r="D10309">
        <v>89301122</v>
      </c>
      <c r="E10309" t="str">
        <f>"7754185340"</f>
        <v>7754185340</v>
      </c>
      <c r="F10309" s="1">
        <v>45166</v>
      </c>
      <c r="G10309" t="str">
        <f t="shared" si="1840"/>
        <v>81485</v>
      </c>
      <c r="H10309">
        <v>1</v>
      </c>
      <c r="I10309">
        <v>461</v>
      </c>
      <c r="J10309">
        <v>0</v>
      </c>
      <c r="K10309" t="str">
        <f t="shared" si="1838"/>
        <v>801</v>
      </c>
      <c r="L10309">
        <v>387.24</v>
      </c>
    </row>
    <row r="10310" spans="1:12" x14ac:dyDescent="0.25">
      <c r="A10310" t="str">
        <f t="shared" si="1839"/>
        <v>89301000</v>
      </c>
      <c r="B10310" t="str">
        <f t="shared" si="1836"/>
        <v>06223000</v>
      </c>
      <c r="C10310" t="str">
        <f t="shared" si="1837"/>
        <v>06223043</v>
      </c>
      <c r="D10310">
        <v>89301122</v>
      </c>
      <c r="E10310" t="str">
        <f>"9352025716"</f>
        <v>9352025716</v>
      </c>
      <c r="F10310" s="1">
        <v>45166</v>
      </c>
      <c r="G10310" t="str">
        <f t="shared" si="1840"/>
        <v>81485</v>
      </c>
      <c r="H10310">
        <v>1</v>
      </c>
      <c r="I10310">
        <v>461</v>
      </c>
      <c r="J10310">
        <v>0</v>
      </c>
      <c r="K10310" t="str">
        <f t="shared" si="1838"/>
        <v>801</v>
      </c>
      <c r="L10310">
        <v>387.24</v>
      </c>
    </row>
    <row r="10311" spans="1:12" x14ac:dyDescent="0.25">
      <c r="A10311" t="str">
        <f t="shared" si="1839"/>
        <v>89301000</v>
      </c>
      <c r="B10311" t="str">
        <f t="shared" si="1836"/>
        <v>06223000</v>
      </c>
      <c r="C10311" t="str">
        <f t="shared" si="1837"/>
        <v>06223043</v>
      </c>
      <c r="D10311">
        <v>89301122</v>
      </c>
      <c r="E10311" t="str">
        <f>"9601294846"</f>
        <v>9601294846</v>
      </c>
      <c r="F10311" s="1">
        <v>45166</v>
      </c>
      <c r="G10311" t="str">
        <f t="shared" si="1840"/>
        <v>81485</v>
      </c>
      <c r="H10311">
        <v>1</v>
      </c>
      <c r="I10311">
        <v>461</v>
      </c>
      <c r="J10311">
        <v>0</v>
      </c>
      <c r="K10311" t="str">
        <f t="shared" si="1838"/>
        <v>801</v>
      </c>
      <c r="L10311">
        <v>387.24</v>
      </c>
    </row>
    <row r="10312" spans="1:12" x14ac:dyDescent="0.25">
      <c r="A10312" t="str">
        <f t="shared" si="1839"/>
        <v>89301000</v>
      </c>
      <c r="B10312" t="str">
        <f t="shared" si="1836"/>
        <v>06223000</v>
      </c>
      <c r="C10312" t="str">
        <f t="shared" si="1837"/>
        <v>06223043</v>
      </c>
      <c r="D10312">
        <v>89301022</v>
      </c>
      <c r="E10312" t="str">
        <f>"7809183008"</f>
        <v>7809183008</v>
      </c>
      <c r="F10312" s="1">
        <v>45153</v>
      </c>
      <c r="G10312" t="str">
        <f t="shared" si="1840"/>
        <v>81485</v>
      </c>
      <c r="H10312">
        <v>1</v>
      </c>
      <c r="I10312">
        <v>461</v>
      </c>
      <c r="J10312">
        <v>0</v>
      </c>
      <c r="K10312" t="str">
        <f t="shared" si="1838"/>
        <v>801</v>
      </c>
      <c r="L10312">
        <v>387.24</v>
      </c>
    </row>
    <row r="10313" spans="1:12" x14ac:dyDescent="0.25">
      <c r="A10313" t="str">
        <f t="shared" si="1839"/>
        <v>89301000</v>
      </c>
      <c r="B10313" t="str">
        <f t="shared" si="1836"/>
        <v>06223000</v>
      </c>
      <c r="C10313" t="str">
        <f t="shared" si="1837"/>
        <v>06223043</v>
      </c>
      <c r="D10313">
        <v>89301122</v>
      </c>
      <c r="E10313" t="str">
        <f>"390809408"</f>
        <v>390809408</v>
      </c>
      <c r="F10313" s="1">
        <v>45161</v>
      </c>
      <c r="G10313" t="str">
        <f t="shared" si="1840"/>
        <v>81485</v>
      </c>
      <c r="H10313">
        <v>1</v>
      </c>
      <c r="I10313">
        <v>461</v>
      </c>
      <c r="J10313">
        <v>0</v>
      </c>
      <c r="K10313" t="str">
        <f t="shared" si="1838"/>
        <v>801</v>
      </c>
      <c r="L10313">
        <v>387.24</v>
      </c>
    </row>
    <row r="10314" spans="1:12" x14ac:dyDescent="0.25">
      <c r="A10314" t="str">
        <f t="shared" si="1839"/>
        <v>89301000</v>
      </c>
      <c r="B10314" t="str">
        <f t="shared" si="1836"/>
        <v>06223000</v>
      </c>
      <c r="C10314" t="str">
        <f t="shared" si="1837"/>
        <v>06223043</v>
      </c>
      <c r="D10314">
        <v>89301122</v>
      </c>
      <c r="E10314" t="str">
        <f>"7107085315"</f>
        <v>7107085315</v>
      </c>
      <c r="F10314" s="1">
        <v>45166</v>
      </c>
      <c r="G10314" t="str">
        <f t="shared" si="1840"/>
        <v>81485</v>
      </c>
      <c r="H10314">
        <v>1</v>
      </c>
      <c r="I10314">
        <v>461</v>
      </c>
      <c r="J10314">
        <v>0</v>
      </c>
      <c r="K10314" t="str">
        <f t="shared" si="1838"/>
        <v>801</v>
      </c>
      <c r="L10314">
        <v>387.24</v>
      </c>
    </row>
    <row r="10315" spans="1:12" x14ac:dyDescent="0.25">
      <c r="A10315" t="str">
        <f t="shared" si="1839"/>
        <v>89301000</v>
      </c>
      <c r="B10315" t="str">
        <f t="shared" ref="B10315:B10346" si="1841">"72100000"</f>
        <v>72100000</v>
      </c>
      <c r="C10315" t="str">
        <f t="shared" ref="C10315:C10346" si="1842">"72100632"</f>
        <v>72100632</v>
      </c>
      <c r="D10315">
        <v>89301282</v>
      </c>
      <c r="E10315" t="str">
        <f>"9460126148"</f>
        <v>9460126148</v>
      </c>
      <c r="F10315" s="1">
        <v>45058</v>
      </c>
      <c r="G10315" t="str">
        <f>"94221"</f>
        <v>94221</v>
      </c>
      <c r="H10315">
        <v>1</v>
      </c>
      <c r="I10315">
        <v>2467</v>
      </c>
      <c r="J10315">
        <v>0</v>
      </c>
      <c r="K10315" t="str">
        <f t="shared" ref="K10315:K10346" si="1843">"816"</f>
        <v>816</v>
      </c>
      <c r="L10315">
        <v>2220.3000000000002</v>
      </c>
    </row>
    <row r="10316" spans="1:12" x14ac:dyDescent="0.25">
      <c r="A10316" t="str">
        <f t="shared" si="1839"/>
        <v>89301000</v>
      </c>
      <c r="B10316" t="str">
        <f t="shared" si="1841"/>
        <v>72100000</v>
      </c>
      <c r="C10316" t="str">
        <f t="shared" si="1842"/>
        <v>72100632</v>
      </c>
      <c r="D10316">
        <v>89301282</v>
      </c>
      <c r="E10316" t="str">
        <f>"1308050370"</f>
        <v>1308050370</v>
      </c>
      <c r="F10316" s="1">
        <v>45082</v>
      </c>
      <c r="G10316" t="str">
        <f>"94983"</f>
        <v>94983</v>
      </c>
      <c r="H10316">
        <v>1</v>
      </c>
      <c r="I10316">
        <v>0</v>
      </c>
      <c r="J10316">
        <v>39600</v>
      </c>
      <c r="K10316" t="str">
        <f t="shared" si="1843"/>
        <v>816</v>
      </c>
      <c r="L10316">
        <v>39600</v>
      </c>
    </row>
    <row r="10317" spans="1:12" x14ac:dyDescent="0.25">
      <c r="A10317" t="str">
        <f t="shared" si="1839"/>
        <v>89301000</v>
      </c>
      <c r="B10317" t="str">
        <f t="shared" si="1841"/>
        <v>72100000</v>
      </c>
      <c r="C10317" t="str">
        <f t="shared" si="1842"/>
        <v>72100632</v>
      </c>
      <c r="D10317">
        <v>89301282</v>
      </c>
      <c r="E10317" t="str">
        <f>"1308050370"</f>
        <v>1308050370</v>
      </c>
      <c r="F10317" s="1">
        <v>45082</v>
      </c>
      <c r="G10317" t="str">
        <f>"94996"</f>
        <v>94996</v>
      </c>
      <c r="H10317">
        <v>1</v>
      </c>
      <c r="I10317">
        <v>0</v>
      </c>
      <c r="J10317">
        <v>0</v>
      </c>
      <c r="K10317" t="str">
        <f t="shared" si="1843"/>
        <v>816</v>
      </c>
      <c r="L10317">
        <v>0</v>
      </c>
    </row>
    <row r="10318" spans="1:12" x14ac:dyDescent="0.25">
      <c r="A10318" t="str">
        <f t="shared" si="1839"/>
        <v>89301000</v>
      </c>
      <c r="B10318" t="str">
        <f t="shared" si="1841"/>
        <v>72100000</v>
      </c>
      <c r="C10318" t="str">
        <f t="shared" si="1842"/>
        <v>72100632</v>
      </c>
      <c r="D10318">
        <v>89301282</v>
      </c>
      <c r="E10318" t="str">
        <f>"1351300918"</f>
        <v>1351300918</v>
      </c>
      <c r="F10318" s="1">
        <v>45083</v>
      </c>
      <c r="G10318" t="str">
        <f>"94983"</f>
        <v>94983</v>
      </c>
      <c r="H10318">
        <v>1</v>
      </c>
      <c r="I10318">
        <v>0</v>
      </c>
      <c r="J10318">
        <v>39600</v>
      </c>
      <c r="K10318" t="str">
        <f t="shared" si="1843"/>
        <v>816</v>
      </c>
      <c r="L10318">
        <v>39600</v>
      </c>
    </row>
    <row r="10319" spans="1:12" x14ac:dyDescent="0.25">
      <c r="A10319" t="str">
        <f t="shared" si="1839"/>
        <v>89301000</v>
      </c>
      <c r="B10319" t="str">
        <f t="shared" si="1841"/>
        <v>72100000</v>
      </c>
      <c r="C10319" t="str">
        <f t="shared" si="1842"/>
        <v>72100632</v>
      </c>
      <c r="D10319">
        <v>89301282</v>
      </c>
      <c r="E10319" t="str">
        <f>"1351300918"</f>
        <v>1351300918</v>
      </c>
      <c r="F10319" s="1">
        <v>45083</v>
      </c>
      <c r="G10319" t="str">
        <f>"94996"</f>
        <v>94996</v>
      </c>
      <c r="H10319">
        <v>1</v>
      </c>
      <c r="I10319">
        <v>0</v>
      </c>
      <c r="J10319">
        <v>0</v>
      </c>
      <c r="K10319" t="str">
        <f t="shared" si="1843"/>
        <v>816</v>
      </c>
      <c r="L10319">
        <v>0</v>
      </c>
    </row>
    <row r="10320" spans="1:12" x14ac:dyDescent="0.25">
      <c r="A10320" t="str">
        <f t="shared" si="1839"/>
        <v>89301000</v>
      </c>
      <c r="B10320" t="str">
        <f t="shared" si="1841"/>
        <v>72100000</v>
      </c>
      <c r="C10320" t="str">
        <f t="shared" si="1842"/>
        <v>72100632</v>
      </c>
      <c r="D10320">
        <v>89301091</v>
      </c>
      <c r="E10320" t="str">
        <f>"2356200583"</f>
        <v>2356200583</v>
      </c>
      <c r="F10320" s="1">
        <v>45104</v>
      </c>
      <c r="G10320" t="str">
        <f t="shared" ref="G10320:G10351" si="1844">"94297"</f>
        <v>94297</v>
      </c>
      <c r="H10320">
        <v>1</v>
      </c>
      <c r="I10320">
        <v>304</v>
      </c>
      <c r="J10320">
        <v>0</v>
      </c>
      <c r="K10320" t="str">
        <f t="shared" si="1843"/>
        <v>816</v>
      </c>
      <c r="L10320">
        <v>304</v>
      </c>
    </row>
    <row r="10321" spans="1:12" x14ac:dyDescent="0.25">
      <c r="A10321" t="str">
        <f t="shared" si="1839"/>
        <v>89301000</v>
      </c>
      <c r="B10321" t="str">
        <f t="shared" si="1841"/>
        <v>72100000</v>
      </c>
      <c r="C10321" t="str">
        <f t="shared" si="1842"/>
        <v>72100632</v>
      </c>
      <c r="D10321">
        <v>89301091</v>
      </c>
      <c r="E10321" t="str">
        <f>"2356250237"</f>
        <v>2356250237</v>
      </c>
      <c r="F10321" s="1">
        <v>45107</v>
      </c>
      <c r="G10321" t="str">
        <f t="shared" si="1844"/>
        <v>94297</v>
      </c>
      <c r="H10321">
        <v>1</v>
      </c>
      <c r="I10321">
        <v>304</v>
      </c>
      <c r="J10321">
        <v>0</v>
      </c>
      <c r="K10321" t="str">
        <f t="shared" si="1843"/>
        <v>816</v>
      </c>
      <c r="L10321">
        <v>304</v>
      </c>
    </row>
    <row r="10322" spans="1:12" x14ac:dyDescent="0.25">
      <c r="A10322" t="str">
        <f t="shared" si="1839"/>
        <v>89301000</v>
      </c>
      <c r="B10322" t="str">
        <f t="shared" si="1841"/>
        <v>72100000</v>
      </c>
      <c r="C10322" t="str">
        <f t="shared" si="1842"/>
        <v>72100632</v>
      </c>
      <c r="D10322">
        <v>89301091</v>
      </c>
      <c r="E10322" t="str">
        <f>"2306250298"</f>
        <v>2306250298</v>
      </c>
      <c r="F10322" s="1">
        <v>45107</v>
      </c>
      <c r="G10322" t="str">
        <f t="shared" si="1844"/>
        <v>94297</v>
      </c>
      <c r="H10322">
        <v>1</v>
      </c>
      <c r="I10322">
        <v>304</v>
      </c>
      <c r="J10322">
        <v>0</v>
      </c>
      <c r="K10322" t="str">
        <f t="shared" si="1843"/>
        <v>816</v>
      </c>
      <c r="L10322">
        <v>304</v>
      </c>
    </row>
    <row r="10323" spans="1:12" x14ac:dyDescent="0.25">
      <c r="A10323" t="str">
        <f t="shared" si="1839"/>
        <v>89301000</v>
      </c>
      <c r="B10323" t="str">
        <f t="shared" si="1841"/>
        <v>72100000</v>
      </c>
      <c r="C10323" t="str">
        <f t="shared" si="1842"/>
        <v>72100632</v>
      </c>
      <c r="D10323">
        <v>89301091</v>
      </c>
      <c r="E10323" t="str">
        <f>"2356250259"</f>
        <v>2356250259</v>
      </c>
      <c r="F10323" s="1">
        <v>45107</v>
      </c>
      <c r="G10323" t="str">
        <f t="shared" si="1844"/>
        <v>94297</v>
      </c>
      <c r="H10323">
        <v>1</v>
      </c>
      <c r="I10323">
        <v>304</v>
      </c>
      <c r="J10323">
        <v>0</v>
      </c>
      <c r="K10323" t="str">
        <f t="shared" si="1843"/>
        <v>816</v>
      </c>
      <c r="L10323">
        <v>304</v>
      </c>
    </row>
    <row r="10324" spans="1:12" x14ac:dyDescent="0.25">
      <c r="A10324" t="str">
        <f t="shared" si="1839"/>
        <v>89301000</v>
      </c>
      <c r="B10324" t="str">
        <f t="shared" si="1841"/>
        <v>72100000</v>
      </c>
      <c r="C10324" t="str">
        <f t="shared" si="1842"/>
        <v>72100632</v>
      </c>
      <c r="D10324">
        <v>89301091</v>
      </c>
      <c r="E10324" t="str">
        <f>"2356260610"</f>
        <v>2356260610</v>
      </c>
      <c r="F10324" s="1">
        <v>45110</v>
      </c>
      <c r="G10324" t="str">
        <f t="shared" si="1844"/>
        <v>94297</v>
      </c>
      <c r="H10324">
        <v>1</v>
      </c>
      <c r="I10324">
        <v>304</v>
      </c>
      <c r="J10324">
        <v>0</v>
      </c>
      <c r="K10324" t="str">
        <f t="shared" si="1843"/>
        <v>816</v>
      </c>
      <c r="L10324">
        <v>304</v>
      </c>
    </row>
    <row r="10325" spans="1:12" x14ac:dyDescent="0.25">
      <c r="A10325" t="str">
        <f t="shared" si="1839"/>
        <v>89301000</v>
      </c>
      <c r="B10325" t="str">
        <f t="shared" si="1841"/>
        <v>72100000</v>
      </c>
      <c r="C10325" t="str">
        <f t="shared" si="1842"/>
        <v>72100632</v>
      </c>
      <c r="D10325">
        <v>89301091</v>
      </c>
      <c r="E10325" t="str">
        <f>"2356260621"</f>
        <v>2356260621</v>
      </c>
      <c r="F10325" s="1">
        <v>45110</v>
      </c>
      <c r="G10325" t="str">
        <f t="shared" si="1844"/>
        <v>94297</v>
      </c>
      <c r="H10325">
        <v>1</v>
      </c>
      <c r="I10325">
        <v>304</v>
      </c>
      <c r="J10325">
        <v>0</v>
      </c>
      <c r="K10325" t="str">
        <f t="shared" si="1843"/>
        <v>816</v>
      </c>
      <c r="L10325">
        <v>304</v>
      </c>
    </row>
    <row r="10326" spans="1:12" x14ac:dyDescent="0.25">
      <c r="A10326" t="str">
        <f t="shared" si="1839"/>
        <v>89301000</v>
      </c>
      <c r="B10326" t="str">
        <f t="shared" si="1841"/>
        <v>72100000</v>
      </c>
      <c r="C10326" t="str">
        <f t="shared" si="1842"/>
        <v>72100632</v>
      </c>
      <c r="D10326">
        <v>89301091</v>
      </c>
      <c r="E10326" t="str">
        <f>"2356270631"</f>
        <v>2356270631</v>
      </c>
      <c r="F10326" s="1">
        <v>45111</v>
      </c>
      <c r="G10326" t="str">
        <f t="shared" si="1844"/>
        <v>94297</v>
      </c>
      <c r="H10326">
        <v>1</v>
      </c>
      <c r="I10326">
        <v>304</v>
      </c>
      <c r="J10326">
        <v>0</v>
      </c>
      <c r="K10326" t="str">
        <f t="shared" si="1843"/>
        <v>816</v>
      </c>
      <c r="L10326">
        <v>304</v>
      </c>
    </row>
    <row r="10327" spans="1:12" x14ac:dyDescent="0.25">
      <c r="A10327" t="str">
        <f t="shared" si="1839"/>
        <v>89301000</v>
      </c>
      <c r="B10327" t="str">
        <f t="shared" si="1841"/>
        <v>72100000</v>
      </c>
      <c r="C10327" t="str">
        <f t="shared" si="1842"/>
        <v>72100632</v>
      </c>
      <c r="D10327">
        <v>89301091</v>
      </c>
      <c r="E10327" t="str">
        <f>"2306270659"</f>
        <v>2306270659</v>
      </c>
      <c r="F10327" s="1">
        <v>45111</v>
      </c>
      <c r="G10327" t="str">
        <f t="shared" si="1844"/>
        <v>94297</v>
      </c>
      <c r="H10327">
        <v>1</v>
      </c>
      <c r="I10327">
        <v>304</v>
      </c>
      <c r="J10327">
        <v>0</v>
      </c>
      <c r="K10327" t="str">
        <f t="shared" si="1843"/>
        <v>816</v>
      </c>
      <c r="L10327">
        <v>304</v>
      </c>
    </row>
    <row r="10328" spans="1:12" x14ac:dyDescent="0.25">
      <c r="A10328" t="str">
        <f t="shared" si="1839"/>
        <v>89301000</v>
      </c>
      <c r="B10328" t="str">
        <f t="shared" si="1841"/>
        <v>72100000</v>
      </c>
      <c r="C10328" t="str">
        <f t="shared" si="1842"/>
        <v>72100632</v>
      </c>
      <c r="D10328">
        <v>89301091</v>
      </c>
      <c r="E10328" t="str">
        <f>"2356240337"</f>
        <v>2356240337</v>
      </c>
      <c r="F10328" s="1">
        <v>45114</v>
      </c>
      <c r="G10328" t="str">
        <f t="shared" si="1844"/>
        <v>94297</v>
      </c>
      <c r="H10328">
        <v>1</v>
      </c>
      <c r="I10328">
        <v>304</v>
      </c>
      <c r="J10328">
        <v>0</v>
      </c>
      <c r="K10328" t="str">
        <f t="shared" si="1843"/>
        <v>816</v>
      </c>
      <c r="L10328">
        <v>304</v>
      </c>
    </row>
    <row r="10329" spans="1:12" x14ac:dyDescent="0.25">
      <c r="A10329" t="str">
        <f t="shared" si="1839"/>
        <v>89301000</v>
      </c>
      <c r="B10329" t="str">
        <f t="shared" si="1841"/>
        <v>72100000</v>
      </c>
      <c r="C10329" t="str">
        <f t="shared" si="1842"/>
        <v>72100632</v>
      </c>
      <c r="D10329">
        <v>89301091</v>
      </c>
      <c r="E10329" t="str">
        <f>"2306280625"</f>
        <v>2306280625</v>
      </c>
      <c r="F10329" s="1">
        <v>45114</v>
      </c>
      <c r="G10329" t="str">
        <f t="shared" si="1844"/>
        <v>94297</v>
      </c>
      <c r="H10329">
        <v>1</v>
      </c>
      <c r="I10329">
        <v>304</v>
      </c>
      <c r="J10329">
        <v>0</v>
      </c>
      <c r="K10329" t="str">
        <f t="shared" si="1843"/>
        <v>816</v>
      </c>
      <c r="L10329">
        <v>304</v>
      </c>
    </row>
    <row r="10330" spans="1:12" x14ac:dyDescent="0.25">
      <c r="A10330" t="str">
        <f t="shared" si="1839"/>
        <v>89301000</v>
      </c>
      <c r="B10330" t="str">
        <f t="shared" si="1841"/>
        <v>72100000</v>
      </c>
      <c r="C10330" t="str">
        <f t="shared" si="1842"/>
        <v>72100632</v>
      </c>
      <c r="D10330">
        <v>89301091</v>
      </c>
      <c r="E10330" t="str">
        <f>"9660104850"</f>
        <v>9660104850</v>
      </c>
      <c r="F10330" s="1">
        <v>45114</v>
      </c>
      <c r="G10330" t="str">
        <f t="shared" si="1844"/>
        <v>94297</v>
      </c>
      <c r="H10330">
        <v>1</v>
      </c>
      <c r="I10330">
        <v>304</v>
      </c>
      <c r="J10330">
        <v>0</v>
      </c>
      <c r="K10330" t="str">
        <f t="shared" si="1843"/>
        <v>816</v>
      </c>
      <c r="L10330">
        <v>304</v>
      </c>
    </row>
    <row r="10331" spans="1:12" x14ac:dyDescent="0.25">
      <c r="A10331" t="str">
        <f t="shared" si="1839"/>
        <v>89301000</v>
      </c>
      <c r="B10331" t="str">
        <f t="shared" si="1841"/>
        <v>72100000</v>
      </c>
      <c r="C10331" t="str">
        <f t="shared" si="1842"/>
        <v>72100632</v>
      </c>
      <c r="D10331">
        <v>89301091</v>
      </c>
      <c r="E10331" t="str">
        <f>"2356290596"</f>
        <v>2356290596</v>
      </c>
      <c r="F10331" s="1">
        <v>45114</v>
      </c>
      <c r="G10331" t="str">
        <f t="shared" si="1844"/>
        <v>94297</v>
      </c>
      <c r="H10331">
        <v>1</v>
      </c>
      <c r="I10331">
        <v>304</v>
      </c>
      <c r="J10331">
        <v>0</v>
      </c>
      <c r="K10331" t="str">
        <f t="shared" si="1843"/>
        <v>816</v>
      </c>
      <c r="L10331">
        <v>304</v>
      </c>
    </row>
    <row r="10332" spans="1:12" x14ac:dyDescent="0.25">
      <c r="A10332" t="str">
        <f t="shared" si="1839"/>
        <v>89301000</v>
      </c>
      <c r="B10332" t="str">
        <f t="shared" si="1841"/>
        <v>72100000</v>
      </c>
      <c r="C10332" t="str">
        <f t="shared" si="1842"/>
        <v>72100632</v>
      </c>
      <c r="D10332">
        <v>89301091</v>
      </c>
      <c r="E10332" t="str">
        <f>"2306290811"</f>
        <v>2306290811</v>
      </c>
      <c r="F10332" s="1">
        <v>45114</v>
      </c>
      <c r="G10332" t="str">
        <f t="shared" si="1844"/>
        <v>94297</v>
      </c>
      <c r="H10332">
        <v>1</v>
      </c>
      <c r="I10332">
        <v>304</v>
      </c>
      <c r="J10332">
        <v>0</v>
      </c>
      <c r="K10332" t="str">
        <f t="shared" si="1843"/>
        <v>816</v>
      </c>
      <c r="L10332">
        <v>304</v>
      </c>
    </row>
    <row r="10333" spans="1:12" x14ac:dyDescent="0.25">
      <c r="A10333" t="str">
        <f t="shared" si="1839"/>
        <v>89301000</v>
      </c>
      <c r="B10333" t="str">
        <f t="shared" si="1841"/>
        <v>72100000</v>
      </c>
      <c r="C10333" t="str">
        <f t="shared" si="1842"/>
        <v>72100632</v>
      </c>
      <c r="D10333">
        <v>89301091</v>
      </c>
      <c r="E10333" t="str">
        <f>"9457206165"</f>
        <v>9457206165</v>
      </c>
      <c r="F10333" s="1">
        <v>45114</v>
      </c>
      <c r="G10333" t="str">
        <f t="shared" si="1844"/>
        <v>94297</v>
      </c>
      <c r="H10333">
        <v>1</v>
      </c>
      <c r="I10333">
        <v>304</v>
      </c>
      <c r="J10333">
        <v>0</v>
      </c>
      <c r="K10333" t="str">
        <f t="shared" si="1843"/>
        <v>816</v>
      </c>
      <c r="L10333">
        <v>304</v>
      </c>
    </row>
    <row r="10334" spans="1:12" x14ac:dyDescent="0.25">
      <c r="A10334" t="str">
        <f t="shared" si="1839"/>
        <v>89301000</v>
      </c>
      <c r="B10334" t="str">
        <f t="shared" si="1841"/>
        <v>72100000</v>
      </c>
      <c r="C10334" t="str">
        <f t="shared" si="1842"/>
        <v>72100632</v>
      </c>
      <c r="D10334">
        <v>89301091</v>
      </c>
      <c r="E10334" t="str">
        <f>"9360235709"</f>
        <v>9360235709</v>
      </c>
      <c r="F10334" s="1">
        <v>45114</v>
      </c>
      <c r="G10334" t="str">
        <f t="shared" si="1844"/>
        <v>94297</v>
      </c>
      <c r="H10334">
        <v>1</v>
      </c>
      <c r="I10334">
        <v>304</v>
      </c>
      <c r="J10334">
        <v>0</v>
      </c>
      <c r="K10334" t="str">
        <f t="shared" si="1843"/>
        <v>816</v>
      </c>
      <c r="L10334">
        <v>304</v>
      </c>
    </row>
    <row r="10335" spans="1:12" x14ac:dyDescent="0.25">
      <c r="A10335" t="str">
        <f t="shared" si="1839"/>
        <v>89301000</v>
      </c>
      <c r="B10335" t="str">
        <f t="shared" si="1841"/>
        <v>72100000</v>
      </c>
      <c r="C10335" t="str">
        <f t="shared" si="1842"/>
        <v>72100632</v>
      </c>
      <c r="D10335">
        <v>89301091</v>
      </c>
      <c r="E10335" t="str">
        <f>"9560213212"</f>
        <v>9560213212</v>
      </c>
      <c r="F10335" s="1">
        <v>45114</v>
      </c>
      <c r="G10335" t="str">
        <f t="shared" si="1844"/>
        <v>94297</v>
      </c>
      <c r="H10335">
        <v>1</v>
      </c>
      <c r="I10335">
        <v>304</v>
      </c>
      <c r="J10335">
        <v>0</v>
      </c>
      <c r="K10335" t="str">
        <f t="shared" si="1843"/>
        <v>816</v>
      </c>
      <c r="L10335">
        <v>304</v>
      </c>
    </row>
    <row r="10336" spans="1:12" x14ac:dyDescent="0.25">
      <c r="A10336" t="str">
        <f t="shared" si="1839"/>
        <v>89301000</v>
      </c>
      <c r="B10336" t="str">
        <f t="shared" si="1841"/>
        <v>72100000</v>
      </c>
      <c r="C10336" t="str">
        <f t="shared" si="1842"/>
        <v>72100632</v>
      </c>
      <c r="D10336">
        <v>89301091</v>
      </c>
      <c r="E10336" t="str">
        <f>"8761246241"</f>
        <v>8761246241</v>
      </c>
      <c r="F10336" s="1">
        <v>45114</v>
      </c>
      <c r="G10336" t="str">
        <f t="shared" si="1844"/>
        <v>94297</v>
      </c>
      <c r="H10336">
        <v>1</v>
      </c>
      <c r="I10336">
        <v>304</v>
      </c>
      <c r="J10336">
        <v>0</v>
      </c>
      <c r="K10336" t="str">
        <f t="shared" si="1843"/>
        <v>816</v>
      </c>
      <c r="L10336">
        <v>304</v>
      </c>
    </row>
    <row r="10337" spans="1:12" x14ac:dyDescent="0.25">
      <c r="A10337" t="str">
        <f t="shared" si="1839"/>
        <v>89301000</v>
      </c>
      <c r="B10337" t="str">
        <f t="shared" si="1841"/>
        <v>72100000</v>
      </c>
      <c r="C10337" t="str">
        <f t="shared" si="1842"/>
        <v>72100632</v>
      </c>
      <c r="D10337">
        <v>89301091</v>
      </c>
      <c r="E10337" t="str">
        <f>"2307010409"</f>
        <v>2307010409</v>
      </c>
      <c r="F10337" s="1">
        <v>45117</v>
      </c>
      <c r="G10337" t="str">
        <f t="shared" si="1844"/>
        <v>94297</v>
      </c>
      <c r="H10337">
        <v>1</v>
      </c>
      <c r="I10337">
        <v>304</v>
      </c>
      <c r="J10337">
        <v>0</v>
      </c>
      <c r="K10337" t="str">
        <f t="shared" si="1843"/>
        <v>816</v>
      </c>
      <c r="L10337">
        <v>304</v>
      </c>
    </row>
    <row r="10338" spans="1:12" x14ac:dyDescent="0.25">
      <c r="A10338" t="str">
        <f t="shared" si="1839"/>
        <v>89301000</v>
      </c>
      <c r="B10338" t="str">
        <f t="shared" si="1841"/>
        <v>72100000</v>
      </c>
      <c r="C10338" t="str">
        <f t="shared" si="1842"/>
        <v>72100632</v>
      </c>
      <c r="D10338">
        <v>89301091</v>
      </c>
      <c r="E10338" t="str">
        <f>"2357020413"</f>
        <v>2357020413</v>
      </c>
      <c r="F10338" s="1">
        <v>45119</v>
      </c>
      <c r="G10338" t="str">
        <f t="shared" si="1844"/>
        <v>94297</v>
      </c>
      <c r="H10338">
        <v>1</v>
      </c>
      <c r="I10338">
        <v>304</v>
      </c>
      <c r="J10338">
        <v>0</v>
      </c>
      <c r="K10338" t="str">
        <f t="shared" si="1843"/>
        <v>816</v>
      </c>
      <c r="L10338">
        <v>304</v>
      </c>
    </row>
    <row r="10339" spans="1:12" x14ac:dyDescent="0.25">
      <c r="A10339" t="str">
        <f t="shared" si="1839"/>
        <v>89301000</v>
      </c>
      <c r="B10339" t="str">
        <f t="shared" si="1841"/>
        <v>72100000</v>
      </c>
      <c r="C10339" t="str">
        <f t="shared" si="1842"/>
        <v>72100632</v>
      </c>
      <c r="D10339">
        <v>89301091</v>
      </c>
      <c r="E10339" t="str">
        <f>"2307030517"</f>
        <v>2307030517</v>
      </c>
      <c r="F10339" s="1">
        <v>45119</v>
      </c>
      <c r="G10339" t="str">
        <f t="shared" si="1844"/>
        <v>94297</v>
      </c>
      <c r="H10339">
        <v>1</v>
      </c>
      <c r="I10339">
        <v>304</v>
      </c>
      <c r="J10339">
        <v>0</v>
      </c>
      <c r="K10339" t="str">
        <f t="shared" si="1843"/>
        <v>816</v>
      </c>
      <c r="L10339">
        <v>304</v>
      </c>
    </row>
    <row r="10340" spans="1:12" x14ac:dyDescent="0.25">
      <c r="A10340" t="str">
        <f t="shared" si="1839"/>
        <v>89301000</v>
      </c>
      <c r="B10340" t="str">
        <f t="shared" si="1841"/>
        <v>72100000</v>
      </c>
      <c r="C10340" t="str">
        <f t="shared" si="1842"/>
        <v>72100632</v>
      </c>
      <c r="D10340">
        <v>89301091</v>
      </c>
      <c r="E10340" t="str">
        <f>"2307030528"</f>
        <v>2307030528</v>
      </c>
      <c r="F10340" s="1">
        <v>45119</v>
      </c>
      <c r="G10340" t="str">
        <f t="shared" si="1844"/>
        <v>94297</v>
      </c>
      <c r="H10340">
        <v>1</v>
      </c>
      <c r="I10340">
        <v>304</v>
      </c>
      <c r="J10340">
        <v>0</v>
      </c>
      <c r="K10340" t="str">
        <f t="shared" si="1843"/>
        <v>816</v>
      </c>
      <c r="L10340">
        <v>304</v>
      </c>
    </row>
    <row r="10341" spans="1:12" x14ac:dyDescent="0.25">
      <c r="A10341" t="str">
        <f t="shared" si="1839"/>
        <v>89301000</v>
      </c>
      <c r="B10341" t="str">
        <f t="shared" si="1841"/>
        <v>72100000</v>
      </c>
      <c r="C10341" t="str">
        <f t="shared" si="1842"/>
        <v>72100632</v>
      </c>
      <c r="D10341">
        <v>89301091</v>
      </c>
      <c r="E10341" t="str">
        <f>"9151166145"</f>
        <v>9151166145</v>
      </c>
      <c r="F10341" s="1">
        <v>45119</v>
      </c>
      <c r="G10341" t="str">
        <f t="shared" si="1844"/>
        <v>94297</v>
      </c>
      <c r="H10341">
        <v>1</v>
      </c>
      <c r="I10341">
        <v>304</v>
      </c>
      <c r="J10341">
        <v>0</v>
      </c>
      <c r="K10341" t="str">
        <f t="shared" si="1843"/>
        <v>816</v>
      </c>
      <c r="L10341">
        <v>304</v>
      </c>
    </row>
    <row r="10342" spans="1:12" x14ac:dyDescent="0.25">
      <c r="A10342" t="str">
        <f t="shared" si="1839"/>
        <v>89301000</v>
      </c>
      <c r="B10342" t="str">
        <f t="shared" si="1841"/>
        <v>72100000</v>
      </c>
      <c r="C10342" t="str">
        <f t="shared" si="1842"/>
        <v>72100632</v>
      </c>
      <c r="D10342">
        <v>89301091</v>
      </c>
      <c r="E10342" t="str">
        <f>"9151166145"</f>
        <v>9151166145</v>
      </c>
      <c r="F10342" s="1">
        <v>45119</v>
      </c>
      <c r="G10342" t="str">
        <f t="shared" si="1844"/>
        <v>94297</v>
      </c>
      <c r="H10342">
        <v>1</v>
      </c>
      <c r="I10342">
        <v>304</v>
      </c>
      <c r="J10342">
        <v>0</v>
      </c>
      <c r="K10342" t="str">
        <f t="shared" si="1843"/>
        <v>816</v>
      </c>
      <c r="L10342">
        <v>304</v>
      </c>
    </row>
    <row r="10343" spans="1:12" x14ac:dyDescent="0.25">
      <c r="A10343" t="str">
        <f t="shared" si="1839"/>
        <v>89301000</v>
      </c>
      <c r="B10343" t="str">
        <f t="shared" si="1841"/>
        <v>72100000</v>
      </c>
      <c r="C10343" t="str">
        <f t="shared" si="1842"/>
        <v>72100632</v>
      </c>
      <c r="D10343">
        <v>89301091</v>
      </c>
      <c r="E10343" t="str">
        <f>"0151790529"</f>
        <v>0151790529</v>
      </c>
      <c r="F10343" s="1">
        <v>45119</v>
      </c>
      <c r="G10343" t="str">
        <f t="shared" si="1844"/>
        <v>94297</v>
      </c>
      <c r="H10343">
        <v>1</v>
      </c>
      <c r="I10343">
        <v>304</v>
      </c>
      <c r="J10343">
        <v>0</v>
      </c>
      <c r="K10343" t="str">
        <f t="shared" si="1843"/>
        <v>816</v>
      </c>
      <c r="L10343">
        <v>304</v>
      </c>
    </row>
    <row r="10344" spans="1:12" x14ac:dyDescent="0.25">
      <c r="A10344" t="str">
        <f t="shared" si="1839"/>
        <v>89301000</v>
      </c>
      <c r="B10344" t="str">
        <f t="shared" si="1841"/>
        <v>72100000</v>
      </c>
      <c r="C10344" t="str">
        <f t="shared" si="1842"/>
        <v>72100632</v>
      </c>
      <c r="D10344">
        <v>89301091</v>
      </c>
      <c r="E10344" t="str">
        <f>"8656015797"</f>
        <v>8656015797</v>
      </c>
      <c r="F10344" s="1">
        <v>45119</v>
      </c>
      <c r="G10344" t="str">
        <f t="shared" si="1844"/>
        <v>94297</v>
      </c>
      <c r="H10344">
        <v>1</v>
      </c>
      <c r="I10344">
        <v>304</v>
      </c>
      <c r="J10344">
        <v>0</v>
      </c>
      <c r="K10344" t="str">
        <f t="shared" si="1843"/>
        <v>816</v>
      </c>
      <c r="L10344">
        <v>304</v>
      </c>
    </row>
    <row r="10345" spans="1:12" x14ac:dyDescent="0.25">
      <c r="A10345" t="str">
        <f t="shared" si="1839"/>
        <v>89301000</v>
      </c>
      <c r="B10345" t="str">
        <f t="shared" si="1841"/>
        <v>72100000</v>
      </c>
      <c r="C10345" t="str">
        <f t="shared" si="1842"/>
        <v>72100632</v>
      </c>
      <c r="D10345">
        <v>89301091</v>
      </c>
      <c r="E10345" t="str">
        <f>"9055225718"</f>
        <v>9055225718</v>
      </c>
      <c r="F10345" s="1">
        <v>45119</v>
      </c>
      <c r="G10345" t="str">
        <f t="shared" si="1844"/>
        <v>94297</v>
      </c>
      <c r="H10345">
        <v>1</v>
      </c>
      <c r="I10345">
        <v>304</v>
      </c>
      <c r="J10345">
        <v>0</v>
      </c>
      <c r="K10345" t="str">
        <f t="shared" si="1843"/>
        <v>816</v>
      </c>
      <c r="L10345">
        <v>304</v>
      </c>
    </row>
    <row r="10346" spans="1:12" x14ac:dyDescent="0.25">
      <c r="A10346" t="str">
        <f t="shared" si="1839"/>
        <v>89301000</v>
      </c>
      <c r="B10346" t="str">
        <f t="shared" si="1841"/>
        <v>72100000</v>
      </c>
      <c r="C10346" t="str">
        <f t="shared" si="1842"/>
        <v>72100632</v>
      </c>
      <c r="D10346">
        <v>89301091</v>
      </c>
      <c r="E10346" t="str">
        <f>"2307060173"</f>
        <v>2307060173</v>
      </c>
      <c r="F10346" s="1">
        <v>45119</v>
      </c>
      <c r="G10346" t="str">
        <f t="shared" si="1844"/>
        <v>94297</v>
      </c>
      <c r="H10346">
        <v>1</v>
      </c>
      <c r="I10346">
        <v>304</v>
      </c>
      <c r="J10346">
        <v>0</v>
      </c>
      <c r="K10346" t="str">
        <f t="shared" si="1843"/>
        <v>816</v>
      </c>
      <c r="L10346">
        <v>304</v>
      </c>
    </row>
    <row r="10347" spans="1:12" x14ac:dyDescent="0.25">
      <c r="A10347" t="str">
        <f t="shared" si="1839"/>
        <v>89301000</v>
      </c>
      <c r="B10347" t="str">
        <f t="shared" ref="B10347:B10380" si="1845">"72100000"</f>
        <v>72100000</v>
      </c>
      <c r="C10347" t="str">
        <f t="shared" ref="C10347:C10380" si="1846">"72100632"</f>
        <v>72100632</v>
      </c>
      <c r="D10347">
        <v>89301091</v>
      </c>
      <c r="E10347" t="str">
        <f>"9955035706"</f>
        <v>9955035706</v>
      </c>
      <c r="F10347" s="1">
        <v>45119</v>
      </c>
      <c r="G10347" t="str">
        <f t="shared" si="1844"/>
        <v>94297</v>
      </c>
      <c r="H10347">
        <v>1</v>
      </c>
      <c r="I10347">
        <v>304</v>
      </c>
      <c r="J10347">
        <v>0</v>
      </c>
      <c r="K10347" t="str">
        <f t="shared" ref="K10347:K10380" si="1847">"816"</f>
        <v>816</v>
      </c>
      <c r="L10347">
        <v>304</v>
      </c>
    </row>
    <row r="10348" spans="1:12" x14ac:dyDescent="0.25">
      <c r="A10348" t="str">
        <f t="shared" si="1839"/>
        <v>89301000</v>
      </c>
      <c r="B10348" t="str">
        <f t="shared" si="1845"/>
        <v>72100000</v>
      </c>
      <c r="C10348" t="str">
        <f t="shared" si="1846"/>
        <v>72100632</v>
      </c>
      <c r="D10348">
        <v>89301091</v>
      </c>
      <c r="E10348" t="str">
        <f>"9555095759"</f>
        <v>9555095759</v>
      </c>
      <c r="F10348" s="1">
        <v>45120</v>
      </c>
      <c r="G10348" t="str">
        <f t="shared" si="1844"/>
        <v>94297</v>
      </c>
      <c r="H10348">
        <v>1</v>
      </c>
      <c r="I10348">
        <v>304</v>
      </c>
      <c r="J10348">
        <v>0</v>
      </c>
      <c r="K10348" t="str">
        <f t="shared" si="1847"/>
        <v>816</v>
      </c>
      <c r="L10348">
        <v>304</v>
      </c>
    </row>
    <row r="10349" spans="1:12" x14ac:dyDescent="0.25">
      <c r="A10349" t="str">
        <f t="shared" si="1839"/>
        <v>89301000</v>
      </c>
      <c r="B10349" t="str">
        <f t="shared" si="1845"/>
        <v>72100000</v>
      </c>
      <c r="C10349" t="str">
        <f t="shared" si="1846"/>
        <v>72100632</v>
      </c>
      <c r="D10349">
        <v>89301091</v>
      </c>
      <c r="E10349" t="str">
        <f>"9052056178"</f>
        <v>9052056178</v>
      </c>
      <c r="F10349" s="1">
        <v>45120</v>
      </c>
      <c r="G10349" t="str">
        <f t="shared" si="1844"/>
        <v>94297</v>
      </c>
      <c r="H10349">
        <v>1</v>
      </c>
      <c r="I10349">
        <v>304</v>
      </c>
      <c r="J10349">
        <v>0</v>
      </c>
      <c r="K10349" t="str">
        <f t="shared" si="1847"/>
        <v>816</v>
      </c>
      <c r="L10349">
        <v>304</v>
      </c>
    </row>
    <row r="10350" spans="1:12" x14ac:dyDescent="0.25">
      <c r="A10350" t="str">
        <f t="shared" si="1839"/>
        <v>89301000</v>
      </c>
      <c r="B10350" t="str">
        <f t="shared" si="1845"/>
        <v>72100000</v>
      </c>
      <c r="C10350" t="str">
        <f t="shared" si="1846"/>
        <v>72100632</v>
      </c>
      <c r="D10350">
        <v>89301091</v>
      </c>
      <c r="E10350" t="str">
        <f>"2357090395"</f>
        <v>2357090395</v>
      </c>
      <c r="F10350" s="1">
        <v>45121</v>
      </c>
      <c r="G10350" t="str">
        <f t="shared" si="1844"/>
        <v>94297</v>
      </c>
      <c r="H10350">
        <v>1</v>
      </c>
      <c r="I10350">
        <v>304</v>
      </c>
      <c r="J10350">
        <v>0</v>
      </c>
      <c r="K10350" t="str">
        <f t="shared" si="1847"/>
        <v>816</v>
      </c>
      <c r="L10350">
        <v>304</v>
      </c>
    </row>
    <row r="10351" spans="1:12" x14ac:dyDescent="0.25">
      <c r="A10351" t="str">
        <f t="shared" si="1839"/>
        <v>89301000</v>
      </c>
      <c r="B10351" t="str">
        <f t="shared" si="1845"/>
        <v>72100000</v>
      </c>
      <c r="C10351" t="str">
        <f t="shared" si="1846"/>
        <v>72100632</v>
      </c>
      <c r="D10351">
        <v>89301091</v>
      </c>
      <c r="E10351" t="str">
        <f>"2307090346"</f>
        <v>2307090346</v>
      </c>
      <c r="F10351" s="1">
        <v>45124</v>
      </c>
      <c r="G10351" t="str">
        <f t="shared" si="1844"/>
        <v>94297</v>
      </c>
      <c r="H10351">
        <v>1</v>
      </c>
      <c r="I10351">
        <v>304</v>
      </c>
      <c r="J10351">
        <v>0</v>
      </c>
      <c r="K10351" t="str">
        <f t="shared" si="1847"/>
        <v>816</v>
      </c>
      <c r="L10351">
        <v>304</v>
      </c>
    </row>
    <row r="10352" spans="1:12" x14ac:dyDescent="0.25">
      <c r="A10352" t="str">
        <f t="shared" si="1839"/>
        <v>89301000</v>
      </c>
      <c r="B10352" t="str">
        <f t="shared" si="1845"/>
        <v>72100000</v>
      </c>
      <c r="C10352" t="str">
        <f t="shared" si="1846"/>
        <v>72100632</v>
      </c>
      <c r="D10352">
        <v>89301091</v>
      </c>
      <c r="E10352" t="str">
        <f>"2307100455"</f>
        <v>2307100455</v>
      </c>
      <c r="F10352" s="1">
        <v>45124</v>
      </c>
      <c r="G10352" t="str">
        <f t="shared" ref="G10352:G10377" si="1848">"94297"</f>
        <v>94297</v>
      </c>
      <c r="H10352">
        <v>1</v>
      </c>
      <c r="I10352">
        <v>304</v>
      </c>
      <c r="J10352">
        <v>0</v>
      </c>
      <c r="K10352" t="str">
        <f t="shared" si="1847"/>
        <v>816</v>
      </c>
      <c r="L10352">
        <v>304</v>
      </c>
    </row>
    <row r="10353" spans="1:12" x14ac:dyDescent="0.25">
      <c r="A10353" t="str">
        <f t="shared" si="1839"/>
        <v>89301000</v>
      </c>
      <c r="B10353" t="str">
        <f t="shared" si="1845"/>
        <v>72100000</v>
      </c>
      <c r="C10353" t="str">
        <f t="shared" si="1846"/>
        <v>72100632</v>
      </c>
      <c r="D10353">
        <v>89301091</v>
      </c>
      <c r="E10353" t="str">
        <f>"2307100554"</f>
        <v>2307100554</v>
      </c>
      <c r="F10353" s="1">
        <v>45124</v>
      </c>
      <c r="G10353" t="str">
        <f t="shared" si="1848"/>
        <v>94297</v>
      </c>
      <c r="H10353">
        <v>1</v>
      </c>
      <c r="I10353">
        <v>304</v>
      </c>
      <c r="J10353">
        <v>0</v>
      </c>
      <c r="K10353" t="str">
        <f t="shared" si="1847"/>
        <v>816</v>
      </c>
      <c r="L10353">
        <v>304</v>
      </c>
    </row>
    <row r="10354" spans="1:12" x14ac:dyDescent="0.25">
      <c r="A10354" t="str">
        <f t="shared" si="1839"/>
        <v>89301000</v>
      </c>
      <c r="B10354" t="str">
        <f t="shared" si="1845"/>
        <v>72100000</v>
      </c>
      <c r="C10354" t="str">
        <f t="shared" si="1846"/>
        <v>72100632</v>
      </c>
      <c r="D10354">
        <v>89301091</v>
      </c>
      <c r="E10354" t="str">
        <f>"2357100526"</f>
        <v>2357100526</v>
      </c>
      <c r="F10354" s="1">
        <v>45124</v>
      </c>
      <c r="G10354" t="str">
        <f t="shared" si="1848"/>
        <v>94297</v>
      </c>
      <c r="H10354">
        <v>1</v>
      </c>
      <c r="I10354">
        <v>304</v>
      </c>
      <c r="J10354">
        <v>0</v>
      </c>
      <c r="K10354" t="str">
        <f t="shared" si="1847"/>
        <v>816</v>
      </c>
      <c r="L10354">
        <v>304</v>
      </c>
    </row>
    <row r="10355" spans="1:12" x14ac:dyDescent="0.25">
      <c r="A10355" t="str">
        <f t="shared" si="1839"/>
        <v>89301000</v>
      </c>
      <c r="B10355" t="str">
        <f t="shared" si="1845"/>
        <v>72100000</v>
      </c>
      <c r="C10355" t="str">
        <f t="shared" si="1846"/>
        <v>72100632</v>
      </c>
      <c r="D10355">
        <v>89301091</v>
      </c>
      <c r="E10355" t="str">
        <f>"2307120387"</f>
        <v>2307120387</v>
      </c>
      <c r="F10355" s="1">
        <v>45126</v>
      </c>
      <c r="G10355" t="str">
        <f t="shared" si="1848"/>
        <v>94297</v>
      </c>
      <c r="H10355">
        <v>1</v>
      </c>
      <c r="I10355">
        <v>304</v>
      </c>
      <c r="J10355">
        <v>0</v>
      </c>
      <c r="K10355" t="str">
        <f t="shared" si="1847"/>
        <v>816</v>
      </c>
      <c r="L10355">
        <v>304</v>
      </c>
    </row>
    <row r="10356" spans="1:12" x14ac:dyDescent="0.25">
      <c r="A10356" t="str">
        <f t="shared" si="1839"/>
        <v>89301000</v>
      </c>
      <c r="B10356" t="str">
        <f t="shared" si="1845"/>
        <v>72100000</v>
      </c>
      <c r="C10356" t="str">
        <f t="shared" si="1846"/>
        <v>72100632</v>
      </c>
      <c r="D10356">
        <v>89301091</v>
      </c>
      <c r="E10356" t="str">
        <f>"2307120398"</f>
        <v>2307120398</v>
      </c>
      <c r="F10356" s="1">
        <v>45126</v>
      </c>
      <c r="G10356" t="str">
        <f t="shared" si="1848"/>
        <v>94297</v>
      </c>
      <c r="H10356">
        <v>1</v>
      </c>
      <c r="I10356">
        <v>304</v>
      </c>
      <c r="J10356">
        <v>0</v>
      </c>
      <c r="K10356" t="str">
        <f t="shared" si="1847"/>
        <v>816</v>
      </c>
      <c r="L10356">
        <v>304</v>
      </c>
    </row>
    <row r="10357" spans="1:12" x14ac:dyDescent="0.25">
      <c r="A10357" t="str">
        <f t="shared" si="1839"/>
        <v>89301000</v>
      </c>
      <c r="B10357" t="str">
        <f t="shared" si="1845"/>
        <v>72100000</v>
      </c>
      <c r="C10357" t="str">
        <f t="shared" si="1846"/>
        <v>72100632</v>
      </c>
      <c r="D10357">
        <v>89301091</v>
      </c>
      <c r="E10357" t="str">
        <f>"2307130012"</f>
        <v>2307130012</v>
      </c>
      <c r="F10357" s="1">
        <v>45126</v>
      </c>
      <c r="G10357" t="str">
        <f t="shared" si="1848"/>
        <v>94297</v>
      </c>
      <c r="H10357">
        <v>1</v>
      </c>
      <c r="I10357">
        <v>304</v>
      </c>
      <c r="J10357">
        <v>0</v>
      </c>
      <c r="K10357" t="str">
        <f t="shared" si="1847"/>
        <v>816</v>
      </c>
      <c r="L10357">
        <v>304</v>
      </c>
    </row>
    <row r="10358" spans="1:12" x14ac:dyDescent="0.25">
      <c r="A10358" t="str">
        <f t="shared" si="1839"/>
        <v>89301000</v>
      </c>
      <c r="B10358" t="str">
        <f t="shared" si="1845"/>
        <v>72100000</v>
      </c>
      <c r="C10358" t="str">
        <f t="shared" si="1846"/>
        <v>72100632</v>
      </c>
      <c r="D10358">
        <v>89301091</v>
      </c>
      <c r="E10358" t="str">
        <f>"2307130617"</f>
        <v>2307130617</v>
      </c>
      <c r="F10358" s="1">
        <v>45126</v>
      </c>
      <c r="G10358" t="str">
        <f t="shared" si="1848"/>
        <v>94297</v>
      </c>
      <c r="H10358">
        <v>1</v>
      </c>
      <c r="I10358">
        <v>304</v>
      </c>
      <c r="J10358">
        <v>0</v>
      </c>
      <c r="K10358" t="str">
        <f t="shared" si="1847"/>
        <v>816</v>
      </c>
      <c r="L10358">
        <v>304</v>
      </c>
    </row>
    <row r="10359" spans="1:12" x14ac:dyDescent="0.25">
      <c r="A10359" t="str">
        <f t="shared" si="1839"/>
        <v>89301000</v>
      </c>
      <c r="B10359" t="str">
        <f t="shared" si="1845"/>
        <v>72100000</v>
      </c>
      <c r="C10359" t="str">
        <f t="shared" si="1846"/>
        <v>72100632</v>
      </c>
      <c r="D10359">
        <v>89301091</v>
      </c>
      <c r="E10359" t="str">
        <f>"9654164300"</f>
        <v>9654164300</v>
      </c>
      <c r="F10359" s="1">
        <v>45128</v>
      </c>
      <c r="G10359" t="str">
        <f t="shared" si="1848"/>
        <v>94297</v>
      </c>
      <c r="H10359">
        <v>1</v>
      </c>
      <c r="I10359">
        <v>304</v>
      </c>
      <c r="J10359">
        <v>0</v>
      </c>
      <c r="K10359" t="str">
        <f t="shared" si="1847"/>
        <v>816</v>
      </c>
      <c r="L10359">
        <v>304</v>
      </c>
    </row>
    <row r="10360" spans="1:12" x14ac:dyDescent="0.25">
      <c r="A10360" t="str">
        <f t="shared" si="1839"/>
        <v>89301000</v>
      </c>
      <c r="B10360" t="str">
        <f t="shared" si="1845"/>
        <v>72100000</v>
      </c>
      <c r="C10360" t="str">
        <f t="shared" si="1846"/>
        <v>72100632</v>
      </c>
      <c r="D10360">
        <v>89301091</v>
      </c>
      <c r="E10360" t="str">
        <f>"2357160421"</f>
        <v>2357160421</v>
      </c>
      <c r="F10360" s="1">
        <v>45128</v>
      </c>
      <c r="G10360" t="str">
        <f t="shared" si="1848"/>
        <v>94297</v>
      </c>
      <c r="H10360">
        <v>1</v>
      </c>
      <c r="I10360">
        <v>304</v>
      </c>
      <c r="J10360">
        <v>0</v>
      </c>
      <c r="K10360" t="str">
        <f t="shared" si="1847"/>
        <v>816</v>
      </c>
      <c r="L10360">
        <v>304</v>
      </c>
    </row>
    <row r="10361" spans="1:12" x14ac:dyDescent="0.25">
      <c r="A10361" t="str">
        <f t="shared" si="1839"/>
        <v>89301000</v>
      </c>
      <c r="B10361" t="str">
        <f t="shared" si="1845"/>
        <v>72100000</v>
      </c>
      <c r="C10361" t="str">
        <f t="shared" si="1846"/>
        <v>72100632</v>
      </c>
      <c r="D10361">
        <v>89301091</v>
      </c>
      <c r="E10361" t="str">
        <f>"2357160432"</f>
        <v>2357160432</v>
      </c>
      <c r="F10361" s="1">
        <v>45128</v>
      </c>
      <c r="G10361" t="str">
        <f t="shared" si="1848"/>
        <v>94297</v>
      </c>
      <c r="H10361">
        <v>1</v>
      </c>
      <c r="I10361">
        <v>304</v>
      </c>
      <c r="J10361">
        <v>0</v>
      </c>
      <c r="K10361" t="str">
        <f t="shared" si="1847"/>
        <v>816</v>
      </c>
      <c r="L10361">
        <v>304</v>
      </c>
    </row>
    <row r="10362" spans="1:12" x14ac:dyDescent="0.25">
      <c r="A10362" t="str">
        <f t="shared" si="1839"/>
        <v>89301000</v>
      </c>
      <c r="B10362" t="str">
        <f t="shared" si="1845"/>
        <v>72100000</v>
      </c>
      <c r="C10362" t="str">
        <f t="shared" si="1846"/>
        <v>72100632</v>
      </c>
      <c r="D10362">
        <v>89301091</v>
      </c>
      <c r="E10362" t="str">
        <f>"9255256142"</f>
        <v>9255256142</v>
      </c>
      <c r="F10362" s="1">
        <v>45128</v>
      </c>
      <c r="G10362" t="str">
        <f t="shared" si="1848"/>
        <v>94297</v>
      </c>
      <c r="H10362">
        <v>1</v>
      </c>
      <c r="I10362">
        <v>304</v>
      </c>
      <c r="J10362">
        <v>0</v>
      </c>
      <c r="K10362" t="str">
        <f t="shared" si="1847"/>
        <v>816</v>
      </c>
      <c r="L10362">
        <v>304</v>
      </c>
    </row>
    <row r="10363" spans="1:12" x14ac:dyDescent="0.25">
      <c r="A10363" t="str">
        <f t="shared" si="1839"/>
        <v>89301000</v>
      </c>
      <c r="B10363" t="str">
        <f t="shared" si="1845"/>
        <v>72100000</v>
      </c>
      <c r="C10363" t="str">
        <f t="shared" si="1846"/>
        <v>72100632</v>
      </c>
      <c r="D10363">
        <v>89301091</v>
      </c>
      <c r="E10363" t="str">
        <f>"2357170090"</f>
        <v>2357170090</v>
      </c>
      <c r="F10363" s="1">
        <v>45131</v>
      </c>
      <c r="G10363" t="str">
        <f t="shared" si="1848"/>
        <v>94297</v>
      </c>
      <c r="H10363">
        <v>1</v>
      </c>
      <c r="I10363">
        <v>304</v>
      </c>
      <c r="J10363">
        <v>0</v>
      </c>
      <c r="K10363" t="str">
        <f t="shared" si="1847"/>
        <v>816</v>
      </c>
      <c r="L10363">
        <v>304</v>
      </c>
    </row>
    <row r="10364" spans="1:12" x14ac:dyDescent="0.25">
      <c r="A10364" t="str">
        <f t="shared" si="1839"/>
        <v>89301000</v>
      </c>
      <c r="B10364" t="str">
        <f t="shared" si="1845"/>
        <v>72100000</v>
      </c>
      <c r="C10364" t="str">
        <f t="shared" si="1846"/>
        <v>72100632</v>
      </c>
      <c r="D10364">
        <v>89301091</v>
      </c>
      <c r="E10364" t="str">
        <f>"2307170690"</f>
        <v>2307170690</v>
      </c>
      <c r="F10364" s="1">
        <v>45131</v>
      </c>
      <c r="G10364" t="str">
        <f t="shared" si="1848"/>
        <v>94297</v>
      </c>
      <c r="H10364">
        <v>1</v>
      </c>
      <c r="I10364">
        <v>304</v>
      </c>
      <c r="J10364">
        <v>0</v>
      </c>
      <c r="K10364" t="str">
        <f t="shared" si="1847"/>
        <v>816</v>
      </c>
      <c r="L10364">
        <v>304</v>
      </c>
    </row>
    <row r="10365" spans="1:12" x14ac:dyDescent="0.25">
      <c r="A10365" t="str">
        <f t="shared" si="1839"/>
        <v>89301000</v>
      </c>
      <c r="B10365" t="str">
        <f t="shared" si="1845"/>
        <v>72100000</v>
      </c>
      <c r="C10365" t="str">
        <f t="shared" si="1846"/>
        <v>72100632</v>
      </c>
      <c r="D10365">
        <v>89301091</v>
      </c>
      <c r="E10365" t="str">
        <f>"2307170745"</f>
        <v>2307170745</v>
      </c>
      <c r="F10365" s="1">
        <v>45131</v>
      </c>
      <c r="G10365" t="str">
        <f t="shared" si="1848"/>
        <v>94297</v>
      </c>
      <c r="H10365">
        <v>1</v>
      </c>
      <c r="I10365">
        <v>304</v>
      </c>
      <c r="J10365">
        <v>0</v>
      </c>
      <c r="K10365" t="str">
        <f t="shared" si="1847"/>
        <v>816</v>
      </c>
      <c r="L10365">
        <v>304</v>
      </c>
    </row>
    <row r="10366" spans="1:12" x14ac:dyDescent="0.25">
      <c r="A10366" t="str">
        <f t="shared" si="1839"/>
        <v>89301000</v>
      </c>
      <c r="B10366" t="str">
        <f t="shared" si="1845"/>
        <v>72100000</v>
      </c>
      <c r="C10366" t="str">
        <f t="shared" si="1846"/>
        <v>72100632</v>
      </c>
      <c r="D10366">
        <v>89301091</v>
      </c>
      <c r="E10366" t="str">
        <f>"2307170811"</f>
        <v>2307170811</v>
      </c>
      <c r="F10366" s="1">
        <v>45131</v>
      </c>
      <c r="G10366" t="str">
        <f t="shared" si="1848"/>
        <v>94297</v>
      </c>
      <c r="H10366">
        <v>1</v>
      </c>
      <c r="I10366">
        <v>304</v>
      </c>
      <c r="J10366">
        <v>0</v>
      </c>
      <c r="K10366" t="str">
        <f t="shared" si="1847"/>
        <v>816</v>
      </c>
      <c r="L10366">
        <v>304</v>
      </c>
    </row>
    <row r="10367" spans="1:12" x14ac:dyDescent="0.25">
      <c r="A10367" t="str">
        <f t="shared" si="1839"/>
        <v>89301000</v>
      </c>
      <c r="B10367" t="str">
        <f t="shared" si="1845"/>
        <v>72100000</v>
      </c>
      <c r="C10367" t="str">
        <f t="shared" si="1846"/>
        <v>72100632</v>
      </c>
      <c r="D10367">
        <v>89301091</v>
      </c>
      <c r="E10367" t="str">
        <f>"2307170822"</f>
        <v>2307170822</v>
      </c>
      <c r="F10367" s="1">
        <v>45132</v>
      </c>
      <c r="G10367" t="str">
        <f t="shared" si="1848"/>
        <v>94297</v>
      </c>
      <c r="H10367">
        <v>1</v>
      </c>
      <c r="I10367">
        <v>304</v>
      </c>
      <c r="J10367">
        <v>0</v>
      </c>
      <c r="K10367" t="str">
        <f t="shared" si="1847"/>
        <v>816</v>
      </c>
      <c r="L10367">
        <v>304</v>
      </c>
    </row>
    <row r="10368" spans="1:12" x14ac:dyDescent="0.25">
      <c r="A10368" t="str">
        <f t="shared" si="1839"/>
        <v>89301000</v>
      </c>
      <c r="B10368" t="str">
        <f t="shared" si="1845"/>
        <v>72100000</v>
      </c>
      <c r="C10368" t="str">
        <f t="shared" si="1846"/>
        <v>72100632</v>
      </c>
      <c r="D10368">
        <v>89301091</v>
      </c>
      <c r="E10368" t="str">
        <f>"2357180122"</f>
        <v>2357180122</v>
      </c>
      <c r="F10368" s="1">
        <v>45132</v>
      </c>
      <c r="G10368" t="str">
        <f t="shared" si="1848"/>
        <v>94297</v>
      </c>
      <c r="H10368">
        <v>1</v>
      </c>
      <c r="I10368">
        <v>304</v>
      </c>
      <c r="J10368">
        <v>0</v>
      </c>
      <c r="K10368" t="str">
        <f t="shared" si="1847"/>
        <v>816</v>
      </c>
      <c r="L10368">
        <v>304</v>
      </c>
    </row>
    <row r="10369" spans="1:12" x14ac:dyDescent="0.25">
      <c r="A10369" t="str">
        <f t="shared" si="1839"/>
        <v>89301000</v>
      </c>
      <c r="B10369" t="str">
        <f t="shared" si="1845"/>
        <v>72100000</v>
      </c>
      <c r="C10369" t="str">
        <f t="shared" si="1846"/>
        <v>72100632</v>
      </c>
      <c r="D10369">
        <v>89301091</v>
      </c>
      <c r="E10369" t="str">
        <f>"2307180733"</f>
        <v>2307180733</v>
      </c>
      <c r="F10369" s="1">
        <v>45132</v>
      </c>
      <c r="G10369" t="str">
        <f t="shared" si="1848"/>
        <v>94297</v>
      </c>
      <c r="H10369">
        <v>1</v>
      </c>
      <c r="I10369">
        <v>304</v>
      </c>
      <c r="J10369">
        <v>0</v>
      </c>
      <c r="K10369" t="str">
        <f t="shared" si="1847"/>
        <v>816</v>
      </c>
      <c r="L10369">
        <v>304</v>
      </c>
    </row>
    <row r="10370" spans="1:12" x14ac:dyDescent="0.25">
      <c r="A10370" t="str">
        <f t="shared" ref="A10370:A10433" si="1849">"89301000"</f>
        <v>89301000</v>
      </c>
      <c r="B10370" t="str">
        <f t="shared" si="1845"/>
        <v>72100000</v>
      </c>
      <c r="C10370" t="str">
        <f t="shared" si="1846"/>
        <v>72100632</v>
      </c>
      <c r="D10370">
        <v>89301091</v>
      </c>
      <c r="E10370" t="str">
        <f>"2307190699"</f>
        <v>2307190699</v>
      </c>
      <c r="F10370" s="1">
        <v>45133</v>
      </c>
      <c r="G10370" t="str">
        <f t="shared" si="1848"/>
        <v>94297</v>
      </c>
      <c r="H10370">
        <v>1</v>
      </c>
      <c r="I10370">
        <v>304</v>
      </c>
      <c r="J10370">
        <v>0</v>
      </c>
      <c r="K10370" t="str">
        <f t="shared" si="1847"/>
        <v>816</v>
      </c>
      <c r="L10370">
        <v>304</v>
      </c>
    </row>
    <row r="10371" spans="1:12" x14ac:dyDescent="0.25">
      <c r="A10371" t="str">
        <f t="shared" si="1849"/>
        <v>89301000</v>
      </c>
      <c r="B10371" t="str">
        <f t="shared" si="1845"/>
        <v>72100000</v>
      </c>
      <c r="C10371" t="str">
        <f t="shared" si="1846"/>
        <v>72100632</v>
      </c>
      <c r="D10371">
        <v>89301091</v>
      </c>
      <c r="E10371" t="str">
        <f>"2357200527"</f>
        <v>2357200527</v>
      </c>
      <c r="F10371" s="1">
        <v>45133</v>
      </c>
      <c r="G10371" t="str">
        <f t="shared" si="1848"/>
        <v>94297</v>
      </c>
      <c r="H10371">
        <v>1</v>
      </c>
      <c r="I10371">
        <v>304</v>
      </c>
      <c r="J10371">
        <v>0</v>
      </c>
      <c r="K10371" t="str">
        <f t="shared" si="1847"/>
        <v>816</v>
      </c>
      <c r="L10371">
        <v>304</v>
      </c>
    </row>
    <row r="10372" spans="1:12" x14ac:dyDescent="0.25">
      <c r="A10372" t="str">
        <f t="shared" si="1849"/>
        <v>89301000</v>
      </c>
      <c r="B10372" t="str">
        <f t="shared" si="1845"/>
        <v>72100000</v>
      </c>
      <c r="C10372" t="str">
        <f t="shared" si="1846"/>
        <v>72100632</v>
      </c>
      <c r="D10372">
        <v>89301091</v>
      </c>
      <c r="E10372" t="str">
        <f>"9054126213"</f>
        <v>9054126213</v>
      </c>
      <c r="F10372" s="1">
        <v>45133</v>
      </c>
      <c r="G10372" t="str">
        <f t="shared" si="1848"/>
        <v>94297</v>
      </c>
      <c r="H10372">
        <v>1</v>
      </c>
      <c r="I10372">
        <v>304</v>
      </c>
      <c r="J10372">
        <v>0</v>
      </c>
      <c r="K10372" t="str">
        <f t="shared" si="1847"/>
        <v>816</v>
      </c>
      <c r="L10372">
        <v>304</v>
      </c>
    </row>
    <row r="10373" spans="1:12" x14ac:dyDescent="0.25">
      <c r="A10373" t="str">
        <f t="shared" si="1849"/>
        <v>89301000</v>
      </c>
      <c r="B10373" t="str">
        <f t="shared" si="1845"/>
        <v>72100000</v>
      </c>
      <c r="C10373" t="str">
        <f t="shared" si="1846"/>
        <v>72100632</v>
      </c>
      <c r="D10373">
        <v>89301091</v>
      </c>
      <c r="E10373" t="str">
        <f>"2307240584"</f>
        <v>2307240584</v>
      </c>
      <c r="F10373" s="1">
        <v>45138</v>
      </c>
      <c r="G10373" t="str">
        <f t="shared" si="1848"/>
        <v>94297</v>
      </c>
      <c r="H10373">
        <v>1</v>
      </c>
      <c r="I10373">
        <v>304</v>
      </c>
      <c r="J10373">
        <v>0</v>
      </c>
      <c r="K10373" t="str">
        <f t="shared" si="1847"/>
        <v>816</v>
      </c>
      <c r="L10373">
        <v>304</v>
      </c>
    </row>
    <row r="10374" spans="1:12" x14ac:dyDescent="0.25">
      <c r="A10374" t="str">
        <f t="shared" si="1849"/>
        <v>89301000</v>
      </c>
      <c r="B10374" t="str">
        <f t="shared" si="1845"/>
        <v>72100000</v>
      </c>
      <c r="C10374" t="str">
        <f t="shared" si="1846"/>
        <v>72100632</v>
      </c>
      <c r="D10374">
        <v>89301091</v>
      </c>
      <c r="E10374" t="str">
        <f>"9858186140"</f>
        <v>9858186140</v>
      </c>
      <c r="F10374" s="1">
        <v>45141</v>
      </c>
      <c r="G10374" t="str">
        <f t="shared" si="1848"/>
        <v>94297</v>
      </c>
      <c r="H10374">
        <v>1</v>
      </c>
      <c r="I10374">
        <v>304</v>
      </c>
      <c r="J10374">
        <v>0</v>
      </c>
      <c r="K10374" t="str">
        <f t="shared" si="1847"/>
        <v>816</v>
      </c>
      <c r="L10374">
        <v>304</v>
      </c>
    </row>
    <row r="10375" spans="1:12" x14ac:dyDescent="0.25">
      <c r="A10375" t="str">
        <f t="shared" si="1849"/>
        <v>89301000</v>
      </c>
      <c r="B10375" t="str">
        <f t="shared" si="1845"/>
        <v>72100000</v>
      </c>
      <c r="C10375" t="str">
        <f t="shared" si="1846"/>
        <v>72100632</v>
      </c>
      <c r="D10375">
        <v>89301091</v>
      </c>
      <c r="E10375" t="str">
        <f>"0255285701"</f>
        <v>0255285701</v>
      </c>
      <c r="F10375" s="1">
        <v>45147</v>
      </c>
      <c r="G10375" t="str">
        <f t="shared" si="1848"/>
        <v>94297</v>
      </c>
      <c r="H10375">
        <v>1</v>
      </c>
      <c r="I10375">
        <v>304</v>
      </c>
      <c r="J10375">
        <v>0</v>
      </c>
      <c r="K10375" t="str">
        <f t="shared" si="1847"/>
        <v>816</v>
      </c>
      <c r="L10375">
        <v>304</v>
      </c>
    </row>
    <row r="10376" spans="1:12" x14ac:dyDescent="0.25">
      <c r="A10376" t="str">
        <f t="shared" si="1849"/>
        <v>89301000</v>
      </c>
      <c r="B10376" t="str">
        <f t="shared" si="1845"/>
        <v>72100000</v>
      </c>
      <c r="C10376" t="str">
        <f t="shared" si="1846"/>
        <v>72100632</v>
      </c>
      <c r="D10376">
        <v>89301091</v>
      </c>
      <c r="E10376" t="str">
        <f>"0057085699"</f>
        <v>0057085699</v>
      </c>
      <c r="F10376" s="1">
        <v>45147</v>
      </c>
      <c r="G10376" t="str">
        <f t="shared" si="1848"/>
        <v>94297</v>
      </c>
      <c r="H10376">
        <v>1</v>
      </c>
      <c r="I10376">
        <v>304</v>
      </c>
      <c r="J10376">
        <v>0</v>
      </c>
      <c r="K10376" t="str">
        <f t="shared" si="1847"/>
        <v>816</v>
      </c>
      <c r="L10376">
        <v>304</v>
      </c>
    </row>
    <row r="10377" spans="1:12" x14ac:dyDescent="0.25">
      <c r="A10377" t="str">
        <f t="shared" si="1849"/>
        <v>89301000</v>
      </c>
      <c r="B10377" t="str">
        <f t="shared" si="1845"/>
        <v>72100000</v>
      </c>
      <c r="C10377" t="str">
        <f t="shared" si="1846"/>
        <v>72100632</v>
      </c>
      <c r="D10377">
        <v>89301091</v>
      </c>
      <c r="E10377" t="str">
        <f>"0151125733"</f>
        <v>0151125733</v>
      </c>
      <c r="F10377" s="1">
        <v>45147</v>
      </c>
      <c r="G10377" t="str">
        <f t="shared" si="1848"/>
        <v>94297</v>
      </c>
      <c r="H10377">
        <v>1</v>
      </c>
      <c r="I10377">
        <v>304</v>
      </c>
      <c r="J10377">
        <v>0</v>
      </c>
      <c r="K10377" t="str">
        <f t="shared" si="1847"/>
        <v>816</v>
      </c>
      <c r="L10377">
        <v>304</v>
      </c>
    </row>
    <row r="10378" spans="1:12" x14ac:dyDescent="0.25">
      <c r="A10378" t="str">
        <f t="shared" si="1849"/>
        <v>89301000</v>
      </c>
      <c r="B10378" t="str">
        <f t="shared" si="1845"/>
        <v>72100000</v>
      </c>
      <c r="C10378" t="str">
        <f t="shared" si="1846"/>
        <v>72100632</v>
      </c>
      <c r="D10378">
        <v>89301282</v>
      </c>
      <c r="E10378" t="str">
        <f>"0051045720"</f>
        <v>0051045720</v>
      </c>
      <c r="F10378" s="1">
        <v>45155</v>
      </c>
      <c r="G10378" t="str">
        <f>"94982"</f>
        <v>94982</v>
      </c>
      <c r="H10378">
        <v>1</v>
      </c>
      <c r="I10378">
        <v>0</v>
      </c>
      <c r="J10378">
        <v>27500</v>
      </c>
      <c r="K10378" t="str">
        <f t="shared" si="1847"/>
        <v>816</v>
      </c>
      <c r="L10378">
        <v>27500</v>
      </c>
    </row>
    <row r="10379" spans="1:12" x14ac:dyDescent="0.25">
      <c r="A10379" t="str">
        <f t="shared" si="1849"/>
        <v>89301000</v>
      </c>
      <c r="B10379" t="str">
        <f t="shared" si="1845"/>
        <v>72100000</v>
      </c>
      <c r="C10379" t="str">
        <f t="shared" si="1846"/>
        <v>72100632</v>
      </c>
      <c r="D10379">
        <v>89301282</v>
      </c>
      <c r="E10379" t="str">
        <f>"0051045720"</f>
        <v>0051045720</v>
      </c>
      <c r="F10379" s="1">
        <v>45155</v>
      </c>
      <c r="G10379" t="str">
        <f>"94996"</f>
        <v>94996</v>
      </c>
      <c r="H10379">
        <v>1</v>
      </c>
      <c r="I10379">
        <v>0</v>
      </c>
      <c r="J10379">
        <v>0</v>
      </c>
      <c r="K10379" t="str">
        <f t="shared" si="1847"/>
        <v>816</v>
      </c>
      <c r="L10379">
        <v>0</v>
      </c>
    </row>
    <row r="10380" spans="1:12" x14ac:dyDescent="0.25">
      <c r="A10380" t="str">
        <f t="shared" si="1849"/>
        <v>89301000</v>
      </c>
      <c r="B10380" t="str">
        <f t="shared" si="1845"/>
        <v>72100000</v>
      </c>
      <c r="C10380" t="str">
        <f t="shared" si="1846"/>
        <v>72100632</v>
      </c>
      <c r="D10380">
        <v>89301091</v>
      </c>
      <c r="E10380" t="str">
        <f>"8353164468"</f>
        <v>8353164468</v>
      </c>
      <c r="F10380" s="1">
        <v>45156</v>
      </c>
      <c r="G10380" t="str">
        <f>"94297"</f>
        <v>94297</v>
      </c>
      <c r="H10380">
        <v>1</v>
      </c>
      <c r="I10380">
        <v>304</v>
      </c>
      <c r="J10380">
        <v>0</v>
      </c>
      <c r="K10380" t="str">
        <f t="shared" si="1847"/>
        <v>816</v>
      </c>
      <c r="L10380">
        <v>304</v>
      </c>
    </row>
    <row r="10381" spans="1:12" x14ac:dyDescent="0.25">
      <c r="A10381" t="str">
        <f t="shared" si="1849"/>
        <v>89301000</v>
      </c>
      <c r="B10381" t="str">
        <f t="shared" ref="B10381:B10444" si="1850">"06539000"</f>
        <v>06539000</v>
      </c>
      <c r="C10381" t="str">
        <f>"06539001"</f>
        <v>06539001</v>
      </c>
      <c r="D10381">
        <v>89301171</v>
      </c>
      <c r="E10381" t="str">
        <f t="shared" ref="E10381:E10410" si="1851">"7654295352"</f>
        <v>7654295352</v>
      </c>
      <c r="F10381" s="1">
        <v>45121</v>
      </c>
      <c r="G10381" t="str">
        <f>"81329"</f>
        <v>81329</v>
      </c>
      <c r="H10381">
        <v>1</v>
      </c>
      <c r="I10381">
        <v>17</v>
      </c>
      <c r="J10381">
        <v>0</v>
      </c>
      <c r="K10381" t="str">
        <f>"801"</f>
        <v>801</v>
      </c>
      <c r="L10381">
        <v>14.28</v>
      </c>
    </row>
    <row r="10382" spans="1:12" x14ac:dyDescent="0.25">
      <c r="A10382" t="str">
        <f t="shared" si="1849"/>
        <v>89301000</v>
      </c>
      <c r="B10382" t="str">
        <f t="shared" si="1850"/>
        <v>06539000</v>
      </c>
      <c r="C10382" t="str">
        <f>"06539001"</f>
        <v>06539001</v>
      </c>
      <c r="D10382">
        <v>89301171</v>
      </c>
      <c r="E10382" t="str">
        <f t="shared" si="1851"/>
        <v>7654295352</v>
      </c>
      <c r="F10382" s="1">
        <v>45121</v>
      </c>
      <c r="G10382" t="str">
        <f>"81331"</f>
        <v>81331</v>
      </c>
      <c r="H10382">
        <v>1</v>
      </c>
      <c r="I10382">
        <v>193</v>
      </c>
      <c r="J10382">
        <v>0</v>
      </c>
      <c r="K10382" t="str">
        <f>"801"</f>
        <v>801</v>
      </c>
      <c r="L10382">
        <v>162.12</v>
      </c>
    </row>
    <row r="10383" spans="1:12" x14ac:dyDescent="0.25">
      <c r="A10383" t="str">
        <f t="shared" si="1849"/>
        <v>89301000</v>
      </c>
      <c r="B10383" t="str">
        <f t="shared" si="1850"/>
        <v>06539000</v>
      </c>
      <c r="C10383" t="str">
        <f t="shared" ref="C10383:C10390" si="1852">"06539002"</f>
        <v>06539002</v>
      </c>
      <c r="D10383">
        <v>89301171</v>
      </c>
      <c r="E10383" t="str">
        <f t="shared" si="1851"/>
        <v>7654295352</v>
      </c>
      <c r="F10383" s="1">
        <v>45121</v>
      </c>
      <c r="G10383" t="str">
        <f t="shared" ref="G10383:G10390" si="1853">"82097"</f>
        <v>82097</v>
      </c>
      <c r="H10383">
        <v>1</v>
      </c>
      <c r="I10383">
        <v>381</v>
      </c>
      <c r="J10383">
        <v>0</v>
      </c>
      <c r="K10383" t="str">
        <f t="shared" ref="K10383:K10390" si="1854">"802"</f>
        <v>802</v>
      </c>
      <c r="L10383">
        <v>369.57</v>
      </c>
    </row>
    <row r="10384" spans="1:12" x14ac:dyDescent="0.25">
      <c r="A10384" t="str">
        <f t="shared" si="1849"/>
        <v>89301000</v>
      </c>
      <c r="B10384" t="str">
        <f t="shared" si="1850"/>
        <v>06539000</v>
      </c>
      <c r="C10384" t="str">
        <f t="shared" si="1852"/>
        <v>06539002</v>
      </c>
      <c r="D10384">
        <v>89301171</v>
      </c>
      <c r="E10384" t="str">
        <f t="shared" si="1851"/>
        <v>7654295352</v>
      </c>
      <c r="F10384" s="1">
        <v>45121</v>
      </c>
      <c r="G10384" t="str">
        <f t="shared" si="1853"/>
        <v>82097</v>
      </c>
      <c r="H10384">
        <v>1</v>
      </c>
      <c r="I10384">
        <v>381</v>
      </c>
      <c r="J10384">
        <v>0</v>
      </c>
      <c r="K10384" t="str">
        <f t="shared" si="1854"/>
        <v>802</v>
      </c>
      <c r="L10384">
        <v>369.57</v>
      </c>
    </row>
    <row r="10385" spans="1:12" x14ac:dyDescent="0.25">
      <c r="A10385" t="str">
        <f t="shared" si="1849"/>
        <v>89301000</v>
      </c>
      <c r="B10385" t="str">
        <f t="shared" si="1850"/>
        <v>06539000</v>
      </c>
      <c r="C10385" t="str">
        <f t="shared" si="1852"/>
        <v>06539002</v>
      </c>
      <c r="D10385">
        <v>89301171</v>
      </c>
      <c r="E10385" t="str">
        <f t="shared" si="1851"/>
        <v>7654295352</v>
      </c>
      <c r="F10385" s="1">
        <v>45121</v>
      </c>
      <c r="G10385" t="str">
        <f t="shared" si="1853"/>
        <v>82097</v>
      </c>
      <c r="H10385">
        <v>1</v>
      </c>
      <c r="I10385">
        <v>381</v>
      </c>
      <c r="J10385">
        <v>0</v>
      </c>
      <c r="K10385" t="str">
        <f t="shared" si="1854"/>
        <v>802</v>
      </c>
      <c r="L10385">
        <v>369.57</v>
      </c>
    </row>
    <row r="10386" spans="1:12" x14ac:dyDescent="0.25">
      <c r="A10386" t="str">
        <f t="shared" si="1849"/>
        <v>89301000</v>
      </c>
      <c r="B10386" t="str">
        <f t="shared" si="1850"/>
        <v>06539000</v>
      </c>
      <c r="C10386" t="str">
        <f t="shared" si="1852"/>
        <v>06539002</v>
      </c>
      <c r="D10386">
        <v>89301171</v>
      </c>
      <c r="E10386" t="str">
        <f t="shared" si="1851"/>
        <v>7654295352</v>
      </c>
      <c r="F10386" s="1">
        <v>45121</v>
      </c>
      <c r="G10386" t="str">
        <f t="shared" si="1853"/>
        <v>82097</v>
      </c>
      <c r="H10386">
        <v>1</v>
      </c>
      <c r="I10386">
        <v>381</v>
      </c>
      <c r="J10386">
        <v>0</v>
      </c>
      <c r="K10386" t="str">
        <f t="shared" si="1854"/>
        <v>802</v>
      </c>
      <c r="L10386">
        <v>369.57</v>
      </c>
    </row>
    <row r="10387" spans="1:12" x14ac:dyDescent="0.25">
      <c r="A10387" t="str">
        <f t="shared" si="1849"/>
        <v>89301000</v>
      </c>
      <c r="B10387" t="str">
        <f t="shared" si="1850"/>
        <v>06539000</v>
      </c>
      <c r="C10387" t="str">
        <f t="shared" si="1852"/>
        <v>06539002</v>
      </c>
      <c r="D10387">
        <v>89301171</v>
      </c>
      <c r="E10387" t="str">
        <f t="shared" si="1851"/>
        <v>7654295352</v>
      </c>
      <c r="F10387" s="1">
        <v>45121</v>
      </c>
      <c r="G10387" t="str">
        <f t="shared" si="1853"/>
        <v>82097</v>
      </c>
      <c r="H10387">
        <v>1</v>
      </c>
      <c r="I10387">
        <v>381</v>
      </c>
      <c r="J10387">
        <v>0</v>
      </c>
      <c r="K10387" t="str">
        <f t="shared" si="1854"/>
        <v>802</v>
      </c>
      <c r="L10387">
        <v>369.57</v>
      </c>
    </row>
    <row r="10388" spans="1:12" x14ac:dyDescent="0.25">
      <c r="A10388" t="str">
        <f t="shared" si="1849"/>
        <v>89301000</v>
      </c>
      <c r="B10388" t="str">
        <f t="shared" si="1850"/>
        <v>06539000</v>
      </c>
      <c r="C10388" t="str">
        <f t="shared" si="1852"/>
        <v>06539002</v>
      </c>
      <c r="D10388">
        <v>89301171</v>
      </c>
      <c r="E10388" t="str">
        <f t="shared" si="1851"/>
        <v>7654295352</v>
      </c>
      <c r="F10388" s="1">
        <v>45121</v>
      </c>
      <c r="G10388" t="str">
        <f t="shared" si="1853"/>
        <v>82097</v>
      </c>
      <c r="H10388">
        <v>1</v>
      </c>
      <c r="I10388">
        <v>381</v>
      </c>
      <c r="J10388">
        <v>0</v>
      </c>
      <c r="K10388" t="str">
        <f t="shared" si="1854"/>
        <v>802</v>
      </c>
      <c r="L10388">
        <v>369.57</v>
      </c>
    </row>
    <row r="10389" spans="1:12" x14ac:dyDescent="0.25">
      <c r="A10389" t="str">
        <f t="shared" si="1849"/>
        <v>89301000</v>
      </c>
      <c r="B10389" t="str">
        <f t="shared" si="1850"/>
        <v>06539000</v>
      </c>
      <c r="C10389" t="str">
        <f t="shared" si="1852"/>
        <v>06539002</v>
      </c>
      <c r="D10389">
        <v>89301171</v>
      </c>
      <c r="E10389" t="str">
        <f t="shared" si="1851"/>
        <v>7654295352</v>
      </c>
      <c r="F10389" s="1">
        <v>45121</v>
      </c>
      <c r="G10389" t="str">
        <f t="shared" si="1853"/>
        <v>82097</v>
      </c>
      <c r="H10389">
        <v>1</v>
      </c>
      <c r="I10389">
        <v>381</v>
      </c>
      <c r="J10389">
        <v>0</v>
      </c>
      <c r="K10389" t="str">
        <f t="shared" si="1854"/>
        <v>802</v>
      </c>
      <c r="L10389">
        <v>369.57</v>
      </c>
    </row>
    <row r="10390" spans="1:12" x14ac:dyDescent="0.25">
      <c r="A10390" t="str">
        <f t="shared" si="1849"/>
        <v>89301000</v>
      </c>
      <c r="B10390" t="str">
        <f t="shared" si="1850"/>
        <v>06539000</v>
      </c>
      <c r="C10390" t="str">
        <f t="shared" si="1852"/>
        <v>06539002</v>
      </c>
      <c r="D10390">
        <v>89301171</v>
      </c>
      <c r="E10390" t="str">
        <f t="shared" si="1851"/>
        <v>7654295352</v>
      </c>
      <c r="F10390" s="1">
        <v>45121</v>
      </c>
      <c r="G10390" t="str">
        <f t="shared" si="1853"/>
        <v>82097</v>
      </c>
      <c r="H10390">
        <v>1</v>
      </c>
      <c r="I10390">
        <v>381</v>
      </c>
      <c r="J10390">
        <v>0</v>
      </c>
      <c r="K10390" t="str">
        <f t="shared" si="1854"/>
        <v>802</v>
      </c>
      <c r="L10390">
        <v>369.57</v>
      </c>
    </row>
    <row r="10391" spans="1:12" x14ac:dyDescent="0.25">
      <c r="A10391" t="str">
        <f t="shared" si="1849"/>
        <v>89301000</v>
      </c>
      <c r="B10391" t="str">
        <f t="shared" si="1850"/>
        <v>06539000</v>
      </c>
      <c r="C10391" t="str">
        <f t="shared" ref="C10391:C10422" si="1855">"06539003"</f>
        <v>06539003</v>
      </c>
      <c r="D10391">
        <v>89301171</v>
      </c>
      <c r="E10391" t="str">
        <f t="shared" si="1851"/>
        <v>7654295352</v>
      </c>
      <c r="F10391" s="1">
        <v>45127</v>
      </c>
      <c r="G10391" t="str">
        <f>"91413"</f>
        <v>91413</v>
      </c>
      <c r="H10391">
        <v>1</v>
      </c>
      <c r="I10391">
        <v>868</v>
      </c>
      <c r="J10391">
        <v>0</v>
      </c>
      <c r="K10391" t="str">
        <f t="shared" ref="K10391:K10422" si="1856">"813"</f>
        <v>813</v>
      </c>
      <c r="L10391">
        <v>729.12</v>
      </c>
    </row>
    <row r="10392" spans="1:12" x14ac:dyDescent="0.25">
      <c r="A10392" t="str">
        <f t="shared" si="1849"/>
        <v>89301000</v>
      </c>
      <c r="B10392" t="str">
        <f t="shared" si="1850"/>
        <v>06539000</v>
      </c>
      <c r="C10392" t="str">
        <f t="shared" si="1855"/>
        <v>06539003</v>
      </c>
      <c r="D10392">
        <v>89301171</v>
      </c>
      <c r="E10392" t="str">
        <f t="shared" si="1851"/>
        <v>7654295352</v>
      </c>
      <c r="F10392" s="1">
        <v>45127</v>
      </c>
      <c r="G10392" t="str">
        <f>"91413"</f>
        <v>91413</v>
      </c>
      <c r="H10392">
        <v>1</v>
      </c>
      <c r="I10392">
        <v>868</v>
      </c>
      <c r="J10392">
        <v>0</v>
      </c>
      <c r="K10392" t="str">
        <f t="shared" si="1856"/>
        <v>813</v>
      </c>
      <c r="L10392">
        <v>729.12</v>
      </c>
    </row>
    <row r="10393" spans="1:12" x14ac:dyDescent="0.25">
      <c r="A10393" t="str">
        <f t="shared" si="1849"/>
        <v>89301000</v>
      </c>
      <c r="B10393" t="str">
        <f t="shared" si="1850"/>
        <v>06539000</v>
      </c>
      <c r="C10393" t="str">
        <f t="shared" si="1855"/>
        <v>06539003</v>
      </c>
      <c r="D10393">
        <v>89301171</v>
      </c>
      <c r="E10393" t="str">
        <f t="shared" si="1851"/>
        <v>7654295352</v>
      </c>
      <c r="F10393" s="1">
        <v>45121</v>
      </c>
      <c r="G10393" t="str">
        <f t="shared" ref="G10393:G10399" si="1857">"91197"</f>
        <v>91197</v>
      </c>
      <c r="H10393">
        <v>1</v>
      </c>
      <c r="I10393">
        <v>1048</v>
      </c>
      <c r="J10393">
        <v>0</v>
      </c>
      <c r="K10393" t="str">
        <f t="shared" si="1856"/>
        <v>813</v>
      </c>
      <c r="L10393">
        <v>880.32</v>
      </c>
    </row>
    <row r="10394" spans="1:12" x14ac:dyDescent="0.25">
      <c r="A10394" t="str">
        <f t="shared" si="1849"/>
        <v>89301000</v>
      </c>
      <c r="B10394" t="str">
        <f t="shared" si="1850"/>
        <v>06539000</v>
      </c>
      <c r="C10394" t="str">
        <f t="shared" si="1855"/>
        <v>06539003</v>
      </c>
      <c r="D10394">
        <v>89301171</v>
      </c>
      <c r="E10394" t="str">
        <f t="shared" si="1851"/>
        <v>7654295352</v>
      </c>
      <c r="F10394" s="1">
        <v>45124</v>
      </c>
      <c r="G10394" t="str">
        <f t="shared" si="1857"/>
        <v>91197</v>
      </c>
      <c r="H10394">
        <v>1</v>
      </c>
      <c r="I10394">
        <v>1048</v>
      </c>
      <c r="J10394">
        <v>0</v>
      </c>
      <c r="K10394" t="str">
        <f t="shared" si="1856"/>
        <v>813</v>
      </c>
      <c r="L10394">
        <v>880.32</v>
      </c>
    </row>
    <row r="10395" spans="1:12" x14ac:dyDescent="0.25">
      <c r="A10395" t="str">
        <f t="shared" si="1849"/>
        <v>89301000</v>
      </c>
      <c r="B10395" t="str">
        <f t="shared" si="1850"/>
        <v>06539000</v>
      </c>
      <c r="C10395" t="str">
        <f t="shared" si="1855"/>
        <v>06539003</v>
      </c>
      <c r="D10395">
        <v>89301171</v>
      </c>
      <c r="E10395" t="str">
        <f t="shared" si="1851"/>
        <v>7654295352</v>
      </c>
      <c r="F10395" s="1">
        <v>45124</v>
      </c>
      <c r="G10395" t="str">
        <f t="shared" si="1857"/>
        <v>91197</v>
      </c>
      <c r="H10395">
        <v>1</v>
      </c>
      <c r="I10395">
        <v>1048</v>
      </c>
      <c r="J10395">
        <v>0</v>
      </c>
      <c r="K10395" t="str">
        <f t="shared" si="1856"/>
        <v>813</v>
      </c>
      <c r="L10395">
        <v>880.32</v>
      </c>
    </row>
    <row r="10396" spans="1:12" x14ac:dyDescent="0.25">
      <c r="A10396" t="str">
        <f t="shared" si="1849"/>
        <v>89301000</v>
      </c>
      <c r="B10396" t="str">
        <f t="shared" si="1850"/>
        <v>06539000</v>
      </c>
      <c r="C10396" t="str">
        <f t="shared" si="1855"/>
        <v>06539003</v>
      </c>
      <c r="D10396">
        <v>89301171</v>
      </c>
      <c r="E10396" t="str">
        <f t="shared" si="1851"/>
        <v>7654295352</v>
      </c>
      <c r="F10396" s="1">
        <v>45123</v>
      </c>
      <c r="G10396" t="str">
        <f t="shared" si="1857"/>
        <v>91197</v>
      </c>
      <c r="H10396">
        <v>1</v>
      </c>
      <c r="I10396">
        <v>1048</v>
      </c>
      <c r="J10396">
        <v>0</v>
      </c>
      <c r="K10396" t="str">
        <f t="shared" si="1856"/>
        <v>813</v>
      </c>
      <c r="L10396">
        <v>880.32</v>
      </c>
    </row>
    <row r="10397" spans="1:12" x14ac:dyDescent="0.25">
      <c r="A10397" t="str">
        <f t="shared" si="1849"/>
        <v>89301000</v>
      </c>
      <c r="B10397" t="str">
        <f t="shared" si="1850"/>
        <v>06539000</v>
      </c>
      <c r="C10397" t="str">
        <f t="shared" si="1855"/>
        <v>06539003</v>
      </c>
      <c r="D10397">
        <v>89301171</v>
      </c>
      <c r="E10397" t="str">
        <f t="shared" si="1851"/>
        <v>7654295352</v>
      </c>
      <c r="F10397" s="1">
        <v>45123</v>
      </c>
      <c r="G10397" t="str">
        <f t="shared" si="1857"/>
        <v>91197</v>
      </c>
      <c r="H10397">
        <v>1</v>
      </c>
      <c r="I10397">
        <v>1048</v>
      </c>
      <c r="J10397">
        <v>0</v>
      </c>
      <c r="K10397" t="str">
        <f t="shared" si="1856"/>
        <v>813</v>
      </c>
      <c r="L10397">
        <v>880.32</v>
      </c>
    </row>
    <row r="10398" spans="1:12" x14ac:dyDescent="0.25">
      <c r="A10398" t="str">
        <f t="shared" si="1849"/>
        <v>89301000</v>
      </c>
      <c r="B10398" t="str">
        <f t="shared" si="1850"/>
        <v>06539000</v>
      </c>
      <c r="C10398" t="str">
        <f t="shared" si="1855"/>
        <v>06539003</v>
      </c>
      <c r="D10398">
        <v>89301171</v>
      </c>
      <c r="E10398" t="str">
        <f t="shared" si="1851"/>
        <v>7654295352</v>
      </c>
      <c r="F10398" s="1">
        <v>45122</v>
      </c>
      <c r="G10398" t="str">
        <f t="shared" si="1857"/>
        <v>91197</v>
      </c>
      <c r="H10398">
        <v>1</v>
      </c>
      <c r="I10398">
        <v>1048</v>
      </c>
      <c r="J10398">
        <v>0</v>
      </c>
      <c r="K10398" t="str">
        <f t="shared" si="1856"/>
        <v>813</v>
      </c>
      <c r="L10398">
        <v>880.32</v>
      </c>
    </row>
    <row r="10399" spans="1:12" x14ac:dyDescent="0.25">
      <c r="A10399" t="str">
        <f t="shared" si="1849"/>
        <v>89301000</v>
      </c>
      <c r="B10399" t="str">
        <f t="shared" si="1850"/>
        <v>06539000</v>
      </c>
      <c r="C10399" t="str">
        <f t="shared" si="1855"/>
        <v>06539003</v>
      </c>
      <c r="D10399">
        <v>89301171</v>
      </c>
      <c r="E10399" t="str">
        <f t="shared" si="1851"/>
        <v>7654295352</v>
      </c>
      <c r="F10399" s="1">
        <v>45122</v>
      </c>
      <c r="G10399" t="str">
        <f t="shared" si="1857"/>
        <v>91197</v>
      </c>
      <c r="H10399">
        <v>1</v>
      </c>
      <c r="I10399">
        <v>1048</v>
      </c>
      <c r="J10399">
        <v>0</v>
      </c>
      <c r="K10399" t="str">
        <f t="shared" si="1856"/>
        <v>813</v>
      </c>
      <c r="L10399">
        <v>880.32</v>
      </c>
    </row>
    <row r="10400" spans="1:12" x14ac:dyDescent="0.25">
      <c r="A10400" t="str">
        <f t="shared" si="1849"/>
        <v>89301000</v>
      </c>
      <c r="B10400" t="str">
        <f t="shared" si="1850"/>
        <v>06539000</v>
      </c>
      <c r="C10400" t="str">
        <f t="shared" si="1855"/>
        <v>06539003</v>
      </c>
      <c r="D10400">
        <v>89301171</v>
      </c>
      <c r="E10400" t="str">
        <f t="shared" si="1851"/>
        <v>7654295352</v>
      </c>
      <c r="F10400" s="1">
        <v>45125</v>
      </c>
      <c r="G10400" t="str">
        <f>"91129"</f>
        <v>91129</v>
      </c>
      <c r="H10400">
        <v>1</v>
      </c>
      <c r="I10400">
        <v>175</v>
      </c>
      <c r="J10400">
        <v>0</v>
      </c>
      <c r="K10400" t="str">
        <f t="shared" si="1856"/>
        <v>813</v>
      </c>
      <c r="L10400">
        <v>147</v>
      </c>
    </row>
    <row r="10401" spans="1:12" x14ac:dyDescent="0.25">
      <c r="A10401" t="str">
        <f t="shared" si="1849"/>
        <v>89301000</v>
      </c>
      <c r="B10401" t="str">
        <f t="shared" si="1850"/>
        <v>06539000</v>
      </c>
      <c r="C10401" t="str">
        <f t="shared" si="1855"/>
        <v>06539003</v>
      </c>
      <c r="D10401">
        <v>89301171</v>
      </c>
      <c r="E10401" t="str">
        <f t="shared" si="1851"/>
        <v>7654295352</v>
      </c>
      <c r="F10401" s="1">
        <v>45125</v>
      </c>
      <c r="G10401" t="str">
        <f>"91131"</f>
        <v>91131</v>
      </c>
      <c r="H10401">
        <v>1</v>
      </c>
      <c r="I10401">
        <v>171</v>
      </c>
      <c r="J10401">
        <v>0</v>
      </c>
      <c r="K10401" t="str">
        <f t="shared" si="1856"/>
        <v>813</v>
      </c>
      <c r="L10401">
        <v>143.63999999999999</v>
      </c>
    </row>
    <row r="10402" spans="1:12" x14ac:dyDescent="0.25">
      <c r="A10402" t="str">
        <f t="shared" si="1849"/>
        <v>89301000</v>
      </c>
      <c r="B10402" t="str">
        <f t="shared" si="1850"/>
        <v>06539000</v>
      </c>
      <c r="C10402" t="str">
        <f t="shared" si="1855"/>
        <v>06539003</v>
      </c>
      <c r="D10402">
        <v>89301171</v>
      </c>
      <c r="E10402" t="str">
        <f t="shared" si="1851"/>
        <v>7654295352</v>
      </c>
      <c r="F10402" s="1">
        <v>45125</v>
      </c>
      <c r="G10402" t="str">
        <f>"91133"</f>
        <v>91133</v>
      </c>
      <c r="H10402">
        <v>1</v>
      </c>
      <c r="I10402">
        <v>177</v>
      </c>
      <c r="J10402">
        <v>0</v>
      </c>
      <c r="K10402" t="str">
        <f t="shared" si="1856"/>
        <v>813</v>
      </c>
      <c r="L10402">
        <v>148.68</v>
      </c>
    </row>
    <row r="10403" spans="1:12" x14ac:dyDescent="0.25">
      <c r="A10403" t="str">
        <f t="shared" si="1849"/>
        <v>89301000</v>
      </c>
      <c r="B10403" t="str">
        <f t="shared" si="1850"/>
        <v>06539000</v>
      </c>
      <c r="C10403" t="str">
        <f t="shared" si="1855"/>
        <v>06539003</v>
      </c>
      <c r="D10403">
        <v>89301171</v>
      </c>
      <c r="E10403" t="str">
        <f t="shared" si="1851"/>
        <v>7654295352</v>
      </c>
      <c r="F10403" s="1">
        <v>45125</v>
      </c>
      <c r="G10403" t="str">
        <f>"91171"</f>
        <v>91171</v>
      </c>
      <c r="H10403">
        <v>1</v>
      </c>
      <c r="I10403">
        <v>362</v>
      </c>
      <c r="J10403">
        <v>0</v>
      </c>
      <c r="K10403" t="str">
        <f t="shared" si="1856"/>
        <v>813</v>
      </c>
      <c r="L10403">
        <v>304.08</v>
      </c>
    </row>
    <row r="10404" spans="1:12" x14ac:dyDescent="0.25">
      <c r="A10404" t="str">
        <f t="shared" si="1849"/>
        <v>89301000</v>
      </c>
      <c r="B10404" t="str">
        <f t="shared" si="1850"/>
        <v>06539000</v>
      </c>
      <c r="C10404" t="str">
        <f t="shared" si="1855"/>
        <v>06539003</v>
      </c>
      <c r="D10404">
        <v>89301171</v>
      </c>
      <c r="E10404" t="str">
        <f t="shared" si="1851"/>
        <v>7654295352</v>
      </c>
      <c r="F10404" s="1">
        <v>45121</v>
      </c>
      <c r="G10404" t="str">
        <f>"91173"</f>
        <v>91173</v>
      </c>
      <c r="H10404">
        <v>1</v>
      </c>
      <c r="I10404">
        <v>337</v>
      </c>
      <c r="J10404">
        <v>0</v>
      </c>
      <c r="K10404" t="str">
        <f t="shared" si="1856"/>
        <v>813</v>
      </c>
      <c r="L10404">
        <v>283.08</v>
      </c>
    </row>
    <row r="10405" spans="1:12" x14ac:dyDescent="0.25">
      <c r="A10405" t="str">
        <f t="shared" si="1849"/>
        <v>89301000</v>
      </c>
      <c r="B10405" t="str">
        <f t="shared" si="1850"/>
        <v>06539000</v>
      </c>
      <c r="C10405" t="str">
        <f t="shared" si="1855"/>
        <v>06539003</v>
      </c>
      <c r="D10405">
        <v>89301171</v>
      </c>
      <c r="E10405" t="str">
        <f t="shared" si="1851"/>
        <v>7654295352</v>
      </c>
      <c r="F10405" s="1">
        <v>45125</v>
      </c>
      <c r="G10405" t="str">
        <f>"91175"</f>
        <v>91175</v>
      </c>
      <c r="H10405">
        <v>1</v>
      </c>
      <c r="I10405">
        <v>362</v>
      </c>
      <c r="J10405">
        <v>0</v>
      </c>
      <c r="K10405" t="str">
        <f t="shared" si="1856"/>
        <v>813</v>
      </c>
      <c r="L10405">
        <v>304.08</v>
      </c>
    </row>
    <row r="10406" spans="1:12" x14ac:dyDescent="0.25">
      <c r="A10406" t="str">
        <f t="shared" si="1849"/>
        <v>89301000</v>
      </c>
      <c r="B10406" t="str">
        <f t="shared" si="1850"/>
        <v>06539000</v>
      </c>
      <c r="C10406" t="str">
        <f t="shared" si="1855"/>
        <v>06539003</v>
      </c>
      <c r="D10406">
        <v>89301171</v>
      </c>
      <c r="E10406" t="str">
        <f t="shared" si="1851"/>
        <v>7654295352</v>
      </c>
      <c r="F10406" s="1">
        <v>45122</v>
      </c>
      <c r="G10406" t="str">
        <f>"91167"</f>
        <v>91167</v>
      </c>
      <c r="H10406">
        <v>1</v>
      </c>
      <c r="I10406">
        <v>426</v>
      </c>
      <c r="J10406">
        <v>0</v>
      </c>
      <c r="K10406" t="str">
        <f t="shared" si="1856"/>
        <v>813</v>
      </c>
      <c r="L10406">
        <v>357.84</v>
      </c>
    </row>
    <row r="10407" spans="1:12" x14ac:dyDescent="0.25">
      <c r="A10407" t="str">
        <f t="shared" si="1849"/>
        <v>89301000</v>
      </c>
      <c r="B10407" t="str">
        <f t="shared" si="1850"/>
        <v>06539000</v>
      </c>
      <c r="C10407" t="str">
        <f t="shared" si="1855"/>
        <v>06539003</v>
      </c>
      <c r="D10407">
        <v>89301171</v>
      </c>
      <c r="E10407" t="str">
        <f t="shared" si="1851"/>
        <v>7654295352</v>
      </c>
      <c r="F10407" s="1">
        <v>45122</v>
      </c>
      <c r="G10407" t="str">
        <f>"91169"</f>
        <v>91169</v>
      </c>
      <c r="H10407">
        <v>1</v>
      </c>
      <c r="I10407">
        <v>426</v>
      </c>
      <c r="J10407">
        <v>0</v>
      </c>
      <c r="K10407" t="str">
        <f t="shared" si="1856"/>
        <v>813</v>
      </c>
      <c r="L10407">
        <v>357.84</v>
      </c>
    </row>
    <row r="10408" spans="1:12" x14ac:dyDescent="0.25">
      <c r="A10408" t="str">
        <f t="shared" si="1849"/>
        <v>89301000</v>
      </c>
      <c r="B10408" t="str">
        <f t="shared" si="1850"/>
        <v>06539000</v>
      </c>
      <c r="C10408" t="str">
        <f t="shared" si="1855"/>
        <v>06539003</v>
      </c>
      <c r="D10408">
        <v>89301171</v>
      </c>
      <c r="E10408" t="str">
        <f t="shared" si="1851"/>
        <v>7654295352</v>
      </c>
      <c r="F10408" s="1">
        <v>45121</v>
      </c>
      <c r="G10408" t="str">
        <f>"91167"</f>
        <v>91167</v>
      </c>
      <c r="H10408">
        <v>1</v>
      </c>
      <c r="I10408">
        <v>426</v>
      </c>
      <c r="J10408">
        <v>0</v>
      </c>
      <c r="K10408" t="str">
        <f t="shared" si="1856"/>
        <v>813</v>
      </c>
      <c r="L10408">
        <v>357.84</v>
      </c>
    </row>
    <row r="10409" spans="1:12" x14ac:dyDescent="0.25">
      <c r="A10409" t="str">
        <f t="shared" si="1849"/>
        <v>89301000</v>
      </c>
      <c r="B10409" t="str">
        <f t="shared" si="1850"/>
        <v>06539000</v>
      </c>
      <c r="C10409" t="str">
        <f t="shared" si="1855"/>
        <v>06539003</v>
      </c>
      <c r="D10409">
        <v>89301171</v>
      </c>
      <c r="E10409" t="str">
        <f t="shared" si="1851"/>
        <v>7654295352</v>
      </c>
      <c r="F10409" s="1">
        <v>45121</v>
      </c>
      <c r="G10409" t="str">
        <f>"91169"</f>
        <v>91169</v>
      </c>
      <c r="H10409">
        <v>1</v>
      </c>
      <c r="I10409">
        <v>426</v>
      </c>
      <c r="J10409">
        <v>0</v>
      </c>
      <c r="K10409" t="str">
        <f t="shared" si="1856"/>
        <v>813</v>
      </c>
      <c r="L10409">
        <v>357.84</v>
      </c>
    </row>
    <row r="10410" spans="1:12" x14ac:dyDescent="0.25">
      <c r="A10410" t="str">
        <f t="shared" si="1849"/>
        <v>89301000</v>
      </c>
      <c r="B10410" t="str">
        <f t="shared" si="1850"/>
        <v>06539000</v>
      </c>
      <c r="C10410" t="str">
        <f t="shared" si="1855"/>
        <v>06539003</v>
      </c>
      <c r="D10410">
        <v>89301171</v>
      </c>
      <c r="E10410" t="str">
        <f t="shared" si="1851"/>
        <v>7654295352</v>
      </c>
      <c r="F10410" s="1">
        <v>45127</v>
      </c>
      <c r="G10410" t="str">
        <f>"91475"</f>
        <v>91475</v>
      </c>
      <c r="H10410">
        <v>1</v>
      </c>
      <c r="I10410">
        <v>213</v>
      </c>
      <c r="J10410">
        <v>0</v>
      </c>
      <c r="K10410" t="str">
        <f t="shared" si="1856"/>
        <v>813</v>
      </c>
      <c r="L10410">
        <v>178.92</v>
      </c>
    </row>
    <row r="10411" spans="1:12" x14ac:dyDescent="0.25">
      <c r="A10411" t="str">
        <f t="shared" si="1849"/>
        <v>89301000</v>
      </c>
      <c r="B10411" t="str">
        <f t="shared" si="1850"/>
        <v>06539000</v>
      </c>
      <c r="C10411" t="str">
        <f t="shared" si="1855"/>
        <v>06539003</v>
      </c>
      <c r="D10411">
        <v>89301171</v>
      </c>
      <c r="E10411" t="str">
        <f t="shared" ref="E10411:E10438" si="1858">"7801105323"</f>
        <v>7801105323</v>
      </c>
      <c r="F10411" s="1">
        <v>45127</v>
      </c>
      <c r="G10411" t="str">
        <f t="shared" ref="G10411:G10420" si="1859">"91413"</f>
        <v>91413</v>
      </c>
      <c r="H10411">
        <v>1</v>
      </c>
      <c r="I10411">
        <v>868</v>
      </c>
      <c r="J10411">
        <v>0</v>
      </c>
      <c r="K10411" t="str">
        <f t="shared" si="1856"/>
        <v>813</v>
      </c>
      <c r="L10411">
        <v>729.12</v>
      </c>
    </row>
    <row r="10412" spans="1:12" x14ac:dyDescent="0.25">
      <c r="A10412" t="str">
        <f t="shared" si="1849"/>
        <v>89301000</v>
      </c>
      <c r="B10412" t="str">
        <f t="shared" si="1850"/>
        <v>06539000</v>
      </c>
      <c r="C10412" t="str">
        <f t="shared" si="1855"/>
        <v>06539003</v>
      </c>
      <c r="D10412">
        <v>89301171</v>
      </c>
      <c r="E10412" t="str">
        <f t="shared" si="1858"/>
        <v>7801105323</v>
      </c>
      <c r="F10412" s="1">
        <v>45127</v>
      </c>
      <c r="G10412" t="str">
        <f t="shared" si="1859"/>
        <v>91413</v>
      </c>
      <c r="H10412">
        <v>1</v>
      </c>
      <c r="I10412">
        <v>868</v>
      </c>
      <c r="J10412">
        <v>0</v>
      </c>
      <c r="K10412" t="str">
        <f t="shared" si="1856"/>
        <v>813</v>
      </c>
      <c r="L10412">
        <v>729.12</v>
      </c>
    </row>
    <row r="10413" spans="1:12" x14ac:dyDescent="0.25">
      <c r="A10413" t="str">
        <f t="shared" si="1849"/>
        <v>89301000</v>
      </c>
      <c r="B10413" t="str">
        <f t="shared" si="1850"/>
        <v>06539000</v>
      </c>
      <c r="C10413" t="str">
        <f t="shared" si="1855"/>
        <v>06539003</v>
      </c>
      <c r="D10413">
        <v>89301171</v>
      </c>
      <c r="E10413" t="str">
        <f t="shared" si="1858"/>
        <v>7801105323</v>
      </c>
      <c r="F10413" s="1">
        <v>45141</v>
      </c>
      <c r="G10413" t="str">
        <f t="shared" si="1859"/>
        <v>91413</v>
      </c>
      <c r="H10413">
        <v>1</v>
      </c>
      <c r="I10413">
        <v>868</v>
      </c>
      <c r="J10413">
        <v>0</v>
      </c>
      <c r="K10413" t="str">
        <f t="shared" si="1856"/>
        <v>813</v>
      </c>
      <c r="L10413">
        <v>729.12</v>
      </c>
    </row>
    <row r="10414" spans="1:12" x14ac:dyDescent="0.25">
      <c r="A10414" t="str">
        <f t="shared" si="1849"/>
        <v>89301000</v>
      </c>
      <c r="B10414" t="str">
        <f t="shared" si="1850"/>
        <v>06539000</v>
      </c>
      <c r="C10414" t="str">
        <f t="shared" si="1855"/>
        <v>06539003</v>
      </c>
      <c r="D10414">
        <v>89301171</v>
      </c>
      <c r="E10414" t="str">
        <f t="shared" si="1858"/>
        <v>7801105323</v>
      </c>
      <c r="F10414" s="1">
        <v>45141</v>
      </c>
      <c r="G10414" t="str">
        <f t="shared" si="1859"/>
        <v>91413</v>
      </c>
      <c r="H10414">
        <v>1</v>
      </c>
      <c r="I10414">
        <v>868</v>
      </c>
      <c r="J10414">
        <v>0</v>
      </c>
      <c r="K10414" t="str">
        <f t="shared" si="1856"/>
        <v>813</v>
      </c>
      <c r="L10414">
        <v>729.12</v>
      </c>
    </row>
    <row r="10415" spans="1:12" x14ac:dyDescent="0.25">
      <c r="A10415" t="str">
        <f t="shared" si="1849"/>
        <v>89301000</v>
      </c>
      <c r="B10415" t="str">
        <f t="shared" si="1850"/>
        <v>06539000</v>
      </c>
      <c r="C10415" t="str">
        <f t="shared" si="1855"/>
        <v>06539003</v>
      </c>
      <c r="D10415">
        <v>89301171</v>
      </c>
      <c r="E10415" t="str">
        <f t="shared" si="1858"/>
        <v>7801105323</v>
      </c>
      <c r="F10415" s="1">
        <v>45140</v>
      </c>
      <c r="G10415" t="str">
        <f t="shared" si="1859"/>
        <v>91413</v>
      </c>
      <c r="H10415">
        <v>1</v>
      </c>
      <c r="I10415">
        <v>868</v>
      </c>
      <c r="J10415">
        <v>0</v>
      </c>
      <c r="K10415" t="str">
        <f t="shared" si="1856"/>
        <v>813</v>
      </c>
      <c r="L10415">
        <v>729.12</v>
      </c>
    </row>
    <row r="10416" spans="1:12" x14ac:dyDescent="0.25">
      <c r="A10416" t="str">
        <f t="shared" si="1849"/>
        <v>89301000</v>
      </c>
      <c r="B10416" t="str">
        <f t="shared" si="1850"/>
        <v>06539000</v>
      </c>
      <c r="C10416" t="str">
        <f t="shared" si="1855"/>
        <v>06539003</v>
      </c>
      <c r="D10416">
        <v>89301171</v>
      </c>
      <c r="E10416" t="str">
        <f t="shared" si="1858"/>
        <v>7801105323</v>
      </c>
      <c r="F10416" s="1">
        <v>45140</v>
      </c>
      <c r="G10416" t="str">
        <f t="shared" si="1859"/>
        <v>91413</v>
      </c>
      <c r="H10416">
        <v>1</v>
      </c>
      <c r="I10416">
        <v>868</v>
      </c>
      <c r="J10416">
        <v>0</v>
      </c>
      <c r="K10416" t="str">
        <f t="shared" si="1856"/>
        <v>813</v>
      </c>
      <c r="L10416">
        <v>729.12</v>
      </c>
    </row>
    <row r="10417" spans="1:12" x14ac:dyDescent="0.25">
      <c r="A10417" t="str">
        <f t="shared" si="1849"/>
        <v>89301000</v>
      </c>
      <c r="B10417" t="str">
        <f t="shared" si="1850"/>
        <v>06539000</v>
      </c>
      <c r="C10417" t="str">
        <f t="shared" si="1855"/>
        <v>06539003</v>
      </c>
      <c r="D10417">
        <v>89301171</v>
      </c>
      <c r="E10417" t="str">
        <f t="shared" si="1858"/>
        <v>7801105323</v>
      </c>
      <c r="F10417" s="1">
        <v>45141</v>
      </c>
      <c r="G10417" t="str">
        <f t="shared" si="1859"/>
        <v>91413</v>
      </c>
      <c r="H10417">
        <v>1</v>
      </c>
      <c r="I10417">
        <v>868</v>
      </c>
      <c r="J10417">
        <v>0</v>
      </c>
      <c r="K10417" t="str">
        <f t="shared" si="1856"/>
        <v>813</v>
      </c>
      <c r="L10417">
        <v>729.12</v>
      </c>
    </row>
    <row r="10418" spans="1:12" x14ac:dyDescent="0.25">
      <c r="A10418" t="str">
        <f t="shared" si="1849"/>
        <v>89301000</v>
      </c>
      <c r="B10418" t="str">
        <f t="shared" si="1850"/>
        <v>06539000</v>
      </c>
      <c r="C10418" t="str">
        <f t="shared" si="1855"/>
        <v>06539003</v>
      </c>
      <c r="D10418">
        <v>89301171</v>
      </c>
      <c r="E10418" t="str">
        <f t="shared" si="1858"/>
        <v>7801105323</v>
      </c>
      <c r="F10418" s="1">
        <v>45141</v>
      </c>
      <c r="G10418" t="str">
        <f t="shared" si="1859"/>
        <v>91413</v>
      </c>
      <c r="H10418">
        <v>1</v>
      </c>
      <c r="I10418">
        <v>868</v>
      </c>
      <c r="J10418">
        <v>0</v>
      </c>
      <c r="K10418" t="str">
        <f t="shared" si="1856"/>
        <v>813</v>
      </c>
      <c r="L10418">
        <v>729.12</v>
      </c>
    </row>
    <row r="10419" spans="1:12" x14ac:dyDescent="0.25">
      <c r="A10419" t="str">
        <f t="shared" si="1849"/>
        <v>89301000</v>
      </c>
      <c r="B10419" t="str">
        <f t="shared" si="1850"/>
        <v>06539000</v>
      </c>
      <c r="C10419" t="str">
        <f t="shared" si="1855"/>
        <v>06539003</v>
      </c>
      <c r="D10419">
        <v>89301171</v>
      </c>
      <c r="E10419" t="str">
        <f t="shared" si="1858"/>
        <v>7801105323</v>
      </c>
      <c r="F10419" s="1">
        <v>45141</v>
      </c>
      <c r="G10419" t="str">
        <f t="shared" si="1859"/>
        <v>91413</v>
      </c>
      <c r="H10419">
        <v>1</v>
      </c>
      <c r="I10419">
        <v>868</v>
      </c>
      <c r="J10419">
        <v>0</v>
      </c>
      <c r="K10419" t="str">
        <f t="shared" si="1856"/>
        <v>813</v>
      </c>
      <c r="L10419">
        <v>729.12</v>
      </c>
    </row>
    <row r="10420" spans="1:12" x14ac:dyDescent="0.25">
      <c r="A10420" t="str">
        <f t="shared" si="1849"/>
        <v>89301000</v>
      </c>
      <c r="B10420" t="str">
        <f t="shared" si="1850"/>
        <v>06539000</v>
      </c>
      <c r="C10420" t="str">
        <f t="shared" si="1855"/>
        <v>06539003</v>
      </c>
      <c r="D10420">
        <v>89301171</v>
      </c>
      <c r="E10420" t="str">
        <f t="shared" si="1858"/>
        <v>7801105323</v>
      </c>
      <c r="F10420" s="1">
        <v>45141</v>
      </c>
      <c r="G10420" t="str">
        <f t="shared" si="1859"/>
        <v>91413</v>
      </c>
      <c r="H10420">
        <v>1</v>
      </c>
      <c r="I10420">
        <v>868</v>
      </c>
      <c r="J10420">
        <v>0</v>
      </c>
      <c r="K10420" t="str">
        <f t="shared" si="1856"/>
        <v>813</v>
      </c>
      <c r="L10420">
        <v>729.12</v>
      </c>
    </row>
    <row r="10421" spans="1:12" x14ac:dyDescent="0.25">
      <c r="A10421" t="str">
        <f t="shared" si="1849"/>
        <v>89301000</v>
      </c>
      <c r="B10421" t="str">
        <f t="shared" si="1850"/>
        <v>06539000</v>
      </c>
      <c r="C10421" t="str">
        <f t="shared" si="1855"/>
        <v>06539003</v>
      </c>
      <c r="D10421">
        <v>89301171</v>
      </c>
      <c r="E10421" t="str">
        <f t="shared" si="1858"/>
        <v>7801105323</v>
      </c>
      <c r="F10421" s="1">
        <v>45124</v>
      </c>
      <c r="G10421" t="str">
        <f t="shared" ref="G10421:G10426" si="1860">"91197"</f>
        <v>91197</v>
      </c>
      <c r="H10421">
        <v>1</v>
      </c>
      <c r="I10421">
        <v>1048</v>
      </c>
      <c r="J10421">
        <v>0</v>
      </c>
      <c r="K10421" t="str">
        <f t="shared" si="1856"/>
        <v>813</v>
      </c>
      <c r="L10421">
        <v>880.32</v>
      </c>
    </row>
    <row r="10422" spans="1:12" x14ac:dyDescent="0.25">
      <c r="A10422" t="str">
        <f t="shared" si="1849"/>
        <v>89301000</v>
      </c>
      <c r="B10422" t="str">
        <f t="shared" si="1850"/>
        <v>06539000</v>
      </c>
      <c r="C10422" t="str">
        <f t="shared" si="1855"/>
        <v>06539003</v>
      </c>
      <c r="D10422">
        <v>89301171</v>
      </c>
      <c r="E10422" t="str">
        <f t="shared" si="1858"/>
        <v>7801105323</v>
      </c>
      <c r="F10422" s="1">
        <v>45124</v>
      </c>
      <c r="G10422" t="str">
        <f t="shared" si="1860"/>
        <v>91197</v>
      </c>
      <c r="H10422">
        <v>1</v>
      </c>
      <c r="I10422">
        <v>1048</v>
      </c>
      <c r="J10422">
        <v>0</v>
      </c>
      <c r="K10422" t="str">
        <f t="shared" si="1856"/>
        <v>813</v>
      </c>
      <c r="L10422">
        <v>880.32</v>
      </c>
    </row>
    <row r="10423" spans="1:12" x14ac:dyDescent="0.25">
      <c r="A10423" t="str">
        <f t="shared" si="1849"/>
        <v>89301000</v>
      </c>
      <c r="B10423" t="str">
        <f t="shared" si="1850"/>
        <v>06539000</v>
      </c>
      <c r="C10423" t="str">
        <f t="shared" ref="C10423:C10454" si="1861">"06539003"</f>
        <v>06539003</v>
      </c>
      <c r="D10423">
        <v>89301171</v>
      </c>
      <c r="E10423" t="str">
        <f t="shared" si="1858"/>
        <v>7801105323</v>
      </c>
      <c r="F10423" s="1">
        <v>45123</v>
      </c>
      <c r="G10423" t="str">
        <f t="shared" si="1860"/>
        <v>91197</v>
      </c>
      <c r="H10423">
        <v>1</v>
      </c>
      <c r="I10423">
        <v>1048</v>
      </c>
      <c r="J10423">
        <v>0</v>
      </c>
      <c r="K10423" t="str">
        <f t="shared" ref="K10423:K10454" si="1862">"813"</f>
        <v>813</v>
      </c>
      <c r="L10423">
        <v>880.32</v>
      </c>
    </row>
    <row r="10424" spans="1:12" x14ac:dyDescent="0.25">
      <c r="A10424" t="str">
        <f t="shared" si="1849"/>
        <v>89301000</v>
      </c>
      <c r="B10424" t="str">
        <f t="shared" si="1850"/>
        <v>06539000</v>
      </c>
      <c r="C10424" t="str">
        <f t="shared" si="1861"/>
        <v>06539003</v>
      </c>
      <c r="D10424">
        <v>89301171</v>
      </c>
      <c r="E10424" t="str">
        <f t="shared" si="1858"/>
        <v>7801105323</v>
      </c>
      <c r="F10424" s="1">
        <v>45123</v>
      </c>
      <c r="G10424" t="str">
        <f t="shared" si="1860"/>
        <v>91197</v>
      </c>
      <c r="H10424">
        <v>1</v>
      </c>
      <c r="I10424">
        <v>1048</v>
      </c>
      <c r="J10424">
        <v>0</v>
      </c>
      <c r="K10424" t="str">
        <f t="shared" si="1862"/>
        <v>813</v>
      </c>
      <c r="L10424">
        <v>880.32</v>
      </c>
    </row>
    <row r="10425" spans="1:12" x14ac:dyDescent="0.25">
      <c r="A10425" t="str">
        <f t="shared" si="1849"/>
        <v>89301000</v>
      </c>
      <c r="B10425" t="str">
        <f t="shared" si="1850"/>
        <v>06539000</v>
      </c>
      <c r="C10425" t="str">
        <f t="shared" si="1861"/>
        <v>06539003</v>
      </c>
      <c r="D10425">
        <v>89301171</v>
      </c>
      <c r="E10425" t="str">
        <f t="shared" si="1858"/>
        <v>7801105323</v>
      </c>
      <c r="F10425" s="1">
        <v>45122</v>
      </c>
      <c r="G10425" t="str">
        <f t="shared" si="1860"/>
        <v>91197</v>
      </c>
      <c r="H10425">
        <v>1</v>
      </c>
      <c r="I10425">
        <v>1048</v>
      </c>
      <c r="J10425">
        <v>0</v>
      </c>
      <c r="K10425" t="str">
        <f t="shared" si="1862"/>
        <v>813</v>
      </c>
      <c r="L10425">
        <v>880.32</v>
      </c>
    </row>
    <row r="10426" spans="1:12" x14ac:dyDescent="0.25">
      <c r="A10426" t="str">
        <f t="shared" si="1849"/>
        <v>89301000</v>
      </c>
      <c r="B10426" t="str">
        <f t="shared" si="1850"/>
        <v>06539000</v>
      </c>
      <c r="C10426" t="str">
        <f t="shared" si="1861"/>
        <v>06539003</v>
      </c>
      <c r="D10426">
        <v>89301171</v>
      </c>
      <c r="E10426" t="str">
        <f t="shared" si="1858"/>
        <v>7801105323</v>
      </c>
      <c r="F10426" s="1">
        <v>45122</v>
      </c>
      <c r="G10426" t="str">
        <f t="shared" si="1860"/>
        <v>91197</v>
      </c>
      <c r="H10426">
        <v>1</v>
      </c>
      <c r="I10426">
        <v>1048</v>
      </c>
      <c r="J10426">
        <v>0</v>
      </c>
      <c r="K10426" t="str">
        <f t="shared" si="1862"/>
        <v>813</v>
      </c>
      <c r="L10426">
        <v>880.32</v>
      </c>
    </row>
    <row r="10427" spans="1:12" x14ac:dyDescent="0.25">
      <c r="A10427" t="str">
        <f t="shared" si="1849"/>
        <v>89301000</v>
      </c>
      <c r="B10427" t="str">
        <f t="shared" si="1850"/>
        <v>06539000</v>
      </c>
      <c r="C10427" t="str">
        <f t="shared" si="1861"/>
        <v>06539003</v>
      </c>
      <c r="D10427">
        <v>89301171</v>
      </c>
      <c r="E10427" t="str">
        <f t="shared" si="1858"/>
        <v>7801105323</v>
      </c>
      <c r="F10427" s="1">
        <v>45141</v>
      </c>
      <c r="G10427" t="str">
        <f>"91329"</f>
        <v>91329</v>
      </c>
      <c r="H10427">
        <v>2</v>
      </c>
      <c r="I10427">
        <v>436</v>
      </c>
      <c r="J10427">
        <v>0</v>
      </c>
      <c r="K10427" t="str">
        <f t="shared" si="1862"/>
        <v>813</v>
      </c>
      <c r="L10427">
        <v>366.24</v>
      </c>
    </row>
    <row r="10428" spans="1:12" x14ac:dyDescent="0.25">
      <c r="A10428" t="str">
        <f t="shared" si="1849"/>
        <v>89301000</v>
      </c>
      <c r="B10428" t="str">
        <f t="shared" si="1850"/>
        <v>06539000</v>
      </c>
      <c r="C10428" t="str">
        <f t="shared" si="1861"/>
        <v>06539003</v>
      </c>
      <c r="D10428">
        <v>89301171</v>
      </c>
      <c r="E10428" t="str">
        <f t="shared" si="1858"/>
        <v>7801105323</v>
      </c>
      <c r="F10428" s="1">
        <v>45141</v>
      </c>
      <c r="G10428" t="str">
        <f>"91329"</f>
        <v>91329</v>
      </c>
      <c r="H10428">
        <v>2</v>
      </c>
      <c r="I10428">
        <v>436</v>
      </c>
      <c r="J10428">
        <v>0</v>
      </c>
      <c r="K10428" t="str">
        <f t="shared" si="1862"/>
        <v>813</v>
      </c>
      <c r="L10428">
        <v>366.24</v>
      </c>
    </row>
    <row r="10429" spans="1:12" x14ac:dyDescent="0.25">
      <c r="A10429" t="str">
        <f t="shared" si="1849"/>
        <v>89301000</v>
      </c>
      <c r="B10429" t="str">
        <f t="shared" si="1850"/>
        <v>06539000</v>
      </c>
      <c r="C10429" t="str">
        <f t="shared" si="1861"/>
        <v>06539003</v>
      </c>
      <c r="D10429">
        <v>89301171</v>
      </c>
      <c r="E10429" t="str">
        <f t="shared" si="1858"/>
        <v>7801105323</v>
      </c>
      <c r="F10429" s="1">
        <v>45141</v>
      </c>
      <c r="G10429" t="str">
        <f>"91329"</f>
        <v>91329</v>
      </c>
      <c r="H10429">
        <v>2</v>
      </c>
      <c r="I10429">
        <v>436</v>
      </c>
      <c r="J10429">
        <v>0</v>
      </c>
      <c r="K10429" t="str">
        <f t="shared" si="1862"/>
        <v>813</v>
      </c>
      <c r="L10429">
        <v>366.24</v>
      </c>
    </row>
    <row r="10430" spans="1:12" x14ac:dyDescent="0.25">
      <c r="A10430" t="str">
        <f t="shared" si="1849"/>
        <v>89301000</v>
      </c>
      <c r="B10430" t="str">
        <f t="shared" si="1850"/>
        <v>06539000</v>
      </c>
      <c r="C10430" t="str">
        <f t="shared" si="1861"/>
        <v>06539003</v>
      </c>
      <c r="D10430">
        <v>89301171</v>
      </c>
      <c r="E10430" t="str">
        <f t="shared" si="1858"/>
        <v>7801105323</v>
      </c>
      <c r="F10430" s="1">
        <v>45141</v>
      </c>
      <c r="G10430" t="str">
        <f>"91329"</f>
        <v>91329</v>
      </c>
      <c r="H10430">
        <v>2</v>
      </c>
      <c r="I10430">
        <v>436</v>
      </c>
      <c r="J10430">
        <v>0</v>
      </c>
      <c r="K10430" t="str">
        <f t="shared" si="1862"/>
        <v>813</v>
      </c>
      <c r="L10430">
        <v>366.24</v>
      </c>
    </row>
    <row r="10431" spans="1:12" x14ac:dyDescent="0.25">
      <c r="A10431" t="str">
        <f t="shared" si="1849"/>
        <v>89301000</v>
      </c>
      <c r="B10431" t="str">
        <f t="shared" si="1850"/>
        <v>06539000</v>
      </c>
      <c r="C10431" t="str">
        <f t="shared" si="1861"/>
        <v>06539003</v>
      </c>
      <c r="D10431">
        <v>89301171</v>
      </c>
      <c r="E10431" t="str">
        <f t="shared" si="1858"/>
        <v>7801105323</v>
      </c>
      <c r="F10431" s="1">
        <v>45125</v>
      </c>
      <c r="G10431" t="str">
        <f>"91129"</f>
        <v>91129</v>
      </c>
      <c r="H10431">
        <v>1</v>
      </c>
      <c r="I10431">
        <v>175</v>
      </c>
      <c r="J10431">
        <v>0</v>
      </c>
      <c r="K10431" t="str">
        <f t="shared" si="1862"/>
        <v>813</v>
      </c>
      <c r="L10431">
        <v>147</v>
      </c>
    </row>
    <row r="10432" spans="1:12" x14ac:dyDescent="0.25">
      <c r="A10432" t="str">
        <f t="shared" si="1849"/>
        <v>89301000</v>
      </c>
      <c r="B10432" t="str">
        <f t="shared" si="1850"/>
        <v>06539000</v>
      </c>
      <c r="C10432" t="str">
        <f t="shared" si="1861"/>
        <v>06539003</v>
      </c>
      <c r="D10432">
        <v>89301171</v>
      </c>
      <c r="E10432" t="str">
        <f t="shared" si="1858"/>
        <v>7801105323</v>
      </c>
      <c r="F10432" s="1">
        <v>45125</v>
      </c>
      <c r="G10432" t="str">
        <f>"91131"</f>
        <v>91131</v>
      </c>
      <c r="H10432">
        <v>1</v>
      </c>
      <c r="I10432">
        <v>171</v>
      </c>
      <c r="J10432">
        <v>0</v>
      </c>
      <c r="K10432" t="str">
        <f t="shared" si="1862"/>
        <v>813</v>
      </c>
      <c r="L10432">
        <v>143.63999999999999</v>
      </c>
    </row>
    <row r="10433" spans="1:12" x14ac:dyDescent="0.25">
      <c r="A10433" t="str">
        <f t="shared" si="1849"/>
        <v>89301000</v>
      </c>
      <c r="B10433" t="str">
        <f t="shared" si="1850"/>
        <v>06539000</v>
      </c>
      <c r="C10433" t="str">
        <f t="shared" si="1861"/>
        <v>06539003</v>
      </c>
      <c r="D10433">
        <v>89301171</v>
      </c>
      <c r="E10433" t="str">
        <f t="shared" si="1858"/>
        <v>7801105323</v>
      </c>
      <c r="F10433" s="1">
        <v>45125</v>
      </c>
      <c r="G10433" t="str">
        <f>"91133"</f>
        <v>91133</v>
      </c>
      <c r="H10433">
        <v>1</v>
      </c>
      <c r="I10433">
        <v>177</v>
      </c>
      <c r="J10433">
        <v>0</v>
      </c>
      <c r="K10433" t="str">
        <f t="shared" si="1862"/>
        <v>813</v>
      </c>
      <c r="L10433">
        <v>148.68</v>
      </c>
    </row>
    <row r="10434" spans="1:12" x14ac:dyDescent="0.25">
      <c r="A10434" t="str">
        <f t="shared" ref="A10434:A10497" si="1863">"89301000"</f>
        <v>89301000</v>
      </c>
      <c r="B10434" t="str">
        <f t="shared" si="1850"/>
        <v>06539000</v>
      </c>
      <c r="C10434" t="str">
        <f t="shared" si="1861"/>
        <v>06539003</v>
      </c>
      <c r="D10434">
        <v>89301171</v>
      </c>
      <c r="E10434" t="str">
        <f t="shared" si="1858"/>
        <v>7801105323</v>
      </c>
      <c r="F10434" s="1">
        <v>45125</v>
      </c>
      <c r="G10434" t="str">
        <f>"91171"</f>
        <v>91171</v>
      </c>
      <c r="H10434">
        <v>1</v>
      </c>
      <c r="I10434">
        <v>362</v>
      </c>
      <c r="J10434">
        <v>0</v>
      </c>
      <c r="K10434" t="str">
        <f t="shared" si="1862"/>
        <v>813</v>
      </c>
      <c r="L10434">
        <v>304.08</v>
      </c>
    </row>
    <row r="10435" spans="1:12" x14ac:dyDescent="0.25">
      <c r="A10435" t="str">
        <f t="shared" si="1863"/>
        <v>89301000</v>
      </c>
      <c r="B10435" t="str">
        <f t="shared" si="1850"/>
        <v>06539000</v>
      </c>
      <c r="C10435" t="str">
        <f t="shared" si="1861"/>
        <v>06539003</v>
      </c>
      <c r="D10435">
        <v>89301171</v>
      </c>
      <c r="E10435" t="str">
        <f t="shared" si="1858"/>
        <v>7801105323</v>
      </c>
      <c r="F10435" s="1">
        <v>45125</v>
      </c>
      <c r="G10435" t="str">
        <f>"91175"</f>
        <v>91175</v>
      </c>
      <c r="H10435">
        <v>1</v>
      </c>
      <c r="I10435">
        <v>362</v>
      </c>
      <c r="J10435">
        <v>0</v>
      </c>
      <c r="K10435" t="str">
        <f t="shared" si="1862"/>
        <v>813</v>
      </c>
      <c r="L10435">
        <v>304.08</v>
      </c>
    </row>
    <row r="10436" spans="1:12" x14ac:dyDescent="0.25">
      <c r="A10436" t="str">
        <f t="shared" si="1863"/>
        <v>89301000</v>
      </c>
      <c r="B10436" t="str">
        <f t="shared" si="1850"/>
        <v>06539000</v>
      </c>
      <c r="C10436" t="str">
        <f t="shared" si="1861"/>
        <v>06539003</v>
      </c>
      <c r="D10436">
        <v>89301171</v>
      </c>
      <c r="E10436" t="str">
        <f t="shared" si="1858"/>
        <v>7801105323</v>
      </c>
      <c r="F10436" s="1">
        <v>45122</v>
      </c>
      <c r="G10436" t="str">
        <f>"91167"</f>
        <v>91167</v>
      </c>
      <c r="H10436">
        <v>1</v>
      </c>
      <c r="I10436">
        <v>426</v>
      </c>
      <c r="J10436">
        <v>0</v>
      </c>
      <c r="K10436" t="str">
        <f t="shared" si="1862"/>
        <v>813</v>
      </c>
      <c r="L10436">
        <v>357.84</v>
      </c>
    </row>
    <row r="10437" spans="1:12" x14ac:dyDescent="0.25">
      <c r="A10437" t="str">
        <f t="shared" si="1863"/>
        <v>89301000</v>
      </c>
      <c r="B10437" t="str">
        <f t="shared" si="1850"/>
        <v>06539000</v>
      </c>
      <c r="C10437" t="str">
        <f t="shared" si="1861"/>
        <v>06539003</v>
      </c>
      <c r="D10437">
        <v>89301171</v>
      </c>
      <c r="E10437" t="str">
        <f t="shared" si="1858"/>
        <v>7801105323</v>
      </c>
      <c r="F10437" s="1">
        <v>45122</v>
      </c>
      <c r="G10437" t="str">
        <f>"91169"</f>
        <v>91169</v>
      </c>
      <c r="H10437">
        <v>1</v>
      </c>
      <c r="I10437">
        <v>426</v>
      </c>
      <c r="J10437">
        <v>0</v>
      </c>
      <c r="K10437" t="str">
        <f t="shared" si="1862"/>
        <v>813</v>
      </c>
      <c r="L10437">
        <v>357.84</v>
      </c>
    </row>
    <row r="10438" spans="1:12" x14ac:dyDescent="0.25">
      <c r="A10438" t="str">
        <f t="shared" si="1863"/>
        <v>89301000</v>
      </c>
      <c r="B10438" t="str">
        <f t="shared" si="1850"/>
        <v>06539000</v>
      </c>
      <c r="C10438" t="str">
        <f t="shared" si="1861"/>
        <v>06539003</v>
      </c>
      <c r="D10438">
        <v>89301171</v>
      </c>
      <c r="E10438" t="str">
        <f t="shared" si="1858"/>
        <v>7801105323</v>
      </c>
      <c r="F10438" s="1">
        <v>45127</v>
      </c>
      <c r="G10438" t="str">
        <f>"91475"</f>
        <v>91475</v>
      </c>
      <c r="H10438">
        <v>1</v>
      </c>
      <c r="I10438">
        <v>213</v>
      </c>
      <c r="J10438">
        <v>0</v>
      </c>
      <c r="K10438" t="str">
        <f t="shared" si="1862"/>
        <v>813</v>
      </c>
      <c r="L10438">
        <v>178.92</v>
      </c>
    </row>
    <row r="10439" spans="1:12" x14ac:dyDescent="0.25">
      <c r="A10439" t="str">
        <f t="shared" si="1863"/>
        <v>89301000</v>
      </c>
      <c r="B10439" t="str">
        <f t="shared" si="1850"/>
        <v>06539000</v>
      </c>
      <c r="C10439" t="str">
        <f t="shared" si="1861"/>
        <v>06539003</v>
      </c>
      <c r="D10439">
        <v>89301171</v>
      </c>
      <c r="E10439" t="str">
        <f t="shared" ref="E10439:E10466" si="1864">"8160155333"</f>
        <v>8160155333</v>
      </c>
      <c r="F10439" s="1">
        <v>45127</v>
      </c>
      <c r="G10439" t="str">
        <f t="shared" ref="G10439:G10448" si="1865">"91413"</f>
        <v>91413</v>
      </c>
      <c r="H10439">
        <v>1</v>
      </c>
      <c r="I10439">
        <v>868</v>
      </c>
      <c r="J10439">
        <v>0</v>
      </c>
      <c r="K10439" t="str">
        <f t="shared" si="1862"/>
        <v>813</v>
      </c>
      <c r="L10439">
        <v>729.12</v>
      </c>
    </row>
    <row r="10440" spans="1:12" x14ac:dyDescent="0.25">
      <c r="A10440" t="str">
        <f t="shared" si="1863"/>
        <v>89301000</v>
      </c>
      <c r="B10440" t="str">
        <f t="shared" si="1850"/>
        <v>06539000</v>
      </c>
      <c r="C10440" t="str">
        <f t="shared" si="1861"/>
        <v>06539003</v>
      </c>
      <c r="D10440">
        <v>89301171</v>
      </c>
      <c r="E10440" t="str">
        <f t="shared" si="1864"/>
        <v>8160155333</v>
      </c>
      <c r="F10440" s="1">
        <v>45127</v>
      </c>
      <c r="G10440" t="str">
        <f t="shared" si="1865"/>
        <v>91413</v>
      </c>
      <c r="H10440">
        <v>1</v>
      </c>
      <c r="I10440">
        <v>868</v>
      </c>
      <c r="J10440">
        <v>0</v>
      </c>
      <c r="K10440" t="str">
        <f t="shared" si="1862"/>
        <v>813</v>
      </c>
      <c r="L10440">
        <v>729.12</v>
      </c>
    </row>
    <row r="10441" spans="1:12" x14ac:dyDescent="0.25">
      <c r="A10441" t="str">
        <f t="shared" si="1863"/>
        <v>89301000</v>
      </c>
      <c r="B10441" t="str">
        <f t="shared" si="1850"/>
        <v>06539000</v>
      </c>
      <c r="C10441" t="str">
        <f t="shared" si="1861"/>
        <v>06539003</v>
      </c>
      <c r="D10441">
        <v>89301171</v>
      </c>
      <c r="E10441" t="str">
        <f t="shared" si="1864"/>
        <v>8160155333</v>
      </c>
      <c r="F10441" s="1">
        <v>45141</v>
      </c>
      <c r="G10441" t="str">
        <f t="shared" si="1865"/>
        <v>91413</v>
      </c>
      <c r="H10441">
        <v>1</v>
      </c>
      <c r="I10441">
        <v>868</v>
      </c>
      <c r="J10441">
        <v>0</v>
      </c>
      <c r="K10441" t="str">
        <f t="shared" si="1862"/>
        <v>813</v>
      </c>
      <c r="L10441">
        <v>729.12</v>
      </c>
    </row>
    <row r="10442" spans="1:12" x14ac:dyDescent="0.25">
      <c r="A10442" t="str">
        <f t="shared" si="1863"/>
        <v>89301000</v>
      </c>
      <c r="B10442" t="str">
        <f t="shared" si="1850"/>
        <v>06539000</v>
      </c>
      <c r="C10442" t="str">
        <f t="shared" si="1861"/>
        <v>06539003</v>
      </c>
      <c r="D10442">
        <v>89301171</v>
      </c>
      <c r="E10442" t="str">
        <f t="shared" si="1864"/>
        <v>8160155333</v>
      </c>
      <c r="F10442" s="1">
        <v>45141</v>
      </c>
      <c r="G10442" t="str">
        <f t="shared" si="1865"/>
        <v>91413</v>
      </c>
      <c r="H10442">
        <v>1</v>
      </c>
      <c r="I10442">
        <v>868</v>
      </c>
      <c r="J10442">
        <v>0</v>
      </c>
      <c r="K10442" t="str">
        <f t="shared" si="1862"/>
        <v>813</v>
      </c>
      <c r="L10442">
        <v>729.12</v>
      </c>
    </row>
    <row r="10443" spans="1:12" x14ac:dyDescent="0.25">
      <c r="A10443" t="str">
        <f t="shared" si="1863"/>
        <v>89301000</v>
      </c>
      <c r="B10443" t="str">
        <f t="shared" si="1850"/>
        <v>06539000</v>
      </c>
      <c r="C10443" t="str">
        <f t="shared" si="1861"/>
        <v>06539003</v>
      </c>
      <c r="D10443">
        <v>89301171</v>
      </c>
      <c r="E10443" t="str">
        <f t="shared" si="1864"/>
        <v>8160155333</v>
      </c>
      <c r="F10443" s="1">
        <v>45140</v>
      </c>
      <c r="G10443" t="str">
        <f t="shared" si="1865"/>
        <v>91413</v>
      </c>
      <c r="H10443">
        <v>1</v>
      </c>
      <c r="I10443">
        <v>868</v>
      </c>
      <c r="J10443">
        <v>0</v>
      </c>
      <c r="K10443" t="str">
        <f t="shared" si="1862"/>
        <v>813</v>
      </c>
      <c r="L10443">
        <v>729.12</v>
      </c>
    </row>
    <row r="10444" spans="1:12" x14ac:dyDescent="0.25">
      <c r="A10444" t="str">
        <f t="shared" si="1863"/>
        <v>89301000</v>
      </c>
      <c r="B10444" t="str">
        <f t="shared" si="1850"/>
        <v>06539000</v>
      </c>
      <c r="C10444" t="str">
        <f t="shared" si="1861"/>
        <v>06539003</v>
      </c>
      <c r="D10444">
        <v>89301171</v>
      </c>
      <c r="E10444" t="str">
        <f t="shared" si="1864"/>
        <v>8160155333</v>
      </c>
      <c r="F10444" s="1">
        <v>45140</v>
      </c>
      <c r="G10444" t="str">
        <f t="shared" si="1865"/>
        <v>91413</v>
      </c>
      <c r="H10444">
        <v>1</v>
      </c>
      <c r="I10444">
        <v>868</v>
      </c>
      <c r="J10444">
        <v>0</v>
      </c>
      <c r="K10444" t="str">
        <f t="shared" si="1862"/>
        <v>813</v>
      </c>
      <c r="L10444">
        <v>729.12</v>
      </c>
    </row>
    <row r="10445" spans="1:12" x14ac:dyDescent="0.25">
      <c r="A10445" t="str">
        <f t="shared" si="1863"/>
        <v>89301000</v>
      </c>
      <c r="B10445" t="str">
        <f t="shared" ref="B10445:B10508" si="1866">"06539000"</f>
        <v>06539000</v>
      </c>
      <c r="C10445" t="str">
        <f t="shared" si="1861"/>
        <v>06539003</v>
      </c>
      <c r="D10445">
        <v>89301171</v>
      </c>
      <c r="E10445" t="str">
        <f t="shared" si="1864"/>
        <v>8160155333</v>
      </c>
      <c r="F10445" s="1">
        <v>45141</v>
      </c>
      <c r="G10445" t="str">
        <f t="shared" si="1865"/>
        <v>91413</v>
      </c>
      <c r="H10445">
        <v>1</v>
      </c>
      <c r="I10445">
        <v>868</v>
      </c>
      <c r="J10445">
        <v>0</v>
      </c>
      <c r="K10445" t="str">
        <f t="shared" si="1862"/>
        <v>813</v>
      </c>
      <c r="L10445">
        <v>729.12</v>
      </c>
    </row>
    <row r="10446" spans="1:12" x14ac:dyDescent="0.25">
      <c r="A10446" t="str">
        <f t="shared" si="1863"/>
        <v>89301000</v>
      </c>
      <c r="B10446" t="str">
        <f t="shared" si="1866"/>
        <v>06539000</v>
      </c>
      <c r="C10446" t="str">
        <f t="shared" si="1861"/>
        <v>06539003</v>
      </c>
      <c r="D10446">
        <v>89301171</v>
      </c>
      <c r="E10446" t="str">
        <f t="shared" si="1864"/>
        <v>8160155333</v>
      </c>
      <c r="F10446" s="1">
        <v>45141</v>
      </c>
      <c r="G10446" t="str">
        <f t="shared" si="1865"/>
        <v>91413</v>
      </c>
      <c r="H10446">
        <v>1</v>
      </c>
      <c r="I10446">
        <v>868</v>
      </c>
      <c r="J10446">
        <v>0</v>
      </c>
      <c r="K10446" t="str">
        <f t="shared" si="1862"/>
        <v>813</v>
      </c>
      <c r="L10446">
        <v>729.12</v>
      </c>
    </row>
    <row r="10447" spans="1:12" x14ac:dyDescent="0.25">
      <c r="A10447" t="str">
        <f t="shared" si="1863"/>
        <v>89301000</v>
      </c>
      <c r="B10447" t="str">
        <f t="shared" si="1866"/>
        <v>06539000</v>
      </c>
      <c r="C10447" t="str">
        <f t="shared" si="1861"/>
        <v>06539003</v>
      </c>
      <c r="D10447">
        <v>89301171</v>
      </c>
      <c r="E10447" t="str">
        <f t="shared" si="1864"/>
        <v>8160155333</v>
      </c>
      <c r="F10447" s="1">
        <v>45141</v>
      </c>
      <c r="G10447" t="str">
        <f t="shared" si="1865"/>
        <v>91413</v>
      </c>
      <c r="H10447">
        <v>1</v>
      </c>
      <c r="I10447">
        <v>868</v>
      </c>
      <c r="J10447">
        <v>0</v>
      </c>
      <c r="K10447" t="str">
        <f t="shared" si="1862"/>
        <v>813</v>
      </c>
      <c r="L10447">
        <v>729.12</v>
      </c>
    </row>
    <row r="10448" spans="1:12" x14ac:dyDescent="0.25">
      <c r="A10448" t="str">
        <f t="shared" si="1863"/>
        <v>89301000</v>
      </c>
      <c r="B10448" t="str">
        <f t="shared" si="1866"/>
        <v>06539000</v>
      </c>
      <c r="C10448" t="str">
        <f t="shared" si="1861"/>
        <v>06539003</v>
      </c>
      <c r="D10448">
        <v>89301171</v>
      </c>
      <c r="E10448" t="str">
        <f t="shared" si="1864"/>
        <v>8160155333</v>
      </c>
      <c r="F10448" s="1">
        <v>45141</v>
      </c>
      <c r="G10448" t="str">
        <f t="shared" si="1865"/>
        <v>91413</v>
      </c>
      <c r="H10448">
        <v>1</v>
      </c>
      <c r="I10448">
        <v>868</v>
      </c>
      <c r="J10448">
        <v>0</v>
      </c>
      <c r="K10448" t="str">
        <f t="shared" si="1862"/>
        <v>813</v>
      </c>
      <c r="L10448">
        <v>729.12</v>
      </c>
    </row>
    <row r="10449" spans="1:12" x14ac:dyDescent="0.25">
      <c r="A10449" t="str">
        <f t="shared" si="1863"/>
        <v>89301000</v>
      </c>
      <c r="B10449" t="str">
        <f t="shared" si="1866"/>
        <v>06539000</v>
      </c>
      <c r="C10449" t="str">
        <f t="shared" si="1861"/>
        <v>06539003</v>
      </c>
      <c r="D10449">
        <v>89301171</v>
      </c>
      <c r="E10449" t="str">
        <f t="shared" si="1864"/>
        <v>8160155333</v>
      </c>
      <c r="F10449" s="1">
        <v>45124</v>
      </c>
      <c r="G10449" t="str">
        <f t="shared" ref="G10449:G10454" si="1867">"91197"</f>
        <v>91197</v>
      </c>
      <c r="H10449">
        <v>1</v>
      </c>
      <c r="I10449">
        <v>1048</v>
      </c>
      <c r="J10449">
        <v>0</v>
      </c>
      <c r="K10449" t="str">
        <f t="shared" si="1862"/>
        <v>813</v>
      </c>
      <c r="L10449">
        <v>880.32</v>
      </c>
    </row>
    <row r="10450" spans="1:12" x14ac:dyDescent="0.25">
      <c r="A10450" t="str">
        <f t="shared" si="1863"/>
        <v>89301000</v>
      </c>
      <c r="B10450" t="str">
        <f t="shared" si="1866"/>
        <v>06539000</v>
      </c>
      <c r="C10450" t="str">
        <f t="shared" si="1861"/>
        <v>06539003</v>
      </c>
      <c r="D10450">
        <v>89301171</v>
      </c>
      <c r="E10450" t="str">
        <f t="shared" si="1864"/>
        <v>8160155333</v>
      </c>
      <c r="F10450" s="1">
        <v>45124</v>
      </c>
      <c r="G10450" t="str">
        <f t="shared" si="1867"/>
        <v>91197</v>
      </c>
      <c r="H10450">
        <v>1</v>
      </c>
      <c r="I10450">
        <v>1048</v>
      </c>
      <c r="J10450">
        <v>0</v>
      </c>
      <c r="K10450" t="str">
        <f t="shared" si="1862"/>
        <v>813</v>
      </c>
      <c r="L10450">
        <v>880.32</v>
      </c>
    </row>
    <row r="10451" spans="1:12" x14ac:dyDescent="0.25">
      <c r="A10451" t="str">
        <f t="shared" si="1863"/>
        <v>89301000</v>
      </c>
      <c r="B10451" t="str">
        <f t="shared" si="1866"/>
        <v>06539000</v>
      </c>
      <c r="C10451" t="str">
        <f t="shared" si="1861"/>
        <v>06539003</v>
      </c>
      <c r="D10451">
        <v>89301171</v>
      </c>
      <c r="E10451" t="str">
        <f t="shared" si="1864"/>
        <v>8160155333</v>
      </c>
      <c r="F10451" s="1">
        <v>45123</v>
      </c>
      <c r="G10451" t="str">
        <f t="shared" si="1867"/>
        <v>91197</v>
      </c>
      <c r="H10451">
        <v>1</v>
      </c>
      <c r="I10451">
        <v>1048</v>
      </c>
      <c r="J10451">
        <v>0</v>
      </c>
      <c r="K10451" t="str">
        <f t="shared" si="1862"/>
        <v>813</v>
      </c>
      <c r="L10451">
        <v>880.32</v>
      </c>
    </row>
    <row r="10452" spans="1:12" x14ac:dyDescent="0.25">
      <c r="A10452" t="str">
        <f t="shared" si="1863"/>
        <v>89301000</v>
      </c>
      <c r="B10452" t="str">
        <f t="shared" si="1866"/>
        <v>06539000</v>
      </c>
      <c r="C10452" t="str">
        <f t="shared" si="1861"/>
        <v>06539003</v>
      </c>
      <c r="D10452">
        <v>89301171</v>
      </c>
      <c r="E10452" t="str">
        <f t="shared" si="1864"/>
        <v>8160155333</v>
      </c>
      <c r="F10452" s="1">
        <v>45123</v>
      </c>
      <c r="G10452" t="str">
        <f t="shared" si="1867"/>
        <v>91197</v>
      </c>
      <c r="H10452">
        <v>1</v>
      </c>
      <c r="I10452">
        <v>1048</v>
      </c>
      <c r="J10452">
        <v>0</v>
      </c>
      <c r="K10452" t="str">
        <f t="shared" si="1862"/>
        <v>813</v>
      </c>
      <c r="L10452">
        <v>880.32</v>
      </c>
    </row>
    <row r="10453" spans="1:12" x14ac:dyDescent="0.25">
      <c r="A10453" t="str">
        <f t="shared" si="1863"/>
        <v>89301000</v>
      </c>
      <c r="B10453" t="str">
        <f t="shared" si="1866"/>
        <v>06539000</v>
      </c>
      <c r="C10453" t="str">
        <f t="shared" si="1861"/>
        <v>06539003</v>
      </c>
      <c r="D10453">
        <v>89301171</v>
      </c>
      <c r="E10453" t="str">
        <f t="shared" si="1864"/>
        <v>8160155333</v>
      </c>
      <c r="F10453" s="1">
        <v>45122</v>
      </c>
      <c r="G10453" t="str">
        <f t="shared" si="1867"/>
        <v>91197</v>
      </c>
      <c r="H10453">
        <v>1</v>
      </c>
      <c r="I10453">
        <v>1048</v>
      </c>
      <c r="J10453">
        <v>0</v>
      </c>
      <c r="K10453" t="str">
        <f t="shared" si="1862"/>
        <v>813</v>
      </c>
      <c r="L10453">
        <v>880.32</v>
      </c>
    </row>
    <row r="10454" spans="1:12" x14ac:dyDescent="0.25">
      <c r="A10454" t="str">
        <f t="shared" si="1863"/>
        <v>89301000</v>
      </c>
      <c r="B10454" t="str">
        <f t="shared" si="1866"/>
        <v>06539000</v>
      </c>
      <c r="C10454" t="str">
        <f t="shared" si="1861"/>
        <v>06539003</v>
      </c>
      <c r="D10454">
        <v>89301171</v>
      </c>
      <c r="E10454" t="str">
        <f t="shared" si="1864"/>
        <v>8160155333</v>
      </c>
      <c r="F10454" s="1">
        <v>45122</v>
      </c>
      <c r="G10454" t="str">
        <f t="shared" si="1867"/>
        <v>91197</v>
      </c>
      <c r="H10454">
        <v>1</v>
      </c>
      <c r="I10454">
        <v>1048</v>
      </c>
      <c r="J10454">
        <v>0</v>
      </c>
      <c r="K10454" t="str">
        <f t="shared" si="1862"/>
        <v>813</v>
      </c>
      <c r="L10454">
        <v>880.32</v>
      </c>
    </row>
    <row r="10455" spans="1:12" x14ac:dyDescent="0.25">
      <c r="A10455" t="str">
        <f t="shared" si="1863"/>
        <v>89301000</v>
      </c>
      <c r="B10455" t="str">
        <f t="shared" si="1866"/>
        <v>06539000</v>
      </c>
      <c r="C10455" t="str">
        <f t="shared" ref="C10455:C10486" si="1868">"06539003"</f>
        <v>06539003</v>
      </c>
      <c r="D10455">
        <v>89301171</v>
      </c>
      <c r="E10455" t="str">
        <f t="shared" si="1864"/>
        <v>8160155333</v>
      </c>
      <c r="F10455" s="1">
        <v>45124</v>
      </c>
      <c r="G10455" t="str">
        <f>"91329"</f>
        <v>91329</v>
      </c>
      <c r="H10455">
        <v>2</v>
      </c>
      <c r="I10455">
        <v>436</v>
      </c>
      <c r="J10455">
        <v>0</v>
      </c>
      <c r="K10455" t="str">
        <f t="shared" ref="K10455:K10486" si="1869">"813"</f>
        <v>813</v>
      </c>
      <c r="L10455">
        <v>366.24</v>
      </c>
    </row>
    <row r="10456" spans="1:12" x14ac:dyDescent="0.25">
      <c r="A10456" t="str">
        <f t="shared" si="1863"/>
        <v>89301000</v>
      </c>
      <c r="B10456" t="str">
        <f t="shared" si="1866"/>
        <v>06539000</v>
      </c>
      <c r="C10456" t="str">
        <f t="shared" si="1868"/>
        <v>06539003</v>
      </c>
      <c r="D10456">
        <v>89301171</v>
      </c>
      <c r="E10456" t="str">
        <f t="shared" si="1864"/>
        <v>8160155333</v>
      </c>
      <c r="F10456" s="1">
        <v>45124</v>
      </c>
      <c r="G10456" t="str">
        <f>"91329"</f>
        <v>91329</v>
      </c>
      <c r="H10456">
        <v>2</v>
      </c>
      <c r="I10456">
        <v>436</v>
      </c>
      <c r="J10456">
        <v>0</v>
      </c>
      <c r="K10456" t="str">
        <f t="shared" si="1869"/>
        <v>813</v>
      </c>
      <c r="L10456">
        <v>366.24</v>
      </c>
    </row>
    <row r="10457" spans="1:12" x14ac:dyDescent="0.25">
      <c r="A10457" t="str">
        <f t="shared" si="1863"/>
        <v>89301000</v>
      </c>
      <c r="B10457" t="str">
        <f t="shared" si="1866"/>
        <v>06539000</v>
      </c>
      <c r="C10457" t="str">
        <f t="shared" si="1868"/>
        <v>06539003</v>
      </c>
      <c r="D10457">
        <v>89301171</v>
      </c>
      <c r="E10457" t="str">
        <f t="shared" si="1864"/>
        <v>8160155333</v>
      </c>
      <c r="F10457" s="1">
        <v>45124</v>
      </c>
      <c r="G10457" t="str">
        <f>"91329"</f>
        <v>91329</v>
      </c>
      <c r="H10457">
        <v>2</v>
      </c>
      <c r="I10457">
        <v>436</v>
      </c>
      <c r="J10457">
        <v>0</v>
      </c>
      <c r="K10457" t="str">
        <f t="shared" si="1869"/>
        <v>813</v>
      </c>
      <c r="L10457">
        <v>366.24</v>
      </c>
    </row>
    <row r="10458" spans="1:12" x14ac:dyDescent="0.25">
      <c r="A10458" t="str">
        <f t="shared" si="1863"/>
        <v>89301000</v>
      </c>
      <c r="B10458" t="str">
        <f t="shared" si="1866"/>
        <v>06539000</v>
      </c>
      <c r="C10458" t="str">
        <f t="shared" si="1868"/>
        <v>06539003</v>
      </c>
      <c r="D10458">
        <v>89301171</v>
      </c>
      <c r="E10458" t="str">
        <f t="shared" si="1864"/>
        <v>8160155333</v>
      </c>
      <c r="F10458" s="1">
        <v>45124</v>
      </c>
      <c r="G10458" t="str">
        <f>"91329"</f>
        <v>91329</v>
      </c>
      <c r="H10458">
        <v>2</v>
      </c>
      <c r="I10458">
        <v>436</v>
      </c>
      <c r="J10458">
        <v>0</v>
      </c>
      <c r="K10458" t="str">
        <f t="shared" si="1869"/>
        <v>813</v>
      </c>
      <c r="L10458">
        <v>366.24</v>
      </c>
    </row>
    <row r="10459" spans="1:12" x14ac:dyDescent="0.25">
      <c r="A10459" t="str">
        <f t="shared" si="1863"/>
        <v>89301000</v>
      </c>
      <c r="B10459" t="str">
        <f t="shared" si="1866"/>
        <v>06539000</v>
      </c>
      <c r="C10459" t="str">
        <f t="shared" si="1868"/>
        <v>06539003</v>
      </c>
      <c r="D10459">
        <v>89301171</v>
      </c>
      <c r="E10459" t="str">
        <f t="shared" si="1864"/>
        <v>8160155333</v>
      </c>
      <c r="F10459" s="1">
        <v>45125</v>
      </c>
      <c r="G10459" t="str">
        <f>"91129"</f>
        <v>91129</v>
      </c>
      <c r="H10459">
        <v>1</v>
      </c>
      <c r="I10459">
        <v>175</v>
      </c>
      <c r="J10459">
        <v>0</v>
      </c>
      <c r="K10459" t="str">
        <f t="shared" si="1869"/>
        <v>813</v>
      </c>
      <c r="L10459">
        <v>147</v>
      </c>
    </row>
    <row r="10460" spans="1:12" x14ac:dyDescent="0.25">
      <c r="A10460" t="str">
        <f t="shared" si="1863"/>
        <v>89301000</v>
      </c>
      <c r="B10460" t="str">
        <f t="shared" si="1866"/>
        <v>06539000</v>
      </c>
      <c r="C10460" t="str">
        <f t="shared" si="1868"/>
        <v>06539003</v>
      </c>
      <c r="D10460">
        <v>89301171</v>
      </c>
      <c r="E10460" t="str">
        <f t="shared" si="1864"/>
        <v>8160155333</v>
      </c>
      <c r="F10460" s="1">
        <v>45125</v>
      </c>
      <c r="G10460" t="str">
        <f>"91131"</f>
        <v>91131</v>
      </c>
      <c r="H10460">
        <v>1</v>
      </c>
      <c r="I10460">
        <v>171</v>
      </c>
      <c r="J10460">
        <v>0</v>
      </c>
      <c r="K10460" t="str">
        <f t="shared" si="1869"/>
        <v>813</v>
      </c>
      <c r="L10460">
        <v>143.63999999999999</v>
      </c>
    </row>
    <row r="10461" spans="1:12" x14ac:dyDescent="0.25">
      <c r="A10461" t="str">
        <f t="shared" si="1863"/>
        <v>89301000</v>
      </c>
      <c r="B10461" t="str">
        <f t="shared" si="1866"/>
        <v>06539000</v>
      </c>
      <c r="C10461" t="str">
        <f t="shared" si="1868"/>
        <v>06539003</v>
      </c>
      <c r="D10461">
        <v>89301171</v>
      </c>
      <c r="E10461" t="str">
        <f t="shared" si="1864"/>
        <v>8160155333</v>
      </c>
      <c r="F10461" s="1">
        <v>45125</v>
      </c>
      <c r="G10461" t="str">
        <f>"91133"</f>
        <v>91133</v>
      </c>
      <c r="H10461">
        <v>1</v>
      </c>
      <c r="I10461">
        <v>177</v>
      </c>
      <c r="J10461">
        <v>0</v>
      </c>
      <c r="K10461" t="str">
        <f t="shared" si="1869"/>
        <v>813</v>
      </c>
      <c r="L10461">
        <v>148.68</v>
      </c>
    </row>
    <row r="10462" spans="1:12" x14ac:dyDescent="0.25">
      <c r="A10462" t="str">
        <f t="shared" si="1863"/>
        <v>89301000</v>
      </c>
      <c r="B10462" t="str">
        <f t="shared" si="1866"/>
        <v>06539000</v>
      </c>
      <c r="C10462" t="str">
        <f t="shared" si="1868"/>
        <v>06539003</v>
      </c>
      <c r="D10462">
        <v>89301171</v>
      </c>
      <c r="E10462" t="str">
        <f t="shared" si="1864"/>
        <v>8160155333</v>
      </c>
      <c r="F10462" s="1">
        <v>45125</v>
      </c>
      <c r="G10462" t="str">
        <f>"91171"</f>
        <v>91171</v>
      </c>
      <c r="H10462">
        <v>1</v>
      </c>
      <c r="I10462">
        <v>362</v>
      </c>
      <c r="J10462">
        <v>0</v>
      </c>
      <c r="K10462" t="str">
        <f t="shared" si="1869"/>
        <v>813</v>
      </c>
      <c r="L10462">
        <v>304.08</v>
      </c>
    </row>
    <row r="10463" spans="1:12" x14ac:dyDescent="0.25">
      <c r="A10463" t="str">
        <f t="shared" si="1863"/>
        <v>89301000</v>
      </c>
      <c r="B10463" t="str">
        <f t="shared" si="1866"/>
        <v>06539000</v>
      </c>
      <c r="C10463" t="str">
        <f t="shared" si="1868"/>
        <v>06539003</v>
      </c>
      <c r="D10463">
        <v>89301171</v>
      </c>
      <c r="E10463" t="str">
        <f t="shared" si="1864"/>
        <v>8160155333</v>
      </c>
      <c r="F10463" s="1">
        <v>45125</v>
      </c>
      <c r="G10463" t="str">
        <f>"91175"</f>
        <v>91175</v>
      </c>
      <c r="H10463">
        <v>1</v>
      </c>
      <c r="I10463">
        <v>362</v>
      </c>
      <c r="J10463">
        <v>0</v>
      </c>
      <c r="K10463" t="str">
        <f t="shared" si="1869"/>
        <v>813</v>
      </c>
      <c r="L10463">
        <v>304.08</v>
      </c>
    </row>
    <row r="10464" spans="1:12" x14ac:dyDescent="0.25">
      <c r="A10464" t="str">
        <f t="shared" si="1863"/>
        <v>89301000</v>
      </c>
      <c r="B10464" t="str">
        <f t="shared" si="1866"/>
        <v>06539000</v>
      </c>
      <c r="C10464" t="str">
        <f t="shared" si="1868"/>
        <v>06539003</v>
      </c>
      <c r="D10464">
        <v>89301171</v>
      </c>
      <c r="E10464" t="str">
        <f t="shared" si="1864"/>
        <v>8160155333</v>
      </c>
      <c r="F10464" s="1">
        <v>45122</v>
      </c>
      <c r="G10464" t="str">
        <f>"91167"</f>
        <v>91167</v>
      </c>
      <c r="H10464">
        <v>1</v>
      </c>
      <c r="I10464">
        <v>426</v>
      </c>
      <c r="J10464">
        <v>0</v>
      </c>
      <c r="K10464" t="str">
        <f t="shared" si="1869"/>
        <v>813</v>
      </c>
      <c r="L10464">
        <v>357.84</v>
      </c>
    </row>
    <row r="10465" spans="1:12" x14ac:dyDescent="0.25">
      <c r="A10465" t="str">
        <f t="shared" si="1863"/>
        <v>89301000</v>
      </c>
      <c r="B10465" t="str">
        <f t="shared" si="1866"/>
        <v>06539000</v>
      </c>
      <c r="C10465" t="str">
        <f t="shared" si="1868"/>
        <v>06539003</v>
      </c>
      <c r="D10465">
        <v>89301171</v>
      </c>
      <c r="E10465" t="str">
        <f t="shared" si="1864"/>
        <v>8160155333</v>
      </c>
      <c r="F10465" s="1">
        <v>45122</v>
      </c>
      <c r="G10465" t="str">
        <f>"91169"</f>
        <v>91169</v>
      </c>
      <c r="H10465">
        <v>1</v>
      </c>
      <c r="I10465">
        <v>426</v>
      </c>
      <c r="J10465">
        <v>0</v>
      </c>
      <c r="K10465" t="str">
        <f t="shared" si="1869"/>
        <v>813</v>
      </c>
      <c r="L10465">
        <v>357.84</v>
      </c>
    </row>
    <row r="10466" spans="1:12" x14ac:dyDescent="0.25">
      <c r="A10466" t="str">
        <f t="shared" si="1863"/>
        <v>89301000</v>
      </c>
      <c r="B10466" t="str">
        <f t="shared" si="1866"/>
        <v>06539000</v>
      </c>
      <c r="C10466" t="str">
        <f t="shared" si="1868"/>
        <v>06539003</v>
      </c>
      <c r="D10466">
        <v>89301171</v>
      </c>
      <c r="E10466" t="str">
        <f t="shared" si="1864"/>
        <v>8160155333</v>
      </c>
      <c r="F10466" s="1">
        <v>45127</v>
      </c>
      <c r="G10466" t="str">
        <f>"91475"</f>
        <v>91475</v>
      </c>
      <c r="H10466">
        <v>1</v>
      </c>
      <c r="I10466">
        <v>213</v>
      </c>
      <c r="J10466">
        <v>0</v>
      </c>
      <c r="K10466" t="str">
        <f t="shared" si="1869"/>
        <v>813</v>
      </c>
      <c r="L10466">
        <v>178.92</v>
      </c>
    </row>
    <row r="10467" spans="1:12" x14ac:dyDescent="0.25">
      <c r="A10467" t="str">
        <f t="shared" si="1863"/>
        <v>89301000</v>
      </c>
      <c r="B10467" t="str">
        <f t="shared" si="1866"/>
        <v>06539000</v>
      </c>
      <c r="C10467" t="str">
        <f t="shared" si="1868"/>
        <v>06539003</v>
      </c>
      <c r="D10467">
        <v>89301171</v>
      </c>
      <c r="E10467" t="str">
        <f t="shared" ref="E10467:E10494" si="1870">"9654095715"</f>
        <v>9654095715</v>
      </c>
      <c r="F10467" s="1">
        <v>45128</v>
      </c>
      <c r="G10467" t="str">
        <f t="shared" ref="G10467:G10476" si="1871">"91413"</f>
        <v>91413</v>
      </c>
      <c r="H10467">
        <v>1</v>
      </c>
      <c r="I10467">
        <v>868</v>
      </c>
      <c r="J10467">
        <v>0</v>
      </c>
      <c r="K10467" t="str">
        <f t="shared" si="1869"/>
        <v>813</v>
      </c>
      <c r="L10467">
        <v>729.12</v>
      </c>
    </row>
    <row r="10468" spans="1:12" x14ac:dyDescent="0.25">
      <c r="A10468" t="str">
        <f t="shared" si="1863"/>
        <v>89301000</v>
      </c>
      <c r="B10468" t="str">
        <f t="shared" si="1866"/>
        <v>06539000</v>
      </c>
      <c r="C10468" t="str">
        <f t="shared" si="1868"/>
        <v>06539003</v>
      </c>
      <c r="D10468">
        <v>89301171</v>
      </c>
      <c r="E10468" t="str">
        <f t="shared" si="1870"/>
        <v>9654095715</v>
      </c>
      <c r="F10468" s="1">
        <v>45128</v>
      </c>
      <c r="G10468" t="str">
        <f t="shared" si="1871"/>
        <v>91413</v>
      </c>
      <c r="H10468">
        <v>1</v>
      </c>
      <c r="I10468">
        <v>868</v>
      </c>
      <c r="J10468">
        <v>0</v>
      </c>
      <c r="K10468" t="str">
        <f t="shared" si="1869"/>
        <v>813</v>
      </c>
      <c r="L10468">
        <v>729.12</v>
      </c>
    </row>
    <row r="10469" spans="1:12" x14ac:dyDescent="0.25">
      <c r="A10469" t="str">
        <f t="shared" si="1863"/>
        <v>89301000</v>
      </c>
      <c r="B10469" t="str">
        <f t="shared" si="1866"/>
        <v>06539000</v>
      </c>
      <c r="C10469" t="str">
        <f t="shared" si="1868"/>
        <v>06539003</v>
      </c>
      <c r="D10469">
        <v>89301171</v>
      </c>
      <c r="E10469" t="str">
        <f t="shared" si="1870"/>
        <v>9654095715</v>
      </c>
      <c r="F10469" s="1">
        <v>45141</v>
      </c>
      <c r="G10469" t="str">
        <f t="shared" si="1871"/>
        <v>91413</v>
      </c>
      <c r="H10469">
        <v>1</v>
      </c>
      <c r="I10469">
        <v>868</v>
      </c>
      <c r="J10469">
        <v>0</v>
      </c>
      <c r="K10469" t="str">
        <f t="shared" si="1869"/>
        <v>813</v>
      </c>
      <c r="L10469">
        <v>729.12</v>
      </c>
    </row>
    <row r="10470" spans="1:12" x14ac:dyDescent="0.25">
      <c r="A10470" t="str">
        <f t="shared" si="1863"/>
        <v>89301000</v>
      </c>
      <c r="B10470" t="str">
        <f t="shared" si="1866"/>
        <v>06539000</v>
      </c>
      <c r="C10470" t="str">
        <f t="shared" si="1868"/>
        <v>06539003</v>
      </c>
      <c r="D10470">
        <v>89301171</v>
      </c>
      <c r="E10470" t="str">
        <f t="shared" si="1870"/>
        <v>9654095715</v>
      </c>
      <c r="F10470" s="1">
        <v>45141</v>
      </c>
      <c r="G10470" t="str">
        <f t="shared" si="1871"/>
        <v>91413</v>
      </c>
      <c r="H10470">
        <v>1</v>
      </c>
      <c r="I10470">
        <v>868</v>
      </c>
      <c r="J10470">
        <v>0</v>
      </c>
      <c r="K10470" t="str">
        <f t="shared" si="1869"/>
        <v>813</v>
      </c>
      <c r="L10470">
        <v>729.12</v>
      </c>
    </row>
    <row r="10471" spans="1:12" x14ac:dyDescent="0.25">
      <c r="A10471" t="str">
        <f t="shared" si="1863"/>
        <v>89301000</v>
      </c>
      <c r="B10471" t="str">
        <f t="shared" si="1866"/>
        <v>06539000</v>
      </c>
      <c r="C10471" t="str">
        <f t="shared" si="1868"/>
        <v>06539003</v>
      </c>
      <c r="D10471">
        <v>89301171</v>
      </c>
      <c r="E10471" t="str">
        <f t="shared" si="1870"/>
        <v>9654095715</v>
      </c>
      <c r="F10471" s="1">
        <v>45140</v>
      </c>
      <c r="G10471" t="str">
        <f t="shared" si="1871"/>
        <v>91413</v>
      </c>
      <c r="H10471">
        <v>1</v>
      </c>
      <c r="I10471">
        <v>868</v>
      </c>
      <c r="J10471">
        <v>0</v>
      </c>
      <c r="K10471" t="str">
        <f t="shared" si="1869"/>
        <v>813</v>
      </c>
      <c r="L10471">
        <v>729.12</v>
      </c>
    </row>
    <row r="10472" spans="1:12" x14ac:dyDescent="0.25">
      <c r="A10472" t="str">
        <f t="shared" si="1863"/>
        <v>89301000</v>
      </c>
      <c r="B10472" t="str">
        <f t="shared" si="1866"/>
        <v>06539000</v>
      </c>
      <c r="C10472" t="str">
        <f t="shared" si="1868"/>
        <v>06539003</v>
      </c>
      <c r="D10472">
        <v>89301171</v>
      </c>
      <c r="E10472" t="str">
        <f t="shared" si="1870"/>
        <v>9654095715</v>
      </c>
      <c r="F10472" s="1">
        <v>45140</v>
      </c>
      <c r="G10472" t="str">
        <f t="shared" si="1871"/>
        <v>91413</v>
      </c>
      <c r="H10472">
        <v>1</v>
      </c>
      <c r="I10472">
        <v>868</v>
      </c>
      <c r="J10472">
        <v>0</v>
      </c>
      <c r="K10472" t="str">
        <f t="shared" si="1869"/>
        <v>813</v>
      </c>
      <c r="L10472">
        <v>729.12</v>
      </c>
    </row>
    <row r="10473" spans="1:12" x14ac:dyDescent="0.25">
      <c r="A10473" t="str">
        <f t="shared" si="1863"/>
        <v>89301000</v>
      </c>
      <c r="B10473" t="str">
        <f t="shared" si="1866"/>
        <v>06539000</v>
      </c>
      <c r="C10473" t="str">
        <f t="shared" si="1868"/>
        <v>06539003</v>
      </c>
      <c r="D10473">
        <v>89301171</v>
      </c>
      <c r="E10473" t="str">
        <f t="shared" si="1870"/>
        <v>9654095715</v>
      </c>
      <c r="F10473" s="1">
        <v>45141</v>
      </c>
      <c r="G10473" t="str">
        <f t="shared" si="1871"/>
        <v>91413</v>
      </c>
      <c r="H10473">
        <v>1</v>
      </c>
      <c r="I10473">
        <v>868</v>
      </c>
      <c r="J10473">
        <v>0</v>
      </c>
      <c r="K10473" t="str">
        <f t="shared" si="1869"/>
        <v>813</v>
      </c>
      <c r="L10473">
        <v>729.12</v>
      </c>
    </row>
    <row r="10474" spans="1:12" x14ac:dyDescent="0.25">
      <c r="A10474" t="str">
        <f t="shared" si="1863"/>
        <v>89301000</v>
      </c>
      <c r="B10474" t="str">
        <f t="shared" si="1866"/>
        <v>06539000</v>
      </c>
      <c r="C10474" t="str">
        <f t="shared" si="1868"/>
        <v>06539003</v>
      </c>
      <c r="D10474">
        <v>89301171</v>
      </c>
      <c r="E10474" t="str">
        <f t="shared" si="1870"/>
        <v>9654095715</v>
      </c>
      <c r="F10474" s="1">
        <v>45141</v>
      </c>
      <c r="G10474" t="str">
        <f t="shared" si="1871"/>
        <v>91413</v>
      </c>
      <c r="H10474">
        <v>1</v>
      </c>
      <c r="I10474">
        <v>868</v>
      </c>
      <c r="J10474">
        <v>0</v>
      </c>
      <c r="K10474" t="str">
        <f t="shared" si="1869"/>
        <v>813</v>
      </c>
      <c r="L10474">
        <v>729.12</v>
      </c>
    </row>
    <row r="10475" spans="1:12" x14ac:dyDescent="0.25">
      <c r="A10475" t="str">
        <f t="shared" si="1863"/>
        <v>89301000</v>
      </c>
      <c r="B10475" t="str">
        <f t="shared" si="1866"/>
        <v>06539000</v>
      </c>
      <c r="C10475" t="str">
        <f t="shared" si="1868"/>
        <v>06539003</v>
      </c>
      <c r="D10475">
        <v>89301171</v>
      </c>
      <c r="E10475" t="str">
        <f t="shared" si="1870"/>
        <v>9654095715</v>
      </c>
      <c r="F10475" s="1">
        <v>45141</v>
      </c>
      <c r="G10475" t="str">
        <f t="shared" si="1871"/>
        <v>91413</v>
      </c>
      <c r="H10475">
        <v>1</v>
      </c>
      <c r="I10475">
        <v>868</v>
      </c>
      <c r="J10475">
        <v>0</v>
      </c>
      <c r="K10475" t="str">
        <f t="shared" si="1869"/>
        <v>813</v>
      </c>
      <c r="L10475">
        <v>729.12</v>
      </c>
    </row>
    <row r="10476" spans="1:12" x14ac:dyDescent="0.25">
      <c r="A10476" t="str">
        <f t="shared" si="1863"/>
        <v>89301000</v>
      </c>
      <c r="B10476" t="str">
        <f t="shared" si="1866"/>
        <v>06539000</v>
      </c>
      <c r="C10476" t="str">
        <f t="shared" si="1868"/>
        <v>06539003</v>
      </c>
      <c r="D10476">
        <v>89301171</v>
      </c>
      <c r="E10476" t="str">
        <f t="shared" si="1870"/>
        <v>9654095715</v>
      </c>
      <c r="F10476" s="1">
        <v>45141</v>
      </c>
      <c r="G10476" t="str">
        <f t="shared" si="1871"/>
        <v>91413</v>
      </c>
      <c r="H10476">
        <v>1</v>
      </c>
      <c r="I10476">
        <v>868</v>
      </c>
      <c r="J10476">
        <v>0</v>
      </c>
      <c r="K10476" t="str">
        <f t="shared" si="1869"/>
        <v>813</v>
      </c>
      <c r="L10476">
        <v>729.12</v>
      </c>
    </row>
    <row r="10477" spans="1:12" x14ac:dyDescent="0.25">
      <c r="A10477" t="str">
        <f t="shared" si="1863"/>
        <v>89301000</v>
      </c>
      <c r="B10477" t="str">
        <f t="shared" si="1866"/>
        <v>06539000</v>
      </c>
      <c r="C10477" t="str">
        <f t="shared" si="1868"/>
        <v>06539003</v>
      </c>
      <c r="D10477">
        <v>89301171</v>
      </c>
      <c r="E10477" t="str">
        <f t="shared" si="1870"/>
        <v>9654095715</v>
      </c>
      <c r="F10477" s="1">
        <v>45124</v>
      </c>
      <c r="G10477" t="str">
        <f t="shared" ref="G10477:G10482" si="1872">"91197"</f>
        <v>91197</v>
      </c>
      <c r="H10477">
        <v>1</v>
      </c>
      <c r="I10477">
        <v>1048</v>
      </c>
      <c r="J10477">
        <v>0</v>
      </c>
      <c r="K10477" t="str">
        <f t="shared" si="1869"/>
        <v>813</v>
      </c>
      <c r="L10477">
        <v>880.32</v>
      </c>
    </row>
    <row r="10478" spans="1:12" x14ac:dyDescent="0.25">
      <c r="A10478" t="str">
        <f t="shared" si="1863"/>
        <v>89301000</v>
      </c>
      <c r="B10478" t="str">
        <f t="shared" si="1866"/>
        <v>06539000</v>
      </c>
      <c r="C10478" t="str">
        <f t="shared" si="1868"/>
        <v>06539003</v>
      </c>
      <c r="D10478">
        <v>89301171</v>
      </c>
      <c r="E10478" t="str">
        <f t="shared" si="1870"/>
        <v>9654095715</v>
      </c>
      <c r="F10478" s="1">
        <v>45124</v>
      </c>
      <c r="G10478" t="str">
        <f t="shared" si="1872"/>
        <v>91197</v>
      </c>
      <c r="H10478">
        <v>1</v>
      </c>
      <c r="I10478">
        <v>1048</v>
      </c>
      <c r="J10478">
        <v>0</v>
      </c>
      <c r="K10478" t="str">
        <f t="shared" si="1869"/>
        <v>813</v>
      </c>
      <c r="L10478">
        <v>880.32</v>
      </c>
    </row>
    <row r="10479" spans="1:12" x14ac:dyDescent="0.25">
      <c r="A10479" t="str">
        <f t="shared" si="1863"/>
        <v>89301000</v>
      </c>
      <c r="B10479" t="str">
        <f t="shared" si="1866"/>
        <v>06539000</v>
      </c>
      <c r="C10479" t="str">
        <f t="shared" si="1868"/>
        <v>06539003</v>
      </c>
      <c r="D10479">
        <v>89301171</v>
      </c>
      <c r="E10479" t="str">
        <f t="shared" si="1870"/>
        <v>9654095715</v>
      </c>
      <c r="F10479" s="1">
        <v>45123</v>
      </c>
      <c r="G10479" t="str">
        <f t="shared" si="1872"/>
        <v>91197</v>
      </c>
      <c r="H10479">
        <v>1</v>
      </c>
      <c r="I10479">
        <v>1048</v>
      </c>
      <c r="J10479">
        <v>0</v>
      </c>
      <c r="K10479" t="str">
        <f t="shared" si="1869"/>
        <v>813</v>
      </c>
      <c r="L10479">
        <v>880.32</v>
      </c>
    </row>
    <row r="10480" spans="1:12" x14ac:dyDescent="0.25">
      <c r="A10480" t="str">
        <f t="shared" si="1863"/>
        <v>89301000</v>
      </c>
      <c r="B10480" t="str">
        <f t="shared" si="1866"/>
        <v>06539000</v>
      </c>
      <c r="C10480" t="str">
        <f t="shared" si="1868"/>
        <v>06539003</v>
      </c>
      <c r="D10480">
        <v>89301171</v>
      </c>
      <c r="E10480" t="str">
        <f t="shared" si="1870"/>
        <v>9654095715</v>
      </c>
      <c r="F10480" s="1">
        <v>45123</v>
      </c>
      <c r="G10480" t="str">
        <f t="shared" si="1872"/>
        <v>91197</v>
      </c>
      <c r="H10480">
        <v>1</v>
      </c>
      <c r="I10480">
        <v>1048</v>
      </c>
      <c r="J10480">
        <v>0</v>
      </c>
      <c r="K10480" t="str">
        <f t="shared" si="1869"/>
        <v>813</v>
      </c>
      <c r="L10480">
        <v>880.32</v>
      </c>
    </row>
    <row r="10481" spans="1:12" x14ac:dyDescent="0.25">
      <c r="A10481" t="str">
        <f t="shared" si="1863"/>
        <v>89301000</v>
      </c>
      <c r="B10481" t="str">
        <f t="shared" si="1866"/>
        <v>06539000</v>
      </c>
      <c r="C10481" t="str">
        <f t="shared" si="1868"/>
        <v>06539003</v>
      </c>
      <c r="D10481">
        <v>89301171</v>
      </c>
      <c r="E10481" t="str">
        <f t="shared" si="1870"/>
        <v>9654095715</v>
      </c>
      <c r="F10481" s="1">
        <v>45122</v>
      </c>
      <c r="G10481" t="str">
        <f t="shared" si="1872"/>
        <v>91197</v>
      </c>
      <c r="H10481">
        <v>1</v>
      </c>
      <c r="I10481">
        <v>1048</v>
      </c>
      <c r="J10481">
        <v>0</v>
      </c>
      <c r="K10481" t="str">
        <f t="shared" si="1869"/>
        <v>813</v>
      </c>
      <c r="L10481">
        <v>880.32</v>
      </c>
    </row>
    <row r="10482" spans="1:12" x14ac:dyDescent="0.25">
      <c r="A10482" t="str">
        <f t="shared" si="1863"/>
        <v>89301000</v>
      </c>
      <c r="B10482" t="str">
        <f t="shared" si="1866"/>
        <v>06539000</v>
      </c>
      <c r="C10482" t="str">
        <f t="shared" si="1868"/>
        <v>06539003</v>
      </c>
      <c r="D10482">
        <v>89301171</v>
      </c>
      <c r="E10482" t="str">
        <f t="shared" si="1870"/>
        <v>9654095715</v>
      </c>
      <c r="F10482" s="1">
        <v>45122</v>
      </c>
      <c r="G10482" t="str">
        <f t="shared" si="1872"/>
        <v>91197</v>
      </c>
      <c r="H10482">
        <v>1</v>
      </c>
      <c r="I10482">
        <v>1048</v>
      </c>
      <c r="J10482">
        <v>0</v>
      </c>
      <c r="K10482" t="str">
        <f t="shared" si="1869"/>
        <v>813</v>
      </c>
      <c r="L10482">
        <v>880.32</v>
      </c>
    </row>
    <row r="10483" spans="1:12" x14ac:dyDescent="0.25">
      <c r="A10483" t="str">
        <f t="shared" si="1863"/>
        <v>89301000</v>
      </c>
      <c r="B10483" t="str">
        <f t="shared" si="1866"/>
        <v>06539000</v>
      </c>
      <c r="C10483" t="str">
        <f t="shared" si="1868"/>
        <v>06539003</v>
      </c>
      <c r="D10483">
        <v>89301171</v>
      </c>
      <c r="E10483" t="str">
        <f t="shared" si="1870"/>
        <v>9654095715</v>
      </c>
      <c r="F10483" s="1">
        <v>45141</v>
      </c>
      <c r="G10483" t="str">
        <f>"91329"</f>
        <v>91329</v>
      </c>
      <c r="H10483">
        <v>2</v>
      </c>
      <c r="I10483">
        <v>436</v>
      </c>
      <c r="J10483">
        <v>0</v>
      </c>
      <c r="K10483" t="str">
        <f t="shared" si="1869"/>
        <v>813</v>
      </c>
      <c r="L10483">
        <v>366.24</v>
      </c>
    </row>
    <row r="10484" spans="1:12" x14ac:dyDescent="0.25">
      <c r="A10484" t="str">
        <f t="shared" si="1863"/>
        <v>89301000</v>
      </c>
      <c r="B10484" t="str">
        <f t="shared" si="1866"/>
        <v>06539000</v>
      </c>
      <c r="C10484" t="str">
        <f t="shared" si="1868"/>
        <v>06539003</v>
      </c>
      <c r="D10484">
        <v>89301171</v>
      </c>
      <c r="E10484" t="str">
        <f t="shared" si="1870"/>
        <v>9654095715</v>
      </c>
      <c r="F10484" s="1">
        <v>45141</v>
      </c>
      <c r="G10484" t="str">
        <f>"91329"</f>
        <v>91329</v>
      </c>
      <c r="H10484">
        <v>2</v>
      </c>
      <c r="I10484">
        <v>436</v>
      </c>
      <c r="J10484">
        <v>0</v>
      </c>
      <c r="K10484" t="str">
        <f t="shared" si="1869"/>
        <v>813</v>
      </c>
      <c r="L10484">
        <v>366.24</v>
      </c>
    </row>
    <row r="10485" spans="1:12" x14ac:dyDescent="0.25">
      <c r="A10485" t="str">
        <f t="shared" si="1863"/>
        <v>89301000</v>
      </c>
      <c r="B10485" t="str">
        <f t="shared" si="1866"/>
        <v>06539000</v>
      </c>
      <c r="C10485" t="str">
        <f t="shared" si="1868"/>
        <v>06539003</v>
      </c>
      <c r="D10485">
        <v>89301171</v>
      </c>
      <c r="E10485" t="str">
        <f t="shared" si="1870"/>
        <v>9654095715</v>
      </c>
      <c r="F10485" s="1">
        <v>45141</v>
      </c>
      <c r="G10485" t="str">
        <f>"91329"</f>
        <v>91329</v>
      </c>
      <c r="H10485">
        <v>2</v>
      </c>
      <c r="I10485">
        <v>436</v>
      </c>
      <c r="J10485">
        <v>0</v>
      </c>
      <c r="K10485" t="str">
        <f t="shared" si="1869"/>
        <v>813</v>
      </c>
      <c r="L10485">
        <v>366.24</v>
      </c>
    </row>
    <row r="10486" spans="1:12" x14ac:dyDescent="0.25">
      <c r="A10486" t="str">
        <f t="shared" si="1863"/>
        <v>89301000</v>
      </c>
      <c r="B10486" t="str">
        <f t="shared" si="1866"/>
        <v>06539000</v>
      </c>
      <c r="C10486" t="str">
        <f t="shared" si="1868"/>
        <v>06539003</v>
      </c>
      <c r="D10486">
        <v>89301171</v>
      </c>
      <c r="E10486" t="str">
        <f t="shared" si="1870"/>
        <v>9654095715</v>
      </c>
      <c r="F10486" s="1">
        <v>45141</v>
      </c>
      <c r="G10486" t="str">
        <f>"91329"</f>
        <v>91329</v>
      </c>
      <c r="H10486">
        <v>2</v>
      </c>
      <c r="I10486">
        <v>436</v>
      </c>
      <c r="J10486">
        <v>0</v>
      </c>
      <c r="K10486" t="str">
        <f t="shared" si="1869"/>
        <v>813</v>
      </c>
      <c r="L10486">
        <v>366.24</v>
      </c>
    </row>
    <row r="10487" spans="1:12" x14ac:dyDescent="0.25">
      <c r="A10487" t="str">
        <f t="shared" si="1863"/>
        <v>89301000</v>
      </c>
      <c r="B10487" t="str">
        <f t="shared" si="1866"/>
        <v>06539000</v>
      </c>
      <c r="C10487" t="str">
        <f t="shared" ref="C10487:C10494" si="1873">"06539003"</f>
        <v>06539003</v>
      </c>
      <c r="D10487">
        <v>89301171</v>
      </c>
      <c r="E10487" t="str">
        <f t="shared" si="1870"/>
        <v>9654095715</v>
      </c>
      <c r="F10487" s="1">
        <v>45125</v>
      </c>
      <c r="G10487" t="str">
        <f>"91129"</f>
        <v>91129</v>
      </c>
      <c r="H10487">
        <v>1</v>
      </c>
      <c r="I10487">
        <v>175</v>
      </c>
      <c r="J10487">
        <v>0</v>
      </c>
      <c r="K10487" t="str">
        <f t="shared" ref="K10487:K10494" si="1874">"813"</f>
        <v>813</v>
      </c>
      <c r="L10487">
        <v>147</v>
      </c>
    </row>
    <row r="10488" spans="1:12" x14ac:dyDescent="0.25">
      <c r="A10488" t="str">
        <f t="shared" si="1863"/>
        <v>89301000</v>
      </c>
      <c r="B10488" t="str">
        <f t="shared" si="1866"/>
        <v>06539000</v>
      </c>
      <c r="C10488" t="str">
        <f t="shared" si="1873"/>
        <v>06539003</v>
      </c>
      <c r="D10488">
        <v>89301171</v>
      </c>
      <c r="E10488" t="str">
        <f t="shared" si="1870"/>
        <v>9654095715</v>
      </c>
      <c r="F10488" s="1">
        <v>45125</v>
      </c>
      <c r="G10488" t="str">
        <f>"91131"</f>
        <v>91131</v>
      </c>
      <c r="H10488">
        <v>1</v>
      </c>
      <c r="I10488">
        <v>171</v>
      </c>
      <c r="J10488">
        <v>0</v>
      </c>
      <c r="K10488" t="str">
        <f t="shared" si="1874"/>
        <v>813</v>
      </c>
      <c r="L10488">
        <v>143.63999999999999</v>
      </c>
    </row>
    <row r="10489" spans="1:12" x14ac:dyDescent="0.25">
      <c r="A10489" t="str">
        <f t="shared" si="1863"/>
        <v>89301000</v>
      </c>
      <c r="B10489" t="str">
        <f t="shared" si="1866"/>
        <v>06539000</v>
      </c>
      <c r="C10489" t="str">
        <f t="shared" si="1873"/>
        <v>06539003</v>
      </c>
      <c r="D10489">
        <v>89301171</v>
      </c>
      <c r="E10489" t="str">
        <f t="shared" si="1870"/>
        <v>9654095715</v>
      </c>
      <c r="F10489" s="1">
        <v>45125</v>
      </c>
      <c r="G10489" t="str">
        <f>"91133"</f>
        <v>91133</v>
      </c>
      <c r="H10489">
        <v>1</v>
      </c>
      <c r="I10489">
        <v>177</v>
      </c>
      <c r="J10489">
        <v>0</v>
      </c>
      <c r="K10489" t="str">
        <f t="shared" si="1874"/>
        <v>813</v>
      </c>
      <c r="L10489">
        <v>148.68</v>
      </c>
    </row>
    <row r="10490" spans="1:12" x14ac:dyDescent="0.25">
      <c r="A10490" t="str">
        <f t="shared" si="1863"/>
        <v>89301000</v>
      </c>
      <c r="B10490" t="str">
        <f t="shared" si="1866"/>
        <v>06539000</v>
      </c>
      <c r="C10490" t="str">
        <f t="shared" si="1873"/>
        <v>06539003</v>
      </c>
      <c r="D10490">
        <v>89301171</v>
      </c>
      <c r="E10490" t="str">
        <f t="shared" si="1870"/>
        <v>9654095715</v>
      </c>
      <c r="F10490" s="1">
        <v>45125</v>
      </c>
      <c r="G10490" t="str">
        <f>"91171"</f>
        <v>91171</v>
      </c>
      <c r="H10490">
        <v>1</v>
      </c>
      <c r="I10490">
        <v>362</v>
      </c>
      <c r="J10490">
        <v>0</v>
      </c>
      <c r="K10490" t="str">
        <f t="shared" si="1874"/>
        <v>813</v>
      </c>
      <c r="L10490">
        <v>304.08</v>
      </c>
    </row>
    <row r="10491" spans="1:12" x14ac:dyDescent="0.25">
      <c r="A10491" t="str">
        <f t="shared" si="1863"/>
        <v>89301000</v>
      </c>
      <c r="B10491" t="str">
        <f t="shared" si="1866"/>
        <v>06539000</v>
      </c>
      <c r="C10491" t="str">
        <f t="shared" si="1873"/>
        <v>06539003</v>
      </c>
      <c r="D10491">
        <v>89301171</v>
      </c>
      <c r="E10491" t="str">
        <f t="shared" si="1870"/>
        <v>9654095715</v>
      </c>
      <c r="F10491" s="1">
        <v>45125</v>
      </c>
      <c r="G10491" t="str">
        <f>"91175"</f>
        <v>91175</v>
      </c>
      <c r="H10491">
        <v>1</v>
      </c>
      <c r="I10491">
        <v>362</v>
      </c>
      <c r="J10491">
        <v>0</v>
      </c>
      <c r="K10491" t="str">
        <f t="shared" si="1874"/>
        <v>813</v>
      </c>
      <c r="L10491">
        <v>304.08</v>
      </c>
    </row>
    <row r="10492" spans="1:12" x14ac:dyDescent="0.25">
      <c r="A10492" t="str">
        <f t="shared" si="1863"/>
        <v>89301000</v>
      </c>
      <c r="B10492" t="str">
        <f t="shared" si="1866"/>
        <v>06539000</v>
      </c>
      <c r="C10492" t="str">
        <f t="shared" si="1873"/>
        <v>06539003</v>
      </c>
      <c r="D10492">
        <v>89301171</v>
      </c>
      <c r="E10492" t="str">
        <f t="shared" si="1870"/>
        <v>9654095715</v>
      </c>
      <c r="F10492" s="1">
        <v>45122</v>
      </c>
      <c r="G10492" t="str">
        <f>"91167"</f>
        <v>91167</v>
      </c>
      <c r="H10492">
        <v>1</v>
      </c>
      <c r="I10492">
        <v>426</v>
      </c>
      <c r="J10492">
        <v>0</v>
      </c>
      <c r="K10492" t="str">
        <f t="shared" si="1874"/>
        <v>813</v>
      </c>
      <c r="L10492">
        <v>357.84</v>
      </c>
    </row>
    <row r="10493" spans="1:12" x14ac:dyDescent="0.25">
      <c r="A10493" t="str">
        <f t="shared" si="1863"/>
        <v>89301000</v>
      </c>
      <c r="B10493" t="str">
        <f t="shared" si="1866"/>
        <v>06539000</v>
      </c>
      <c r="C10493" t="str">
        <f t="shared" si="1873"/>
        <v>06539003</v>
      </c>
      <c r="D10493">
        <v>89301171</v>
      </c>
      <c r="E10493" t="str">
        <f t="shared" si="1870"/>
        <v>9654095715</v>
      </c>
      <c r="F10493" s="1">
        <v>45122</v>
      </c>
      <c r="G10493" t="str">
        <f>"91169"</f>
        <v>91169</v>
      </c>
      <c r="H10493">
        <v>1</v>
      </c>
      <c r="I10493">
        <v>426</v>
      </c>
      <c r="J10493">
        <v>0</v>
      </c>
      <c r="K10493" t="str">
        <f t="shared" si="1874"/>
        <v>813</v>
      </c>
      <c r="L10493">
        <v>357.84</v>
      </c>
    </row>
    <row r="10494" spans="1:12" x14ac:dyDescent="0.25">
      <c r="A10494" t="str">
        <f t="shared" si="1863"/>
        <v>89301000</v>
      </c>
      <c r="B10494" t="str">
        <f t="shared" si="1866"/>
        <v>06539000</v>
      </c>
      <c r="C10494" t="str">
        <f t="shared" si="1873"/>
        <v>06539003</v>
      </c>
      <c r="D10494">
        <v>89301171</v>
      </c>
      <c r="E10494" t="str">
        <f t="shared" si="1870"/>
        <v>9654095715</v>
      </c>
      <c r="F10494" s="1">
        <v>45128</v>
      </c>
      <c r="G10494" t="str">
        <f>"91475"</f>
        <v>91475</v>
      </c>
      <c r="H10494">
        <v>1</v>
      </c>
      <c r="I10494">
        <v>213</v>
      </c>
      <c r="J10494">
        <v>0</v>
      </c>
      <c r="K10494" t="str">
        <f t="shared" si="1874"/>
        <v>813</v>
      </c>
      <c r="L10494">
        <v>178.92</v>
      </c>
    </row>
    <row r="10495" spans="1:12" x14ac:dyDescent="0.25">
      <c r="A10495" t="str">
        <f t="shared" si="1863"/>
        <v>89301000</v>
      </c>
      <c r="B10495" t="str">
        <f t="shared" si="1866"/>
        <v>06539000</v>
      </c>
      <c r="C10495" t="str">
        <f>"06539001"</f>
        <v>06539001</v>
      </c>
      <c r="D10495">
        <v>89301031</v>
      </c>
      <c r="E10495" t="str">
        <f>"6459091760"</f>
        <v>6459091760</v>
      </c>
      <c r="F10495" s="1">
        <v>45131</v>
      </c>
      <c r="G10495" t="str">
        <f>"81705"</f>
        <v>81705</v>
      </c>
      <c r="H10495">
        <v>1</v>
      </c>
      <c r="I10495">
        <v>348</v>
      </c>
      <c r="J10495">
        <v>0</v>
      </c>
      <c r="K10495" t="str">
        <f>"801"</f>
        <v>801</v>
      </c>
      <c r="L10495">
        <v>292.32</v>
      </c>
    </row>
    <row r="10496" spans="1:12" x14ac:dyDescent="0.25">
      <c r="A10496" t="str">
        <f t="shared" si="1863"/>
        <v>89301000</v>
      </c>
      <c r="B10496" t="str">
        <f t="shared" si="1866"/>
        <v>06539000</v>
      </c>
      <c r="C10496" t="str">
        <f>"06539001"</f>
        <v>06539001</v>
      </c>
      <c r="D10496">
        <v>89301031</v>
      </c>
      <c r="E10496" t="str">
        <f>"6459091760"</f>
        <v>6459091760</v>
      </c>
      <c r="F10496" s="1">
        <v>45139</v>
      </c>
      <c r="G10496" t="str">
        <f>"81705"</f>
        <v>81705</v>
      </c>
      <c r="H10496">
        <v>1</v>
      </c>
      <c r="I10496">
        <v>348</v>
      </c>
      <c r="J10496">
        <v>0</v>
      </c>
      <c r="K10496" t="str">
        <f>"801"</f>
        <v>801</v>
      </c>
      <c r="L10496">
        <v>292.32</v>
      </c>
    </row>
    <row r="10497" spans="1:12" x14ac:dyDescent="0.25">
      <c r="A10497" t="str">
        <f t="shared" si="1863"/>
        <v>89301000</v>
      </c>
      <c r="B10497" t="str">
        <f t="shared" si="1866"/>
        <v>06539000</v>
      </c>
      <c r="C10497" t="str">
        <f>"06539003"</f>
        <v>06539003</v>
      </c>
      <c r="D10497">
        <v>89301031</v>
      </c>
      <c r="E10497" t="str">
        <f>"6459091760"</f>
        <v>6459091760</v>
      </c>
      <c r="F10497" s="1">
        <v>45131</v>
      </c>
      <c r="G10497" t="str">
        <f>"91329"</f>
        <v>91329</v>
      </c>
      <c r="H10497">
        <v>2</v>
      </c>
      <c r="I10497">
        <v>436</v>
      </c>
      <c r="J10497">
        <v>0</v>
      </c>
      <c r="K10497" t="str">
        <f>"813"</f>
        <v>813</v>
      </c>
      <c r="L10497">
        <v>366.24</v>
      </c>
    </row>
    <row r="10498" spans="1:12" x14ac:dyDescent="0.25">
      <c r="A10498" t="str">
        <f t="shared" ref="A10498:A10561" si="1875">"89301000"</f>
        <v>89301000</v>
      </c>
      <c r="B10498" t="str">
        <f t="shared" si="1866"/>
        <v>06539000</v>
      </c>
      <c r="C10498" t="str">
        <f>"06539003"</f>
        <v>06539003</v>
      </c>
      <c r="D10498">
        <v>89301031</v>
      </c>
      <c r="E10498" t="str">
        <f>"6459091760"</f>
        <v>6459091760</v>
      </c>
      <c r="F10498" s="1">
        <v>45139</v>
      </c>
      <c r="G10498" t="str">
        <f>"91475"</f>
        <v>91475</v>
      </c>
      <c r="H10498">
        <v>1</v>
      </c>
      <c r="I10498">
        <v>213</v>
      </c>
      <c r="J10498">
        <v>0</v>
      </c>
      <c r="K10498" t="str">
        <f>"813"</f>
        <v>813</v>
      </c>
      <c r="L10498">
        <v>178.92</v>
      </c>
    </row>
    <row r="10499" spans="1:12" x14ac:dyDescent="0.25">
      <c r="A10499" t="str">
        <f t="shared" si="1875"/>
        <v>89301000</v>
      </c>
      <c r="B10499" t="str">
        <f t="shared" si="1866"/>
        <v>06539000</v>
      </c>
      <c r="C10499" t="str">
        <f>"06539001"</f>
        <v>06539001</v>
      </c>
      <c r="D10499">
        <v>89301171</v>
      </c>
      <c r="E10499" t="str">
        <f t="shared" ref="E10499:E10540" si="1876">"8707295795"</f>
        <v>8707295795</v>
      </c>
      <c r="F10499" s="1">
        <v>45128</v>
      </c>
      <c r="G10499" t="str">
        <f>"81329"</f>
        <v>81329</v>
      </c>
      <c r="H10499">
        <v>1</v>
      </c>
      <c r="I10499">
        <v>17</v>
      </c>
      <c r="J10499">
        <v>0</v>
      </c>
      <c r="K10499" t="str">
        <f>"801"</f>
        <v>801</v>
      </c>
      <c r="L10499">
        <v>14.28</v>
      </c>
    </row>
    <row r="10500" spans="1:12" x14ac:dyDescent="0.25">
      <c r="A10500" t="str">
        <f t="shared" si="1875"/>
        <v>89301000</v>
      </c>
      <c r="B10500" t="str">
        <f t="shared" si="1866"/>
        <v>06539000</v>
      </c>
      <c r="C10500" t="str">
        <f>"06539001"</f>
        <v>06539001</v>
      </c>
      <c r="D10500">
        <v>89301171</v>
      </c>
      <c r="E10500" t="str">
        <f t="shared" si="1876"/>
        <v>8707295795</v>
      </c>
      <c r="F10500" s="1">
        <v>45128</v>
      </c>
      <c r="G10500" t="str">
        <f>"81331"</f>
        <v>81331</v>
      </c>
      <c r="H10500">
        <v>1</v>
      </c>
      <c r="I10500">
        <v>193</v>
      </c>
      <c r="J10500">
        <v>0</v>
      </c>
      <c r="K10500" t="str">
        <f>"801"</f>
        <v>801</v>
      </c>
      <c r="L10500">
        <v>162.12</v>
      </c>
    </row>
    <row r="10501" spans="1:12" x14ac:dyDescent="0.25">
      <c r="A10501" t="str">
        <f t="shared" si="1875"/>
        <v>89301000</v>
      </c>
      <c r="B10501" t="str">
        <f t="shared" si="1866"/>
        <v>06539000</v>
      </c>
      <c r="C10501" t="str">
        <f t="shared" ref="C10501:C10508" si="1877">"06539002"</f>
        <v>06539002</v>
      </c>
      <c r="D10501">
        <v>89301171</v>
      </c>
      <c r="E10501" t="str">
        <f t="shared" si="1876"/>
        <v>8707295795</v>
      </c>
      <c r="F10501" s="1">
        <v>45128</v>
      </c>
      <c r="G10501" t="str">
        <f t="shared" ref="G10501:G10508" si="1878">"82097"</f>
        <v>82097</v>
      </c>
      <c r="H10501">
        <v>1</v>
      </c>
      <c r="I10501">
        <v>381</v>
      </c>
      <c r="J10501">
        <v>0</v>
      </c>
      <c r="K10501" t="str">
        <f t="shared" ref="K10501:K10508" si="1879">"802"</f>
        <v>802</v>
      </c>
      <c r="L10501">
        <v>369.57</v>
      </c>
    </row>
    <row r="10502" spans="1:12" x14ac:dyDescent="0.25">
      <c r="A10502" t="str">
        <f t="shared" si="1875"/>
        <v>89301000</v>
      </c>
      <c r="B10502" t="str">
        <f t="shared" si="1866"/>
        <v>06539000</v>
      </c>
      <c r="C10502" t="str">
        <f t="shared" si="1877"/>
        <v>06539002</v>
      </c>
      <c r="D10502">
        <v>89301171</v>
      </c>
      <c r="E10502" t="str">
        <f t="shared" si="1876"/>
        <v>8707295795</v>
      </c>
      <c r="F10502" s="1">
        <v>45128</v>
      </c>
      <c r="G10502" t="str">
        <f t="shared" si="1878"/>
        <v>82097</v>
      </c>
      <c r="H10502">
        <v>1</v>
      </c>
      <c r="I10502">
        <v>381</v>
      </c>
      <c r="J10502">
        <v>0</v>
      </c>
      <c r="K10502" t="str">
        <f t="shared" si="1879"/>
        <v>802</v>
      </c>
      <c r="L10502">
        <v>369.57</v>
      </c>
    </row>
    <row r="10503" spans="1:12" x14ac:dyDescent="0.25">
      <c r="A10503" t="str">
        <f t="shared" si="1875"/>
        <v>89301000</v>
      </c>
      <c r="B10503" t="str">
        <f t="shared" si="1866"/>
        <v>06539000</v>
      </c>
      <c r="C10503" t="str">
        <f t="shared" si="1877"/>
        <v>06539002</v>
      </c>
      <c r="D10503">
        <v>89301171</v>
      </c>
      <c r="E10503" t="str">
        <f t="shared" si="1876"/>
        <v>8707295795</v>
      </c>
      <c r="F10503" s="1">
        <v>45128</v>
      </c>
      <c r="G10503" t="str">
        <f t="shared" si="1878"/>
        <v>82097</v>
      </c>
      <c r="H10503">
        <v>1</v>
      </c>
      <c r="I10503">
        <v>381</v>
      </c>
      <c r="J10503">
        <v>0</v>
      </c>
      <c r="K10503" t="str">
        <f t="shared" si="1879"/>
        <v>802</v>
      </c>
      <c r="L10503">
        <v>369.57</v>
      </c>
    </row>
    <row r="10504" spans="1:12" x14ac:dyDescent="0.25">
      <c r="A10504" t="str">
        <f t="shared" si="1875"/>
        <v>89301000</v>
      </c>
      <c r="B10504" t="str">
        <f t="shared" si="1866"/>
        <v>06539000</v>
      </c>
      <c r="C10504" t="str">
        <f t="shared" si="1877"/>
        <v>06539002</v>
      </c>
      <c r="D10504">
        <v>89301171</v>
      </c>
      <c r="E10504" t="str">
        <f t="shared" si="1876"/>
        <v>8707295795</v>
      </c>
      <c r="F10504" s="1">
        <v>45128</v>
      </c>
      <c r="G10504" t="str">
        <f t="shared" si="1878"/>
        <v>82097</v>
      </c>
      <c r="H10504">
        <v>1</v>
      </c>
      <c r="I10504">
        <v>381</v>
      </c>
      <c r="J10504">
        <v>0</v>
      </c>
      <c r="K10504" t="str">
        <f t="shared" si="1879"/>
        <v>802</v>
      </c>
      <c r="L10504">
        <v>369.57</v>
      </c>
    </row>
    <row r="10505" spans="1:12" x14ac:dyDescent="0.25">
      <c r="A10505" t="str">
        <f t="shared" si="1875"/>
        <v>89301000</v>
      </c>
      <c r="B10505" t="str">
        <f t="shared" si="1866"/>
        <v>06539000</v>
      </c>
      <c r="C10505" t="str">
        <f t="shared" si="1877"/>
        <v>06539002</v>
      </c>
      <c r="D10505">
        <v>89301171</v>
      </c>
      <c r="E10505" t="str">
        <f t="shared" si="1876"/>
        <v>8707295795</v>
      </c>
      <c r="F10505" s="1">
        <v>45128</v>
      </c>
      <c r="G10505" t="str">
        <f t="shared" si="1878"/>
        <v>82097</v>
      </c>
      <c r="H10505">
        <v>1</v>
      </c>
      <c r="I10505">
        <v>381</v>
      </c>
      <c r="J10505">
        <v>0</v>
      </c>
      <c r="K10505" t="str">
        <f t="shared" si="1879"/>
        <v>802</v>
      </c>
      <c r="L10505">
        <v>369.57</v>
      </c>
    </row>
    <row r="10506" spans="1:12" x14ac:dyDescent="0.25">
      <c r="A10506" t="str">
        <f t="shared" si="1875"/>
        <v>89301000</v>
      </c>
      <c r="B10506" t="str">
        <f t="shared" si="1866"/>
        <v>06539000</v>
      </c>
      <c r="C10506" t="str">
        <f t="shared" si="1877"/>
        <v>06539002</v>
      </c>
      <c r="D10506">
        <v>89301171</v>
      </c>
      <c r="E10506" t="str">
        <f t="shared" si="1876"/>
        <v>8707295795</v>
      </c>
      <c r="F10506" s="1">
        <v>45128</v>
      </c>
      <c r="G10506" t="str">
        <f t="shared" si="1878"/>
        <v>82097</v>
      </c>
      <c r="H10506">
        <v>1</v>
      </c>
      <c r="I10506">
        <v>381</v>
      </c>
      <c r="J10506">
        <v>0</v>
      </c>
      <c r="K10506" t="str">
        <f t="shared" si="1879"/>
        <v>802</v>
      </c>
      <c r="L10506">
        <v>369.57</v>
      </c>
    </row>
    <row r="10507" spans="1:12" x14ac:dyDescent="0.25">
      <c r="A10507" t="str">
        <f t="shared" si="1875"/>
        <v>89301000</v>
      </c>
      <c r="B10507" t="str">
        <f t="shared" si="1866"/>
        <v>06539000</v>
      </c>
      <c r="C10507" t="str">
        <f t="shared" si="1877"/>
        <v>06539002</v>
      </c>
      <c r="D10507">
        <v>89301171</v>
      </c>
      <c r="E10507" t="str">
        <f t="shared" si="1876"/>
        <v>8707295795</v>
      </c>
      <c r="F10507" s="1">
        <v>45128</v>
      </c>
      <c r="G10507" t="str">
        <f t="shared" si="1878"/>
        <v>82097</v>
      </c>
      <c r="H10507">
        <v>1</v>
      </c>
      <c r="I10507">
        <v>381</v>
      </c>
      <c r="J10507">
        <v>0</v>
      </c>
      <c r="K10507" t="str">
        <f t="shared" si="1879"/>
        <v>802</v>
      </c>
      <c r="L10507">
        <v>369.57</v>
      </c>
    </row>
    <row r="10508" spans="1:12" x14ac:dyDescent="0.25">
      <c r="A10508" t="str">
        <f t="shared" si="1875"/>
        <v>89301000</v>
      </c>
      <c r="B10508" t="str">
        <f t="shared" si="1866"/>
        <v>06539000</v>
      </c>
      <c r="C10508" t="str">
        <f t="shared" si="1877"/>
        <v>06539002</v>
      </c>
      <c r="D10508">
        <v>89301171</v>
      </c>
      <c r="E10508" t="str">
        <f t="shared" si="1876"/>
        <v>8707295795</v>
      </c>
      <c r="F10508" s="1">
        <v>45128</v>
      </c>
      <c r="G10508" t="str">
        <f t="shared" si="1878"/>
        <v>82097</v>
      </c>
      <c r="H10508">
        <v>1</v>
      </c>
      <c r="I10508">
        <v>381</v>
      </c>
      <c r="J10508">
        <v>0</v>
      </c>
      <c r="K10508" t="str">
        <f t="shared" si="1879"/>
        <v>802</v>
      </c>
      <c r="L10508">
        <v>369.57</v>
      </c>
    </row>
    <row r="10509" spans="1:12" x14ac:dyDescent="0.25">
      <c r="A10509" t="str">
        <f t="shared" si="1875"/>
        <v>89301000</v>
      </c>
      <c r="B10509" t="str">
        <f t="shared" ref="B10509:B10572" si="1880">"06539000"</f>
        <v>06539000</v>
      </c>
      <c r="C10509" t="str">
        <f t="shared" ref="C10509:C10540" si="1881">"06539003"</f>
        <v>06539003</v>
      </c>
      <c r="D10509">
        <v>89301171</v>
      </c>
      <c r="E10509" t="str">
        <f t="shared" si="1876"/>
        <v>8707295795</v>
      </c>
      <c r="F10509" s="1">
        <v>45133</v>
      </c>
      <c r="G10509" t="str">
        <f t="shared" ref="G10509:G10518" si="1882">"91413"</f>
        <v>91413</v>
      </c>
      <c r="H10509">
        <v>1</v>
      </c>
      <c r="I10509">
        <v>868</v>
      </c>
      <c r="J10509">
        <v>0</v>
      </c>
      <c r="K10509" t="str">
        <f t="shared" ref="K10509:K10540" si="1883">"813"</f>
        <v>813</v>
      </c>
      <c r="L10509">
        <v>729.12</v>
      </c>
    </row>
    <row r="10510" spans="1:12" x14ac:dyDescent="0.25">
      <c r="A10510" t="str">
        <f t="shared" si="1875"/>
        <v>89301000</v>
      </c>
      <c r="B10510" t="str">
        <f t="shared" si="1880"/>
        <v>06539000</v>
      </c>
      <c r="C10510" t="str">
        <f t="shared" si="1881"/>
        <v>06539003</v>
      </c>
      <c r="D10510">
        <v>89301171</v>
      </c>
      <c r="E10510" t="str">
        <f t="shared" si="1876"/>
        <v>8707295795</v>
      </c>
      <c r="F10510" s="1">
        <v>45133</v>
      </c>
      <c r="G10510" t="str">
        <f t="shared" si="1882"/>
        <v>91413</v>
      </c>
      <c r="H10510">
        <v>1</v>
      </c>
      <c r="I10510">
        <v>868</v>
      </c>
      <c r="J10510">
        <v>0</v>
      </c>
      <c r="K10510" t="str">
        <f t="shared" si="1883"/>
        <v>813</v>
      </c>
      <c r="L10510">
        <v>729.12</v>
      </c>
    </row>
    <row r="10511" spans="1:12" x14ac:dyDescent="0.25">
      <c r="A10511" t="str">
        <f t="shared" si="1875"/>
        <v>89301000</v>
      </c>
      <c r="B10511" t="str">
        <f t="shared" si="1880"/>
        <v>06539000</v>
      </c>
      <c r="C10511" t="str">
        <f t="shared" si="1881"/>
        <v>06539003</v>
      </c>
      <c r="D10511">
        <v>89301171</v>
      </c>
      <c r="E10511" t="str">
        <f t="shared" si="1876"/>
        <v>8707295795</v>
      </c>
      <c r="F10511" s="1">
        <v>45146</v>
      </c>
      <c r="G10511" t="str">
        <f t="shared" si="1882"/>
        <v>91413</v>
      </c>
      <c r="H10511">
        <v>1</v>
      </c>
      <c r="I10511">
        <v>868</v>
      </c>
      <c r="J10511">
        <v>0</v>
      </c>
      <c r="K10511" t="str">
        <f t="shared" si="1883"/>
        <v>813</v>
      </c>
      <c r="L10511">
        <v>729.12</v>
      </c>
    </row>
    <row r="10512" spans="1:12" x14ac:dyDescent="0.25">
      <c r="A10512" t="str">
        <f t="shared" si="1875"/>
        <v>89301000</v>
      </c>
      <c r="B10512" t="str">
        <f t="shared" si="1880"/>
        <v>06539000</v>
      </c>
      <c r="C10512" t="str">
        <f t="shared" si="1881"/>
        <v>06539003</v>
      </c>
      <c r="D10512">
        <v>89301171</v>
      </c>
      <c r="E10512" t="str">
        <f t="shared" si="1876"/>
        <v>8707295795</v>
      </c>
      <c r="F10512" s="1">
        <v>45146</v>
      </c>
      <c r="G10512" t="str">
        <f t="shared" si="1882"/>
        <v>91413</v>
      </c>
      <c r="H10512">
        <v>1</v>
      </c>
      <c r="I10512">
        <v>868</v>
      </c>
      <c r="J10512">
        <v>0</v>
      </c>
      <c r="K10512" t="str">
        <f t="shared" si="1883"/>
        <v>813</v>
      </c>
      <c r="L10512">
        <v>729.12</v>
      </c>
    </row>
    <row r="10513" spans="1:12" x14ac:dyDescent="0.25">
      <c r="A10513" t="str">
        <f t="shared" si="1875"/>
        <v>89301000</v>
      </c>
      <c r="B10513" t="str">
        <f t="shared" si="1880"/>
        <v>06539000</v>
      </c>
      <c r="C10513" t="str">
        <f t="shared" si="1881"/>
        <v>06539003</v>
      </c>
      <c r="D10513">
        <v>89301171</v>
      </c>
      <c r="E10513" t="str">
        <f t="shared" si="1876"/>
        <v>8707295795</v>
      </c>
      <c r="F10513" s="1">
        <v>45145</v>
      </c>
      <c r="G10513" t="str">
        <f t="shared" si="1882"/>
        <v>91413</v>
      </c>
      <c r="H10513">
        <v>1</v>
      </c>
      <c r="I10513">
        <v>868</v>
      </c>
      <c r="J10513">
        <v>0</v>
      </c>
      <c r="K10513" t="str">
        <f t="shared" si="1883"/>
        <v>813</v>
      </c>
      <c r="L10513">
        <v>729.12</v>
      </c>
    </row>
    <row r="10514" spans="1:12" x14ac:dyDescent="0.25">
      <c r="A10514" t="str">
        <f t="shared" si="1875"/>
        <v>89301000</v>
      </c>
      <c r="B10514" t="str">
        <f t="shared" si="1880"/>
        <v>06539000</v>
      </c>
      <c r="C10514" t="str">
        <f t="shared" si="1881"/>
        <v>06539003</v>
      </c>
      <c r="D10514">
        <v>89301171</v>
      </c>
      <c r="E10514" t="str">
        <f t="shared" si="1876"/>
        <v>8707295795</v>
      </c>
      <c r="F10514" s="1">
        <v>45145</v>
      </c>
      <c r="G10514" t="str">
        <f t="shared" si="1882"/>
        <v>91413</v>
      </c>
      <c r="H10514">
        <v>1</v>
      </c>
      <c r="I10514">
        <v>868</v>
      </c>
      <c r="J10514">
        <v>0</v>
      </c>
      <c r="K10514" t="str">
        <f t="shared" si="1883"/>
        <v>813</v>
      </c>
      <c r="L10514">
        <v>729.12</v>
      </c>
    </row>
    <row r="10515" spans="1:12" x14ac:dyDescent="0.25">
      <c r="A10515" t="str">
        <f t="shared" si="1875"/>
        <v>89301000</v>
      </c>
      <c r="B10515" t="str">
        <f t="shared" si="1880"/>
        <v>06539000</v>
      </c>
      <c r="C10515" t="str">
        <f t="shared" si="1881"/>
        <v>06539003</v>
      </c>
      <c r="D10515">
        <v>89301171</v>
      </c>
      <c r="E10515" t="str">
        <f t="shared" si="1876"/>
        <v>8707295795</v>
      </c>
      <c r="F10515" s="1">
        <v>45146</v>
      </c>
      <c r="G10515" t="str">
        <f t="shared" si="1882"/>
        <v>91413</v>
      </c>
      <c r="H10515">
        <v>1</v>
      </c>
      <c r="I10515">
        <v>868</v>
      </c>
      <c r="J10515">
        <v>0</v>
      </c>
      <c r="K10515" t="str">
        <f t="shared" si="1883"/>
        <v>813</v>
      </c>
      <c r="L10515">
        <v>729.12</v>
      </c>
    </row>
    <row r="10516" spans="1:12" x14ac:dyDescent="0.25">
      <c r="A10516" t="str">
        <f t="shared" si="1875"/>
        <v>89301000</v>
      </c>
      <c r="B10516" t="str">
        <f t="shared" si="1880"/>
        <v>06539000</v>
      </c>
      <c r="C10516" t="str">
        <f t="shared" si="1881"/>
        <v>06539003</v>
      </c>
      <c r="D10516">
        <v>89301171</v>
      </c>
      <c r="E10516" t="str">
        <f t="shared" si="1876"/>
        <v>8707295795</v>
      </c>
      <c r="F10516" s="1">
        <v>45146</v>
      </c>
      <c r="G10516" t="str">
        <f t="shared" si="1882"/>
        <v>91413</v>
      </c>
      <c r="H10516">
        <v>1</v>
      </c>
      <c r="I10516">
        <v>868</v>
      </c>
      <c r="J10516">
        <v>0</v>
      </c>
      <c r="K10516" t="str">
        <f t="shared" si="1883"/>
        <v>813</v>
      </c>
      <c r="L10516">
        <v>729.12</v>
      </c>
    </row>
    <row r="10517" spans="1:12" x14ac:dyDescent="0.25">
      <c r="A10517" t="str">
        <f t="shared" si="1875"/>
        <v>89301000</v>
      </c>
      <c r="B10517" t="str">
        <f t="shared" si="1880"/>
        <v>06539000</v>
      </c>
      <c r="C10517" t="str">
        <f t="shared" si="1881"/>
        <v>06539003</v>
      </c>
      <c r="D10517">
        <v>89301171</v>
      </c>
      <c r="E10517" t="str">
        <f t="shared" si="1876"/>
        <v>8707295795</v>
      </c>
      <c r="F10517" s="1">
        <v>45146</v>
      </c>
      <c r="G10517" t="str">
        <f t="shared" si="1882"/>
        <v>91413</v>
      </c>
      <c r="H10517">
        <v>1</v>
      </c>
      <c r="I10517">
        <v>868</v>
      </c>
      <c r="J10517">
        <v>0</v>
      </c>
      <c r="K10517" t="str">
        <f t="shared" si="1883"/>
        <v>813</v>
      </c>
      <c r="L10517">
        <v>729.12</v>
      </c>
    </row>
    <row r="10518" spans="1:12" x14ac:dyDescent="0.25">
      <c r="A10518" t="str">
        <f t="shared" si="1875"/>
        <v>89301000</v>
      </c>
      <c r="B10518" t="str">
        <f t="shared" si="1880"/>
        <v>06539000</v>
      </c>
      <c r="C10518" t="str">
        <f t="shared" si="1881"/>
        <v>06539003</v>
      </c>
      <c r="D10518">
        <v>89301171</v>
      </c>
      <c r="E10518" t="str">
        <f t="shared" si="1876"/>
        <v>8707295795</v>
      </c>
      <c r="F10518" s="1">
        <v>45146</v>
      </c>
      <c r="G10518" t="str">
        <f t="shared" si="1882"/>
        <v>91413</v>
      </c>
      <c r="H10518">
        <v>1</v>
      </c>
      <c r="I10518">
        <v>868</v>
      </c>
      <c r="J10518">
        <v>0</v>
      </c>
      <c r="K10518" t="str">
        <f t="shared" si="1883"/>
        <v>813</v>
      </c>
      <c r="L10518">
        <v>729.12</v>
      </c>
    </row>
    <row r="10519" spans="1:12" x14ac:dyDescent="0.25">
      <c r="A10519" t="str">
        <f t="shared" si="1875"/>
        <v>89301000</v>
      </c>
      <c r="B10519" t="str">
        <f t="shared" si="1880"/>
        <v>06539000</v>
      </c>
      <c r="C10519" t="str">
        <f t="shared" si="1881"/>
        <v>06539003</v>
      </c>
      <c r="D10519">
        <v>89301171</v>
      </c>
      <c r="E10519" t="str">
        <f t="shared" si="1876"/>
        <v>8707295795</v>
      </c>
      <c r="F10519" s="1">
        <v>45128</v>
      </c>
      <c r="G10519" t="str">
        <f t="shared" ref="G10519:G10525" si="1884">"91197"</f>
        <v>91197</v>
      </c>
      <c r="H10519">
        <v>1</v>
      </c>
      <c r="I10519">
        <v>1048</v>
      </c>
      <c r="J10519">
        <v>0</v>
      </c>
      <c r="K10519" t="str">
        <f t="shared" si="1883"/>
        <v>813</v>
      </c>
      <c r="L10519">
        <v>880.32</v>
      </c>
    </row>
    <row r="10520" spans="1:12" x14ac:dyDescent="0.25">
      <c r="A10520" t="str">
        <f t="shared" si="1875"/>
        <v>89301000</v>
      </c>
      <c r="B10520" t="str">
        <f t="shared" si="1880"/>
        <v>06539000</v>
      </c>
      <c r="C10520" t="str">
        <f t="shared" si="1881"/>
        <v>06539003</v>
      </c>
      <c r="D10520">
        <v>89301171</v>
      </c>
      <c r="E10520" t="str">
        <f t="shared" si="1876"/>
        <v>8707295795</v>
      </c>
      <c r="F10520" s="1">
        <v>45131</v>
      </c>
      <c r="G10520" t="str">
        <f t="shared" si="1884"/>
        <v>91197</v>
      </c>
      <c r="H10520">
        <v>1</v>
      </c>
      <c r="I10520">
        <v>1048</v>
      </c>
      <c r="J10520">
        <v>0</v>
      </c>
      <c r="K10520" t="str">
        <f t="shared" si="1883"/>
        <v>813</v>
      </c>
      <c r="L10520">
        <v>880.32</v>
      </c>
    </row>
    <row r="10521" spans="1:12" x14ac:dyDescent="0.25">
      <c r="A10521" t="str">
        <f t="shared" si="1875"/>
        <v>89301000</v>
      </c>
      <c r="B10521" t="str">
        <f t="shared" si="1880"/>
        <v>06539000</v>
      </c>
      <c r="C10521" t="str">
        <f t="shared" si="1881"/>
        <v>06539003</v>
      </c>
      <c r="D10521">
        <v>89301171</v>
      </c>
      <c r="E10521" t="str">
        <f t="shared" si="1876"/>
        <v>8707295795</v>
      </c>
      <c r="F10521" s="1">
        <v>45131</v>
      </c>
      <c r="G10521" t="str">
        <f t="shared" si="1884"/>
        <v>91197</v>
      </c>
      <c r="H10521">
        <v>1</v>
      </c>
      <c r="I10521">
        <v>1048</v>
      </c>
      <c r="J10521">
        <v>0</v>
      </c>
      <c r="K10521" t="str">
        <f t="shared" si="1883"/>
        <v>813</v>
      </c>
      <c r="L10521">
        <v>880.32</v>
      </c>
    </row>
    <row r="10522" spans="1:12" x14ac:dyDescent="0.25">
      <c r="A10522" t="str">
        <f t="shared" si="1875"/>
        <v>89301000</v>
      </c>
      <c r="B10522" t="str">
        <f t="shared" si="1880"/>
        <v>06539000</v>
      </c>
      <c r="C10522" t="str">
        <f t="shared" si="1881"/>
        <v>06539003</v>
      </c>
      <c r="D10522">
        <v>89301171</v>
      </c>
      <c r="E10522" t="str">
        <f t="shared" si="1876"/>
        <v>8707295795</v>
      </c>
      <c r="F10522" s="1">
        <v>45130</v>
      </c>
      <c r="G10522" t="str">
        <f t="shared" si="1884"/>
        <v>91197</v>
      </c>
      <c r="H10522">
        <v>1</v>
      </c>
      <c r="I10522">
        <v>1048</v>
      </c>
      <c r="J10522">
        <v>0</v>
      </c>
      <c r="K10522" t="str">
        <f t="shared" si="1883"/>
        <v>813</v>
      </c>
      <c r="L10522">
        <v>880.32</v>
      </c>
    </row>
    <row r="10523" spans="1:12" x14ac:dyDescent="0.25">
      <c r="A10523" t="str">
        <f t="shared" si="1875"/>
        <v>89301000</v>
      </c>
      <c r="B10523" t="str">
        <f t="shared" si="1880"/>
        <v>06539000</v>
      </c>
      <c r="C10523" t="str">
        <f t="shared" si="1881"/>
        <v>06539003</v>
      </c>
      <c r="D10523">
        <v>89301171</v>
      </c>
      <c r="E10523" t="str">
        <f t="shared" si="1876"/>
        <v>8707295795</v>
      </c>
      <c r="F10523" s="1">
        <v>45130</v>
      </c>
      <c r="G10523" t="str">
        <f t="shared" si="1884"/>
        <v>91197</v>
      </c>
      <c r="H10523">
        <v>1</v>
      </c>
      <c r="I10523">
        <v>1048</v>
      </c>
      <c r="J10523">
        <v>0</v>
      </c>
      <c r="K10523" t="str">
        <f t="shared" si="1883"/>
        <v>813</v>
      </c>
      <c r="L10523">
        <v>880.32</v>
      </c>
    </row>
    <row r="10524" spans="1:12" x14ac:dyDescent="0.25">
      <c r="A10524" t="str">
        <f t="shared" si="1875"/>
        <v>89301000</v>
      </c>
      <c r="B10524" t="str">
        <f t="shared" si="1880"/>
        <v>06539000</v>
      </c>
      <c r="C10524" t="str">
        <f t="shared" si="1881"/>
        <v>06539003</v>
      </c>
      <c r="D10524">
        <v>89301171</v>
      </c>
      <c r="E10524" t="str">
        <f t="shared" si="1876"/>
        <v>8707295795</v>
      </c>
      <c r="F10524" s="1">
        <v>45129</v>
      </c>
      <c r="G10524" t="str">
        <f t="shared" si="1884"/>
        <v>91197</v>
      </c>
      <c r="H10524">
        <v>1</v>
      </c>
      <c r="I10524">
        <v>1048</v>
      </c>
      <c r="J10524">
        <v>0</v>
      </c>
      <c r="K10524" t="str">
        <f t="shared" si="1883"/>
        <v>813</v>
      </c>
      <c r="L10524">
        <v>880.32</v>
      </c>
    </row>
    <row r="10525" spans="1:12" x14ac:dyDescent="0.25">
      <c r="A10525" t="str">
        <f t="shared" si="1875"/>
        <v>89301000</v>
      </c>
      <c r="B10525" t="str">
        <f t="shared" si="1880"/>
        <v>06539000</v>
      </c>
      <c r="C10525" t="str">
        <f t="shared" si="1881"/>
        <v>06539003</v>
      </c>
      <c r="D10525">
        <v>89301171</v>
      </c>
      <c r="E10525" t="str">
        <f t="shared" si="1876"/>
        <v>8707295795</v>
      </c>
      <c r="F10525" s="1">
        <v>45129</v>
      </c>
      <c r="G10525" t="str">
        <f t="shared" si="1884"/>
        <v>91197</v>
      </c>
      <c r="H10525">
        <v>1</v>
      </c>
      <c r="I10525">
        <v>1048</v>
      </c>
      <c r="J10525">
        <v>0</v>
      </c>
      <c r="K10525" t="str">
        <f t="shared" si="1883"/>
        <v>813</v>
      </c>
      <c r="L10525">
        <v>880.32</v>
      </c>
    </row>
    <row r="10526" spans="1:12" x14ac:dyDescent="0.25">
      <c r="A10526" t="str">
        <f t="shared" si="1875"/>
        <v>89301000</v>
      </c>
      <c r="B10526" t="str">
        <f t="shared" si="1880"/>
        <v>06539000</v>
      </c>
      <c r="C10526" t="str">
        <f t="shared" si="1881"/>
        <v>06539003</v>
      </c>
      <c r="D10526">
        <v>89301171</v>
      </c>
      <c r="E10526" t="str">
        <f t="shared" si="1876"/>
        <v>8707295795</v>
      </c>
      <c r="F10526" s="1">
        <v>45146</v>
      </c>
      <c r="G10526" t="str">
        <f>"91329"</f>
        <v>91329</v>
      </c>
      <c r="H10526">
        <v>2</v>
      </c>
      <c r="I10526">
        <v>436</v>
      </c>
      <c r="J10526">
        <v>0</v>
      </c>
      <c r="K10526" t="str">
        <f t="shared" si="1883"/>
        <v>813</v>
      </c>
      <c r="L10526">
        <v>366.24</v>
      </c>
    </row>
    <row r="10527" spans="1:12" x14ac:dyDescent="0.25">
      <c r="A10527" t="str">
        <f t="shared" si="1875"/>
        <v>89301000</v>
      </c>
      <c r="B10527" t="str">
        <f t="shared" si="1880"/>
        <v>06539000</v>
      </c>
      <c r="C10527" t="str">
        <f t="shared" si="1881"/>
        <v>06539003</v>
      </c>
      <c r="D10527">
        <v>89301171</v>
      </c>
      <c r="E10527" t="str">
        <f t="shared" si="1876"/>
        <v>8707295795</v>
      </c>
      <c r="F10527" s="1">
        <v>45146</v>
      </c>
      <c r="G10527" t="str">
        <f>"91329"</f>
        <v>91329</v>
      </c>
      <c r="H10527">
        <v>2</v>
      </c>
      <c r="I10527">
        <v>436</v>
      </c>
      <c r="J10527">
        <v>0</v>
      </c>
      <c r="K10527" t="str">
        <f t="shared" si="1883"/>
        <v>813</v>
      </c>
      <c r="L10527">
        <v>366.24</v>
      </c>
    </row>
    <row r="10528" spans="1:12" x14ac:dyDescent="0.25">
      <c r="A10528" t="str">
        <f t="shared" si="1875"/>
        <v>89301000</v>
      </c>
      <c r="B10528" t="str">
        <f t="shared" si="1880"/>
        <v>06539000</v>
      </c>
      <c r="C10528" t="str">
        <f t="shared" si="1881"/>
        <v>06539003</v>
      </c>
      <c r="D10528">
        <v>89301171</v>
      </c>
      <c r="E10528" t="str">
        <f t="shared" si="1876"/>
        <v>8707295795</v>
      </c>
      <c r="F10528" s="1">
        <v>45146</v>
      </c>
      <c r="G10528" t="str">
        <f>"91329"</f>
        <v>91329</v>
      </c>
      <c r="H10528">
        <v>2</v>
      </c>
      <c r="I10528">
        <v>436</v>
      </c>
      <c r="J10528">
        <v>0</v>
      </c>
      <c r="K10528" t="str">
        <f t="shared" si="1883"/>
        <v>813</v>
      </c>
      <c r="L10528">
        <v>366.24</v>
      </c>
    </row>
    <row r="10529" spans="1:12" x14ac:dyDescent="0.25">
      <c r="A10529" t="str">
        <f t="shared" si="1875"/>
        <v>89301000</v>
      </c>
      <c r="B10529" t="str">
        <f t="shared" si="1880"/>
        <v>06539000</v>
      </c>
      <c r="C10529" t="str">
        <f t="shared" si="1881"/>
        <v>06539003</v>
      </c>
      <c r="D10529">
        <v>89301171</v>
      </c>
      <c r="E10529" t="str">
        <f t="shared" si="1876"/>
        <v>8707295795</v>
      </c>
      <c r="F10529" s="1">
        <v>45146</v>
      </c>
      <c r="G10529" t="str">
        <f>"91329"</f>
        <v>91329</v>
      </c>
      <c r="H10529">
        <v>2</v>
      </c>
      <c r="I10529">
        <v>436</v>
      </c>
      <c r="J10529">
        <v>0</v>
      </c>
      <c r="K10529" t="str">
        <f t="shared" si="1883"/>
        <v>813</v>
      </c>
      <c r="L10529">
        <v>366.24</v>
      </c>
    </row>
    <row r="10530" spans="1:12" x14ac:dyDescent="0.25">
      <c r="A10530" t="str">
        <f t="shared" si="1875"/>
        <v>89301000</v>
      </c>
      <c r="B10530" t="str">
        <f t="shared" si="1880"/>
        <v>06539000</v>
      </c>
      <c r="C10530" t="str">
        <f t="shared" si="1881"/>
        <v>06539003</v>
      </c>
      <c r="D10530">
        <v>89301171</v>
      </c>
      <c r="E10530" t="str">
        <f t="shared" si="1876"/>
        <v>8707295795</v>
      </c>
      <c r="F10530" s="1">
        <v>45130</v>
      </c>
      <c r="G10530" t="str">
        <f>"91129"</f>
        <v>91129</v>
      </c>
      <c r="H10530">
        <v>1</v>
      </c>
      <c r="I10530">
        <v>175</v>
      </c>
      <c r="J10530">
        <v>0</v>
      </c>
      <c r="K10530" t="str">
        <f t="shared" si="1883"/>
        <v>813</v>
      </c>
      <c r="L10530">
        <v>147</v>
      </c>
    </row>
    <row r="10531" spans="1:12" x14ac:dyDescent="0.25">
      <c r="A10531" t="str">
        <f t="shared" si="1875"/>
        <v>89301000</v>
      </c>
      <c r="B10531" t="str">
        <f t="shared" si="1880"/>
        <v>06539000</v>
      </c>
      <c r="C10531" t="str">
        <f t="shared" si="1881"/>
        <v>06539003</v>
      </c>
      <c r="D10531">
        <v>89301171</v>
      </c>
      <c r="E10531" t="str">
        <f t="shared" si="1876"/>
        <v>8707295795</v>
      </c>
      <c r="F10531" s="1">
        <v>45130</v>
      </c>
      <c r="G10531" t="str">
        <f>"91131"</f>
        <v>91131</v>
      </c>
      <c r="H10531">
        <v>1</v>
      </c>
      <c r="I10531">
        <v>171</v>
      </c>
      <c r="J10531">
        <v>0</v>
      </c>
      <c r="K10531" t="str">
        <f t="shared" si="1883"/>
        <v>813</v>
      </c>
      <c r="L10531">
        <v>143.63999999999999</v>
      </c>
    </row>
    <row r="10532" spans="1:12" x14ac:dyDescent="0.25">
      <c r="A10532" t="str">
        <f t="shared" si="1875"/>
        <v>89301000</v>
      </c>
      <c r="B10532" t="str">
        <f t="shared" si="1880"/>
        <v>06539000</v>
      </c>
      <c r="C10532" t="str">
        <f t="shared" si="1881"/>
        <v>06539003</v>
      </c>
      <c r="D10532">
        <v>89301171</v>
      </c>
      <c r="E10532" t="str">
        <f t="shared" si="1876"/>
        <v>8707295795</v>
      </c>
      <c r="F10532" s="1">
        <v>45130</v>
      </c>
      <c r="G10532" t="str">
        <f>"91133"</f>
        <v>91133</v>
      </c>
      <c r="H10532">
        <v>1</v>
      </c>
      <c r="I10532">
        <v>177</v>
      </c>
      <c r="J10532">
        <v>0</v>
      </c>
      <c r="K10532" t="str">
        <f t="shared" si="1883"/>
        <v>813</v>
      </c>
      <c r="L10532">
        <v>148.68</v>
      </c>
    </row>
    <row r="10533" spans="1:12" x14ac:dyDescent="0.25">
      <c r="A10533" t="str">
        <f t="shared" si="1875"/>
        <v>89301000</v>
      </c>
      <c r="B10533" t="str">
        <f t="shared" si="1880"/>
        <v>06539000</v>
      </c>
      <c r="C10533" t="str">
        <f t="shared" si="1881"/>
        <v>06539003</v>
      </c>
      <c r="D10533">
        <v>89301171</v>
      </c>
      <c r="E10533" t="str">
        <f t="shared" si="1876"/>
        <v>8707295795</v>
      </c>
      <c r="F10533" s="1">
        <v>45130</v>
      </c>
      <c r="G10533" t="str">
        <f>"91171"</f>
        <v>91171</v>
      </c>
      <c r="H10533">
        <v>1</v>
      </c>
      <c r="I10533">
        <v>362</v>
      </c>
      <c r="J10533">
        <v>0</v>
      </c>
      <c r="K10533" t="str">
        <f t="shared" si="1883"/>
        <v>813</v>
      </c>
      <c r="L10533">
        <v>304.08</v>
      </c>
    </row>
    <row r="10534" spans="1:12" x14ac:dyDescent="0.25">
      <c r="A10534" t="str">
        <f t="shared" si="1875"/>
        <v>89301000</v>
      </c>
      <c r="B10534" t="str">
        <f t="shared" si="1880"/>
        <v>06539000</v>
      </c>
      <c r="C10534" t="str">
        <f t="shared" si="1881"/>
        <v>06539003</v>
      </c>
      <c r="D10534">
        <v>89301171</v>
      </c>
      <c r="E10534" t="str">
        <f t="shared" si="1876"/>
        <v>8707295795</v>
      </c>
      <c r="F10534" s="1">
        <v>45128</v>
      </c>
      <c r="G10534" t="str">
        <f>"91173"</f>
        <v>91173</v>
      </c>
      <c r="H10534">
        <v>1</v>
      </c>
      <c r="I10534">
        <v>337</v>
      </c>
      <c r="J10534">
        <v>0</v>
      </c>
      <c r="K10534" t="str">
        <f t="shared" si="1883"/>
        <v>813</v>
      </c>
      <c r="L10534">
        <v>283.08</v>
      </c>
    </row>
    <row r="10535" spans="1:12" x14ac:dyDescent="0.25">
      <c r="A10535" t="str">
        <f t="shared" si="1875"/>
        <v>89301000</v>
      </c>
      <c r="B10535" t="str">
        <f t="shared" si="1880"/>
        <v>06539000</v>
      </c>
      <c r="C10535" t="str">
        <f t="shared" si="1881"/>
        <v>06539003</v>
      </c>
      <c r="D10535">
        <v>89301171</v>
      </c>
      <c r="E10535" t="str">
        <f t="shared" si="1876"/>
        <v>8707295795</v>
      </c>
      <c r="F10535" s="1">
        <v>45130</v>
      </c>
      <c r="G10535" t="str">
        <f>"91175"</f>
        <v>91175</v>
      </c>
      <c r="H10535">
        <v>1</v>
      </c>
      <c r="I10535">
        <v>362</v>
      </c>
      <c r="J10535">
        <v>0</v>
      </c>
      <c r="K10535" t="str">
        <f t="shared" si="1883"/>
        <v>813</v>
      </c>
      <c r="L10535">
        <v>304.08</v>
      </c>
    </row>
    <row r="10536" spans="1:12" x14ac:dyDescent="0.25">
      <c r="A10536" t="str">
        <f t="shared" si="1875"/>
        <v>89301000</v>
      </c>
      <c r="B10536" t="str">
        <f t="shared" si="1880"/>
        <v>06539000</v>
      </c>
      <c r="C10536" t="str">
        <f t="shared" si="1881"/>
        <v>06539003</v>
      </c>
      <c r="D10536">
        <v>89301171</v>
      </c>
      <c r="E10536" t="str">
        <f t="shared" si="1876"/>
        <v>8707295795</v>
      </c>
      <c r="F10536" s="1">
        <v>45129</v>
      </c>
      <c r="G10536" t="str">
        <f>"91167"</f>
        <v>91167</v>
      </c>
      <c r="H10536">
        <v>1</v>
      </c>
      <c r="I10536">
        <v>426</v>
      </c>
      <c r="J10536">
        <v>0</v>
      </c>
      <c r="K10536" t="str">
        <f t="shared" si="1883"/>
        <v>813</v>
      </c>
      <c r="L10536">
        <v>357.84</v>
      </c>
    </row>
    <row r="10537" spans="1:12" x14ac:dyDescent="0.25">
      <c r="A10537" t="str">
        <f t="shared" si="1875"/>
        <v>89301000</v>
      </c>
      <c r="B10537" t="str">
        <f t="shared" si="1880"/>
        <v>06539000</v>
      </c>
      <c r="C10537" t="str">
        <f t="shared" si="1881"/>
        <v>06539003</v>
      </c>
      <c r="D10537">
        <v>89301171</v>
      </c>
      <c r="E10537" t="str">
        <f t="shared" si="1876"/>
        <v>8707295795</v>
      </c>
      <c r="F10537" s="1">
        <v>45129</v>
      </c>
      <c r="G10537" t="str">
        <f>"91169"</f>
        <v>91169</v>
      </c>
      <c r="H10537">
        <v>1</v>
      </c>
      <c r="I10537">
        <v>426</v>
      </c>
      <c r="J10537">
        <v>0</v>
      </c>
      <c r="K10537" t="str">
        <f t="shared" si="1883"/>
        <v>813</v>
      </c>
      <c r="L10537">
        <v>357.84</v>
      </c>
    </row>
    <row r="10538" spans="1:12" x14ac:dyDescent="0.25">
      <c r="A10538" t="str">
        <f t="shared" si="1875"/>
        <v>89301000</v>
      </c>
      <c r="B10538" t="str">
        <f t="shared" si="1880"/>
        <v>06539000</v>
      </c>
      <c r="C10538" t="str">
        <f t="shared" si="1881"/>
        <v>06539003</v>
      </c>
      <c r="D10538">
        <v>89301171</v>
      </c>
      <c r="E10538" t="str">
        <f t="shared" si="1876"/>
        <v>8707295795</v>
      </c>
      <c r="F10538" s="1">
        <v>45128</v>
      </c>
      <c r="G10538" t="str">
        <f>"91167"</f>
        <v>91167</v>
      </c>
      <c r="H10538">
        <v>1</v>
      </c>
      <c r="I10538">
        <v>426</v>
      </c>
      <c r="J10538">
        <v>0</v>
      </c>
      <c r="K10538" t="str">
        <f t="shared" si="1883"/>
        <v>813</v>
      </c>
      <c r="L10538">
        <v>357.84</v>
      </c>
    </row>
    <row r="10539" spans="1:12" x14ac:dyDescent="0.25">
      <c r="A10539" t="str">
        <f t="shared" si="1875"/>
        <v>89301000</v>
      </c>
      <c r="B10539" t="str">
        <f t="shared" si="1880"/>
        <v>06539000</v>
      </c>
      <c r="C10539" t="str">
        <f t="shared" si="1881"/>
        <v>06539003</v>
      </c>
      <c r="D10539">
        <v>89301171</v>
      </c>
      <c r="E10539" t="str">
        <f t="shared" si="1876"/>
        <v>8707295795</v>
      </c>
      <c r="F10539" s="1">
        <v>45128</v>
      </c>
      <c r="G10539" t="str">
        <f>"91169"</f>
        <v>91169</v>
      </c>
      <c r="H10539">
        <v>1</v>
      </c>
      <c r="I10539">
        <v>426</v>
      </c>
      <c r="J10539">
        <v>0</v>
      </c>
      <c r="K10539" t="str">
        <f t="shared" si="1883"/>
        <v>813</v>
      </c>
      <c r="L10539">
        <v>357.84</v>
      </c>
    </row>
    <row r="10540" spans="1:12" x14ac:dyDescent="0.25">
      <c r="A10540" t="str">
        <f t="shared" si="1875"/>
        <v>89301000</v>
      </c>
      <c r="B10540" t="str">
        <f t="shared" si="1880"/>
        <v>06539000</v>
      </c>
      <c r="C10540" t="str">
        <f t="shared" si="1881"/>
        <v>06539003</v>
      </c>
      <c r="D10540">
        <v>89301171</v>
      </c>
      <c r="E10540" t="str">
        <f t="shared" si="1876"/>
        <v>8707295795</v>
      </c>
      <c r="F10540" s="1">
        <v>45133</v>
      </c>
      <c r="G10540" t="str">
        <f>"91475"</f>
        <v>91475</v>
      </c>
      <c r="H10540">
        <v>1</v>
      </c>
      <c r="I10540">
        <v>213</v>
      </c>
      <c r="J10540">
        <v>0</v>
      </c>
      <c r="K10540" t="str">
        <f t="shared" si="1883"/>
        <v>813</v>
      </c>
      <c r="L10540">
        <v>178.92</v>
      </c>
    </row>
    <row r="10541" spans="1:12" x14ac:dyDescent="0.25">
      <c r="A10541" t="str">
        <f t="shared" si="1875"/>
        <v>89301000</v>
      </c>
      <c r="B10541" t="str">
        <f t="shared" si="1880"/>
        <v>06539000</v>
      </c>
      <c r="C10541" t="str">
        <f t="shared" ref="C10541:C10572" si="1885">"06539003"</f>
        <v>06539003</v>
      </c>
      <c r="D10541">
        <v>89301171</v>
      </c>
      <c r="E10541" t="str">
        <f t="shared" ref="E10541:E10564" si="1886">"8154144207"</f>
        <v>8154144207</v>
      </c>
      <c r="F10541" s="1">
        <v>45133</v>
      </c>
      <c r="G10541" t="str">
        <f t="shared" ref="G10541:G10550" si="1887">"91413"</f>
        <v>91413</v>
      </c>
      <c r="H10541">
        <v>1</v>
      </c>
      <c r="I10541">
        <v>868</v>
      </c>
      <c r="J10541">
        <v>0</v>
      </c>
      <c r="K10541" t="str">
        <f t="shared" ref="K10541:K10572" si="1888">"813"</f>
        <v>813</v>
      </c>
      <c r="L10541">
        <v>729.12</v>
      </c>
    </row>
    <row r="10542" spans="1:12" x14ac:dyDescent="0.25">
      <c r="A10542" t="str">
        <f t="shared" si="1875"/>
        <v>89301000</v>
      </c>
      <c r="B10542" t="str">
        <f t="shared" si="1880"/>
        <v>06539000</v>
      </c>
      <c r="C10542" t="str">
        <f t="shared" si="1885"/>
        <v>06539003</v>
      </c>
      <c r="D10542">
        <v>89301171</v>
      </c>
      <c r="E10542" t="str">
        <f t="shared" si="1886"/>
        <v>8154144207</v>
      </c>
      <c r="F10542" s="1">
        <v>45133</v>
      </c>
      <c r="G10542" t="str">
        <f t="shared" si="1887"/>
        <v>91413</v>
      </c>
      <c r="H10542">
        <v>1</v>
      </c>
      <c r="I10542">
        <v>868</v>
      </c>
      <c r="J10542">
        <v>0</v>
      </c>
      <c r="K10542" t="str">
        <f t="shared" si="1888"/>
        <v>813</v>
      </c>
      <c r="L10542">
        <v>729.12</v>
      </c>
    </row>
    <row r="10543" spans="1:12" x14ac:dyDescent="0.25">
      <c r="A10543" t="str">
        <f t="shared" si="1875"/>
        <v>89301000</v>
      </c>
      <c r="B10543" t="str">
        <f t="shared" si="1880"/>
        <v>06539000</v>
      </c>
      <c r="C10543" t="str">
        <f t="shared" si="1885"/>
        <v>06539003</v>
      </c>
      <c r="D10543">
        <v>89301171</v>
      </c>
      <c r="E10543" t="str">
        <f t="shared" si="1886"/>
        <v>8154144207</v>
      </c>
      <c r="F10543" s="1">
        <v>45146</v>
      </c>
      <c r="G10543" t="str">
        <f t="shared" si="1887"/>
        <v>91413</v>
      </c>
      <c r="H10543">
        <v>1</v>
      </c>
      <c r="I10543">
        <v>868</v>
      </c>
      <c r="J10543">
        <v>0</v>
      </c>
      <c r="K10543" t="str">
        <f t="shared" si="1888"/>
        <v>813</v>
      </c>
      <c r="L10543">
        <v>729.12</v>
      </c>
    </row>
    <row r="10544" spans="1:12" x14ac:dyDescent="0.25">
      <c r="A10544" t="str">
        <f t="shared" si="1875"/>
        <v>89301000</v>
      </c>
      <c r="B10544" t="str">
        <f t="shared" si="1880"/>
        <v>06539000</v>
      </c>
      <c r="C10544" t="str">
        <f t="shared" si="1885"/>
        <v>06539003</v>
      </c>
      <c r="D10544">
        <v>89301171</v>
      </c>
      <c r="E10544" t="str">
        <f t="shared" si="1886"/>
        <v>8154144207</v>
      </c>
      <c r="F10544" s="1">
        <v>45146</v>
      </c>
      <c r="G10544" t="str">
        <f t="shared" si="1887"/>
        <v>91413</v>
      </c>
      <c r="H10544">
        <v>1</v>
      </c>
      <c r="I10544">
        <v>868</v>
      </c>
      <c r="J10544">
        <v>0</v>
      </c>
      <c r="K10544" t="str">
        <f t="shared" si="1888"/>
        <v>813</v>
      </c>
      <c r="L10544">
        <v>729.12</v>
      </c>
    </row>
    <row r="10545" spans="1:12" x14ac:dyDescent="0.25">
      <c r="A10545" t="str">
        <f t="shared" si="1875"/>
        <v>89301000</v>
      </c>
      <c r="B10545" t="str">
        <f t="shared" si="1880"/>
        <v>06539000</v>
      </c>
      <c r="C10545" t="str">
        <f t="shared" si="1885"/>
        <v>06539003</v>
      </c>
      <c r="D10545">
        <v>89301171</v>
      </c>
      <c r="E10545" t="str">
        <f t="shared" si="1886"/>
        <v>8154144207</v>
      </c>
      <c r="F10545" s="1">
        <v>45145</v>
      </c>
      <c r="G10545" t="str">
        <f t="shared" si="1887"/>
        <v>91413</v>
      </c>
      <c r="H10545">
        <v>1</v>
      </c>
      <c r="I10545">
        <v>868</v>
      </c>
      <c r="J10545">
        <v>0</v>
      </c>
      <c r="K10545" t="str">
        <f t="shared" si="1888"/>
        <v>813</v>
      </c>
      <c r="L10545">
        <v>729.12</v>
      </c>
    </row>
    <row r="10546" spans="1:12" x14ac:dyDescent="0.25">
      <c r="A10546" t="str">
        <f t="shared" si="1875"/>
        <v>89301000</v>
      </c>
      <c r="B10546" t="str">
        <f t="shared" si="1880"/>
        <v>06539000</v>
      </c>
      <c r="C10546" t="str">
        <f t="shared" si="1885"/>
        <v>06539003</v>
      </c>
      <c r="D10546">
        <v>89301171</v>
      </c>
      <c r="E10546" t="str">
        <f t="shared" si="1886"/>
        <v>8154144207</v>
      </c>
      <c r="F10546" s="1">
        <v>45145</v>
      </c>
      <c r="G10546" t="str">
        <f t="shared" si="1887"/>
        <v>91413</v>
      </c>
      <c r="H10546">
        <v>1</v>
      </c>
      <c r="I10546">
        <v>868</v>
      </c>
      <c r="J10546">
        <v>0</v>
      </c>
      <c r="K10546" t="str">
        <f t="shared" si="1888"/>
        <v>813</v>
      </c>
      <c r="L10546">
        <v>729.12</v>
      </c>
    </row>
    <row r="10547" spans="1:12" x14ac:dyDescent="0.25">
      <c r="A10547" t="str">
        <f t="shared" si="1875"/>
        <v>89301000</v>
      </c>
      <c r="B10547" t="str">
        <f t="shared" si="1880"/>
        <v>06539000</v>
      </c>
      <c r="C10547" t="str">
        <f t="shared" si="1885"/>
        <v>06539003</v>
      </c>
      <c r="D10547">
        <v>89301171</v>
      </c>
      <c r="E10547" t="str">
        <f t="shared" si="1886"/>
        <v>8154144207</v>
      </c>
      <c r="F10547" s="1">
        <v>45146</v>
      </c>
      <c r="G10547" t="str">
        <f t="shared" si="1887"/>
        <v>91413</v>
      </c>
      <c r="H10547">
        <v>1</v>
      </c>
      <c r="I10547">
        <v>868</v>
      </c>
      <c r="J10547">
        <v>0</v>
      </c>
      <c r="K10547" t="str">
        <f t="shared" si="1888"/>
        <v>813</v>
      </c>
      <c r="L10547">
        <v>729.12</v>
      </c>
    </row>
    <row r="10548" spans="1:12" x14ac:dyDescent="0.25">
      <c r="A10548" t="str">
        <f t="shared" si="1875"/>
        <v>89301000</v>
      </c>
      <c r="B10548" t="str">
        <f t="shared" si="1880"/>
        <v>06539000</v>
      </c>
      <c r="C10548" t="str">
        <f t="shared" si="1885"/>
        <v>06539003</v>
      </c>
      <c r="D10548">
        <v>89301171</v>
      </c>
      <c r="E10548" t="str">
        <f t="shared" si="1886"/>
        <v>8154144207</v>
      </c>
      <c r="F10548" s="1">
        <v>45146</v>
      </c>
      <c r="G10548" t="str">
        <f t="shared" si="1887"/>
        <v>91413</v>
      </c>
      <c r="H10548">
        <v>1</v>
      </c>
      <c r="I10548">
        <v>868</v>
      </c>
      <c r="J10548">
        <v>0</v>
      </c>
      <c r="K10548" t="str">
        <f t="shared" si="1888"/>
        <v>813</v>
      </c>
      <c r="L10548">
        <v>729.12</v>
      </c>
    </row>
    <row r="10549" spans="1:12" x14ac:dyDescent="0.25">
      <c r="A10549" t="str">
        <f t="shared" si="1875"/>
        <v>89301000</v>
      </c>
      <c r="B10549" t="str">
        <f t="shared" si="1880"/>
        <v>06539000</v>
      </c>
      <c r="C10549" t="str">
        <f t="shared" si="1885"/>
        <v>06539003</v>
      </c>
      <c r="D10549">
        <v>89301171</v>
      </c>
      <c r="E10549" t="str">
        <f t="shared" si="1886"/>
        <v>8154144207</v>
      </c>
      <c r="F10549" s="1">
        <v>45146</v>
      </c>
      <c r="G10549" t="str">
        <f t="shared" si="1887"/>
        <v>91413</v>
      </c>
      <c r="H10549">
        <v>1</v>
      </c>
      <c r="I10549">
        <v>868</v>
      </c>
      <c r="J10549">
        <v>0</v>
      </c>
      <c r="K10549" t="str">
        <f t="shared" si="1888"/>
        <v>813</v>
      </c>
      <c r="L10549">
        <v>729.12</v>
      </c>
    </row>
    <row r="10550" spans="1:12" x14ac:dyDescent="0.25">
      <c r="A10550" t="str">
        <f t="shared" si="1875"/>
        <v>89301000</v>
      </c>
      <c r="B10550" t="str">
        <f t="shared" si="1880"/>
        <v>06539000</v>
      </c>
      <c r="C10550" t="str">
        <f t="shared" si="1885"/>
        <v>06539003</v>
      </c>
      <c r="D10550">
        <v>89301171</v>
      </c>
      <c r="E10550" t="str">
        <f t="shared" si="1886"/>
        <v>8154144207</v>
      </c>
      <c r="F10550" s="1">
        <v>45146</v>
      </c>
      <c r="G10550" t="str">
        <f t="shared" si="1887"/>
        <v>91413</v>
      </c>
      <c r="H10550">
        <v>1</v>
      </c>
      <c r="I10550">
        <v>868</v>
      </c>
      <c r="J10550">
        <v>0</v>
      </c>
      <c r="K10550" t="str">
        <f t="shared" si="1888"/>
        <v>813</v>
      </c>
      <c r="L10550">
        <v>729.12</v>
      </c>
    </row>
    <row r="10551" spans="1:12" x14ac:dyDescent="0.25">
      <c r="A10551" t="str">
        <f t="shared" si="1875"/>
        <v>89301000</v>
      </c>
      <c r="B10551" t="str">
        <f t="shared" si="1880"/>
        <v>06539000</v>
      </c>
      <c r="C10551" t="str">
        <f t="shared" si="1885"/>
        <v>06539003</v>
      </c>
      <c r="D10551">
        <v>89301171</v>
      </c>
      <c r="E10551" t="str">
        <f t="shared" si="1886"/>
        <v>8154144207</v>
      </c>
      <c r="F10551" s="1">
        <v>45131</v>
      </c>
      <c r="G10551" t="str">
        <f>"91197"</f>
        <v>91197</v>
      </c>
      <c r="H10551">
        <v>1</v>
      </c>
      <c r="I10551">
        <v>1048</v>
      </c>
      <c r="J10551">
        <v>0</v>
      </c>
      <c r="K10551" t="str">
        <f t="shared" si="1888"/>
        <v>813</v>
      </c>
      <c r="L10551">
        <v>880.32</v>
      </c>
    </row>
    <row r="10552" spans="1:12" x14ac:dyDescent="0.25">
      <c r="A10552" t="str">
        <f t="shared" si="1875"/>
        <v>89301000</v>
      </c>
      <c r="B10552" t="str">
        <f t="shared" si="1880"/>
        <v>06539000</v>
      </c>
      <c r="C10552" t="str">
        <f t="shared" si="1885"/>
        <v>06539003</v>
      </c>
      <c r="D10552">
        <v>89301171</v>
      </c>
      <c r="E10552" t="str">
        <f t="shared" si="1886"/>
        <v>8154144207</v>
      </c>
      <c r="F10552" s="1">
        <v>45131</v>
      </c>
      <c r="G10552" t="str">
        <f>"91197"</f>
        <v>91197</v>
      </c>
      <c r="H10552">
        <v>1</v>
      </c>
      <c r="I10552">
        <v>1048</v>
      </c>
      <c r="J10552">
        <v>0</v>
      </c>
      <c r="K10552" t="str">
        <f t="shared" si="1888"/>
        <v>813</v>
      </c>
      <c r="L10552">
        <v>880.32</v>
      </c>
    </row>
    <row r="10553" spans="1:12" x14ac:dyDescent="0.25">
      <c r="A10553" t="str">
        <f t="shared" si="1875"/>
        <v>89301000</v>
      </c>
      <c r="B10553" t="str">
        <f t="shared" si="1880"/>
        <v>06539000</v>
      </c>
      <c r="C10553" t="str">
        <f t="shared" si="1885"/>
        <v>06539003</v>
      </c>
      <c r="D10553">
        <v>89301171</v>
      </c>
      <c r="E10553" t="str">
        <f t="shared" si="1886"/>
        <v>8154144207</v>
      </c>
      <c r="F10553" s="1">
        <v>45130</v>
      </c>
      <c r="G10553" t="str">
        <f>"91197"</f>
        <v>91197</v>
      </c>
      <c r="H10553">
        <v>1</v>
      </c>
      <c r="I10553">
        <v>1048</v>
      </c>
      <c r="J10553">
        <v>0</v>
      </c>
      <c r="K10553" t="str">
        <f t="shared" si="1888"/>
        <v>813</v>
      </c>
      <c r="L10553">
        <v>880.32</v>
      </c>
    </row>
    <row r="10554" spans="1:12" x14ac:dyDescent="0.25">
      <c r="A10554" t="str">
        <f t="shared" si="1875"/>
        <v>89301000</v>
      </c>
      <c r="B10554" t="str">
        <f t="shared" si="1880"/>
        <v>06539000</v>
      </c>
      <c r="C10554" t="str">
        <f t="shared" si="1885"/>
        <v>06539003</v>
      </c>
      <c r="D10554">
        <v>89301171</v>
      </c>
      <c r="E10554" t="str">
        <f t="shared" si="1886"/>
        <v>8154144207</v>
      </c>
      <c r="F10554" s="1">
        <v>45130</v>
      </c>
      <c r="G10554" t="str">
        <f>"91197"</f>
        <v>91197</v>
      </c>
      <c r="H10554">
        <v>1</v>
      </c>
      <c r="I10554">
        <v>1048</v>
      </c>
      <c r="J10554">
        <v>0</v>
      </c>
      <c r="K10554" t="str">
        <f t="shared" si="1888"/>
        <v>813</v>
      </c>
      <c r="L10554">
        <v>880.32</v>
      </c>
    </row>
    <row r="10555" spans="1:12" x14ac:dyDescent="0.25">
      <c r="A10555" t="str">
        <f t="shared" si="1875"/>
        <v>89301000</v>
      </c>
      <c r="B10555" t="str">
        <f t="shared" si="1880"/>
        <v>06539000</v>
      </c>
      <c r="C10555" t="str">
        <f t="shared" si="1885"/>
        <v>06539003</v>
      </c>
      <c r="D10555">
        <v>89301171</v>
      </c>
      <c r="E10555" t="str">
        <f t="shared" si="1886"/>
        <v>8154144207</v>
      </c>
      <c r="F10555" s="1">
        <v>45146</v>
      </c>
      <c r="G10555" t="str">
        <f>"91329"</f>
        <v>91329</v>
      </c>
      <c r="H10555">
        <v>2</v>
      </c>
      <c r="I10555">
        <v>436</v>
      </c>
      <c r="J10555">
        <v>0</v>
      </c>
      <c r="K10555" t="str">
        <f t="shared" si="1888"/>
        <v>813</v>
      </c>
      <c r="L10555">
        <v>366.24</v>
      </c>
    </row>
    <row r="10556" spans="1:12" x14ac:dyDescent="0.25">
      <c r="A10556" t="str">
        <f t="shared" si="1875"/>
        <v>89301000</v>
      </c>
      <c r="B10556" t="str">
        <f t="shared" si="1880"/>
        <v>06539000</v>
      </c>
      <c r="C10556" t="str">
        <f t="shared" si="1885"/>
        <v>06539003</v>
      </c>
      <c r="D10556">
        <v>89301171</v>
      </c>
      <c r="E10556" t="str">
        <f t="shared" si="1886"/>
        <v>8154144207</v>
      </c>
      <c r="F10556" s="1">
        <v>45146</v>
      </c>
      <c r="G10556" t="str">
        <f>"91329"</f>
        <v>91329</v>
      </c>
      <c r="H10556">
        <v>2</v>
      </c>
      <c r="I10556">
        <v>436</v>
      </c>
      <c r="J10556">
        <v>0</v>
      </c>
      <c r="K10556" t="str">
        <f t="shared" si="1888"/>
        <v>813</v>
      </c>
      <c r="L10556">
        <v>366.24</v>
      </c>
    </row>
    <row r="10557" spans="1:12" x14ac:dyDescent="0.25">
      <c r="A10557" t="str">
        <f t="shared" si="1875"/>
        <v>89301000</v>
      </c>
      <c r="B10557" t="str">
        <f t="shared" si="1880"/>
        <v>06539000</v>
      </c>
      <c r="C10557" t="str">
        <f t="shared" si="1885"/>
        <v>06539003</v>
      </c>
      <c r="D10557">
        <v>89301171</v>
      </c>
      <c r="E10557" t="str">
        <f t="shared" si="1886"/>
        <v>8154144207</v>
      </c>
      <c r="F10557" s="1">
        <v>45146</v>
      </c>
      <c r="G10557" t="str">
        <f>"91329"</f>
        <v>91329</v>
      </c>
      <c r="H10557">
        <v>2</v>
      </c>
      <c r="I10557">
        <v>436</v>
      </c>
      <c r="J10557">
        <v>0</v>
      </c>
      <c r="K10557" t="str">
        <f t="shared" si="1888"/>
        <v>813</v>
      </c>
      <c r="L10557">
        <v>366.24</v>
      </c>
    </row>
    <row r="10558" spans="1:12" x14ac:dyDescent="0.25">
      <c r="A10558" t="str">
        <f t="shared" si="1875"/>
        <v>89301000</v>
      </c>
      <c r="B10558" t="str">
        <f t="shared" si="1880"/>
        <v>06539000</v>
      </c>
      <c r="C10558" t="str">
        <f t="shared" si="1885"/>
        <v>06539003</v>
      </c>
      <c r="D10558">
        <v>89301171</v>
      </c>
      <c r="E10558" t="str">
        <f t="shared" si="1886"/>
        <v>8154144207</v>
      </c>
      <c r="F10558" s="1">
        <v>45146</v>
      </c>
      <c r="G10558" t="str">
        <f>"91329"</f>
        <v>91329</v>
      </c>
      <c r="H10558">
        <v>2</v>
      </c>
      <c r="I10558">
        <v>436</v>
      </c>
      <c r="J10558">
        <v>0</v>
      </c>
      <c r="K10558" t="str">
        <f t="shared" si="1888"/>
        <v>813</v>
      </c>
      <c r="L10558">
        <v>366.24</v>
      </c>
    </row>
    <row r="10559" spans="1:12" x14ac:dyDescent="0.25">
      <c r="A10559" t="str">
        <f t="shared" si="1875"/>
        <v>89301000</v>
      </c>
      <c r="B10559" t="str">
        <f t="shared" si="1880"/>
        <v>06539000</v>
      </c>
      <c r="C10559" t="str">
        <f t="shared" si="1885"/>
        <v>06539003</v>
      </c>
      <c r="D10559">
        <v>89301171</v>
      </c>
      <c r="E10559" t="str">
        <f t="shared" si="1886"/>
        <v>8154144207</v>
      </c>
      <c r="F10559" s="1">
        <v>45130</v>
      </c>
      <c r="G10559" t="str">
        <f>"91129"</f>
        <v>91129</v>
      </c>
      <c r="H10559">
        <v>1</v>
      </c>
      <c r="I10559">
        <v>175</v>
      </c>
      <c r="J10559">
        <v>0</v>
      </c>
      <c r="K10559" t="str">
        <f t="shared" si="1888"/>
        <v>813</v>
      </c>
      <c r="L10559">
        <v>147</v>
      </c>
    </row>
    <row r="10560" spans="1:12" x14ac:dyDescent="0.25">
      <c r="A10560" t="str">
        <f t="shared" si="1875"/>
        <v>89301000</v>
      </c>
      <c r="B10560" t="str">
        <f t="shared" si="1880"/>
        <v>06539000</v>
      </c>
      <c r="C10560" t="str">
        <f t="shared" si="1885"/>
        <v>06539003</v>
      </c>
      <c r="D10560">
        <v>89301171</v>
      </c>
      <c r="E10560" t="str">
        <f t="shared" si="1886"/>
        <v>8154144207</v>
      </c>
      <c r="F10560" s="1">
        <v>45130</v>
      </c>
      <c r="G10560" t="str">
        <f>"91131"</f>
        <v>91131</v>
      </c>
      <c r="H10560">
        <v>1</v>
      </c>
      <c r="I10560">
        <v>171</v>
      </c>
      <c r="J10560">
        <v>0</v>
      </c>
      <c r="K10560" t="str">
        <f t="shared" si="1888"/>
        <v>813</v>
      </c>
      <c r="L10560">
        <v>143.63999999999999</v>
      </c>
    </row>
    <row r="10561" spans="1:12" x14ac:dyDescent="0.25">
      <c r="A10561" t="str">
        <f t="shared" si="1875"/>
        <v>89301000</v>
      </c>
      <c r="B10561" t="str">
        <f t="shared" si="1880"/>
        <v>06539000</v>
      </c>
      <c r="C10561" t="str">
        <f t="shared" si="1885"/>
        <v>06539003</v>
      </c>
      <c r="D10561">
        <v>89301171</v>
      </c>
      <c r="E10561" t="str">
        <f t="shared" si="1886"/>
        <v>8154144207</v>
      </c>
      <c r="F10561" s="1">
        <v>45130</v>
      </c>
      <c r="G10561" t="str">
        <f>"91133"</f>
        <v>91133</v>
      </c>
      <c r="H10561">
        <v>1</v>
      </c>
      <c r="I10561">
        <v>177</v>
      </c>
      <c r="J10561">
        <v>0</v>
      </c>
      <c r="K10561" t="str">
        <f t="shared" si="1888"/>
        <v>813</v>
      </c>
      <c r="L10561">
        <v>148.68</v>
      </c>
    </row>
    <row r="10562" spans="1:12" x14ac:dyDescent="0.25">
      <c r="A10562" t="str">
        <f t="shared" ref="A10562:A10625" si="1889">"89301000"</f>
        <v>89301000</v>
      </c>
      <c r="B10562" t="str">
        <f t="shared" si="1880"/>
        <v>06539000</v>
      </c>
      <c r="C10562" t="str">
        <f t="shared" si="1885"/>
        <v>06539003</v>
      </c>
      <c r="D10562">
        <v>89301171</v>
      </c>
      <c r="E10562" t="str">
        <f t="shared" si="1886"/>
        <v>8154144207</v>
      </c>
      <c r="F10562" s="1">
        <v>45130</v>
      </c>
      <c r="G10562" t="str">
        <f>"91171"</f>
        <v>91171</v>
      </c>
      <c r="H10562">
        <v>1</v>
      </c>
      <c r="I10562">
        <v>362</v>
      </c>
      <c r="J10562">
        <v>0</v>
      </c>
      <c r="K10562" t="str">
        <f t="shared" si="1888"/>
        <v>813</v>
      </c>
      <c r="L10562">
        <v>304.08</v>
      </c>
    </row>
    <row r="10563" spans="1:12" x14ac:dyDescent="0.25">
      <c r="A10563" t="str">
        <f t="shared" si="1889"/>
        <v>89301000</v>
      </c>
      <c r="B10563" t="str">
        <f t="shared" si="1880"/>
        <v>06539000</v>
      </c>
      <c r="C10563" t="str">
        <f t="shared" si="1885"/>
        <v>06539003</v>
      </c>
      <c r="D10563">
        <v>89301171</v>
      </c>
      <c r="E10563" t="str">
        <f t="shared" si="1886"/>
        <v>8154144207</v>
      </c>
      <c r="F10563" s="1">
        <v>45130</v>
      </c>
      <c r="G10563" t="str">
        <f>"91175"</f>
        <v>91175</v>
      </c>
      <c r="H10563">
        <v>1</v>
      </c>
      <c r="I10563">
        <v>362</v>
      </c>
      <c r="J10563">
        <v>0</v>
      </c>
      <c r="K10563" t="str">
        <f t="shared" si="1888"/>
        <v>813</v>
      </c>
      <c r="L10563">
        <v>304.08</v>
      </c>
    </row>
    <row r="10564" spans="1:12" x14ac:dyDescent="0.25">
      <c r="A10564" t="str">
        <f t="shared" si="1889"/>
        <v>89301000</v>
      </c>
      <c r="B10564" t="str">
        <f t="shared" si="1880"/>
        <v>06539000</v>
      </c>
      <c r="C10564" t="str">
        <f t="shared" si="1885"/>
        <v>06539003</v>
      </c>
      <c r="D10564">
        <v>89301171</v>
      </c>
      <c r="E10564" t="str">
        <f t="shared" si="1886"/>
        <v>8154144207</v>
      </c>
      <c r="F10564" s="1">
        <v>45133</v>
      </c>
      <c r="G10564" t="str">
        <f>"91475"</f>
        <v>91475</v>
      </c>
      <c r="H10564">
        <v>1</v>
      </c>
      <c r="I10564">
        <v>213</v>
      </c>
      <c r="J10564">
        <v>0</v>
      </c>
      <c r="K10564" t="str">
        <f t="shared" si="1888"/>
        <v>813</v>
      </c>
      <c r="L10564">
        <v>178.92</v>
      </c>
    </row>
    <row r="10565" spans="1:12" x14ac:dyDescent="0.25">
      <c r="A10565" t="str">
        <f t="shared" si="1889"/>
        <v>89301000</v>
      </c>
      <c r="B10565" t="str">
        <f t="shared" si="1880"/>
        <v>06539000</v>
      </c>
      <c r="C10565" t="str">
        <f t="shared" si="1885"/>
        <v>06539003</v>
      </c>
      <c r="D10565">
        <v>89301171</v>
      </c>
      <c r="E10565" t="str">
        <f t="shared" ref="E10565:E10593" si="1890">"6754111826"</f>
        <v>6754111826</v>
      </c>
      <c r="F10565" s="1">
        <v>45133</v>
      </c>
      <c r="G10565" t="str">
        <f t="shared" ref="G10565:G10574" si="1891">"91413"</f>
        <v>91413</v>
      </c>
      <c r="H10565">
        <v>1</v>
      </c>
      <c r="I10565">
        <v>868</v>
      </c>
      <c r="J10565">
        <v>0</v>
      </c>
      <c r="K10565" t="str">
        <f t="shared" si="1888"/>
        <v>813</v>
      </c>
      <c r="L10565">
        <v>729.12</v>
      </c>
    </row>
    <row r="10566" spans="1:12" x14ac:dyDescent="0.25">
      <c r="A10566" t="str">
        <f t="shared" si="1889"/>
        <v>89301000</v>
      </c>
      <c r="B10566" t="str">
        <f t="shared" si="1880"/>
        <v>06539000</v>
      </c>
      <c r="C10566" t="str">
        <f t="shared" si="1885"/>
        <v>06539003</v>
      </c>
      <c r="D10566">
        <v>89301171</v>
      </c>
      <c r="E10566" t="str">
        <f t="shared" si="1890"/>
        <v>6754111826</v>
      </c>
      <c r="F10566" s="1">
        <v>45133</v>
      </c>
      <c r="G10566" t="str">
        <f t="shared" si="1891"/>
        <v>91413</v>
      </c>
      <c r="H10566">
        <v>1</v>
      </c>
      <c r="I10566">
        <v>868</v>
      </c>
      <c r="J10566">
        <v>0</v>
      </c>
      <c r="K10566" t="str">
        <f t="shared" si="1888"/>
        <v>813</v>
      </c>
      <c r="L10566">
        <v>729.12</v>
      </c>
    </row>
    <row r="10567" spans="1:12" x14ac:dyDescent="0.25">
      <c r="A10567" t="str">
        <f t="shared" si="1889"/>
        <v>89301000</v>
      </c>
      <c r="B10567" t="str">
        <f t="shared" si="1880"/>
        <v>06539000</v>
      </c>
      <c r="C10567" t="str">
        <f t="shared" si="1885"/>
        <v>06539003</v>
      </c>
      <c r="D10567">
        <v>89301171</v>
      </c>
      <c r="E10567" t="str">
        <f t="shared" si="1890"/>
        <v>6754111826</v>
      </c>
      <c r="F10567" s="1">
        <v>45146</v>
      </c>
      <c r="G10567" t="str">
        <f t="shared" si="1891"/>
        <v>91413</v>
      </c>
      <c r="H10567">
        <v>1</v>
      </c>
      <c r="I10567">
        <v>868</v>
      </c>
      <c r="J10567">
        <v>0</v>
      </c>
      <c r="K10567" t="str">
        <f t="shared" si="1888"/>
        <v>813</v>
      </c>
      <c r="L10567">
        <v>729.12</v>
      </c>
    </row>
    <row r="10568" spans="1:12" x14ac:dyDescent="0.25">
      <c r="A10568" t="str">
        <f t="shared" si="1889"/>
        <v>89301000</v>
      </c>
      <c r="B10568" t="str">
        <f t="shared" si="1880"/>
        <v>06539000</v>
      </c>
      <c r="C10568" t="str">
        <f t="shared" si="1885"/>
        <v>06539003</v>
      </c>
      <c r="D10568">
        <v>89301171</v>
      </c>
      <c r="E10568" t="str">
        <f t="shared" si="1890"/>
        <v>6754111826</v>
      </c>
      <c r="F10568" s="1">
        <v>45146</v>
      </c>
      <c r="G10568" t="str">
        <f t="shared" si="1891"/>
        <v>91413</v>
      </c>
      <c r="H10568">
        <v>1</v>
      </c>
      <c r="I10568">
        <v>868</v>
      </c>
      <c r="J10568">
        <v>0</v>
      </c>
      <c r="K10568" t="str">
        <f t="shared" si="1888"/>
        <v>813</v>
      </c>
      <c r="L10568">
        <v>729.12</v>
      </c>
    </row>
    <row r="10569" spans="1:12" x14ac:dyDescent="0.25">
      <c r="A10569" t="str">
        <f t="shared" si="1889"/>
        <v>89301000</v>
      </c>
      <c r="B10569" t="str">
        <f t="shared" si="1880"/>
        <v>06539000</v>
      </c>
      <c r="C10569" t="str">
        <f t="shared" si="1885"/>
        <v>06539003</v>
      </c>
      <c r="D10569">
        <v>89301171</v>
      </c>
      <c r="E10569" t="str">
        <f t="shared" si="1890"/>
        <v>6754111826</v>
      </c>
      <c r="F10569" s="1">
        <v>45145</v>
      </c>
      <c r="G10569" t="str">
        <f t="shared" si="1891"/>
        <v>91413</v>
      </c>
      <c r="H10569">
        <v>1</v>
      </c>
      <c r="I10569">
        <v>868</v>
      </c>
      <c r="J10569">
        <v>0</v>
      </c>
      <c r="K10569" t="str">
        <f t="shared" si="1888"/>
        <v>813</v>
      </c>
      <c r="L10569">
        <v>729.12</v>
      </c>
    </row>
    <row r="10570" spans="1:12" x14ac:dyDescent="0.25">
      <c r="A10570" t="str">
        <f t="shared" si="1889"/>
        <v>89301000</v>
      </c>
      <c r="B10570" t="str">
        <f t="shared" si="1880"/>
        <v>06539000</v>
      </c>
      <c r="C10570" t="str">
        <f t="shared" si="1885"/>
        <v>06539003</v>
      </c>
      <c r="D10570">
        <v>89301171</v>
      </c>
      <c r="E10570" t="str">
        <f t="shared" si="1890"/>
        <v>6754111826</v>
      </c>
      <c r="F10570" s="1">
        <v>45145</v>
      </c>
      <c r="G10570" t="str">
        <f t="shared" si="1891"/>
        <v>91413</v>
      </c>
      <c r="H10570">
        <v>1</v>
      </c>
      <c r="I10570">
        <v>868</v>
      </c>
      <c r="J10570">
        <v>0</v>
      </c>
      <c r="K10570" t="str">
        <f t="shared" si="1888"/>
        <v>813</v>
      </c>
      <c r="L10570">
        <v>729.12</v>
      </c>
    </row>
    <row r="10571" spans="1:12" x14ac:dyDescent="0.25">
      <c r="A10571" t="str">
        <f t="shared" si="1889"/>
        <v>89301000</v>
      </c>
      <c r="B10571" t="str">
        <f t="shared" si="1880"/>
        <v>06539000</v>
      </c>
      <c r="C10571" t="str">
        <f t="shared" si="1885"/>
        <v>06539003</v>
      </c>
      <c r="D10571">
        <v>89301171</v>
      </c>
      <c r="E10571" t="str">
        <f t="shared" si="1890"/>
        <v>6754111826</v>
      </c>
      <c r="F10571" s="1">
        <v>45146</v>
      </c>
      <c r="G10571" t="str">
        <f t="shared" si="1891"/>
        <v>91413</v>
      </c>
      <c r="H10571">
        <v>1</v>
      </c>
      <c r="I10571">
        <v>868</v>
      </c>
      <c r="J10571">
        <v>0</v>
      </c>
      <c r="K10571" t="str">
        <f t="shared" si="1888"/>
        <v>813</v>
      </c>
      <c r="L10571">
        <v>729.12</v>
      </c>
    </row>
    <row r="10572" spans="1:12" x14ac:dyDescent="0.25">
      <c r="A10572" t="str">
        <f t="shared" si="1889"/>
        <v>89301000</v>
      </c>
      <c r="B10572" t="str">
        <f t="shared" si="1880"/>
        <v>06539000</v>
      </c>
      <c r="C10572" t="str">
        <f t="shared" si="1885"/>
        <v>06539003</v>
      </c>
      <c r="D10572">
        <v>89301171</v>
      </c>
      <c r="E10572" t="str">
        <f t="shared" si="1890"/>
        <v>6754111826</v>
      </c>
      <c r="F10572" s="1">
        <v>45146</v>
      </c>
      <c r="G10572" t="str">
        <f t="shared" si="1891"/>
        <v>91413</v>
      </c>
      <c r="H10572">
        <v>1</v>
      </c>
      <c r="I10572">
        <v>868</v>
      </c>
      <c r="J10572">
        <v>0</v>
      </c>
      <c r="K10572" t="str">
        <f t="shared" si="1888"/>
        <v>813</v>
      </c>
      <c r="L10572">
        <v>729.12</v>
      </c>
    </row>
    <row r="10573" spans="1:12" x14ac:dyDescent="0.25">
      <c r="A10573" t="str">
        <f t="shared" si="1889"/>
        <v>89301000</v>
      </c>
      <c r="B10573" t="str">
        <f t="shared" ref="B10573:B10636" si="1892">"06539000"</f>
        <v>06539000</v>
      </c>
      <c r="C10573" t="str">
        <f t="shared" ref="C10573:C10593" si="1893">"06539003"</f>
        <v>06539003</v>
      </c>
      <c r="D10573">
        <v>89301171</v>
      </c>
      <c r="E10573" t="str">
        <f t="shared" si="1890"/>
        <v>6754111826</v>
      </c>
      <c r="F10573" s="1">
        <v>45146</v>
      </c>
      <c r="G10573" t="str">
        <f t="shared" si="1891"/>
        <v>91413</v>
      </c>
      <c r="H10573">
        <v>1</v>
      </c>
      <c r="I10573">
        <v>868</v>
      </c>
      <c r="J10573">
        <v>0</v>
      </c>
      <c r="K10573" t="str">
        <f t="shared" ref="K10573:K10593" si="1894">"813"</f>
        <v>813</v>
      </c>
      <c r="L10573">
        <v>729.12</v>
      </c>
    </row>
    <row r="10574" spans="1:12" x14ac:dyDescent="0.25">
      <c r="A10574" t="str">
        <f t="shared" si="1889"/>
        <v>89301000</v>
      </c>
      <c r="B10574" t="str">
        <f t="shared" si="1892"/>
        <v>06539000</v>
      </c>
      <c r="C10574" t="str">
        <f t="shared" si="1893"/>
        <v>06539003</v>
      </c>
      <c r="D10574">
        <v>89301171</v>
      </c>
      <c r="E10574" t="str">
        <f t="shared" si="1890"/>
        <v>6754111826</v>
      </c>
      <c r="F10574" s="1">
        <v>45146</v>
      </c>
      <c r="G10574" t="str">
        <f t="shared" si="1891"/>
        <v>91413</v>
      </c>
      <c r="H10574">
        <v>1</v>
      </c>
      <c r="I10574">
        <v>868</v>
      </c>
      <c r="J10574">
        <v>0</v>
      </c>
      <c r="K10574" t="str">
        <f t="shared" si="1894"/>
        <v>813</v>
      </c>
      <c r="L10574">
        <v>729.12</v>
      </c>
    </row>
    <row r="10575" spans="1:12" x14ac:dyDescent="0.25">
      <c r="A10575" t="str">
        <f t="shared" si="1889"/>
        <v>89301000</v>
      </c>
      <c r="B10575" t="str">
        <f t="shared" si="1892"/>
        <v>06539000</v>
      </c>
      <c r="C10575" t="str">
        <f t="shared" si="1893"/>
        <v>06539003</v>
      </c>
      <c r="D10575">
        <v>89301171</v>
      </c>
      <c r="E10575" t="str">
        <f t="shared" si="1890"/>
        <v>6754111826</v>
      </c>
      <c r="F10575" s="1">
        <v>45131</v>
      </c>
      <c r="G10575" t="str">
        <f t="shared" ref="G10575:G10580" si="1895">"91197"</f>
        <v>91197</v>
      </c>
      <c r="H10575">
        <v>1</v>
      </c>
      <c r="I10575">
        <v>1048</v>
      </c>
      <c r="J10575">
        <v>0</v>
      </c>
      <c r="K10575" t="str">
        <f t="shared" si="1894"/>
        <v>813</v>
      </c>
      <c r="L10575">
        <v>880.32</v>
      </c>
    </row>
    <row r="10576" spans="1:12" x14ac:dyDescent="0.25">
      <c r="A10576" t="str">
        <f t="shared" si="1889"/>
        <v>89301000</v>
      </c>
      <c r="B10576" t="str">
        <f t="shared" si="1892"/>
        <v>06539000</v>
      </c>
      <c r="C10576" t="str">
        <f t="shared" si="1893"/>
        <v>06539003</v>
      </c>
      <c r="D10576">
        <v>89301171</v>
      </c>
      <c r="E10576" t="str">
        <f t="shared" si="1890"/>
        <v>6754111826</v>
      </c>
      <c r="F10576" s="1">
        <v>45131</v>
      </c>
      <c r="G10576" t="str">
        <f t="shared" si="1895"/>
        <v>91197</v>
      </c>
      <c r="H10576">
        <v>1</v>
      </c>
      <c r="I10576">
        <v>1048</v>
      </c>
      <c r="J10576">
        <v>0</v>
      </c>
      <c r="K10576" t="str">
        <f t="shared" si="1894"/>
        <v>813</v>
      </c>
      <c r="L10576">
        <v>880.32</v>
      </c>
    </row>
    <row r="10577" spans="1:12" x14ac:dyDescent="0.25">
      <c r="A10577" t="str">
        <f t="shared" si="1889"/>
        <v>89301000</v>
      </c>
      <c r="B10577" t="str">
        <f t="shared" si="1892"/>
        <v>06539000</v>
      </c>
      <c r="C10577" t="str">
        <f t="shared" si="1893"/>
        <v>06539003</v>
      </c>
      <c r="D10577">
        <v>89301171</v>
      </c>
      <c r="E10577" t="str">
        <f t="shared" si="1890"/>
        <v>6754111826</v>
      </c>
      <c r="F10577" s="1">
        <v>45130</v>
      </c>
      <c r="G10577" t="str">
        <f t="shared" si="1895"/>
        <v>91197</v>
      </c>
      <c r="H10577">
        <v>1</v>
      </c>
      <c r="I10577">
        <v>1048</v>
      </c>
      <c r="J10577">
        <v>0</v>
      </c>
      <c r="K10577" t="str">
        <f t="shared" si="1894"/>
        <v>813</v>
      </c>
      <c r="L10577">
        <v>880.32</v>
      </c>
    </row>
    <row r="10578" spans="1:12" x14ac:dyDescent="0.25">
      <c r="A10578" t="str">
        <f t="shared" si="1889"/>
        <v>89301000</v>
      </c>
      <c r="B10578" t="str">
        <f t="shared" si="1892"/>
        <v>06539000</v>
      </c>
      <c r="C10578" t="str">
        <f t="shared" si="1893"/>
        <v>06539003</v>
      </c>
      <c r="D10578">
        <v>89301171</v>
      </c>
      <c r="E10578" t="str">
        <f t="shared" si="1890"/>
        <v>6754111826</v>
      </c>
      <c r="F10578" s="1">
        <v>45130</v>
      </c>
      <c r="G10578" t="str">
        <f t="shared" si="1895"/>
        <v>91197</v>
      </c>
      <c r="H10578">
        <v>1</v>
      </c>
      <c r="I10578">
        <v>1048</v>
      </c>
      <c r="J10578">
        <v>0</v>
      </c>
      <c r="K10578" t="str">
        <f t="shared" si="1894"/>
        <v>813</v>
      </c>
      <c r="L10578">
        <v>880.32</v>
      </c>
    </row>
    <row r="10579" spans="1:12" x14ac:dyDescent="0.25">
      <c r="A10579" t="str">
        <f t="shared" si="1889"/>
        <v>89301000</v>
      </c>
      <c r="B10579" t="str">
        <f t="shared" si="1892"/>
        <v>06539000</v>
      </c>
      <c r="C10579" t="str">
        <f t="shared" si="1893"/>
        <v>06539003</v>
      </c>
      <c r="D10579">
        <v>89301171</v>
      </c>
      <c r="E10579" t="str">
        <f t="shared" si="1890"/>
        <v>6754111826</v>
      </c>
      <c r="F10579" s="1">
        <v>45129</v>
      </c>
      <c r="G10579" t="str">
        <f t="shared" si="1895"/>
        <v>91197</v>
      </c>
      <c r="H10579">
        <v>1</v>
      </c>
      <c r="I10579">
        <v>1048</v>
      </c>
      <c r="J10579">
        <v>0</v>
      </c>
      <c r="K10579" t="str">
        <f t="shared" si="1894"/>
        <v>813</v>
      </c>
      <c r="L10579">
        <v>880.32</v>
      </c>
    </row>
    <row r="10580" spans="1:12" x14ac:dyDescent="0.25">
      <c r="A10580" t="str">
        <f t="shared" si="1889"/>
        <v>89301000</v>
      </c>
      <c r="B10580" t="str">
        <f t="shared" si="1892"/>
        <v>06539000</v>
      </c>
      <c r="C10580" t="str">
        <f t="shared" si="1893"/>
        <v>06539003</v>
      </c>
      <c r="D10580">
        <v>89301171</v>
      </c>
      <c r="E10580" t="str">
        <f t="shared" si="1890"/>
        <v>6754111826</v>
      </c>
      <c r="F10580" s="1">
        <v>45129</v>
      </c>
      <c r="G10580" t="str">
        <f t="shared" si="1895"/>
        <v>91197</v>
      </c>
      <c r="H10580">
        <v>1</v>
      </c>
      <c r="I10580">
        <v>1048</v>
      </c>
      <c r="J10580">
        <v>0</v>
      </c>
      <c r="K10580" t="str">
        <f t="shared" si="1894"/>
        <v>813</v>
      </c>
      <c r="L10580">
        <v>880.32</v>
      </c>
    </row>
    <row r="10581" spans="1:12" x14ac:dyDescent="0.25">
      <c r="A10581" t="str">
        <f t="shared" si="1889"/>
        <v>89301000</v>
      </c>
      <c r="B10581" t="str">
        <f t="shared" si="1892"/>
        <v>06539000</v>
      </c>
      <c r="C10581" t="str">
        <f t="shared" si="1893"/>
        <v>06539003</v>
      </c>
      <c r="D10581">
        <v>89301171</v>
      </c>
      <c r="E10581" t="str">
        <f t="shared" si="1890"/>
        <v>6754111826</v>
      </c>
      <c r="F10581" s="1">
        <v>45139</v>
      </c>
      <c r="G10581" t="str">
        <f>"91495"</f>
        <v>91495</v>
      </c>
      <c r="H10581">
        <v>1</v>
      </c>
      <c r="I10581">
        <v>595</v>
      </c>
      <c r="J10581">
        <v>0</v>
      </c>
      <c r="K10581" t="str">
        <f t="shared" si="1894"/>
        <v>813</v>
      </c>
      <c r="L10581">
        <v>499.8</v>
      </c>
    </row>
    <row r="10582" spans="1:12" x14ac:dyDescent="0.25">
      <c r="A10582" t="str">
        <f t="shared" si="1889"/>
        <v>89301000</v>
      </c>
      <c r="B10582" t="str">
        <f t="shared" si="1892"/>
        <v>06539000</v>
      </c>
      <c r="C10582" t="str">
        <f t="shared" si="1893"/>
        <v>06539003</v>
      </c>
      <c r="D10582">
        <v>89301171</v>
      </c>
      <c r="E10582" t="str">
        <f t="shared" si="1890"/>
        <v>6754111826</v>
      </c>
      <c r="F10582" s="1">
        <v>45131</v>
      </c>
      <c r="G10582" t="str">
        <f>"91329"</f>
        <v>91329</v>
      </c>
      <c r="H10582">
        <v>2</v>
      </c>
      <c r="I10582">
        <v>436</v>
      </c>
      <c r="J10582">
        <v>0</v>
      </c>
      <c r="K10582" t="str">
        <f t="shared" si="1894"/>
        <v>813</v>
      </c>
      <c r="L10582">
        <v>366.24</v>
      </c>
    </row>
    <row r="10583" spans="1:12" x14ac:dyDescent="0.25">
      <c r="A10583" t="str">
        <f t="shared" si="1889"/>
        <v>89301000</v>
      </c>
      <c r="B10583" t="str">
        <f t="shared" si="1892"/>
        <v>06539000</v>
      </c>
      <c r="C10583" t="str">
        <f t="shared" si="1893"/>
        <v>06539003</v>
      </c>
      <c r="D10583">
        <v>89301171</v>
      </c>
      <c r="E10583" t="str">
        <f t="shared" si="1890"/>
        <v>6754111826</v>
      </c>
      <c r="F10583" s="1">
        <v>45131</v>
      </c>
      <c r="G10583" t="str">
        <f>"91329"</f>
        <v>91329</v>
      </c>
      <c r="H10583">
        <v>2</v>
      </c>
      <c r="I10583">
        <v>436</v>
      </c>
      <c r="J10583">
        <v>0</v>
      </c>
      <c r="K10583" t="str">
        <f t="shared" si="1894"/>
        <v>813</v>
      </c>
      <c r="L10583">
        <v>366.24</v>
      </c>
    </row>
    <row r="10584" spans="1:12" x14ac:dyDescent="0.25">
      <c r="A10584" t="str">
        <f t="shared" si="1889"/>
        <v>89301000</v>
      </c>
      <c r="B10584" t="str">
        <f t="shared" si="1892"/>
        <v>06539000</v>
      </c>
      <c r="C10584" t="str">
        <f t="shared" si="1893"/>
        <v>06539003</v>
      </c>
      <c r="D10584">
        <v>89301171</v>
      </c>
      <c r="E10584" t="str">
        <f t="shared" si="1890"/>
        <v>6754111826</v>
      </c>
      <c r="F10584" s="1">
        <v>45131</v>
      </c>
      <c r="G10584" t="str">
        <f>"91329"</f>
        <v>91329</v>
      </c>
      <c r="H10584">
        <v>2</v>
      </c>
      <c r="I10584">
        <v>436</v>
      </c>
      <c r="J10584">
        <v>0</v>
      </c>
      <c r="K10584" t="str">
        <f t="shared" si="1894"/>
        <v>813</v>
      </c>
      <c r="L10584">
        <v>366.24</v>
      </c>
    </row>
    <row r="10585" spans="1:12" x14ac:dyDescent="0.25">
      <c r="A10585" t="str">
        <f t="shared" si="1889"/>
        <v>89301000</v>
      </c>
      <c r="B10585" t="str">
        <f t="shared" si="1892"/>
        <v>06539000</v>
      </c>
      <c r="C10585" t="str">
        <f t="shared" si="1893"/>
        <v>06539003</v>
      </c>
      <c r="D10585">
        <v>89301171</v>
      </c>
      <c r="E10585" t="str">
        <f t="shared" si="1890"/>
        <v>6754111826</v>
      </c>
      <c r="F10585" s="1">
        <v>45131</v>
      </c>
      <c r="G10585" t="str">
        <f>"91329"</f>
        <v>91329</v>
      </c>
      <c r="H10585">
        <v>2</v>
      </c>
      <c r="I10585">
        <v>436</v>
      </c>
      <c r="J10585">
        <v>0</v>
      </c>
      <c r="K10585" t="str">
        <f t="shared" si="1894"/>
        <v>813</v>
      </c>
      <c r="L10585">
        <v>366.24</v>
      </c>
    </row>
    <row r="10586" spans="1:12" x14ac:dyDescent="0.25">
      <c r="A10586" t="str">
        <f t="shared" si="1889"/>
        <v>89301000</v>
      </c>
      <c r="B10586" t="str">
        <f t="shared" si="1892"/>
        <v>06539000</v>
      </c>
      <c r="C10586" t="str">
        <f t="shared" si="1893"/>
        <v>06539003</v>
      </c>
      <c r="D10586">
        <v>89301171</v>
      </c>
      <c r="E10586" t="str">
        <f t="shared" si="1890"/>
        <v>6754111826</v>
      </c>
      <c r="F10586" s="1">
        <v>45130</v>
      </c>
      <c r="G10586" t="str">
        <f>"91129"</f>
        <v>91129</v>
      </c>
      <c r="H10586">
        <v>1</v>
      </c>
      <c r="I10586">
        <v>175</v>
      </c>
      <c r="J10586">
        <v>0</v>
      </c>
      <c r="K10586" t="str">
        <f t="shared" si="1894"/>
        <v>813</v>
      </c>
      <c r="L10586">
        <v>147</v>
      </c>
    </row>
    <row r="10587" spans="1:12" x14ac:dyDescent="0.25">
      <c r="A10587" t="str">
        <f t="shared" si="1889"/>
        <v>89301000</v>
      </c>
      <c r="B10587" t="str">
        <f t="shared" si="1892"/>
        <v>06539000</v>
      </c>
      <c r="C10587" t="str">
        <f t="shared" si="1893"/>
        <v>06539003</v>
      </c>
      <c r="D10587">
        <v>89301171</v>
      </c>
      <c r="E10587" t="str">
        <f t="shared" si="1890"/>
        <v>6754111826</v>
      </c>
      <c r="F10587" s="1">
        <v>45130</v>
      </c>
      <c r="G10587" t="str">
        <f>"91131"</f>
        <v>91131</v>
      </c>
      <c r="H10587">
        <v>1</v>
      </c>
      <c r="I10587">
        <v>171</v>
      </c>
      <c r="J10587">
        <v>0</v>
      </c>
      <c r="K10587" t="str">
        <f t="shared" si="1894"/>
        <v>813</v>
      </c>
      <c r="L10587">
        <v>143.63999999999999</v>
      </c>
    </row>
    <row r="10588" spans="1:12" x14ac:dyDescent="0.25">
      <c r="A10588" t="str">
        <f t="shared" si="1889"/>
        <v>89301000</v>
      </c>
      <c r="B10588" t="str">
        <f t="shared" si="1892"/>
        <v>06539000</v>
      </c>
      <c r="C10588" t="str">
        <f t="shared" si="1893"/>
        <v>06539003</v>
      </c>
      <c r="D10588">
        <v>89301171</v>
      </c>
      <c r="E10588" t="str">
        <f t="shared" si="1890"/>
        <v>6754111826</v>
      </c>
      <c r="F10588" s="1">
        <v>45130</v>
      </c>
      <c r="G10588" t="str">
        <f>"91133"</f>
        <v>91133</v>
      </c>
      <c r="H10588">
        <v>1</v>
      </c>
      <c r="I10588">
        <v>177</v>
      </c>
      <c r="J10588">
        <v>0</v>
      </c>
      <c r="K10588" t="str">
        <f t="shared" si="1894"/>
        <v>813</v>
      </c>
      <c r="L10588">
        <v>148.68</v>
      </c>
    </row>
    <row r="10589" spans="1:12" x14ac:dyDescent="0.25">
      <c r="A10589" t="str">
        <f t="shared" si="1889"/>
        <v>89301000</v>
      </c>
      <c r="B10589" t="str">
        <f t="shared" si="1892"/>
        <v>06539000</v>
      </c>
      <c r="C10589" t="str">
        <f t="shared" si="1893"/>
        <v>06539003</v>
      </c>
      <c r="D10589">
        <v>89301171</v>
      </c>
      <c r="E10589" t="str">
        <f t="shared" si="1890"/>
        <v>6754111826</v>
      </c>
      <c r="F10589" s="1">
        <v>45130</v>
      </c>
      <c r="G10589" t="str">
        <f>"91171"</f>
        <v>91171</v>
      </c>
      <c r="H10589">
        <v>1</v>
      </c>
      <c r="I10589">
        <v>362</v>
      </c>
      <c r="J10589">
        <v>0</v>
      </c>
      <c r="K10589" t="str">
        <f t="shared" si="1894"/>
        <v>813</v>
      </c>
      <c r="L10589">
        <v>304.08</v>
      </c>
    </row>
    <row r="10590" spans="1:12" x14ac:dyDescent="0.25">
      <c r="A10590" t="str">
        <f t="shared" si="1889"/>
        <v>89301000</v>
      </c>
      <c r="B10590" t="str">
        <f t="shared" si="1892"/>
        <v>06539000</v>
      </c>
      <c r="C10590" t="str">
        <f t="shared" si="1893"/>
        <v>06539003</v>
      </c>
      <c r="D10590">
        <v>89301171</v>
      </c>
      <c r="E10590" t="str">
        <f t="shared" si="1890"/>
        <v>6754111826</v>
      </c>
      <c r="F10590" s="1">
        <v>45130</v>
      </c>
      <c r="G10590" t="str">
        <f>"91175"</f>
        <v>91175</v>
      </c>
      <c r="H10590">
        <v>1</v>
      </c>
      <c r="I10590">
        <v>362</v>
      </c>
      <c r="J10590">
        <v>0</v>
      </c>
      <c r="K10590" t="str">
        <f t="shared" si="1894"/>
        <v>813</v>
      </c>
      <c r="L10590">
        <v>304.08</v>
      </c>
    </row>
    <row r="10591" spans="1:12" x14ac:dyDescent="0.25">
      <c r="A10591" t="str">
        <f t="shared" si="1889"/>
        <v>89301000</v>
      </c>
      <c r="B10591" t="str">
        <f t="shared" si="1892"/>
        <v>06539000</v>
      </c>
      <c r="C10591" t="str">
        <f t="shared" si="1893"/>
        <v>06539003</v>
      </c>
      <c r="D10591">
        <v>89301171</v>
      </c>
      <c r="E10591" t="str">
        <f t="shared" si="1890"/>
        <v>6754111826</v>
      </c>
      <c r="F10591" s="1">
        <v>45129</v>
      </c>
      <c r="G10591" t="str">
        <f>"91167"</f>
        <v>91167</v>
      </c>
      <c r="H10591">
        <v>1</v>
      </c>
      <c r="I10591">
        <v>426</v>
      </c>
      <c r="J10591">
        <v>0</v>
      </c>
      <c r="K10591" t="str">
        <f t="shared" si="1894"/>
        <v>813</v>
      </c>
      <c r="L10591">
        <v>357.84</v>
      </c>
    </row>
    <row r="10592" spans="1:12" x14ac:dyDescent="0.25">
      <c r="A10592" t="str">
        <f t="shared" si="1889"/>
        <v>89301000</v>
      </c>
      <c r="B10592" t="str">
        <f t="shared" si="1892"/>
        <v>06539000</v>
      </c>
      <c r="C10592" t="str">
        <f t="shared" si="1893"/>
        <v>06539003</v>
      </c>
      <c r="D10592">
        <v>89301171</v>
      </c>
      <c r="E10592" t="str">
        <f t="shared" si="1890"/>
        <v>6754111826</v>
      </c>
      <c r="F10592" s="1">
        <v>45129</v>
      </c>
      <c r="G10592" t="str">
        <f>"91169"</f>
        <v>91169</v>
      </c>
      <c r="H10592">
        <v>1</v>
      </c>
      <c r="I10592">
        <v>426</v>
      </c>
      <c r="J10592">
        <v>0</v>
      </c>
      <c r="K10592" t="str">
        <f t="shared" si="1894"/>
        <v>813</v>
      </c>
      <c r="L10592">
        <v>357.84</v>
      </c>
    </row>
    <row r="10593" spans="1:12" x14ac:dyDescent="0.25">
      <c r="A10593" t="str">
        <f t="shared" si="1889"/>
        <v>89301000</v>
      </c>
      <c r="B10593" t="str">
        <f t="shared" si="1892"/>
        <v>06539000</v>
      </c>
      <c r="C10593" t="str">
        <f t="shared" si="1893"/>
        <v>06539003</v>
      </c>
      <c r="D10593">
        <v>89301171</v>
      </c>
      <c r="E10593" t="str">
        <f t="shared" si="1890"/>
        <v>6754111826</v>
      </c>
      <c r="F10593" s="1">
        <v>45139</v>
      </c>
      <c r="G10593" t="str">
        <f>"91475"</f>
        <v>91475</v>
      </c>
      <c r="H10593">
        <v>1</v>
      </c>
      <c r="I10593">
        <v>213</v>
      </c>
      <c r="J10593">
        <v>0</v>
      </c>
      <c r="K10593" t="str">
        <f t="shared" si="1894"/>
        <v>813</v>
      </c>
      <c r="L10593">
        <v>178.92</v>
      </c>
    </row>
    <row r="10594" spans="1:12" x14ac:dyDescent="0.25">
      <c r="A10594" t="str">
        <f t="shared" si="1889"/>
        <v>89301000</v>
      </c>
      <c r="B10594" t="str">
        <f t="shared" si="1892"/>
        <v>06539000</v>
      </c>
      <c r="C10594" t="str">
        <f>"06539001"</f>
        <v>06539001</v>
      </c>
      <c r="D10594">
        <v>89301171</v>
      </c>
      <c r="E10594" t="str">
        <f t="shared" ref="E10594:E10635" si="1896">"6855080067"</f>
        <v>6855080067</v>
      </c>
      <c r="F10594" s="1">
        <v>45128</v>
      </c>
      <c r="G10594" t="str">
        <f>"81329"</f>
        <v>81329</v>
      </c>
      <c r="H10594">
        <v>1</v>
      </c>
      <c r="I10594">
        <v>17</v>
      </c>
      <c r="J10594">
        <v>0</v>
      </c>
      <c r="K10594" t="str">
        <f>"801"</f>
        <v>801</v>
      </c>
      <c r="L10594">
        <v>14.28</v>
      </c>
    </row>
    <row r="10595" spans="1:12" x14ac:dyDescent="0.25">
      <c r="A10595" t="str">
        <f t="shared" si="1889"/>
        <v>89301000</v>
      </c>
      <c r="B10595" t="str">
        <f t="shared" si="1892"/>
        <v>06539000</v>
      </c>
      <c r="C10595" t="str">
        <f>"06539001"</f>
        <v>06539001</v>
      </c>
      <c r="D10595">
        <v>89301171</v>
      </c>
      <c r="E10595" t="str">
        <f t="shared" si="1896"/>
        <v>6855080067</v>
      </c>
      <c r="F10595" s="1">
        <v>45128</v>
      </c>
      <c r="G10595" t="str">
        <f>"81331"</f>
        <v>81331</v>
      </c>
      <c r="H10595">
        <v>1</v>
      </c>
      <c r="I10595">
        <v>193</v>
      </c>
      <c r="J10595">
        <v>0</v>
      </c>
      <c r="K10595" t="str">
        <f>"801"</f>
        <v>801</v>
      </c>
      <c r="L10595">
        <v>162.12</v>
      </c>
    </row>
    <row r="10596" spans="1:12" x14ac:dyDescent="0.25">
      <c r="A10596" t="str">
        <f t="shared" si="1889"/>
        <v>89301000</v>
      </c>
      <c r="B10596" t="str">
        <f t="shared" si="1892"/>
        <v>06539000</v>
      </c>
      <c r="C10596" t="str">
        <f t="shared" ref="C10596:C10603" si="1897">"06539002"</f>
        <v>06539002</v>
      </c>
      <c r="D10596">
        <v>89301171</v>
      </c>
      <c r="E10596" t="str">
        <f t="shared" si="1896"/>
        <v>6855080067</v>
      </c>
      <c r="F10596" s="1">
        <v>45128</v>
      </c>
      <c r="G10596" t="str">
        <f t="shared" ref="G10596:G10603" si="1898">"82097"</f>
        <v>82097</v>
      </c>
      <c r="H10596">
        <v>1</v>
      </c>
      <c r="I10596">
        <v>381</v>
      </c>
      <c r="J10596">
        <v>0</v>
      </c>
      <c r="K10596" t="str">
        <f t="shared" ref="K10596:K10603" si="1899">"802"</f>
        <v>802</v>
      </c>
      <c r="L10596">
        <v>369.57</v>
      </c>
    </row>
    <row r="10597" spans="1:12" x14ac:dyDescent="0.25">
      <c r="A10597" t="str">
        <f t="shared" si="1889"/>
        <v>89301000</v>
      </c>
      <c r="B10597" t="str">
        <f t="shared" si="1892"/>
        <v>06539000</v>
      </c>
      <c r="C10597" t="str">
        <f t="shared" si="1897"/>
        <v>06539002</v>
      </c>
      <c r="D10597">
        <v>89301171</v>
      </c>
      <c r="E10597" t="str">
        <f t="shared" si="1896"/>
        <v>6855080067</v>
      </c>
      <c r="F10597" s="1">
        <v>45128</v>
      </c>
      <c r="G10597" t="str">
        <f t="shared" si="1898"/>
        <v>82097</v>
      </c>
      <c r="H10597">
        <v>1</v>
      </c>
      <c r="I10597">
        <v>381</v>
      </c>
      <c r="J10597">
        <v>0</v>
      </c>
      <c r="K10597" t="str">
        <f t="shared" si="1899"/>
        <v>802</v>
      </c>
      <c r="L10597">
        <v>369.57</v>
      </c>
    </row>
    <row r="10598" spans="1:12" x14ac:dyDescent="0.25">
      <c r="A10598" t="str">
        <f t="shared" si="1889"/>
        <v>89301000</v>
      </c>
      <c r="B10598" t="str">
        <f t="shared" si="1892"/>
        <v>06539000</v>
      </c>
      <c r="C10598" t="str">
        <f t="shared" si="1897"/>
        <v>06539002</v>
      </c>
      <c r="D10598">
        <v>89301171</v>
      </c>
      <c r="E10598" t="str">
        <f t="shared" si="1896"/>
        <v>6855080067</v>
      </c>
      <c r="F10598" s="1">
        <v>45128</v>
      </c>
      <c r="G10598" t="str">
        <f t="shared" si="1898"/>
        <v>82097</v>
      </c>
      <c r="H10598">
        <v>1</v>
      </c>
      <c r="I10598">
        <v>381</v>
      </c>
      <c r="J10598">
        <v>0</v>
      </c>
      <c r="K10598" t="str">
        <f t="shared" si="1899"/>
        <v>802</v>
      </c>
      <c r="L10598">
        <v>369.57</v>
      </c>
    </row>
    <row r="10599" spans="1:12" x14ac:dyDescent="0.25">
      <c r="A10599" t="str">
        <f t="shared" si="1889"/>
        <v>89301000</v>
      </c>
      <c r="B10599" t="str">
        <f t="shared" si="1892"/>
        <v>06539000</v>
      </c>
      <c r="C10599" t="str">
        <f t="shared" si="1897"/>
        <v>06539002</v>
      </c>
      <c r="D10599">
        <v>89301171</v>
      </c>
      <c r="E10599" t="str">
        <f t="shared" si="1896"/>
        <v>6855080067</v>
      </c>
      <c r="F10599" s="1">
        <v>45128</v>
      </c>
      <c r="G10599" t="str">
        <f t="shared" si="1898"/>
        <v>82097</v>
      </c>
      <c r="H10599">
        <v>1</v>
      </c>
      <c r="I10599">
        <v>381</v>
      </c>
      <c r="J10599">
        <v>0</v>
      </c>
      <c r="K10599" t="str">
        <f t="shared" si="1899"/>
        <v>802</v>
      </c>
      <c r="L10599">
        <v>369.57</v>
      </c>
    </row>
    <row r="10600" spans="1:12" x14ac:dyDescent="0.25">
      <c r="A10600" t="str">
        <f t="shared" si="1889"/>
        <v>89301000</v>
      </c>
      <c r="B10600" t="str">
        <f t="shared" si="1892"/>
        <v>06539000</v>
      </c>
      <c r="C10600" t="str">
        <f t="shared" si="1897"/>
        <v>06539002</v>
      </c>
      <c r="D10600">
        <v>89301171</v>
      </c>
      <c r="E10600" t="str">
        <f t="shared" si="1896"/>
        <v>6855080067</v>
      </c>
      <c r="F10600" s="1">
        <v>45128</v>
      </c>
      <c r="G10600" t="str">
        <f t="shared" si="1898"/>
        <v>82097</v>
      </c>
      <c r="H10600">
        <v>1</v>
      </c>
      <c r="I10600">
        <v>381</v>
      </c>
      <c r="J10600">
        <v>0</v>
      </c>
      <c r="K10600" t="str">
        <f t="shared" si="1899"/>
        <v>802</v>
      </c>
      <c r="L10600">
        <v>369.57</v>
      </c>
    </row>
    <row r="10601" spans="1:12" x14ac:dyDescent="0.25">
      <c r="A10601" t="str">
        <f t="shared" si="1889"/>
        <v>89301000</v>
      </c>
      <c r="B10601" t="str">
        <f t="shared" si="1892"/>
        <v>06539000</v>
      </c>
      <c r="C10601" t="str">
        <f t="shared" si="1897"/>
        <v>06539002</v>
      </c>
      <c r="D10601">
        <v>89301171</v>
      </c>
      <c r="E10601" t="str">
        <f t="shared" si="1896"/>
        <v>6855080067</v>
      </c>
      <c r="F10601" s="1">
        <v>45128</v>
      </c>
      <c r="G10601" t="str">
        <f t="shared" si="1898"/>
        <v>82097</v>
      </c>
      <c r="H10601">
        <v>1</v>
      </c>
      <c r="I10601">
        <v>381</v>
      </c>
      <c r="J10601">
        <v>0</v>
      </c>
      <c r="K10601" t="str">
        <f t="shared" si="1899"/>
        <v>802</v>
      </c>
      <c r="L10601">
        <v>369.57</v>
      </c>
    </row>
    <row r="10602" spans="1:12" x14ac:dyDescent="0.25">
      <c r="A10602" t="str">
        <f t="shared" si="1889"/>
        <v>89301000</v>
      </c>
      <c r="B10602" t="str">
        <f t="shared" si="1892"/>
        <v>06539000</v>
      </c>
      <c r="C10602" t="str">
        <f t="shared" si="1897"/>
        <v>06539002</v>
      </c>
      <c r="D10602">
        <v>89301171</v>
      </c>
      <c r="E10602" t="str">
        <f t="shared" si="1896"/>
        <v>6855080067</v>
      </c>
      <c r="F10602" s="1">
        <v>45128</v>
      </c>
      <c r="G10602" t="str">
        <f t="shared" si="1898"/>
        <v>82097</v>
      </c>
      <c r="H10602">
        <v>1</v>
      </c>
      <c r="I10602">
        <v>381</v>
      </c>
      <c r="J10602">
        <v>0</v>
      </c>
      <c r="K10602" t="str">
        <f t="shared" si="1899"/>
        <v>802</v>
      </c>
      <c r="L10602">
        <v>369.57</v>
      </c>
    </row>
    <row r="10603" spans="1:12" x14ac:dyDescent="0.25">
      <c r="A10603" t="str">
        <f t="shared" si="1889"/>
        <v>89301000</v>
      </c>
      <c r="B10603" t="str">
        <f t="shared" si="1892"/>
        <v>06539000</v>
      </c>
      <c r="C10603" t="str">
        <f t="shared" si="1897"/>
        <v>06539002</v>
      </c>
      <c r="D10603">
        <v>89301171</v>
      </c>
      <c r="E10603" t="str">
        <f t="shared" si="1896"/>
        <v>6855080067</v>
      </c>
      <c r="F10603" s="1">
        <v>45128</v>
      </c>
      <c r="G10603" t="str">
        <f t="shared" si="1898"/>
        <v>82097</v>
      </c>
      <c r="H10603">
        <v>1</v>
      </c>
      <c r="I10603">
        <v>381</v>
      </c>
      <c r="J10603">
        <v>0</v>
      </c>
      <c r="K10603" t="str">
        <f t="shared" si="1899"/>
        <v>802</v>
      </c>
      <c r="L10603">
        <v>369.57</v>
      </c>
    </row>
    <row r="10604" spans="1:12" x14ac:dyDescent="0.25">
      <c r="A10604" t="str">
        <f t="shared" si="1889"/>
        <v>89301000</v>
      </c>
      <c r="B10604" t="str">
        <f t="shared" si="1892"/>
        <v>06539000</v>
      </c>
      <c r="C10604" t="str">
        <f t="shared" ref="C10604:C10635" si="1900">"06539003"</f>
        <v>06539003</v>
      </c>
      <c r="D10604">
        <v>89301171</v>
      </c>
      <c r="E10604" t="str">
        <f t="shared" si="1896"/>
        <v>6855080067</v>
      </c>
      <c r="F10604" s="1">
        <v>45133</v>
      </c>
      <c r="G10604" t="str">
        <f t="shared" ref="G10604:G10613" si="1901">"91413"</f>
        <v>91413</v>
      </c>
      <c r="H10604">
        <v>1</v>
      </c>
      <c r="I10604">
        <v>868</v>
      </c>
      <c r="J10604">
        <v>0</v>
      </c>
      <c r="K10604" t="str">
        <f t="shared" ref="K10604:K10635" si="1902">"813"</f>
        <v>813</v>
      </c>
      <c r="L10604">
        <v>729.12</v>
      </c>
    </row>
    <row r="10605" spans="1:12" x14ac:dyDescent="0.25">
      <c r="A10605" t="str">
        <f t="shared" si="1889"/>
        <v>89301000</v>
      </c>
      <c r="B10605" t="str">
        <f t="shared" si="1892"/>
        <v>06539000</v>
      </c>
      <c r="C10605" t="str">
        <f t="shared" si="1900"/>
        <v>06539003</v>
      </c>
      <c r="D10605">
        <v>89301171</v>
      </c>
      <c r="E10605" t="str">
        <f t="shared" si="1896"/>
        <v>6855080067</v>
      </c>
      <c r="F10605" s="1">
        <v>45133</v>
      </c>
      <c r="G10605" t="str">
        <f t="shared" si="1901"/>
        <v>91413</v>
      </c>
      <c r="H10605">
        <v>1</v>
      </c>
      <c r="I10605">
        <v>868</v>
      </c>
      <c r="J10605">
        <v>0</v>
      </c>
      <c r="K10605" t="str">
        <f t="shared" si="1902"/>
        <v>813</v>
      </c>
      <c r="L10605">
        <v>729.12</v>
      </c>
    </row>
    <row r="10606" spans="1:12" x14ac:dyDescent="0.25">
      <c r="A10606" t="str">
        <f t="shared" si="1889"/>
        <v>89301000</v>
      </c>
      <c r="B10606" t="str">
        <f t="shared" si="1892"/>
        <v>06539000</v>
      </c>
      <c r="C10606" t="str">
        <f t="shared" si="1900"/>
        <v>06539003</v>
      </c>
      <c r="D10606">
        <v>89301171</v>
      </c>
      <c r="E10606" t="str">
        <f t="shared" si="1896"/>
        <v>6855080067</v>
      </c>
      <c r="F10606" s="1">
        <v>45146</v>
      </c>
      <c r="G10606" t="str">
        <f t="shared" si="1901"/>
        <v>91413</v>
      </c>
      <c r="H10606">
        <v>1</v>
      </c>
      <c r="I10606">
        <v>868</v>
      </c>
      <c r="J10606">
        <v>0</v>
      </c>
      <c r="K10606" t="str">
        <f t="shared" si="1902"/>
        <v>813</v>
      </c>
      <c r="L10606">
        <v>729.12</v>
      </c>
    </row>
    <row r="10607" spans="1:12" x14ac:dyDescent="0.25">
      <c r="A10607" t="str">
        <f t="shared" si="1889"/>
        <v>89301000</v>
      </c>
      <c r="B10607" t="str">
        <f t="shared" si="1892"/>
        <v>06539000</v>
      </c>
      <c r="C10607" t="str">
        <f t="shared" si="1900"/>
        <v>06539003</v>
      </c>
      <c r="D10607">
        <v>89301171</v>
      </c>
      <c r="E10607" t="str">
        <f t="shared" si="1896"/>
        <v>6855080067</v>
      </c>
      <c r="F10607" s="1">
        <v>45146</v>
      </c>
      <c r="G10607" t="str">
        <f t="shared" si="1901"/>
        <v>91413</v>
      </c>
      <c r="H10607">
        <v>1</v>
      </c>
      <c r="I10607">
        <v>868</v>
      </c>
      <c r="J10607">
        <v>0</v>
      </c>
      <c r="K10607" t="str">
        <f t="shared" si="1902"/>
        <v>813</v>
      </c>
      <c r="L10607">
        <v>729.12</v>
      </c>
    </row>
    <row r="10608" spans="1:12" x14ac:dyDescent="0.25">
      <c r="A10608" t="str">
        <f t="shared" si="1889"/>
        <v>89301000</v>
      </c>
      <c r="B10608" t="str">
        <f t="shared" si="1892"/>
        <v>06539000</v>
      </c>
      <c r="C10608" t="str">
        <f t="shared" si="1900"/>
        <v>06539003</v>
      </c>
      <c r="D10608">
        <v>89301171</v>
      </c>
      <c r="E10608" t="str">
        <f t="shared" si="1896"/>
        <v>6855080067</v>
      </c>
      <c r="F10608" s="1">
        <v>45145</v>
      </c>
      <c r="G10608" t="str">
        <f t="shared" si="1901"/>
        <v>91413</v>
      </c>
      <c r="H10608">
        <v>1</v>
      </c>
      <c r="I10608">
        <v>868</v>
      </c>
      <c r="J10608">
        <v>0</v>
      </c>
      <c r="K10608" t="str">
        <f t="shared" si="1902"/>
        <v>813</v>
      </c>
      <c r="L10608">
        <v>729.12</v>
      </c>
    </row>
    <row r="10609" spans="1:12" x14ac:dyDescent="0.25">
      <c r="A10609" t="str">
        <f t="shared" si="1889"/>
        <v>89301000</v>
      </c>
      <c r="B10609" t="str">
        <f t="shared" si="1892"/>
        <v>06539000</v>
      </c>
      <c r="C10609" t="str">
        <f t="shared" si="1900"/>
        <v>06539003</v>
      </c>
      <c r="D10609">
        <v>89301171</v>
      </c>
      <c r="E10609" t="str">
        <f t="shared" si="1896"/>
        <v>6855080067</v>
      </c>
      <c r="F10609" s="1">
        <v>45145</v>
      </c>
      <c r="G10609" t="str">
        <f t="shared" si="1901"/>
        <v>91413</v>
      </c>
      <c r="H10609">
        <v>1</v>
      </c>
      <c r="I10609">
        <v>868</v>
      </c>
      <c r="J10609">
        <v>0</v>
      </c>
      <c r="K10609" t="str">
        <f t="shared" si="1902"/>
        <v>813</v>
      </c>
      <c r="L10609">
        <v>729.12</v>
      </c>
    </row>
    <row r="10610" spans="1:12" x14ac:dyDescent="0.25">
      <c r="A10610" t="str">
        <f t="shared" si="1889"/>
        <v>89301000</v>
      </c>
      <c r="B10610" t="str">
        <f t="shared" si="1892"/>
        <v>06539000</v>
      </c>
      <c r="C10610" t="str">
        <f t="shared" si="1900"/>
        <v>06539003</v>
      </c>
      <c r="D10610">
        <v>89301171</v>
      </c>
      <c r="E10610" t="str">
        <f t="shared" si="1896"/>
        <v>6855080067</v>
      </c>
      <c r="F10610" s="1">
        <v>45146</v>
      </c>
      <c r="G10610" t="str">
        <f t="shared" si="1901"/>
        <v>91413</v>
      </c>
      <c r="H10610">
        <v>1</v>
      </c>
      <c r="I10610">
        <v>868</v>
      </c>
      <c r="J10610">
        <v>0</v>
      </c>
      <c r="K10610" t="str">
        <f t="shared" si="1902"/>
        <v>813</v>
      </c>
      <c r="L10610">
        <v>729.12</v>
      </c>
    </row>
    <row r="10611" spans="1:12" x14ac:dyDescent="0.25">
      <c r="A10611" t="str">
        <f t="shared" si="1889"/>
        <v>89301000</v>
      </c>
      <c r="B10611" t="str">
        <f t="shared" si="1892"/>
        <v>06539000</v>
      </c>
      <c r="C10611" t="str">
        <f t="shared" si="1900"/>
        <v>06539003</v>
      </c>
      <c r="D10611">
        <v>89301171</v>
      </c>
      <c r="E10611" t="str">
        <f t="shared" si="1896"/>
        <v>6855080067</v>
      </c>
      <c r="F10611" s="1">
        <v>45146</v>
      </c>
      <c r="G10611" t="str">
        <f t="shared" si="1901"/>
        <v>91413</v>
      </c>
      <c r="H10611">
        <v>1</v>
      </c>
      <c r="I10611">
        <v>868</v>
      </c>
      <c r="J10611">
        <v>0</v>
      </c>
      <c r="K10611" t="str">
        <f t="shared" si="1902"/>
        <v>813</v>
      </c>
      <c r="L10611">
        <v>729.12</v>
      </c>
    </row>
    <row r="10612" spans="1:12" x14ac:dyDescent="0.25">
      <c r="A10612" t="str">
        <f t="shared" si="1889"/>
        <v>89301000</v>
      </c>
      <c r="B10612" t="str">
        <f t="shared" si="1892"/>
        <v>06539000</v>
      </c>
      <c r="C10612" t="str">
        <f t="shared" si="1900"/>
        <v>06539003</v>
      </c>
      <c r="D10612">
        <v>89301171</v>
      </c>
      <c r="E10612" t="str">
        <f t="shared" si="1896"/>
        <v>6855080067</v>
      </c>
      <c r="F10612" s="1">
        <v>45146</v>
      </c>
      <c r="G10612" t="str">
        <f t="shared" si="1901"/>
        <v>91413</v>
      </c>
      <c r="H10612">
        <v>1</v>
      </c>
      <c r="I10612">
        <v>868</v>
      </c>
      <c r="J10612">
        <v>0</v>
      </c>
      <c r="K10612" t="str">
        <f t="shared" si="1902"/>
        <v>813</v>
      </c>
      <c r="L10612">
        <v>729.12</v>
      </c>
    </row>
    <row r="10613" spans="1:12" x14ac:dyDescent="0.25">
      <c r="A10613" t="str">
        <f t="shared" si="1889"/>
        <v>89301000</v>
      </c>
      <c r="B10613" t="str">
        <f t="shared" si="1892"/>
        <v>06539000</v>
      </c>
      <c r="C10613" t="str">
        <f t="shared" si="1900"/>
        <v>06539003</v>
      </c>
      <c r="D10613">
        <v>89301171</v>
      </c>
      <c r="E10613" t="str">
        <f t="shared" si="1896"/>
        <v>6855080067</v>
      </c>
      <c r="F10613" s="1">
        <v>45146</v>
      </c>
      <c r="G10613" t="str">
        <f t="shared" si="1901"/>
        <v>91413</v>
      </c>
      <c r="H10613">
        <v>1</v>
      </c>
      <c r="I10613">
        <v>868</v>
      </c>
      <c r="J10613">
        <v>0</v>
      </c>
      <c r="K10613" t="str">
        <f t="shared" si="1902"/>
        <v>813</v>
      </c>
      <c r="L10613">
        <v>729.12</v>
      </c>
    </row>
    <row r="10614" spans="1:12" x14ac:dyDescent="0.25">
      <c r="A10614" t="str">
        <f t="shared" si="1889"/>
        <v>89301000</v>
      </c>
      <c r="B10614" t="str">
        <f t="shared" si="1892"/>
        <v>06539000</v>
      </c>
      <c r="C10614" t="str">
        <f t="shared" si="1900"/>
        <v>06539003</v>
      </c>
      <c r="D10614">
        <v>89301171</v>
      </c>
      <c r="E10614" t="str">
        <f t="shared" si="1896"/>
        <v>6855080067</v>
      </c>
      <c r="F10614" s="1">
        <v>45128</v>
      </c>
      <c r="G10614" t="str">
        <f t="shared" ref="G10614:G10620" si="1903">"91197"</f>
        <v>91197</v>
      </c>
      <c r="H10614">
        <v>1</v>
      </c>
      <c r="I10614">
        <v>1048</v>
      </c>
      <c r="J10614">
        <v>0</v>
      </c>
      <c r="K10614" t="str">
        <f t="shared" si="1902"/>
        <v>813</v>
      </c>
      <c r="L10614">
        <v>880.32</v>
      </c>
    </row>
    <row r="10615" spans="1:12" x14ac:dyDescent="0.25">
      <c r="A10615" t="str">
        <f t="shared" si="1889"/>
        <v>89301000</v>
      </c>
      <c r="B10615" t="str">
        <f t="shared" si="1892"/>
        <v>06539000</v>
      </c>
      <c r="C10615" t="str">
        <f t="shared" si="1900"/>
        <v>06539003</v>
      </c>
      <c r="D10615">
        <v>89301171</v>
      </c>
      <c r="E10615" t="str">
        <f t="shared" si="1896"/>
        <v>6855080067</v>
      </c>
      <c r="F10615" s="1">
        <v>45131</v>
      </c>
      <c r="G10615" t="str">
        <f t="shared" si="1903"/>
        <v>91197</v>
      </c>
      <c r="H10615">
        <v>1</v>
      </c>
      <c r="I10615">
        <v>1048</v>
      </c>
      <c r="J10615">
        <v>0</v>
      </c>
      <c r="K10615" t="str">
        <f t="shared" si="1902"/>
        <v>813</v>
      </c>
      <c r="L10615">
        <v>880.32</v>
      </c>
    </row>
    <row r="10616" spans="1:12" x14ac:dyDescent="0.25">
      <c r="A10616" t="str">
        <f t="shared" si="1889"/>
        <v>89301000</v>
      </c>
      <c r="B10616" t="str">
        <f t="shared" si="1892"/>
        <v>06539000</v>
      </c>
      <c r="C10616" t="str">
        <f t="shared" si="1900"/>
        <v>06539003</v>
      </c>
      <c r="D10616">
        <v>89301171</v>
      </c>
      <c r="E10616" t="str">
        <f t="shared" si="1896"/>
        <v>6855080067</v>
      </c>
      <c r="F10616" s="1">
        <v>45131</v>
      </c>
      <c r="G10616" t="str">
        <f t="shared" si="1903"/>
        <v>91197</v>
      </c>
      <c r="H10616">
        <v>1</v>
      </c>
      <c r="I10616">
        <v>1048</v>
      </c>
      <c r="J10616">
        <v>0</v>
      </c>
      <c r="K10616" t="str">
        <f t="shared" si="1902"/>
        <v>813</v>
      </c>
      <c r="L10616">
        <v>880.32</v>
      </c>
    </row>
    <row r="10617" spans="1:12" x14ac:dyDescent="0.25">
      <c r="A10617" t="str">
        <f t="shared" si="1889"/>
        <v>89301000</v>
      </c>
      <c r="B10617" t="str">
        <f t="shared" si="1892"/>
        <v>06539000</v>
      </c>
      <c r="C10617" t="str">
        <f t="shared" si="1900"/>
        <v>06539003</v>
      </c>
      <c r="D10617">
        <v>89301171</v>
      </c>
      <c r="E10617" t="str">
        <f t="shared" si="1896"/>
        <v>6855080067</v>
      </c>
      <c r="F10617" s="1">
        <v>45130</v>
      </c>
      <c r="G10617" t="str">
        <f t="shared" si="1903"/>
        <v>91197</v>
      </c>
      <c r="H10617">
        <v>1</v>
      </c>
      <c r="I10617">
        <v>1048</v>
      </c>
      <c r="J10617">
        <v>0</v>
      </c>
      <c r="K10617" t="str">
        <f t="shared" si="1902"/>
        <v>813</v>
      </c>
      <c r="L10617">
        <v>880.32</v>
      </c>
    </row>
    <row r="10618" spans="1:12" x14ac:dyDescent="0.25">
      <c r="A10618" t="str">
        <f t="shared" si="1889"/>
        <v>89301000</v>
      </c>
      <c r="B10618" t="str">
        <f t="shared" si="1892"/>
        <v>06539000</v>
      </c>
      <c r="C10618" t="str">
        <f t="shared" si="1900"/>
        <v>06539003</v>
      </c>
      <c r="D10618">
        <v>89301171</v>
      </c>
      <c r="E10618" t="str">
        <f t="shared" si="1896"/>
        <v>6855080067</v>
      </c>
      <c r="F10618" s="1">
        <v>45130</v>
      </c>
      <c r="G10618" t="str">
        <f t="shared" si="1903"/>
        <v>91197</v>
      </c>
      <c r="H10618">
        <v>1</v>
      </c>
      <c r="I10618">
        <v>1048</v>
      </c>
      <c r="J10618">
        <v>0</v>
      </c>
      <c r="K10618" t="str">
        <f t="shared" si="1902"/>
        <v>813</v>
      </c>
      <c r="L10618">
        <v>880.32</v>
      </c>
    </row>
    <row r="10619" spans="1:12" x14ac:dyDescent="0.25">
      <c r="A10619" t="str">
        <f t="shared" si="1889"/>
        <v>89301000</v>
      </c>
      <c r="B10619" t="str">
        <f t="shared" si="1892"/>
        <v>06539000</v>
      </c>
      <c r="C10619" t="str">
        <f t="shared" si="1900"/>
        <v>06539003</v>
      </c>
      <c r="D10619">
        <v>89301171</v>
      </c>
      <c r="E10619" t="str">
        <f t="shared" si="1896"/>
        <v>6855080067</v>
      </c>
      <c r="F10619" s="1">
        <v>45129</v>
      </c>
      <c r="G10619" t="str">
        <f t="shared" si="1903"/>
        <v>91197</v>
      </c>
      <c r="H10619">
        <v>1</v>
      </c>
      <c r="I10619">
        <v>1048</v>
      </c>
      <c r="J10619">
        <v>0</v>
      </c>
      <c r="K10619" t="str">
        <f t="shared" si="1902"/>
        <v>813</v>
      </c>
      <c r="L10619">
        <v>880.32</v>
      </c>
    </row>
    <row r="10620" spans="1:12" x14ac:dyDescent="0.25">
      <c r="A10620" t="str">
        <f t="shared" si="1889"/>
        <v>89301000</v>
      </c>
      <c r="B10620" t="str">
        <f t="shared" si="1892"/>
        <v>06539000</v>
      </c>
      <c r="C10620" t="str">
        <f t="shared" si="1900"/>
        <v>06539003</v>
      </c>
      <c r="D10620">
        <v>89301171</v>
      </c>
      <c r="E10620" t="str">
        <f t="shared" si="1896"/>
        <v>6855080067</v>
      </c>
      <c r="F10620" s="1">
        <v>45129</v>
      </c>
      <c r="G10620" t="str">
        <f t="shared" si="1903"/>
        <v>91197</v>
      </c>
      <c r="H10620">
        <v>1</v>
      </c>
      <c r="I10620">
        <v>1048</v>
      </c>
      <c r="J10620">
        <v>0</v>
      </c>
      <c r="K10620" t="str">
        <f t="shared" si="1902"/>
        <v>813</v>
      </c>
      <c r="L10620">
        <v>880.32</v>
      </c>
    </row>
    <row r="10621" spans="1:12" x14ac:dyDescent="0.25">
      <c r="A10621" t="str">
        <f t="shared" si="1889"/>
        <v>89301000</v>
      </c>
      <c r="B10621" t="str">
        <f t="shared" si="1892"/>
        <v>06539000</v>
      </c>
      <c r="C10621" t="str">
        <f t="shared" si="1900"/>
        <v>06539003</v>
      </c>
      <c r="D10621">
        <v>89301171</v>
      </c>
      <c r="E10621" t="str">
        <f t="shared" si="1896"/>
        <v>6855080067</v>
      </c>
      <c r="F10621" s="1">
        <v>45146</v>
      </c>
      <c r="G10621" t="str">
        <f>"91329"</f>
        <v>91329</v>
      </c>
      <c r="H10621">
        <v>2</v>
      </c>
      <c r="I10621">
        <v>436</v>
      </c>
      <c r="J10621">
        <v>0</v>
      </c>
      <c r="K10621" t="str">
        <f t="shared" si="1902"/>
        <v>813</v>
      </c>
      <c r="L10621">
        <v>366.24</v>
      </c>
    </row>
    <row r="10622" spans="1:12" x14ac:dyDescent="0.25">
      <c r="A10622" t="str">
        <f t="shared" si="1889"/>
        <v>89301000</v>
      </c>
      <c r="B10622" t="str">
        <f t="shared" si="1892"/>
        <v>06539000</v>
      </c>
      <c r="C10622" t="str">
        <f t="shared" si="1900"/>
        <v>06539003</v>
      </c>
      <c r="D10622">
        <v>89301171</v>
      </c>
      <c r="E10622" t="str">
        <f t="shared" si="1896"/>
        <v>6855080067</v>
      </c>
      <c r="F10622" s="1">
        <v>45146</v>
      </c>
      <c r="G10622" t="str">
        <f>"91329"</f>
        <v>91329</v>
      </c>
      <c r="H10622">
        <v>2</v>
      </c>
      <c r="I10622">
        <v>436</v>
      </c>
      <c r="J10622">
        <v>0</v>
      </c>
      <c r="K10622" t="str">
        <f t="shared" si="1902"/>
        <v>813</v>
      </c>
      <c r="L10622">
        <v>366.24</v>
      </c>
    </row>
    <row r="10623" spans="1:12" x14ac:dyDescent="0.25">
      <c r="A10623" t="str">
        <f t="shared" si="1889"/>
        <v>89301000</v>
      </c>
      <c r="B10623" t="str">
        <f t="shared" si="1892"/>
        <v>06539000</v>
      </c>
      <c r="C10623" t="str">
        <f t="shared" si="1900"/>
        <v>06539003</v>
      </c>
      <c r="D10623">
        <v>89301171</v>
      </c>
      <c r="E10623" t="str">
        <f t="shared" si="1896"/>
        <v>6855080067</v>
      </c>
      <c r="F10623" s="1">
        <v>45146</v>
      </c>
      <c r="G10623" t="str">
        <f>"91329"</f>
        <v>91329</v>
      </c>
      <c r="H10623">
        <v>2</v>
      </c>
      <c r="I10623">
        <v>436</v>
      </c>
      <c r="J10623">
        <v>0</v>
      </c>
      <c r="K10623" t="str">
        <f t="shared" si="1902"/>
        <v>813</v>
      </c>
      <c r="L10623">
        <v>366.24</v>
      </c>
    </row>
    <row r="10624" spans="1:12" x14ac:dyDescent="0.25">
      <c r="A10624" t="str">
        <f t="shared" si="1889"/>
        <v>89301000</v>
      </c>
      <c r="B10624" t="str">
        <f t="shared" si="1892"/>
        <v>06539000</v>
      </c>
      <c r="C10624" t="str">
        <f t="shared" si="1900"/>
        <v>06539003</v>
      </c>
      <c r="D10624">
        <v>89301171</v>
      </c>
      <c r="E10624" t="str">
        <f t="shared" si="1896"/>
        <v>6855080067</v>
      </c>
      <c r="F10624" s="1">
        <v>45146</v>
      </c>
      <c r="G10624" t="str">
        <f>"91329"</f>
        <v>91329</v>
      </c>
      <c r="H10624">
        <v>2</v>
      </c>
      <c r="I10624">
        <v>436</v>
      </c>
      <c r="J10624">
        <v>0</v>
      </c>
      <c r="K10624" t="str">
        <f t="shared" si="1902"/>
        <v>813</v>
      </c>
      <c r="L10624">
        <v>366.24</v>
      </c>
    </row>
    <row r="10625" spans="1:12" x14ac:dyDescent="0.25">
      <c r="A10625" t="str">
        <f t="shared" si="1889"/>
        <v>89301000</v>
      </c>
      <c r="B10625" t="str">
        <f t="shared" si="1892"/>
        <v>06539000</v>
      </c>
      <c r="C10625" t="str">
        <f t="shared" si="1900"/>
        <v>06539003</v>
      </c>
      <c r="D10625">
        <v>89301171</v>
      </c>
      <c r="E10625" t="str">
        <f t="shared" si="1896"/>
        <v>6855080067</v>
      </c>
      <c r="F10625" s="1">
        <v>45130</v>
      </c>
      <c r="G10625" t="str">
        <f>"91129"</f>
        <v>91129</v>
      </c>
      <c r="H10625">
        <v>1</v>
      </c>
      <c r="I10625">
        <v>175</v>
      </c>
      <c r="J10625">
        <v>0</v>
      </c>
      <c r="K10625" t="str">
        <f t="shared" si="1902"/>
        <v>813</v>
      </c>
      <c r="L10625">
        <v>147</v>
      </c>
    </row>
    <row r="10626" spans="1:12" x14ac:dyDescent="0.25">
      <c r="A10626" t="str">
        <f t="shared" ref="A10626:A10689" si="1904">"89301000"</f>
        <v>89301000</v>
      </c>
      <c r="B10626" t="str">
        <f t="shared" si="1892"/>
        <v>06539000</v>
      </c>
      <c r="C10626" t="str">
        <f t="shared" si="1900"/>
        <v>06539003</v>
      </c>
      <c r="D10626">
        <v>89301171</v>
      </c>
      <c r="E10626" t="str">
        <f t="shared" si="1896"/>
        <v>6855080067</v>
      </c>
      <c r="F10626" s="1">
        <v>45130</v>
      </c>
      <c r="G10626" t="str">
        <f>"91131"</f>
        <v>91131</v>
      </c>
      <c r="H10626">
        <v>1</v>
      </c>
      <c r="I10626">
        <v>171</v>
      </c>
      <c r="J10626">
        <v>0</v>
      </c>
      <c r="K10626" t="str">
        <f t="shared" si="1902"/>
        <v>813</v>
      </c>
      <c r="L10626">
        <v>143.63999999999999</v>
      </c>
    </row>
    <row r="10627" spans="1:12" x14ac:dyDescent="0.25">
      <c r="A10627" t="str">
        <f t="shared" si="1904"/>
        <v>89301000</v>
      </c>
      <c r="B10627" t="str">
        <f t="shared" si="1892"/>
        <v>06539000</v>
      </c>
      <c r="C10627" t="str">
        <f t="shared" si="1900"/>
        <v>06539003</v>
      </c>
      <c r="D10627">
        <v>89301171</v>
      </c>
      <c r="E10627" t="str">
        <f t="shared" si="1896"/>
        <v>6855080067</v>
      </c>
      <c r="F10627" s="1">
        <v>45130</v>
      </c>
      <c r="G10627" t="str">
        <f>"91133"</f>
        <v>91133</v>
      </c>
      <c r="H10627">
        <v>1</v>
      </c>
      <c r="I10627">
        <v>177</v>
      </c>
      <c r="J10627">
        <v>0</v>
      </c>
      <c r="K10627" t="str">
        <f t="shared" si="1902"/>
        <v>813</v>
      </c>
      <c r="L10627">
        <v>148.68</v>
      </c>
    </row>
    <row r="10628" spans="1:12" x14ac:dyDescent="0.25">
      <c r="A10628" t="str">
        <f t="shared" si="1904"/>
        <v>89301000</v>
      </c>
      <c r="B10628" t="str">
        <f t="shared" si="1892"/>
        <v>06539000</v>
      </c>
      <c r="C10628" t="str">
        <f t="shared" si="1900"/>
        <v>06539003</v>
      </c>
      <c r="D10628">
        <v>89301171</v>
      </c>
      <c r="E10628" t="str">
        <f t="shared" si="1896"/>
        <v>6855080067</v>
      </c>
      <c r="F10628" s="1">
        <v>45130</v>
      </c>
      <c r="G10628" t="str">
        <f>"91171"</f>
        <v>91171</v>
      </c>
      <c r="H10628">
        <v>1</v>
      </c>
      <c r="I10628">
        <v>362</v>
      </c>
      <c r="J10628">
        <v>0</v>
      </c>
      <c r="K10628" t="str">
        <f t="shared" si="1902"/>
        <v>813</v>
      </c>
      <c r="L10628">
        <v>304.08</v>
      </c>
    </row>
    <row r="10629" spans="1:12" x14ac:dyDescent="0.25">
      <c r="A10629" t="str">
        <f t="shared" si="1904"/>
        <v>89301000</v>
      </c>
      <c r="B10629" t="str">
        <f t="shared" si="1892"/>
        <v>06539000</v>
      </c>
      <c r="C10629" t="str">
        <f t="shared" si="1900"/>
        <v>06539003</v>
      </c>
      <c r="D10629">
        <v>89301171</v>
      </c>
      <c r="E10629" t="str">
        <f t="shared" si="1896"/>
        <v>6855080067</v>
      </c>
      <c r="F10629" s="1">
        <v>45128</v>
      </c>
      <c r="G10629" t="str">
        <f>"91173"</f>
        <v>91173</v>
      </c>
      <c r="H10629">
        <v>1</v>
      </c>
      <c r="I10629">
        <v>337</v>
      </c>
      <c r="J10629">
        <v>0</v>
      </c>
      <c r="K10629" t="str">
        <f t="shared" si="1902"/>
        <v>813</v>
      </c>
      <c r="L10629">
        <v>283.08</v>
      </c>
    </row>
    <row r="10630" spans="1:12" x14ac:dyDescent="0.25">
      <c r="A10630" t="str">
        <f t="shared" si="1904"/>
        <v>89301000</v>
      </c>
      <c r="B10630" t="str">
        <f t="shared" si="1892"/>
        <v>06539000</v>
      </c>
      <c r="C10630" t="str">
        <f t="shared" si="1900"/>
        <v>06539003</v>
      </c>
      <c r="D10630">
        <v>89301171</v>
      </c>
      <c r="E10630" t="str">
        <f t="shared" si="1896"/>
        <v>6855080067</v>
      </c>
      <c r="F10630" s="1">
        <v>45130</v>
      </c>
      <c r="G10630" t="str">
        <f>"91175"</f>
        <v>91175</v>
      </c>
      <c r="H10630">
        <v>1</v>
      </c>
      <c r="I10630">
        <v>362</v>
      </c>
      <c r="J10630">
        <v>0</v>
      </c>
      <c r="K10630" t="str">
        <f t="shared" si="1902"/>
        <v>813</v>
      </c>
      <c r="L10630">
        <v>304.08</v>
      </c>
    </row>
    <row r="10631" spans="1:12" x14ac:dyDescent="0.25">
      <c r="A10631" t="str">
        <f t="shared" si="1904"/>
        <v>89301000</v>
      </c>
      <c r="B10631" t="str">
        <f t="shared" si="1892"/>
        <v>06539000</v>
      </c>
      <c r="C10631" t="str">
        <f t="shared" si="1900"/>
        <v>06539003</v>
      </c>
      <c r="D10631">
        <v>89301171</v>
      </c>
      <c r="E10631" t="str">
        <f t="shared" si="1896"/>
        <v>6855080067</v>
      </c>
      <c r="F10631" s="1">
        <v>45129</v>
      </c>
      <c r="G10631" t="str">
        <f>"91167"</f>
        <v>91167</v>
      </c>
      <c r="H10631">
        <v>1</v>
      </c>
      <c r="I10631">
        <v>426</v>
      </c>
      <c r="J10631">
        <v>0</v>
      </c>
      <c r="K10631" t="str">
        <f t="shared" si="1902"/>
        <v>813</v>
      </c>
      <c r="L10631">
        <v>357.84</v>
      </c>
    </row>
    <row r="10632" spans="1:12" x14ac:dyDescent="0.25">
      <c r="A10632" t="str">
        <f t="shared" si="1904"/>
        <v>89301000</v>
      </c>
      <c r="B10632" t="str">
        <f t="shared" si="1892"/>
        <v>06539000</v>
      </c>
      <c r="C10632" t="str">
        <f t="shared" si="1900"/>
        <v>06539003</v>
      </c>
      <c r="D10632">
        <v>89301171</v>
      </c>
      <c r="E10632" t="str">
        <f t="shared" si="1896"/>
        <v>6855080067</v>
      </c>
      <c r="F10632" s="1">
        <v>45129</v>
      </c>
      <c r="G10632" t="str">
        <f>"91169"</f>
        <v>91169</v>
      </c>
      <c r="H10632">
        <v>1</v>
      </c>
      <c r="I10632">
        <v>426</v>
      </c>
      <c r="J10632">
        <v>0</v>
      </c>
      <c r="K10632" t="str">
        <f t="shared" si="1902"/>
        <v>813</v>
      </c>
      <c r="L10632">
        <v>357.84</v>
      </c>
    </row>
    <row r="10633" spans="1:12" x14ac:dyDescent="0.25">
      <c r="A10633" t="str">
        <f t="shared" si="1904"/>
        <v>89301000</v>
      </c>
      <c r="B10633" t="str">
        <f t="shared" si="1892"/>
        <v>06539000</v>
      </c>
      <c r="C10633" t="str">
        <f t="shared" si="1900"/>
        <v>06539003</v>
      </c>
      <c r="D10633">
        <v>89301171</v>
      </c>
      <c r="E10633" t="str">
        <f t="shared" si="1896"/>
        <v>6855080067</v>
      </c>
      <c r="F10633" s="1">
        <v>45128</v>
      </c>
      <c r="G10633" t="str">
        <f>"91167"</f>
        <v>91167</v>
      </c>
      <c r="H10633">
        <v>1</v>
      </c>
      <c r="I10633">
        <v>426</v>
      </c>
      <c r="J10633">
        <v>0</v>
      </c>
      <c r="K10633" t="str">
        <f t="shared" si="1902"/>
        <v>813</v>
      </c>
      <c r="L10633">
        <v>357.84</v>
      </c>
    </row>
    <row r="10634" spans="1:12" x14ac:dyDescent="0.25">
      <c r="A10634" t="str">
        <f t="shared" si="1904"/>
        <v>89301000</v>
      </c>
      <c r="B10634" t="str">
        <f t="shared" si="1892"/>
        <v>06539000</v>
      </c>
      <c r="C10634" t="str">
        <f t="shared" si="1900"/>
        <v>06539003</v>
      </c>
      <c r="D10634">
        <v>89301171</v>
      </c>
      <c r="E10634" t="str">
        <f t="shared" si="1896"/>
        <v>6855080067</v>
      </c>
      <c r="F10634" s="1">
        <v>45128</v>
      </c>
      <c r="G10634" t="str">
        <f>"91169"</f>
        <v>91169</v>
      </c>
      <c r="H10634">
        <v>1</v>
      </c>
      <c r="I10634">
        <v>426</v>
      </c>
      <c r="J10634">
        <v>0</v>
      </c>
      <c r="K10634" t="str">
        <f t="shared" si="1902"/>
        <v>813</v>
      </c>
      <c r="L10634">
        <v>357.84</v>
      </c>
    </row>
    <row r="10635" spans="1:12" x14ac:dyDescent="0.25">
      <c r="A10635" t="str">
        <f t="shared" si="1904"/>
        <v>89301000</v>
      </c>
      <c r="B10635" t="str">
        <f t="shared" si="1892"/>
        <v>06539000</v>
      </c>
      <c r="C10635" t="str">
        <f t="shared" si="1900"/>
        <v>06539003</v>
      </c>
      <c r="D10635">
        <v>89301171</v>
      </c>
      <c r="E10635" t="str">
        <f t="shared" si="1896"/>
        <v>6855080067</v>
      </c>
      <c r="F10635" s="1">
        <v>45133</v>
      </c>
      <c r="G10635" t="str">
        <f>"91475"</f>
        <v>91475</v>
      </c>
      <c r="H10635">
        <v>1</v>
      </c>
      <c r="I10635">
        <v>213</v>
      </c>
      <c r="J10635">
        <v>0</v>
      </c>
      <c r="K10635" t="str">
        <f t="shared" si="1902"/>
        <v>813</v>
      </c>
      <c r="L10635">
        <v>178.92</v>
      </c>
    </row>
    <row r="10636" spans="1:12" x14ac:dyDescent="0.25">
      <c r="A10636" t="str">
        <f t="shared" si="1904"/>
        <v>89301000</v>
      </c>
      <c r="B10636" t="str">
        <f t="shared" si="1892"/>
        <v>06539000</v>
      </c>
      <c r="C10636" t="str">
        <f>"06539001"</f>
        <v>06539001</v>
      </c>
      <c r="D10636">
        <v>89301171</v>
      </c>
      <c r="E10636" t="str">
        <f t="shared" ref="E10636:E10677" si="1905">"7154045327"</f>
        <v>7154045327</v>
      </c>
      <c r="F10636" s="1">
        <v>45128</v>
      </c>
      <c r="G10636" t="str">
        <f>"81329"</f>
        <v>81329</v>
      </c>
      <c r="H10636">
        <v>1</v>
      </c>
      <c r="I10636">
        <v>17</v>
      </c>
      <c r="J10636">
        <v>0</v>
      </c>
      <c r="K10636" t="str">
        <f>"801"</f>
        <v>801</v>
      </c>
      <c r="L10636">
        <v>14.28</v>
      </c>
    </row>
    <row r="10637" spans="1:12" x14ac:dyDescent="0.25">
      <c r="A10637" t="str">
        <f t="shared" si="1904"/>
        <v>89301000</v>
      </c>
      <c r="B10637" t="str">
        <f t="shared" ref="B10637:B10700" si="1906">"06539000"</f>
        <v>06539000</v>
      </c>
      <c r="C10637" t="str">
        <f>"06539001"</f>
        <v>06539001</v>
      </c>
      <c r="D10637">
        <v>89301171</v>
      </c>
      <c r="E10637" t="str">
        <f t="shared" si="1905"/>
        <v>7154045327</v>
      </c>
      <c r="F10637" s="1">
        <v>45128</v>
      </c>
      <c r="G10637" t="str">
        <f>"81331"</f>
        <v>81331</v>
      </c>
      <c r="H10637">
        <v>1</v>
      </c>
      <c r="I10637">
        <v>193</v>
      </c>
      <c r="J10637">
        <v>0</v>
      </c>
      <c r="K10637" t="str">
        <f>"801"</f>
        <v>801</v>
      </c>
      <c r="L10637">
        <v>162.12</v>
      </c>
    </row>
    <row r="10638" spans="1:12" x14ac:dyDescent="0.25">
      <c r="A10638" t="str">
        <f t="shared" si="1904"/>
        <v>89301000</v>
      </c>
      <c r="B10638" t="str">
        <f t="shared" si="1906"/>
        <v>06539000</v>
      </c>
      <c r="C10638" t="str">
        <f t="shared" ref="C10638:C10645" si="1907">"06539002"</f>
        <v>06539002</v>
      </c>
      <c r="D10638">
        <v>89301171</v>
      </c>
      <c r="E10638" t="str">
        <f t="shared" si="1905"/>
        <v>7154045327</v>
      </c>
      <c r="F10638" s="1">
        <v>45128</v>
      </c>
      <c r="G10638" t="str">
        <f t="shared" ref="G10638:G10645" si="1908">"82097"</f>
        <v>82097</v>
      </c>
      <c r="H10638">
        <v>1</v>
      </c>
      <c r="I10638">
        <v>381</v>
      </c>
      <c r="J10638">
        <v>0</v>
      </c>
      <c r="K10638" t="str">
        <f t="shared" ref="K10638:K10645" si="1909">"802"</f>
        <v>802</v>
      </c>
      <c r="L10638">
        <v>369.57</v>
      </c>
    </row>
    <row r="10639" spans="1:12" x14ac:dyDescent="0.25">
      <c r="A10639" t="str">
        <f t="shared" si="1904"/>
        <v>89301000</v>
      </c>
      <c r="B10639" t="str">
        <f t="shared" si="1906"/>
        <v>06539000</v>
      </c>
      <c r="C10639" t="str">
        <f t="shared" si="1907"/>
        <v>06539002</v>
      </c>
      <c r="D10639">
        <v>89301171</v>
      </c>
      <c r="E10639" t="str">
        <f t="shared" si="1905"/>
        <v>7154045327</v>
      </c>
      <c r="F10639" s="1">
        <v>45128</v>
      </c>
      <c r="G10639" t="str">
        <f t="shared" si="1908"/>
        <v>82097</v>
      </c>
      <c r="H10639">
        <v>1</v>
      </c>
      <c r="I10639">
        <v>381</v>
      </c>
      <c r="J10639">
        <v>0</v>
      </c>
      <c r="K10639" t="str">
        <f t="shared" si="1909"/>
        <v>802</v>
      </c>
      <c r="L10639">
        <v>369.57</v>
      </c>
    </row>
    <row r="10640" spans="1:12" x14ac:dyDescent="0.25">
      <c r="A10640" t="str">
        <f t="shared" si="1904"/>
        <v>89301000</v>
      </c>
      <c r="B10640" t="str">
        <f t="shared" si="1906"/>
        <v>06539000</v>
      </c>
      <c r="C10640" t="str">
        <f t="shared" si="1907"/>
        <v>06539002</v>
      </c>
      <c r="D10640">
        <v>89301171</v>
      </c>
      <c r="E10640" t="str">
        <f t="shared" si="1905"/>
        <v>7154045327</v>
      </c>
      <c r="F10640" s="1">
        <v>45128</v>
      </c>
      <c r="G10640" t="str">
        <f t="shared" si="1908"/>
        <v>82097</v>
      </c>
      <c r="H10640">
        <v>1</v>
      </c>
      <c r="I10640">
        <v>381</v>
      </c>
      <c r="J10640">
        <v>0</v>
      </c>
      <c r="K10640" t="str">
        <f t="shared" si="1909"/>
        <v>802</v>
      </c>
      <c r="L10640">
        <v>369.57</v>
      </c>
    </row>
    <row r="10641" spans="1:12" x14ac:dyDescent="0.25">
      <c r="A10641" t="str">
        <f t="shared" si="1904"/>
        <v>89301000</v>
      </c>
      <c r="B10641" t="str">
        <f t="shared" si="1906"/>
        <v>06539000</v>
      </c>
      <c r="C10641" t="str">
        <f t="shared" si="1907"/>
        <v>06539002</v>
      </c>
      <c r="D10641">
        <v>89301171</v>
      </c>
      <c r="E10641" t="str">
        <f t="shared" si="1905"/>
        <v>7154045327</v>
      </c>
      <c r="F10641" s="1">
        <v>45128</v>
      </c>
      <c r="G10641" t="str">
        <f t="shared" si="1908"/>
        <v>82097</v>
      </c>
      <c r="H10641">
        <v>1</v>
      </c>
      <c r="I10641">
        <v>381</v>
      </c>
      <c r="J10641">
        <v>0</v>
      </c>
      <c r="K10641" t="str">
        <f t="shared" si="1909"/>
        <v>802</v>
      </c>
      <c r="L10641">
        <v>369.57</v>
      </c>
    </row>
    <row r="10642" spans="1:12" x14ac:dyDescent="0.25">
      <c r="A10642" t="str">
        <f t="shared" si="1904"/>
        <v>89301000</v>
      </c>
      <c r="B10642" t="str">
        <f t="shared" si="1906"/>
        <v>06539000</v>
      </c>
      <c r="C10642" t="str">
        <f t="shared" si="1907"/>
        <v>06539002</v>
      </c>
      <c r="D10642">
        <v>89301171</v>
      </c>
      <c r="E10642" t="str">
        <f t="shared" si="1905"/>
        <v>7154045327</v>
      </c>
      <c r="F10642" s="1">
        <v>45128</v>
      </c>
      <c r="G10642" t="str">
        <f t="shared" si="1908"/>
        <v>82097</v>
      </c>
      <c r="H10642">
        <v>1</v>
      </c>
      <c r="I10642">
        <v>381</v>
      </c>
      <c r="J10642">
        <v>0</v>
      </c>
      <c r="K10642" t="str">
        <f t="shared" si="1909"/>
        <v>802</v>
      </c>
      <c r="L10642">
        <v>369.57</v>
      </c>
    </row>
    <row r="10643" spans="1:12" x14ac:dyDescent="0.25">
      <c r="A10643" t="str">
        <f t="shared" si="1904"/>
        <v>89301000</v>
      </c>
      <c r="B10643" t="str">
        <f t="shared" si="1906"/>
        <v>06539000</v>
      </c>
      <c r="C10643" t="str">
        <f t="shared" si="1907"/>
        <v>06539002</v>
      </c>
      <c r="D10643">
        <v>89301171</v>
      </c>
      <c r="E10643" t="str">
        <f t="shared" si="1905"/>
        <v>7154045327</v>
      </c>
      <c r="F10643" s="1">
        <v>45128</v>
      </c>
      <c r="G10643" t="str">
        <f t="shared" si="1908"/>
        <v>82097</v>
      </c>
      <c r="H10643">
        <v>1</v>
      </c>
      <c r="I10643">
        <v>381</v>
      </c>
      <c r="J10643">
        <v>0</v>
      </c>
      <c r="K10643" t="str">
        <f t="shared" si="1909"/>
        <v>802</v>
      </c>
      <c r="L10643">
        <v>369.57</v>
      </c>
    </row>
    <row r="10644" spans="1:12" x14ac:dyDescent="0.25">
      <c r="A10644" t="str">
        <f t="shared" si="1904"/>
        <v>89301000</v>
      </c>
      <c r="B10644" t="str">
        <f t="shared" si="1906"/>
        <v>06539000</v>
      </c>
      <c r="C10644" t="str">
        <f t="shared" si="1907"/>
        <v>06539002</v>
      </c>
      <c r="D10644">
        <v>89301171</v>
      </c>
      <c r="E10644" t="str">
        <f t="shared" si="1905"/>
        <v>7154045327</v>
      </c>
      <c r="F10644" s="1">
        <v>45128</v>
      </c>
      <c r="G10644" t="str">
        <f t="shared" si="1908"/>
        <v>82097</v>
      </c>
      <c r="H10644">
        <v>2</v>
      </c>
      <c r="I10644">
        <v>762</v>
      </c>
      <c r="J10644">
        <v>0</v>
      </c>
      <c r="K10644" t="str">
        <f t="shared" si="1909"/>
        <v>802</v>
      </c>
      <c r="L10644">
        <v>739.14</v>
      </c>
    </row>
    <row r="10645" spans="1:12" x14ac:dyDescent="0.25">
      <c r="A10645" t="str">
        <f t="shared" si="1904"/>
        <v>89301000</v>
      </c>
      <c r="B10645" t="str">
        <f t="shared" si="1906"/>
        <v>06539000</v>
      </c>
      <c r="C10645" t="str">
        <f t="shared" si="1907"/>
        <v>06539002</v>
      </c>
      <c r="D10645">
        <v>89301171</v>
      </c>
      <c r="E10645" t="str">
        <f t="shared" si="1905"/>
        <v>7154045327</v>
      </c>
      <c r="F10645" s="1">
        <v>45128</v>
      </c>
      <c r="G10645" t="str">
        <f t="shared" si="1908"/>
        <v>82097</v>
      </c>
      <c r="H10645">
        <v>2</v>
      </c>
      <c r="I10645">
        <v>762</v>
      </c>
      <c r="J10645">
        <v>0</v>
      </c>
      <c r="K10645" t="str">
        <f t="shared" si="1909"/>
        <v>802</v>
      </c>
      <c r="L10645">
        <v>739.14</v>
      </c>
    </row>
    <row r="10646" spans="1:12" x14ac:dyDescent="0.25">
      <c r="A10646" t="str">
        <f t="shared" si="1904"/>
        <v>89301000</v>
      </c>
      <c r="B10646" t="str">
        <f t="shared" si="1906"/>
        <v>06539000</v>
      </c>
      <c r="C10646" t="str">
        <f t="shared" ref="C10646:C10677" si="1910">"06539003"</f>
        <v>06539003</v>
      </c>
      <c r="D10646">
        <v>89301171</v>
      </c>
      <c r="E10646" t="str">
        <f t="shared" si="1905"/>
        <v>7154045327</v>
      </c>
      <c r="F10646" s="1">
        <v>45133</v>
      </c>
      <c r="G10646" t="str">
        <f t="shared" ref="G10646:G10655" si="1911">"91413"</f>
        <v>91413</v>
      </c>
      <c r="H10646">
        <v>1</v>
      </c>
      <c r="I10646">
        <v>868</v>
      </c>
      <c r="J10646">
        <v>0</v>
      </c>
      <c r="K10646" t="str">
        <f t="shared" ref="K10646:K10677" si="1912">"813"</f>
        <v>813</v>
      </c>
      <c r="L10646">
        <v>729.12</v>
      </c>
    </row>
    <row r="10647" spans="1:12" x14ac:dyDescent="0.25">
      <c r="A10647" t="str">
        <f t="shared" si="1904"/>
        <v>89301000</v>
      </c>
      <c r="B10647" t="str">
        <f t="shared" si="1906"/>
        <v>06539000</v>
      </c>
      <c r="C10647" t="str">
        <f t="shared" si="1910"/>
        <v>06539003</v>
      </c>
      <c r="D10647">
        <v>89301171</v>
      </c>
      <c r="E10647" t="str">
        <f t="shared" si="1905"/>
        <v>7154045327</v>
      </c>
      <c r="F10647" s="1">
        <v>45133</v>
      </c>
      <c r="G10647" t="str">
        <f t="shared" si="1911"/>
        <v>91413</v>
      </c>
      <c r="H10647">
        <v>1</v>
      </c>
      <c r="I10647">
        <v>868</v>
      </c>
      <c r="J10647">
        <v>0</v>
      </c>
      <c r="K10647" t="str">
        <f t="shared" si="1912"/>
        <v>813</v>
      </c>
      <c r="L10647">
        <v>729.12</v>
      </c>
    </row>
    <row r="10648" spans="1:12" x14ac:dyDescent="0.25">
      <c r="A10648" t="str">
        <f t="shared" si="1904"/>
        <v>89301000</v>
      </c>
      <c r="B10648" t="str">
        <f t="shared" si="1906"/>
        <v>06539000</v>
      </c>
      <c r="C10648" t="str">
        <f t="shared" si="1910"/>
        <v>06539003</v>
      </c>
      <c r="D10648">
        <v>89301171</v>
      </c>
      <c r="E10648" t="str">
        <f t="shared" si="1905"/>
        <v>7154045327</v>
      </c>
      <c r="F10648" s="1">
        <v>45146</v>
      </c>
      <c r="G10648" t="str">
        <f t="shared" si="1911"/>
        <v>91413</v>
      </c>
      <c r="H10648">
        <v>1</v>
      </c>
      <c r="I10648">
        <v>868</v>
      </c>
      <c r="J10648">
        <v>0</v>
      </c>
      <c r="K10648" t="str">
        <f t="shared" si="1912"/>
        <v>813</v>
      </c>
      <c r="L10648">
        <v>729.12</v>
      </c>
    </row>
    <row r="10649" spans="1:12" x14ac:dyDescent="0.25">
      <c r="A10649" t="str">
        <f t="shared" si="1904"/>
        <v>89301000</v>
      </c>
      <c r="B10649" t="str">
        <f t="shared" si="1906"/>
        <v>06539000</v>
      </c>
      <c r="C10649" t="str">
        <f t="shared" si="1910"/>
        <v>06539003</v>
      </c>
      <c r="D10649">
        <v>89301171</v>
      </c>
      <c r="E10649" t="str">
        <f t="shared" si="1905"/>
        <v>7154045327</v>
      </c>
      <c r="F10649" s="1">
        <v>45146</v>
      </c>
      <c r="G10649" t="str">
        <f t="shared" si="1911"/>
        <v>91413</v>
      </c>
      <c r="H10649">
        <v>1</v>
      </c>
      <c r="I10649">
        <v>868</v>
      </c>
      <c r="J10649">
        <v>0</v>
      </c>
      <c r="K10649" t="str">
        <f t="shared" si="1912"/>
        <v>813</v>
      </c>
      <c r="L10649">
        <v>729.12</v>
      </c>
    </row>
    <row r="10650" spans="1:12" x14ac:dyDescent="0.25">
      <c r="A10650" t="str">
        <f t="shared" si="1904"/>
        <v>89301000</v>
      </c>
      <c r="B10650" t="str">
        <f t="shared" si="1906"/>
        <v>06539000</v>
      </c>
      <c r="C10650" t="str">
        <f t="shared" si="1910"/>
        <v>06539003</v>
      </c>
      <c r="D10650">
        <v>89301171</v>
      </c>
      <c r="E10650" t="str">
        <f t="shared" si="1905"/>
        <v>7154045327</v>
      </c>
      <c r="F10650" s="1">
        <v>45145</v>
      </c>
      <c r="G10650" t="str">
        <f t="shared" si="1911"/>
        <v>91413</v>
      </c>
      <c r="H10650">
        <v>1</v>
      </c>
      <c r="I10650">
        <v>868</v>
      </c>
      <c r="J10650">
        <v>0</v>
      </c>
      <c r="K10650" t="str">
        <f t="shared" si="1912"/>
        <v>813</v>
      </c>
      <c r="L10650">
        <v>729.12</v>
      </c>
    </row>
    <row r="10651" spans="1:12" x14ac:dyDescent="0.25">
      <c r="A10651" t="str">
        <f t="shared" si="1904"/>
        <v>89301000</v>
      </c>
      <c r="B10651" t="str">
        <f t="shared" si="1906"/>
        <v>06539000</v>
      </c>
      <c r="C10651" t="str">
        <f t="shared" si="1910"/>
        <v>06539003</v>
      </c>
      <c r="D10651">
        <v>89301171</v>
      </c>
      <c r="E10651" t="str">
        <f t="shared" si="1905"/>
        <v>7154045327</v>
      </c>
      <c r="F10651" s="1">
        <v>45145</v>
      </c>
      <c r="G10651" t="str">
        <f t="shared" si="1911"/>
        <v>91413</v>
      </c>
      <c r="H10651">
        <v>1</v>
      </c>
      <c r="I10651">
        <v>868</v>
      </c>
      <c r="J10651">
        <v>0</v>
      </c>
      <c r="K10651" t="str">
        <f t="shared" si="1912"/>
        <v>813</v>
      </c>
      <c r="L10651">
        <v>729.12</v>
      </c>
    </row>
    <row r="10652" spans="1:12" x14ac:dyDescent="0.25">
      <c r="A10652" t="str">
        <f t="shared" si="1904"/>
        <v>89301000</v>
      </c>
      <c r="B10652" t="str">
        <f t="shared" si="1906"/>
        <v>06539000</v>
      </c>
      <c r="C10652" t="str">
        <f t="shared" si="1910"/>
        <v>06539003</v>
      </c>
      <c r="D10652">
        <v>89301171</v>
      </c>
      <c r="E10652" t="str">
        <f t="shared" si="1905"/>
        <v>7154045327</v>
      </c>
      <c r="F10652" s="1">
        <v>45146</v>
      </c>
      <c r="G10652" t="str">
        <f t="shared" si="1911"/>
        <v>91413</v>
      </c>
      <c r="H10652">
        <v>1</v>
      </c>
      <c r="I10652">
        <v>868</v>
      </c>
      <c r="J10652">
        <v>0</v>
      </c>
      <c r="K10652" t="str">
        <f t="shared" si="1912"/>
        <v>813</v>
      </c>
      <c r="L10652">
        <v>729.12</v>
      </c>
    </row>
    <row r="10653" spans="1:12" x14ac:dyDescent="0.25">
      <c r="A10653" t="str">
        <f t="shared" si="1904"/>
        <v>89301000</v>
      </c>
      <c r="B10653" t="str">
        <f t="shared" si="1906"/>
        <v>06539000</v>
      </c>
      <c r="C10653" t="str">
        <f t="shared" si="1910"/>
        <v>06539003</v>
      </c>
      <c r="D10653">
        <v>89301171</v>
      </c>
      <c r="E10653" t="str">
        <f t="shared" si="1905"/>
        <v>7154045327</v>
      </c>
      <c r="F10653" s="1">
        <v>45146</v>
      </c>
      <c r="G10653" t="str">
        <f t="shared" si="1911"/>
        <v>91413</v>
      </c>
      <c r="H10653">
        <v>1</v>
      </c>
      <c r="I10653">
        <v>868</v>
      </c>
      <c r="J10653">
        <v>0</v>
      </c>
      <c r="K10653" t="str">
        <f t="shared" si="1912"/>
        <v>813</v>
      </c>
      <c r="L10653">
        <v>729.12</v>
      </c>
    </row>
    <row r="10654" spans="1:12" x14ac:dyDescent="0.25">
      <c r="A10654" t="str">
        <f t="shared" si="1904"/>
        <v>89301000</v>
      </c>
      <c r="B10654" t="str">
        <f t="shared" si="1906"/>
        <v>06539000</v>
      </c>
      <c r="C10654" t="str">
        <f t="shared" si="1910"/>
        <v>06539003</v>
      </c>
      <c r="D10654">
        <v>89301171</v>
      </c>
      <c r="E10654" t="str">
        <f t="shared" si="1905"/>
        <v>7154045327</v>
      </c>
      <c r="F10654" s="1">
        <v>45146</v>
      </c>
      <c r="G10654" t="str">
        <f t="shared" si="1911"/>
        <v>91413</v>
      </c>
      <c r="H10654">
        <v>1</v>
      </c>
      <c r="I10654">
        <v>868</v>
      </c>
      <c r="J10654">
        <v>0</v>
      </c>
      <c r="K10654" t="str">
        <f t="shared" si="1912"/>
        <v>813</v>
      </c>
      <c r="L10654">
        <v>729.12</v>
      </c>
    </row>
    <row r="10655" spans="1:12" x14ac:dyDescent="0.25">
      <c r="A10655" t="str">
        <f t="shared" si="1904"/>
        <v>89301000</v>
      </c>
      <c r="B10655" t="str">
        <f t="shared" si="1906"/>
        <v>06539000</v>
      </c>
      <c r="C10655" t="str">
        <f t="shared" si="1910"/>
        <v>06539003</v>
      </c>
      <c r="D10655">
        <v>89301171</v>
      </c>
      <c r="E10655" t="str">
        <f t="shared" si="1905"/>
        <v>7154045327</v>
      </c>
      <c r="F10655" s="1">
        <v>45146</v>
      </c>
      <c r="G10655" t="str">
        <f t="shared" si="1911"/>
        <v>91413</v>
      </c>
      <c r="H10655">
        <v>1</v>
      </c>
      <c r="I10655">
        <v>868</v>
      </c>
      <c r="J10655">
        <v>0</v>
      </c>
      <c r="K10655" t="str">
        <f t="shared" si="1912"/>
        <v>813</v>
      </c>
      <c r="L10655">
        <v>729.12</v>
      </c>
    </row>
    <row r="10656" spans="1:12" x14ac:dyDescent="0.25">
      <c r="A10656" t="str">
        <f t="shared" si="1904"/>
        <v>89301000</v>
      </c>
      <c r="B10656" t="str">
        <f t="shared" si="1906"/>
        <v>06539000</v>
      </c>
      <c r="C10656" t="str">
        <f t="shared" si="1910"/>
        <v>06539003</v>
      </c>
      <c r="D10656">
        <v>89301171</v>
      </c>
      <c r="E10656" t="str">
        <f t="shared" si="1905"/>
        <v>7154045327</v>
      </c>
      <c r="F10656" s="1">
        <v>45128</v>
      </c>
      <c r="G10656" t="str">
        <f t="shared" ref="G10656:G10662" si="1913">"91197"</f>
        <v>91197</v>
      </c>
      <c r="H10656">
        <v>1</v>
      </c>
      <c r="I10656">
        <v>1048</v>
      </c>
      <c r="J10656">
        <v>0</v>
      </c>
      <c r="K10656" t="str">
        <f t="shared" si="1912"/>
        <v>813</v>
      </c>
      <c r="L10656">
        <v>880.32</v>
      </c>
    </row>
    <row r="10657" spans="1:12" x14ac:dyDescent="0.25">
      <c r="A10657" t="str">
        <f t="shared" si="1904"/>
        <v>89301000</v>
      </c>
      <c r="B10657" t="str">
        <f t="shared" si="1906"/>
        <v>06539000</v>
      </c>
      <c r="C10657" t="str">
        <f t="shared" si="1910"/>
        <v>06539003</v>
      </c>
      <c r="D10657">
        <v>89301171</v>
      </c>
      <c r="E10657" t="str">
        <f t="shared" si="1905"/>
        <v>7154045327</v>
      </c>
      <c r="F10657" s="1">
        <v>45131</v>
      </c>
      <c r="G10657" t="str">
        <f t="shared" si="1913"/>
        <v>91197</v>
      </c>
      <c r="H10657">
        <v>1</v>
      </c>
      <c r="I10657">
        <v>1048</v>
      </c>
      <c r="J10657">
        <v>0</v>
      </c>
      <c r="K10657" t="str">
        <f t="shared" si="1912"/>
        <v>813</v>
      </c>
      <c r="L10657">
        <v>880.32</v>
      </c>
    </row>
    <row r="10658" spans="1:12" x14ac:dyDescent="0.25">
      <c r="A10658" t="str">
        <f t="shared" si="1904"/>
        <v>89301000</v>
      </c>
      <c r="B10658" t="str">
        <f t="shared" si="1906"/>
        <v>06539000</v>
      </c>
      <c r="C10658" t="str">
        <f t="shared" si="1910"/>
        <v>06539003</v>
      </c>
      <c r="D10658">
        <v>89301171</v>
      </c>
      <c r="E10658" t="str">
        <f t="shared" si="1905"/>
        <v>7154045327</v>
      </c>
      <c r="F10658" s="1">
        <v>45131</v>
      </c>
      <c r="G10658" t="str">
        <f t="shared" si="1913"/>
        <v>91197</v>
      </c>
      <c r="H10658">
        <v>1</v>
      </c>
      <c r="I10658">
        <v>1048</v>
      </c>
      <c r="J10658">
        <v>0</v>
      </c>
      <c r="K10658" t="str">
        <f t="shared" si="1912"/>
        <v>813</v>
      </c>
      <c r="L10658">
        <v>880.32</v>
      </c>
    </row>
    <row r="10659" spans="1:12" x14ac:dyDescent="0.25">
      <c r="A10659" t="str">
        <f t="shared" si="1904"/>
        <v>89301000</v>
      </c>
      <c r="B10659" t="str">
        <f t="shared" si="1906"/>
        <v>06539000</v>
      </c>
      <c r="C10659" t="str">
        <f t="shared" si="1910"/>
        <v>06539003</v>
      </c>
      <c r="D10659">
        <v>89301171</v>
      </c>
      <c r="E10659" t="str">
        <f t="shared" si="1905"/>
        <v>7154045327</v>
      </c>
      <c r="F10659" s="1">
        <v>45130</v>
      </c>
      <c r="G10659" t="str">
        <f t="shared" si="1913"/>
        <v>91197</v>
      </c>
      <c r="H10659">
        <v>1</v>
      </c>
      <c r="I10659">
        <v>1048</v>
      </c>
      <c r="J10659">
        <v>0</v>
      </c>
      <c r="K10659" t="str">
        <f t="shared" si="1912"/>
        <v>813</v>
      </c>
      <c r="L10659">
        <v>880.32</v>
      </c>
    </row>
    <row r="10660" spans="1:12" x14ac:dyDescent="0.25">
      <c r="A10660" t="str">
        <f t="shared" si="1904"/>
        <v>89301000</v>
      </c>
      <c r="B10660" t="str">
        <f t="shared" si="1906"/>
        <v>06539000</v>
      </c>
      <c r="C10660" t="str">
        <f t="shared" si="1910"/>
        <v>06539003</v>
      </c>
      <c r="D10660">
        <v>89301171</v>
      </c>
      <c r="E10660" t="str">
        <f t="shared" si="1905"/>
        <v>7154045327</v>
      </c>
      <c r="F10660" s="1">
        <v>45130</v>
      </c>
      <c r="G10660" t="str">
        <f t="shared" si="1913"/>
        <v>91197</v>
      </c>
      <c r="H10660">
        <v>1</v>
      </c>
      <c r="I10660">
        <v>1048</v>
      </c>
      <c r="J10660">
        <v>0</v>
      </c>
      <c r="K10660" t="str">
        <f t="shared" si="1912"/>
        <v>813</v>
      </c>
      <c r="L10660">
        <v>880.32</v>
      </c>
    </row>
    <row r="10661" spans="1:12" x14ac:dyDescent="0.25">
      <c r="A10661" t="str">
        <f t="shared" si="1904"/>
        <v>89301000</v>
      </c>
      <c r="B10661" t="str">
        <f t="shared" si="1906"/>
        <v>06539000</v>
      </c>
      <c r="C10661" t="str">
        <f t="shared" si="1910"/>
        <v>06539003</v>
      </c>
      <c r="D10661">
        <v>89301171</v>
      </c>
      <c r="E10661" t="str">
        <f t="shared" si="1905"/>
        <v>7154045327</v>
      </c>
      <c r="F10661" s="1">
        <v>45129</v>
      </c>
      <c r="G10661" t="str">
        <f t="shared" si="1913"/>
        <v>91197</v>
      </c>
      <c r="H10661">
        <v>1</v>
      </c>
      <c r="I10661">
        <v>1048</v>
      </c>
      <c r="J10661">
        <v>0</v>
      </c>
      <c r="K10661" t="str">
        <f t="shared" si="1912"/>
        <v>813</v>
      </c>
      <c r="L10661">
        <v>880.32</v>
      </c>
    </row>
    <row r="10662" spans="1:12" x14ac:dyDescent="0.25">
      <c r="A10662" t="str">
        <f t="shared" si="1904"/>
        <v>89301000</v>
      </c>
      <c r="B10662" t="str">
        <f t="shared" si="1906"/>
        <v>06539000</v>
      </c>
      <c r="C10662" t="str">
        <f t="shared" si="1910"/>
        <v>06539003</v>
      </c>
      <c r="D10662">
        <v>89301171</v>
      </c>
      <c r="E10662" t="str">
        <f t="shared" si="1905"/>
        <v>7154045327</v>
      </c>
      <c r="F10662" s="1">
        <v>45129</v>
      </c>
      <c r="G10662" t="str">
        <f t="shared" si="1913"/>
        <v>91197</v>
      </c>
      <c r="H10662">
        <v>1</v>
      </c>
      <c r="I10662">
        <v>1048</v>
      </c>
      <c r="J10662">
        <v>0</v>
      </c>
      <c r="K10662" t="str">
        <f t="shared" si="1912"/>
        <v>813</v>
      </c>
      <c r="L10662">
        <v>880.32</v>
      </c>
    </row>
    <row r="10663" spans="1:12" x14ac:dyDescent="0.25">
      <c r="A10663" t="str">
        <f t="shared" si="1904"/>
        <v>89301000</v>
      </c>
      <c r="B10663" t="str">
        <f t="shared" si="1906"/>
        <v>06539000</v>
      </c>
      <c r="C10663" t="str">
        <f t="shared" si="1910"/>
        <v>06539003</v>
      </c>
      <c r="D10663">
        <v>89301171</v>
      </c>
      <c r="E10663" t="str">
        <f t="shared" si="1905"/>
        <v>7154045327</v>
      </c>
      <c r="F10663" s="1">
        <v>45146</v>
      </c>
      <c r="G10663" t="str">
        <f>"91329"</f>
        <v>91329</v>
      </c>
      <c r="H10663">
        <v>2</v>
      </c>
      <c r="I10663">
        <v>436</v>
      </c>
      <c r="J10663">
        <v>0</v>
      </c>
      <c r="K10663" t="str">
        <f t="shared" si="1912"/>
        <v>813</v>
      </c>
      <c r="L10663">
        <v>366.24</v>
      </c>
    </row>
    <row r="10664" spans="1:12" x14ac:dyDescent="0.25">
      <c r="A10664" t="str">
        <f t="shared" si="1904"/>
        <v>89301000</v>
      </c>
      <c r="B10664" t="str">
        <f t="shared" si="1906"/>
        <v>06539000</v>
      </c>
      <c r="C10664" t="str">
        <f t="shared" si="1910"/>
        <v>06539003</v>
      </c>
      <c r="D10664">
        <v>89301171</v>
      </c>
      <c r="E10664" t="str">
        <f t="shared" si="1905"/>
        <v>7154045327</v>
      </c>
      <c r="F10664" s="1">
        <v>45146</v>
      </c>
      <c r="G10664" t="str">
        <f>"91329"</f>
        <v>91329</v>
      </c>
      <c r="H10664">
        <v>2</v>
      </c>
      <c r="I10664">
        <v>436</v>
      </c>
      <c r="J10664">
        <v>0</v>
      </c>
      <c r="K10664" t="str">
        <f t="shared" si="1912"/>
        <v>813</v>
      </c>
      <c r="L10664">
        <v>366.24</v>
      </c>
    </row>
    <row r="10665" spans="1:12" x14ac:dyDescent="0.25">
      <c r="A10665" t="str">
        <f t="shared" si="1904"/>
        <v>89301000</v>
      </c>
      <c r="B10665" t="str">
        <f t="shared" si="1906"/>
        <v>06539000</v>
      </c>
      <c r="C10665" t="str">
        <f t="shared" si="1910"/>
        <v>06539003</v>
      </c>
      <c r="D10665">
        <v>89301171</v>
      </c>
      <c r="E10665" t="str">
        <f t="shared" si="1905"/>
        <v>7154045327</v>
      </c>
      <c r="F10665" s="1">
        <v>45146</v>
      </c>
      <c r="G10665" t="str">
        <f>"91329"</f>
        <v>91329</v>
      </c>
      <c r="H10665">
        <v>2</v>
      </c>
      <c r="I10665">
        <v>436</v>
      </c>
      <c r="J10665">
        <v>0</v>
      </c>
      <c r="K10665" t="str">
        <f t="shared" si="1912"/>
        <v>813</v>
      </c>
      <c r="L10665">
        <v>366.24</v>
      </c>
    </row>
    <row r="10666" spans="1:12" x14ac:dyDescent="0.25">
      <c r="A10666" t="str">
        <f t="shared" si="1904"/>
        <v>89301000</v>
      </c>
      <c r="B10666" t="str">
        <f t="shared" si="1906"/>
        <v>06539000</v>
      </c>
      <c r="C10666" t="str">
        <f t="shared" si="1910"/>
        <v>06539003</v>
      </c>
      <c r="D10666">
        <v>89301171</v>
      </c>
      <c r="E10666" t="str">
        <f t="shared" si="1905"/>
        <v>7154045327</v>
      </c>
      <c r="F10666" s="1">
        <v>45146</v>
      </c>
      <c r="G10666" t="str">
        <f>"91329"</f>
        <v>91329</v>
      </c>
      <c r="H10666">
        <v>2</v>
      </c>
      <c r="I10666">
        <v>436</v>
      </c>
      <c r="J10666">
        <v>0</v>
      </c>
      <c r="K10666" t="str">
        <f t="shared" si="1912"/>
        <v>813</v>
      </c>
      <c r="L10666">
        <v>366.24</v>
      </c>
    </row>
    <row r="10667" spans="1:12" x14ac:dyDescent="0.25">
      <c r="A10667" t="str">
        <f t="shared" si="1904"/>
        <v>89301000</v>
      </c>
      <c r="B10667" t="str">
        <f t="shared" si="1906"/>
        <v>06539000</v>
      </c>
      <c r="C10667" t="str">
        <f t="shared" si="1910"/>
        <v>06539003</v>
      </c>
      <c r="D10667">
        <v>89301171</v>
      </c>
      <c r="E10667" t="str">
        <f t="shared" si="1905"/>
        <v>7154045327</v>
      </c>
      <c r="F10667" s="1">
        <v>45130</v>
      </c>
      <c r="G10667" t="str">
        <f>"91129"</f>
        <v>91129</v>
      </c>
      <c r="H10667">
        <v>1</v>
      </c>
      <c r="I10667">
        <v>175</v>
      </c>
      <c r="J10667">
        <v>0</v>
      </c>
      <c r="K10667" t="str">
        <f t="shared" si="1912"/>
        <v>813</v>
      </c>
      <c r="L10667">
        <v>147</v>
      </c>
    </row>
    <row r="10668" spans="1:12" x14ac:dyDescent="0.25">
      <c r="A10668" t="str">
        <f t="shared" si="1904"/>
        <v>89301000</v>
      </c>
      <c r="B10668" t="str">
        <f t="shared" si="1906"/>
        <v>06539000</v>
      </c>
      <c r="C10668" t="str">
        <f t="shared" si="1910"/>
        <v>06539003</v>
      </c>
      <c r="D10668">
        <v>89301171</v>
      </c>
      <c r="E10668" t="str">
        <f t="shared" si="1905"/>
        <v>7154045327</v>
      </c>
      <c r="F10668" s="1">
        <v>45130</v>
      </c>
      <c r="G10668" t="str">
        <f>"91131"</f>
        <v>91131</v>
      </c>
      <c r="H10668">
        <v>1</v>
      </c>
      <c r="I10668">
        <v>171</v>
      </c>
      <c r="J10668">
        <v>0</v>
      </c>
      <c r="K10668" t="str">
        <f t="shared" si="1912"/>
        <v>813</v>
      </c>
      <c r="L10668">
        <v>143.63999999999999</v>
      </c>
    </row>
    <row r="10669" spans="1:12" x14ac:dyDescent="0.25">
      <c r="A10669" t="str">
        <f t="shared" si="1904"/>
        <v>89301000</v>
      </c>
      <c r="B10669" t="str">
        <f t="shared" si="1906"/>
        <v>06539000</v>
      </c>
      <c r="C10669" t="str">
        <f t="shared" si="1910"/>
        <v>06539003</v>
      </c>
      <c r="D10669">
        <v>89301171</v>
      </c>
      <c r="E10669" t="str">
        <f t="shared" si="1905"/>
        <v>7154045327</v>
      </c>
      <c r="F10669" s="1">
        <v>45130</v>
      </c>
      <c r="G10669" t="str">
        <f>"91133"</f>
        <v>91133</v>
      </c>
      <c r="H10669">
        <v>1</v>
      </c>
      <c r="I10669">
        <v>177</v>
      </c>
      <c r="J10669">
        <v>0</v>
      </c>
      <c r="K10669" t="str">
        <f t="shared" si="1912"/>
        <v>813</v>
      </c>
      <c r="L10669">
        <v>148.68</v>
      </c>
    </row>
    <row r="10670" spans="1:12" x14ac:dyDescent="0.25">
      <c r="A10670" t="str">
        <f t="shared" si="1904"/>
        <v>89301000</v>
      </c>
      <c r="B10670" t="str">
        <f t="shared" si="1906"/>
        <v>06539000</v>
      </c>
      <c r="C10670" t="str">
        <f t="shared" si="1910"/>
        <v>06539003</v>
      </c>
      <c r="D10670">
        <v>89301171</v>
      </c>
      <c r="E10670" t="str">
        <f t="shared" si="1905"/>
        <v>7154045327</v>
      </c>
      <c r="F10670" s="1">
        <v>45130</v>
      </c>
      <c r="G10670" t="str">
        <f>"91171"</f>
        <v>91171</v>
      </c>
      <c r="H10670">
        <v>1</v>
      </c>
      <c r="I10670">
        <v>362</v>
      </c>
      <c r="J10670">
        <v>0</v>
      </c>
      <c r="K10670" t="str">
        <f t="shared" si="1912"/>
        <v>813</v>
      </c>
      <c r="L10670">
        <v>304.08</v>
      </c>
    </row>
    <row r="10671" spans="1:12" x14ac:dyDescent="0.25">
      <c r="A10671" t="str">
        <f t="shared" si="1904"/>
        <v>89301000</v>
      </c>
      <c r="B10671" t="str">
        <f t="shared" si="1906"/>
        <v>06539000</v>
      </c>
      <c r="C10671" t="str">
        <f t="shared" si="1910"/>
        <v>06539003</v>
      </c>
      <c r="D10671">
        <v>89301171</v>
      </c>
      <c r="E10671" t="str">
        <f t="shared" si="1905"/>
        <v>7154045327</v>
      </c>
      <c r="F10671" s="1">
        <v>45128</v>
      </c>
      <c r="G10671" t="str">
        <f>"91173"</f>
        <v>91173</v>
      </c>
      <c r="H10671">
        <v>1</v>
      </c>
      <c r="I10671">
        <v>337</v>
      </c>
      <c r="J10671">
        <v>0</v>
      </c>
      <c r="K10671" t="str">
        <f t="shared" si="1912"/>
        <v>813</v>
      </c>
      <c r="L10671">
        <v>283.08</v>
      </c>
    </row>
    <row r="10672" spans="1:12" x14ac:dyDescent="0.25">
      <c r="A10672" t="str">
        <f t="shared" si="1904"/>
        <v>89301000</v>
      </c>
      <c r="B10672" t="str">
        <f t="shared" si="1906"/>
        <v>06539000</v>
      </c>
      <c r="C10672" t="str">
        <f t="shared" si="1910"/>
        <v>06539003</v>
      </c>
      <c r="D10672">
        <v>89301171</v>
      </c>
      <c r="E10672" t="str">
        <f t="shared" si="1905"/>
        <v>7154045327</v>
      </c>
      <c r="F10672" s="1">
        <v>45130</v>
      </c>
      <c r="G10672" t="str">
        <f>"91175"</f>
        <v>91175</v>
      </c>
      <c r="H10672">
        <v>1</v>
      </c>
      <c r="I10672">
        <v>362</v>
      </c>
      <c r="J10672">
        <v>0</v>
      </c>
      <c r="K10672" t="str">
        <f t="shared" si="1912"/>
        <v>813</v>
      </c>
      <c r="L10672">
        <v>304.08</v>
      </c>
    </row>
    <row r="10673" spans="1:12" x14ac:dyDescent="0.25">
      <c r="A10673" t="str">
        <f t="shared" si="1904"/>
        <v>89301000</v>
      </c>
      <c r="B10673" t="str">
        <f t="shared" si="1906"/>
        <v>06539000</v>
      </c>
      <c r="C10673" t="str">
        <f t="shared" si="1910"/>
        <v>06539003</v>
      </c>
      <c r="D10673">
        <v>89301171</v>
      </c>
      <c r="E10673" t="str">
        <f t="shared" si="1905"/>
        <v>7154045327</v>
      </c>
      <c r="F10673" s="1">
        <v>45129</v>
      </c>
      <c r="G10673" t="str">
        <f>"91167"</f>
        <v>91167</v>
      </c>
      <c r="H10673">
        <v>1</v>
      </c>
      <c r="I10673">
        <v>426</v>
      </c>
      <c r="J10673">
        <v>0</v>
      </c>
      <c r="K10673" t="str">
        <f t="shared" si="1912"/>
        <v>813</v>
      </c>
      <c r="L10673">
        <v>357.84</v>
      </c>
    </row>
    <row r="10674" spans="1:12" x14ac:dyDescent="0.25">
      <c r="A10674" t="str">
        <f t="shared" si="1904"/>
        <v>89301000</v>
      </c>
      <c r="B10674" t="str">
        <f t="shared" si="1906"/>
        <v>06539000</v>
      </c>
      <c r="C10674" t="str">
        <f t="shared" si="1910"/>
        <v>06539003</v>
      </c>
      <c r="D10674">
        <v>89301171</v>
      </c>
      <c r="E10674" t="str">
        <f t="shared" si="1905"/>
        <v>7154045327</v>
      </c>
      <c r="F10674" s="1">
        <v>45129</v>
      </c>
      <c r="G10674" t="str">
        <f>"91169"</f>
        <v>91169</v>
      </c>
      <c r="H10674">
        <v>1</v>
      </c>
      <c r="I10674">
        <v>426</v>
      </c>
      <c r="J10674">
        <v>0</v>
      </c>
      <c r="K10674" t="str">
        <f t="shared" si="1912"/>
        <v>813</v>
      </c>
      <c r="L10674">
        <v>357.84</v>
      </c>
    </row>
    <row r="10675" spans="1:12" x14ac:dyDescent="0.25">
      <c r="A10675" t="str">
        <f t="shared" si="1904"/>
        <v>89301000</v>
      </c>
      <c r="B10675" t="str">
        <f t="shared" si="1906"/>
        <v>06539000</v>
      </c>
      <c r="C10675" t="str">
        <f t="shared" si="1910"/>
        <v>06539003</v>
      </c>
      <c r="D10675">
        <v>89301171</v>
      </c>
      <c r="E10675" t="str">
        <f t="shared" si="1905"/>
        <v>7154045327</v>
      </c>
      <c r="F10675" s="1">
        <v>45128</v>
      </c>
      <c r="G10675" t="str">
        <f>"91167"</f>
        <v>91167</v>
      </c>
      <c r="H10675">
        <v>1</v>
      </c>
      <c r="I10675">
        <v>426</v>
      </c>
      <c r="J10675">
        <v>0</v>
      </c>
      <c r="K10675" t="str">
        <f t="shared" si="1912"/>
        <v>813</v>
      </c>
      <c r="L10675">
        <v>357.84</v>
      </c>
    </row>
    <row r="10676" spans="1:12" x14ac:dyDescent="0.25">
      <c r="A10676" t="str">
        <f t="shared" si="1904"/>
        <v>89301000</v>
      </c>
      <c r="B10676" t="str">
        <f t="shared" si="1906"/>
        <v>06539000</v>
      </c>
      <c r="C10676" t="str">
        <f t="shared" si="1910"/>
        <v>06539003</v>
      </c>
      <c r="D10676">
        <v>89301171</v>
      </c>
      <c r="E10676" t="str">
        <f t="shared" si="1905"/>
        <v>7154045327</v>
      </c>
      <c r="F10676" s="1">
        <v>45128</v>
      </c>
      <c r="G10676" t="str">
        <f>"91169"</f>
        <v>91169</v>
      </c>
      <c r="H10676">
        <v>1</v>
      </c>
      <c r="I10676">
        <v>426</v>
      </c>
      <c r="J10676">
        <v>0</v>
      </c>
      <c r="K10676" t="str">
        <f t="shared" si="1912"/>
        <v>813</v>
      </c>
      <c r="L10676">
        <v>357.84</v>
      </c>
    </row>
    <row r="10677" spans="1:12" x14ac:dyDescent="0.25">
      <c r="A10677" t="str">
        <f t="shared" si="1904"/>
        <v>89301000</v>
      </c>
      <c r="B10677" t="str">
        <f t="shared" si="1906"/>
        <v>06539000</v>
      </c>
      <c r="C10677" t="str">
        <f t="shared" si="1910"/>
        <v>06539003</v>
      </c>
      <c r="D10677">
        <v>89301171</v>
      </c>
      <c r="E10677" t="str">
        <f t="shared" si="1905"/>
        <v>7154045327</v>
      </c>
      <c r="F10677" s="1">
        <v>45133</v>
      </c>
      <c r="G10677" t="str">
        <f>"91475"</f>
        <v>91475</v>
      </c>
      <c r="H10677">
        <v>1</v>
      </c>
      <c r="I10677">
        <v>213</v>
      </c>
      <c r="J10677">
        <v>0</v>
      </c>
      <c r="K10677" t="str">
        <f t="shared" si="1912"/>
        <v>813</v>
      </c>
      <c r="L10677">
        <v>178.92</v>
      </c>
    </row>
    <row r="10678" spans="1:12" x14ac:dyDescent="0.25">
      <c r="A10678" t="str">
        <f t="shared" si="1904"/>
        <v>89301000</v>
      </c>
      <c r="B10678" t="str">
        <f t="shared" si="1906"/>
        <v>06539000</v>
      </c>
      <c r="C10678" t="str">
        <f>"06539001"</f>
        <v>06539001</v>
      </c>
      <c r="D10678">
        <v>89301106</v>
      </c>
      <c r="E10678" t="str">
        <f>"1301170299"</f>
        <v>1301170299</v>
      </c>
      <c r="F10678" s="1">
        <v>45139</v>
      </c>
      <c r="G10678" t="str">
        <f>"81705"</f>
        <v>81705</v>
      </c>
      <c r="H10678">
        <v>1</v>
      </c>
      <c r="I10678">
        <v>348</v>
      </c>
      <c r="J10678">
        <v>0</v>
      </c>
      <c r="K10678" t="str">
        <f>"801"</f>
        <v>801</v>
      </c>
      <c r="L10678">
        <v>292.32</v>
      </c>
    </row>
    <row r="10679" spans="1:12" x14ac:dyDescent="0.25">
      <c r="A10679" t="str">
        <f t="shared" si="1904"/>
        <v>89301000</v>
      </c>
      <c r="B10679" t="str">
        <f t="shared" si="1906"/>
        <v>06539000</v>
      </c>
      <c r="C10679" t="str">
        <f>"06539001"</f>
        <v>06539001</v>
      </c>
      <c r="D10679">
        <v>89301106</v>
      </c>
      <c r="E10679" t="str">
        <f>"1301170299"</f>
        <v>1301170299</v>
      </c>
      <c r="F10679" s="1">
        <v>45135</v>
      </c>
      <c r="G10679" t="str">
        <f>"81705"</f>
        <v>81705</v>
      </c>
      <c r="H10679">
        <v>1</v>
      </c>
      <c r="I10679">
        <v>348</v>
      </c>
      <c r="J10679">
        <v>0</v>
      </c>
      <c r="K10679" t="str">
        <f>"801"</f>
        <v>801</v>
      </c>
      <c r="L10679">
        <v>292.32</v>
      </c>
    </row>
    <row r="10680" spans="1:12" x14ac:dyDescent="0.25">
      <c r="A10680" t="str">
        <f t="shared" si="1904"/>
        <v>89301000</v>
      </c>
      <c r="B10680" t="str">
        <f t="shared" si="1906"/>
        <v>06539000</v>
      </c>
      <c r="C10680" t="str">
        <f>"06539003"</f>
        <v>06539003</v>
      </c>
      <c r="D10680">
        <v>89301106</v>
      </c>
      <c r="E10680" t="str">
        <f>"1301170299"</f>
        <v>1301170299</v>
      </c>
      <c r="F10680" s="1">
        <v>45135</v>
      </c>
      <c r="G10680" t="str">
        <f>"91329"</f>
        <v>91329</v>
      </c>
      <c r="H10680">
        <v>2</v>
      </c>
      <c r="I10680">
        <v>436</v>
      </c>
      <c r="J10680">
        <v>0</v>
      </c>
      <c r="K10680" t="str">
        <f>"813"</f>
        <v>813</v>
      </c>
      <c r="L10680">
        <v>366.24</v>
      </c>
    </row>
    <row r="10681" spans="1:12" x14ac:dyDescent="0.25">
      <c r="A10681" t="str">
        <f t="shared" si="1904"/>
        <v>89301000</v>
      </c>
      <c r="B10681" t="str">
        <f t="shared" si="1906"/>
        <v>06539000</v>
      </c>
      <c r="C10681" t="str">
        <f>"06539003"</f>
        <v>06539003</v>
      </c>
      <c r="D10681">
        <v>89301106</v>
      </c>
      <c r="E10681" t="str">
        <f>"1301170299"</f>
        <v>1301170299</v>
      </c>
      <c r="F10681" s="1">
        <v>45139</v>
      </c>
      <c r="G10681" t="str">
        <f>"91475"</f>
        <v>91475</v>
      </c>
      <c r="H10681">
        <v>1</v>
      </c>
      <c r="I10681">
        <v>213</v>
      </c>
      <c r="J10681">
        <v>0</v>
      </c>
      <c r="K10681" t="str">
        <f>"813"</f>
        <v>813</v>
      </c>
      <c r="L10681">
        <v>178.92</v>
      </c>
    </row>
    <row r="10682" spans="1:12" x14ac:dyDescent="0.25">
      <c r="A10682" t="str">
        <f t="shared" si="1904"/>
        <v>89301000</v>
      </c>
      <c r="B10682" t="str">
        <f t="shared" si="1906"/>
        <v>06539000</v>
      </c>
      <c r="C10682" t="str">
        <f>"06539001"</f>
        <v>06539001</v>
      </c>
      <c r="D10682">
        <v>89301101</v>
      </c>
      <c r="E10682" t="str">
        <f t="shared" ref="E10682:E10719" si="1914">"0610023282"</f>
        <v>0610023282</v>
      </c>
      <c r="F10682" s="1">
        <v>45142</v>
      </c>
      <c r="G10682" t="str">
        <f>"81329"</f>
        <v>81329</v>
      </c>
      <c r="H10682">
        <v>1</v>
      </c>
      <c r="I10682">
        <v>17</v>
      </c>
      <c r="J10682">
        <v>0</v>
      </c>
      <c r="K10682" t="str">
        <f>"801"</f>
        <v>801</v>
      </c>
      <c r="L10682">
        <v>14.28</v>
      </c>
    </row>
    <row r="10683" spans="1:12" x14ac:dyDescent="0.25">
      <c r="A10683" t="str">
        <f t="shared" si="1904"/>
        <v>89301000</v>
      </c>
      <c r="B10683" t="str">
        <f t="shared" si="1906"/>
        <v>06539000</v>
      </c>
      <c r="C10683" t="str">
        <f>"06539001"</f>
        <v>06539001</v>
      </c>
      <c r="D10683">
        <v>89301101</v>
      </c>
      <c r="E10683" t="str">
        <f t="shared" si="1914"/>
        <v>0610023282</v>
      </c>
      <c r="F10683" s="1">
        <v>45142</v>
      </c>
      <c r="G10683" t="str">
        <f>"81331"</f>
        <v>81331</v>
      </c>
      <c r="H10683">
        <v>1</v>
      </c>
      <c r="I10683">
        <v>193</v>
      </c>
      <c r="J10683">
        <v>0</v>
      </c>
      <c r="K10683" t="str">
        <f>"801"</f>
        <v>801</v>
      </c>
      <c r="L10683">
        <v>162.12</v>
      </c>
    </row>
    <row r="10684" spans="1:12" x14ac:dyDescent="0.25">
      <c r="A10684" t="str">
        <f t="shared" si="1904"/>
        <v>89301000</v>
      </c>
      <c r="B10684" t="str">
        <f t="shared" si="1906"/>
        <v>06539000</v>
      </c>
      <c r="C10684" t="str">
        <f t="shared" ref="C10684:C10689" si="1915">"06539002"</f>
        <v>06539002</v>
      </c>
      <c r="D10684">
        <v>89301101</v>
      </c>
      <c r="E10684" t="str">
        <f t="shared" si="1914"/>
        <v>0610023282</v>
      </c>
      <c r="F10684" s="1">
        <v>45142</v>
      </c>
      <c r="G10684" t="str">
        <f>"82041"</f>
        <v>82041</v>
      </c>
      <c r="H10684">
        <v>1</v>
      </c>
      <c r="I10684">
        <v>1096</v>
      </c>
      <c r="J10684">
        <v>0</v>
      </c>
      <c r="K10684" t="str">
        <f t="shared" ref="K10684:K10689" si="1916">"802"</f>
        <v>802</v>
      </c>
      <c r="L10684">
        <v>1063.1199999999999</v>
      </c>
    </row>
    <row r="10685" spans="1:12" x14ac:dyDescent="0.25">
      <c r="A10685" t="str">
        <f t="shared" si="1904"/>
        <v>89301000</v>
      </c>
      <c r="B10685" t="str">
        <f t="shared" si="1906"/>
        <v>06539000</v>
      </c>
      <c r="C10685" t="str">
        <f t="shared" si="1915"/>
        <v>06539002</v>
      </c>
      <c r="D10685">
        <v>89301101</v>
      </c>
      <c r="E10685" t="str">
        <f t="shared" si="1914"/>
        <v>0610023282</v>
      </c>
      <c r="F10685" s="1">
        <v>45142</v>
      </c>
      <c r="G10685" t="str">
        <f>"82034"</f>
        <v>82034</v>
      </c>
      <c r="H10685">
        <v>1</v>
      </c>
      <c r="I10685">
        <v>354</v>
      </c>
      <c r="J10685">
        <v>0</v>
      </c>
      <c r="K10685" t="str">
        <f t="shared" si="1916"/>
        <v>802</v>
      </c>
      <c r="L10685">
        <v>343.38</v>
      </c>
    </row>
    <row r="10686" spans="1:12" x14ac:dyDescent="0.25">
      <c r="A10686" t="str">
        <f t="shared" si="1904"/>
        <v>89301000</v>
      </c>
      <c r="B10686" t="str">
        <f t="shared" si="1906"/>
        <v>06539000</v>
      </c>
      <c r="C10686" t="str">
        <f t="shared" si="1915"/>
        <v>06539002</v>
      </c>
      <c r="D10686">
        <v>89301101</v>
      </c>
      <c r="E10686" t="str">
        <f t="shared" si="1914"/>
        <v>0610023282</v>
      </c>
      <c r="F10686" s="1">
        <v>45142</v>
      </c>
      <c r="G10686" t="str">
        <f>"82097"</f>
        <v>82097</v>
      </c>
      <c r="H10686">
        <v>1</v>
      </c>
      <c r="I10686">
        <v>381</v>
      </c>
      <c r="J10686">
        <v>0</v>
      </c>
      <c r="K10686" t="str">
        <f t="shared" si="1916"/>
        <v>802</v>
      </c>
      <c r="L10686">
        <v>369.57</v>
      </c>
    </row>
    <row r="10687" spans="1:12" x14ac:dyDescent="0.25">
      <c r="A10687" t="str">
        <f t="shared" si="1904"/>
        <v>89301000</v>
      </c>
      <c r="B10687" t="str">
        <f t="shared" si="1906"/>
        <v>06539000</v>
      </c>
      <c r="C10687" t="str">
        <f t="shared" si="1915"/>
        <v>06539002</v>
      </c>
      <c r="D10687">
        <v>89301101</v>
      </c>
      <c r="E10687" t="str">
        <f t="shared" si="1914"/>
        <v>0610023282</v>
      </c>
      <c r="F10687" s="1">
        <v>45142</v>
      </c>
      <c r="G10687" t="str">
        <f>"82097"</f>
        <v>82097</v>
      </c>
      <c r="H10687">
        <v>1</v>
      </c>
      <c r="I10687">
        <v>381</v>
      </c>
      <c r="J10687">
        <v>0</v>
      </c>
      <c r="K10687" t="str">
        <f t="shared" si="1916"/>
        <v>802</v>
      </c>
      <c r="L10687">
        <v>369.57</v>
      </c>
    </row>
    <row r="10688" spans="1:12" x14ac:dyDescent="0.25">
      <c r="A10688" t="str">
        <f t="shared" si="1904"/>
        <v>89301000</v>
      </c>
      <c r="B10688" t="str">
        <f t="shared" si="1906"/>
        <v>06539000</v>
      </c>
      <c r="C10688" t="str">
        <f t="shared" si="1915"/>
        <v>06539002</v>
      </c>
      <c r="D10688">
        <v>89301101</v>
      </c>
      <c r="E10688" t="str">
        <f t="shared" si="1914"/>
        <v>0610023282</v>
      </c>
      <c r="F10688" s="1">
        <v>45142</v>
      </c>
      <c r="G10688" t="str">
        <f>"82097"</f>
        <v>82097</v>
      </c>
      <c r="H10688">
        <v>1</v>
      </c>
      <c r="I10688">
        <v>381</v>
      </c>
      <c r="J10688">
        <v>0</v>
      </c>
      <c r="K10688" t="str">
        <f t="shared" si="1916"/>
        <v>802</v>
      </c>
      <c r="L10688">
        <v>369.57</v>
      </c>
    </row>
    <row r="10689" spans="1:12" x14ac:dyDescent="0.25">
      <c r="A10689" t="str">
        <f t="shared" si="1904"/>
        <v>89301000</v>
      </c>
      <c r="B10689" t="str">
        <f t="shared" si="1906"/>
        <v>06539000</v>
      </c>
      <c r="C10689" t="str">
        <f t="shared" si="1915"/>
        <v>06539002</v>
      </c>
      <c r="D10689">
        <v>89301101</v>
      </c>
      <c r="E10689" t="str">
        <f t="shared" si="1914"/>
        <v>0610023282</v>
      </c>
      <c r="F10689" s="1">
        <v>45142</v>
      </c>
      <c r="G10689" t="str">
        <f>"82097"</f>
        <v>82097</v>
      </c>
      <c r="H10689">
        <v>1</v>
      </c>
      <c r="I10689">
        <v>381</v>
      </c>
      <c r="J10689">
        <v>0</v>
      </c>
      <c r="K10689" t="str">
        <f t="shared" si="1916"/>
        <v>802</v>
      </c>
      <c r="L10689">
        <v>369.57</v>
      </c>
    </row>
    <row r="10690" spans="1:12" x14ac:dyDescent="0.25">
      <c r="A10690" t="str">
        <f t="shared" ref="A10690:A10753" si="1917">"89301000"</f>
        <v>89301000</v>
      </c>
      <c r="B10690" t="str">
        <f t="shared" si="1906"/>
        <v>06539000</v>
      </c>
      <c r="C10690" t="str">
        <f t="shared" ref="C10690:C10719" si="1918">"06539003"</f>
        <v>06539003</v>
      </c>
      <c r="D10690">
        <v>89301101</v>
      </c>
      <c r="E10690" t="str">
        <f t="shared" si="1914"/>
        <v>0610023282</v>
      </c>
      <c r="F10690" s="1">
        <v>45147</v>
      </c>
      <c r="G10690" t="str">
        <f t="shared" ref="G10690:G10699" si="1919">"91413"</f>
        <v>91413</v>
      </c>
      <c r="H10690">
        <v>1</v>
      </c>
      <c r="I10690">
        <v>868</v>
      </c>
      <c r="J10690">
        <v>0</v>
      </c>
      <c r="K10690" t="str">
        <f t="shared" ref="K10690:K10719" si="1920">"813"</f>
        <v>813</v>
      </c>
      <c r="L10690">
        <v>729.12</v>
      </c>
    </row>
    <row r="10691" spans="1:12" x14ac:dyDescent="0.25">
      <c r="A10691" t="str">
        <f t="shared" si="1917"/>
        <v>89301000</v>
      </c>
      <c r="B10691" t="str">
        <f t="shared" si="1906"/>
        <v>06539000</v>
      </c>
      <c r="C10691" t="str">
        <f t="shared" si="1918"/>
        <v>06539003</v>
      </c>
      <c r="D10691">
        <v>89301101</v>
      </c>
      <c r="E10691" t="str">
        <f t="shared" si="1914"/>
        <v>0610023282</v>
      </c>
      <c r="F10691" s="1">
        <v>45147</v>
      </c>
      <c r="G10691" t="str">
        <f t="shared" si="1919"/>
        <v>91413</v>
      </c>
      <c r="H10691">
        <v>1</v>
      </c>
      <c r="I10691">
        <v>868</v>
      </c>
      <c r="J10691">
        <v>0</v>
      </c>
      <c r="K10691" t="str">
        <f t="shared" si="1920"/>
        <v>813</v>
      </c>
      <c r="L10691">
        <v>729.12</v>
      </c>
    </row>
    <row r="10692" spans="1:12" x14ac:dyDescent="0.25">
      <c r="A10692" t="str">
        <f t="shared" si="1917"/>
        <v>89301000</v>
      </c>
      <c r="B10692" t="str">
        <f t="shared" si="1906"/>
        <v>06539000</v>
      </c>
      <c r="C10692" t="str">
        <f t="shared" si="1918"/>
        <v>06539003</v>
      </c>
      <c r="D10692">
        <v>89301101</v>
      </c>
      <c r="E10692" t="str">
        <f t="shared" si="1914"/>
        <v>0610023282</v>
      </c>
      <c r="F10692" s="1">
        <v>45161</v>
      </c>
      <c r="G10692" t="str">
        <f t="shared" si="1919"/>
        <v>91413</v>
      </c>
      <c r="H10692">
        <v>1</v>
      </c>
      <c r="I10692">
        <v>868</v>
      </c>
      <c r="J10692">
        <v>0</v>
      </c>
      <c r="K10692" t="str">
        <f t="shared" si="1920"/>
        <v>813</v>
      </c>
      <c r="L10692">
        <v>729.12</v>
      </c>
    </row>
    <row r="10693" spans="1:12" x14ac:dyDescent="0.25">
      <c r="A10693" t="str">
        <f t="shared" si="1917"/>
        <v>89301000</v>
      </c>
      <c r="B10693" t="str">
        <f t="shared" si="1906"/>
        <v>06539000</v>
      </c>
      <c r="C10693" t="str">
        <f t="shared" si="1918"/>
        <v>06539003</v>
      </c>
      <c r="D10693">
        <v>89301101</v>
      </c>
      <c r="E10693" t="str">
        <f t="shared" si="1914"/>
        <v>0610023282</v>
      </c>
      <c r="F10693" s="1">
        <v>45161</v>
      </c>
      <c r="G10693" t="str">
        <f t="shared" si="1919"/>
        <v>91413</v>
      </c>
      <c r="H10693">
        <v>1</v>
      </c>
      <c r="I10693">
        <v>868</v>
      </c>
      <c r="J10693">
        <v>0</v>
      </c>
      <c r="K10693" t="str">
        <f t="shared" si="1920"/>
        <v>813</v>
      </c>
      <c r="L10693">
        <v>729.12</v>
      </c>
    </row>
    <row r="10694" spans="1:12" x14ac:dyDescent="0.25">
      <c r="A10694" t="str">
        <f t="shared" si="1917"/>
        <v>89301000</v>
      </c>
      <c r="B10694" t="str">
        <f t="shared" si="1906"/>
        <v>06539000</v>
      </c>
      <c r="C10694" t="str">
        <f t="shared" si="1918"/>
        <v>06539003</v>
      </c>
      <c r="D10694">
        <v>89301101</v>
      </c>
      <c r="E10694" t="str">
        <f t="shared" si="1914"/>
        <v>0610023282</v>
      </c>
      <c r="F10694" s="1">
        <v>45161</v>
      </c>
      <c r="G10694" t="str">
        <f t="shared" si="1919"/>
        <v>91413</v>
      </c>
      <c r="H10694">
        <v>1</v>
      </c>
      <c r="I10694">
        <v>868</v>
      </c>
      <c r="J10694">
        <v>0</v>
      </c>
      <c r="K10694" t="str">
        <f t="shared" si="1920"/>
        <v>813</v>
      </c>
      <c r="L10694">
        <v>729.12</v>
      </c>
    </row>
    <row r="10695" spans="1:12" x14ac:dyDescent="0.25">
      <c r="A10695" t="str">
        <f t="shared" si="1917"/>
        <v>89301000</v>
      </c>
      <c r="B10695" t="str">
        <f t="shared" si="1906"/>
        <v>06539000</v>
      </c>
      <c r="C10695" t="str">
        <f t="shared" si="1918"/>
        <v>06539003</v>
      </c>
      <c r="D10695">
        <v>89301101</v>
      </c>
      <c r="E10695" t="str">
        <f t="shared" si="1914"/>
        <v>0610023282</v>
      </c>
      <c r="F10695" s="1">
        <v>45161</v>
      </c>
      <c r="G10695" t="str">
        <f t="shared" si="1919"/>
        <v>91413</v>
      </c>
      <c r="H10695">
        <v>1</v>
      </c>
      <c r="I10695">
        <v>868</v>
      </c>
      <c r="J10695">
        <v>0</v>
      </c>
      <c r="K10695" t="str">
        <f t="shared" si="1920"/>
        <v>813</v>
      </c>
      <c r="L10695">
        <v>729.12</v>
      </c>
    </row>
    <row r="10696" spans="1:12" x14ac:dyDescent="0.25">
      <c r="A10696" t="str">
        <f t="shared" si="1917"/>
        <v>89301000</v>
      </c>
      <c r="B10696" t="str">
        <f t="shared" si="1906"/>
        <v>06539000</v>
      </c>
      <c r="C10696" t="str">
        <f t="shared" si="1918"/>
        <v>06539003</v>
      </c>
      <c r="D10696">
        <v>89301101</v>
      </c>
      <c r="E10696" t="str">
        <f t="shared" si="1914"/>
        <v>0610023282</v>
      </c>
      <c r="F10696" s="1">
        <v>45162</v>
      </c>
      <c r="G10696" t="str">
        <f t="shared" si="1919"/>
        <v>91413</v>
      </c>
      <c r="H10696">
        <v>1</v>
      </c>
      <c r="I10696">
        <v>868</v>
      </c>
      <c r="J10696">
        <v>0</v>
      </c>
      <c r="K10696" t="str">
        <f t="shared" si="1920"/>
        <v>813</v>
      </c>
      <c r="L10696">
        <v>729.12</v>
      </c>
    </row>
    <row r="10697" spans="1:12" x14ac:dyDescent="0.25">
      <c r="A10697" t="str">
        <f t="shared" si="1917"/>
        <v>89301000</v>
      </c>
      <c r="B10697" t="str">
        <f t="shared" si="1906"/>
        <v>06539000</v>
      </c>
      <c r="C10697" t="str">
        <f t="shared" si="1918"/>
        <v>06539003</v>
      </c>
      <c r="D10697">
        <v>89301101</v>
      </c>
      <c r="E10697" t="str">
        <f t="shared" si="1914"/>
        <v>0610023282</v>
      </c>
      <c r="F10697" s="1">
        <v>45162</v>
      </c>
      <c r="G10697" t="str">
        <f t="shared" si="1919"/>
        <v>91413</v>
      </c>
      <c r="H10697">
        <v>1</v>
      </c>
      <c r="I10697">
        <v>868</v>
      </c>
      <c r="J10697">
        <v>0</v>
      </c>
      <c r="K10697" t="str">
        <f t="shared" si="1920"/>
        <v>813</v>
      </c>
      <c r="L10697">
        <v>729.12</v>
      </c>
    </row>
    <row r="10698" spans="1:12" x14ac:dyDescent="0.25">
      <c r="A10698" t="str">
        <f t="shared" si="1917"/>
        <v>89301000</v>
      </c>
      <c r="B10698" t="str">
        <f t="shared" si="1906"/>
        <v>06539000</v>
      </c>
      <c r="C10698" t="str">
        <f t="shared" si="1918"/>
        <v>06539003</v>
      </c>
      <c r="D10698">
        <v>89301101</v>
      </c>
      <c r="E10698" t="str">
        <f t="shared" si="1914"/>
        <v>0610023282</v>
      </c>
      <c r="F10698" s="1">
        <v>45162</v>
      </c>
      <c r="G10698" t="str">
        <f t="shared" si="1919"/>
        <v>91413</v>
      </c>
      <c r="H10698">
        <v>1</v>
      </c>
      <c r="I10698">
        <v>868</v>
      </c>
      <c r="J10698">
        <v>0</v>
      </c>
      <c r="K10698" t="str">
        <f t="shared" si="1920"/>
        <v>813</v>
      </c>
      <c r="L10698">
        <v>729.12</v>
      </c>
    </row>
    <row r="10699" spans="1:12" x14ac:dyDescent="0.25">
      <c r="A10699" t="str">
        <f t="shared" si="1917"/>
        <v>89301000</v>
      </c>
      <c r="B10699" t="str">
        <f t="shared" si="1906"/>
        <v>06539000</v>
      </c>
      <c r="C10699" t="str">
        <f t="shared" si="1918"/>
        <v>06539003</v>
      </c>
      <c r="D10699">
        <v>89301101</v>
      </c>
      <c r="E10699" t="str">
        <f t="shared" si="1914"/>
        <v>0610023282</v>
      </c>
      <c r="F10699" s="1">
        <v>45162</v>
      </c>
      <c r="G10699" t="str">
        <f t="shared" si="1919"/>
        <v>91413</v>
      </c>
      <c r="H10699">
        <v>1</v>
      </c>
      <c r="I10699">
        <v>868</v>
      </c>
      <c r="J10699">
        <v>0</v>
      </c>
      <c r="K10699" t="str">
        <f t="shared" si="1920"/>
        <v>813</v>
      </c>
      <c r="L10699">
        <v>729.12</v>
      </c>
    </row>
    <row r="10700" spans="1:12" x14ac:dyDescent="0.25">
      <c r="A10700" t="str">
        <f t="shared" si="1917"/>
        <v>89301000</v>
      </c>
      <c r="B10700" t="str">
        <f t="shared" si="1906"/>
        <v>06539000</v>
      </c>
      <c r="C10700" t="str">
        <f t="shared" si="1918"/>
        <v>06539003</v>
      </c>
      <c r="D10700">
        <v>89301101</v>
      </c>
      <c r="E10700" t="str">
        <f t="shared" si="1914"/>
        <v>0610023282</v>
      </c>
      <c r="F10700" s="1">
        <v>45142</v>
      </c>
      <c r="G10700" t="str">
        <f t="shared" ref="G10700:G10706" si="1921">"91197"</f>
        <v>91197</v>
      </c>
      <c r="H10700">
        <v>1</v>
      </c>
      <c r="I10700">
        <v>1048</v>
      </c>
      <c r="J10700">
        <v>0</v>
      </c>
      <c r="K10700" t="str">
        <f t="shared" si="1920"/>
        <v>813</v>
      </c>
      <c r="L10700">
        <v>880.32</v>
      </c>
    </row>
    <row r="10701" spans="1:12" x14ac:dyDescent="0.25">
      <c r="A10701" t="str">
        <f t="shared" si="1917"/>
        <v>89301000</v>
      </c>
      <c r="B10701" t="str">
        <f t="shared" ref="B10701:B10759" si="1922">"06539000"</f>
        <v>06539000</v>
      </c>
      <c r="C10701" t="str">
        <f t="shared" si="1918"/>
        <v>06539003</v>
      </c>
      <c r="D10701">
        <v>89301101</v>
      </c>
      <c r="E10701" t="str">
        <f t="shared" si="1914"/>
        <v>0610023282</v>
      </c>
      <c r="F10701" s="1">
        <v>45145</v>
      </c>
      <c r="G10701" t="str">
        <f t="shared" si="1921"/>
        <v>91197</v>
      </c>
      <c r="H10701">
        <v>1</v>
      </c>
      <c r="I10701">
        <v>1048</v>
      </c>
      <c r="J10701">
        <v>0</v>
      </c>
      <c r="K10701" t="str">
        <f t="shared" si="1920"/>
        <v>813</v>
      </c>
      <c r="L10701">
        <v>880.32</v>
      </c>
    </row>
    <row r="10702" spans="1:12" x14ac:dyDescent="0.25">
      <c r="A10702" t="str">
        <f t="shared" si="1917"/>
        <v>89301000</v>
      </c>
      <c r="B10702" t="str">
        <f t="shared" si="1922"/>
        <v>06539000</v>
      </c>
      <c r="C10702" t="str">
        <f t="shared" si="1918"/>
        <v>06539003</v>
      </c>
      <c r="D10702">
        <v>89301101</v>
      </c>
      <c r="E10702" t="str">
        <f t="shared" si="1914"/>
        <v>0610023282</v>
      </c>
      <c r="F10702" s="1">
        <v>45145</v>
      </c>
      <c r="G10702" t="str">
        <f t="shared" si="1921"/>
        <v>91197</v>
      </c>
      <c r="H10702">
        <v>1</v>
      </c>
      <c r="I10702">
        <v>1048</v>
      </c>
      <c r="J10702">
        <v>0</v>
      </c>
      <c r="K10702" t="str">
        <f t="shared" si="1920"/>
        <v>813</v>
      </c>
      <c r="L10702">
        <v>880.32</v>
      </c>
    </row>
    <row r="10703" spans="1:12" x14ac:dyDescent="0.25">
      <c r="A10703" t="str">
        <f t="shared" si="1917"/>
        <v>89301000</v>
      </c>
      <c r="B10703" t="str">
        <f t="shared" si="1922"/>
        <v>06539000</v>
      </c>
      <c r="C10703" t="str">
        <f t="shared" si="1918"/>
        <v>06539003</v>
      </c>
      <c r="D10703">
        <v>89301101</v>
      </c>
      <c r="E10703" t="str">
        <f t="shared" si="1914"/>
        <v>0610023282</v>
      </c>
      <c r="F10703" s="1">
        <v>45144</v>
      </c>
      <c r="G10703" t="str">
        <f t="shared" si="1921"/>
        <v>91197</v>
      </c>
      <c r="H10703">
        <v>1</v>
      </c>
      <c r="I10703">
        <v>1048</v>
      </c>
      <c r="J10703">
        <v>0</v>
      </c>
      <c r="K10703" t="str">
        <f t="shared" si="1920"/>
        <v>813</v>
      </c>
      <c r="L10703">
        <v>880.32</v>
      </c>
    </row>
    <row r="10704" spans="1:12" x14ac:dyDescent="0.25">
      <c r="A10704" t="str">
        <f t="shared" si="1917"/>
        <v>89301000</v>
      </c>
      <c r="B10704" t="str">
        <f t="shared" si="1922"/>
        <v>06539000</v>
      </c>
      <c r="C10704" t="str">
        <f t="shared" si="1918"/>
        <v>06539003</v>
      </c>
      <c r="D10704">
        <v>89301101</v>
      </c>
      <c r="E10704" t="str">
        <f t="shared" si="1914"/>
        <v>0610023282</v>
      </c>
      <c r="F10704" s="1">
        <v>45144</v>
      </c>
      <c r="G10704" t="str">
        <f t="shared" si="1921"/>
        <v>91197</v>
      </c>
      <c r="H10704">
        <v>1</v>
      </c>
      <c r="I10704">
        <v>1048</v>
      </c>
      <c r="J10704">
        <v>0</v>
      </c>
      <c r="K10704" t="str">
        <f t="shared" si="1920"/>
        <v>813</v>
      </c>
      <c r="L10704">
        <v>880.32</v>
      </c>
    </row>
    <row r="10705" spans="1:12" x14ac:dyDescent="0.25">
      <c r="A10705" t="str">
        <f t="shared" si="1917"/>
        <v>89301000</v>
      </c>
      <c r="B10705" t="str">
        <f t="shared" si="1922"/>
        <v>06539000</v>
      </c>
      <c r="C10705" t="str">
        <f t="shared" si="1918"/>
        <v>06539003</v>
      </c>
      <c r="D10705">
        <v>89301101</v>
      </c>
      <c r="E10705" t="str">
        <f t="shared" si="1914"/>
        <v>0610023282</v>
      </c>
      <c r="F10705" s="1">
        <v>45143</v>
      </c>
      <c r="G10705" t="str">
        <f t="shared" si="1921"/>
        <v>91197</v>
      </c>
      <c r="H10705">
        <v>1</v>
      </c>
      <c r="I10705">
        <v>1048</v>
      </c>
      <c r="J10705">
        <v>0</v>
      </c>
      <c r="K10705" t="str">
        <f t="shared" si="1920"/>
        <v>813</v>
      </c>
      <c r="L10705">
        <v>880.32</v>
      </c>
    </row>
    <row r="10706" spans="1:12" x14ac:dyDescent="0.25">
      <c r="A10706" t="str">
        <f t="shared" si="1917"/>
        <v>89301000</v>
      </c>
      <c r="B10706" t="str">
        <f t="shared" si="1922"/>
        <v>06539000</v>
      </c>
      <c r="C10706" t="str">
        <f t="shared" si="1918"/>
        <v>06539003</v>
      </c>
      <c r="D10706">
        <v>89301101</v>
      </c>
      <c r="E10706" t="str">
        <f t="shared" si="1914"/>
        <v>0610023282</v>
      </c>
      <c r="F10706" s="1">
        <v>45143</v>
      </c>
      <c r="G10706" t="str">
        <f t="shared" si="1921"/>
        <v>91197</v>
      </c>
      <c r="H10706">
        <v>1</v>
      </c>
      <c r="I10706">
        <v>1048</v>
      </c>
      <c r="J10706">
        <v>0</v>
      </c>
      <c r="K10706" t="str">
        <f t="shared" si="1920"/>
        <v>813</v>
      </c>
      <c r="L10706">
        <v>880.32</v>
      </c>
    </row>
    <row r="10707" spans="1:12" x14ac:dyDescent="0.25">
      <c r="A10707" t="str">
        <f t="shared" si="1917"/>
        <v>89301000</v>
      </c>
      <c r="B10707" t="str">
        <f t="shared" si="1922"/>
        <v>06539000</v>
      </c>
      <c r="C10707" t="str">
        <f t="shared" si="1918"/>
        <v>06539003</v>
      </c>
      <c r="D10707">
        <v>89301101</v>
      </c>
      <c r="E10707" t="str">
        <f t="shared" si="1914"/>
        <v>0610023282</v>
      </c>
      <c r="F10707" s="1">
        <v>45145</v>
      </c>
      <c r="G10707" t="str">
        <f>"91129"</f>
        <v>91129</v>
      </c>
      <c r="H10707">
        <v>1</v>
      </c>
      <c r="I10707">
        <v>175</v>
      </c>
      <c r="J10707">
        <v>0</v>
      </c>
      <c r="K10707" t="str">
        <f t="shared" si="1920"/>
        <v>813</v>
      </c>
      <c r="L10707">
        <v>147</v>
      </c>
    </row>
    <row r="10708" spans="1:12" x14ac:dyDescent="0.25">
      <c r="A10708" t="str">
        <f t="shared" si="1917"/>
        <v>89301000</v>
      </c>
      <c r="B10708" t="str">
        <f t="shared" si="1922"/>
        <v>06539000</v>
      </c>
      <c r="C10708" t="str">
        <f t="shared" si="1918"/>
        <v>06539003</v>
      </c>
      <c r="D10708">
        <v>89301101</v>
      </c>
      <c r="E10708" t="str">
        <f t="shared" si="1914"/>
        <v>0610023282</v>
      </c>
      <c r="F10708" s="1">
        <v>45145</v>
      </c>
      <c r="G10708" t="str">
        <f>"91159"</f>
        <v>91159</v>
      </c>
      <c r="H10708">
        <v>1</v>
      </c>
      <c r="I10708">
        <v>171</v>
      </c>
      <c r="J10708">
        <v>0</v>
      </c>
      <c r="K10708" t="str">
        <f t="shared" si="1920"/>
        <v>813</v>
      </c>
      <c r="L10708">
        <v>143.63999999999999</v>
      </c>
    </row>
    <row r="10709" spans="1:12" x14ac:dyDescent="0.25">
      <c r="A10709" t="str">
        <f t="shared" si="1917"/>
        <v>89301000</v>
      </c>
      <c r="B10709" t="str">
        <f t="shared" si="1922"/>
        <v>06539000</v>
      </c>
      <c r="C10709" t="str">
        <f t="shared" si="1918"/>
        <v>06539003</v>
      </c>
      <c r="D10709">
        <v>89301101</v>
      </c>
      <c r="E10709" t="str">
        <f t="shared" si="1914"/>
        <v>0610023282</v>
      </c>
      <c r="F10709" s="1">
        <v>45145</v>
      </c>
      <c r="G10709" t="str">
        <f>"91161"</f>
        <v>91161</v>
      </c>
      <c r="H10709">
        <v>1</v>
      </c>
      <c r="I10709">
        <v>178</v>
      </c>
      <c r="J10709">
        <v>0</v>
      </c>
      <c r="K10709" t="str">
        <f t="shared" si="1920"/>
        <v>813</v>
      </c>
      <c r="L10709">
        <v>149.52000000000001</v>
      </c>
    </row>
    <row r="10710" spans="1:12" x14ac:dyDescent="0.25">
      <c r="A10710" t="str">
        <f t="shared" si="1917"/>
        <v>89301000</v>
      </c>
      <c r="B10710" t="str">
        <f t="shared" si="1922"/>
        <v>06539000</v>
      </c>
      <c r="C10710" t="str">
        <f t="shared" si="1918"/>
        <v>06539003</v>
      </c>
      <c r="D10710">
        <v>89301101</v>
      </c>
      <c r="E10710" t="str">
        <f t="shared" si="1914"/>
        <v>0610023282</v>
      </c>
      <c r="F10710" s="1">
        <v>45145</v>
      </c>
      <c r="G10710" t="str">
        <f>"91131"</f>
        <v>91131</v>
      </c>
      <c r="H10710">
        <v>1</v>
      </c>
      <c r="I10710">
        <v>171</v>
      </c>
      <c r="J10710">
        <v>0</v>
      </c>
      <c r="K10710" t="str">
        <f t="shared" si="1920"/>
        <v>813</v>
      </c>
      <c r="L10710">
        <v>143.63999999999999</v>
      </c>
    </row>
    <row r="10711" spans="1:12" x14ac:dyDescent="0.25">
      <c r="A10711" t="str">
        <f t="shared" si="1917"/>
        <v>89301000</v>
      </c>
      <c r="B10711" t="str">
        <f t="shared" si="1922"/>
        <v>06539000</v>
      </c>
      <c r="C10711" t="str">
        <f t="shared" si="1918"/>
        <v>06539003</v>
      </c>
      <c r="D10711">
        <v>89301101</v>
      </c>
      <c r="E10711" t="str">
        <f t="shared" si="1914"/>
        <v>0610023282</v>
      </c>
      <c r="F10711" s="1">
        <v>45145</v>
      </c>
      <c r="G10711" t="str">
        <f>"91195"</f>
        <v>91195</v>
      </c>
      <c r="H10711">
        <v>1</v>
      </c>
      <c r="I10711">
        <v>279</v>
      </c>
      <c r="J10711">
        <v>0</v>
      </c>
      <c r="K10711" t="str">
        <f t="shared" si="1920"/>
        <v>813</v>
      </c>
      <c r="L10711">
        <v>234.36</v>
      </c>
    </row>
    <row r="10712" spans="1:12" x14ac:dyDescent="0.25">
      <c r="A10712" t="str">
        <f t="shared" si="1917"/>
        <v>89301000</v>
      </c>
      <c r="B10712" t="str">
        <f t="shared" si="1922"/>
        <v>06539000</v>
      </c>
      <c r="C10712" t="str">
        <f t="shared" si="1918"/>
        <v>06539003</v>
      </c>
      <c r="D10712">
        <v>89301101</v>
      </c>
      <c r="E10712" t="str">
        <f t="shared" si="1914"/>
        <v>0610023282</v>
      </c>
      <c r="F10712" s="1">
        <v>45145</v>
      </c>
      <c r="G10712" t="str">
        <f>"91133"</f>
        <v>91133</v>
      </c>
      <c r="H10712">
        <v>1</v>
      </c>
      <c r="I10712">
        <v>177</v>
      </c>
      <c r="J10712">
        <v>0</v>
      </c>
      <c r="K10712" t="str">
        <f t="shared" si="1920"/>
        <v>813</v>
      </c>
      <c r="L10712">
        <v>148.68</v>
      </c>
    </row>
    <row r="10713" spans="1:12" x14ac:dyDescent="0.25">
      <c r="A10713" t="str">
        <f t="shared" si="1917"/>
        <v>89301000</v>
      </c>
      <c r="B10713" t="str">
        <f t="shared" si="1922"/>
        <v>06539000</v>
      </c>
      <c r="C10713" t="str">
        <f t="shared" si="1918"/>
        <v>06539003</v>
      </c>
      <c r="D10713">
        <v>89301101</v>
      </c>
      <c r="E10713" t="str">
        <f t="shared" si="1914"/>
        <v>0610023282</v>
      </c>
      <c r="F10713" s="1">
        <v>45145</v>
      </c>
      <c r="G10713" t="str">
        <f>"91159"</f>
        <v>91159</v>
      </c>
      <c r="H10713">
        <v>1</v>
      </c>
      <c r="I10713">
        <v>171</v>
      </c>
      <c r="J10713">
        <v>0</v>
      </c>
      <c r="K10713" t="str">
        <f t="shared" si="1920"/>
        <v>813</v>
      </c>
      <c r="L10713">
        <v>143.63999999999999</v>
      </c>
    </row>
    <row r="10714" spans="1:12" x14ac:dyDescent="0.25">
      <c r="A10714" t="str">
        <f t="shared" si="1917"/>
        <v>89301000</v>
      </c>
      <c r="B10714" t="str">
        <f t="shared" si="1922"/>
        <v>06539000</v>
      </c>
      <c r="C10714" t="str">
        <f t="shared" si="1918"/>
        <v>06539003</v>
      </c>
      <c r="D10714">
        <v>89301101</v>
      </c>
      <c r="E10714" t="str">
        <f t="shared" si="1914"/>
        <v>0610023282</v>
      </c>
      <c r="F10714" s="1">
        <v>45145</v>
      </c>
      <c r="G10714" t="str">
        <f>"91161"</f>
        <v>91161</v>
      </c>
      <c r="H10714">
        <v>1</v>
      </c>
      <c r="I10714">
        <v>178</v>
      </c>
      <c r="J10714">
        <v>0</v>
      </c>
      <c r="K10714" t="str">
        <f t="shared" si="1920"/>
        <v>813</v>
      </c>
      <c r="L10714">
        <v>149.52000000000001</v>
      </c>
    </row>
    <row r="10715" spans="1:12" x14ac:dyDescent="0.25">
      <c r="A10715" t="str">
        <f t="shared" si="1917"/>
        <v>89301000</v>
      </c>
      <c r="B10715" t="str">
        <f t="shared" si="1922"/>
        <v>06539000</v>
      </c>
      <c r="C10715" t="str">
        <f t="shared" si="1918"/>
        <v>06539003</v>
      </c>
      <c r="D10715">
        <v>89301101</v>
      </c>
      <c r="E10715" t="str">
        <f t="shared" si="1914"/>
        <v>0610023282</v>
      </c>
      <c r="F10715" s="1">
        <v>45142</v>
      </c>
      <c r="G10715" t="str">
        <f>"91153"</f>
        <v>91153</v>
      </c>
      <c r="H10715">
        <v>1</v>
      </c>
      <c r="I10715">
        <v>153</v>
      </c>
      <c r="J10715">
        <v>0</v>
      </c>
      <c r="K10715" t="str">
        <f t="shared" si="1920"/>
        <v>813</v>
      </c>
      <c r="L10715">
        <v>128.52000000000001</v>
      </c>
    </row>
    <row r="10716" spans="1:12" x14ac:dyDescent="0.25">
      <c r="A10716" t="str">
        <f t="shared" si="1917"/>
        <v>89301000</v>
      </c>
      <c r="B10716" t="str">
        <f t="shared" si="1922"/>
        <v>06539000</v>
      </c>
      <c r="C10716" t="str">
        <f t="shared" si="1918"/>
        <v>06539003</v>
      </c>
      <c r="D10716">
        <v>89301101</v>
      </c>
      <c r="E10716" t="str">
        <f t="shared" si="1914"/>
        <v>0610023282</v>
      </c>
      <c r="F10716" s="1">
        <v>45145</v>
      </c>
      <c r="G10716" t="str">
        <f>"91171"</f>
        <v>91171</v>
      </c>
      <c r="H10716">
        <v>1</v>
      </c>
      <c r="I10716">
        <v>362</v>
      </c>
      <c r="J10716">
        <v>0</v>
      </c>
      <c r="K10716" t="str">
        <f t="shared" si="1920"/>
        <v>813</v>
      </c>
      <c r="L10716">
        <v>304.08</v>
      </c>
    </row>
    <row r="10717" spans="1:12" x14ac:dyDescent="0.25">
      <c r="A10717" t="str">
        <f t="shared" si="1917"/>
        <v>89301000</v>
      </c>
      <c r="B10717" t="str">
        <f t="shared" si="1922"/>
        <v>06539000</v>
      </c>
      <c r="C10717" t="str">
        <f t="shared" si="1918"/>
        <v>06539003</v>
      </c>
      <c r="D10717">
        <v>89301101</v>
      </c>
      <c r="E10717" t="str">
        <f t="shared" si="1914"/>
        <v>0610023282</v>
      </c>
      <c r="F10717" s="1">
        <v>45142</v>
      </c>
      <c r="G10717" t="str">
        <f>"91173"</f>
        <v>91173</v>
      </c>
      <c r="H10717">
        <v>1</v>
      </c>
      <c r="I10717">
        <v>337</v>
      </c>
      <c r="J10717">
        <v>0</v>
      </c>
      <c r="K10717" t="str">
        <f t="shared" si="1920"/>
        <v>813</v>
      </c>
      <c r="L10717">
        <v>283.08</v>
      </c>
    </row>
    <row r="10718" spans="1:12" x14ac:dyDescent="0.25">
      <c r="A10718" t="str">
        <f t="shared" si="1917"/>
        <v>89301000</v>
      </c>
      <c r="B10718" t="str">
        <f t="shared" si="1922"/>
        <v>06539000</v>
      </c>
      <c r="C10718" t="str">
        <f t="shared" si="1918"/>
        <v>06539003</v>
      </c>
      <c r="D10718">
        <v>89301101</v>
      </c>
      <c r="E10718" t="str">
        <f t="shared" si="1914"/>
        <v>0610023282</v>
      </c>
      <c r="F10718" s="1">
        <v>45145</v>
      </c>
      <c r="G10718" t="str">
        <f>"91175"</f>
        <v>91175</v>
      </c>
      <c r="H10718">
        <v>1</v>
      </c>
      <c r="I10718">
        <v>362</v>
      </c>
      <c r="J10718">
        <v>0</v>
      </c>
      <c r="K10718" t="str">
        <f t="shared" si="1920"/>
        <v>813</v>
      </c>
      <c r="L10718">
        <v>304.08</v>
      </c>
    </row>
    <row r="10719" spans="1:12" x14ac:dyDescent="0.25">
      <c r="A10719" t="str">
        <f t="shared" si="1917"/>
        <v>89301000</v>
      </c>
      <c r="B10719" t="str">
        <f t="shared" si="1922"/>
        <v>06539000</v>
      </c>
      <c r="C10719" t="str">
        <f t="shared" si="1918"/>
        <v>06539003</v>
      </c>
      <c r="D10719">
        <v>89301101</v>
      </c>
      <c r="E10719" t="str">
        <f t="shared" si="1914"/>
        <v>0610023282</v>
      </c>
      <c r="F10719" s="1">
        <v>45147</v>
      </c>
      <c r="G10719" t="str">
        <f>"91475"</f>
        <v>91475</v>
      </c>
      <c r="H10719">
        <v>1</v>
      </c>
      <c r="I10719">
        <v>213</v>
      </c>
      <c r="J10719">
        <v>0</v>
      </c>
      <c r="K10719" t="str">
        <f t="shared" si="1920"/>
        <v>813</v>
      </c>
      <c r="L10719">
        <v>178.92</v>
      </c>
    </row>
    <row r="10720" spans="1:12" x14ac:dyDescent="0.25">
      <c r="A10720" t="str">
        <f t="shared" si="1917"/>
        <v>89301000</v>
      </c>
      <c r="B10720" t="str">
        <f t="shared" si="1922"/>
        <v>06539000</v>
      </c>
      <c r="C10720" t="str">
        <f>"06539001"</f>
        <v>06539001</v>
      </c>
      <c r="D10720">
        <v>89301171</v>
      </c>
      <c r="E10720" t="str">
        <f>"470215407"</f>
        <v>470215407</v>
      </c>
      <c r="F10720" s="1">
        <v>45156</v>
      </c>
      <c r="G10720" t="str">
        <f>"81705"</f>
        <v>81705</v>
      </c>
      <c r="H10720">
        <v>1</v>
      </c>
      <c r="I10720">
        <v>348</v>
      </c>
      <c r="J10720">
        <v>0</v>
      </c>
      <c r="K10720" t="str">
        <f>"801"</f>
        <v>801</v>
      </c>
      <c r="L10720">
        <v>292.32</v>
      </c>
    </row>
    <row r="10721" spans="1:12" x14ac:dyDescent="0.25">
      <c r="A10721" t="str">
        <f t="shared" si="1917"/>
        <v>89301000</v>
      </c>
      <c r="B10721" t="str">
        <f t="shared" si="1922"/>
        <v>06539000</v>
      </c>
      <c r="C10721" t="str">
        <f>"06539001"</f>
        <v>06539001</v>
      </c>
      <c r="D10721">
        <v>89301171</v>
      </c>
      <c r="E10721" t="str">
        <f>"470215407"</f>
        <v>470215407</v>
      </c>
      <c r="F10721" s="1">
        <v>45152</v>
      </c>
      <c r="G10721" t="str">
        <f>"81705"</f>
        <v>81705</v>
      </c>
      <c r="H10721">
        <v>1</v>
      </c>
      <c r="I10721">
        <v>348</v>
      </c>
      <c r="J10721">
        <v>0</v>
      </c>
      <c r="K10721" t="str">
        <f>"801"</f>
        <v>801</v>
      </c>
      <c r="L10721">
        <v>292.32</v>
      </c>
    </row>
    <row r="10722" spans="1:12" x14ac:dyDescent="0.25">
      <c r="A10722" t="str">
        <f t="shared" si="1917"/>
        <v>89301000</v>
      </c>
      <c r="B10722" t="str">
        <f t="shared" si="1922"/>
        <v>06539000</v>
      </c>
      <c r="C10722" t="str">
        <f t="shared" ref="C10722:C10759" si="1923">"06539003"</f>
        <v>06539003</v>
      </c>
      <c r="D10722">
        <v>89301171</v>
      </c>
      <c r="E10722" t="str">
        <f>"470215407"</f>
        <v>470215407</v>
      </c>
      <c r="F10722" s="1">
        <v>45152</v>
      </c>
      <c r="G10722" t="str">
        <f>"91329"</f>
        <v>91329</v>
      </c>
      <c r="H10722">
        <v>2</v>
      </c>
      <c r="I10722">
        <v>436</v>
      </c>
      <c r="J10722">
        <v>0</v>
      </c>
      <c r="K10722" t="str">
        <f t="shared" ref="K10722:K10766" si="1924">"813"</f>
        <v>813</v>
      </c>
      <c r="L10722">
        <v>366.24</v>
      </c>
    </row>
    <row r="10723" spans="1:12" x14ac:dyDescent="0.25">
      <c r="A10723" t="str">
        <f t="shared" si="1917"/>
        <v>89301000</v>
      </c>
      <c r="B10723" t="str">
        <f t="shared" si="1922"/>
        <v>06539000</v>
      </c>
      <c r="C10723" t="str">
        <f t="shared" si="1923"/>
        <v>06539003</v>
      </c>
      <c r="D10723">
        <v>89301171</v>
      </c>
      <c r="E10723" t="str">
        <f>"470215407"</f>
        <v>470215407</v>
      </c>
      <c r="F10723" s="1">
        <v>45152</v>
      </c>
      <c r="G10723" t="str">
        <f>"91475"</f>
        <v>91475</v>
      </c>
      <c r="H10723">
        <v>1</v>
      </c>
      <c r="I10723">
        <v>213</v>
      </c>
      <c r="J10723">
        <v>0</v>
      </c>
      <c r="K10723" t="str">
        <f t="shared" si="1924"/>
        <v>813</v>
      </c>
      <c r="L10723">
        <v>178.92</v>
      </c>
    </row>
    <row r="10724" spans="1:12" x14ac:dyDescent="0.25">
      <c r="A10724" t="str">
        <f t="shared" si="1917"/>
        <v>89301000</v>
      </c>
      <c r="B10724" t="str">
        <f t="shared" si="1922"/>
        <v>06539000</v>
      </c>
      <c r="C10724" t="str">
        <f t="shared" si="1923"/>
        <v>06539003</v>
      </c>
      <c r="D10724">
        <v>89301103</v>
      </c>
      <c r="E10724" t="str">
        <f t="shared" ref="E10724:E10731" si="1925">"1404090270"</f>
        <v>1404090270</v>
      </c>
      <c r="F10724" s="1">
        <v>45161</v>
      </c>
      <c r="G10724" t="str">
        <f t="shared" ref="G10724:G10741" si="1926">"91413"</f>
        <v>91413</v>
      </c>
      <c r="H10724">
        <v>1</v>
      </c>
      <c r="I10724">
        <v>868</v>
      </c>
      <c r="J10724">
        <v>0</v>
      </c>
      <c r="K10724" t="str">
        <f t="shared" si="1924"/>
        <v>813</v>
      </c>
      <c r="L10724">
        <v>729.12</v>
      </c>
    </row>
    <row r="10725" spans="1:12" x14ac:dyDescent="0.25">
      <c r="A10725" t="str">
        <f t="shared" si="1917"/>
        <v>89301000</v>
      </c>
      <c r="B10725" t="str">
        <f t="shared" si="1922"/>
        <v>06539000</v>
      </c>
      <c r="C10725" t="str">
        <f t="shared" si="1923"/>
        <v>06539003</v>
      </c>
      <c r="D10725">
        <v>89301103</v>
      </c>
      <c r="E10725" t="str">
        <f t="shared" si="1925"/>
        <v>1404090270</v>
      </c>
      <c r="F10725" s="1">
        <v>45161</v>
      </c>
      <c r="G10725" t="str">
        <f t="shared" si="1926"/>
        <v>91413</v>
      </c>
      <c r="H10725">
        <v>1</v>
      </c>
      <c r="I10725">
        <v>868</v>
      </c>
      <c r="J10725">
        <v>0</v>
      </c>
      <c r="K10725" t="str">
        <f t="shared" si="1924"/>
        <v>813</v>
      </c>
      <c r="L10725">
        <v>729.12</v>
      </c>
    </row>
    <row r="10726" spans="1:12" x14ac:dyDescent="0.25">
      <c r="A10726" t="str">
        <f t="shared" si="1917"/>
        <v>89301000</v>
      </c>
      <c r="B10726" t="str">
        <f t="shared" si="1922"/>
        <v>06539000</v>
      </c>
      <c r="C10726" t="str">
        <f t="shared" si="1923"/>
        <v>06539003</v>
      </c>
      <c r="D10726">
        <v>89301103</v>
      </c>
      <c r="E10726" t="str">
        <f t="shared" si="1925"/>
        <v>1404090270</v>
      </c>
      <c r="F10726" s="1">
        <v>45161</v>
      </c>
      <c r="G10726" t="str">
        <f t="shared" si="1926"/>
        <v>91413</v>
      </c>
      <c r="H10726">
        <v>1</v>
      </c>
      <c r="I10726">
        <v>868</v>
      </c>
      <c r="J10726">
        <v>0</v>
      </c>
      <c r="K10726" t="str">
        <f t="shared" si="1924"/>
        <v>813</v>
      </c>
      <c r="L10726">
        <v>729.12</v>
      </c>
    </row>
    <row r="10727" spans="1:12" x14ac:dyDescent="0.25">
      <c r="A10727" t="str">
        <f t="shared" si="1917"/>
        <v>89301000</v>
      </c>
      <c r="B10727" t="str">
        <f t="shared" si="1922"/>
        <v>06539000</v>
      </c>
      <c r="C10727" t="str">
        <f t="shared" si="1923"/>
        <v>06539003</v>
      </c>
      <c r="D10727">
        <v>89301103</v>
      </c>
      <c r="E10727" t="str">
        <f t="shared" si="1925"/>
        <v>1404090270</v>
      </c>
      <c r="F10727" s="1">
        <v>45161</v>
      </c>
      <c r="G10727" t="str">
        <f t="shared" si="1926"/>
        <v>91413</v>
      </c>
      <c r="H10727">
        <v>1</v>
      </c>
      <c r="I10727">
        <v>868</v>
      </c>
      <c r="J10727">
        <v>0</v>
      </c>
      <c r="K10727" t="str">
        <f t="shared" si="1924"/>
        <v>813</v>
      </c>
      <c r="L10727">
        <v>729.12</v>
      </c>
    </row>
    <row r="10728" spans="1:12" x14ac:dyDescent="0.25">
      <c r="A10728" t="str">
        <f t="shared" si="1917"/>
        <v>89301000</v>
      </c>
      <c r="B10728" t="str">
        <f t="shared" si="1922"/>
        <v>06539000</v>
      </c>
      <c r="C10728" t="str">
        <f t="shared" si="1923"/>
        <v>06539003</v>
      </c>
      <c r="D10728">
        <v>89301103</v>
      </c>
      <c r="E10728" t="str">
        <f t="shared" si="1925"/>
        <v>1404090270</v>
      </c>
      <c r="F10728" s="1">
        <v>45162</v>
      </c>
      <c r="G10728" t="str">
        <f t="shared" si="1926"/>
        <v>91413</v>
      </c>
      <c r="H10728">
        <v>1</v>
      </c>
      <c r="I10728">
        <v>868</v>
      </c>
      <c r="J10728">
        <v>0</v>
      </c>
      <c r="K10728" t="str">
        <f t="shared" si="1924"/>
        <v>813</v>
      </c>
      <c r="L10728">
        <v>729.12</v>
      </c>
    </row>
    <row r="10729" spans="1:12" x14ac:dyDescent="0.25">
      <c r="A10729" t="str">
        <f t="shared" si="1917"/>
        <v>89301000</v>
      </c>
      <c r="B10729" t="str">
        <f t="shared" si="1922"/>
        <v>06539000</v>
      </c>
      <c r="C10729" t="str">
        <f t="shared" si="1923"/>
        <v>06539003</v>
      </c>
      <c r="D10729">
        <v>89301103</v>
      </c>
      <c r="E10729" t="str">
        <f t="shared" si="1925"/>
        <v>1404090270</v>
      </c>
      <c r="F10729" s="1">
        <v>45162</v>
      </c>
      <c r="G10729" t="str">
        <f t="shared" si="1926"/>
        <v>91413</v>
      </c>
      <c r="H10729">
        <v>1</v>
      </c>
      <c r="I10729">
        <v>868</v>
      </c>
      <c r="J10729">
        <v>0</v>
      </c>
      <c r="K10729" t="str">
        <f t="shared" si="1924"/>
        <v>813</v>
      </c>
      <c r="L10729">
        <v>729.12</v>
      </c>
    </row>
    <row r="10730" spans="1:12" x14ac:dyDescent="0.25">
      <c r="A10730" t="str">
        <f t="shared" si="1917"/>
        <v>89301000</v>
      </c>
      <c r="B10730" t="str">
        <f t="shared" si="1922"/>
        <v>06539000</v>
      </c>
      <c r="C10730" t="str">
        <f t="shared" si="1923"/>
        <v>06539003</v>
      </c>
      <c r="D10730">
        <v>89301103</v>
      </c>
      <c r="E10730" t="str">
        <f t="shared" si="1925"/>
        <v>1404090270</v>
      </c>
      <c r="F10730" s="1">
        <v>45162</v>
      </c>
      <c r="G10730" t="str">
        <f t="shared" si="1926"/>
        <v>91413</v>
      </c>
      <c r="H10730">
        <v>1</v>
      </c>
      <c r="I10730">
        <v>868</v>
      </c>
      <c r="J10730">
        <v>0</v>
      </c>
      <c r="K10730" t="str">
        <f t="shared" si="1924"/>
        <v>813</v>
      </c>
      <c r="L10730">
        <v>729.12</v>
      </c>
    </row>
    <row r="10731" spans="1:12" x14ac:dyDescent="0.25">
      <c r="A10731" t="str">
        <f t="shared" si="1917"/>
        <v>89301000</v>
      </c>
      <c r="B10731" t="str">
        <f t="shared" si="1922"/>
        <v>06539000</v>
      </c>
      <c r="C10731" t="str">
        <f t="shared" si="1923"/>
        <v>06539003</v>
      </c>
      <c r="D10731">
        <v>89301103</v>
      </c>
      <c r="E10731" t="str">
        <f t="shared" si="1925"/>
        <v>1404090270</v>
      </c>
      <c r="F10731" s="1">
        <v>45162</v>
      </c>
      <c r="G10731" t="str">
        <f t="shared" si="1926"/>
        <v>91413</v>
      </c>
      <c r="H10731">
        <v>1</v>
      </c>
      <c r="I10731">
        <v>868</v>
      </c>
      <c r="J10731">
        <v>0</v>
      </c>
      <c r="K10731" t="str">
        <f t="shared" si="1924"/>
        <v>813</v>
      </c>
      <c r="L10731">
        <v>729.12</v>
      </c>
    </row>
    <row r="10732" spans="1:12" x14ac:dyDescent="0.25">
      <c r="A10732" t="str">
        <f t="shared" si="1917"/>
        <v>89301000</v>
      </c>
      <c r="B10732" t="str">
        <f t="shared" si="1922"/>
        <v>06539000</v>
      </c>
      <c r="C10732" t="str">
        <f t="shared" si="1923"/>
        <v>06539003</v>
      </c>
      <c r="D10732">
        <v>89301171</v>
      </c>
      <c r="E10732" t="str">
        <f t="shared" ref="E10732:E10759" si="1927">"9260085703"</f>
        <v>9260085703</v>
      </c>
      <c r="F10732" s="1">
        <v>45154</v>
      </c>
      <c r="G10732" t="str">
        <f t="shared" si="1926"/>
        <v>91413</v>
      </c>
      <c r="H10732">
        <v>1</v>
      </c>
      <c r="I10732">
        <v>868</v>
      </c>
      <c r="J10732">
        <v>0</v>
      </c>
      <c r="K10732" t="str">
        <f t="shared" si="1924"/>
        <v>813</v>
      </c>
      <c r="L10732">
        <v>729.12</v>
      </c>
    </row>
    <row r="10733" spans="1:12" x14ac:dyDescent="0.25">
      <c r="A10733" t="str">
        <f t="shared" si="1917"/>
        <v>89301000</v>
      </c>
      <c r="B10733" t="str">
        <f t="shared" si="1922"/>
        <v>06539000</v>
      </c>
      <c r="C10733" t="str">
        <f t="shared" si="1923"/>
        <v>06539003</v>
      </c>
      <c r="D10733">
        <v>89301171</v>
      </c>
      <c r="E10733" t="str">
        <f t="shared" si="1927"/>
        <v>9260085703</v>
      </c>
      <c r="F10733" s="1">
        <v>45154</v>
      </c>
      <c r="G10733" t="str">
        <f t="shared" si="1926"/>
        <v>91413</v>
      </c>
      <c r="H10733">
        <v>1</v>
      </c>
      <c r="I10733">
        <v>868</v>
      </c>
      <c r="J10733">
        <v>0</v>
      </c>
      <c r="K10733" t="str">
        <f t="shared" si="1924"/>
        <v>813</v>
      </c>
      <c r="L10733">
        <v>729.12</v>
      </c>
    </row>
    <row r="10734" spans="1:12" x14ac:dyDescent="0.25">
      <c r="A10734" t="str">
        <f t="shared" si="1917"/>
        <v>89301000</v>
      </c>
      <c r="B10734" t="str">
        <f t="shared" si="1922"/>
        <v>06539000</v>
      </c>
      <c r="C10734" t="str">
        <f t="shared" si="1923"/>
        <v>06539003</v>
      </c>
      <c r="D10734">
        <v>89301171</v>
      </c>
      <c r="E10734" t="str">
        <f t="shared" si="1927"/>
        <v>9260085703</v>
      </c>
      <c r="F10734" s="1">
        <v>45169</v>
      </c>
      <c r="G10734" t="str">
        <f t="shared" si="1926"/>
        <v>91413</v>
      </c>
      <c r="H10734">
        <v>1</v>
      </c>
      <c r="I10734">
        <v>868</v>
      </c>
      <c r="J10734">
        <v>0</v>
      </c>
      <c r="K10734" t="str">
        <f t="shared" si="1924"/>
        <v>813</v>
      </c>
      <c r="L10734">
        <v>729.12</v>
      </c>
    </row>
    <row r="10735" spans="1:12" x14ac:dyDescent="0.25">
      <c r="A10735" t="str">
        <f t="shared" si="1917"/>
        <v>89301000</v>
      </c>
      <c r="B10735" t="str">
        <f t="shared" si="1922"/>
        <v>06539000</v>
      </c>
      <c r="C10735" t="str">
        <f t="shared" si="1923"/>
        <v>06539003</v>
      </c>
      <c r="D10735">
        <v>89301171</v>
      </c>
      <c r="E10735" t="str">
        <f t="shared" si="1927"/>
        <v>9260085703</v>
      </c>
      <c r="F10735" s="1">
        <v>45169</v>
      </c>
      <c r="G10735" t="str">
        <f t="shared" si="1926"/>
        <v>91413</v>
      </c>
      <c r="H10735">
        <v>1</v>
      </c>
      <c r="I10735">
        <v>868</v>
      </c>
      <c r="J10735">
        <v>0</v>
      </c>
      <c r="K10735" t="str">
        <f t="shared" si="1924"/>
        <v>813</v>
      </c>
      <c r="L10735">
        <v>729.12</v>
      </c>
    </row>
    <row r="10736" spans="1:12" x14ac:dyDescent="0.25">
      <c r="A10736" t="str">
        <f t="shared" si="1917"/>
        <v>89301000</v>
      </c>
      <c r="B10736" t="str">
        <f t="shared" si="1922"/>
        <v>06539000</v>
      </c>
      <c r="C10736" t="str">
        <f t="shared" si="1923"/>
        <v>06539003</v>
      </c>
      <c r="D10736">
        <v>89301171</v>
      </c>
      <c r="E10736" t="str">
        <f t="shared" si="1927"/>
        <v>9260085703</v>
      </c>
      <c r="F10736" s="1">
        <v>45168</v>
      </c>
      <c r="G10736" t="str">
        <f t="shared" si="1926"/>
        <v>91413</v>
      </c>
      <c r="H10736">
        <v>1</v>
      </c>
      <c r="I10736">
        <v>868</v>
      </c>
      <c r="J10736">
        <v>0</v>
      </c>
      <c r="K10736" t="str">
        <f t="shared" si="1924"/>
        <v>813</v>
      </c>
      <c r="L10736">
        <v>729.12</v>
      </c>
    </row>
    <row r="10737" spans="1:12" x14ac:dyDescent="0.25">
      <c r="A10737" t="str">
        <f t="shared" si="1917"/>
        <v>89301000</v>
      </c>
      <c r="B10737" t="str">
        <f t="shared" si="1922"/>
        <v>06539000</v>
      </c>
      <c r="C10737" t="str">
        <f t="shared" si="1923"/>
        <v>06539003</v>
      </c>
      <c r="D10737">
        <v>89301171</v>
      </c>
      <c r="E10737" t="str">
        <f t="shared" si="1927"/>
        <v>9260085703</v>
      </c>
      <c r="F10737" s="1">
        <v>45168</v>
      </c>
      <c r="G10737" t="str">
        <f t="shared" si="1926"/>
        <v>91413</v>
      </c>
      <c r="H10737">
        <v>1</v>
      </c>
      <c r="I10737">
        <v>868</v>
      </c>
      <c r="J10737">
        <v>0</v>
      </c>
      <c r="K10737" t="str">
        <f t="shared" si="1924"/>
        <v>813</v>
      </c>
      <c r="L10737">
        <v>729.12</v>
      </c>
    </row>
    <row r="10738" spans="1:12" x14ac:dyDescent="0.25">
      <c r="A10738" t="str">
        <f t="shared" si="1917"/>
        <v>89301000</v>
      </c>
      <c r="B10738" t="str">
        <f t="shared" si="1922"/>
        <v>06539000</v>
      </c>
      <c r="C10738" t="str">
        <f t="shared" si="1923"/>
        <v>06539003</v>
      </c>
      <c r="D10738">
        <v>89301171</v>
      </c>
      <c r="E10738" t="str">
        <f t="shared" si="1927"/>
        <v>9260085703</v>
      </c>
      <c r="F10738" s="1">
        <v>45169</v>
      </c>
      <c r="G10738" t="str">
        <f t="shared" si="1926"/>
        <v>91413</v>
      </c>
      <c r="H10738">
        <v>1</v>
      </c>
      <c r="I10738">
        <v>868</v>
      </c>
      <c r="J10738">
        <v>0</v>
      </c>
      <c r="K10738" t="str">
        <f t="shared" si="1924"/>
        <v>813</v>
      </c>
      <c r="L10738">
        <v>729.12</v>
      </c>
    </row>
    <row r="10739" spans="1:12" x14ac:dyDescent="0.25">
      <c r="A10739" t="str">
        <f t="shared" si="1917"/>
        <v>89301000</v>
      </c>
      <c r="B10739" t="str">
        <f t="shared" si="1922"/>
        <v>06539000</v>
      </c>
      <c r="C10739" t="str">
        <f t="shared" si="1923"/>
        <v>06539003</v>
      </c>
      <c r="D10739">
        <v>89301171</v>
      </c>
      <c r="E10739" t="str">
        <f t="shared" si="1927"/>
        <v>9260085703</v>
      </c>
      <c r="F10739" s="1">
        <v>45169</v>
      </c>
      <c r="G10739" t="str">
        <f t="shared" si="1926"/>
        <v>91413</v>
      </c>
      <c r="H10739">
        <v>1</v>
      </c>
      <c r="I10739">
        <v>868</v>
      </c>
      <c r="J10739">
        <v>0</v>
      </c>
      <c r="K10739" t="str">
        <f t="shared" si="1924"/>
        <v>813</v>
      </c>
      <c r="L10739">
        <v>729.12</v>
      </c>
    </row>
    <row r="10740" spans="1:12" x14ac:dyDescent="0.25">
      <c r="A10740" t="str">
        <f t="shared" si="1917"/>
        <v>89301000</v>
      </c>
      <c r="B10740" t="str">
        <f t="shared" si="1922"/>
        <v>06539000</v>
      </c>
      <c r="C10740" t="str">
        <f t="shared" si="1923"/>
        <v>06539003</v>
      </c>
      <c r="D10740">
        <v>89301171</v>
      </c>
      <c r="E10740" t="str">
        <f t="shared" si="1927"/>
        <v>9260085703</v>
      </c>
      <c r="F10740" s="1">
        <v>45169</v>
      </c>
      <c r="G10740" t="str">
        <f t="shared" si="1926"/>
        <v>91413</v>
      </c>
      <c r="H10740">
        <v>1</v>
      </c>
      <c r="I10740">
        <v>868</v>
      </c>
      <c r="J10740">
        <v>0</v>
      </c>
      <c r="K10740" t="str">
        <f t="shared" si="1924"/>
        <v>813</v>
      </c>
      <c r="L10740">
        <v>729.12</v>
      </c>
    </row>
    <row r="10741" spans="1:12" x14ac:dyDescent="0.25">
      <c r="A10741" t="str">
        <f t="shared" si="1917"/>
        <v>89301000</v>
      </c>
      <c r="B10741" t="str">
        <f t="shared" si="1922"/>
        <v>06539000</v>
      </c>
      <c r="C10741" t="str">
        <f t="shared" si="1923"/>
        <v>06539003</v>
      </c>
      <c r="D10741">
        <v>89301171</v>
      </c>
      <c r="E10741" t="str">
        <f t="shared" si="1927"/>
        <v>9260085703</v>
      </c>
      <c r="F10741" s="1">
        <v>45169</v>
      </c>
      <c r="G10741" t="str">
        <f t="shared" si="1926"/>
        <v>91413</v>
      </c>
      <c r="H10741">
        <v>1</v>
      </c>
      <c r="I10741">
        <v>868</v>
      </c>
      <c r="J10741">
        <v>0</v>
      </c>
      <c r="K10741" t="str">
        <f t="shared" si="1924"/>
        <v>813</v>
      </c>
      <c r="L10741">
        <v>729.12</v>
      </c>
    </row>
    <row r="10742" spans="1:12" x14ac:dyDescent="0.25">
      <c r="A10742" t="str">
        <f t="shared" si="1917"/>
        <v>89301000</v>
      </c>
      <c r="B10742" t="str">
        <f t="shared" si="1922"/>
        <v>06539000</v>
      </c>
      <c r="C10742" t="str">
        <f t="shared" si="1923"/>
        <v>06539003</v>
      </c>
      <c r="D10742">
        <v>89301171</v>
      </c>
      <c r="E10742" t="str">
        <f t="shared" si="1927"/>
        <v>9260085703</v>
      </c>
      <c r="F10742" s="1">
        <v>45152</v>
      </c>
      <c r="G10742" t="str">
        <f t="shared" ref="G10742:G10747" si="1928">"91197"</f>
        <v>91197</v>
      </c>
      <c r="H10742">
        <v>1</v>
      </c>
      <c r="I10742">
        <v>1048</v>
      </c>
      <c r="J10742">
        <v>0</v>
      </c>
      <c r="K10742" t="str">
        <f t="shared" si="1924"/>
        <v>813</v>
      </c>
      <c r="L10742">
        <v>880.32</v>
      </c>
    </row>
    <row r="10743" spans="1:12" x14ac:dyDescent="0.25">
      <c r="A10743" t="str">
        <f t="shared" si="1917"/>
        <v>89301000</v>
      </c>
      <c r="B10743" t="str">
        <f t="shared" si="1922"/>
        <v>06539000</v>
      </c>
      <c r="C10743" t="str">
        <f t="shared" si="1923"/>
        <v>06539003</v>
      </c>
      <c r="D10743">
        <v>89301171</v>
      </c>
      <c r="E10743" t="str">
        <f t="shared" si="1927"/>
        <v>9260085703</v>
      </c>
      <c r="F10743" s="1">
        <v>45152</v>
      </c>
      <c r="G10743" t="str">
        <f t="shared" si="1928"/>
        <v>91197</v>
      </c>
      <c r="H10743">
        <v>1</v>
      </c>
      <c r="I10743">
        <v>1048</v>
      </c>
      <c r="J10743">
        <v>0</v>
      </c>
      <c r="K10743" t="str">
        <f t="shared" si="1924"/>
        <v>813</v>
      </c>
      <c r="L10743">
        <v>880.32</v>
      </c>
    </row>
    <row r="10744" spans="1:12" x14ac:dyDescent="0.25">
      <c r="A10744" t="str">
        <f t="shared" si="1917"/>
        <v>89301000</v>
      </c>
      <c r="B10744" t="str">
        <f t="shared" si="1922"/>
        <v>06539000</v>
      </c>
      <c r="C10744" t="str">
        <f t="shared" si="1923"/>
        <v>06539003</v>
      </c>
      <c r="D10744">
        <v>89301171</v>
      </c>
      <c r="E10744" t="str">
        <f t="shared" si="1927"/>
        <v>9260085703</v>
      </c>
      <c r="F10744" s="1">
        <v>45151</v>
      </c>
      <c r="G10744" t="str">
        <f t="shared" si="1928"/>
        <v>91197</v>
      </c>
      <c r="H10744">
        <v>1</v>
      </c>
      <c r="I10744">
        <v>1048</v>
      </c>
      <c r="J10744">
        <v>0</v>
      </c>
      <c r="K10744" t="str">
        <f t="shared" si="1924"/>
        <v>813</v>
      </c>
      <c r="L10744">
        <v>880.32</v>
      </c>
    </row>
    <row r="10745" spans="1:12" x14ac:dyDescent="0.25">
      <c r="A10745" t="str">
        <f t="shared" si="1917"/>
        <v>89301000</v>
      </c>
      <c r="B10745" t="str">
        <f t="shared" si="1922"/>
        <v>06539000</v>
      </c>
      <c r="C10745" t="str">
        <f t="shared" si="1923"/>
        <v>06539003</v>
      </c>
      <c r="D10745">
        <v>89301171</v>
      </c>
      <c r="E10745" t="str">
        <f t="shared" si="1927"/>
        <v>9260085703</v>
      </c>
      <c r="F10745" s="1">
        <v>45151</v>
      </c>
      <c r="G10745" t="str">
        <f t="shared" si="1928"/>
        <v>91197</v>
      </c>
      <c r="H10745">
        <v>1</v>
      </c>
      <c r="I10745">
        <v>1048</v>
      </c>
      <c r="J10745">
        <v>0</v>
      </c>
      <c r="K10745" t="str">
        <f t="shared" si="1924"/>
        <v>813</v>
      </c>
      <c r="L10745">
        <v>880.32</v>
      </c>
    </row>
    <row r="10746" spans="1:12" x14ac:dyDescent="0.25">
      <c r="A10746" t="str">
        <f t="shared" si="1917"/>
        <v>89301000</v>
      </c>
      <c r="B10746" t="str">
        <f t="shared" si="1922"/>
        <v>06539000</v>
      </c>
      <c r="C10746" t="str">
        <f t="shared" si="1923"/>
        <v>06539003</v>
      </c>
      <c r="D10746">
        <v>89301171</v>
      </c>
      <c r="E10746" t="str">
        <f t="shared" si="1927"/>
        <v>9260085703</v>
      </c>
      <c r="F10746" s="1">
        <v>45150</v>
      </c>
      <c r="G10746" t="str">
        <f t="shared" si="1928"/>
        <v>91197</v>
      </c>
      <c r="H10746">
        <v>1</v>
      </c>
      <c r="I10746">
        <v>1048</v>
      </c>
      <c r="J10746">
        <v>0</v>
      </c>
      <c r="K10746" t="str">
        <f t="shared" si="1924"/>
        <v>813</v>
      </c>
      <c r="L10746">
        <v>880.32</v>
      </c>
    </row>
    <row r="10747" spans="1:12" x14ac:dyDescent="0.25">
      <c r="A10747" t="str">
        <f t="shared" si="1917"/>
        <v>89301000</v>
      </c>
      <c r="B10747" t="str">
        <f t="shared" si="1922"/>
        <v>06539000</v>
      </c>
      <c r="C10747" t="str">
        <f t="shared" si="1923"/>
        <v>06539003</v>
      </c>
      <c r="D10747">
        <v>89301171</v>
      </c>
      <c r="E10747" t="str">
        <f t="shared" si="1927"/>
        <v>9260085703</v>
      </c>
      <c r="F10747" s="1">
        <v>45150</v>
      </c>
      <c r="G10747" t="str">
        <f t="shared" si="1928"/>
        <v>91197</v>
      </c>
      <c r="H10747">
        <v>1</v>
      </c>
      <c r="I10747">
        <v>1048</v>
      </c>
      <c r="J10747">
        <v>0</v>
      </c>
      <c r="K10747" t="str">
        <f t="shared" si="1924"/>
        <v>813</v>
      </c>
      <c r="L10747">
        <v>880.32</v>
      </c>
    </row>
    <row r="10748" spans="1:12" x14ac:dyDescent="0.25">
      <c r="A10748" t="str">
        <f t="shared" si="1917"/>
        <v>89301000</v>
      </c>
      <c r="B10748" t="str">
        <f t="shared" si="1922"/>
        <v>06539000</v>
      </c>
      <c r="C10748" t="str">
        <f t="shared" si="1923"/>
        <v>06539003</v>
      </c>
      <c r="D10748">
        <v>89301171</v>
      </c>
      <c r="E10748" t="str">
        <f t="shared" si="1927"/>
        <v>9260085703</v>
      </c>
      <c r="F10748" s="1">
        <v>45153</v>
      </c>
      <c r="G10748" t="str">
        <f>"91329"</f>
        <v>91329</v>
      </c>
      <c r="H10748">
        <v>2</v>
      </c>
      <c r="I10748">
        <v>436</v>
      </c>
      <c r="J10748">
        <v>0</v>
      </c>
      <c r="K10748" t="str">
        <f t="shared" si="1924"/>
        <v>813</v>
      </c>
      <c r="L10748">
        <v>366.24</v>
      </c>
    </row>
    <row r="10749" spans="1:12" x14ac:dyDescent="0.25">
      <c r="A10749" t="str">
        <f t="shared" si="1917"/>
        <v>89301000</v>
      </c>
      <c r="B10749" t="str">
        <f t="shared" si="1922"/>
        <v>06539000</v>
      </c>
      <c r="C10749" t="str">
        <f t="shared" si="1923"/>
        <v>06539003</v>
      </c>
      <c r="D10749">
        <v>89301171</v>
      </c>
      <c r="E10749" t="str">
        <f t="shared" si="1927"/>
        <v>9260085703</v>
      </c>
      <c r="F10749" s="1">
        <v>45153</v>
      </c>
      <c r="G10749" t="str">
        <f>"91329"</f>
        <v>91329</v>
      </c>
      <c r="H10749">
        <v>2</v>
      </c>
      <c r="I10749">
        <v>436</v>
      </c>
      <c r="J10749">
        <v>0</v>
      </c>
      <c r="K10749" t="str">
        <f t="shared" si="1924"/>
        <v>813</v>
      </c>
      <c r="L10749">
        <v>366.24</v>
      </c>
    </row>
    <row r="10750" spans="1:12" x14ac:dyDescent="0.25">
      <c r="A10750" t="str">
        <f t="shared" si="1917"/>
        <v>89301000</v>
      </c>
      <c r="B10750" t="str">
        <f t="shared" si="1922"/>
        <v>06539000</v>
      </c>
      <c r="C10750" t="str">
        <f t="shared" si="1923"/>
        <v>06539003</v>
      </c>
      <c r="D10750">
        <v>89301171</v>
      </c>
      <c r="E10750" t="str">
        <f t="shared" si="1927"/>
        <v>9260085703</v>
      </c>
      <c r="F10750" s="1">
        <v>45154</v>
      </c>
      <c r="G10750" t="str">
        <f>"91329"</f>
        <v>91329</v>
      </c>
      <c r="H10750">
        <v>2</v>
      </c>
      <c r="I10750">
        <v>436</v>
      </c>
      <c r="J10750">
        <v>0</v>
      </c>
      <c r="K10750" t="str">
        <f t="shared" si="1924"/>
        <v>813</v>
      </c>
      <c r="L10750">
        <v>366.24</v>
      </c>
    </row>
    <row r="10751" spans="1:12" x14ac:dyDescent="0.25">
      <c r="A10751" t="str">
        <f t="shared" si="1917"/>
        <v>89301000</v>
      </c>
      <c r="B10751" t="str">
        <f t="shared" si="1922"/>
        <v>06539000</v>
      </c>
      <c r="C10751" t="str">
        <f t="shared" si="1923"/>
        <v>06539003</v>
      </c>
      <c r="D10751">
        <v>89301171</v>
      </c>
      <c r="E10751" t="str">
        <f t="shared" si="1927"/>
        <v>9260085703</v>
      </c>
      <c r="F10751" s="1">
        <v>45154</v>
      </c>
      <c r="G10751" t="str">
        <f>"91329"</f>
        <v>91329</v>
      </c>
      <c r="H10751">
        <v>2</v>
      </c>
      <c r="I10751">
        <v>436</v>
      </c>
      <c r="J10751">
        <v>0</v>
      </c>
      <c r="K10751" t="str">
        <f t="shared" si="1924"/>
        <v>813</v>
      </c>
      <c r="L10751">
        <v>366.24</v>
      </c>
    </row>
    <row r="10752" spans="1:12" x14ac:dyDescent="0.25">
      <c r="A10752" t="str">
        <f t="shared" si="1917"/>
        <v>89301000</v>
      </c>
      <c r="B10752" t="str">
        <f t="shared" si="1922"/>
        <v>06539000</v>
      </c>
      <c r="C10752" t="str">
        <f t="shared" si="1923"/>
        <v>06539003</v>
      </c>
      <c r="D10752">
        <v>89301171</v>
      </c>
      <c r="E10752" t="str">
        <f t="shared" si="1927"/>
        <v>9260085703</v>
      </c>
      <c r="F10752" s="1">
        <v>45152</v>
      </c>
      <c r="G10752" t="str">
        <f>"91129"</f>
        <v>91129</v>
      </c>
      <c r="H10752">
        <v>1</v>
      </c>
      <c r="I10752">
        <v>175</v>
      </c>
      <c r="J10752">
        <v>0</v>
      </c>
      <c r="K10752" t="str">
        <f t="shared" si="1924"/>
        <v>813</v>
      </c>
      <c r="L10752">
        <v>147</v>
      </c>
    </row>
    <row r="10753" spans="1:12" x14ac:dyDescent="0.25">
      <c r="A10753" t="str">
        <f t="shared" si="1917"/>
        <v>89301000</v>
      </c>
      <c r="B10753" t="str">
        <f t="shared" si="1922"/>
        <v>06539000</v>
      </c>
      <c r="C10753" t="str">
        <f t="shared" si="1923"/>
        <v>06539003</v>
      </c>
      <c r="D10753">
        <v>89301171</v>
      </c>
      <c r="E10753" t="str">
        <f t="shared" si="1927"/>
        <v>9260085703</v>
      </c>
      <c r="F10753" s="1">
        <v>45152</v>
      </c>
      <c r="G10753" t="str">
        <f>"91131"</f>
        <v>91131</v>
      </c>
      <c r="H10753">
        <v>1</v>
      </c>
      <c r="I10753">
        <v>171</v>
      </c>
      <c r="J10753">
        <v>0</v>
      </c>
      <c r="K10753" t="str">
        <f t="shared" si="1924"/>
        <v>813</v>
      </c>
      <c r="L10753">
        <v>143.63999999999999</v>
      </c>
    </row>
    <row r="10754" spans="1:12" x14ac:dyDescent="0.25">
      <c r="A10754" t="str">
        <f t="shared" ref="A10754:A10817" si="1929">"89301000"</f>
        <v>89301000</v>
      </c>
      <c r="B10754" t="str">
        <f t="shared" si="1922"/>
        <v>06539000</v>
      </c>
      <c r="C10754" t="str">
        <f t="shared" si="1923"/>
        <v>06539003</v>
      </c>
      <c r="D10754">
        <v>89301171</v>
      </c>
      <c r="E10754" t="str">
        <f t="shared" si="1927"/>
        <v>9260085703</v>
      </c>
      <c r="F10754" s="1">
        <v>45152</v>
      </c>
      <c r="G10754" t="str">
        <f>"91133"</f>
        <v>91133</v>
      </c>
      <c r="H10754">
        <v>1</v>
      </c>
      <c r="I10754">
        <v>177</v>
      </c>
      <c r="J10754">
        <v>0</v>
      </c>
      <c r="K10754" t="str">
        <f t="shared" si="1924"/>
        <v>813</v>
      </c>
      <c r="L10754">
        <v>148.68</v>
      </c>
    </row>
    <row r="10755" spans="1:12" x14ac:dyDescent="0.25">
      <c r="A10755" t="str">
        <f t="shared" si="1929"/>
        <v>89301000</v>
      </c>
      <c r="B10755" t="str">
        <f t="shared" si="1922"/>
        <v>06539000</v>
      </c>
      <c r="C10755" t="str">
        <f t="shared" si="1923"/>
        <v>06539003</v>
      </c>
      <c r="D10755">
        <v>89301171</v>
      </c>
      <c r="E10755" t="str">
        <f t="shared" si="1927"/>
        <v>9260085703</v>
      </c>
      <c r="F10755" s="1">
        <v>45152</v>
      </c>
      <c r="G10755" t="str">
        <f>"91171"</f>
        <v>91171</v>
      </c>
      <c r="H10755">
        <v>1</v>
      </c>
      <c r="I10755">
        <v>362</v>
      </c>
      <c r="J10755">
        <v>0</v>
      </c>
      <c r="K10755" t="str">
        <f t="shared" si="1924"/>
        <v>813</v>
      </c>
      <c r="L10755">
        <v>304.08</v>
      </c>
    </row>
    <row r="10756" spans="1:12" x14ac:dyDescent="0.25">
      <c r="A10756" t="str">
        <f t="shared" si="1929"/>
        <v>89301000</v>
      </c>
      <c r="B10756" t="str">
        <f t="shared" si="1922"/>
        <v>06539000</v>
      </c>
      <c r="C10756" t="str">
        <f t="shared" si="1923"/>
        <v>06539003</v>
      </c>
      <c r="D10756">
        <v>89301171</v>
      </c>
      <c r="E10756" t="str">
        <f t="shared" si="1927"/>
        <v>9260085703</v>
      </c>
      <c r="F10756" s="1">
        <v>45152</v>
      </c>
      <c r="G10756" t="str">
        <f>"91175"</f>
        <v>91175</v>
      </c>
      <c r="H10756">
        <v>1</v>
      </c>
      <c r="I10756">
        <v>362</v>
      </c>
      <c r="J10756">
        <v>0</v>
      </c>
      <c r="K10756" t="str">
        <f t="shared" si="1924"/>
        <v>813</v>
      </c>
      <c r="L10756">
        <v>304.08</v>
      </c>
    </row>
    <row r="10757" spans="1:12" x14ac:dyDescent="0.25">
      <c r="A10757" t="str">
        <f t="shared" si="1929"/>
        <v>89301000</v>
      </c>
      <c r="B10757" t="str">
        <f t="shared" si="1922"/>
        <v>06539000</v>
      </c>
      <c r="C10757" t="str">
        <f t="shared" si="1923"/>
        <v>06539003</v>
      </c>
      <c r="D10757">
        <v>89301171</v>
      </c>
      <c r="E10757" t="str">
        <f t="shared" si="1927"/>
        <v>9260085703</v>
      </c>
      <c r="F10757" s="1">
        <v>45150</v>
      </c>
      <c r="G10757" t="str">
        <f>"91167"</f>
        <v>91167</v>
      </c>
      <c r="H10757">
        <v>1</v>
      </c>
      <c r="I10757">
        <v>426</v>
      </c>
      <c r="J10757">
        <v>0</v>
      </c>
      <c r="K10757" t="str">
        <f t="shared" si="1924"/>
        <v>813</v>
      </c>
      <c r="L10757">
        <v>357.84</v>
      </c>
    </row>
    <row r="10758" spans="1:12" x14ac:dyDescent="0.25">
      <c r="A10758" t="str">
        <f t="shared" si="1929"/>
        <v>89301000</v>
      </c>
      <c r="B10758" t="str">
        <f t="shared" si="1922"/>
        <v>06539000</v>
      </c>
      <c r="C10758" t="str">
        <f t="shared" si="1923"/>
        <v>06539003</v>
      </c>
      <c r="D10758">
        <v>89301171</v>
      </c>
      <c r="E10758" t="str">
        <f t="shared" si="1927"/>
        <v>9260085703</v>
      </c>
      <c r="F10758" s="1">
        <v>45150</v>
      </c>
      <c r="G10758" t="str">
        <f>"91169"</f>
        <v>91169</v>
      </c>
      <c r="H10758">
        <v>1</v>
      </c>
      <c r="I10758">
        <v>426</v>
      </c>
      <c r="J10758">
        <v>0</v>
      </c>
      <c r="K10758" t="str">
        <f t="shared" si="1924"/>
        <v>813</v>
      </c>
      <c r="L10758">
        <v>357.84</v>
      </c>
    </row>
    <row r="10759" spans="1:12" x14ac:dyDescent="0.25">
      <c r="A10759" t="str">
        <f t="shared" si="1929"/>
        <v>89301000</v>
      </c>
      <c r="B10759" t="str">
        <f t="shared" si="1922"/>
        <v>06539000</v>
      </c>
      <c r="C10759" t="str">
        <f t="shared" si="1923"/>
        <v>06539003</v>
      </c>
      <c r="D10759">
        <v>89301171</v>
      </c>
      <c r="E10759" t="str">
        <f t="shared" si="1927"/>
        <v>9260085703</v>
      </c>
      <c r="F10759" s="1">
        <v>45168</v>
      </c>
      <c r="G10759" t="str">
        <f>"91475"</f>
        <v>91475</v>
      </c>
      <c r="H10759">
        <v>1</v>
      </c>
      <c r="I10759">
        <v>213</v>
      </c>
      <c r="J10759">
        <v>0</v>
      </c>
      <c r="K10759" t="str">
        <f t="shared" si="1924"/>
        <v>813</v>
      </c>
      <c r="L10759">
        <v>178.92</v>
      </c>
    </row>
    <row r="10760" spans="1:12" x14ac:dyDescent="0.25">
      <c r="A10760" t="str">
        <f t="shared" si="1929"/>
        <v>89301000</v>
      </c>
      <c r="B10760" t="str">
        <f t="shared" ref="B10760:B10791" si="1930">"78006000"</f>
        <v>78006000</v>
      </c>
      <c r="C10760" t="str">
        <f t="shared" ref="C10760:C10766" si="1931">"78006207"</f>
        <v>78006207</v>
      </c>
      <c r="D10760">
        <v>89301167</v>
      </c>
      <c r="E10760" t="str">
        <f>"5854210813"</f>
        <v>5854210813</v>
      </c>
      <c r="F10760" s="1">
        <v>45166</v>
      </c>
      <c r="G10760" t="str">
        <f>"91153"</f>
        <v>91153</v>
      </c>
      <c r="H10760">
        <v>1</v>
      </c>
      <c r="I10760">
        <v>153</v>
      </c>
      <c r="J10760">
        <v>0</v>
      </c>
      <c r="K10760" t="str">
        <f t="shared" si="1924"/>
        <v>813</v>
      </c>
      <c r="L10760">
        <v>128.52000000000001</v>
      </c>
    </row>
    <row r="10761" spans="1:12" x14ac:dyDescent="0.25">
      <c r="A10761" t="str">
        <f t="shared" si="1929"/>
        <v>89301000</v>
      </c>
      <c r="B10761" t="str">
        <f t="shared" si="1930"/>
        <v>78006000</v>
      </c>
      <c r="C10761" t="str">
        <f t="shared" si="1931"/>
        <v>78006207</v>
      </c>
      <c r="D10761">
        <v>89301167</v>
      </c>
      <c r="E10761" t="str">
        <f>"5854210813"</f>
        <v>5854210813</v>
      </c>
      <c r="F10761" s="1">
        <v>45145</v>
      </c>
      <c r="G10761" t="str">
        <f>"91153"</f>
        <v>91153</v>
      </c>
      <c r="H10761">
        <v>1</v>
      </c>
      <c r="I10761">
        <v>153</v>
      </c>
      <c r="J10761">
        <v>0</v>
      </c>
      <c r="K10761" t="str">
        <f t="shared" si="1924"/>
        <v>813</v>
      </c>
      <c r="L10761">
        <v>128.52000000000001</v>
      </c>
    </row>
    <row r="10762" spans="1:12" x14ac:dyDescent="0.25">
      <c r="A10762" t="str">
        <f t="shared" si="1929"/>
        <v>89301000</v>
      </c>
      <c r="B10762" t="str">
        <f t="shared" si="1930"/>
        <v>78006000</v>
      </c>
      <c r="C10762" t="str">
        <f t="shared" si="1931"/>
        <v>78006207</v>
      </c>
      <c r="D10762">
        <v>89301171</v>
      </c>
      <c r="E10762" t="str">
        <f>"6754111826"</f>
        <v>6754111826</v>
      </c>
      <c r="F10762" s="1">
        <v>45141</v>
      </c>
      <c r="G10762" t="str">
        <f>"91197"</f>
        <v>91197</v>
      </c>
      <c r="H10762">
        <v>6</v>
      </c>
      <c r="I10762">
        <v>6288</v>
      </c>
      <c r="J10762">
        <v>0</v>
      </c>
      <c r="K10762" t="str">
        <f t="shared" si="1924"/>
        <v>813</v>
      </c>
      <c r="L10762">
        <v>5281.92</v>
      </c>
    </row>
    <row r="10763" spans="1:12" x14ac:dyDescent="0.25">
      <c r="A10763" t="str">
        <f t="shared" si="1929"/>
        <v>89301000</v>
      </c>
      <c r="B10763" t="str">
        <f t="shared" si="1930"/>
        <v>78006000</v>
      </c>
      <c r="C10763" t="str">
        <f t="shared" si="1931"/>
        <v>78006207</v>
      </c>
      <c r="D10763">
        <v>89301171</v>
      </c>
      <c r="E10763" t="str">
        <f>"6855080067"</f>
        <v>6855080067</v>
      </c>
      <c r="F10763" s="1">
        <v>45141</v>
      </c>
      <c r="G10763" t="str">
        <f>"91197"</f>
        <v>91197</v>
      </c>
      <c r="H10763">
        <v>6</v>
      </c>
      <c r="I10763">
        <v>6288</v>
      </c>
      <c r="J10763">
        <v>0</v>
      </c>
      <c r="K10763" t="str">
        <f t="shared" si="1924"/>
        <v>813</v>
      </c>
      <c r="L10763">
        <v>5281.92</v>
      </c>
    </row>
    <row r="10764" spans="1:12" x14ac:dyDescent="0.25">
      <c r="A10764" t="str">
        <f t="shared" si="1929"/>
        <v>89301000</v>
      </c>
      <c r="B10764" t="str">
        <f t="shared" si="1930"/>
        <v>78006000</v>
      </c>
      <c r="C10764" t="str">
        <f t="shared" si="1931"/>
        <v>78006207</v>
      </c>
      <c r="D10764">
        <v>89301171</v>
      </c>
      <c r="E10764" t="str">
        <f>"8154144207"</f>
        <v>8154144207</v>
      </c>
      <c r="F10764" s="1">
        <v>45141</v>
      </c>
      <c r="G10764" t="str">
        <f>"91197"</f>
        <v>91197</v>
      </c>
      <c r="H10764">
        <v>6</v>
      </c>
      <c r="I10764">
        <v>6288</v>
      </c>
      <c r="J10764">
        <v>0</v>
      </c>
      <c r="K10764" t="str">
        <f t="shared" si="1924"/>
        <v>813</v>
      </c>
      <c r="L10764">
        <v>5281.92</v>
      </c>
    </row>
    <row r="10765" spans="1:12" x14ac:dyDescent="0.25">
      <c r="A10765" t="str">
        <f t="shared" si="1929"/>
        <v>89301000</v>
      </c>
      <c r="B10765" t="str">
        <f t="shared" si="1930"/>
        <v>78006000</v>
      </c>
      <c r="C10765" t="str">
        <f t="shared" si="1931"/>
        <v>78006207</v>
      </c>
      <c r="D10765">
        <v>89301171</v>
      </c>
      <c r="E10765" t="str">
        <f>"8707295795"</f>
        <v>8707295795</v>
      </c>
      <c r="F10765" s="1">
        <v>45141</v>
      </c>
      <c r="G10765" t="str">
        <f>"91197"</f>
        <v>91197</v>
      </c>
      <c r="H10765">
        <v>6</v>
      </c>
      <c r="I10765">
        <v>6288</v>
      </c>
      <c r="J10765">
        <v>0</v>
      </c>
      <c r="K10765" t="str">
        <f t="shared" si="1924"/>
        <v>813</v>
      </c>
      <c r="L10765">
        <v>5281.92</v>
      </c>
    </row>
    <row r="10766" spans="1:12" x14ac:dyDescent="0.25">
      <c r="A10766" t="str">
        <f t="shared" si="1929"/>
        <v>89301000</v>
      </c>
      <c r="B10766" t="str">
        <f t="shared" si="1930"/>
        <v>78006000</v>
      </c>
      <c r="C10766" t="str">
        <f t="shared" si="1931"/>
        <v>78006207</v>
      </c>
      <c r="D10766">
        <v>89301171</v>
      </c>
      <c r="E10766" t="str">
        <f>"7154045327"</f>
        <v>7154045327</v>
      </c>
      <c r="F10766" s="1">
        <v>45141</v>
      </c>
      <c r="G10766" t="str">
        <f>"91197"</f>
        <v>91197</v>
      </c>
      <c r="H10766">
        <v>6</v>
      </c>
      <c r="I10766">
        <v>6288</v>
      </c>
      <c r="J10766">
        <v>0</v>
      </c>
      <c r="K10766" t="str">
        <f t="shared" si="1924"/>
        <v>813</v>
      </c>
      <c r="L10766">
        <v>5281.92</v>
      </c>
    </row>
    <row r="10767" spans="1:12" x14ac:dyDescent="0.25">
      <c r="A10767" t="str">
        <f t="shared" si="1929"/>
        <v>89301000</v>
      </c>
      <c r="B10767" t="str">
        <f t="shared" si="1930"/>
        <v>78006000</v>
      </c>
      <c r="C10767" t="str">
        <f>"78006532"</f>
        <v>78006532</v>
      </c>
      <c r="D10767">
        <v>89301172</v>
      </c>
      <c r="E10767" t="str">
        <f>"7509025678"</f>
        <v>7509025678</v>
      </c>
      <c r="F10767" s="1">
        <v>45149</v>
      </c>
      <c r="G10767" t="str">
        <f>"89713"</f>
        <v>89713</v>
      </c>
      <c r="H10767">
        <v>1</v>
      </c>
      <c r="I10767">
        <v>5411</v>
      </c>
      <c r="J10767">
        <v>0</v>
      </c>
      <c r="K10767" t="str">
        <f>"810"</f>
        <v>810</v>
      </c>
      <c r="L10767">
        <v>3517.15</v>
      </c>
    </row>
    <row r="10768" spans="1:12" x14ac:dyDescent="0.25">
      <c r="A10768" t="str">
        <f t="shared" si="1929"/>
        <v>89301000</v>
      </c>
      <c r="B10768" t="str">
        <f t="shared" si="1930"/>
        <v>78006000</v>
      </c>
      <c r="C10768" t="str">
        <f>"78006532"</f>
        <v>78006532</v>
      </c>
      <c r="D10768">
        <v>89301112</v>
      </c>
      <c r="E10768" t="str">
        <f>"0058154844"</f>
        <v>0058154844</v>
      </c>
      <c r="F10768" s="1">
        <v>45168</v>
      </c>
      <c r="G10768" t="str">
        <f>"89713"</f>
        <v>89713</v>
      </c>
      <c r="H10768">
        <v>1</v>
      </c>
      <c r="I10768">
        <v>5411</v>
      </c>
      <c r="J10768">
        <v>0</v>
      </c>
      <c r="K10768" t="str">
        <f>"810"</f>
        <v>810</v>
      </c>
      <c r="L10768">
        <v>3517.15</v>
      </c>
    </row>
    <row r="10769" spans="1:12" x14ac:dyDescent="0.25">
      <c r="A10769" t="str">
        <f t="shared" si="1929"/>
        <v>89301000</v>
      </c>
      <c r="B10769" t="str">
        <f t="shared" si="1930"/>
        <v>78006000</v>
      </c>
      <c r="C10769" t="str">
        <f>"78006205"</f>
        <v>78006205</v>
      </c>
      <c r="D10769">
        <v>89301167</v>
      </c>
      <c r="E10769" t="str">
        <f>"5854210813"</f>
        <v>5854210813</v>
      </c>
      <c r="F10769" s="1">
        <v>45166</v>
      </c>
      <c r="G10769" t="str">
        <f>"96167"</f>
        <v>96167</v>
      </c>
      <c r="H10769">
        <v>1</v>
      </c>
      <c r="I10769">
        <v>67</v>
      </c>
      <c r="J10769">
        <v>0</v>
      </c>
      <c r="K10769" t="str">
        <f>"818"</f>
        <v>818</v>
      </c>
      <c r="L10769">
        <v>64.989999999999995</v>
      </c>
    </row>
    <row r="10770" spans="1:12" x14ac:dyDescent="0.25">
      <c r="A10770" t="str">
        <f t="shared" si="1929"/>
        <v>89301000</v>
      </c>
      <c r="B10770" t="str">
        <f t="shared" si="1930"/>
        <v>78006000</v>
      </c>
      <c r="C10770" t="str">
        <f>"78006205"</f>
        <v>78006205</v>
      </c>
      <c r="D10770">
        <v>89301167</v>
      </c>
      <c r="E10770" t="str">
        <f>"5854210813"</f>
        <v>5854210813</v>
      </c>
      <c r="F10770" s="1">
        <v>45145</v>
      </c>
      <c r="G10770" t="str">
        <f>"96167"</f>
        <v>96167</v>
      </c>
      <c r="H10770">
        <v>1</v>
      </c>
      <c r="I10770">
        <v>67</v>
      </c>
      <c r="J10770">
        <v>0</v>
      </c>
      <c r="K10770" t="str">
        <f>"818"</f>
        <v>818</v>
      </c>
      <c r="L10770">
        <v>64.989999999999995</v>
      </c>
    </row>
    <row r="10771" spans="1:12" x14ac:dyDescent="0.25">
      <c r="A10771" t="str">
        <f t="shared" si="1929"/>
        <v>89301000</v>
      </c>
      <c r="B10771" t="str">
        <f t="shared" si="1930"/>
        <v>78006000</v>
      </c>
      <c r="C10771" t="str">
        <f>"78006233"</f>
        <v>78006233</v>
      </c>
      <c r="D10771">
        <v>89301062</v>
      </c>
      <c r="E10771" t="str">
        <f>"6156030749"</f>
        <v>6156030749</v>
      </c>
      <c r="F10771" s="1">
        <v>45168</v>
      </c>
      <c r="G10771" t="str">
        <f>"89713"</f>
        <v>89713</v>
      </c>
      <c r="H10771">
        <v>1</v>
      </c>
      <c r="I10771">
        <v>5411</v>
      </c>
      <c r="J10771">
        <v>0</v>
      </c>
      <c r="K10771" t="str">
        <f>"810"</f>
        <v>810</v>
      </c>
      <c r="L10771">
        <v>3517.15</v>
      </c>
    </row>
    <row r="10772" spans="1:12" x14ac:dyDescent="0.25">
      <c r="A10772" t="str">
        <f t="shared" si="1929"/>
        <v>89301000</v>
      </c>
      <c r="B10772" t="str">
        <f t="shared" si="1930"/>
        <v>78006000</v>
      </c>
      <c r="C10772" t="str">
        <f>"78006233"</f>
        <v>78006233</v>
      </c>
      <c r="D10772">
        <v>89301062</v>
      </c>
      <c r="E10772" t="str">
        <f>"6156030749"</f>
        <v>6156030749</v>
      </c>
      <c r="F10772" s="1">
        <v>45168</v>
      </c>
      <c r="G10772" t="str">
        <f>"89725"</f>
        <v>89725</v>
      </c>
      <c r="H10772">
        <v>1</v>
      </c>
      <c r="I10772">
        <v>2863</v>
      </c>
      <c r="J10772">
        <v>0</v>
      </c>
      <c r="K10772" t="str">
        <f>"810"</f>
        <v>810</v>
      </c>
      <c r="L10772">
        <v>1860.95</v>
      </c>
    </row>
    <row r="10773" spans="1:12" x14ac:dyDescent="0.25">
      <c r="A10773" t="str">
        <f t="shared" si="1929"/>
        <v>89301000</v>
      </c>
      <c r="B10773" t="str">
        <f t="shared" si="1930"/>
        <v>78006000</v>
      </c>
      <c r="C10773" t="str">
        <f>"78006233"</f>
        <v>78006233</v>
      </c>
      <c r="D10773">
        <v>89301062</v>
      </c>
      <c r="E10773" t="str">
        <f>"6156030749"</f>
        <v>6156030749</v>
      </c>
      <c r="F10773" s="1">
        <v>45168</v>
      </c>
      <c r="G10773" t="str">
        <f>"89713"</f>
        <v>89713</v>
      </c>
      <c r="H10773">
        <v>1</v>
      </c>
      <c r="I10773">
        <v>5411</v>
      </c>
      <c r="J10773">
        <v>0</v>
      </c>
      <c r="K10773" t="str">
        <f>"810"</f>
        <v>810</v>
      </c>
      <c r="L10773">
        <v>3517.15</v>
      </c>
    </row>
    <row r="10774" spans="1:12" x14ac:dyDescent="0.25">
      <c r="A10774" t="str">
        <f t="shared" si="1929"/>
        <v>89301000</v>
      </c>
      <c r="B10774" t="str">
        <f t="shared" si="1930"/>
        <v>78006000</v>
      </c>
      <c r="C10774" t="str">
        <f>"78006531"</f>
        <v>78006531</v>
      </c>
      <c r="D10774">
        <v>89301212</v>
      </c>
      <c r="E10774" t="str">
        <f>"535414122"</f>
        <v>535414122</v>
      </c>
      <c r="F10774" s="1">
        <v>45155</v>
      </c>
      <c r="G10774" t="str">
        <f>"89513"</f>
        <v>89513</v>
      </c>
      <c r="H10774">
        <v>1</v>
      </c>
      <c r="I10774">
        <v>378</v>
      </c>
      <c r="J10774">
        <v>0</v>
      </c>
      <c r="K10774" t="str">
        <f>"809"</f>
        <v>809</v>
      </c>
      <c r="L10774">
        <v>555.66</v>
      </c>
    </row>
    <row r="10775" spans="1:12" x14ac:dyDescent="0.25">
      <c r="A10775" t="str">
        <f t="shared" si="1929"/>
        <v>89301000</v>
      </c>
      <c r="B10775" t="str">
        <f t="shared" si="1930"/>
        <v>78006000</v>
      </c>
      <c r="C10775" t="str">
        <f>"78006531"</f>
        <v>78006531</v>
      </c>
      <c r="D10775">
        <v>89301212</v>
      </c>
      <c r="E10775" t="str">
        <f>"535414122"</f>
        <v>535414122</v>
      </c>
      <c r="F10775" s="1">
        <v>45155</v>
      </c>
      <c r="G10775" t="str">
        <f>"89514"</f>
        <v>89514</v>
      </c>
      <c r="H10775">
        <v>1</v>
      </c>
      <c r="I10775">
        <v>378</v>
      </c>
      <c r="J10775">
        <v>0</v>
      </c>
      <c r="K10775" t="str">
        <f>"809"</f>
        <v>809</v>
      </c>
      <c r="L10775">
        <v>555.66</v>
      </c>
    </row>
    <row r="10776" spans="1:12" x14ac:dyDescent="0.25">
      <c r="A10776" t="str">
        <f t="shared" si="1929"/>
        <v>89301000</v>
      </c>
      <c r="B10776" t="str">
        <f t="shared" si="1930"/>
        <v>78006000</v>
      </c>
      <c r="C10776" t="str">
        <f t="shared" ref="C10776:C10792" si="1932">"78006201"</f>
        <v>78006201</v>
      </c>
      <c r="D10776">
        <v>89301167</v>
      </c>
      <c r="E10776" t="str">
        <f t="shared" ref="E10776:E10789" si="1933">"5854210813"</f>
        <v>5854210813</v>
      </c>
      <c r="F10776" s="1">
        <v>45166</v>
      </c>
      <c r="G10776" t="str">
        <f>"81249"</f>
        <v>81249</v>
      </c>
      <c r="H10776">
        <v>1</v>
      </c>
      <c r="I10776">
        <v>334</v>
      </c>
      <c r="J10776">
        <v>0</v>
      </c>
      <c r="K10776" t="str">
        <f t="shared" ref="K10776:K10792" si="1934">"801"</f>
        <v>801</v>
      </c>
      <c r="L10776">
        <v>280.56</v>
      </c>
    </row>
    <row r="10777" spans="1:12" x14ac:dyDescent="0.25">
      <c r="A10777" t="str">
        <f t="shared" si="1929"/>
        <v>89301000</v>
      </c>
      <c r="B10777" t="str">
        <f t="shared" si="1930"/>
        <v>78006000</v>
      </c>
      <c r="C10777" t="str">
        <f t="shared" si="1932"/>
        <v>78006201</v>
      </c>
      <c r="D10777">
        <v>89301167</v>
      </c>
      <c r="E10777" t="str">
        <f t="shared" si="1933"/>
        <v>5854210813</v>
      </c>
      <c r="F10777" s="1">
        <v>45166</v>
      </c>
      <c r="G10777" t="str">
        <f>"81329"</f>
        <v>81329</v>
      </c>
      <c r="H10777">
        <v>1</v>
      </c>
      <c r="I10777">
        <v>17</v>
      </c>
      <c r="J10777">
        <v>0</v>
      </c>
      <c r="K10777" t="str">
        <f t="shared" si="1934"/>
        <v>801</v>
      </c>
      <c r="L10777">
        <v>14.28</v>
      </c>
    </row>
    <row r="10778" spans="1:12" x14ac:dyDescent="0.25">
      <c r="A10778" t="str">
        <f t="shared" si="1929"/>
        <v>89301000</v>
      </c>
      <c r="B10778" t="str">
        <f t="shared" si="1930"/>
        <v>78006000</v>
      </c>
      <c r="C10778" t="str">
        <f t="shared" si="1932"/>
        <v>78006201</v>
      </c>
      <c r="D10778">
        <v>89301167</v>
      </c>
      <c r="E10778" t="str">
        <f t="shared" si="1933"/>
        <v>5854210813</v>
      </c>
      <c r="F10778" s="1">
        <v>45166</v>
      </c>
      <c r="G10778" t="str">
        <f>"81383"</f>
        <v>81383</v>
      </c>
      <c r="H10778">
        <v>1</v>
      </c>
      <c r="I10778">
        <v>24</v>
      </c>
      <c r="J10778">
        <v>0</v>
      </c>
      <c r="K10778" t="str">
        <f t="shared" si="1934"/>
        <v>801</v>
      </c>
      <c r="L10778">
        <v>20.16</v>
      </c>
    </row>
    <row r="10779" spans="1:12" x14ac:dyDescent="0.25">
      <c r="A10779" t="str">
        <f t="shared" si="1929"/>
        <v>89301000</v>
      </c>
      <c r="B10779" t="str">
        <f t="shared" si="1930"/>
        <v>78006000</v>
      </c>
      <c r="C10779" t="str">
        <f t="shared" si="1932"/>
        <v>78006201</v>
      </c>
      <c r="D10779">
        <v>89301167</v>
      </c>
      <c r="E10779" t="str">
        <f t="shared" si="1933"/>
        <v>5854210813</v>
      </c>
      <c r="F10779" s="1">
        <v>45166</v>
      </c>
      <c r="G10779" t="str">
        <f>"81625"</f>
        <v>81625</v>
      </c>
      <c r="H10779">
        <v>1</v>
      </c>
      <c r="I10779">
        <v>21</v>
      </c>
      <c r="J10779">
        <v>0</v>
      </c>
      <c r="K10779" t="str">
        <f t="shared" si="1934"/>
        <v>801</v>
      </c>
      <c r="L10779">
        <v>17.64</v>
      </c>
    </row>
    <row r="10780" spans="1:12" x14ac:dyDescent="0.25">
      <c r="A10780" t="str">
        <f t="shared" si="1929"/>
        <v>89301000</v>
      </c>
      <c r="B10780" t="str">
        <f t="shared" si="1930"/>
        <v>78006000</v>
      </c>
      <c r="C10780" t="str">
        <f t="shared" si="1932"/>
        <v>78006201</v>
      </c>
      <c r="D10780">
        <v>89301167</v>
      </c>
      <c r="E10780" t="str">
        <f t="shared" si="1933"/>
        <v>5854210813</v>
      </c>
      <c r="F10780" s="1">
        <v>45166</v>
      </c>
      <c r="G10780" t="str">
        <f>"93131"</f>
        <v>93131</v>
      </c>
      <c r="H10780">
        <v>1</v>
      </c>
      <c r="I10780">
        <v>197</v>
      </c>
      <c r="J10780">
        <v>0</v>
      </c>
      <c r="K10780" t="str">
        <f t="shared" si="1934"/>
        <v>801</v>
      </c>
      <c r="L10780">
        <v>165.48</v>
      </c>
    </row>
    <row r="10781" spans="1:12" x14ac:dyDescent="0.25">
      <c r="A10781" t="str">
        <f t="shared" si="1929"/>
        <v>89301000</v>
      </c>
      <c r="B10781" t="str">
        <f t="shared" si="1930"/>
        <v>78006000</v>
      </c>
      <c r="C10781" t="str">
        <f t="shared" si="1932"/>
        <v>78006201</v>
      </c>
      <c r="D10781">
        <v>89301167</v>
      </c>
      <c r="E10781" t="str">
        <f t="shared" si="1933"/>
        <v>5854210813</v>
      </c>
      <c r="F10781" s="1">
        <v>45166</v>
      </c>
      <c r="G10781" t="str">
        <f>"93189"</f>
        <v>93189</v>
      </c>
      <c r="H10781">
        <v>1</v>
      </c>
      <c r="I10781">
        <v>191</v>
      </c>
      <c r="J10781">
        <v>0</v>
      </c>
      <c r="K10781" t="str">
        <f t="shared" si="1934"/>
        <v>801</v>
      </c>
      <c r="L10781">
        <v>160.44</v>
      </c>
    </row>
    <row r="10782" spans="1:12" x14ac:dyDescent="0.25">
      <c r="A10782" t="str">
        <f t="shared" si="1929"/>
        <v>89301000</v>
      </c>
      <c r="B10782" t="str">
        <f t="shared" si="1930"/>
        <v>78006000</v>
      </c>
      <c r="C10782" t="str">
        <f t="shared" si="1932"/>
        <v>78006201</v>
      </c>
      <c r="D10782">
        <v>89301167</v>
      </c>
      <c r="E10782" t="str">
        <f t="shared" si="1933"/>
        <v>5854210813</v>
      </c>
      <c r="F10782" s="1">
        <v>45166</v>
      </c>
      <c r="G10782" t="str">
        <f>"93195"</f>
        <v>93195</v>
      </c>
      <c r="H10782">
        <v>1</v>
      </c>
      <c r="I10782">
        <v>183</v>
      </c>
      <c r="J10782">
        <v>0</v>
      </c>
      <c r="K10782" t="str">
        <f t="shared" si="1934"/>
        <v>801</v>
      </c>
      <c r="L10782">
        <v>153.72</v>
      </c>
    </row>
    <row r="10783" spans="1:12" x14ac:dyDescent="0.25">
      <c r="A10783" t="str">
        <f t="shared" si="1929"/>
        <v>89301000</v>
      </c>
      <c r="B10783" t="str">
        <f t="shared" si="1930"/>
        <v>78006000</v>
      </c>
      <c r="C10783" t="str">
        <f t="shared" si="1932"/>
        <v>78006201</v>
      </c>
      <c r="D10783">
        <v>89301167</v>
      </c>
      <c r="E10783" t="str">
        <f t="shared" si="1933"/>
        <v>5854210813</v>
      </c>
      <c r="F10783" s="1">
        <v>45166</v>
      </c>
      <c r="G10783" t="str">
        <f>"97111"</f>
        <v>97111</v>
      </c>
      <c r="H10783">
        <v>1</v>
      </c>
      <c r="I10783">
        <v>19</v>
      </c>
      <c r="J10783">
        <v>0</v>
      </c>
      <c r="K10783" t="str">
        <f t="shared" si="1934"/>
        <v>801</v>
      </c>
      <c r="L10783">
        <v>23.94</v>
      </c>
    </row>
    <row r="10784" spans="1:12" x14ac:dyDescent="0.25">
      <c r="A10784" t="str">
        <f t="shared" si="1929"/>
        <v>89301000</v>
      </c>
      <c r="B10784" t="str">
        <f t="shared" si="1930"/>
        <v>78006000</v>
      </c>
      <c r="C10784" t="str">
        <f t="shared" si="1932"/>
        <v>78006201</v>
      </c>
      <c r="D10784">
        <v>89301167</v>
      </c>
      <c r="E10784" t="str">
        <f t="shared" si="1933"/>
        <v>5854210813</v>
      </c>
      <c r="F10784" s="1">
        <v>45145</v>
      </c>
      <c r="G10784" t="str">
        <f>"81329"</f>
        <v>81329</v>
      </c>
      <c r="H10784">
        <v>1</v>
      </c>
      <c r="I10784">
        <v>17</v>
      </c>
      <c r="J10784">
        <v>0</v>
      </c>
      <c r="K10784" t="str">
        <f t="shared" si="1934"/>
        <v>801</v>
      </c>
      <c r="L10784">
        <v>14.28</v>
      </c>
    </row>
    <row r="10785" spans="1:12" x14ac:dyDescent="0.25">
      <c r="A10785" t="str">
        <f t="shared" si="1929"/>
        <v>89301000</v>
      </c>
      <c r="B10785" t="str">
        <f t="shared" si="1930"/>
        <v>78006000</v>
      </c>
      <c r="C10785" t="str">
        <f t="shared" si="1932"/>
        <v>78006201</v>
      </c>
      <c r="D10785">
        <v>89301167</v>
      </c>
      <c r="E10785" t="str">
        <f t="shared" si="1933"/>
        <v>5854210813</v>
      </c>
      <c r="F10785" s="1">
        <v>45145</v>
      </c>
      <c r="G10785" t="str">
        <f>"81383"</f>
        <v>81383</v>
      </c>
      <c r="H10785">
        <v>1</v>
      </c>
      <c r="I10785">
        <v>24</v>
      </c>
      <c r="J10785">
        <v>0</v>
      </c>
      <c r="K10785" t="str">
        <f t="shared" si="1934"/>
        <v>801</v>
      </c>
      <c r="L10785">
        <v>20.16</v>
      </c>
    </row>
    <row r="10786" spans="1:12" x14ac:dyDescent="0.25">
      <c r="A10786" t="str">
        <f t="shared" si="1929"/>
        <v>89301000</v>
      </c>
      <c r="B10786" t="str">
        <f t="shared" si="1930"/>
        <v>78006000</v>
      </c>
      <c r="C10786" t="str">
        <f t="shared" si="1932"/>
        <v>78006201</v>
      </c>
      <c r="D10786">
        <v>89301167</v>
      </c>
      <c r="E10786" t="str">
        <f t="shared" si="1933"/>
        <v>5854210813</v>
      </c>
      <c r="F10786" s="1">
        <v>45145</v>
      </c>
      <c r="G10786" t="str">
        <f>"81625"</f>
        <v>81625</v>
      </c>
      <c r="H10786">
        <v>1</v>
      </c>
      <c r="I10786">
        <v>21</v>
      </c>
      <c r="J10786">
        <v>0</v>
      </c>
      <c r="K10786" t="str">
        <f t="shared" si="1934"/>
        <v>801</v>
      </c>
      <c r="L10786">
        <v>17.64</v>
      </c>
    </row>
    <row r="10787" spans="1:12" x14ac:dyDescent="0.25">
      <c r="A10787" t="str">
        <f t="shared" si="1929"/>
        <v>89301000</v>
      </c>
      <c r="B10787" t="str">
        <f t="shared" si="1930"/>
        <v>78006000</v>
      </c>
      <c r="C10787" t="str">
        <f t="shared" si="1932"/>
        <v>78006201</v>
      </c>
      <c r="D10787">
        <v>89301167</v>
      </c>
      <c r="E10787" t="str">
        <f t="shared" si="1933"/>
        <v>5854210813</v>
      </c>
      <c r="F10787" s="1">
        <v>45145</v>
      </c>
      <c r="G10787" t="str">
        <f>"93189"</f>
        <v>93189</v>
      </c>
      <c r="H10787">
        <v>1</v>
      </c>
      <c r="I10787">
        <v>191</v>
      </c>
      <c r="J10787">
        <v>0</v>
      </c>
      <c r="K10787" t="str">
        <f t="shared" si="1934"/>
        <v>801</v>
      </c>
      <c r="L10787">
        <v>160.44</v>
      </c>
    </row>
    <row r="10788" spans="1:12" x14ac:dyDescent="0.25">
      <c r="A10788" t="str">
        <f t="shared" si="1929"/>
        <v>89301000</v>
      </c>
      <c r="B10788" t="str">
        <f t="shared" si="1930"/>
        <v>78006000</v>
      </c>
      <c r="C10788" t="str">
        <f t="shared" si="1932"/>
        <v>78006201</v>
      </c>
      <c r="D10788">
        <v>89301167</v>
      </c>
      <c r="E10788" t="str">
        <f t="shared" si="1933"/>
        <v>5854210813</v>
      </c>
      <c r="F10788" s="1">
        <v>45145</v>
      </c>
      <c r="G10788" t="str">
        <f>"93195"</f>
        <v>93195</v>
      </c>
      <c r="H10788">
        <v>1</v>
      </c>
      <c r="I10788">
        <v>183</v>
      </c>
      <c r="J10788">
        <v>0</v>
      </c>
      <c r="K10788" t="str">
        <f t="shared" si="1934"/>
        <v>801</v>
      </c>
      <c r="L10788">
        <v>153.72</v>
      </c>
    </row>
    <row r="10789" spans="1:12" x14ac:dyDescent="0.25">
      <c r="A10789" t="str">
        <f t="shared" si="1929"/>
        <v>89301000</v>
      </c>
      <c r="B10789" t="str">
        <f t="shared" si="1930"/>
        <v>78006000</v>
      </c>
      <c r="C10789" t="str">
        <f t="shared" si="1932"/>
        <v>78006201</v>
      </c>
      <c r="D10789">
        <v>89301167</v>
      </c>
      <c r="E10789" t="str">
        <f t="shared" si="1933"/>
        <v>5854210813</v>
      </c>
      <c r="F10789" s="1">
        <v>45145</v>
      </c>
      <c r="G10789" t="str">
        <f>"97111"</f>
        <v>97111</v>
      </c>
      <c r="H10789">
        <v>1</v>
      </c>
      <c r="I10789">
        <v>19</v>
      </c>
      <c r="J10789">
        <v>0</v>
      </c>
      <c r="K10789" t="str">
        <f t="shared" si="1934"/>
        <v>801</v>
      </c>
      <c r="L10789">
        <v>23.94</v>
      </c>
    </row>
    <row r="10790" spans="1:12" x14ac:dyDescent="0.25">
      <c r="A10790" t="str">
        <f t="shared" si="1929"/>
        <v>89301000</v>
      </c>
      <c r="B10790" t="str">
        <f t="shared" si="1930"/>
        <v>78006000</v>
      </c>
      <c r="C10790" t="str">
        <f t="shared" si="1932"/>
        <v>78006201</v>
      </c>
      <c r="D10790">
        <v>89301171</v>
      </c>
      <c r="E10790" t="str">
        <f>"9260085703"</f>
        <v>9260085703</v>
      </c>
      <c r="F10790" s="1">
        <v>45152</v>
      </c>
      <c r="G10790" t="str">
        <f>"81703"</f>
        <v>81703</v>
      </c>
      <c r="H10790">
        <v>2</v>
      </c>
      <c r="I10790">
        <v>556</v>
      </c>
      <c r="J10790">
        <v>0</v>
      </c>
      <c r="K10790" t="str">
        <f t="shared" si="1934"/>
        <v>801</v>
      </c>
      <c r="L10790">
        <v>467.04</v>
      </c>
    </row>
    <row r="10791" spans="1:12" x14ac:dyDescent="0.25">
      <c r="A10791" t="str">
        <f t="shared" si="1929"/>
        <v>89301000</v>
      </c>
      <c r="B10791" t="str">
        <f t="shared" si="1930"/>
        <v>78006000</v>
      </c>
      <c r="C10791" t="str">
        <f t="shared" si="1932"/>
        <v>78006201</v>
      </c>
      <c r="D10791">
        <v>89301171</v>
      </c>
      <c r="E10791" t="str">
        <f>"9157254854"</f>
        <v>9157254854</v>
      </c>
      <c r="F10791" s="1">
        <v>45166</v>
      </c>
      <c r="G10791" t="str">
        <f>"81703"</f>
        <v>81703</v>
      </c>
      <c r="H10791">
        <v>2</v>
      </c>
      <c r="I10791">
        <v>556</v>
      </c>
      <c r="J10791">
        <v>0</v>
      </c>
      <c r="K10791" t="str">
        <f t="shared" si="1934"/>
        <v>801</v>
      </c>
      <c r="L10791">
        <v>467.04</v>
      </c>
    </row>
    <row r="10792" spans="1:12" x14ac:dyDescent="0.25">
      <c r="A10792" t="str">
        <f t="shared" si="1929"/>
        <v>89301000</v>
      </c>
      <c r="B10792" t="str">
        <f t="shared" ref="B10792:B10814" si="1935">"78006000"</f>
        <v>78006000</v>
      </c>
      <c r="C10792" t="str">
        <f t="shared" si="1932"/>
        <v>78006201</v>
      </c>
      <c r="D10792">
        <v>89301082</v>
      </c>
      <c r="E10792" t="str">
        <f>"8755135576"</f>
        <v>8755135576</v>
      </c>
      <c r="F10792" s="1">
        <v>45154</v>
      </c>
      <c r="G10792" t="str">
        <f>"81707"</f>
        <v>81707</v>
      </c>
      <c r="H10792">
        <v>1</v>
      </c>
      <c r="I10792">
        <v>394</v>
      </c>
      <c r="J10792">
        <v>0</v>
      </c>
      <c r="K10792" t="str">
        <f t="shared" si="1934"/>
        <v>801</v>
      </c>
      <c r="L10792">
        <v>330.96</v>
      </c>
    </row>
    <row r="10793" spans="1:12" x14ac:dyDescent="0.25">
      <c r="A10793" t="str">
        <f t="shared" si="1929"/>
        <v>89301000</v>
      </c>
      <c r="B10793" t="str">
        <f t="shared" si="1935"/>
        <v>78006000</v>
      </c>
      <c r="C10793" t="str">
        <f t="shared" ref="C10793:C10804" si="1936">"78006231"</f>
        <v>78006231</v>
      </c>
      <c r="D10793">
        <v>89301022</v>
      </c>
      <c r="E10793" t="str">
        <f>"7552074486"</f>
        <v>7552074486</v>
      </c>
      <c r="F10793" s="1">
        <v>45168</v>
      </c>
      <c r="G10793" t="str">
        <f>"89617"</f>
        <v>89617</v>
      </c>
      <c r="H10793">
        <v>1</v>
      </c>
      <c r="I10793">
        <v>1342</v>
      </c>
      <c r="J10793">
        <v>0</v>
      </c>
      <c r="K10793" t="str">
        <f t="shared" ref="K10793:K10805" si="1937">"809"</f>
        <v>809</v>
      </c>
      <c r="L10793">
        <v>872.3</v>
      </c>
    </row>
    <row r="10794" spans="1:12" x14ac:dyDescent="0.25">
      <c r="A10794" t="str">
        <f t="shared" si="1929"/>
        <v>89301000</v>
      </c>
      <c r="B10794" t="str">
        <f t="shared" si="1935"/>
        <v>78006000</v>
      </c>
      <c r="C10794" t="str">
        <f t="shared" si="1936"/>
        <v>78006231</v>
      </c>
      <c r="D10794">
        <v>89301022</v>
      </c>
      <c r="E10794" t="str">
        <f>"7552074486"</f>
        <v>7552074486</v>
      </c>
      <c r="F10794" s="1">
        <v>45168</v>
      </c>
      <c r="G10794" t="str">
        <f>"0022075"</f>
        <v>0022075</v>
      </c>
      <c r="H10794">
        <v>1</v>
      </c>
      <c r="J10794">
        <v>1004.83</v>
      </c>
      <c r="K10794" t="str">
        <f t="shared" si="1937"/>
        <v>809</v>
      </c>
      <c r="L10794">
        <v>1004.83</v>
      </c>
    </row>
    <row r="10795" spans="1:12" x14ac:dyDescent="0.25">
      <c r="A10795" t="str">
        <f t="shared" si="1929"/>
        <v>89301000</v>
      </c>
      <c r="B10795" t="str">
        <f t="shared" si="1935"/>
        <v>78006000</v>
      </c>
      <c r="C10795" t="str">
        <f t="shared" si="1936"/>
        <v>78006231</v>
      </c>
      <c r="D10795">
        <v>89301212</v>
      </c>
      <c r="E10795" t="str">
        <f>"5653021352"</f>
        <v>5653021352</v>
      </c>
      <c r="F10795" s="1">
        <v>45166</v>
      </c>
      <c r="G10795" t="str">
        <f>"89512"</f>
        <v>89512</v>
      </c>
      <c r="H10795">
        <v>1</v>
      </c>
      <c r="I10795">
        <v>283</v>
      </c>
      <c r="J10795">
        <v>0</v>
      </c>
      <c r="K10795" t="str">
        <f t="shared" si="1937"/>
        <v>809</v>
      </c>
      <c r="L10795">
        <v>416.01</v>
      </c>
    </row>
    <row r="10796" spans="1:12" x14ac:dyDescent="0.25">
      <c r="A10796" t="str">
        <f t="shared" si="1929"/>
        <v>89301000</v>
      </c>
      <c r="B10796" t="str">
        <f t="shared" si="1935"/>
        <v>78006000</v>
      </c>
      <c r="C10796" t="str">
        <f t="shared" si="1936"/>
        <v>78006231</v>
      </c>
      <c r="D10796">
        <v>89301212</v>
      </c>
      <c r="E10796" t="str">
        <f>"7959304518"</f>
        <v>7959304518</v>
      </c>
      <c r="F10796" s="1">
        <v>45166</v>
      </c>
      <c r="G10796" t="str">
        <f>"89512"</f>
        <v>89512</v>
      </c>
      <c r="H10796">
        <v>1</v>
      </c>
      <c r="I10796">
        <v>283</v>
      </c>
      <c r="J10796">
        <v>0</v>
      </c>
      <c r="K10796" t="str">
        <f t="shared" si="1937"/>
        <v>809</v>
      </c>
      <c r="L10796">
        <v>416.01</v>
      </c>
    </row>
    <row r="10797" spans="1:12" x14ac:dyDescent="0.25">
      <c r="A10797" t="str">
        <f t="shared" si="1929"/>
        <v>89301000</v>
      </c>
      <c r="B10797" t="str">
        <f t="shared" si="1935"/>
        <v>78006000</v>
      </c>
      <c r="C10797" t="str">
        <f t="shared" si="1936"/>
        <v>78006231</v>
      </c>
      <c r="D10797">
        <v>89301215</v>
      </c>
      <c r="E10797" t="str">
        <f>"0358185718"</f>
        <v>0358185718</v>
      </c>
      <c r="F10797" s="1">
        <v>45169</v>
      </c>
      <c r="G10797" t="str">
        <f>"89512"</f>
        <v>89512</v>
      </c>
      <c r="H10797">
        <v>1</v>
      </c>
      <c r="I10797">
        <v>283</v>
      </c>
      <c r="J10797">
        <v>0</v>
      </c>
      <c r="K10797" t="str">
        <f t="shared" si="1937"/>
        <v>809</v>
      </c>
      <c r="L10797">
        <v>416.01</v>
      </c>
    </row>
    <row r="10798" spans="1:12" x14ac:dyDescent="0.25">
      <c r="A10798" t="str">
        <f t="shared" si="1929"/>
        <v>89301000</v>
      </c>
      <c r="B10798" t="str">
        <f t="shared" si="1935"/>
        <v>78006000</v>
      </c>
      <c r="C10798" t="str">
        <f t="shared" si="1936"/>
        <v>78006231</v>
      </c>
      <c r="D10798">
        <v>89301212</v>
      </c>
      <c r="E10798" t="str">
        <f>"525225229"</f>
        <v>525225229</v>
      </c>
      <c r="F10798" s="1">
        <v>45141</v>
      </c>
      <c r="G10798" t="str">
        <f>"89131"</f>
        <v>89131</v>
      </c>
      <c r="H10798">
        <v>1</v>
      </c>
      <c r="I10798">
        <v>190</v>
      </c>
      <c r="J10798">
        <v>0</v>
      </c>
      <c r="K10798" t="str">
        <f t="shared" si="1937"/>
        <v>809</v>
      </c>
      <c r="L10798">
        <v>279.3</v>
      </c>
    </row>
    <row r="10799" spans="1:12" x14ac:dyDescent="0.25">
      <c r="A10799" t="str">
        <f t="shared" si="1929"/>
        <v>89301000</v>
      </c>
      <c r="B10799" t="str">
        <f t="shared" si="1935"/>
        <v>78006000</v>
      </c>
      <c r="C10799" t="str">
        <f t="shared" si="1936"/>
        <v>78006231</v>
      </c>
      <c r="D10799">
        <v>89301212</v>
      </c>
      <c r="E10799" t="str">
        <f>"7959304518"</f>
        <v>7959304518</v>
      </c>
      <c r="F10799" s="1">
        <v>45152</v>
      </c>
      <c r="G10799" t="str">
        <f>"89513"</f>
        <v>89513</v>
      </c>
      <c r="H10799">
        <v>1</v>
      </c>
      <c r="I10799">
        <v>378</v>
      </c>
      <c r="J10799">
        <v>0</v>
      </c>
      <c r="K10799" t="str">
        <f t="shared" si="1937"/>
        <v>809</v>
      </c>
      <c r="L10799">
        <v>555.66</v>
      </c>
    </row>
    <row r="10800" spans="1:12" x14ac:dyDescent="0.25">
      <c r="A10800" t="str">
        <f t="shared" si="1929"/>
        <v>89301000</v>
      </c>
      <c r="B10800" t="str">
        <f t="shared" si="1935"/>
        <v>78006000</v>
      </c>
      <c r="C10800" t="str">
        <f t="shared" si="1936"/>
        <v>78006231</v>
      </c>
      <c r="D10800">
        <v>89301212</v>
      </c>
      <c r="E10800" t="str">
        <f>"7959304518"</f>
        <v>7959304518</v>
      </c>
      <c r="F10800" s="1">
        <v>45152</v>
      </c>
      <c r="G10800" t="str">
        <f>"89514"</f>
        <v>89514</v>
      </c>
      <c r="H10800">
        <v>1</v>
      </c>
      <c r="I10800">
        <v>378</v>
      </c>
      <c r="J10800">
        <v>0</v>
      </c>
      <c r="K10800" t="str">
        <f t="shared" si="1937"/>
        <v>809</v>
      </c>
      <c r="L10800">
        <v>555.66</v>
      </c>
    </row>
    <row r="10801" spans="1:12" x14ac:dyDescent="0.25">
      <c r="A10801" t="str">
        <f t="shared" si="1929"/>
        <v>89301000</v>
      </c>
      <c r="B10801" t="str">
        <f t="shared" si="1935"/>
        <v>78006000</v>
      </c>
      <c r="C10801" t="str">
        <f t="shared" si="1936"/>
        <v>78006231</v>
      </c>
      <c r="D10801">
        <v>89301032</v>
      </c>
      <c r="E10801" t="str">
        <f>"9953154849"</f>
        <v>9953154849</v>
      </c>
      <c r="F10801" s="1">
        <v>45154</v>
      </c>
      <c r="G10801" t="str">
        <f>"89513"</f>
        <v>89513</v>
      </c>
      <c r="H10801">
        <v>1</v>
      </c>
      <c r="I10801">
        <v>378</v>
      </c>
      <c r="J10801">
        <v>0</v>
      </c>
      <c r="K10801" t="str">
        <f t="shared" si="1937"/>
        <v>809</v>
      </c>
      <c r="L10801">
        <v>555.66</v>
      </c>
    </row>
    <row r="10802" spans="1:12" x14ac:dyDescent="0.25">
      <c r="A10802" t="str">
        <f t="shared" si="1929"/>
        <v>89301000</v>
      </c>
      <c r="B10802" t="str">
        <f t="shared" si="1935"/>
        <v>78006000</v>
      </c>
      <c r="C10802" t="str">
        <f t="shared" si="1936"/>
        <v>78006231</v>
      </c>
      <c r="D10802">
        <v>89301032</v>
      </c>
      <c r="E10802" t="str">
        <f>"9953154849"</f>
        <v>9953154849</v>
      </c>
      <c r="F10802" s="1">
        <v>45154</v>
      </c>
      <c r="G10802" t="str">
        <f>"89514"</f>
        <v>89514</v>
      </c>
      <c r="H10802">
        <v>1</v>
      </c>
      <c r="I10802">
        <v>378</v>
      </c>
      <c r="J10802">
        <v>0</v>
      </c>
      <c r="K10802" t="str">
        <f t="shared" si="1937"/>
        <v>809</v>
      </c>
      <c r="L10802">
        <v>555.66</v>
      </c>
    </row>
    <row r="10803" spans="1:12" x14ac:dyDescent="0.25">
      <c r="A10803" t="str">
        <f t="shared" si="1929"/>
        <v>89301000</v>
      </c>
      <c r="B10803" t="str">
        <f t="shared" si="1935"/>
        <v>78006000</v>
      </c>
      <c r="C10803" t="str">
        <f t="shared" si="1936"/>
        <v>78006231</v>
      </c>
      <c r="D10803">
        <v>89301212</v>
      </c>
      <c r="E10803" t="str">
        <f>"6757211307"</f>
        <v>6757211307</v>
      </c>
      <c r="F10803" s="1">
        <v>45166</v>
      </c>
      <c r="G10803" t="str">
        <f>"89513"</f>
        <v>89513</v>
      </c>
      <c r="H10803">
        <v>1</v>
      </c>
      <c r="I10803">
        <v>378</v>
      </c>
      <c r="J10803">
        <v>0</v>
      </c>
      <c r="K10803" t="str">
        <f t="shared" si="1937"/>
        <v>809</v>
      </c>
      <c r="L10803">
        <v>555.66</v>
      </c>
    </row>
    <row r="10804" spans="1:12" x14ac:dyDescent="0.25">
      <c r="A10804" t="str">
        <f t="shared" si="1929"/>
        <v>89301000</v>
      </c>
      <c r="B10804" t="str">
        <f t="shared" si="1935"/>
        <v>78006000</v>
      </c>
      <c r="C10804" t="str">
        <f t="shared" si="1936"/>
        <v>78006231</v>
      </c>
      <c r="D10804">
        <v>89301212</v>
      </c>
      <c r="E10804" t="str">
        <f>"6757211307"</f>
        <v>6757211307</v>
      </c>
      <c r="F10804" s="1">
        <v>45166</v>
      </c>
      <c r="G10804" t="str">
        <f>"89514"</f>
        <v>89514</v>
      </c>
      <c r="H10804">
        <v>1</v>
      </c>
      <c r="I10804">
        <v>378</v>
      </c>
      <c r="J10804">
        <v>0</v>
      </c>
      <c r="K10804" t="str">
        <f t="shared" si="1937"/>
        <v>809</v>
      </c>
      <c r="L10804">
        <v>555.66</v>
      </c>
    </row>
    <row r="10805" spans="1:12" x14ac:dyDescent="0.25">
      <c r="A10805" t="str">
        <f t="shared" si="1929"/>
        <v>89301000</v>
      </c>
      <c r="B10805" t="str">
        <f t="shared" si="1935"/>
        <v>78006000</v>
      </c>
      <c r="C10805" t="str">
        <f>"78006831"</f>
        <v>78006831</v>
      </c>
      <c r="D10805">
        <v>89301103</v>
      </c>
      <c r="E10805" t="str">
        <f>"7654163495"</f>
        <v>7654163495</v>
      </c>
      <c r="F10805" s="1">
        <v>45162</v>
      </c>
      <c r="G10805" t="str">
        <f>"89615"</f>
        <v>89615</v>
      </c>
      <c r="H10805">
        <v>1</v>
      </c>
      <c r="I10805">
        <v>2199</v>
      </c>
      <c r="J10805">
        <v>0</v>
      </c>
      <c r="K10805" t="str">
        <f t="shared" si="1937"/>
        <v>809</v>
      </c>
      <c r="L10805">
        <v>1429.35</v>
      </c>
    </row>
    <row r="10806" spans="1:12" x14ac:dyDescent="0.25">
      <c r="A10806" t="str">
        <f t="shared" si="1929"/>
        <v>89301000</v>
      </c>
      <c r="B10806" t="str">
        <f t="shared" si="1935"/>
        <v>78006000</v>
      </c>
      <c r="C10806" t="str">
        <f t="shared" ref="C10806:C10814" si="1938">"78006832"</f>
        <v>78006832</v>
      </c>
      <c r="D10806">
        <v>89301062</v>
      </c>
      <c r="E10806" t="str">
        <f>"6259130339"</f>
        <v>6259130339</v>
      </c>
      <c r="F10806" s="1">
        <v>45141</v>
      </c>
      <c r="G10806" t="str">
        <f>"89713"</f>
        <v>89713</v>
      </c>
      <c r="H10806">
        <v>1</v>
      </c>
      <c r="I10806">
        <v>5411</v>
      </c>
      <c r="J10806">
        <v>0</v>
      </c>
      <c r="K10806" t="str">
        <f t="shared" ref="K10806:K10814" si="1939">"810"</f>
        <v>810</v>
      </c>
      <c r="L10806">
        <v>3517.15</v>
      </c>
    </row>
    <row r="10807" spans="1:12" x14ac:dyDescent="0.25">
      <c r="A10807" t="str">
        <f t="shared" si="1929"/>
        <v>89301000</v>
      </c>
      <c r="B10807" t="str">
        <f t="shared" si="1935"/>
        <v>78006000</v>
      </c>
      <c r="C10807" t="str">
        <f t="shared" si="1938"/>
        <v>78006832</v>
      </c>
      <c r="D10807">
        <v>89301112</v>
      </c>
      <c r="E10807" t="str">
        <f>"9107216151"</f>
        <v>9107216151</v>
      </c>
      <c r="F10807" s="1">
        <v>45145</v>
      </c>
      <c r="G10807" t="str">
        <f>"89713"</f>
        <v>89713</v>
      </c>
      <c r="H10807">
        <v>1</v>
      </c>
      <c r="I10807">
        <v>5411</v>
      </c>
      <c r="J10807">
        <v>0</v>
      </c>
      <c r="K10807" t="str">
        <f t="shared" si="1939"/>
        <v>810</v>
      </c>
      <c r="L10807">
        <v>3517.15</v>
      </c>
    </row>
    <row r="10808" spans="1:12" x14ac:dyDescent="0.25">
      <c r="A10808" t="str">
        <f t="shared" si="1929"/>
        <v>89301000</v>
      </c>
      <c r="B10808" t="str">
        <f t="shared" si="1935"/>
        <v>78006000</v>
      </c>
      <c r="C10808" t="str">
        <f t="shared" si="1938"/>
        <v>78006832</v>
      </c>
      <c r="D10808">
        <v>89301606</v>
      </c>
      <c r="E10808" t="str">
        <f>"9009295724"</f>
        <v>9009295724</v>
      </c>
      <c r="F10808" s="1">
        <v>45146</v>
      </c>
      <c r="G10808" t="str">
        <f>"89723"</f>
        <v>89723</v>
      </c>
      <c r="H10808">
        <v>1</v>
      </c>
      <c r="I10808">
        <v>5940</v>
      </c>
      <c r="J10808">
        <v>0</v>
      </c>
      <c r="K10808" t="str">
        <f t="shared" si="1939"/>
        <v>810</v>
      </c>
      <c r="L10808">
        <v>3861</v>
      </c>
    </row>
    <row r="10809" spans="1:12" x14ac:dyDescent="0.25">
      <c r="A10809" t="str">
        <f t="shared" si="1929"/>
        <v>89301000</v>
      </c>
      <c r="B10809" t="str">
        <f t="shared" si="1935"/>
        <v>78006000</v>
      </c>
      <c r="C10809" t="str">
        <f t="shared" si="1938"/>
        <v>78006832</v>
      </c>
      <c r="D10809">
        <v>89301606</v>
      </c>
      <c r="E10809" t="str">
        <f>"9009295724"</f>
        <v>9009295724</v>
      </c>
      <c r="F10809" s="1">
        <v>45146</v>
      </c>
      <c r="G10809" t="str">
        <f>"89713"</f>
        <v>89713</v>
      </c>
      <c r="H10809">
        <v>1</v>
      </c>
      <c r="I10809">
        <v>5411</v>
      </c>
      <c r="J10809">
        <v>0</v>
      </c>
      <c r="K10809" t="str">
        <f t="shared" si="1939"/>
        <v>810</v>
      </c>
      <c r="L10809">
        <v>3517.15</v>
      </c>
    </row>
    <row r="10810" spans="1:12" x14ac:dyDescent="0.25">
      <c r="A10810" t="str">
        <f t="shared" si="1929"/>
        <v>89301000</v>
      </c>
      <c r="B10810" t="str">
        <f t="shared" si="1935"/>
        <v>78006000</v>
      </c>
      <c r="C10810" t="str">
        <f t="shared" si="1938"/>
        <v>78006832</v>
      </c>
      <c r="D10810">
        <v>89301062</v>
      </c>
      <c r="E10810" t="str">
        <f>"6011301593"</f>
        <v>6011301593</v>
      </c>
      <c r="F10810" s="1">
        <v>45147</v>
      </c>
      <c r="G10810" t="str">
        <f>"89713"</f>
        <v>89713</v>
      </c>
      <c r="H10810">
        <v>1</v>
      </c>
      <c r="I10810">
        <v>5411</v>
      </c>
      <c r="J10810">
        <v>0</v>
      </c>
      <c r="K10810" t="str">
        <f t="shared" si="1939"/>
        <v>810</v>
      </c>
      <c r="L10810">
        <v>3517.15</v>
      </c>
    </row>
    <row r="10811" spans="1:12" x14ac:dyDescent="0.25">
      <c r="A10811" t="str">
        <f t="shared" si="1929"/>
        <v>89301000</v>
      </c>
      <c r="B10811" t="str">
        <f t="shared" si="1935"/>
        <v>78006000</v>
      </c>
      <c r="C10811" t="str">
        <f t="shared" si="1938"/>
        <v>78006832</v>
      </c>
      <c r="D10811">
        <v>89301062</v>
      </c>
      <c r="E10811" t="str">
        <f>"6011301593"</f>
        <v>6011301593</v>
      </c>
      <c r="F10811" s="1">
        <v>45147</v>
      </c>
      <c r="G10811" t="str">
        <f>"89713"</f>
        <v>89713</v>
      </c>
      <c r="H10811">
        <v>1</v>
      </c>
      <c r="I10811">
        <v>5411</v>
      </c>
      <c r="J10811">
        <v>0</v>
      </c>
      <c r="K10811" t="str">
        <f t="shared" si="1939"/>
        <v>810</v>
      </c>
      <c r="L10811">
        <v>3517.15</v>
      </c>
    </row>
    <row r="10812" spans="1:12" x14ac:dyDescent="0.25">
      <c r="A10812" t="str">
        <f t="shared" si="1929"/>
        <v>89301000</v>
      </c>
      <c r="B10812" t="str">
        <f t="shared" si="1935"/>
        <v>78006000</v>
      </c>
      <c r="C10812" t="str">
        <f t="shared" si="1938"/>
        <v>78006832</v>
      </c>
      <c r="D10812">
        <v>89301062</v>
      </c>
      <c r="E10812" t="str">
        <f>"6011301593"</f>
        <v>6011301593</v>
      </c>
      <c r="F10812" s="1">
        <v>45147</v>
      </c>
      <c r="G10812" t="str">
        <f>"89725"</f>
        <v>89725</v>
      </c>
      <c r="H10812">
        <v>1</v>
      </c>
      <c r="I10812">
        <v>2863</v>
      </c>
      <c r="J10812">
        <v>0</v>
      </c>
      <c r="K10812" t="str">
        <f t="shared" si="1939"/>
        <v>810</v>
      </c>
      <c r="L10812">
        <v>1860.95</v>
      </c>
    </row>
    <row r="10813" spans="1:12" x14ac:dyDescent="0.25">
      <c r="A10813" t="str">
        <f t="shared" si="1929"/>
        <v>89301000</v>
      </c>
      <c r="B10813" t="str">
        <f t="shared" si="1935"/>
        <v>78006000</v>
      </c>
      <c r="C10813" t="str">
        <f t="shared" si="1938"/>
        <v>78006832</v>
      </c>
      <c r="D10813">
        <v>89301112</v>
      </c>
      <c r="E10813" t="str">
        <f>"7161025366"</f>
        <v>7161025366</v>
      </c>
      <c r="F10813" s="1">
        <v>45148</v>
      </c>
      <c r="G10813" t="str">
        <f>"89713"</f>
        <v>89713</v>
      </c>
      <c r="H10813">
        <v>1</v>
      </c>
      <c r="I10813">
        <v>5411</v>
      </c>
      <c r="J10813">
        <v>0</v>
      </c>
      <c r="K10813" t="str">
        <f t="shared" si="1939"/>
        <v>810</v>
      </c>
      <c r="L10813">
        <v>3517.15</v>
      </c>
    </row>
    <row r="10814" spans="1:12" x14ac:dyDescent="0.25">
      <c r="A10814" t="str">
        <f t="shared" si="1929"/>
        <v>89301000</v>
      </c>
      <c r="B10814" t="str">
        <f t="shared" si="1935"/>
        <v>78006000</v>
      </c>
      <c r="C10814" t="str">
        <f t="shared" si="1938"/>
        <v>78006832</v>
      </c>
      <c r="D10814">
        <v>89301112</v>
      </c>
      <c r="E10814" t="str">
        <f>"8806245360"</f>
        <v>8806245360</v>
      </c>
      <c r="F10814" s="1">
        <v>45168</v>
      </c>
      <c r="G10814" t="str">
        <f>"89713"</f>
        <v>89713</v>
      </c>
      <c r="H10814">
        <v>1</v>
      </c>
      <c r="I10814">
        <v>5411</v>
      </c>
      <c r="J10814">
        <v>0</v>
      </c>
      <c r="K10814" t="str">
        <f t="shared" si="1939"/>
        <v>810</v>
      </c>
      <c r="L10814">
        <v>3517.15</v>
      </c>
    </row>
    <row r="10815" spans="1:12" x14ac:dyDescent="0.25">
      <c r="A10815" t="str">
        <f t="shared" si="1929"/>
        <v>89301000</v>
      </c>
      <c r="B10815" t="str">
        <f t="shared" ref="B10815:B10825" si="1940">"05002000"</f>
        <v>05002000</v>
      </c>
      <c r="C10815" t="str">
        <f>"05002141"</f>
        <v>05002141</v>
      </c>
      <c r="D10815">
        <v>89301282</v>
      </c>
      <c r="E10815" t="str">
        <f>"0012146145"</f>
        <v>0012146145</v>
      </c>
      <c r="F10815" s="1">
        <v>45160</v>
      </c>
      <c r="G10815" t="str">
        <f>"94351"</f>
        <v>94351</v>
      </c>
      <c r="H10815">
        <v>9</v>
      </c>
      <c r="I10815">
        <v>15570</v>
      </c>
      <c r="J10815">
        <v>0</v>
      </c>
      <c r="K10815" t="str">
        <f>"816"</f>
        <v>816</v>
      </c>
      <c r="L10815">
        <v>14013</v>
      </c>
    </row>
    <row r="10816" spans="1:12" x14ac:dyDescent="0.25">
      <c r="A10816" t="str">
        <f t="shared" si="1929"/>
        <v>89301000</v>
      </c>
      <c r="B10816" t="str">
        <f t="shared" si="1940"/>
        <v>05002000</v>
      </c>
      <c r="C10816" t="str">
        <f t="shared" ref="C10816:C10821" si="1941">"05002153"</f>
        <v>05002153</v>
      </c>
      <c r="D10816">
        <v>89301321</v>
      </c>
      <c r="E10816" t="str">
        <f t="shared" ref="E10816:E10821" si="1942">"7607185355"</f>
        <v>7607185355</v>
      </c>
      <c r="F10816" s="1">
        <v>45163</v>
      </c>
      <c r="G10816" t="str">
        <f>"87217"</f>
        <v>87217</v>
      </c>
      <c r="H10816">
        <v>4</v>
      </c>
      <c r="I10816">
        <v>860</v>
      </c>
      <c r="J10816">
        <v>0</v>
      </c>
      <c r="K10816" t="str">
        <f t="shared" ref="K10816:K10821" si="1943">"807"</f>
        <v>807</v>
      </c>
      <c r="L10816">
        <v>722.4</v>
      </c>
    </row>
    <row r="10817" spans="1:12" x14ac:dyDescent="0.25">
      <c r="A10817" t="str">
        <f t="shared" si="1929"/>
        <v>89301000</v>
      </c>
      <c r="B10817" t="str">
        <f t="shared" si="1940"/>
        <v>05002000</v>
      </c>
      <c r="C10817" t="str">
        <f t="shared" si="1941"/>
        <v>05002153</v>
      </c>
      <c r="D10817">
        <v>89301321</v>
      </c>
      <c r="E10817" t="str">
        <f t="shared" si="1942"/>
        <v>7607185355</v>
      </c>
      <c r="F10817" s="1">
        <v>45163</v>
      </c>
      <c r="G10817" t="str">
        <f>"87225"</f>
        <v>87225</v>
      </c>
      <c r="H10817">
        <v>2</v>
      </c>
      <c r="I10817">
        <v>1074</v>
      </c>
      <c r="J10817">
        <v>0</v>
      </c>
      <c r="K10817" t="str">
        <f t="shared" si="1943"/>
        <v>807</v>
      </c>
      <c r="L10817">
        <v>902.16</v>
      </c>
    </row>
    <row r="10818" spans="1:12" x14ac:dyDescent="0.25">
      <c r="A10818" t="str">
        <f t="shared" ref="A10818:A10881" si="1944">"89301000"</f>
        <v>89301000</v>
      </c>
      <c r="B10818" t="str">
        <f t="shared" si="1940"/>
        <v>05002000</v>
      </c>
      <c r="C10818" t="str">
        <f t="shared" si="1941"/>
        <v>05002153</v>
      </c>
      <c r="D10818">
        <v>89301321</v>
      </c>
      <c r="E10818" t="str">
        <f t="shared" si="1942"/>
        <v>7607185355</v>
      </c>
      <c r="F10818" s="1">
        <v>45163</v>
      </c>
      <c r="G10818" t="str">
        <f>"87231"</f>
        <v>87231</v>
      </c>
      <c r="H10818">
        <v>6</v>
      </c>
      <c r="I10818">
        <v>2286</v>
      </c>
      <c r="J10818">
        <v>0</v>
      </c>
      <c r="K10818" t="str">
        <f t="shared" si="1943"/>
        <v>807</v>
      </c>
      <c r="L10818">
        <v>1920.24</v>
      </c>
    </row>
    <row r="10819" spans="1:12" x14ac:dyDescent="0.25">
      <c r="A10819" t="str">
        <f t="shared" si="1944"/>
        <v>89301000</v>
      </c>
      <c r="B10819" t="str">
        <f t="shared" si="1940"/>
        <v>05002000</v>
      </c>
      <c r="C10819" t="str">
        <f t="shared" si="1941"/>
        <v>05002153</v>
      </c>
      <c r="D10819">
        <v>89301321</v>
      </c>
      <c r="E10819" t="str">
        <f t="shared" si="1942"/>
        <v>7607185355</v>
      </c>
      <c r="F10819" s="1">
        <v>45163</v>
      </c>
      <c r="G10819" t="str">
        <f>"87231"</f>
        <v>87231</v>
      </c>
      <c r="H10819">
        <v>9</v>
      </c>
      <c r="I10819">
        <v>3429</v>
      </c>
      <c r="J10819">
        <v>0</v>
      </c>
      <c r="K10819" t="str">
        <f t="shared" si="1943"/>
        <v>807</v>
      </c>
      <c r="L10819">
        <v>2880.36</v>
      </c>
    </row>
    <row r="10820" spans="1:12" x14ac:dyDescent="0.25">
      <c r="A10820" t="str">
        <f t="shared" si="1944"/>
        <v>89301000</v>
      </c>
      <c r="B10820" t="str">
        <f t="shared" si="1940"/>
        <v>05002000</v>
      </c>
      <c r="C10820" t="str">
        <f t="shared" si="1941"/>
        <v>05002153</v>
      </c>
      <c r="D10820">
        <v>89301321</v>
      </c>
      <c r="E10820" t="str">
        <f t="shared" si="1942"/>
        <v>7607185355</v>
      </c>
      <c r="F10820" s="1">
        <v>45163</v>
      </c>
      <c r="G10820" t="str">
        <f>"87231"</f>
        <v>87231</v>
      </c>
      <c r="H10820">
        <v>9</v>
      </c>
      <c r="I10820">
        <v>3429</v>
      </c>
      <c r="J10820">
        <v>0</v>
      </c>
      <c r="K10820" t="str">
        <f t="shared" si="1943"/>
        <v>807</v>
      </c>
      <c r="L10820">
        <v>2880.36</v>
      </c>
    </row>
    <row r="10821" spans="1:12" x14ac:dyDescent="0.25">
      <c r="A10821" t="str">
        <f t="shared" si="1944"/>
        <v>89301000</v>
      </c>
      <c r="B10821" t="str">
        <f t="shared" si="1940"/>
        <v>05002000</v>
      </c>
      <c r="C10821" t="str">
        <f t="shared" si="1941"/>
        <v>05002153</v>
      </c>
      <c r="D10821">
        <v>89301321</v>
      </c>
      <c r="E10821" t="str">
        <f t="shared" si="1942"/>
        <v>7607185355</v>
      </c>
      <c r="F10821" s="1">
        <v>45163</v>
      </c>
      <c r="G10821" t="str">
        <f>"87617"</f>
        <v>87617</v>
      </c>
      <c r="H10821">
        <v>1</v>
      </c>
      <c r="I10821">
        <v>3750</v>
      </c>
      <c r="J10821">
        <v>0</v>
      </c>
      <c r="K10821" t="str">
        <f t="shared" si="1943"/>
        <v>807</v>
      </c>
      <c r="L10821">
        <v>3150</v>
      </c>
    </row>
    <row r="10822" spans="1:12" x14ac:dyDescent="0.25">
      <c r="A10822" t="str">
        <f t="shared" si="1944"/>
        <v>89301000</v>
      </c>
      <c r="B10822" t="str">
        <f t="shared" si="1940"/>
        <v>05002000</v>
      </c>
      <c r="C10822" t="str">
        <f>"05002397"</f>
        <v>05002397</v>
      </c>
      <c r="D10822">
        <v>89301109</v>
      </c>
      <c r="E10822" t="str">
        <f>"0653313265"</f>
        <v>0653313265</v>
      </c>
      <c r="F10822" s="1">
        <v>45106</v>
      </c>
      <c r="G10822" t="str">
        <f>"91439"</f>
        <v>91439</v>
      </c>
      <c r="H10822">
        <v>8</v>
      </c>
      <c r="I10822">
        <v>2864</v>
      </c>
      <c r="J10822">
        <v>0</v>
      </c>
      <c r="K10822" t="str">
        <f>"818"</f>
        <v>818</v>
      </c>
      <c r="L10822">
        <v>2778.08</v>
      </c>
    </row>
    <row r="10823" spans="1:12" x14ac:dyDescent="0.25">
      <c r="A10823" t="str">
        <f t="shared" si="1944"/>
        <v>89301000</v>
      </c>
      <c r="B10823" t="str">
        <f t="shared" si="1940"/>
        <v>05002000</v>
      </c>
      <c r="C10823" t="str">
        <f>"05002397"</f>
        <v>05002397</v>
      </c>
      <c r="D10823">
        <v>89301109</v>
      </c>
      <c r="E10823" t="str">
        <f>"2109170943"</f>
        <v>2109170943</v>
      </c>
      <c r="F10823" s="1">
        <v>45106</v>
      </c>
      <c r="G10823" t="str">
        <f>"91439"</f>
        <v>91439</v>
      </c>
      <c r="H10823">
        <v>8</v>
      </c>
      <c r="I10823">
        <v>2864</v>
      </c>
      <c r="J10823">
        <v>0</v>
      </c>
      <c r="K10823" t="str">
        <f>"818"</f>
        <v>818</v>
      </c>
      <c r="L10823">
        <v>2778.08</v>
      </c>
    </row>
    <row r="10824" spans="1:12" x14ac:dyDescent="0.25">
      <c r="A10824" t="str">
        <f t="shared" si="1944"/>
        <v>89301000</v>
      </c>
      <c r="B10824" t="str">
        <f t="shared" si="1940"/>
        <v>05002000</v>
      </c>
      <c r="C10824" t="str">
        <f>"05002174"</f>
        <v>05002174</v>
      </c>
      <c r="D10824">
        <v>89301172</v>
      </c>
      <c r="E10824" t="str">
        <f>"6456160513"</f>
        <v>6456160513</v>
      </c>
      <c r="F10824" s="1">
        <v>45133</v>
      </c>
      <c r="G10824" t="str">
        <f>"85115"</f>
        <v>85115</v>
      </c>
      <c r="H10824">
        <v>1</v>
      </c>
      <c r="I10824">
        <v>2450</v>
      </c>
      <c r="J10824">
        <v>0</v>
      </c>
      <c r="K10824" t="str">
        <f>"802"</f>
        <v>802</v>
      </c>
      <c r="L10824">
        <v>2376.5</v>
      </c>
    </row>
    <row r="10825" spans="1:12" x14ac:dyDescent="0.25">
      <c r="A10825" t="str">
        <f t="shared" si="1944"/>
        <v>89301000</v>
      </c>
      <c r="B10825" t="str">
        <f t="shared" si="1940"/>
        <v>05002000</v>
      </c>
      <c r="C10825" t="str">
        <f>"05002174"</f>
        <v>05002174</v>
      </c>
      <c r="D10825">
        <v>89301172</v>
      </c>
      <c r="E10825" t="str">
        <f>"7552114394"</f>
        <v>7552114394</v>
      </c>
      <c r="F10825" s="1">
        <v>45118</v>
      </c>
      <c r="G10825" t="str">
        <f>"85115"</f>
        <v>85115</v>
      </c>
      <c r="H10825">
        <v>1</v>
      </c>
      <c r="I10825">
        <v>2450</v>
      </c>
      <c r="J10825">
        <v>0</v>
      </c>
      <c r="K10825" t="str">
        <f>"802"</f>
        <v>802</v>
      </c>
      <c r="L10825">
        <v>2376.5</v>
      </c>
    </row>
    <row r="10826" spans="1:12" x14ac:dyDescent="0.25">
      <c r="A10826" t="str">
        <f t="shared" si="1944"/>
        <v>89301000</v>
      </c>
      <c r="B10826" t="str">
        <f>"93641000"</f>
        <v>93641000</v>
      </c>
      <c r="C10826" t="str">
        <f>"93641001"</f>
        <v>93641001</v>
      </c>
      <c r="D10826">
        <v>89301215</v>
      </c>
      <c r="E10826" t="str">
        <f>"7758181398"</f>
        <v>7758181398</v>
      </c>
      <c r="F10826" s="1">
        <v>45175</v>
      </c>
      <c r="G10826" t="str">
        <f>"89312"</f>
        <v>89312</v>
      </c>
      <c r="H10826">
        <v>2</v>
      </c>
      <c r="I10826">
        <v>624</v>
      </c>
      <c r="J10826">
        <v>0</v>
      </c>
      <c r="K10826" t="str">
        <f t="shared" ref="K10826:K10841" si="1945">"809"</f>
        <v>809</v>
      </c>
      <c r="L10826">
        <v>680.16</v>
      </c>
    </row>
    <row r="10827" spans="1:12" x14ac:dyDescent="0.25">
      <c r="A10827" t="str">
        <f t="shared" si="1944"/>
        <v>89301000</v>
      </c>
      <c r="B10827" t="str">
        <f>"95498000"</f>
        <v>95498000</v>
      </c>
      <c r="C10827" t="str">
        <f>"95498001"</f>
        <v>95498001</v>
      </c>
      <c r="D10827">
        <v>89301212</v>
      </c>
      <c r="E10827" t="str">
        <f>"7454188489"</f>
        <v>7454188489</v>
      </c>
      <c r="F10827" s="1">
        <v>45176</v>
      </c>
      <c r="G10827" t="str">
        <f>"89131"</f>
        <v>89131</v>
      </c>
      <c r="H10827">
        <v>1</v>
      </c>
      <c r="I10827">
        <v>190</v>
      </c>
      <c r="J10827">
        <v>0</v>
      </c>
      <c r="K10827" t="str">
        <f t="shared" si="1945"/>
        <v>809</v>
      </c>
      <c r="L10827">
        <v>279.3</v>
      </c>
    </row>
    <row r="10828" spans="1:12" x14ac:dyDescent="0.25">
      <c r="A10828" t="str">
        <f t="shared" si="1944"/>
        <v>89301000</v>
      </c>
      <c r="B10828" t="str">
        <f>"78610000"</f>
        <v>78610000</v>
      </c>
      <c r="C10828" t="str">
        <f>"78610001"</f>
        <v>78610001</v>
      </c>
      <c r="D10828">
        <v>89301055</v>
      </c>
      <c r="E10828" t="str">
        <f>"475703467"</f>
        <v>475703467</v>
      </c>
      <c r="F10828" s="1">
        <v>45181</v>
      </c>
      <c r="G10828" t="str">
        <f>"89517"</f>
        <v>89517</v>
      </c>
      <c r="H10828">
        <v>1</v>
      </c>
      <c r="I10828">
        <v>994</v>
      </c>
      <c r="J10828">
        <v>0</v>
      </c>
      <c r="K10828" t="str">
        <f t="shared" si="1945"/>
        <v>809</v>
      </c>
      <c r="L10828">
        <v>1461.18</v>
      </c>
    </row>
    <row r="10829" spans="1:12" x14ac:dyDescent="0.25">
      <c r="A10829" t="str">
        <f t="shared" si="1944"/>
        <v>89301000</v>
      </c>
      <c r="B10829" t="str">
        <f>"78610000"</f>
        <v>78610000</v>
      </c>
      <c r="C10829" t="str">
        <f>"78610001"</f>
        <v>78610001</v>
      </c>
      <c r="D10829">
        <v>89301055</v>
      </c>
      <c r="E10829" t="str">
        <f>"6411200609"</f>
        <v>6411200609</v>
      </c>
      <c r="F10829" s="1">
        <v>45181</v>
      </c>
      <c r="G10829" t="str">
        <f>"89517"</f>
        <v>89517</v>
      </c>
      <c r="H10829">
        <v>1</v>
      </c>
      <c r="I10829">
        <v>994</v>
      </c>
      <c r="J10829">
        <v>0</v>
      </c>
      <c r="K10829" t="str">
        <f t="shared" si="1945"/>
        <v>809</v>
      </c>
      <c r="L10829">
        <v>1461.18</v>
      </c>
    </row>
    <row r="10830" spans="1:12" x14ac:dyDescent="0.25">
      <c r="A10830" t="str">
        <f t="shared" si="1944"/>
        <v>89301000</v>
      </c>
      <c r="B10830" t="str">
        <f>"78610000"</f>
        <v>78610000</v>
      </c>
      <c r="C10830" t="str">
        <f>"78610001"</f>
        <v>78610001</v>
      </c>
      <c r="D10830">
        <v>89301055</v>
      </c>
      <c r="E10830" t="str">
        <f>"8053215764"</f>
        <v>8053215764</v>
      </c>
      <c r="F10830" s="1">
        <v>45181</v>
      </c>
      <c r="G10830" t="str">
        <f>"89517"</f>
        <v>89517</v>
      </c>
      <c r="H10830">
        <v>1</v>
      </c>
      <c r="I10830">
        <v>994</v>
      </c>
      <c r="J10830">
        <v>0</v>
      </c>
      <c r="K10830" t="str">
        <f t="shared" si="1945"/>
        <v>809</v>
      </c>
      <c r="L10830">
        <v>1461.18</v>
      </c>
    </row>
    <row r="10831" spans="1:12" x14ac:dyDescent="0.25">
      <c r="A10831" t="str">
        <f t="shared" si="1944"/>
        <v>89301000</v>
      </c>
      <c r="B10831" t="str">
        <f>"78610000"</f>
        <v>78610000</v>
      </c>
      <c r="C10831" t="str">
        <f>"78610001"</f>
        <v>78610001</v>
      </c>
      <c r="D10831">
        <v>89301055</v>
      </c>
      <c r="E10831" t="str">
        <f>"8062680527"</f>
        <v>8062680527</v>
      </c>
      <c r="F10831" s="1">
        <v>45174</v>
      </c>
      <c r="G10831" t="str">
        <f>"89517"</f>
        <v>89517</v>
      </c>
      <c r="H10831">
        <v>1</v>
      </c>
      <c r="I10831">
        <v>994</v>
      </c>
      <c r="J10831">
        <v>0</v>
      </c>
      <c r="K10831" t="str">
        <f t="shared" si="1945"/>
        <v>809</v>
      </c>
      <c r="L10831">
        <v>1461.18</v>
      </c>
    </row>
    <row r="10832" spans="1:12" x14ac:dyDescent="0.25">
      <c r="A10832" t="str">
        <f t="shared" si="1944"/>
        <v>89301000</v>
      </c>
      <c r="B10832" t="str">
        <f>"78610000"</f>
        <v>78610000</v>
      </c>
      <c r="C10832" t="str">
        <f>"78610001"</f>
        <v>78610001</v>
      </c>
      <c r="D10832">
        <v>89301055</v>
      </c>
      <c r="E10832" t="str">
        <f>"8455025315"</f>
        <v>8455025315</v>
      </c>
      <c r="F10832" s="1">
        <v>45174</v>
      </c>
      <c r="G10832" t="str">
        <f>"89517"</f>
        <v>89517</v>
      </c>
      <c r="H10832">
        <v>1</v>
      </c>
      <c r="I10832">
        <v>994</v>
      </c>
      <c r="J10832">
        <v>0</v>
      </c>
      <c r="K10832" t="str">
        <f t="shared" si="1945"/>
        <v>809</v>
      </c>
      <c r="L10832">
        <v>1461.18</v>
      </c>
    </row>
    <row r="10833" spans="1:12" x14ac:dyDescent="0.25">
      <c r="A10833" t="str">
        <f t="shared" si="1944"/>
        <v>89301000</v>
      </c>
      <c r="B10833" t="str">
        <f>"80224000"</f>
        <v>80224000</v>
      </c>
      <c r="C10833" t="str">
        <f>"80224001"</f>
        <v>80224001</v>
      </c>
      <c r="D10833">
        <v>89301172</v>
      </c>
      <c r="E10833" t="str">
        <f>"9257075003"</f>
        <v>9257075003</v>
      </c>
      <c r="F10833" s="1">
        <v>45190</v>
      </c>
      <c r="G10833" t="str">
        <f>"89131"</f>
        <v>89131</v>
      </c>
      <c r="H10833">
        <v>1</v>
      </c>
      <c r="I10833">
        <v>190</v>
      </c>
      <c r="J10833">
        <v>0</v>
      </c>
      <c r="K10833" t="str">
        <f t="shared" si="1945"/>
        <v>809</v>
      </c>
      <c r="L10833">
        <v>279.3</v>
      </c>
    </row>
    <row r="10834" spans="1:12" x14ac:dyDescent="0.25">
      <c r="A10834" t="str">
        <f t="shared" si="1944"/>
        <v>89301000</v>
      </c>
      <c r="B10834" t="str">
        <f t="shared" ref="B10834:B10841" si="1946">"89511000"</f>
        <v>89511000</v>
      </c>
      <c r="C10834" t="str">
        <f t="shared" ref="C10834:C10841" si="1947">"89511001"</f>
        <v>89511001</v>
      </c>
      <c r="D10834">
        <v>89301212</v>
      </c>
      <c r="E10834" t="str">
        <f>"535406278"</f>
        <v>535406278</v>
      </c>
      <c r="F10834" s="1">
        <v>45173</v>
      </c>
      <c r="G10834" t="str">
        <f>"89131"</f>
        <v>89131</v>
      </c>
      <c r="H10834">
        <v>2</v>
      </c>
      <c r="I10834">
        <v>380</v>
      </c>
      <c r="J10834">
        <v>0</v>
      </c>
      <c r="K10834" t="str">
        <f t="shared" si="1945"/>
        <v>809</v>
      </c>
      <c r="L10834">
        <v>558.6</v>
      </c>
    </row>
    <row r="10835" spans="1:12" x14ac:dyDescent="0.25">
      <c r="A10835" t="str">
        <f t="shared" si="1944"/>
        <v>89301000</v>
      </c>
      <c r="B10835" t="str">
        <f t="shared" si="1946"/>
        <v>89511000</v>
      </c>
      <c r="C10835" t="str">
        <f t="shared" si="1947"/>
        <v>89511001</v>
      </c>
      <c r="D10835">
        <v>89301022</v>
      </c>
      <c r="E10835" t="str">
        <f>"9958165712"</f>
        <v>9958165712</v>
      </c>
      <c r="F10835" s="1">
        <v>45174</v>
      </c>
      <c r="G10835" t="str">
        <f>"89513"</f>
        <v>89513</v>
      </c>
      <c r="H10835">
        <v>1</v>
      </c>
      <c r="I10835">
        <v>378</v>
      </c>
      <c r="J10835">
        <v>0</v>
      </c>
      <c r="K10835" t="str">
        <f t="shared" si="1945"/>
        <v>809</v>
      </c>
      <c r="L10835">
        <v>555.66</v>
      </c>
    </row>
    <row r="10836" spans="1:12" x14ac:dyDescent="0.25">
      <c r="A10836" t="str">
        <f t="shared" si="1944"/>
        <v>89301000</v>
      </c>
      <c r="B10836" t="str">
        <f t="shared" si="1946"/>
        <v>89511000</v>
      </c>
      <c r="C10836" t="str">
        <f t="shared" si="1947"/>
        <v>89511001</v>
      </c>
      <c r="D10836">
        <v>89301022</v>
      </c>
      <c r="E10836" t="str">
        <f>"9958165712"</f>
        <v>9958165712</v>
      </c>
      <c r="F10836" s="1">
        <v>45174</v>
      </c>
      <c r="G10836" t="str">
        <f>"89514"</f>
        <v>89514</v>
      </c>
      <c r="H10836">
        <v>1</v>
      </c>
      <c r="I10836">
        <v>378</v>
      </c>
      <c r="J10836">
        <v>0</v>
      </c>
      <c r="K10836" t="str">
        <f t="shared" si="1945"/>
        <v>809</v>
      </c>
      <c r="L10836">
        <v>555.66</v>
      </c>
    </row>
    <row r="10837" spans="1:12" x14ac:dyDescent="0.25">
      <c r="A10837" t="str">
        <f t="shared" si="1944"/>
        <v>89301000</v>
      </c>
      <c r="B10837" t="str">
        <f t="shared" si="1946"/>
        <v>89511000</v>
      </c>
      <c r="C10837" t="str">
        <f t="shared" si="1947"/>
        <v>89511001</v>
      </c>
      <c r="D10837">
        <v>89301212</v>
      </c>
      <c r="E10837" t="str">
        <f>"506227139"</f>
        <v>506227139</v>
      </c>
      <c r="F10837" s="1">
        <v>45188</v>
      </c>
      <c r="G10837" t="str">
        <f>"89131"</f>
        <v>89131</v>
      </c>
      <c r="H10837">
        <v>2</v>
      </c>
      <c r="I10837">
        <v>380</v>
      </c>
      <c r="J10837">
        <v>0</v>
      </c>
      <c r="K10837" t="str">
        <f t="shared" si="1945"/>
        <v>809</v>
      </c>
      <c r="L10837">
        <v>558.6</v>
      </c>
    </row>
    <row r="10838" spans="1:12" x14ac:dyDescent="0.25">
      <c r="A10838" t="str">
        <f t="shared" si="1944"/>
        <v>89301000</v>
      </c>
      <c r="B10838" t="str">
        <f t="shared" si="1946"/>
        <v>89511000</v>
      </c>
      <c r="C10838" t="str">
        <f t="shared" si="1947"/>
        <v>89511001</v>
      </c>
      <c r="D10838">
        <v>89301212</v>
      </c>
      <c r="E10838" t="str">
        <f>"506227139"</f>
        <v>506227139</v>
      </c>
      <c r="F10838" s="1">
        <v>45188</v>
      </c>
      <c r="G10838" t="str">
        <f>"89513"</f>
        <v>89513</v>
      </c>
      <c r="H10838">
        <v>1</v>
      </c>
      <c r="I10838">
        <v>378</v>
      </c>
      <c r="J10838">
        <v>0</v>
      </c>
      <c r="K10838" t="str">
        <f t="shared" si="1945"/>
        <v>809</v>
      </c>
      <c r="L10838">
        <v>555.66</v>
      </c>
    </row>
    <row r="10839" spans="1:12" x14ac:dyDescent="0.25">
      <c r="A10839" t="str">
        <f t="shared" si="1944"/>
        <v>89301000</v>
      </c>
      <c r="B10839" t="str">
        <f t="shared" si="1946"/>
        <v>89511000</v>
      </c>
      <c r="C10839" t="str">
        <f t="shared" si="1947"/>
        <v>89511001</v>
      </c>
      <c r="D10839">
        <v>89301212</v>
      </c>
      <c r="E10839" t="str">
        <f>"506227139"</f>
        <v>506227139</v>
      </c>
      <c r="F10839" s="1">
        <v>45188</v>
      </c>
      <c r="G10839" t="str">
        <f>"89514"</f>
        <v>89514</v>
      </c>
      <c r="H10839">
        <v>1</v>
      </c>
      <c r="I10839">
        <v>378</v>
      </c>
      <c r="J10839">
        <v>0</v>
      </c>
      <c r="K10839" t="str">
        <f t="shared" si="1945"/>
        <v>809</v>
      </c>
      <c r="L10839">
        <v>555.66</v>
      </c>
    </row>
    <row r="10840" spans="1:12" x14ac:dyDescent="0.25">
      <c r="A10840" t="str">
        <f t="shared" si="1944"/>
        <v>89301000</v>
      </c>
      <c r="B10840" t="str">
        <f t="shared" si="1946"/>
        <v>89511000</v>
      </c>
      <c r="C10840" t="str">
        <f t="shared" si="1947"/>
        <v>89511001</v>
      </c>
      <c r="D10840">
        <v>89301212</v>
      </c>
      <c r="E10840" t="str">
        <f>"535406278"</f>
        <v>535406278</v>
      </c>
      <c r="F10840" s="1">
        <v>45194</v>
      </c>
      <c r="G10840" t="str">
        <f>"89513"</f>
        <v>89513</v>
      </c>
      <c r="H10840">
        <v>1</v>
      </c>
      <c r="I10840">
        <v>378</v>
      </c>
      <c r="J10840">
        <v>0</v>
      </c>
      <c r="K10840" t="str">
        <f t="shared" si="1945"/>
        <v>809</v>
      </c>
      <c r="L10840">
        <v>555.66</v>
      </c>
    </row>
    <row r="10841" spans="1:12" x14ac:dyDescent="0.25">
      <c r="A10841" t="str">
        <f t="shared" si="1944"/>
        <v>89301000</v>
      </c>
      <c r="B10841" t="str">
        <f t="shared" si="1946"/>
        <v>89511000</v>
      </c>
      <c r="C10841" t="str">
        <f t="shared" si="1947"/>
        <v>89511001</v>
      </c>
      <c r="D10841">
        <v>89301212</v>
      </c>
      <c r="E10841" t="str">
        <f>"535406278"</f>
        <v>535406278</v>
      </c>
      <c r="F10841" s="1">
        <v>45194</v>
      </c>
      <c r="G10841" t="str">
        <f>"89514"</f>
        <v>89514</v>
      </c>
      <c r="H10841">
        <v>1</v>
      </c>
      <c r="I10841">
        <v>378</v>
      </c>
      <c r="J10841">
        <v>0</v>
      </c>
      <c r="K10841" t="str">
        <f t="shared" si="1945"/>
        <v>809</v>
      </c>
      <c r="L10841">
        <v>555.66</v>
      </c>
    </row>
    <row r="10842" spans="1:12" x14ac:dyDescent="0.25">
      <c r="A10842" t="str">
        <f t="shared" si="1944"/>
        <v>89301000</v>
      </c>
      <c r="B10842" t="str">
        <f>"92503000"</f>
        <v>92503000</v>
      </c>
      <c r="C10842" t="str">
        <f>"92503000"</f>
        <v>92503000</v>
      </c>
      <c r="D10842">
        <v>89301082</v>
      </c>
      <c r="E10842" t="str">
        <f>"5759041585"</f>
        <v>5759041585</v>
      </c>
      <c r="F10842" s="1">
        <v>45176</v>
      </c>
      <c r="G10842" t="str">
        <f>"87433"</f>
        <v>87433</v>
      </c>
      <c r="H10842">
        <v>1</v>
      </c>
      <c r="I10842">
        <v>42</v>
      </c>
      <c r="J10842">
        <v>0</v>
      </c>
      <c r="K10842" t="str">
        <f>"807"</f>
        <v>807</v>
      </c>
      <c r="L10842">
        <v>35.28</v>
      </c>
    </row>
    <row r="10843" spans="1:12" x14ac:dyDescent="0.25">
      <c r="A10843" t="str">
        <f t="shared" si="1944"/>
        <v>89301000</v>
      </c>
      <c r="B10843" t="str">
        <f>"92503000"</f>
        <v>92503000</v>
      </c>
      <c r="C10843" t="str">
        <f>"92503000"</f>
        <v>92503000</v>
      </c>
      <c r="D10843">
        <v>89301082</v>
      </c>
      <c r="E10843" t="str">
        <f>"5759041585"</f>
        <v>5759041585</v>
      </c>
      <c r="F10843" s="1">
        <v>45176</v>
      </c>
      <c r="G10843" t="str">
        <f>"87519"</f>
        <v>87519</v>
      </c>
      <c r="H10843">
        <v>1</v>
      </c>
      <c r="I10843">
        <v>322</v>
      </c>
      <c r="J10843">
        <v>0</v>
      </c>
      <c r="K10843" t="str">
        <f>"807"</f>
        <v>807</v>
      </c>
      <c r="L10843">
        <v>270.48</v>
      </c>
    </row>
    <row r="10844" spans="1:12" x14ac:dyDescent="0.25">
      <c r="A10844" t="str">
        <f t="shared" si="1944"/>
        <v>89301000</v>
      </c>
      <c r="B10844" t="str">
        <f t="shared" ref="B10844:B10875" si="1948">"78915000"</f>
        <v>78915000</v>
      </c>
      <c r="C10844" t="str">
        <f t="shared" ref="C10844:C10875" si="1949">"78915001"</f>
        <v>78915001</v>
      </c>
      <c r="D10844">
        <v>89301062</v>
      </c>
      <c r="E10844" t="str">
        <f>"0454136067"</f>
        <v>0454136067</v>
      </c>
      <c r="F10844" s="1">
        <v>45189</v>
      </c>
      <c r="G10844" t="str">
        <f>"89713"</f>
        <v>89713</v>
      </c>
      <c r="H10844">
        <v>1</v>
      </c>
      <c r="I10844">
        <v>5411</v>
      </c>
      <c r="J10844">
        <v>0</v>
      </c>
      <c r="K10844" t="str">
        <f t="shared" ref="K10844:K10875" si="1950">"809"</f>
        <v>809</v>
      </c>
      <c r="L10844">
        <v>3517.15</v>
      </c>
    </row>
    <row r="10845" spans="1:12" x14ac:dyDescent="0.25">
      <c r="A10845" t="str">
        <f t="shared" si="1944"/>
        <v>89301000</v>
      </c>
      <c r="B10845" t="str">
        <f t="shared" si="1948"/>
        <v>78915000</v>
      </c>
      <c r="C10845" t="str">
        <f t="shared" si="1949"/>
        <v>78915001</v>
      </c>
      <c r="D10845">
        <v>89301062</v>
      </c>
      <c r="E10845" t="str">
        <f>"0454136067"</f>
        <v>0454136067</v>
      </c>
      <c r="F10845" s="1">
        <v>45189</v>
      </c>
      <c r="G10845" t="str">
        <f>"89725"</f>
        <v>89725</v>
      </c>
      <c r="H10845">
        <v>1</v>
      </c>
      <c r="I10845">
        <v>2863</v>
      </c>
      <c r="J10845">
        <v>0</v>
      </c>
      <c r="K10845" t="str">
        <f t="shared" si="1950"/>
        <v>809</v>
      </c>
      <c r="L10845">
        <v>1860.95</v>
      </c>
    </row>
    <row r="10846" spans="1:12" x14ac:dyDescent="0.25">
      <c r="A10846" t="str">
        <f t="shared" si="1944"/>
        <v>89301000</v>
      </c>
      <c r="B10846" t="str">
        <f t="shared" si="1948"/>
        <v>78915000</v>
      </c>
      <c r="C10846" t="str">
        <f t="shared" si="1949"/>
        <v>78915001</v>
      </c>
      <c r="D10846">
        <v>89301112</v>
      </c>
      <c r="E10846" t="str">
        <f>"0656023225"</f>
        <v>0656023225</v>
      </c>
      <c r="F10846" s="1">
        <v>45187</v>
      </c>
      <c r="G10846" t="str">
        <f>"09569"</f>
        <v>09569</v>
      </c>
      <c r="H10846">
        <v>1</v>
      </c>
      <c r="I10846">
        <v>0</v>
      </c>
      <c r="J10846">
        <v>0</v>
      </c>
      <c r="K10846" t="str">
        <f t="shared" si="1950"/>
        <v>809</v>
      </c>
      <c r="L10846">
        <v>0</v>
      </c>
    </row>
    <row r="10847" spans="1:12" x14ac:dyDescent="0.25">
      <c r="A10847" t="str">
        <f t="shared" si="1944"/>
        <v>89301000</v>
      </c>
      <c r="B10847" t="str">
        <f t="shared" si="1948"/>
        <v>78915000</v>
      </c>
      <c r="C10847" t="str">
        <f t="shared" si="1949"/>
        <v>78915001</v>
      </c>
      <c r="D10847">
        <v>89301112</v>
      </c>
      <c r="E10847" t="str">
        <f>"0656023225"</f>
        <v>0656023225</v>
      </c>
      <c r="F10847" s="1">
        <v>45187</v>
      </c>
      <c r="G10847" t="str">
        <f>"89713"</f>
        <v>89713</v>
      </c>
      <c r="H10847">
        <v>1</v>
      </c>
      <c r="I10847">
        <v>5411</v>
      </c>
      <c r="J10847">
        <v>0</v>
      </c>
      <c r="K10847" t="str">
        <f t="shared" si="1950"/>
        <v>809</v>
      </c>
      <c r="L10847">
        <v>3517.15</v>
      </c>
    </row>
    <row r="10848" spans="1:12" x14ac:dyDescent="0.25">
      <c r="A10848" t="str">
        <f t="shared" si="1944"/>
        <v>89301000</v>
      </c>
      <c r="B10848" t="str">
        <f t="shared" si="1948"/>
        <v>78915000</v>
      </c>
      <c r="C10848" t="str">
        <f t="shared" si="1949"/>
        <v>78915001</v>
      </c>
      <c r="D10848">
        <v>89301062</v>
      </c>
      <c r="E10848" t="str">
        <f>"445922474"</f>
        <v>445922474</v>
      </c>
      <c r="F10848" s="1">
        <v>45188</v>
      </c>
      <c r="G10848" t="str">
        <f>"89713"</f>
        <v>89713</v>
      </c>
      <c r="H10848">
        <v>1</v>
      </c>
      <c r="I10848">
        <v>5411</v>
      </c>
      <c r="J10848">
        <v>0</v>
      </c>
      <c r="K10848" t="str">
        <f t="shared" si="1950"/>
        <v>809</v>
      </c>
      <c r="L10848">
        <v>3517.15</v>
      </c>
    </row>
    <row r="10849" spans="1:12" x14ac:dyDescent="0.25">
      <c r="A10849" t="str">
        <f t="shared" si="1944"/>
        <v>89301000</v>
      </c>
      <c r="B10849" t="str">
        <f t="shared" si="1948"/>
        <v>78915000</v>
      </c>
      <c r="C10849" t="str">
        <f t="shared" si="1949"/>
        <v>78915001</v>
      </c>
      <c r="D10849">
        <v>89301062</v>
      </c>
      <c r="E10849" t="str">
        <f>"445922474"</f>
        <v>445922474</v>
      </c>
      <c r="F10849" s="1">
        <v>45188</v>
      </c>
      <c r="G10849" t="str">
        <f>"89725"</f>
        <v>89725</v>
      </c>
      <c r="H10849">
        <v>1</v>
      </c>
      <c r="I10849">
        <v>2863</v>
      </c>
      <c r="J10849">
        <v>0</v>
      </c>
      <c r="K10849" t="str">
        <f t="shared" si="1950"/>
        <v>809</v>
      </c>
      <c r="L10849">
        <v>1860.95</v>
      </c>
    </row>
    <row r="10850" spans="1:12" x14ac:dyDescent="0.25">
      <c r="A10850" t="str">
        <f t="shared" si="1944"/>
        <v>89301000</v>
      </c>
      <c r="B10850" t="str">
        <f t="shared" si="1948"/>
        <v>78915000</v>
      </c>
      <c r="C10850" t="str">
        <f t="shared" si="1949"/>
        <v>78915001</v>
      </c>
      <c r="D10850">
        <v>89301112</v>
      </c>
      <c r="E10850" t="str">
        <f>"460905402"</f>
        <v>460905402</v>
      </c>
      <c r="F10850" s="1">
        <v>45176</v>
      </c>
      <c r="G10850" t="str">
        <f>"09569"</f>
        <v>09569</v>
      </c>
      <c r="H10850">
        <v>1</v>
      </c>
      <c r="I10850">
        <v>0</v>
      </c>
      <c r="J10850">
        <v>0</v>
      </c>
      <c r="K10850" t="str">
        <f t="shared" si="1950"/>
        <v>809</v>
      </c>
      <c r="L10850">
        <v>0</v>
      </c>
    </row>
    <row r="10851" spans="1:12" x14ac:dyDescent="0.25">
      <c r="A10851" t="str">
        <f t="shared" si="1944"/>
        <v>89301000</v>
      </c>
      <c r="B10851" t="str">
        <f t="shared" si="1948"/>
        <v>78915000</v>
      </c>
      <c r="C10851" t="str">
        <f t="shared" si="1949"/>
        <v>78915001</v>
      </c>
      <c r="D10851">
        <v>89301112</v>
      </c>
      <c r="E10851" t="str">
        <f>"460905402"</f>
        <v>460905402</v>
      </c>
      <c r="F10851" s="1">
        <v>45176</v>
      </c>
      <c r="G10851" t="str">
        <f>"89713"</f>
        <v>89713</v>
      </c>
      <c r="H10851">
        <v>1</v>
      </c>
      <c r="I10851">
        <v>5411</v>
      </c>
      <c r="J10851">
        <v>0</v>
      </c>
      <c r="K10851" t="str">
        <f t="shared" si="1950"/>
        <v>809</v>
      </c>
      <c r="L10851">
        <v>3517.15</v>
      </c>
    </row>
    <row r="10852" spans="1:12" x14ac:dyDescent="0.25">
      <c r="A10852" t="str">
        <f t="shared" si="1944"/>
        <v>89301000</v>
      </c>
      <c r="B10852" t="str">
        <f t="shared" si="1948"/>
        <v>78915000</v>
      </c>
      <c r="C10852" t="str">
        <f t="shared" si="1949"/>
        <v>78915001</v>
      </c>
      <c r="D10852">
        <v>89301062</v>
      </c>
      <c r="E10852" t="str">
        <f>"515207137"</f>
        <v>515207137</v>
      </c>
      <c r="F10852" s="1">
        <v>45191</v>
      </c>
      <c r="G10852" t="str">
        <f>"89713"</f>
        <v>89713</v>
      </c>
      <c r="H10852">
        <v>2</v>
      </c>
      <c r="I10852">
        <v>10822</v>
      </c>
      <c r="J10852">
        <v>0</v>
      </c>
      <c r="K10852" t="str">
        <f t="shared" si="1950"/>
        <v>809</v>
      </c>
      <c r="L10852">
        <v>7034.3</v>
      </c>
    </row>
    <row r="10853" spans="1:12" x14ac:dyDescent="0.25">
      <c r="A10853" t="str">
        <f t="shared" si="1944"/>
        <v>89301000</v>
      </c>
      <c r="B10853" t="str">
        <f t="shared" si="1948"/>
        <v>78915000</v>
      </c>
      <c r="C10853" t="str">
        <f t="shared" si="1949"/>
        <v>78915001</v>
      </c>
      <c r="D10853">
        <v>89301062</v>
      </c>
      <c r="E10853" t="str">
        <f>"515207137"</f>
        <v>515207137</v>
      </c>
      <c r="F10853" s="1">
        <v>45191</v>
      </c>
      <c r="G10853" t="str">
        <f>"89725"</f>
        <v>89725</v>
      </c>
      <c r="H10853">
        <v>1</v>
      </c>
      <c r="I10853">
        <v>2863</v>
      </c>
      <c r="J10853">
        <v>0</v>
      </c>
      <c r="K10853" t="str">
        <f t="shared" si="1950"/>
        <v>809</v>
      </c>
      <c r="L10853">
        <v>1860.95</v>
      </c>
    </row>
    <row r="10854" spans="1:12" x14ac:dyDescent="0.25">
      <c r="A10854" t="str">
        <f t="shared" si="1944"/>
        <v>89301000</v>
      </c>
      <c r="B10854" t="str">
        <f t="shared" si="1948"/>
        <v>78915000</v>
      </c>
      <c r="C10854" t="str">
        <f t="shared" si="1949"/>
        <v>78915001</v>
      </c>
      <c r="D10854">
        <v>89301606</v>
      </c>
      <c r="E10854" t="str">
        <f>"5409230827"</f>
        <v>5409230827</v>
      </c>
      <c r="F10854" s="1">
        <v>45173</v>
      </c>
      <c r="G10854" t="str">
        <f>"89713"</f>
        <v>89713</v>
      </c>
      <c r="H10854">
        <v>1</v>
      </c>
      <c r="I10854">
        <v>5411</v>
      </c>
      <c r="J10854">
        <v>0</v>
      </c>
      <c r="K10854" t="str">
        <f t="shared" si="1950"/>
        <v>809</v>
      </c>
      <c r="L10854">
        <v>3517.15</v>
      </c>
    </row>
    <row r="10855" spans="1:12" x14ac:dyDescent="0.25">
      <c r="A10855" t="str">
        <f t="shared" si="1944"/>
        <v>89301000</v>
      </c>
      <c r="B10855" t="str">
        <f t="shared" si="1948"/>
        <v>78915000</v>
      </c>
      <c r="C10855" t="str">
        <f t="shared" si="1949"/>
        <v>78915001</v>
      </c>
      <c r="D10855">
        <v>89301606</v>
      </c>
      <c r="E10855" t="str">
        <f>"5409230827"</f>
        <v>5409230827</v>
      </c>
      <c r="F10855" s="1">
        <v>45173</v>
      </c>
      <c r="G10855" t="str">
        <f>"89725"</f>
        <v>89725</v>
      </c>
      <c r="H10855">
        <v>1</v>
      </c>
      <c r="I10855">
        <v>2863</v>
      </c>
      <c r="J10855">
        <v>0</v>
      </c>
      <c r="K10855" t="str">
        <f t="shared" si="1950"/>
        <v>809</v>
      </c>
      <c r="L10855">
        <v>1860.95</v>
      </c>
    </row>
    <row r="10856" spans="1:12" x14ac:dyDescent="0.25">
      <c r="A10856" t="str">
        <f t="shared" si="1944"/>
        <v>89301000</v>
      </c>
      <c r="B10856" t="str">
        <f t="shared" si="1948"/>
        <v>78915000</v>
      </c>
      <c r="C10856" t="str">
        <f t="shared" si="1949"/>
        <v>78915001</v>
      </c>
      <c r="D10856">
        <v>89301302</v>
      </c>
      <c r="E10856" t="str">
        <f>"5508031980"</f>
        <v>5508031980</v>
      </c>
      <c r="F10856" s="1">
        <v>45189</v>
      </c>
      <c r="G10856" t="str">
        <f>"09567"</f>
        <v>09567</v>
      </c>
      <c r="H10856">
        <v>1</v>
      </c>
      <c r="I10856">
        <v>0</v>
      </c>
      <c r="J10856">
        <v>0</v>
      </c>
      <c r="K10856" t="str">
        <f t="shared" si="1950"/>
        <v>809</v>
      </c>
      <c r="L10856">
        <v>0</v>
      </c>
    </row>
    <row r="10857" spans="1:12" x14ac:dyDescent="0.25">
      <c r="A10857" t="str">
        <f t="shared" si="1944"/>
        <v>89301000</v>
      </c>
      <c r="B10857" t="str">
        <f t="shared" si="1948"/>
        <v>78915000</v>
      </c>
      <c r="C10857" t="str">
        <f t="shared" si="1949"/>
        <v>78915001</v>
      </c>
      <c r="D10857">
        <v>89301302</v>
      </c>
      <c r="E10857" t="str">
        <f>"5508031980"</f>
        <v>5508031980</v>
      </c>
      <c r="F10857" s="1">
        <v>45189</v>
      </c>
      <c r="G10857" t="str">
        <f>"89713"</f>
        <v>89713</v>
      </c>
      <c r="H10857">
        <v>1</v>
      </c>
      <c r="I10857">
        <v>5411</v>
      </c>
      <c r="J10857">
        <v>0</v>
      </c>
      <c r="K10857" t="str">
        <f t="shared" si="1950"/>
        <v>809</v>
      </c>
      <c r="L10857">
        <v>3517.15</v>
      </c>
    </row>
    <row r="10858" spans="1:12" x14ac:dyDescent="0.25">
      <c r="A10858" t="str">
        <f t="shared" si="1944"/>
        <v>89301000</v>
      </c>
      <c r="B10858" t="str">
        <f t="shared" si="1948"/>
        <v>78915000</v>
      </c>
      <c r="C10858" t="str">
        <f t="shared" si="1949"/>
        <v>78915001</v>
      </c>
      <c r="D10858">
        <v>89301062</v>
      </c>
      <c r="E10858" t="str">
        <f>"5901311251"</f>
        <v>5901311251</v>
      </c>
      <c r="F10858" s="1">
        <v>45194</v>
      </c>
      <c r="G10858" t="str">
        <f>"89713"</f>
        <v>89713</v>
      </c>
      <c r="H10858">
        <v>1</v>
      </c>
      <c r="I10858">
        <v>5411</v>
      </c>
      <c r="J10858">
        <v>0</v>
      </c>
      <c r="K10858" t="str">
        <f t="shared" si="1950"/>
        <v>809</v>
      </c>
      <c r="L10858">
        <v>3517.15</v>
      </c>
    </row>
    <row r="10859" spans="1:12" x14ac:dyDescent="0.25">
      <c r="A10859" t="str">
        <f t="shared" si="1944"/>
        <v>89301000</v>
      </c>
      <c r="B10859" t="str">
        <f t="shared" si="1948"/>
        <v>78915000</v>
      </c>
      <c r="C10859" t="str">
        <f t="shared" si="1949"/>
        <v>78915001</v>
      </c>
      <c r="D10859">
        <v>89301062</v>
      </c>
      <c r="E10859" t="str">
        <f>"5901311251"</f>
        <v>5901311251</v>
      </c>
      <c r="F10859" s="1">
        <v>45194</v>
      </c>
      <c r="G10859" t="str">
        <f>"89725"</f>
        <v>89725</v>
      </c>
      <c r="H10859">
        <v>1</v>
      </c>
      <c r="I10859">
        <v>2863</v>
      </c>
      <c r="J10859">
        <v>0</v>
      </c>
      <c r="K10859" t="str">
        <f t="shared" si="1950"/>
        <v>809</v>
      </c>
      <c r="L10859">
        <v>1860.95</v>
      </c>
    </row>
    <row r="10860" spans="1:12" x14ac:dyDescent="0.25">
      <c r="A10860" t="str">
        <f t="shared" si="1944"/>
        <v>89301000</v>
      </c>
      <c r="B10860" t="str">
        <f t="shared" si="1948"/>
        <v>78915000</v>
      </c>
      <c r="C10860" t="str">
        <f t="shared" si="1949"/>
        <v>78915001</v>
      </c>
      <c r="D10860">
        <v>89301062</v>
      </c>
      <c r="E10860" t="str">
        <f>"5901311251"</f>
        <v>5901311251</v>
      </c>
      <c r="F10860" s="1">
        <v>45194</v>
      </c>
      <c r="G10860" t="str">
        <f>"0207733"</f>
        <v>0207733</v>
      </c>
      <c r="H10860">
        <v>1.2</v>
      </c>
      <c r="J10860">
        <v>3108.64</v>
      </c>
      <c r="K10860" t="str">
        <f t="shared" si="1950"/>
        <v>809</v>
      </c>
      <c r="L10860">
        <v>3108.64</v>
      </c>
    </row>
    <row r="10861" spans="1:12" x14ac:dyDescent="0.25">
      <c r="A10861" t="str">
        <f t="shared" si="1944"/>
        <v>89301000</v>
      </c>
      <c r="B10861" t="str">
        <f t="shared" si="1948"/>
        <v>78915000</v>
      </c>
      <c r="C10861" t="str">
        <f t="shared" si="1949"/>
        <v>78915001</v>
      </c>
      <c r="D10861">
        <v>89301062</v>
      </c>
      <c r="E10861" t="str">
        <f>"6158110332"</f>
        <v>6158110332</v>
      </c>
      <c r="F10861" s="1">
        <v>45199</v>
      </c>
      <c r="G10861" t="str">
        <f>"89713"</f>
        <v>89713</v>
      </c>
      <c r="H10861">
        <v>1</v>
      </c>
      <c r="I10861">
        <v>5411</v>
      </c>
      <c r="J10861">
        <v>0</v>
      </c>
      <c r="K10861" t="str">
        <f t="shared" si="1950"/>
        <v>809</v>
      </c>
      <c r="L10861">
        <v>3517.15</v>
      </c>
    </row>
    <row r="10862" spans="1:12" x14ac:dyDescent="0.25">
      <c r="A10862" t="str">
        <f t="shared" si="1944"/>
        <v>89301000</v>
      </c>
      <c r="B10862" t="str">
        <f t="shared" si="1948"/>
        <v>78915000</v>
      </c>
      <c r="C10862" t="str">
        <f t="shared" si="1949"/>
        <v>78915001</v>
      </c>
      <c r="D10862">
        <v>89301062</v>
      </c>
      <c r="E10862" t="str">
        <f>"6158110332"</f>
        <v>6158110332</v>
      </c>
      <c r="F10862" s="1">
        <v>45199</v>
      </c>
      <c r="G10862" t="str">
        <f>"89725"</f>
        <v>89725</v>
      </c>
      <c r="H10862">
        <v>1</v>
      </c>
      <c r="I10862">
        <v>2863</v>
      </c>
      <c r="J10862">
        <v>0</v>
      </c>
      <c r="K10862" t="str">
        <f t="shared" si="1950"/>
        <v>809</v>
      </c>
      <c r="L10862">
        <v>1860.95</v>
      </c>
    </row>
    <row r="10863" spans="1:12" x14ac:dyDescent="0.25">
      <c r="A10863" t="str">
        <f t="shared" si="1944"/>
        <v>89301000</v>
      </c>
      <c r="B10863" t="str">
        <f t="shared" si="1948"/>
        <v>78915000</v>
      </c>
      <c r="C10863" t="str">
        <f t="shared" si="1949"/>
        <v>78915001</v>
      </c>
      <c r="D10863">
        <v>89301062</v>
      </c>
      <c r="E10863" t="str">
        <f>"6207262050"</f>
        <v>6207262050</v>
      </c>
      <c r="F10863" s="1">
        <v>45181</v>
      </c>
      <c r="G10863" t="str">
        <f>"89713"</f>
        <v>89713</v>
      </c>
      <c r="H10863">
        <v>2</v>
      </c>
      <c r="I10863">
        <v>10822</v>
      </c>
      <c r="J10863">
        <v>0</v>
      </c>
      <c r="K10863" t="str">
        <f t="shared" si="1950"/>
        <v>809</v>
      </c>
      <c r="L10863">
        <v>7034.3</v>
      </c>
    </row>
    <row r="10864" spans="1:12" x14ac:dyDescent="0.25">
      <c r="A10864" t="str">
        <f t="shared" si="1944"/>
        <v>89301000</v>
      </c>
      <c r="B10864" t="str">
        <f t="shared" si="1948"/>
        <v>78915000</v>
      </c>
      <c r="C10864" t="str">
        <f t="shared" si="1949"/>
        <v>78915001</v>
      </c>
      <c r="D10864">
        <v>89301062</v>
      </c>
      <c r="E10864" t="str">
        <f>"6207262050"</f>
        <v>6207262050</v>
      </c>
      <c r="F10864" s="1">
        <v>45181</v>
      </c>
      <c r="G10864" t="str">
        <f>"89725"</f>
        <v>89725</v>
      </c>
      <c r="H10864">
        <v>1</v>
      </c>
      <c r="I10864">
        <v>2863</v>
      </c>
      <c r="J10864">
        <v>0</v>
      </c>
      <c r="K10864" t="str">
        <f t="shared" si="1950"/>
        <v>809</v>
      </c>
      <c r="L10864">
        <v>1860.95</v>
      </c>
    </row>
    <row r="10865" spans="1:12" x14ac:dyDescent="0.25">
      <c r="A10865" t="str">
        <f t="shared" si="1944"/>
        <v>89301000</v>
      </c>
      <c r="B10865" t="str">
        <f t="shared" si="1948"/>
        <v>78915000</v>
      </c>
      <c r="C10865" t="str">
        <f t="shared" si="1949"/>
        <v>78915001</v>
      </c>
      <c r="D10865">
        <v>89301112</v>
      </c>
      <c r="E10865" t="str">
        <f>"6260010504"</f>
        <v>6260010504</v>
      </c>
      <c r="F10865" s="1">
        <v>45177</v>
      </c>
      <c r="G10865" t="str">
        <f>"89713"</f>
        <v>89713</v>
      </c>
      <c r="H10865">
        <v>1</v>
      </c>
      <c r="I10865">
        <v>5411</v>
      </c>
      <c r="J10865">
        <v>0</v>
      </c>
      <c r="K10865" t="str">
        <f t="shared" si="1950"/>
        <v>809</v>
      </c>
      <c r="L10865">
        <v>3517.15</v>
      </c>
    </row>
    <row r="10866" spans="1:12" x14ac:dyDescent="0.25">
      <c r="A10866" t="str">
        <f t="shared" si="1944"/>
        <v>89301000</v>
      </c>
      <c r="B10866" t="str">
        <f t="shared" si="1948"/>
        <v>78915000</v>
      </c>
      <c r="C10866" t="str">
        <f t="shared" si="1949"/>
        <v>78915001</v>
      </c>
      <c r="D10866">
        <v>89301112</v>
      </c>
      <c r="E10866" t="str">
        <f>"6260010504"</f>
        <v>6260010504</v>
      </c>
      <c r="F10866" s="1">
        <v>45177</v>
      </c>
      <c r="G10866" t="str">
        <f>"89725"</f>
        <v>89725</v>
      </c>
      <c r="H10866">
        <v>1</v>
      </c>
      <c r="I10866">
        <v>2863</v>
      </c>
      <c r="J10866">
        <v>0</v>
      </c>
      <c r="K10866" t="str">
        <f t="shared" si="1950"/>
        <v>809</v>
      </c>
      <c r="L10866">
        <v>1860.95</v>
      </c>
    </row>
    <row r="10867" spans="1:12" x14ac:dyDescent="0.25">
      <c r="A10867" t="str">
        <f t="shared" si="1944"/>
        <v>89301000</v>
      </c>
      <c r="B10867" t="str">
        <f t="shared" si="1948"/>
        <v>78915000</v>
      </c>
      <c r="C10867" t="str">
        <f t="shared" si="1949"/>
        <v>78915001</v>
      </c>
      <c r="D10867">
        <v>89301112</v>
      </c>
      <c r="E10867" t="str">
        <f>"6307030499"</f>
        <v>6307030499</v>
      </c>
      <c r="F10867" s="1">
        <v>45175</v>
      </c>
      <c r="G10867" t="str">
        <f>"89713"</f>
        <v>89713</v>
      </c>
      <c r="H10867">
        <v>1</v>
      </c>
      <c r="I10867">
        <v>5411</v>
      </c>
      <c r="J10867">
        <v>0</v>
      </c>
      <c r="K10867" t="str">
        <f t="shared" si="1950"/>
        <v>809</v>
      </c>
      <c r="L10867">
        <v>3517.15</v>
      </c>
    </row>
    <row r="10868" spans="1:12" x14ac:dyDescent="0.25">
      <c r="A10868" t="str">
        <f t="shared" si="1944"/>
        <v>89301000</v>
      </c>
      <c r="B10868" t="str">
        <f t="shared" si="1948"/>
        <v>78915000</v>
      </c>
      <c r="C10868" t="str">
        <f t="shared" si="1949"/>
        <v>78915001</v>
      </c>
      <c r="D10868">
        <v>89301112</v>
      </c>
      <c r="E10868" t="str">
        <f>"6307030499"</f>
        <v>6307030499</v>
      </c>
      <c r="F10868" s="1">
        <v>45175</v>
      </c>
      <c r="G10868" t="str">
        <f>"89725"</f>
        <v>89725</v>
      </c>
      <c r="H10868">
        <v>1</v>
      </c>
      <c r="I10868">
        <v>2863</v>
      </c>
      <c r="J10868">
        <v>0</v>
      </c>
      <c r="K10868" t="str">
        <f t="shared" si="1950"/>
        <v>809</v>
      </c>
      <c r="L10868">
        <v>1860.95</v>
      </c>
    </row>
    <row r="10869" spans="1:12" x14ac:dyDescent="0.25">
      <c r="A10869" t="str">
        <f t="shared" si="1944"/>
        <v>89301000</v>
      </c>
      <c r="B10869" t="str">
        <f t="shared" si="1948"/>
        <v>78915000</v>
      </c>
      <c r="C10869" t="str">
        <f t="shared" si="1949"/>
        <v>78915001</v>
      </c>
      <c r="D10869">
        <v>89301112</v>
      </c>
      <c r="E10869" t="str">
        <f>"6307030499"</f>
        <v>6307030499</v>
      </c>
      <c r="F10869" s="1">
        <v>45180</v>
      </c>
      <c r="G10869" t="str">
        <f>"09567"</f>
        <v>09567</v>
      </c>
      <c r="H10869">
        <v>1</v>
      </c>
      <c r="I10869">
        <v>0</v>
      </c>
      <c r="J10869">
        <v>0</v>
      </c>
      <c r="K10869" t="str">
        <f t="shared" si="1950"/>
        <v>809</v>
      </c>
      <c r="L10869">
        <v>0</v>
      </c>
    </row>
    <row r="10870" spans="1:12" x14ac:dyDescent="0.25">
      <c r="A10870" t="str">
        <f t="shared" si="1944"/>
        <v>89301000</v>
      </c>
      <c r="B10870" t="str">
        <f t="shared" si="1948"/>
        <v>78915000</v>
      </c>
      <c r="C10870" t="str">
        <f t="shared" si="1949"/>
        <v>78915001</v>
      </c>
      <c r="D10870">
        <v>89301112</v>
      </c>
      <c r="E10870" t="str">
        <f>"6307030499"</f>
        <v>6307030499</v>
      </c>
      <c r="F10870" s="1">
        <v>45180</v>
      </c>
      <c r="G10870" t="str">
        <f>"89713"</f>
        <v>89713</v>
      </c>
      <c r="H10870">
        <v>1</v>
      </c>
      <c r="I10870">
        <v>5411</v>
      </c>
      <c r="J10870">
        <v>0</v>
      </c>
      <c r="K10870" t="str">
        <f t="shared" si="1950"/>
        <v>809</v>
      </c>
      <c r="L10870">
        <v>3517.15</v>
      </c>
    </row>
    <row r="10871" spans="1:12" x14ac:dyDescent="0.25">
      <c r="A10871" t="str">
        <f t="shared" si="1944"/>
        <v>89301000</v>
      </c>
      <c r="B10871" t="str">
        <f t="shared" si="1948"/>
        <v>78915000</v>
      </c>
      <c r="C10871" t="str">
        <f t="shared" si="1949"/>
        <v>78915001</v>
      </c>
      <c r="D10871">
        <v>89301062</v>
      </c>
      <c r="E10871" t="str">
        <f>"6309131312"</f>
        <v>6309131312</v>
      </c>
      <c r="F10871" s="1">
        <v>45194</v>
      </c>
      <c r="G10871" t="str">
        <f>"89713"</f>
        <v>89713</v>
      </c>
      <c r="H10871">
        <v>1</v>
      </c>
      <c r="I10871">
        <v>5411</v>
      </c>
      <c r="J10871">
        <v>0</v>
      </c>
      <c r="K10871" t="str">
        <f t="shared" si="1950"/>
        <v>809</v>
      </c>
      <c r="L10871">
        <v>3517.15</v>
      </c>
    </row>
    <row r="10872" spans="1:12" x14ac:dyDescent="0.25">
      <c r="A10872" t="str">
        <f t="shared" si="1944"/>
        <v>89301000</v>
      </c>
      <c r="B10872" t="str">
        <f t="shared" si="1948"/>
        <v>78915000</v>
      </c>
      <c r="C10872" t="str">
        <f t="shared" si="1949"/>
        <v>78915001</v>
      </c>
      <c r="D10872">
        <v>89301062</v>
      </c>
      <c r="E10872" t="str">
        <f>"6309131312"</f>
        <v>6309131312</v>
      </c>
      <c r="F10872" s="1">
        <v>45194</v>
      </c>
      <c r="G10872" t="str">
        <f>"89725"</f>
        <v>89725</v>
      </c>
      <c r="H10872">
        <v>1</v>
      </c>
      <c r="I10872">
        <v>2863</v>
      </c>
      <c r="J10872">
        <v>0</v>
      </c>
      <c r="K10872" t="str">
        <f t="shared" si="1950"/>
        <v>809</v>
      </c>
      <c r="L10872">
        <v>1860.95</v>
      </c>
    </row>
    <row r="10873" spans="1:12" x14ac:dyDescent="0.25">
      <c r="A10873" t="str">
        <f t="shared" si="1944"/>
        <v>89301000</v>
      </c>
      <c r="B10873" t="str">
        <f t="shared" si="1948"/>
        <v>78915000</v>
      </c>
      <c r="C10873" t="str">
        <f t="shared" si="1949"/>
        <v>78915001</v>
      </c>
      <c r="D10873">
        <v>89301062</v>
      </c>
      <c r="E10873" t="str">
        <f>"6355110982"</f>
        <v>6355110982</v>
      </c>
      <c r="F10873" s="1">
        <v>45180</v>
      </c>
      <c r="G10873" t="str">
        <f>"89713"</f>
        <v>89713</v>
      </c>
      <c r="H10873">
        <v>1</v>
      </c>
      <c r="I10873">
        <v>5411</v>
      </c>
      <c r="J10873">
        <v>0</v>
      </c>
      <c r="K10873" t="str">
        <f t="shared" si="1950"/>
        <v>809</v>
      </c>
      <c r="L10873">
        <v>3517.15</v>
      </c>
    </row>
    <row r="10874" spans="1:12" x14ac:dyDescent="0.25">
      <c r="A10874" t="str">
        <f t="shared" si="1944"/>
        <v>89301000</v>
      </c>
      <c r="B10874" t="str">
        <f t="shared" si="1948"/>
        <v>78915000</v>
      </c>
      <c r="C10874" t="str">
        <f t="shared" si="1949"/>
        <v>78915001</v>
      </c>
      <c r="D10874">
        <v>89301062</v>
      </c>
      <c r="E10874" t="str">
        <f>"6355110982"</f>
        <v>6355110982</v>
      </c>
      <c r="F10874" s="1">
        <v>45180</v>
      </c>
      <c r="G10874" t="str">
        <f>"89725"</f>
        <v>89725</v>
      </c>
      <c r="H10874">
        <v>1</v>
      </c>
      <c r="I10874">
        <v>2863</v>
      </c>
      <c r="J10874">
        <v>0</v>
      </c>
      <c r="K10874" t="str">
        <f t="shared" si="1950"/>
        <v>809</v>
      </c>
      <c r="L10874">
        <v>1860.95</v>
      </c>
    </row>
    <row r="10875" spans="1:12" x14ac:dyDescent="0.25">
      <c r="A10875" t="str">
        <f t="shared" si="1944"/>
        <v>89301000</v>
      </c>
      <c r="B10875" t="str">
        <f t="shared" si="1948"/>
        <v>78915000</v>
      </c>
      <c r="C10875" t="str">
        <f t="shared" si="1949"/>
        <v>78915001</v>
      </c>
      <c r="D10875">
        <v>89301292</v>
      </c>
      <c r="E10875" t="str">
        <f>"6454092205"</f>
        <v>6454092205</v>
      </c>
      <c r="F10875" s="1">
        <v>45182</v>
      </c>
      <c r="G10875" t="str">
        <f>"89715"</f>
        <v>89715</v>
      </c>
      <c r="H10875">
        <v>1</v>
      </c>
      <c r="I10875">
        <v>5523</v>
      </c>
      <c r="J10875">
        <v>0</v>
      </c>
      <c r="K10875" t="str">
        <f t="shared" si="1950"/>
        <v>809</v>
      </c>
      <c r="L10875">
        <v>3589.95</v>
      </c>
    </row>
    <row r="10876" spans="1:12" x14ac:dyDescent="0.25">
      <c r="A10876" t="str">
        <f t="shared" si="1944"/>
        <v>89301000</v>
      </c>
      <c r="B10876" t="str">
        <f t="shared" ref="B10876:B10907" si="1951">"78915000"</f>
        <v>78915000</v>
      </c>
      <c r="C10876" t="str">
        <f t="shared" ref="C10876:C10907" si="1952">"78915001"</f>
        <v>78915001</v>
      </c>
      <c r="D10876">
        <v>89301292</v>
      </c>
      <c r="E10876" t="str">
        <f>"6454092205"</f>
        <v>6454092205</v>
      </c>
      <c r="F10876" s="1">
        <v>45182</v>
      </c>
      <c r="G10876" t="str">
        <f>"89725"</f>
        <v>89725</v>
      </c>
      <c r="H10876">
        <v>1</v>
      </c>
      <c r="I10876">
        <v>2863</v>
      </c>
      <c r="J10876">
        <v>0</v>
      </c>
      <c r="K10876" t="str">
        <f t="shared" ref="K10876:K10907" si="1953">"809"</f>
        <v>809</v>
      </c>
      <c r="L10876">
        <v>1860.95</v>
      </c>
    </row>
    <row r="10877" spans="1:12" x14ac:dyDescent="0.25">
      <c r="A10877" t="str">
        <f t="shared" si="1944"/>
        <v>89301000</v>
      </c>
      <c r="B10877" t="str">
        <f t="shared" si="1951"/>
        <v>78915000</v>
      </c>
      <c r="C10877" t="str">
        <f t="shared" si="1952"/>
        <v>78915001</v>
      </c>
      <c r="D10877">
        <v>89301292</v>
      </c>
      <c r="E10877" t="str">
        <f>"6454092205"</f>
        <v>6454092205</v>
      </c>
      <c r="F10877" s="1">
        <v>45182</v>
      </c>
      <c r="G10877" t="str">
        <f>"0207733"</f>
        <v>0207733</v>
      </c>
      <c r="H10877">
        <v>1</v>
      </c>
      <c r="J10877">
        <v>2590.5300000000002</v>
      </c>
      <c r="K10877" t="str">
        <f t="shared" si="1953"/>
        <v>809</v>
      </c>
      <c r="L10877">
        <v>2590.5300000000002</v>
      </c>
    </row>
    <row r="10878" spans="1:12" x14ac:dyDescent="0.25">
      <c r="A10878" t="str">
        <f t="shared" si="1944"/>
        <v>89301000</v>
      </c>
      <c r="B10878" t="str">
        <f t="shared" si="1951"/>
        <v>78915000</v>
      </c>
      <c r="C10878" t="str">
        <f t="shared" si="1952"/>
        <v>78915001</v>
      </c>
      <c r="D10878">
        <v>89301132</v>
      </c>
      <c r="E10878" t="str">
        <f>"6503250380"</f>
        <v>6503250380</v>
      </c>
      <c r="F10878" s="1">
        <v>45173</v>
      </c>
      <c r="G10878" t="str">
        <f>"89713"</f>
        <v>89713</v>
      </c>
      <c r="H10878">
        <v>1</v>
      </c>
      <c r="I10878">
        <v>5411</v>
      </c>
      <c r="J10878">
        <v>0</v>
      </c>
      <c r="K10878" t="str">
        <f t="shared" si="1953"/>
        <v>809</v>
      </c>
      <c r="L10878">
        <v>3517.15</v>
      </c>
    </row>
    <row r="10879" spans="1:12" x14ac:dyDescent="0.25">
      <c r="A10879" t="str">
        <f t="shared" si="1944"/>
        <v>89301000</v>
      </c>
      <c r="B10879" t="str">
        <f t="shared" si="1951"/>
        <v>78915000</v>
      </c>
      <c r="C10879" t="str">
        <f t="shared" si="1952"/>
        <v>78915001</v>
      </c>
      <c r="D10879">
        <v>89301132</v>
      </c>
      <c r="E10879" t="str">
        <f>"6503250380"</f>
        <v>6503250380</v>
      </c>
      <c r="F10879" s="1">
        <v>45173</v>
      </c>
      <c r="G10879" t="str">
        <f>"89725"</f>
        <v>89725</v>
      </c>
      <c r="H10879">
        <v>1</v>
      </c>
      <c r="I10879">
        <v>2863</v>
      </c>
      <c r="J10879">
        <v>0</v>
      </c>
      <c r="K10879" t="str">
        <f t="shared" si="1953"/>
        <v>809</v>
      </c>
      <c r="L10879">
        <v>1860.95</v>
      </c>
    </row>
    <row r="10880" spans="1:12" x14ac:dyDescent="0.25">
      <c r="A10880" t="str">
        <f t="shared" si="1944"/>
        <v>89301000</v>
      </c>
      <c r="B10880" t="str">
        <f t="shared" si="1951"/>
        <v>78915000</v>
      </c>
      <c r="C10880" t="str">
        <f t="shared" si="1952"/>
        <v>78915001</v>
      </c>
      <c r="D10880">
        <v>89301112</v>
      </c>
      <c r="E10880" t="str">
        <f>"6806160449"</f>
        <v>6806160449</v>
      </c>
      <c r="F10880" s="1">
        <v>45191</v>
      </c>
      <c r="G10880" t="str">
        <f>"09569"</f>
        <v>09569</v>
      </c>
      <c r="H10880">
        <v>1</v>
      </c>
      <c r="I10880">
        <v>0</v>
      </c>
      <c r="J10880">
        <v>0</v>
      </c>
      <c r="K10880" t="str">
        <f t="shared" si="1953"/>
        <v>809</v>
      </c>
      <c r="L10880">
        <v>0</v>
      </c>
    </row>
    <row r="10881" spans="1:12" x14ac:dyDescent="0.25">
      <c r="A10881" t="str">
        <f t="shared" si="1944"/>
        <v>89301000</v>
      </c>
      <c r="B10881" t="str">
        <f t="shared" si="1951"/>
        <v>78915000</v>
      </c>
      <c r="C10881" t="str">
        <f t="shared" si="1952"/>
        <v>78915001</v>
      </c>
      <c r="D10881">
        <v>89301112</v>
      </c>
      <c r="E10881" t="str">
        <f>"6806160449"</f>
        <v>6806160449</v>
      </c>
      <c r="F10881" s="1">
        <v>45191</v>
      </c>
      <c r="G10881" t="str">
        <f>"89713"</f>
        <v>89713</v>
      </c>
      <c r="H10881">
        <v>1</v>
      </c>
      <c r="I10881">
        <v>5411</v>
      </c>
      <c r="J10881">
        <v>0</v>
      </c>
      <c r="K10881" t="str">
        <f t="shared" si="1953"/>
        <v>809</v>
      </c>
      <c r="L10881">
        <v>3517.15</v>
      </c>
    </row>
    <row r="10882" spans="1:12" x14ac:dyDescent="0.25">
      <c r="A10882" t="str">
        <f t="shared" ref="A10882:A10945" si="1954">"89301000"</f>
        <v>89301000</v>
      </c>
      <c r="B10882" t="str">
        <f t="shared" si="1951"/>
        <v>78915000</v>
      </c>
      <c r="C10882" t="str">
        <f t="shared" si="1952"/>
        <v>78915001</v>
      </c>
      <c r="D10882">
        <v>89301062</v>
      </c>
      <c r="E10882" t="str">
        <f>"6807160888"</f>
        <v>6807160888</v>
      </c>
      <c r="F10882" s="1">
        <v>45198</v>
      </c>
      <c r="G10882" t="str">
        <f>"89713"</f>
        <v>89713</v>
      </c>
      <c r="H10882">
        <v>1</v>
      </c>
      <c r="I10882">
        <v>5411</v>
      </c>
      <c r="J10882">
        <v>0</v>
      </c>
      <c r="K10882" t="str">
        <f t="shared" si="1953"/>
        <v>809</v>
      </c>
      <c r="L10882">
        <v>3517.15</v>
      </c>
    </row>
    <row r="10883" spans="1:12" x14ac:dyDescent="0.25">
      <c r="A10883" t="str">
        <f t="shared" si="1954"/>
        <v>89301000</v>
      </c>
      <c r="B10883" t="str">
        <f t="shared" si="1951"/>
        <v>78915000</v>
      </c>
      <c r="C10883" t="str">
        <f t="shared" si="1952"/>
        <v>78915001</v>
      </c>
      <c r="D10883">
        <v>89301062</v>
      </c>
      <c r="E10883" t="str">
        <f>"6807160888"</f>
        <v>6807160888</v>
      </c>
      <c r="F10883" s="1">
        <v>45198</v>
      </c>
      <c r="G10883" t="str">
        <f>"89725"</f>
        <v>89725</v>
      </c>
      <c r="H10883">
        <v>1</v>
      </c>
      <c r="I10883">
        <v>2863</v>
      </c>
      <c r="J10883">
        <v>0</v>
      </c>
      <c r="K10883" t="str">
        <f t="shared" si="1953"/>
        <v>809</v>
      </c>
      <c r="L10883">
        <v>1860.95</v>
      </c>
    </row>
    <row r="10884" spans="1:12" x14ac:dyDescent="0.25">
      <c r="A10884" t="str">
        <f t="shared" si="1954"/>
        <v>89301000</v>
      </c>
      <c r="B10884" t="str">
        <f t="shared" si="1951"/>
        <v>78915000</v>
      </c>
      <c r="C10884" t="str">
        <f t="shared" si="1952"/>
        <v>78915001</v>
      </c>
      <c r="D10884">
        <v>89301112</v>
      </c>
      <c r="E10884" t="str">
        <f>"7053305325"</f>
        <v>7053305325</v>
      </c>
      <c r="F10884" s="1">
        <v>45171</v>
      </c>
      <c r="G10884" t="str">
        <f>"09567"</f>
        <v>09567</v>
      </c>
      <c r="H10884">
        <v>1</v>
      </c>
      <c r="I10884">
        <v>0</v>
      </c>
      <c r="J10884">
        <v>0</v>
      </c>
      <c r="K10884" t="str">
        <f t="shared" si="1953"/>
        <v>809</v>
      </c>
      <c r="L10884">
        <v>0</v>
      </c>
    </row>
    <row r="10885" spans="1:12" x14ac:dyDescent="0.25">
      <c r="A10885" t="str">
        <f t="shared" si="1954"/>
        <v>89301000</v>
      </c>
      <c r="B10885" t="str">
        <f t="shared" si="1951"/>
        <v>78915000</v>
      </c>
      <c r="C10885" t="str">
        <f t="shared" si="1952"/>
        <v>78915001</v>
      </c>
      <c r="D10885">
        <v>89301112</v>
      </c>
      <c r="E10885" t="str">
        <f>"7053305325"</f>
        <v>7053305325</v>
      </c>
      <c r="F10885" s="1">
        <v>45171</v>
      </c>
      <c r="G10885" t="str">
        <f>"89713"</f>
        <v>89713</v>
      </c>
      <c r="H10885">
        <v>1</v>
      </c>
      <c r="I10885">
        <v>5411</v>
      </c>
      <c r="J10885">
        <v>0</v>
      </c>
      <c r="K10885" t="str">
        <f t="shared" si="1953"/>
        <v>809</v>
      </c>
      <c r="L10885">
        <v>3517.15</v>
      </c>
    </row>
    <row r="10886" spans="1:12" x14ac:dyDescent="0.25">
      <c r="A10886" t="str">
        <f t="shared" si="1954"/>
        <v>89301000</v>
      </c>
      <c r="B10886" t="str">
        <f t="shared" si="1951"/>
        <v>78915000</v>
      </c>
      <c r="C10886" t="str">
        <f t="shared" si="1952"/>
        <v>78915001</v>
      </c>
      <c r="D10886">
        <v>89301172</v>
      </c>
      <c r="E10886" t="str">
        <f>"7057215308"</f>
        <v>7057215308</v>
      </c>
      <c r="F10886" s="1">
        <v>45188</v>
      </c>
      <c r="G10886" t="str">
        <f>"89713"</f>
        <v>89713</v>
      </c>
      <c r="H10886">
        <v>1</v>
      </c>
      <c r="I10886">
        <v>5411</v>
      </c>
      <c r="J10886">
        <v>0</v>
      </c>
      <c r="K10886" t="str">
        <f t="shared" si="1953"/>
        <v>809</v>
      </c>
      <c r="L10886">
        <v>3517.15</v>
      </c>
    </row>
    <row r="10887" spans="1:12" x14ac:dyDescent="0.25">
      <c r="A10887" t="str">
        <f t="shared" si="1954"/>
        <v>89301000</v>
      </c>
      <c r="B10887" t="str">
        <f t="shared" si="1951"/>
        <v>78915000</v>
      </c>
      <c r="C10887" t="str">
        <f t="shared" si="1952"/>
        <v>78915001</v>
      </c>
      <c r="D10887">
        <v>89301172</v>
      </c>
      <c r="E10887" t="str">
        <f>"7057215308"</f>
        <v>7057215308</v>
      </c>
      <c r="F10887" s="1">
        <v>45188</v>
      </c>
      <c r="G10887" t="str">
        <f>"89725"</f>
        <v>89725</v>
      </c>
      <c r="H10887">
        <v>1</v>
      </c>
      <c r="I10887">
        <v>2863</v>
      </c>
      <c r="J10887">
        <v>0</v>
      </c>
      <c r="K10887" t="str">
        <f t="shared" si="1953"/>
        <v>809</v>
      </c>
      <c r="L10887">
        <v>1860.95</v>
      </c>
    </row>
    <row r="10888" spans="1:12" x14ac:dyDescent="0.25">
      <c r="A10888" t="str">
        <f t="shared" si="1954"/>
        <v>89301000</v>
      </c>
      <c r="B10888" t="str">
        <f t="shared" si="1951"/>
        <v>78915000</v>
      </c>
      <c r="C10888" t="str">
        <f t="shared" si="1952"/>
        <v>78915001</v>
      </c>
      <c r="D10888">
        <v>89301215</v>
      </c>
      <c r="E10888" t="str">
        <f>"7152065338"</f>
        <v>7152065338</v>
      </c>
      <c r="F10888" s="1">
        <v>45182</v>
      </c>
      <c r="G10888" t="str">
        <f>"89715"</f>
        <v>89715</v>
      </c>
      <c r="H10888">
        <v>1</v>
      </c>
      <c r="I10888">
        <v>5523</v>
      </c>
      <c r="J10888">
        <v>0</v>
      </c>
      <c r="K10888" t="str">
        <f t="shared" si="1953"/>
        <v>809</v>
      </c>
      <c r="L10888">
        <v>3589.95</v>
      </c>
    </row>
    <row r="10889" spans="1:12" x14ac:dyDescent="0.25">
      <c r="A10889" t="str">
        <f t="shared" si="1954"/>
        <v>89301000</v>
      </c>
      <c r="B10889" t="str">
        <f t="shared" si="1951"/>
        <v>78915000</v>
      </c>
      <c r="C10889" t="str">
        <f t="shared" si="1952"/>
        <v>78915001</v>
      </c>
      <c r="D10889">
        <v>89301215</v>
      </c>
      <c r="E10889" t="str">
        <f>"7152065338"</f>
        <v>7152065338</v>
      </c>
      <c r="F10889" s="1">
        <v>45182</v>
      </c>
      <c r="G10889" t="str">
        <f>"89725"</f>
        <v>89725</v>
      </c>
      <c r="H10889">
        <v>1</v>
      </c>
      <c r="I10889">
        <v>2863</v>
      </c>
      <c r="J10889">
        <v>0</v>
      </c>
      <c r="K10889" t="str">
        <f t="shared" si="1953"/>
        <v>809</v>
      </c>
      <c r="L10889">
        <v>1860.95</v>
      </c>
    </row>
    <row r="10890" spans="1:12" x14ac:dyDescent="0.25">
      <c r="A10890" t="str">
        <f t="shared" si="1954"/>
        <v>89301000</v>
      </c>
      <c r="B10890" t="str">
        <f t="shared" si="1951"/>
        <v>78915000</v>
      </c>
      <c r="C10890" t="str">
        <f t="shared" si="1952"/>
        <v>78915001</v>
      </c>
      <c r="D10890">
        <v>89301215</v>
      </c>
      <c r="E10890" t="str">
        <f>"7152065338"</f>
        <v>7152065338</v>
      </c>
      <c r="F10890" s="1">
        <v>45182</v>
      </c>
      <c r="G10890" t="str">
        <f>"0207733"</f>
        <v>0207733</v>
      </c>
      <c r="H10890">
        <v>1</v>
      </c>
      <c r="J10890">
        <v>2590.5300000000002</v>
      </c>
      <c r="K10890" t="str">
        <f t="shared" si="1953"/>
        <v>809</v>
      </c>
      <c r="L10890">
        <v>2590.5300000000002</v>
      </c>
    </row>
    <row r="10891" spans="1:12" x14ac:dyDescent="0.25">
      <c r="A10891" t="str">
        <f t="shared" si="1954"/>
        <v>89301000</v>
      </c>
      <c r="B10891" t="str">
        <f t="shared" si="1951"/>
        <v>78915000</v>
      </c>
      <c r="C10891" t="str">
        <f t="shared" si="1952"/>
        <v>78915001</v>
      </c>
      <c r="D10891">
        <v>89301606</v>
      </c>
      <c r="E10891" t="str">
        <f>"7162285691"</f>
        <v>7162285691</v>
      </c>
      <c r="F10891" s="1">
        <v>45176</v>
      </c>
      <c r="G10891" t="str">
        <f>"89713"</f>
        <v>89713</v>
      </c>
      <c r="H10891">
        <v>1</v>
      </c>
      <c r="I10891">
        <v>5411</v>
      </c>
      <c r="J10891">
        <v>0</v>
      </c>
      <c r="K10891" t="str">
        <f t="shared" si="1953"/>
        <v>809</v>
      </c>
      <c r="L10891">
        <v>3517.15</v>
      </c>
    </row>
    <row r="10892" spans="1:12" x14ac:dyDescent="0.25">
      <c r="A10892" t="str">
        <f t="shared" si="1954"/>
        <v>89301000</v>
      </c>
      <c r="B10892" t="str">
        <f t="shared" si="1951"/>
        <v>78915000</v>
      </c>
      <c r="C10892" t="str">
        <f t="shared" si="1952"/>
        <v>78915001</v>
      </c>
      <c r="D10892">
        <v>89301606</v>
      </c>
      <c r="E10892" t="str">
        <f>"7162285691"</f>
        <v>7162285691</v>
      </c>
      <c r="F10892" s="1">
        <v>45176</v>
      </c>
      <c r="G10892" t="str">
        <f>"89723"</f>
        <v>89723</v>
      </c>
      <c r="H10892">
        <v>1</v>
      </c>
      <c r="I10892">
        <v>5940</v>
      </c>
      <c r="J10892">
        <v>0</v>
      </c>
      <c r="K10892" t="str">
        <f t="shared" si="1953"/>
        <v>809</v>
      </c>
      <c r="L10892">
        <v>3861</v>
      </c>
    </row>
    <row r="10893" spans="1:12" x14ac:dyDescent="0.25">
      <c r="A10893" t="str">
        <f t="shared" si="1954"/>
        <v>89301000</v>
      </c>
      <c r="B10893" t="str">
        <f t="shared" si="1951"/>
        <v>78915000</v>
      </c>
      <c r="C10893" t="str">
        <f t="shared" si="1952"/>
        <v>78915001</v>
      </c>
      <c r="D10893">
        <v>89301606</v>
      </c>
      <c r="E10893" t="str">
        <f>"7162285691"</f>
        <v>7162285691</v>
      </c>
      <c r="F10893" s="1">
        <v>45176</v>
      </c>
      <c r="G10893" t="str">
        <f>"89725"</f>
        <v>89725</v>
      </c>
      <c r="H10893">
        <v>1</v>
      </c>
      <c r="I10893">
        <v>2863</v>
      </c>
      <c r="J10893">
        <v>0</v>
      </c>
      <c r="K10893" t="str">
        <f t="shared" si="1953"/>
        <v>809</v>
      </c>
      <c r="L10893">
        <v>1860.95</v>
      </c>
    </row>
    <row r="10894" spans="1:12" x14ac:dyDescent="0.25">
      <c r="A10894" t="str">
        <f t="shared" si="1954"/>
        <v>89301000</v>
      </c>
      <c r="B10894" t="str">
        <f t="shared" si="1951"/>
        <v>78915000</v>
      </c>
      <c r="C10894" t="str">
        <f t="shared" si="1952"/>
        <v>78915001</v>
      </c>
      <c r="D10894">
        <v>89301045</v>
      </c>
      <c r="E10894" t="str">
        <f>"7358245411"</f>
        <v>7358245411</v>
      </c>
      <c r="F10894" s="1">
        <v>45189</v>
      </c>
      <c r="G10894" t="str">
        <f>"89715"</f>
        <v>89715</v>
      </c>
      <c r="H10894">
        <v>1</v>
      </c>
      <c r="I10894">
        <v>5523</v>
      </c>
      <c r="J10894">
        <v>0</v>
      </c>
      <c r="K10894" t="str">
        <f t="shared" si="1953"/>
        <v>809</v>
      </c>
      <c r="L10894">
        <v>3589.95</v>
      </c>
    </row>
    <row r="10895" spans="1:12" x14ac:dyDescent="0.25">
      <c r="A10895" t="str">
        <f t="shared" si="1954"/>
        <v>89301000</v>
      </c>
      <c r="B10895" t="str">
        <f t="shared" si="1951"/>
        <v>78915000</v>
      </c>
      <c r="C10895" t="str">
        <f t="shared" si="1952"/>
        <v>78915001</v>
      </c>
      <c r="D10895">
        <v>89301045</v>
      </c>
      <c r="E10895" t="str">
        <f>"7358245411"</f>
        <v>7358245411</v>
      </c>
      <c r="F10895" s="1">
        <v>45189</v>
      </c>
      <c r="G10895" t="str">
        <f>"89725"</f>
        <v>89725</v>
      </c>
      <c r="H10895">
        <v>1</v>
      </c>
      <c r="I10895">
        <v>2863</v>
      </c>
      <c r="J10895">
        <v>0</v>
      </c>
      <c r="K10895" t="str">
        <f t="shared" si="1953"/>
        <v>809</v>
      </c>
      <c r="L10895">
        <v>1860.95</v>
      </c>
    </row>
    <row r="10896" spans="1:12" x14ac:dyDescent="0.25">
      <c r="A10896" t="str">
        <f t="shared" si="1954"/>
        <v>89301000</v>
      </c>
      <c r="B10896" t="str">
        <f t="shared" si="1951"/>
        <v>78915000</v>
      </c>
      <c r="C10896" t="str">
        <f t="shared" si="1952"/>
        <v>78915001</v>
      </c>
      <c r="D10896">
        <v>89301045</v>
      </c>
      <c r="E10896" t="str">
        <f>"7358245411"</f>
        <v>7358245411</v>
      </c>
      <c r="F10896" s="1">
        <v>45189</v>
      </c>
      <c r="G10896" t="str">
        <f>"0207733"</f>
        <v>0207733</v>
      </c>
      <c r="H10896">
        <v>1</v>
      </c>
      <c r="J10896">
        <v>2590.5300000000002</v>
      </c>
      <c r="K10896" t="str">
        <f t="shared" si="1953"/>
        <v>809</v>
      </c>
      <c r="L10896">
        <v>2590.5300000000002</v>
      </c>
    </row>
    <row r="10897" spans="1:12" x14ac:dyDescent="0.25">
      <c r="A10897" t="str">
        <f t="shared" si="1954"/>
        <v>89301000</v>
      </c>
      <c r="B10897" t="str">
        <f t="shared" si="1951"/>
        <v>78915000</v>
      </c>
      <c r="C10897" t="str">
        <f t="shared" si="1952"/>
        <v>78915001</v>
      </c>
      <c r="D10897">
        <v>89301112</v>
      </c>
      <c r="E10897" t="str">
        <f>"7505105322"</f>
        <v>7505105322</v>
      </c>
      <c r="F10897" s="1">
        <v>45185</v>
      </c>
      <c r="G10897" t="str">
        <f>"09567"</f>
        <v>09567</v>
      </c>
      <c r="H10897">
        <v>1</v>
      </c>
      <c r="I10897">
        <v>0</v>
      </c>
      <c r="J10897">
        <v>0</v>
      </c>
      <c r="K10897" t="str">
        <f t="shared" si="1953"/>
        <v>809</v>
      </c>
      <c r="L10897">
        <v>0</v>
      </c>
    </row>
    <row r="10898" spans="1:12" x14ac:dyDescent="0.25">
      <c r="A10898" t="str">
        <f t="shared" si="1954"/>
        <v>89301000</v>
      </c>
      <c r="B10898" t="str">
        <f t="shared" si="1951"/>
        <v>78915000</v>
      </c>
      <c r="C10898" t="str">
        <f t="shared" si="1952"/>
        <v>78915001</v>
      </c>
      <c r="D10898">
        <v>89301112</v>
      </c>
      <c r="E10898" t="str">
        <f>"7505105322"</f>
        <v>7505105322</v>
      </c>
      <c r="F10898" s="1">
        <v>45185</v>
      </c>
      <c r="G10898" t="str">
        <f>"89713"</f>
        <v>89713</v>
      </c>
      <c r="H10898">
        <v>1</v>
      </c>
      <c r="I10898">
        <v>5411</v>
      </c>
      <c r="J10898">
        <v>0</v>
      </c>
      <c r="K10898" t="str">
        <f t="shared" si="1953"/>
        <v>809</v>
      </c>
      <c r="L10898">
        <v>3517.15</v>
      </c>
    </row>
    <row r="10899" spans="1:12" x14ac:dyDescent="0.25">
      <c r="A10899" t="str">
        <f t="shared" si="1954"/>
        <v>89301000</v>
      </c>
      <c r="B10899" t="str">
        <f t="shared" si="1951"/>
        <v>78915000</v>
      </c>
      <c r="C10899" t="str">
        <f t="shared" si="1952"/>
        <v>78915001</v>
      </c>
      <c r="D10899">
        <v>89301292</v>
      </c>
      <c r="E10899" t="str">
        <f>"7762205363"</f>
        <v>7762205363</v>
      </c>
      <c r="F10899" s="1">
        <v>45175</v>
      </c>
      <c r="G10899" t="str">
        <f>"89715"</f>
        <v>89715</v>
      </c>
      <c r="H10899">
        <v>1</v>
      </c>
      <c r="I10899">
        <v>5523</v>
      </c>
      <c r="J10899">
        <v>0</v>
      </c>
      <c r="K10899" t="str">
        <f t="shared" si="1953"/>
        <v>809</v>
      </c>
      <c r="L10899">
        <v>3589.95</v>
      </c>
    </row>
    <row r="10900" spans="1:12" x14ac:dyDescent="0.25">
      <c r="A10900" t="str">
        <f t="shared" si="1954"/>
        <v>89301000</v>
      </c>
      <c r="B10900" t="str">
        <f t="shared" si="1951"/>
        <v>78915000</v>
      </c>
      <c r="C10900" t="str">
        <f t="shared" si="1952"/>
        <v>78915001</v>
      </c>
      <c r="D10900">
        <v>89301292</v>
      </c>
      <c r="E10900" t="str">
        <f>"7762205363"</f>
        <v>7762205363</v>
      </c>
      <c r="F10900" s="1">
        <v>45175</v>
      </c>
      <c r="G10900" t="str">
        <f>"89725"</f>
        <v>89725</v>
      </c>
      <c r="H10900">
        <v>1</v>
      </c>
      <c r="I10900">
        <v>2863</v>
      </c>
      <c r="J10900">
        <v>0</v>
      </c>
      <c r="K10900" t="str">
        <f t="shared" si="1953"/>
        <v>809</v>
      </c>
      <c r="L10900">
        <v>1860.95</v>
      </c>
    </row>
    <row r="10901" spans="1:12" x14ac:dyDescent="0.25">
      <c r="A10901" t="str">
        <f t="shared" si="1954"/>
        <v>89301000</v>
      </c>
      <c r="B10901" t="str">
        <f t="shared" si="1951"/>
        <v>78915000</v>
      </c>
      <c r="C10901" t="str">
        <f t="shared" si="1952"/>
        <v>78915001</v>
      </c>
      <c r="D10901">
        <v>89301292</v>
      </c>
      <c r="E10901" t="str">
        <f>"7762205363"</f>
        <v>7762205363</v>
      </c>
      <c r="F10901" s="1">
        <v>45175</v>
      </c>
      <c r="G10901" t="str">
        <f>"0207733"</f>
        <v>0207733</v>
      </c>
      <c r="H10901">
        <v>1</v>
      </c>
      <c r="J10901">
        <v>2590.5300000000002</v>
      </c>
      <c r="K10901" t="str">
        <f t="shared" si="1953"/>
        <v>809</v>
      </c>
      <c r="L10901">
        <v>2590.5300000000002</v>
      </c>
    </row>
    <row r="10902" spans="1:12" x14ac:dyDescent="0.25">
      <c r="A10902" t="str">
        <f t="shared" si="1954"/>
        <v>89301000</v>
      </c>
      <c r="B10902" t="str">
        <f t="shared" si="1951"/>
        <v>78915000</v>
      </c>
      <c r="C10902" t="str">
        <f t="shared" si="1952"/>
        <v>78915001</v>
      </c>
      <c r="D10902">
        <v>89301062</v>
      </c>
      <c r="E10902" t="str">
        <f>"7954075305"</f>
        <v>7954075305</v>
      </c>
      <c r="F10902" s="1">
        <v>45173</v>
      </c>
      <c r="G10902" t="str">
        <f>"89713"</f>
        <v>89713</v>
      </c>
      <c r="H10902">
        <v>1</v>
      </c>
      <c r="I10902">
        <v>5411</v>
      </c>
      <c r="J10902">
        <v>0</v>
      </c>
      <c r="K10902" t="str">
        <f t="shared" si="1953"/>
        <v>809</v>
      </c>
      <c r="L10902">
        <v>3517.15</v>
      </c>
    </row>
    <row r="10903" spans="1:12" x14ac:dyDescent="0.25">
      <c r="A10903" t="str">
        <f t="shared" si="1954"/>
        <v>89301000</v>
      </c>
      <c r="B10903" t="str">
        <f t="shared" si="1951"/>
        <v>78915000</v>
      </c>
      <c r="C10903" t="str">
        <f t="shared" si="1952"/>
        <v>78915001</v>
      </c>
      <c r="D10903">
        <v>89301062</v>
      </c>
      <c r="E10903" t="str">
        <f>"7954075305"</f>
        <v>7954075305</v>
      </c>
      <c r="F10903" s="1">
        <v>45173</v>
      </c>
      <c r="G10903" t="str">
        <f>"89725"</f>
        <v>89725</v>
      </c>
      <c r="H10903">
        <v>1</v>
      </c>
      <c r="I10903">
        <v>2863</v>
      </c>
      <c r="J10903">
        <v>0</v>
      </c>
      <c r="K10903" t="str">
        <f t="shared" si="1953"/>
        <v>809</v>
      </c>
      <c r="L10903">
        <v>1860.95</v>
      </c>
    </row>
    <row r="10904" spans="1:12" x14ac:dyDescent="0.25">
      <c r="A10904" t="str">
        <f t="shared" si="1954"/>
        <v>89301000</v>
      </c>
      <c r="B10904" t="str">
        <f t="shared" si="1951"/>
        <v>78915000</v>
      </c>
      <c r="C10904" t="str">
        <f t="shared" si="1952"/>
        <v>78915001</v>
      </c>
      <c r="D10904">
        <v>89301212</v>
      </c>
      <c r="E10904" t="str">
        <f>"8052105325"</f>
        <v>8052105325</v>
      </c>
      <c r="F10904" s="1">
        <v>45175</v>
      </c>
      <c r="G10904" t="str">
        <f>"89715"</f>
        <v>89715</v>
      </c>
      <c r="H10904">
        <v>1</v>
      </c>
      <c r="I10904">
        <v>5523</v>
      </c>
      <c r="J10904">
        <v>0</v>
      </c>
      <c r="K10904" t="str">
        <f t="shared" si="1953"/>
        <v>809</v>
      </c>
      <c r="L10904">
        <v>3589.95</v>
      </c>
    </row>
    <row r="10905" spans="1:12" x14ac:dyDescent="0.25">
      <c r="A10905" t="str">
        <f t="shared" si="1954"/>
        <v>89301000</v>
      </c>
      <c r="B10905" t="str">
        <f t="shared" si="1951"/>
        <v>78915000</v>
      </c>
      <c r="C10905" t="str">
        <f t="shared" si="1952"/>
        <v>78915001</v>
      </c>
      <c r="D10905">
        <v>89301212</v>
      </c>
      <c r="E10905" t="str">
        <f>"8052105325"</f>
        <v>8052105325</v>
      </c>
      <c r="F10905" s="1">
        <v>45175</v>
      </c>
      <c r="G10905" t="str">
        <f>"89725"</f>
        <v>89725</v>
      </c>
      <c r="H10905">
        <v>1</v>
      </c>
      <c r="I10905">
        <v>2863</v>
      </c>
      <c r="J10905">
        <v>0</v>
      </c>
      <c r="K10905" t="str">
        <f t="shared" si="1953"/>
        <v>809</v>
      </c>
      <c r="L10905">
        <v>1860.95</v>
      </c>
    </row>
    <row r="10906" spans="1:12" x14ac:dyDescent="0.25">
      <c r="A10906" t="str">
        <f t="shared" si="1954"/>
        <v>89301000</v>
      </c>
      <c r="B10906" t="str">
        <f t="shared" si="1951"/>
        <v>78915000</v>
      </c>
      <c r="C10906" t="str">
        <f t="shared" si="1952"/>
        <v>78915001</v>
      </c>
      <c r="D10906">
        <v>89301212</v>
      </c>
      <c r="E10906" t="str">
        <f>"8052105325"</f>
        <v>8052105325</v>
      </c>
      <c r="F10906" s="1">
        <v>45175</v>
      </c>
      <c r="G10906" t="str">
        <f>"0207733"</f>
        <v>0207733</v>
      </c>
      <c r="H10906">
        <v>1</v>
      </c>
      <c r="J10906">
        <v>2590.5300000000002</v>
      </c>
      <c r="K10906" t="str">
        <f t="shared" si="1953"/>
        <v>809</v>
      </c>
      <c r="L10906">
        <v>2590.5300000000002</v>
      </c>
    </row>
    <row r="10907" spans="1:12" x14ac:dyDescent="0.25">
      <c r="A10907" t="str">
        <f t="shared" si="1954"/>
        <v>89301000</v>
      </c>
      <c r="B10907" t="str">
        <f t="shared" si="1951"/>
        <v>78915000</v>
      </c>
      <c r="C10907" t="str">
        <f t="shared" si="1952"/>
        <v>78915001</v>
      </c>
      <c r="D10907">
        <v>89301112</v>
      </c>
      <c r="E10907" t="str">
        <f>"8205155332"</f>
        <v>8205155332</v>
      </c>
      <c r="F10907" s="1">
        <v>45192</v>
      </c>
      <c r="G10907" t="str">
        <f>"09569"</f>
        <v>09569</v>
      </c>
      <c r="H10907">
        <v>1</v>
      </c>
      <c r="I10907">
        <v>0</v>
      </c>
      <c r="J10907">
        <v>0</v>
      </c>
      <c r="K10907" t="str">
        <f t="shared" si="1953"/>
        <v>809</v>
      </c>
      <c r="L10907">
        <v>0</v>
      </c>
    </row>
    <row r="10908" spans="1:12" x14ac:dyDescent="0.25">
      <c r="A10908" t="str">
        <f t="shared" si="1954"/>
        <v>89301000</v>
      </c>
      <c r="B10908" t="str">
        <f t="shared" ref="B10908:B10921" si="1955">"78915000"</f>
        <v>78915000</v>
      </c>
      <c r="C10908" t="str">
        <f t="shared" ref="C10908:C10921" si="1956">"78915001"</f>
        <v>78915001</v>
      </c>
      <c r="D10908">
        <v>89301112</v>
      </c>
      <c r="E10908" t="str">
        <f>"8205155332"</f>
        <v>8205155332</v>
      </c>
      <c r="F10908" s="1">
        <v>45192</v>
      </c>
      <c r="G10908" t="str">
        <f>"89713"</f>
        <v>89713</v>
      </c>
      <c r="H10908">
        <v>1</v>
      </c>
      <c r="I10908">
        <v>5411</v>
      </c>
      <c r="J10908">
        <v>0</v>
      </c>
      <c r="K10908" t="str">
        <f t="shared" ref="K10908:K10939" si="1957">"809"</f>
        <v>809</v>
      </c>
      <c r="L10908">
        <v>3517.15</v>
      </c>
    </row>
    <row r="10909" spans="1:12" x14ac:dyDescent="0.25">
      <c r="A10909" t="str">
        <f t="shared" si="1954"/>
        <v>89301000</v>
      </c>
      <c r="B10909" t="str">
        <f t="shared" si="1955"/>
        <v>78915000</v>
      </c>
      <c r="C10909" t="str">
        <f t="shared" si="1956"/>
        <v>78915001</v>
      </c>
      <c r="D10909">
        <v>89301606</v>
      </c>
      <c r="E10909" t="str">
        <f>"8255035316"</f>
        <v>8255035316</v>
      </c>
      <c r="F10909" s="1">
        <v>45187</v>
      </c>
      <c r="G10909" t="str">
        <f>"89713"</f>
        <v>89713</v>
      </c>
      <c r="H10909">
        <v>1</v>
      </c>
      <c r="I10909">
        <v>5411</v>
      </c>
      <c r="J10909">
        <v>0</v>
      </c>
      <c r="K10909" t="str">
        <f t="shared" si="1957"/>
        <v>809</v>
      </c>
      <c r="L10909">
        <v>3517.15</v>
      </c>
    </row>
    <row r="10910" spans="1:12" x14ac:dyDescent="0.25">
      <c r="A10910" t="str">
        <f t="shared" si="1954"/>
        <v>89301000</v>
      </c>
      <c r="B10910" t="str">
        <f t="shared" si="1955"/>
        <v>78915000</v>
      </c>
      <c r="C10910" t="str">
        <f t="shared" si="1956"/>
        <v>78915001</v>
      </c>
      <c r="D10910">
        <v>89301606</v>
      </c>
      <c r="E10910" t="str">
        <f>"8255035316"</f>
        <v>8255035316</v>
      </c>
      <c r="F10910" s="1">
        <v>45187</v>
      </c>
      <c r="G10910" t="str">
        <f>"89725"</f>
        <v>89725</v>
      </c>
      <c r="H10910">
        <v>1</v>
      </c>
      <c r="I10910">
        <v>2863</v>
      </c>
      <c r="J10910">
        <v>0</v>
      </c>
      <c r="K10910" t="str">
        <f t="shared" si="1957"/>
        <v>809</v>
      </c>
      <c r="L10910">
        <v>1860.95</v>
      </c>
    </row>
    <row r="10911" spans="1:12" x14ac:dyDescent="0.25">
      <c r="A10911" t="str">
        <f t="shared" si="1954"/>
        <v>89301000</v>
      </c>
      <c r="B10911" t="str">
        <f t="shared" si="1955"/>
        <v>78915000</v>
      </c>
      <c r="C10911" t="str">
        <f t="shared" si="1956"/>
        <v>78915001</v>
      </c>
      <c r="D10911">
        <v>89301112</v>
      </c>
      <c r="E10911" t="str">
        <f>"8604025837"</f>
        <v>8604025837</v>
      </c>
      <c r="F10911" s="1">
        <v>45190</v>
      </c>
      <c r="G10911" t="str">
        <f>"89713"</f>
        <v>89713</v>
      </c>
      <c r="H10911">
        <v>1</v>
      </c>
      <c r="I10911">
        <v>5411</v>
      </c>
      <c r="J10911">
        <v>0</v>
      </c>
      <c r="K10911" t="str">
        <f t="shared" si="1957"/>
        <v>809</v>
      </c>
      <c r="L10911">
        <v>3517.15</v>
      </c>
    </row>
    <row r="10912" spans="1:12" x14ac:dyDescent="0.25">
      <c r="A10912" t="str">
        <f t="shared" si="1954"/>
        <v>89301000</v>
      </c>
      <c r="B10912" t="str">
        <f t="shared" si="1955"/>
        <v>78915000</v>
      </c>
      <c r="C10912" t="str">
        <f t="shared" si="1956"/>
        <v>78915001</v>
      </c>
      <c r="D10912">
        <v>89301112</v>
      </c>
      <c r="E10912" t="str">
        <f>"8604025837"</f>
        <v>8604025837</v>
      </c>
      <c r="F10912" s="1">
        <v>45190</v>
      </c>
      <c r="G10912" t="str">
        <f>"89725"</f>
        <v>89725</v>
      </c>
      <c r="H10912">
        <v>1</v>
      </c>
      <c r="I10912">
        <v>2863</v>
      </c>
      <c r="J10912">
        <v>0</v>
      </c>
      <c r="K10912" t="str">
        <f t="shared" si="1957"/>
        <v>809</v>
      </c>
      <c r="L10912">
        <v>1860.95</v>
      </c>
    </row>
    <row r="10913" spans="1:12" x14ac:dyDescent="0.25">
      <c r="A10913" t="str">
        <f t="shared" si="1954"/>
        <v>89301000</v>
      </c>
      <c r="B10913" t="str">
        <f t="shared" si="1955"/>
        <v>78915000</v>
      </c>
      <c r="C10913" t="str">
        <f t="shared" si="1956"/>
        <v>78915001</v>
      </c>
      <c r="D10913">
        <v>89301062</v>
      </c>
      <c r="E10913" t="str">
        <f>"8609146205"</f>
        <v>8609146205</v>
      </c>
      <c r="F10913" s="1">
        <v>45198</v>
      </c>
      <c r="G10913" t="str">
        <f>"89713"</f>
        <v>89713</v>
      </c>
      <c r="H10913">
        <v>2</v>
      </c>
      <c r="I10913">
        <v>10822</v>
      </c>
      <c r="J10913">
        <v>0</v>
      </c>
      <c r="K10913" t="str">
        <f t="shared" si="1957"/>
        <v>809</v>
      </c>
      <c r="L10913">
        <v>7034.3</v>
      </c>
    </row>
    <row r="10914" spans="1:12" x14ac:dyDescent="0.25">
      <c r="A10914" t="str">
        <f t="shared" si="1954"/>
        <v>89301000</v>
      </c>
      <c r="B10914" t="str">
        <f t="shared" si="1955"/>
        <v>78915000</v>
      </c>
      <c r="C10914" t="str">
        <f t="shared" si="1956"/>
        <v>78915001</v>
      </c>
      <c r="D10914">
        <v>89301171</v>
      </c>
      <c r="E10914" t="str">
        <f>"8701144936"</f>
        <v>8701144936</v>
      </c>
      <c r="F10914" s="1">
        <v>45188</v>
      </c>
      <c r="G10914" t="str">
        <f>"89713"</f>
        <v>89713</v>
      </c>
      <c r="H10914">
        <v>2</v>
      </c>
      <c r="I10914">
        <v>10822</v>
      </c>
      <c r="J10914">
        <v>0</v>
      </c>
      <c r="K10914" t="str">
        <f t="shared" si="1957"/>
        <v>809</v>
      </c>
      <c r="L10914">
        <v>7034.3</v>
      </c>
    </row>
    <row r="10915" spans="1:12" x14ac:dyDescent="0.25">
      <c r="A10915" t="str">
        <f t="shared" si="1954"/>
        <v>89301000</v>
      </c>
      <c r="B10915" t="str">
        <f t="shared" si="1955"/>
        <v>78915000</v>
      </c>
      <c r="C10915" t="str">
        <f t="shared" si="1956"/>
        <v>78915001</v>
      </c>
      <c r="D10915">
        <v>89301172</v>
      </c>
      <c r="E10915" t="str">
        <f>"9455205727"</f>
        <v>9455205727</v>
      </c>
      <c r="F10915" s="1">
        <v>45184</v>
      </c>
      <c r="G10915" t="str">
        <f>"89713"</f>
        <v>89713</v>
      </c>
      <c r="H10915">
        <v>2</v>
      </c>
      <c r="I10915">
        <v>10822</v>
      </c>
      <c r="J10915">
        <v>0</v>
      </c>
      <c r="K10915" t="str">
        <f t="shared" si="1957"/>
        <v>809</v>
      </c>
      <c r="L10915">
        <v>7034.3</v>
      </c>
    </row>
    <row r="10916" spans="1:12" x14ac:dyDescent="0.25">
      <c r="A10916" t="str">
        <f t="shared" si="1954"/>
        <v>89301000</v>
      </c>
      <c r="B10916" t="str">
        <f t="shared" si="1955"/>
        <v>78915000</v>
      </c>
      <c r="C10916" t="str">
        <f t="shared" si="1956"/>
        <v>78915001</v>
      </c>
      <c r="D10916">
        <v>89301112</v>
      </c>
      <c r="E10916" t="str">
        <f>"9903225145"</f>
        <v>9903225145</v>
      </c>
      <c r="F10916" s="1">
        <v>45195</v>
      </c>
      <c r="G10916" t="str">
        <f>"89713"</f>
        <v>89713</v>
      </c>
      <c r="H10916">
        <v>1</v>
      </c>
      <c r="I10916">
        <v>5411</v>
      </c>
      <c r="J10916">
        <v>0</v>
      </c>
      <c r="K10916" t="str">
        <f t="shared" si="1957"/>
        <v>809</v>
      </c>
      <c r="L10916">
        <v>3517.15</v>
      </c>
    </row>
    <row r="10917" spans="1:12" x14ac:dyDescent="0.25">
      <c r="A10917" t="str">
        <f t="shared" si="1954"/>
        <v>89301000</v>
      </c>
      <c r="B10917" t="str">
        <f t="shared" si="1955"/>
        <v>78915000</v>
      </c>
      <c r="C10917" t="str">
        <f t="shared" si="1956"/>
        <v>78915001</v>
      </c>
      <c r="D10917">
        <v>89301112</v>
      </c>
      <c r="E10917" t="str">
        <f>"9903225145"</f>
        <v>9903225145</v>
      </c>
      <c r="F10917" s="1">
        <v>45195</v>
      </c>
      <c r="G10917" t="str">
        <f>"89725"</f>
        <v>89725</v>
      </c>
      <c r="H10917">
        <v>1</v>
      </c>
      <c r="I10917">
        <v>2863</v>
      </c>
      <c r="J10917">
        <v>0</v>
      </c>
      <c r="K10917" t="str">
        <f t="shared" si="1957"/>
        <v>809</v>
      </c>
      <c r="L10917">
        <v>1860.95</v>
      </c>
    </row>
    <row r="10918" spans="1:12" x14ac:dyDescent="0.25">
      <c r="A10918" t="str">
        <f t="shared" si="1954"/>
        <v>89301000</v>
      </c>
      <c r="B10918" t="str">
        <f t="shared" si="1955"/>
        <v>78915000</v>
      </c>
      <c r="C10918" t="str">
        <f t="shared" si="1956"/>
        <v>78915001</v>
      </c>
      <c r="D10918">
        <v>89301112</v>
      </c>
      <c r="E10918" t="str">
        <f>"7254155326"</f>
        <v>7254155326</v>
      </c>
      <c r="F10918" s="1">
        <v>45121</v>
      </c>
      <c r="G10918" t="str">
        <f>"09569"</f>
        <v>09569</v>
      </c>
      <c r="H10918">
        <v>1</v>
      </c>
      <c r="I10918">
        <v>0</v>
      </c>
      <c r="J10918">
        <v>0</v>
      </c>
      <c r="K10918" t="str">
        <f t="shared" si="1957"/>
        <v>809</v>
      </c>
      <c r="L10918">
        <v>0</v>
      </c>
    </row>
    <row r="10919" spans="1:12" x14ac:dyDescent="0.25">
      <c r="A10919" t="str">
        <f t="shared" si="1954"/>
        <v>89301000</v>
      </c>
      <c r="B10919" t="str">
        <f t="shared" si="1955"/>
        <v>78915000</v>
      </c>
      <c r="C10919" t="str">
        <f t="shared" si="1956"/>
        <v>78915001</v>
      </c>
      <c r="D10919">
        <v>89301112</v>
      </c>
      <c r="E10919" t="str">
        <f>"7254155326"</f>
        <v>7254155326</v>
      </c>
      <c r="F10919" s="1">
        <v>45121</v>
      </c>
      <c r="G10919" t="str">
        <f>"89713"</f>
        <v>89713</v>
      </c>
      <c r="H10919">
        <v>1</v>
      </c>
      <c r="I10919">
        <v>5411</v>
      </c>
      <c r="J10919">
        <v>0</v>
      </c>
      <c r="K10919" t="str">
        <f t="shared" si="1957"/>
        <v>809</v>
      </c>
      <c r="L10919">
        <v>3517.15</v>
      </c>
    </row>
    <row r="10920" spans="1:12" x14ac:dyDescent="0.25">
      <c r="A10920" t="str">
        <f t="shared" si="1954"/>
        <v>89301000</v>
      </c>
      <c r="B10920" t="str">
        <f t="shared" si="1955"/>
        <v>78915000</v>
      </c>
      <c r="C10920" t="str">
        <f t="shared" si="1956"/>
        <v>78915001</v>
      </c>
      <c r="D10920">
        <v>89301112</v>
      </c>
      <c r="E10920" t="str">
        <f>"7552015306"</f>
        <v>7552015306</v>
      </c>
      <c r="F10920" s="1">
        <v>45149</v>
      </c>
      <c r="G10920" t="str">
        <f>"09567"</f>
        <v>09567</v>
      </c>
      <c r="H10920">
        <v>1</v>
      </c>
      <c r="I10920">
        <v>0</v>
      </c>
      <c r="J10920">
        <v>0</v>
      </c>
      <c r="K10920" t="str">
        <f t="shared" si="1957"/>
        <v>809</v>
      </c>
      <c r="L10920">
        <v>0</v>
      </c>
    </row>
    <row r="10921" spans="1:12" x14ac:dyDescent="0.25">
      <c r="A10921" t="str">
        <f t="shared" si="1954"/>
        <v>89301000</v>
      </c>
      <c r="B10921" t="str">
        <f t="shared" si="1955"/>
        <v>78915000</v>
      </c>
      <c r="C10921" t="str">
        <f t="shared" si="1956"/>
        <v>78915001</v>
      </c>
      <c r="D10921">
        <v>89301112</v>
      </c>
      <c r="E10921" t="str">
        <f>"7552015306"</f>
        <v>7552015306</v>
      </c>
      <c r="F10921" s="1">
        <v>45149</v>
      </c>
      <c r="G10921" t="str">
        <f>"89713"</f>
        <v>89713</v>
      </c>
      <c r="H10921">
        <v>1</v>
      </c>
      <c r="I10921">
        <v>5411</v>
      </c>
      <c r="J10921">
        <v>0</v>
      </c>
      <c r="K10921" t="str">
        <f t="shared" si="1957"/>
        <v>809</v>
      </c>
      <c r="L10921">
        <v>3517.15</v>
      </c>
    </row>
    <row r="10922" spans="1:12" x14ac:dyDescent="0.25">
      <c r="A10922" t="str">
        <f t="shared" si="1954"/>
        <v>89301000</v>
      </c>
      <c r="B10922" t="str">
        <f t="shared" ref="B10922:C10941" si="1958">"89063000"</f>
        <v>89063000</v>
      </c>
      <c r="C10922" t="str">
        <f t="shared" si="1958"/>
        <v>89063000</v>
      </c>
      <c r="D10922">
        <v>89301037</v>
      </c>
      <c r="E10922" t="str">
        <f>"7856275317"</f>
        <v>7856275317</v>
      </c>
      <c r="F10922" s="1">
        <v>45170</v>
      </c>
      <c r="G10922" t="str">
        <f t="shared" ref="G10922:G10953" si="1959">"89312"</f>
        <v>89312</v>
      </c>
      <c r="H10922">
        <v>3</v>
      </c>
      <c r="I10922">
        <v>936</v>
      </c>
      <c r="J10922">
        <v>0</v>
      </c>
      <c r="K10922" t="str">
        <f t="shared" si="1957"/>
        <v>809</v>
      </c>
      <c r="L10922">
        <v>1020.24</v>
      </c>
    </row>
    <row r="10923" spans="1:12" x14ac:dyDescent="0.25">
      <c r="A10923" t="str">
        <f t="shared" si="1954"/>
        <v>89301000</v>
      </c>
      <c r="B10923" t="str">
        <f t="shared" si="1958"/>
        <v>89063000</v>
      </c>
      <c r="C10923" t="str">
        <f t="shared" si="1958"/>
        <v>89063000</v>
      </c>
      <c r="D10923">
        <v>89301037</v>
      </c>
      <c r="E10923" t="str">
        <f>"6054181859"</f>
        <v>6054181859</v>
      </c>
      <c r="F10923" s="1">
        <v>45170</v>
      </c>
      <c r="G10923" t="str">
        <f t="shared" si="1959"/>
        <v>89312</v>
      </c>
      <c r="H10923">
        <v>3</v>
      </c>
      <c r="I10923">
        <v>936</v>
      </c>
      <c r="J10923">
        <v>0</v>
      </c>
      <c r="K10923" t="str">
        <f t="shared" si="1957"/>
        <v>809</v>
      </c>
      <c r="L10923">
        <v>1020.24</v>
      </c>
    </row>
    <row r="10924" spans="1:12" x14ac:dyDescent="0.25">
      <c r="A10924" t="str">
        <f t="shared" si="1954"/>
        <v>89301000</v>
      </c>
      <c r="B10924" t="str">
        <f t="shared" si="1958"/>
        <v>89063000</v>
      </c>
      <c r="C10924" t="str">
        <f t="shared" si="1958"/>
        <v>89063000</v>
      </c>
      <c r="D10924">
        <v>89301212</v>
      </c>
      <c r="E10924" t="str">
        <f>"535404202"</f>
        <v>535404202</v>
      </c>
      <c r="F10924" s="1">
        <v>45170</v>
      </c>
      <c r="G10924" t="str">
        <f t="shared" si="1959"/>
        <v>89312</v>
      </c>
      <c r="H10924">
        <v>3</v>
      </c>
      <c r="I10924">
        <v>936</v>
      </c>
      <c r="J10924">
        <v>0</v>
      </c>
      <c r="K10924" t="str">
        <f t="shared" si="1957"/>
        <v>809</v>
      </c>
      <c r="L10924">
        <v>1020.24</v>
      </c>
    </row>
    <row r="10925" spans="1:12" x14ac:dyDescent="0.25">
      <c r="A10925" t="str">
        <f t="shared" si="1954"/>
        <v>89301000</v>
      </c>
      <c r="B10925" t="str">
        <f t="shared" si="1958"/>
        <v>89063000</v>
      </c>
      <c r="C10925" t="str">
        <f t="shared" si="1958"/>
        <v>89063000</v>
      </c>
      <c r="D10925">
        <v>89301037</v>
      </c>
      <c r="E10925" t="str">
        <f>"5908091310"</f>
        <v>5908091310</v>
      </c>
      <c r="F10925" s="1">
        <v>45173</v>
      </c>
      <c r="G10925" t="str">
        <f t="shared" si="1959"/>
        <v>89312</v>
      </c>
      <c r="H10925">
        <v>3</v>
      </c>
      <c r="I10925">
        <v>936</v>
      </c>
      <c r="J10925">
        <v>0</v>
      </c>
      <c r="K10925" t="str">
        <f t="shared" si="1957"/>
        <v>809</v>
      </c>
      <c r="L10925">
        <v>1020.24</v>
      </c>
    </row>
    <row r="10926" spans="1:12" x14ac:dyDescent="0.25">
      <c r="A10926" t="str">
        <f t="shared" si="1954"/>
        <v>89301000</v>
      </c>
      <c r="B10926" t="str">
        <f t="shared" si="1958"/>
        <v>89063000</v>
      </c>
      <c r="C10926" t="str">
        <f t="shared" si="1958"/>
        <v>89063000</v>
      </c>
      <c r="D10926">
        <v>89301212</v>
      </c>
      <c r="E10926" t="str">
        <f>"425214491"</f>
        <v>425214491</v>
      </c>
      <c r="F10926" s="1">
        <v>45173</v>
      </c>
      <c r="G10926" t="str">
        <f t="shared" si="1959"/>
        <v>89312</v>
      </c>
      <c r="H10926">
        <v>3</v>
      </c>
      <c r="I10926">
        <v>936</v>
      </c>
      <c r="J10926">
        <v>0</v>
      </c>
      <c r="K10926" t="str">
        <f t="shared" si="1957"/>
        <v>809</v>
      </c>
      <c r="L10926">
        <v>1020.24</v>
      </c>
    </row>
    <row r="10927" spans="1:12" x14ac:dyDescent="0.25">
      <c r="A10927" t="str">
        <f t="shared" si="1954"/>
        <v>89301000</v>
      </c>
      <c r="B10927" t="str">
        <f t="shared" si="1958"/>
        <v>89063000</v>
      </c>
      <c r="C10927" t="str">
        <f t="shared" si="1958"/>
        <v>89063000</v>
      </c>
      <c r="D10927">
        <v>89301212</v>
      </c>
      <c r="E10927" t="str">
        <f>"6462251697"</f>
        <v>6462251697</v>
      </c>
      <c r="F10927" s="1">
        <v>45173</v>
      </c>
      <c r="G10927" t="str">
        <f t="shared" si="1959"/>
        <v>89312</v>
      </c>
      <c r="H10927">
        <v>3</v>
      </c>
      <c r="I10927">
        <v>936</v>
      </c>
      <c r="J10927">
        <v>0</v>
      </c>
      <c r="K10927" t="str">
        <f t="shared" si="1957"/>
        <v>809</v>
      </c>
      <c r="L10927">
        <v>1020.24</v>
      </c>
    </row>
    <row r="10928" spans="1:12" x14ac:dyDescent="0.25">
      <c r="A10928" t="str">
        <f t="shared" si="1954"/>
        <v>89301000</v>
      </c>
      <c r="B10928" t="str">
        <f t="shared" si="1958"/>
        <v>89063000</v>
      </c>
      <c r="C10928" t="str">
        <f t="shared" si="1958"/>
        <v>89063000</v>
      </c>
      <c r="D10928">
        <v>89301037</v>
      </c>
      <c r="E10928" t="str">
        <f>"455603416"</f>
        <v>455603416</v>
      </c>
      <c r="F10928" s="1">
        <v>45174</v>
      </c>
      <c r="G10928" t="str">
        <f t="shared" si="1959"/>
        <v>89312</v>
      </c>
      <c r="H10928">
        <v>3</v>
      </c>
      <c r="I10928">
        <v>936</v>
      </c>
      <c r="J10928">
        <v>0</v>
      </c>
      <c r="K10928" t="str">
        <f t="shared" si="1957"/>
        <v>809</v>
      </c>
      <c r="L10928">
        <v>1020.24</v>
      </c>
    </row>
    <row r="10929" spans="1:12" x14ac:dyDescent="0.25">
      <c r="A10929" t="str">
        <f t="shared" si="1954"/>
        <v>89301000</v>
      </c>
      <c r="B10929" t="str">
        <f t="shared" si="1958"/>
        <v>89063000</v>
      </c>
      <c r="C10929" t="str">
        <f t="shared" si="1958"/>
        <v>89063000</v>
      </c>
      <c r="D10929">
        <v>89301037</v>
      </c>
      <c r="E10929" t="str">
        <f>"6158110332"</f>
        <v>6158110332</v>
      </c>
      <c r="F10929" s="1">
        <v>45174</v>
      </c>
      <c r="G10929" t="str">
        <f t="shared" si="1959"/>
        <v>89312</v>
      </c>
      <c r="H10929">
        <v>3</v>
      </c>
      <c r="I10929">
        <v>936</v>
      </c>
      <c r="J10929">
        <v>0</v>
      </c>
      <c r="K10929" t="str">
        <f t="shared" si="1957"/>
        <v>809</v>
      </c>
      <c r="L10929">
        <v>1020.24</v>
      </c>
    </row>
    <row r="10930" spans="1:12" x14ac:dyDescent="0.25">
      <c r="A10930" t="str">
        <f t="shared" si="1954"/>
        <v>89301000</v>
      </c>
      <c r="B10930" t="str">
        <f t="shared" si="1958"/>
        <v>89063000</v>
      </c>
      <c r="C10930" t="str">
        <f t="shared" si="1958"/>
        <v>89063000</v>
      </c>
      <c r="D10930">
        <v>89301037</v>
      </c>
      <c r="E10930" t="str">
        <f>"6554172042"</f>
        <v>6554172042</v>
      </c>
      <c r="F10930" s="1">
        <v>45174</v>
      </c>
      <c r="G10930" t="str">
        <f t="shared" si="1959"/>
        <v>89312</v>
      </c>
      <c r="H10930">
        <v>3</v>
      </c>
      <c r="I10930">
        <v>936</v>
      </c>
      <c r="J10930">
        <v>0</v>
      </c>
      <c r="K10930" t="str">
        <f t="shared" si="1957"/>
        <v>809</v>
      </c>
      <c r="L10930">
        <v>1020.24</v>
      </c>
    </row>
    <row r="10931" spans="1:12" x14ac:dyDescent="0.25">
      <c r="A10931" t="str">
        <f t="shared" si="1954"/>
        <v>89301000</v>
      </c>
      <c r="B10931" t="str">
        <f t="shared" si="1958"/>
        <v>89063000</v>
      </c>
      <c r="C10931" t="str">
        <f t="shared" si="1958"/>
        <v>89063000</v>
      </c>
      <c r="D10931">
        <v>89301037</v>
      </c>
      <c r="E10931" t="str">
        <f>"526002173"</f>
        <v>526002173</v>
      </c>
      <c r="F10931" s="1">
        <v>45175</v>
      </c>
      <c r="G10931" t="str">
        <f t="shared" si="1959"/>
        <v>89312</v>
      </c>
      <c r="H10931">
        <v>3</v>
      </c>
      <c r="I10931">
        <v>936</v>
      </c>
      <c r="J10931">
        <v>0</v>
      </c>
      <c r="K10931" t="str">
        <f t="shared" si="1957"/>
        <v>809</v>
      </c>
      <c r="L10931">
        <v>1020.24</v>
      </c>
    </row>
    <row r="10932" spans="1:12" x14ac:dyDescent="0.25">
      <c r="A10932" t="str">
        <f t="shared" si="1954"/>
        <v>89301000</v>
      </c>
      <c r="B10932" t="str">
        <f t="shared" si="1958"/>
        <v>89063000</v>
      </c>
      <c r="C10932" t="str">
        <f t="shared" si="1958"/>
        <v>89063000</v>
      </c>
      <c r="D10932">
        <v>89301037</v>
      </c>
      <c r="E10932" t="str">
        <f>"5562081580"</f>
        <v>5562081580</v>
      </c>
      <c r="F10932" s="1">
        <v>45175</v>
      </c>
      <c r="G10932" t="str">
        <f t="shared" si="1959"/>
        <v>89312</v>
      </c>
      <c r="H10932">
        <v>3</v>
      </c>
      <c r="I10932">
        <v>936</v>
      </c>
      <c r="J10932">
        <v>0</v>
      </c>
      <c r="K10932" t="str">
        <f t="shared" si="1957"/>
        <v>809</v>
      </c>
      <c r="L10932">
        <v>1020.24</v>
      </c>
    </row>
    <row r="10933" spans="1:12" x14ac:dyDescent="0.25">
      <c r="A10933" t="str">
        <f t="shared" si="1954"/>
        <v>89301000</v>
      </c>
      <c r="B10933" t="str">
        <f t="shared" si="1958"/>
        <v>89063000</v>
      </c>
      <c r="C10933" t="str">
        <f t="shared" si="1958"/>
        <v>89063000</v>
      </c>
      <c r="D10933">
        <v>89301037</v>
      </c>
      <c r="E10933" t="str">
        <f>"515503034"</f>
        <v>515503034</v>
      </c>
      <c r="F10933" s="1">
        <v>45177</v>
      </c>
      <c r="G10933" t="str">
        <f t="shared" si="1959"/>
        <v>89312</v>
      </c>
      <c r="H10933">
        <v>3</v>
      </c>
      <c r="I10933">
        <v>936</v>
      </c>
      <c r="J10933">
        <v>0</v>
      </c>
      <c r="K10933" t="str">
        <f t="shared" si="1957"/>
        <v>809</v>
      </c>
      <c r="L10933">
        <v>1020.24</v>
      </c>
    </row>
    <row r="10934" spans="1:12" x14ac:dyDescent="0.25">
      <c r="A10934" t="str">
        <f t="shared" si="1954"/>
        <v>89301000</v>
      </c>
      <c r="B10934" t="str">
        <f t="shared" si="1958"/>
        <v>89063000</v>
      </c>
      <c r="C10934" t="str">
        <f t="shared" si="1958"/>
        <v>89063000</v>
      </c>
      <c r="D10934">
        <v>89301037</v>
      </c>
      <c r="E10934" t="str">
        <f>"6253040167"</f>
        <v>6253040167</v>
      </c>
      <c r="F10934" s="1">
        <v>45175</v>
      </c>
      <c r="G10934" t="str">
        <f t="shared" si="1959"/>
        <v>89312</v>
      </c>
      <c r="H10934">
        <v>3</v>
      </c>
      <c r="I10934">
        <v>936</v>
      </c>
      <c r="J10934">
        <v>0</v>
      </c>
      <c r="K10934" t="str">
        <f t="shared" si="1957"/>
        <v>809</v>
      </c>
      <c r="L10934">
        <v>1020.24</v>
      </c>
    </row>
    <row r="10935" spans="1:12" x14ac:dyDescent="0.25">
      <c r="A10935" t="str">
        <f t="shared" si="1954"/>
        <v>89301000</v>
      </c>
      <c r="B10935" t="str">
        <f t="shared" si="1958"/>
        <v>89063000</v>
      </c>
      <c r="C10935" t="str">
        <f t="shared" si="1958"/>
        <v>89063000</v>
      </c>
      <c r="D10935">
        <v>89301036</v>
      </c>
      <c r="E10935" t="str">
        <f>"5957060835"</f>
        <v>5957060835</v>
      </c>
      <c r="F10935" s="1">
        <v>45175</v>
      </c>
      <c r="G10935" t="str">
        <f t="shared" si="1959"/>
        <v>89312</v>
      </c>
      <c r="H10935">
        <v>3</v>
      </c>
      <c r="I10935">
        <v>936</v>
      </c>
      <c r="J10935">
        <v>0</v>
      </c>
      <c r="K10935" t="str">
        <f t="shared" si="1957"/>
        <v>809</v>
      </c>
      <c r="L10935">
        <v>1020.24</v>
      </c>
    </row>
    <row r="10936" spans="1:12" x14ac:dyDescent="0.25">
      <c r="A10936" t="str">
        <f t="shared" si="1954"/>
        <v>89301000</v>
      </c>
      <c r="B10936" t="str">
        <f t="shared" si="1958"/>
        <v>89063000</v>
      </c>
      <c r="C10936" t="str">
        <f t="shared" si="1958"/>
        <v>89063000</v>
      </c>
      <c r="D10936">
        <v>89301036</v>
      </c>
      <c r="E10936" t="str">
        <f>"6306222373"</f>
        <v>6306222373</v>
      </c>
      <c r="F10936" s="1">
        <v>45175</v>
      </c>
      <c r="G10936" t="str">
        <f t="shared" si="1959"/>
        <v>89312</v>
      </c>
      <c r="H10936">
        <v>3</v>
      </c>
      <c r="I10936">
        <v>936</v>
      </c>
      <c r="J10936">
        <v>0</v>
      </c>
      <c r="K10936" t="str">
        <f t="shared" si="1957"/>
        <v>809</v>
      </c>
      <c r="L10936">
        <v>1020.24</v>
      </c>
    </row>
    <row r="10937" spans="1:12" x14ac:dyDescent="0.25">
      <c r="A10937" t="str">
        <f t="shared" si="1954"/>
        <v>89301000</v>
      </c>
      <c r="B10937" t="str">
        <f t="shared" si="1958"/>
        <v>89063000</v>
      </c>
      <c r="C10937" t="str">
        <f t="shared" si="1958"/>
        <v>89063000</v>
      </c>
      <c r="D10937">
        <v>89301037</v>
      </c>
      <c r="E10937" t="str">
        <f>"5504110711"</f>
        <v>5504110711</v>
      </c>
      <c r="F10937" s="1">
        <v>45176</v>
      </c>
      <c r="G10937" t="str">
        <f t="shared" si="1959"/>
        <v>89312</v>
      </c>
      <c r="H10937">
        <v>3</v>
      </c>
      <c r="I10937">
        <v>936</v>
      </c>
      <c r="J10937">
        <v>0</v>
      </c>
      <c r="K10937" t="str">
        <f t="shared" si="1957"/>
        <v>809</v>
      </c>
      <c r="L10937">
        <v>1020.24</v>
      </c>
    </row>
    <row r="10938" spans="1:12" x14ac:dyDescent="0.25">
      <c r="A10938" t="str">
        <f t="shared" si="1954"/>
        <v>89301000</v>
      </c>
      <c r="B10938" t="str">
        <f t="shared" si="1958"/>
        <v>89063000</v>
      </c>
      <c r="C10938" t="str">
        <f t="shared" si="1958"/>
        <v>89063000</v>
      </c>
      <c r="D10938">
        <v>89301037</v>
      </c>
      <c r="E10938" t="str">
        <f>"9311305707"</f>
        <v>9311305707</v>
      </c>
      <c r="F10938" s="1">
        <v>45176</v>
      </c>
      <c r="G10938" t="str">
        <f t="shared" si="1959"/>
        <v>89312</v>
      </c>
      <c r="H10938">
        <v>3</v>
      </c>
      <c r="I10938">
        <v>936</v>
      </c>
      <c r="J10938">
        <v>0</v>
      </c>
      <c r="K10938" t="str">
        <f t="shared" si="1957"/>
        <v>809</v>
      </c>
      <c r="L10938">
        <v>1020.24</v>
      </c>
    </row>
    <row r="10939" spans="1:12" x14ac:dyDescent="0.25">
      <c r="A10939" t="str">
        <f t="shared" si="1954"/>
        <v>89301000</v>
      </c>
      <c r="B10939" t="str">
        <f t="shared" si="1958"/>
        <v>89063000</v>
      </c>
      <c r="C10939" t="str">
        <f t="shared" si="1958"/>
        <v>89063000</v>
      </c>
      <c r="D10939">
        <v>89301037</v>
      </c>
      <c r="E10939" t="str">
        <f>"460619465"</f>
        <v>460619465</v>
      </c>
      <c r="F10939" s="1">
        <v>45176</v>
      </c>
      <c r="G10939" t="str">
        <f t="shared" si="1959"/>
        <v>89312</v>
      </c>
      <c r="H10939">
        <v>3</v>
      </c>
      <c r="I10939">
        <v>936</v>
      </c>
      <c r="J10939">
        <v>0</v>
      </c>
      <c r="K10939" t="str">
        <f t="shared" si="1957"/>
        <v>809</v>
      </c>
      <c r="L10939">
        <v>1020.24</v>
      </c>
    </row>
    <row r="10940" spans="1:12" x14ac:dyDescent="0.25">
      <c r="A10940" t="str">
        <f t="shared" si="1954"/>
        <v>89301000</v>
      </c>
      <c r="B10940" t="str">
        <f t="shared" si="1958"/>
        <v>89063000</v>
      </c>
      <c r="C10940" t="str">
        <f t="shared" si="1958"/>
        <v>89063000</v>
      </c>
      <c r="D10940">
        <v>89301037</v>
      </c>
      <c r="E10940" t="str">
        <f>"6656141767"</f>
        <v>6656141767</v>
      </c>
      <c r="F10940" s="1">
        <v>45176</v>
      </c>
      <c r="G10940" t="str">
        <f t="shared" si="1959"/>
        <v>89312</v>
      </c>
      <c r="H10940">
        <v>3</v>
      </c>
      <c r="I10940">
        <v>936</v>
      </c>
      <c r="J10940">
        <v>0</v>
      </c>
      <c r="K10940" t="str">
        <f t="shared" ref="K10940:K10971" si="1960">"809"</f>
        <v>809</v>
      </c>
      <c r="L10940">
        <v>1020.24</v>
      </c>
    </row>
    <row r="10941" spans="1:12" x14ac:dyDescent="0.25">
      <c r="A10941" t="str">
        <f t="shared" si="1954"/>
        <v>89301000</v>
      </c>
      <c r="B10941" t="str">
        <f t="shared" si="1958"/>
        <v>89063000</v>
      </c>
      <c r="C10941" t="str">
        <f t="shared" si="1958"/>
        <v>89063000</v>
      </c>
      <c r="D10941">
        <v>89301162</v>
      </c>
      <c r="E10941" t="str">
        <f>"5554172239"</f>
        <v>5554172239</v>
      </c>
      <c r="F10941" s="1">
        <v>45176</v>
      </c>
      <c r="G10941" t="str">
        <f t="shared" si="1959"/>
        <v>89312</v>
      </c>
      <c r="H10941">
        <v>3</v>
      </c>
      <c r="I10941">
        <v>936</v>
      </c>
      <c r="J10941">
        <v>0</v>
      </c>
      <c r="K10941" t="str">
        <f t="shared" si="1960"/>
        <v>809</v>
      </c>
      <c r="L10941">
        <v>1020.24</v>
      </c>
    </row>
    <row r="10942" spans="1:12" x14ac:dyDescent="0.25">
      <c r="A10942" t="str">
        <f t="shared" si="1954"/>
        <v>89301000</v>
      </c>
      <c r="B10942" t="str">
        <f t="shared" ref="B10942:C10961" si="1961">"89063000"</f>
        <v>89063000</v>
      </c>
      <c r="C10942" t="str">
        <f t="shared" si="1961"/>
        <v>89063000</v>
      </c>
      <c r="D10942">
        <v>89301037</v>
      </c>
      <c r="E10942" t="str">
        <f>"455502447"</f>
        <v>455502447</v>
      </c>
      <c r="F10942" s="1">
        <v>45177</v>
      </c>
      <c r="G10942" t="str">
        <f t="shared" si="1959"/>
        <v>89312</v>
      </c>
      <c r="H10942">
        <v>3</v>
      </c>
      <c r="I10942">
        <v>936</v>
      </c>
      <c r="J10942">
        <v>0</v>
      </c>
      <c r="K10942" t="str">
        <f t="shared" si="1960"/>
        <v>809</v>
      </c>
      <c r="L10942">
        <v>1020.24</v>
      </c>
    </row>
    <row r="10943" spans="1:12" x14ac:dyDescent="0.25">
      <c r="A10943" t="str">
        <f t="shared" si="1954"/>
        <v>89301000</v>
      </c>
      <c r="B10943" t="str">
        <f t="shared" si="1961"/>
        <v>89063000</v>
      </c>
      <c r="C10943" t="str">
        <f t="shared" si="1961"/>
        <v>89063000</v>
      </c>
      <c r="D10943">
        <v>89301212</v>
      </c>
      <c r="E10943" t="str">
        <f>"495412037"</f>
        <v>495412037</v>
      </c>
      <c r="F10943" s="1">
        <v>45177</v>
      </c>
      <c r="G10943" t="str">
        <f t="shared" si="1959"/>
        <v>89312</v>
      </c>
      <c r="H10943">
        <v>3</v>
      </c>
      <c r="I10943">
        <v>936</v>
      </c>
      <c r="J10943">
        <v>0</v>
      </c>
      <c r="K10943" t="str">
        <f t="shared" si="1960"/>
        <v>809</v>
      </c>
      <c r="L10943">
        <v>1020.24</v>
      </c>
    </row>
    <row r="10944" spans="1:12" x14ac:dyDescent="0.25">
      <c r="A10944" t="str">
        <f t="shared" si="1954"/>
        <v>89301000</v>
      </c>
      <c r="B10944" t="str">
        <f t="shared" si="1961"/>
        <v>89063000</v>
      </c>
      <c r="C10944" t="str">
        <f t="shared" si="1961"/>
        <v>89063000</v>
      </c>
      <c r="D10944">
        <v>89301082</v>
      </c>
      <c r="E10944" t="str">
        <f>"6055081538"</f>
        <v>6055081538</v>
      </c>
      <c r="F10944" s="1">
        <v>45177</v>
      </c>
      <c r="G10944" t="str">
        <f t="shared" si="1959"/>
        <v>89312</v>
      </c>
      <c r="H10944">
        <v>3</v>
      </c>
      <c r="I10944">
        <v>936</v>
      </c>
      <c r="J10944">
        <v>0</v>
      </c>
      <c r="K10944" t="str">
        <f t="shared" si="1960"/>
        <v>809</v>
      </c>
      <c r="L10944">
        <v>1020.24</v>
      </c>
    </row>
    <row r="10945" spans="1:12" x14ac:dyDescent="0.25">
      <c r="A10945" t="str">
        <f t="shared" si="1954"/>
        <v>89301000</v>
      </c>
      <c r="B10945" t="str">
        <f t="shared" si="1961"/>
        <v>89063000</v>
      </c>
      <c r="C10945" t="str">
        <f t="shared" si="1961"/>
        <v>89063000</v>
      </c>
      <c r="D10945">
        <v>89301037</v>
      </c>
      <c r="E10945" t="str">
        <f>"485304179"</f>
        <v>485304179</v>
      </c>
      <c r="F10945" s="1">
        <v>45177</v>
      </c>
      <c r="G10945" t="str">
        <f t="shared" si="1959"/>
        <v>89312</v>
      </c>
      <c r="H10945">
        <v>3</v>
      </c>
      <c r="I10945">
        <v>936</v>
      </c>
      <c r="J10945">
        <v>0</v>
      </c>
      <c r="K10945" t="str">
        <f t="shared" si="1960"/>
        <v>809</v>
      </c>
      <c r="L10945">
        <v>1020.24</v>
      </c>
    </row>
    <row r="10946" spans="1:12" x14ac:dyDescent="0.25">
      <c r="A10946" t="str">
        <f t="shared" ref="A10946:A11009" si="1962">"89301000"</f>
        <v>89301000</v>
      </c>
      <c r="B10946" t="str">
        <f t="shared" si="1961"/>
        <v>89063000</v>
      </c>
      <c r="C10946" t="str">
        <f t="shared" si="1961"/>
        <v>89063000</v>
      </c>
      <c r="D10946">
        <v>89301037</v>
      </c>
      <c r="E10946" t="str">
        <f>"6154201009"</f>
        <v>6154201009</v>
      </c>
      <c r="F10946" s="1">
        <v>45180</v>
      </c>
      <c r="G10946" t="str">
        <f t="shared" si="1959"/>
        <v>89312</v>
      </c>
      <c r="H10946">
        <v>3</v>
      </c>
      <c r="I10946">
        <v>936</v>
      </c>
      <c r="J10946">
        <v>0</v>
      </c>
      <c r="K10946" t="str">
        <f t="shared" si="1960"/>
        <v>809</v>
      </c>
      <c r="L10946">
        <v>1020.24</v>
      </c>
    </row>
    <row r="10947" spans="1:12" x14ac:dyDescent="0.25">
      <c r="A10947" t="str">
        <f t="shared" si="1962"/>
        <v>89301000</v>
      </c>
      <c r="B10947" t="str">
        <f t="shared" si="1961"/>
        <v>89063000</v>
      </c>
      <c r="C10947" t="str">
        <f t="shared" si="1961"/>
        <v>89063000</v>
      </c>
      <c r="D10947">
        <v>89301037</v>
      </c>
      <c r="E10947" t="str">
        <f>"475415422"</f>
        <v>475415422</v>
      </c>
      <c r="F10947" s="1">
        <v>45180</v>
      </c>
      <c r="G10947" t="str">
        <f t="shared" si="1959"/>
        <v>89312</v>
      </c>
      <c r="H10947">
        <v>3</v>
      </c>
      <c r="I10947">
        <v>936</v>
      </c>
      <c r="J10947">
        <v>0</v>
      </c>
      <c r="K10947" t="str">
        <f t="shared" si="1960"/>
        <v>809</v>
      </c>
      <c r="L10947">
        <v>1020.24</v>
      </c>
    </row>
    <row r="10948" spans="1:12" x14ac:dyDescent="0.25">
      <c r="A10948" t="str">
        <f t="shared" si="1962"/>
        <v>89301000</v>
      </c>
      <c r="B10948" t="str">
        <f t="shared" si="1961"/>
        <v>89063000</v>
      </c>
      <c r="C10948" t="str">
        <f t="shared" si="1961"/>
        <v>89063000</v>
      </c>
      <c r="D10948">
        <v>89301212</v>
      </c>
      <c r="E10948" t="str">
        <f>"6562291263"</f>
        <v>6562291263</v>
      </c>
      <c r="F10948" s="1">
        <v>45181</v>
      </c>
      <c r="G10948" t="str">
        <f t="shared" si="1959"/>
        <v>89312</v>
      </c>
      <c r="H10948">
        <v>3</v>
      </c>
      <c r="I10948">
        <v>936</v>
      </c>
      <c r="J10948">
        <v>0</v>
      </c>
      <c r="K10948" t="str">
        <f t="shared" si="1960"/>
        <v>809</v>
      </c>
      <c r="L10948">
        <v>1020.24</v>
      </c>
    </row>
    <row r="10949" spans="1:12" x14ac:dyDescent="0.25">
      <c r="A10949" t="str">
        <f t="shared" si="1962"/>
        <v>89301000</v>
      </c>
      <c r="B10949" t="str">
        <f t="shared" si="1961"/>
        <v>89063000</v>
      </c>
      <c r="C10949" t="str">
        <f t="shared" si="1961"/>
        <v>89063000</v>
      </c>
      <c r="D10949">
        <v>89301037</v>
      </c>
      <c r="E10949" t="str">
        <f>"5953210989"</f>
        <v>5953210989</v>
      </c>
      <c r="F10949" s="1">
        <v>45181</v>
      </c>
      <c r="G10949" t="str">
        <f t="shared" si="1959"/>
        <v>89312</v>
      </c>
      <c r="H10949">
        <v>3</v>
      </c>
      <c r="I10949">
        <v>936</v>
      </c>
      <c r="J10949">
        <v>0</v>
      </c>
      <c r="K10949" t="str">
        <f t="shared" si="1960"/>
        <v>809</v>
      </c>
      <c r="L10949">
        <v>1020.24</v>
      </c>
    </row>
    <row r="10950" spans="1:12" x14ac:dyDescent="0.25">
      <c r="A10950" t="str">
        <f t="shared" si="1962"/>
        <v>89301000</v>
      </c>
      <c r="B10950" t="str">
        <f t="shared" si="1961"/>
        <v>89063000</v>
      </c>
      <c r="C10950" t="str">
        <f t="shared" si="1961"/>
        <v>89063000</v>
      </c>
      <c r="D10950">
        <v>89301037</v>
      </c>
      <c r="E10950" t="str">
        <f>"5905142045"</f>
        <v>5905142045</v>
      </c>
      <c r="F10950" s="1">
        <v>45182</v>
      </c>
      <c r="G10950" t="str">
        <f t="shared" si="1959"/>
        <v>89312</v>
      </c>
      <c r="H10950">
        <v>3</v>
      </c>
      <c r="I10950">
        <v>936</v>
      </c>
      <c r="J10950">
        <v>0</v>
      </c>
      <c r="K10950" t="str">
        <f t="shared" si="1960"/>
        <v>809</v>
      </c>
      <c r="L10950">
        <v>1020.24</v>
      </c>
    </row>
    <row r="10951" spans="1:12" x14ac:dyDescent="0.25">
      <c r="A10951" t="str">
        <f t="shared" si="1962"/>
        <v>89301000</v>
      </c>
      <c r="B10951" t="str">
        <f t="shared" si="1961"/>
        <v>89063000</v>
      </c>
      <c r="C10951" t="str">
        <f t="shared" si="1961"/>
        <v>89063000</v>
      </c>
      <c r="D10951">
        <v>89301037</v>
      </c>
      <c r="E10951" t="str">
        <f>"6861120695"</f>
        <v>6861120695</v>
      </c>
      <c r="F10951" s="1">
        <v>45182</v>
      </c>
      <c r="G10951" t="str">
        <f t="shared" si="1959"/>
        <v>89312</v>
      </c>
      <c r="H10951">
        <v>3</v>
      </c>
      <c r="I10951">
        <v>936</v>
      </c>
      <c r="J10951">
        <v>0</v>
      </c>
      <c r="K10951" t="str">
        <f t="shared" si="1960"/>
        <v>809</v>
      </c>
      <c r="L10951">
        <v>1020.24</v>
      </c>
    </row>
    <row r="10952" spans="1:12" x14ac:dyDescent="0.25">
      <c r="A10952" t="str">
        <f t="shared" si="1962"/>
        <v>89301000</v>
      </c>
      <c r="B10952" t="str">
        <f t="shared" si="1961"/>
        <v>89063000</v>
      </c>
      <c r="C10952" t="str">
        <f t="shared" si="1961"/>
        <v>89063000</v>
      </c>
      <c r="D10952">
        <v>89301037</v>
      </c>
      <c r="E10952" t="str">
        <f>"5459220899"</f>
        <v>5459220899</v>
      </c>
      <c r="F10952" s="1">
        <v>45182</v>
      </c>
      <c r="G10952" t="str">
        <f t="shared" si="1959"/>
        <v>89312</v>
      </c>
      <c r="H10952">
        <v>3</v>
      </c>
      <c r="I10952">
        <v>936</v>
      </c>
      <c r="J10952">
        <v>0</v>
      </c>
      <c r="K10952" t="str">
        <f t="shared" si="1960"/>
        <v>809</v>
      </c>
      <c r="L10952">
        <v>1020.24</v>
      </c>
    </row>
    <row r="10953" spans="1:12" x14ac:dyDescent="0.25">
      <c r="A10953" t="str">
        <f t="shared" si="1962"/>
        <v>89301000</v>
      </c>
      <c r="B10953" t="str">
        <f t="shared" si="1961"/>
        <v>89063000</v>
      </c>
      <c r="C10953" t="str">
        <f t="shared" si="1961"/>
        <v>89063000</v>
      </c>
      <c r="D10953">
        <v>89301212</v>
      </c>
      <c r="E10953" t="str">
        <f>"7059244478"</f>
        <v>7059244478</v>
      </c>
      <c r="F10953" s="1">
        <v>45182</v>
      </c>
      <c r="G10953" t="str">
        <f t="shared" si="1959"/>
        <v>89312</v>
      </c>
      <c r="H10953">
        <v>3</v>
      </c>
      <c r="I10953">
        <v>936</v>
      </c>
      <c r="J10953">
        <v>0</v>
      </c>
      <c r="K10953" t="str">
        <f t="shared" si="1960"/>
        <v>809</v>
      </c>
      <c r="L10953">
        <v>1020.24</v>
      </c>
    </row>
    <row r="10954" spans="1:12" x14ac:dyDescent="0.25">
      <c r="A10954" t="str">
        <f t="shared" si="1962"/>
        <v>89301000</v>
      </c>
      <c r="B10954" t="str">
        <f t="shared" si="1961"/>
        <v>89063000</v>
      </c>
      <c r="C10954" t="str">
        <f t="shared" si="1961"/>
        <v>89063000</v>
      </c>
      <c r="D10954">
        <v>89301703</v>
      </c>
      <c r="E10954" t="str">
        <f>"0959033240"</f>
        <v>0959033240</v>
      </c>
      <c r="F10954" s="1">
        <v>45183</v>
      </c>
      <c r="G10954" t="str">
        <f t="shared" ref="G10954:G10988" si="1963">"89312"</f>
        <v>89312</v>
      </c>
      <c r="H10954">
        <v>1</v>
      </c>
      <c r="I10954">
        <v>312</v>
      </c>
      <c r="J10954">
        <v>0</v>
      </c>
      <c r="K10954" t="str">
        <f t="shared" si="1960"/>
        <v>809</v>
      </c>
      <c r="L10954">
        <v>340.08</v>
      </c>
    </row>
    <row r="10955" spans="1:12" x14ac:dyDescent="0.25">
      <c r="A10955" t="str">
        <f t="shared" si="1962"/>
        <v>89301000</v>
      </c>
      <c r="B10955" t="str">
        <f t="shared" si="1961"/>
        <v>89063000</v>
      </c>
      <c r="C10955" t="str">
        <f t="shared" si="1961"/>
        <v>89063000</v>
      </c>
      <c r="D10955">
        <v>89301037</v>
      </c>
      <c r="E10955" t="str">
        <f>"6960265334"</f>
        <v>6960265334</v>
      </c>
      <c r="F10955" s="1">
        <v>45183</v>
      </c>
      <c r="G10955" t="str">
        <f t="shared" si="1963"/>
        <v>89312</v>
      </c>
      <c r="H10955">
        <v>3</v>
      </c>
      <c r="I10955">
        <v>936</v>
      </c>
      <c r="J10955">
        <v>0</v>
      </c>
      <c r="K10955" t="str">
        <f t="shared" si="1960"/>
        <v>809</v>
      </c>
      <c r="L10955">
        <v>1020.24</v>
      </c>
    </row>
    <row r="10956" spans="1:12" x14ac:dyDescent="0.25">
      <c r="A10956" t="str">
        <f t="shared" si="1962"/>
        <v>89301000</v>
      </c>
      <c r="B10956" t="str">
        <f t="shared" si="1961"/>
        <v>89063000</v>
      </c>
      <c r="C10956" t="str">
        <f t="shared" si="1961"/>
        <v>89063000</v>
      </c>
      <c r="D10956">
        <v>89301212</v>
      </c>
      <c r="E10956" t="str">
        <f>"6151050147"</f>
        <v>6151050147</v>
      </c>
      <c r="F10956" s="1">
        <v>45183</v>
      </c>
      <c r="G10956" t="str">
        <f t="shared" si="1963"/>
        <v>89312</v>
      </c>
      <c r="H10956">
        <v>3</v>
      </c>
      <c r="I10956">
        <v>936</v>
      </c>
      <c r="J10956">
        <v>0</v>
      </c>
      <c r="K10956" t="str">
        <f t="shared" si="1960"/>
        <v>809</v>
      </c>
      <c r="L10956">
        <v>1020.24</v>
      </c>
    </row>
    <row r="10957" spans="1:12" x14ac:dyDescent="0.25">
      <c r="A10957" t="str">
        <f t="shared" si="1962"/>
        <v>89301000</v>
      </c>
      <c r="B10957" t="str">
        <f t="shared" si="1961"/>
        <v>89063000</v>
      </c>
      <c r="C10957" t="str">
        <f t="shared" si="1961"/>
        <v>89063000</v>
      </c>
      <c r="D10957">
        <v>89301037</v>
      </c>
      <c r="E10957" t="str">
        <f>"7258245313"</f>
        <v>7258245313</v>
      </c>
      <c r="F10957" s="1">
        <v>45183</v>
      </c>
      <c r="G10957" t="str">
        <f t="shared" si="1963"/>
        <v>89312</v>
      </c>
      <c r="H10957">
        <v>3</v>
      </c>
      <c r="I10957">
        <v>936</v>
      </c>
      <c r="J10957">
        <v>0</v>
      </c>
      <c r="K10957" t="str">
        <f t="shared" si="1960"/>
        <v>809</v>
      </c>
      <c r="L10957">
        <v>1020.24</v>
      </c>
    </row>
    <row r="10958" spans="1:12" x14ac:dyDescent="0.25">
      <c r="A10958" t="str">
        <f t="shared" si="1962"/>
        <v>89301000</v>
      </c>
      <c r="B10958" t="str">
        <f t="shared" si="1961"/>
        <v>89063000</v>
      </c>
      <c r="C10958" t="str">
        <f t="shared" si="1961"/>
        <v>89063000</v>
      </c>
      <c r="D10958">
        <v>89301037</v>
      </c>
      <c r="E10958" t="str">
        <f>"6361030852"</f>
        <v>6361030852</v>
      </c>
      <c r="F10958" s="1">
        <v>45183</v>
      </c>
      <c r="G10958" t="str">
        <f t="shared" si="1963"/>
        <v>89312</v>
      </c>
      <c r="H10958">
        <v>3</v>
      </c>
      <c r="I10958">
        <v>936</v>
      </c>
      <c r="J10958">
        <v>0</v>
      </c>
      <c r="K10958" t="str">
        <f t="shared" si="1960"/>
        <v>809</v>
      </c>
      <c r="L10958">
        <v>1020.24</v>
      </c>
    </row>
    <row r="10959" spans="1:12" x14ac:dyDescent="0.25">
      <c r="A10959" t="str">
        <f t="shared" si="1962"/>
        <v>89301000</v>
      </c>
      <c r="B10959" t="str">
        <f t="shared" si="1961"/>
        <v>89063000</v>
      </c>
      <c r="C10959" t="str">
        <f t="shared" si="1961"/>
        <v>89063000</v>
      </c>
      <c r="D10959">
        <v>89301037</v>
      </c>
      <c r="E10959" t="str">
        <f>"8410145381"</f>
        <v>8410145381</v>
      </c>
      <c r="F10959" s="1">
        <v>45183</v>
      </c>
      <c r="G10959" t="str">
        <f t="shared" si="1963"/>
        <v>89312</v>
      </c>
      <c r="H10959">
        <v>3</v>
      </c>
      <c r="I10959">
        <v>936</v>
      </c>
      <c r="J10959">
        <v>0</v>
      </c>
      <c r="K10959" t="str">
        <f t="shared" si="1960"/>
        <v>809</v>
      </c>
      <c r="L10959">
        <v>1020.24</v>
      </c>
    </row>
    <row r="10960" spans="1:12" x14ac:dyDescent="0.25">
      <c r="A10960" t="str">
        <f t="shared" si="1962"/>
        <v>89301000</v>
      </c>
      <c r="B10960" t="str">
        <f t="shared" si="1961"/>
        <v>89063000</v>
      </c>
      <c r="C10960" t="str">
        <f t="shared" si="1961"/>
        <v>89063000</v>
      </c>
      <c r="D10960">
        <v>89301037</v>
      </c>
      <c r="E10960" t="str">
        <f>"5851051591"</f>
        <v>5851051591</v>
      </c>
      <c r="F10960" s="1">
        <v>45183</v>
      </c>
      <c r="G10960" t="str">
        <f t="shared" si="1963"/>
        <v>89312</v>
      </c>
      <c r="H10960">
        <v>3</v>
      </c>
      <c r="I10960">
        <v>936</v>
      </c>
      <c r="J10960">
        <v>0</v>
      </c>
      <c r="K10960" t="str">
        <f t="shared" si="1960"/>
        <v>809</v>
      </c>
      <c r="L10960">
        <v>1020.24</v>
      </c>
    </row>
    <row r="10961" spans="1:12" x14ac:dyDescent="0.25">
      <c r="A10961" t="str">
        <f t="shared" si="1962"/>
        <v>89301000</v>
      </c>
      <c r="B10961" t="str">
        <f t="shared" si="1961"/>
        <v>89063000</v>
      </c>
      <c r="C10961" t="str">
        <f t="shared" si="1961"/>
        <v>89063000</v>
      </c>
      <c r="D10961">
        <v>89301212</v>
      </c>
      <c r="E10961" t="str">
        <f>"5851250185"</f>
        <v>5851250185</v>
      </c>
      <c r="F10961" s="1">
        <v>45184</v>
      </c>
      <c r="G10961" t="str">
        <f t="shared" si="1963"/>
        <v>89312</v>
      </c>
      <c r="H10961">
        <v>3</v>
      </c>
      <c r="I10961">
        <v>936</v>
      </c>
      <c r="J10961">
        <v>0</v>
      </c>
      <c r="K10961" t="str">
        <f t="shared" si="1960"/>
        <v>809</v>
      </c>
      <c r="L10961">
        <v>1020.24</v>
      </c>
    </row>
    <row r="10962" spans="1:12" x14ac:dyDescent="0.25">
      <c r="A10962" t="str">
        <f t="shared" si="1962"/>
        <v>89301000</v>
      </c>
      <c r="B10962" t="str">
        <f t="shared" ref="B10962:C10981" si="1964">"89063000"</f>
        <v>89063000</v>
      </c>
      <c r="C10962" t="str">
        <f t="shared" si="1964"/>
        <v>89063000</v>
      </c>
      <c r="D10962">
        <v>89301037</v>
      </c>
      <c r="E10962" t="str">
        <f>"6962025334"</f>
        <v>6962025334</v>
      </c>
      <c r="F10962" s="1">
        <v>45184</v>
      </c>
      <c r="G10962" t="str">
        <f t="shared" si="1963"/>
        <v>89312</v>
      </c>
      <c r="H10962">
        <v>3</v>
      </c>
      <c r="I10962">
        <v>936</v>
      </c>
      <c r="J10962">
        <v>0</v>
      </c>
      <c r="K10962" t="str">
        <f t="shared" si="1960"/>
        <v>809</v>
      </c>
      <c r="L10962">
        <v>1020.24</v>
      </c>
    </row>
    <row r="10963" spans="1:12" x14ac:dyDescent="0.25">
      <c r="A10963" t="str">
        <f t="shared" si="1962"/>
        <v>89301000</v>
      </c>
      <c r="B10963" t="str">
        <f t="shared" si="1964"/>
        <v>89063000</v>
      </c>
      <c r="C10963" t="str">
        <f t="shared" si="1964"/>
        <v>89063000</v>
      </c>
      <c r="D10963">
        <v>89301037</v>
      </c>
      <c r="E10963" t="str">
        <f>"6057300051"</f>
        <v>6057300051</v>
      </c>
      <c r="F10963" s="1">
        <v>45188</v>
      </c>
      <c r="G10963" t="str">
        <f t="shared" si="1963"/>
        <v>89312</v>
      </c>
      <c r="H10963">
        <v>3</v>
      </c>
      <c r="I10963">
        <v>936</v>
      </c>
      <c r="J10963">
        <v>0</v>
      </c>
      <c r="K10963" t="str">
        <f t="shared" si="1960"/>
        <v>809</v>
      </c>
      <c r="L10963">
        <v>1020.24</v>
      </c>
    </row>
    <row r="10964" spans="1:12" x14ac:dyDescent="0.25">
      <c r="A10964" t="str">
        <f t="shared" si="1962"/>
        <v>89301000</v>
      </c>
      <c r="B10964" t="str">
        <f t="shared" si="1964"/>
        <v>89063000</v>
      </c>
      <c r="C10964" t="str">
        <f t="shared" si="1964"/>
        <v>89063000</v>
      </c>
      <c r="D10964">
        <v>89301082</v>
      </c>
      <c r="E10964" t="str">
        <f>"535331001"</f>
        <v>535331001</v>
      </c>
      <c r="F10964" s="1">
        <v>45188</v>
      </c>
      <c r="G10964" t="str">
        <f t="shared" si="1963"/>
        <v>89312</v>
      </c>
      <c r="H10964">
        <v>3</v>
      </c>
      <c r="I10964">
        <v>936</v>
      </c>
      <c r="J10964">
        <v>0</v>
      </c>
      <c r="K10964" t="str">
        <f t="shared" si="1960"/>
        <v>809</v>
      </c>
      <c r="L10964">
        <v>1020.24</v>
      </c>
    </row>
    <row r="10965" spans="1:12" x14ac:dyDescent="0.25">
      <c r="A10965" t="str">
        <f t="shared" si="1962"/>
        <v>89301000</v>
      </c>
      <c r="B10965" t="str">
        <f t="shared" si="1964"/>
        <v>89063000</v>
      </c>
      <c r="C10965" t="str">
        <f t="shared" si="1964"/>
        <v>89063000</v>
      </c>
      <c r="D10965">
        <v>89301112</v>
      </c>
      <c r="E10965" t="str">
        <f>"7160275375"</f>
        <v>7160275375</v>
      </c>
      <c r="F10965" s="1">
        <v>45188</v>
      </c>
      <c r="G10965" t="str">
        <f t="shared" si="1963"/>
        <v>89312</v>
      </c>
      <c r="H10965">
        <v>3</v>
      </c>
      <c r="I10965">
        <v>936</v>
      </c>
      <c r="J10965">
        <v>0</v>
      </c>
      <c r="K10965" t="str">
        <f t="shared" si="1960"/>
        <v>809</v>
      </c>
      <c r="L10965">
        <v>1020.24</v>
      </c>
    </row>
    <row r="10966" spans="1:12" x14ac:dyDescent="0.25">
      <c r="A10966" t="str">
        <f t="shared" si="1962"/>
        <v>89301000</v>
      </c>
      <c r="B10966" t="str">
        <f t="shared" si="1964"/>
        <v>89063000</v>
      </c>
      <c r="C10966" t="str">
        <f t="shared" si="1964"/>
        <v>89063000</v>
      </c>
      <c r="D10966">
        <v>89301212</v>
      </c>
      <c r="E10966" t="str">
        <f>"436228445"</f>
        <v>436228445</v>
      </c>
      <c r="F10966" s="1">
        <v>45188</v>
      </c>
      <c r="G10966" t="str">
        <f t="shared" si="1963"/>
        <v>89312</v>
      </c>
      <c r="H10966">
        <v>3</v>
      </c>
      <c r="I10966">
        <v>936</v>
      </c>
      <c r="J10966">
        <v>0</v>
      </c>
      <c r="K10966" t="str">
        <f t="shared" si="1960"/>
        <v>809</v>
      </c>
      <c r="L10966">
        <v>1020.24</v>
      </c>
    </row>
    <row r="10967" spans="1:12" x14ac:dyDescent="0.25">
      <c r="A10967" t="str">
        <f t="shared" si="1962"/>
        <v>89301000</v>
      </c>
      <c r="B10967" t="str">
        <f t="shared" si="1964"/>
        <v>89063000</v>
      </c>
      <c r="C10967" t="str">
        <f t="shared" si="1964"/>
        <v>89063000</v>
      </c>
      <c r="D10967">
        <v>89301032</v>
      </c>
      <c r="E10967" t="str">
        <f>"7053185326"</f>
        <v>7053185326</v>
      </c>
      <c r="F10967" s="1">
        <v>45188</v>
      </c>
      <c r="G10967" t="str">
        <f t="shared" si="1963"/>
        <v>89312</v>
      </c>
      <c r="H10967">
        <v>3</v>
      </c>
      <c r="I10967">
        <v>936</v>
      </c>
      <c r="J10967">
        <v>0</v>
      </c>
      <c r="K10967" t="str">
        <f t="shared" si="1960"/>
        <v>809</v>
      </c>
      <c r="L10967">
        <v>1020.24</v>
      </c>
    </row>
    <row r="10968" spans="1:12" x14ac:dyDescent="0.25">
      <c r="A10968" t="str">
        <f t="shared" si="1962"/>
        <v>89301000</v>
      </c>
      <c r="B10968" t="str">
        <f t="shared" si="1964"/>
        <v>89063000</v>
      </c>
      <c r="C10968" t="str">
        <f t="shared" si="1964"/>
        <v>89063000</v>
      </c>
      <c r="D10968">
        <v>89301212</v>
      </c>
      <c r="E10968" t="str">
        <f>"5861161482"</f>
        <v>5861161482</v>
      </c>
      <c r="F10968" s="1">
        <v>45188</v>
      </c>
      <c r="G10968" t="str">
        <f t="shared" si="1963"/>
        <v>89312</v>
      </c>
      <c r="H10968">
        <v>3</v>
      </c>
      <c r="I10968">
        <v>936</v>
      </c>
      <c r="J10968">
        <v>0</v>
      </c>
      <c r="K10968" t="str">
        <f t="shared" si="1960"/>
        <v>809</v>
      </c>
      <c r="L10968">
        <v>1020.24</v>
      </c>
    </row>
    <row r="10969" spans="1:12" x14ac:dyDescent="0.25">
      <c r="A10969" t="str">
        <f t="shared" si="1962"/>
        <v>89301000</v>
      </c>
      <c r="B10969" t="str">
        <f t="shared" si="1964"/>
        <v>89063000</v>
      </c>
      <c r="C10969" t="str">
        <f t="shared" si="1964"/>
        <v>89063000</v>
      </c>
      <c r="D10969">
        <v>89301037</v>
      </c>
      <c r="E10969" t="str">
        <f>"8257155335"</f>
        <v>8257155335</v>
      </c>
      <c r="F10969" s="1">
        <v>45189</v>
      </c>
      <c r="G10969" t="str">
        <f t="shared" si="1963"/>
        <v>89312</v>
      </c>
      <c r="H10969">
        <v>3</v>
      </c>
      <c r="I10969">
        <v>936</v>
      </c>
      <c r="J10969">
        <v>0</v>
      </c>
      <c r="K10969" t="str">
        <f t="shared" si="1960"/>
        <v>809</v>
      </c>
      <c r="L10969">
        <v>1020.24</v>
      </c>
    </row>
    <row r="10970" spans="1:12" x14ac:dyDescent="0.25">
      <c r="A10970" t="str">
        <f t="shared" si="1962"/>
        <v>89301000</v>
      </c>
      <c r="B10970" t="str">
        <f t="shared" si="1964"/>
        <v>89063000</v>
      </c>
      <c r="C10970" t="str">
        <f t="shared" si="1964"/>
        <v>89063000</v>
      </c>
      <c r="D10970">
        <v>89301037</v>
      </c>
      <c r="E10970" t="str">
        <f>"6657031403"</f>
        <v>6657031403</v>
      </c>
      <c r="F10970" s="1">
        <v>45189</v>
      </c>
      <c r="G10970" t="str">
        <f t="shared" si="1963"/>
        <v>89312</v>
      </c>
      <c r="H10970">
        <v>3</v>
      </c>
      <c r="I10970">
        <v>936</v>
      </c>
      <c r="J10970">
        <v>0</v>
      </c>
      <c r="K10970" t="str">
        <f t="shared" si="1960"/>
        <v>809</v>
      </c>
      <c r="L10970">
        <v>1020.24</v>
      </c>
    </row>
    <row r="10971" spans="1:12" x14ac:dyDescent="0.25">
      <c r="A10971" t="str">
        <f t="shared" si="1962"/>
        <v>89301000</v>
      </c>
      <c r="B10971" t="str">
        <f t="shared" si="1964"/>
        <v>89063000</v>
      </c>
      <c r="C10971" t="str">
        <f t="shared" si="1964"/>
        <v>89063000</v>
      </c>
      <c r="D10971">
        <v>89301037</v>
      </c>
      <c r="E10971" t="str">
        <f>"5559040828"</f>
        <v>5559040828</v>
      </c>
      <c r="F10971" s="1">
        <v>45189</v>
      </c>
      <c r="G10971" t="str">
        <f t="shared" si="1963"/>
        <v>89312</v>
      </c>
      <c r="H10971">
        <v>3</v>
      </c>
      <c r="I10971">
        <v>936</v>
      </c>
      <c r="J10971">
        <v>0</v>
      </c>
      <c r="K10971" t="str">
        <f t="shared" si="1960"/>
        <v>809</v>
      </c>
      <c r="L10971">
        <v>1020.24</v>
      </c>
    </row>
    <row r="10972" spans="1:12" x14ac:dyDescent="0.25">
      <c r="A10972" t="str">
        <f t="shared" si="1962"/>
        <v>89301000</v>
      </c>
      <c r="B10972" t="str">
        <f t="shared" si="1964"/>
        <v>89063000</v>
      </c>
      <c r="C10972" t="str">
        <f t="shared" si="1964"/>
        <v>89063000</v>
      </c>
      <c r="D10972">
        <v>89301037</v>
      </c>
      <c r="E10972" t="str">
        <f>"500715218"</f>
        <v>500715218</v>
      </c>
      <c r="F10972" s="1">
        <v>45189</v>
      </c>
      <c r="G10972" t="str">
        <f t="shared" si="1963"/>
        <v>89312</v>
      </c>
      <c r="H10972">
        <v>3</v>
      </c>
      <c r="I10972">
        <v>936</v>
      </c>
      <c r="J10972">
        <v>0</v>
      </c>
      <c r="K10972" t="str">
        <f t="shared" ref="K10972:K10988" si="1965">"809"</f>
        <v>809</v>
      </c>
      <c r="L10972">
        <v>1020.24</v>
      </c>
    </row>
    <row r="10973" spans="1:12" x14ac:dyDescent="0.25">
      <c r="A10973" t="str">
        <f t="shared" si="1962"/>
        <v>89301000</v>
      </c>
      <c r="B10973" t="str">
        <f t="shared" si="1964"/>
        <v>89063000</v>
      </c>
      <c r="C10973" t="str">
        <f t="shared" si="1964"/>
        <v>89063000</v>
      </c>
      <c r="D10973">
        <v>89301037</v>
      </c>
      <c r="E10973" t="str">
        <f>"516213295"</f>
        <v>516213295</v>
      </c>
      <c r="F10973" s="1">
        <v>45189</v>
      </c>
      <c r="G10973" t="str">
        <f t="shared" si="1963"/>
        <v>89312</v>
      </c>
      <c r="H10973">
        <v>3</v>
      </c>
      <c r="I10973">
        <v>936</v>
      </c>
      <c r="J10973">
        <v>0</v>
      </c>
      <c r="K10973" t="str">
        <f t="shared" si="1965"/>
        <v>809</v>
      </c>
      <c r="L10973">
        <v>1020.24</v>
      </c>
    </row>
    <row r="10974" spans="1:12" x14ac:dyDescent="0.25">
      <c r="A10974" t="str">
        <f t="shared" si="1962"/>
        <v>89301000</v>
      </c>
      <c r="B10974" t="str">
        <f t="shared" si="1964"/>
        <v>89063000</v>
      </c>
      <c r="C10974" t="str">
        <f t="shared" si="1964"/>
        <v>89063000</v>
      </c>
      <c r="D10974">
        <v>89301102</v>
      </c>
      <c r="E10974" t="str">
        <f>"0911183229"</f>
        <v>0911183229</v>
      </c>
      <c r="F10974" s="1">
        <v>45190</v>
      </c>
      <c r="G10974" t="str">
        <f t="shared" si="1963"/>
        <v>89312</v>
      </c>
      <c r="H10974">
        <v>1</v>
      </c>
      <c r="I10974">
        <v>312</v>
      </c>
      <c r="J10974">
        <v>0</v>
      </c>
      <c r="K10974" t="str">
        <f t="shared" si="1965"/>
        <v>809</v>
      </c>
      <c r="L10974">
        <v>340.08</v>
      </c>
    </row>
    <row r="10975" spans="1:12" x14ac:dyDescent="0.25">
      <c r="A10975" t="str">
        <f t="shared" si="1962"/>
        <v>89301000</v>
      </c>
      <c r="B10975" t="str">
        <f t="shared" si="1964"/>
        <v>89063000</v>
      </c>
      <c r="C10975" t="str">
        <f t="shared" si="1964"/>
        <v>89063000</v>
      </c>
      <c r="D10975">
        <v>89301212</v>
      </c>
      <c r="E10975" t="str">
        <f>"6756200253"</f>
        <v>6756200253</v>
      </c>
      <c r="F10975" s="1">
        <v>45190</v>
      </c>
      <c r="G10975" t="str">
        <f t="shared" si="1963"/>
        <v>89312</v>
      </c>
      <c r="H10975">
        <v>3</v>
      </c>
      <c r="I10975">
        <v>936</v>
      </c>
      <c r="J10975">
        <v>0</v>
      </c>
      <c r="K10975" t="str">
        <f t="shared" si="1965"/>
        <v>809</v>
      </c>
      <c r="L10975">
        <v>1020.24</v>
      </c>
    </row>
    <row r="10976" spans="1:12" x14ac:dyDescent="0.25">
      <c r="A10976" t="str">
        <f t="shared" si="1962"/>
        <v>89301000</v>
      </c>
      <c r="B10976" t="str">
        <f t="shared" si="1964"/>
        <v>89063000</v>
      </c>
      <c r="C10976" t="str">
        <f t="shared" si="1964"/>
        <v>89063000</v>
      </c>
      <c r="D10976">
        <v>89301036</v>
      </c>
      <c r="E10976" t="str">
        <f>"5552241574"</f>
        <v>5552241574</v>
      </c>
      <c r="F10976" s="1">
        <v>45191</v>
      </c>
      <c r="G10976" t="str">
        <f t="shared" si="1963"/>
        <v>89312</v>
      </c>
      <c r="H10976">
        <v>3</v>
      </c>
      <c r="I10976">
        <v>936</v>
      </c>
      <c r="J10976">
        <v>0</v>
      </c>
      <c r="K10976" t="str">
        <f t="shared" si="1965"/>
        <v>809</v>
      </c>
      <c r="L10976">
        <v>1020.24</v>
      </c>
    </row>
    <row r="10977" spans="1:12" x14ac:dyDescent="0.25">
      <c r="A10977" t="str">
        <f t="shared" si="1962"/>
        <v>89301000</v>
      </c>
      <c r="B10977" t="str">
        <f t="shared" si="1964"/>
        <v>89063000</v>
      </c>
      <c r="C10977" t="str">
        <f t="shared" si="1964"/>
        <v>89063000</v>
      </c>
      <c r="D10977">
        <v>89301037</v>
      </c>
      <c r="E10977" t="str">
        <f>"8255235340"</f>
        <v>8255235340</v>
      </c>
      <c r="F10977" s="1">
        <v>45194</v>
      </c>
      <c r="G10977" t="str">
        <f t="shared" si="1963"/>
        <v>89312</v>
      </c>
      <c r="H10977">
        <v>3</v>
      </c>
      <c r="I10977">
        <v>936</v>
      </c>
      <c r="J10977">
        <v>0</v>
      </c>
      <c r="K10977" t="str">
        <f t="shared" si="1965"/>
        <v>809</v>
      </c>
      <c r="L10977">
        <v>1020.24</v>
      </c>
    </row>
    <row r="10978" spans="1:12" x14ac:dyDescent="0.25">
      <c r="A10978" t="str">
        <f t="shared" si="1962"/>
        <v>89301000</v>
      </c>
      <c r="B10978" t="str">
        <f t="shared" si="1964"/>
        <v>89063000</v>
      </c>
      <c r="C10978" t="str">
        <f t="shared" si="1964"/>
        <v>89063000</v>
      </c>
      <c r="D10978">
        <v>89301037</v>
      </c>
      <c r="E10978" t="str">
        <f>"6059010540"</f>
        <v>6059010540</v>
      </c>
      <c r="F10978" s="1">
        <v>45194</v>
      </c>
      <c r="G10978" t="str">
        <f t="shared" si="1963"/>
        <v>89312</v>
      </c>
      <c r="H10978">
        <v>3</v>
      </c>
      <c r="I10978">
        <v>936</v>
      </c>
      <c r="J10978">
        <v>0</v>
      </c>
      <c r="K10978" t="str">
        <f t="shared" si="1965"/>
        <v>809</v>
      </c>
      <c r="L10978">
        <v>1020.24</v>
      </c>
    </row>
    <row r="10979" spans="1:12" x14ac:dyDescent="0.25">
      <c r="A10979" t="str">
        <f t="shared" si="1962"/>
        <v>89301000</v>
      </c>
      <c r="B10979" t="str">
        <f t="shared" si="1964"/>
        <v>89063000</v>
      </c>
      <c r="C10979" t="str">
        <f t="shared" si="1964"/>
        <v>89063000</v>
      </c>
      <c r="D10979">
        <v>89301162</v>
      </c>
      <c r="E10979" t="str">
        <f>"8605105784"</f>
        <v>8605105784</v>
      </c>
      <c r="F10979" s="1">
        <v>45194</v>
      </c>
      <c r="G10979" t="str">
        <f t="shared" si="1963"/>
        <v>89312</v>
      </c>
      <c r="H10979">
        <v>3</v>
      </c>
      <c r="I10979">
        <v>936</v>
      </c>
      <c r="J10979">
        <v>0</v>
      </c>
      <c r="K10979" t="str">
        <f t="shared" si="1965"/>
        <v>809</v>
      </c>
      <c r="L10979">
        <v>1020.24</v>
      </c>
    </row>
    <row r="10980" spans="1:12" x14ac:dyDescent="0.25">
      <c r="A10980" t="str">
        <f t="shared" si="1962"/>
        <v>89301000</v>
      </c>
      <c r="B10980" t="str">
        <f t="shared" si="1964"/>
        <v>89063000</v>
      </c>
      <c r="C10980" t="str">
        <f t="shared" si="1964"/>
        <v>89063000</v>
      </c>
      <c r="D10980">
        <v>89301036</v>
      </c>
      <c r="E10980" t="str">
        <f>"8202065311"</f>
        <v>8202065311</v>
      </c>
      <c r="F10980" s="1">
        <v>45194</v>
      </c>
      <c r="G10980" t="str">
        <f t="shared" si="1963"/>
        <v>89312</v>
      </c>
      <c r="H10980">
        <v>3</v>
      </c>
      <c r="I10980">
        <v>936</v>
      </c>
      <c r="J10980">
        <v>0</v>
      </c>
      <c r="K10980" t="str">
        <f t="shared" si="1965"/>
        <v>809</v>
      </c>
      <c r="L10980">
        <v>1020.24</v>
      </c>
    </row>
    <row r="10981" spans="1:12" x14ac:dyDescent="0.25">
      <c r="A10981" t="str">
        <f t="shared" si="1962"/>
        <v>89301000</v>
      </c>
      <c r="B10981" t="str">
        <f t="shared" si="1964"/>
        <v>89063000</v>
      </c>
      <c r="C10981" t="str">
        <f t="shared" si="1964"/>
        <v>89063000</v>
      </c>
      <c r="D10981">
        <v>89301037</v>
      </c>
      <c r="E10981" t="str">
        <f>"415320435"</f>
        <v>415320435</v>
      </c>
      <c r="F10981" s="1">
        <v>45195</v>
      </c>
      <c r="G10981" t="str">
        <f t="shared" si="1963"/>
        <v>89312</v>
      </c>
      <c r="H10981">
        <v>3</v>
      </c>
      <c r="I10981">
        <v>936</v>
      </c>
      <c r="J10981">
        <v>0</v>
      </c>
      <c r="K10981" t="str">
        <f t="shared" si="1965"/>
        <v>809</v>
      </c>
      <c r="L10981">
        <v>1020.24</v>
      </c>
    </row>
    <row r="10982" spans="1:12" x14ac:dyDescent="0.25">
      <c r="A10982" t="str">
        <f t="shared" si="1962"/>
        <v>89301000</v>
      </c>
      <c r="B10982" t="str">
        <f t="shared" ref="B10982:C10988" si="1966">"89063000"</f>
        <v>89063000</v>
      </c>
      <c r="C10982" t="str">
        <f t="shared" si="1966"/>
        <v>89063000</v>
      </c>
      <c r="D10982">
        <v>89301037</v>
      </c>
      <c r="E10982" t="str">
        <f>"525228082"</f>
        <v>525228082</v>
      </c>
      <c r="F10982" s="1">
        <v>45196</v>
      </c>
      <c r="G10982" t="str">
        <f t="shared" si="1963"/>
        <v>89312</v>
      </c>
      <c r="H10982">
        <v>3</v>
      </c>
      <c r="I10982">
        <v>936</v>
      </c>
      <c r="J10982">
        <v>0</v>
      </c>
      <c r="K10982" t="str">
        <f t="shared" si="1965"/>
        <v>809</v>
      </c>
      <c r="L10982">
        <v>1020.24</v>
      </c>
    </row>
    <row r="10983" spans="1:12" x14ac:dyDescent="0.25">
      <c r="A10983" t="str">
        <f t="shared" si="1962"/>
        <v>89301000</v>
      </c>
      <c r="B10983" t="str">
        <f t="shared" si="1966"/>
        <v>89063000</v>
      </c>
      <c r="C10983" t="str">
        <f t="shared" si="1966"/>
        <v>89063000</v>
      </c>
      <c r="D10983">
        <v>89301036</v>
      </c>
      <c r="E10983" t="str">
        <f>"491024028"</f>
        <v>491024028</v>
      </c>
      <c r="F10983" s="1">
        <v>45196</v>
      </c>
      <c r="G10983" t="str">
        <f t="shared" si="1963"/>
        <v>89312</v>
      </c>
      <c r="H10983">
        <v>3</v>
      </c>
      <c r="I10983">
        <v>936</v>
      </c>
      <c r="J10983">
        <v>0</v>
      </c>
      <c r="K10983" t="str">
        <f t="shared" si="1965"/>
        <v>809</v>
      </c>
      <c r="L10983">
        <v>1020.24</v>
      </c>
    </row>
    <row r="10984" spans="1:12" x14ac:dyDescent="0.25">
      <c r="A10984" t="str">
        <f t="shared" si="1962"/>
        <v>89301000</v>
      </c>
      <c r="B10984" t="str">
        <f t="shared" si="1966"/>
        <v>89063000</v>
      </c>
      <c r="C10984" t="str">
        <f t="shared" si="1966"/>
        <v>89063000</v>
      </c>
      <c r="D10984">
        <v>89301037</v>
      </c>
      <c r="E10984" t="str">
        <f>"6659121920"</f>
        <v>6659121920</v>
      </c>
      <c r="F10984" s="1">
        <v>45196</v>
      </c>
      <c r="G10984" t="str">
        <f t="shared" si="1963"/>
        <v>89312</v>
      </c>
      <c r="H10984">
        <v>3</v>
      </c>
      <c r="I10984">
        <v>936</v>
      </c>
      <c r="J10984">
        <v>0</v>
      </c>
      <c r="K10984" t="str">
        <f t="shared" si="1965"/>
        <v>809</v>
      </c>
      <c r="L10984">
        <v>1020.24</v>
      </c>
    </row>
    <row r="10985" spans="1:12" x14ac:dyDescent="0.25">
      <c r="A10985" t="str">
        <f t="shared" si="1962"/>
        <v>89301000</v>
      </c>
      <c r="B10985" t="str">
        <f t="shared" si="1966"/>
        <v>89063000</v>
      </c>
      <c r="C10985" t="str">
        <f t="shared" si="1966"/>
        <v>89063000</v>
      </c>
      <c r="D10985">
        <v>89301037</v>
      </c>
      <c r="E10985" t="str">
        <f>"7308165348"</f>
        <v>7308165348</v>
      </c>
      <c r="F10985" s="1">
        <v>45196</v>
      </c>
      <c r="G10985" t="str">
        <f t="shared" si="1963"/>
        <v>89312</v>
      </c>
      <c r="H10985">
        <v>3</v>
      </c>
      <c r="I10985">
        <v>936</v>
      </c>
      <c r="J10985">
        <v>0</v>
      </c>
      <c r="K10985" t="str">
        <f t="shared" si="1965"/>
        <v>809</v>
      </c>
      <c r="L10985">
        <v>1020.24</v>
      </c>
    </row>
    <row r="10986" spans="1:12" x14ac:dyDescent="0.25">
      <c r="A10986" t="str">
        <f t="shared" si="1962"/>
        <v>89301000</v>
      </c>
      <c r="B10986" t="str">
        <f t="shared" si="1966"/>
        <v>89063000</v>
      </c>
      <c r="C10986" t="str">
        <f t="shared" si="1966"/>
        <v>89063000</v>
      </c>
      <c r="D10986">
        <v>89301037</v>
      </c>
      <c r="E10986" t="str">
        <f>"8762226231"</f>
        <v>8762226231</v>
      </c>
      <c r="F10986" s="1">
        <v>45196</v>
      </c>
      <c r="G10986" t="str">
        <f t="shared" si="1963"/>
        <v>89312</v>
      </c>
      <c r="H10986">
        <v>3</v>
      </c>
      <c r="I10986">
        <v>936</v>
      </c>
      <c r="J10986">
        <v>0</v>
      </c>
      <c r="K10986" t="str">
        <f t="shared" si="1965"/>
        <v>809</v>
      </c>
      <c r="L10986">
        <v>1020.24</v>
      </c>
    </row>
    <row r="10987" spans="1:12" x14ac:dyDescent="0.25">
      <c r="A10987" t="str">
        <f t="shared" si="1962"/>
        <v>89301000</v>
      </c>
      <c r="B10987" t="str">
        <f t="shared" si="1966"/>
        <v>89063000</v>
      </c>
      <c r="C10987" t="str">
        <f t="shared" si="1966"/>
        <v>89063000</v>
      </c>
      <c r="D10987">
        <v>89301037</v>
      </c>
      <c r="E10987" t="str">
        <f>"465812176"</f>
        <v>465812176</v>
      </c>
      <c r="F10987" s="1">
        <v>45196</v>
      </c>
      <c r="G10987" t="str">
        <f t="shared" si="1963"/>
        <v>89312</v>
      </c>
      <c r="H10987">
        <v>3</v>
      </c>
      <c r="I10987">
        <v>936</v>
      </c>
      <c r="J10987">
        <v>0</v>
      </c>
      <c r="K10987" t="str">
        <f t="shared" si="1965"/>
        <v>809</v>
      </c>
      <c r="L10987">
        <v>1020.24</v>
      </c>
    </row>
    <row r="10988" spans="1:12" x14ac:dyDescent="0.25">
      <c r="A10988" t="str">
        <f t="shared" si="1962"/>
        <v>89301000</v>
      </c>
      <c r="B10988" t="str">
        <f t="shared" si="1966"/>
        <v>89063000</v>
      </c>
      <c r="C10988" t="str">
        <f t="shared" si="1966"/>
        <v>89063000</v>
      </c>
      <c r="D10988">
        <v>89301037</v>
      </c>
      <c r="E10988" t="str">
        <f>"7553035699"</f>
        <v>7553035699</v>
      </c>
      <c r="F10988" s="1">
        <v>45198</v>
      </c>
      <c r="G10988" t="str">
        <f t="shared" si="1963"/>
        <v>89312</v>
      </c>
      <c r="H10988">
        <v>3</v>
      </c>
      <c r="I10988">
        <v>936</v>
      </c>
      <c r="J10988">
        <v>0</v>
      </c>
      <c r="K10988" t="str">
        <f t="shared" si="1965"/>
        <v>809</v>
      </c>
      <c r="L10988">
        <v>1020.24</v>
      </c>
    </row>
    <row r="10989" spans="1:12" x14ac:dyDescent="0.25">
      <c r="A10989" t="str">
        <f t="shared" si="1962"/>
        <v>89301000</v>
      </c>
      <c r="B10989" t="str">
        <f>"91996600"</f>
        <v>91996600</v>
      </c>
      <c r="C10989" t="str">
        <f>"91996602"</f>
        <v>91996602</v>
      </c>
      <c r="D10989">
        <v>89301167</v>
      </c>
      <c r="E10989" t="str">
        <f>"420102444"</f>
        <v>420102444</v>
      </c>
      <c r="F10989" s="1">
        <v>45173</v>
      </c>
      <c r="G10989" t="str">
        <f>"94235"</f>
        <v>94235</v>
      </c>
      <c r="H10989">
        <v>1</v>
      </c>
      <c r="I10989">
        <v>690</v>
      </c>
      <c r="J10989">
        <v>0</v>
      </c>
      <c r="K10989" t="str">
        <f>"816"</f>
        <v>816</v>
      </c>
      <c r="L10989">
        <v>621</v>
      </c>
    </row>
    <row r="10990" spans="1:12" x14ac:dyDescent="0.25">
      <c r="A10990" t="str">
        <f t="shared" si="1962"/>
        <v>89301000</v>
      </c>
      <c r="B10990" t="str">
        <f>"91996600"</f>
        <v>91996600</v>
      </c>
      <c r="C10990" t="str">
        <f>"91996602"</f>
        <v>91996602</v>
      </c>
      <c r="D10990">
        <v>89301167</v>
      </c>
      <c r="E10990" t="str">
        <f>"420102444"</f>
        <v>420102444</v>
      </c>
      <c r="F10990" s="1">
        <v>45173</v>
      </c>
      <c r="G10990" t="str">
        <f>"94353"</f>
        <v>94353</v>
      </c>
      <c r="H10990">
        <v>3</v>
      </c>
      <c r="I10990">
        <v>5190</v>
      </c>
      <c r="J10990">
        <v>0</v>
      </c>
      <c r="K10990" t="str">
        <f>"816"</f>
        <v>816</v>
      </c>
      <c r="L10990">
        <v>4671</v>
      </c>
    </row>
    <row r="10991" spans="1:12" x14ac:dyDescent="0.25">
      <c r="A10991" t="str">
        <f t="shared" si="1962"/>
        <v>89301000</v>
      </c>
      <c r="B10991" t="str">
        <f t="shared" ref="B10991:B11022" si="1967">"78051000"</f>
        <v>78051000</v>
      </c>
      <c r="C10991" t="str">
        <f t="shared" ref="C10991:C11022" si="1968">"78051004"</f>
        <v>78051004</v>
      </c>
      <c r="D10991">
        <v>89301062</v>
      </c>
      <c r="E10991" t="str">
        <f>"7160065396"</f>
        <v>7160065396</v>
      </c>
      <c r="F10991" s="1">
        <v>45174</v>
      </c>
      <c r="G10991" t="str">
        <f>"89311"</f>
        <v>89311</v>
      </c>
      <c r="H10991">
        <v>1</v>
      </c>
      <c r="I10991">
        <v>970</v>
      </c>
      <c r="J10991">
        <v>0</v>
      </c>
      <c r="K10991" t="str">
        <f t="shared" ref="K10991:K11022" si="1969">"809"</f>
        <v>809</v>
      </c>
      <c r="L10991">
        <v>1425.9</v>
      </c>
    </row>
    <row r="10992" spans="1:12" x14ac:dyDescent="0.25">
      <c r="A10992" t="str">
        <f t="shared" si="1962"/>
        <v>89301000</v>
      </c>
      <c r="B10992" t="str">
        <f t="shared" si="1967"/>
        <v>78051000</v>
      </c>
      <c r="C10992" t="str">
        <f t="shared" si="1968"/>
        <v>78051004</v>
      </c>
      <c r="D10992">
        <v>89301062</v>
      </c>
      <c r="E10992" t="str">
        <f>"7160065396"</f>
        <v>7160065396</v>
      </c>
      <c r="F10992" s="1">
        <v>45174</v>
      </c>
      <c r="G10992" t="str">
        <f>"0090044"</f>
        <v>0090044</v>
      </c>
      <c r="H10992">
        <v>1</v>
      </c>
      <c r="J10992">
        <v>16.8</v>
      </c>
      <c r="K10992" t="str">
        <f t="shared" si="1969"/>
        <v>809</v>
      </c>
      <c r="L10992">
        <v>16.8</v>
      </c>
    </row>
    <row r="10993" spans="1:12" x14ac:dyDescent="0.25">
      <c r="A10993" t="str">
        <f t="shared" si="1962"/>
        <v>89301000</v>
      </c>
      <c r="B10993" t="str">
        <f t="shared" si="1967"/>
        <v>78051000</v>
      </c>
      <c r="C10993" t="str">
        <f t="shared" si="1968"/>
        <v>78051004</v>
      </c>
      <c r="D10993">
        <v>89301062</v>
      </c>
      <c r="E10993" t="str">
        <f>"7160065396"</f>
        <v>7160065396</v>
      </c>
      <c r="F10993" s="1">
        <v>45174</v>
      </c>
      <c r="G10993" t="str">
        <f>"0225891"</f>
        <v>0225891</v>
      </c>
      <c r="H10993">
        <v>0.2</v>
      </c>
      <c r="J10993">
        <v>44.65</v>
      </c>
      <c r="K10993" t="str">
        <f t="shared" si="1969"/>
        <v>809</v>
      </c>
      <c r="L10993">
        <v>44.65</v>
      </c>
    </row>
    <row r="10994" spans="1:12" x14ac:dyDescent="0.25">
      <c r="A10994" t="str">
        <f t="shared" si="1962"/>
        <v>89301000</v>
      </c>
      <c r="B10994" t="str">
        <f t="shared" si="1967"/>
        <v>78051000</v>
      </c>
      <c r="C10994" t="str">
        <f t="shared" si="1968"/>
        <v>78051004</v>
      </c>
      <c r="D10994">
        <v>89301062</v>
      </c>
      <c r="E10994" t="str">
        <f>"7160065396"</f>
        <v>7160065396</v>
      </c>
      <c r="F10994" s="1">
        <v>45174</v>
      </c>
      <c r="G10994" t="str">
        <f>"0096251"</f>
        <v>0096251</v>
      </c>
      <c r="H10994">
        <v>0.17</v>
      </c>
      <c r="J10994">
        <v>198.83</v>
      </c>
      <c r="K10994" t="str">
        <f t="shared" si="1969"/>
        <v>809</v>
      </c>
      <c r="L10994">
        <v>198.83</v>
      </c>
    </row>
    <row r="10995" spans="1:12" x14ac:dyDescent="0.25">
      <c r="A10995" t="str">
        <f t="shared" si="1962"/>
        <v>89301000</v>
      </c>
      <c r="B10995" t="str">
        <f t="shared" si="1967"/>
        <v>78051000</v>
      </c>
      <c r="C10995" t="str">
        <f t="shared" si="1968"/>
        <v>78051004</v>
      </c>
      <c r="D10995">
        <v>89301062</v>
      </c>
      <c r="E10995" t="str">
        <f>"7160065396"</f>
        <v>7160065396</v>
      </c>
      <c r="F10995" s="1">
        <v>45174</v>
      </c>
      <c r="G10995" t="str">
        <f>"0098943"</f>
        <v>0098943</v>
      </c>
      <c r="H10995">
        <v>1</v>
      </c>
      <c r="J10995">
        <v>293.81</v>
      </c>
      <c r="K10995" t="str">
        <f t="shared" si="1969"/>
        <v>809</v>
      </c>
      <c r="L10995">
        <v>293.81</v>
      </c>
    </row>
    <row r="10996" spans="1:12" x14ac:dyDescent="0.25">
      <c r="A10996" t="str">
        <f t="shared" si="1962"/>
        <v>89301000</v>
      </c>
      <c r="B10996" t="str">
        <f t="shared" si="1967"/>
        <v>78051000</v>
      </c>
      <c r="C10996" t="str">
        <f t="shared" si="1968"/>
        <v>78051004</v>
      </c>
      <c r="D10996">
        <v>89301062</v>
      </c>
      <c r="E10996" t="str">
        <f>"0754055302"</f>
        <v>0754055302</v>
      </c>
      <c r="F10996" s="1">
        <v>45174</v>
      </c>
      <c r="G10996" t="str">
        <f>"89311"</f>
        <v>89311</v>
      </c>
      <c r="H10996">
        <v>1</v>
      </c>
      <c r="I10996">
        <v>970</v>
      </c>
      <c r="J10996">
        <v>0</v>
      </c>
      <c r="K10996" t="str">
        <f t="shared" si="1969"/>
        <v>809</v>
      </c>
      <c r="L10996">
        <v>1425.9</v>
      </c>
    </row>
    <row r="10997" spans="1:12" x14ac:dyDescent="0.25">
      <c r="A10997" t="str">
        <f t="shared" si="1962"/>
        <v>89301000</v>
      </c>
      <c r="B10997" t="str">
        <f t="shared" si="1967"/>
        <v>78051000</v>
      </c>
      <c r="C10997" t="str">
        <f t="shared" si="1968"/>
        <v>78051004</v>
      </c>
      <c r="D10997">
        <v>89301062</v>
      </c>
      <c r="E10997" t="str">
        <f>"0754055302"</f>
        <v>0754055302</v>
      </c>
      <c r="F10997" s="1">
        <v>45174</v>
      </c>
      <c r="G10997" t="str">
        <f>"0090044"</f>
        <v>0090044</v>
      </c>
      <c r="H10997">
        <v>1</v>
      </c>
      <c r="J10997">
        <v>16.8</v>
      </c>
      <c r="K10997" t="str">
        <f t="shared" si="1969"/>
        <v>809</v>
      </c>
      <c r="L10997">
        <v>16.8</v>
      </c>
    </row>
    <row r="10998" spans="1:12" x14ac:dyDescent="0.25">
      <c r="A10998" t="str">
        <f t="shared" si="1962"/>
        <v>89301000</v>
      </c>
      <c r="B10998" t="str">
        <f t="shared" si="1967"/>
        <v>78051000</v>
      </c>
      <c r="C10998" t="str">
        <f t="shared" si="1968"/>
        <v>78051004</v>
      </c>
      <c r="D10998">
        <v>89301062</v>
      </c>
      <c r="E10998" t="str">
        <f>"0754055302"</f>
        <v>0754055302</v>
      </c>
      <c r="F10998" s="1">
        <v>45174</v>
      </c>
      <c r="G10998" t="str">
        <f>"0225891"</f>
        <v>0225891</v>
      </c>
      <c r="H10998">
        <v>0.2</v>
      </c>
      <c r="J10998">
        <v>44.65</v>
      </c>
      <c r="K10998" t="str">
        <f t="shared" si="1969"/>
        <v>809</v>
      </c>
      <c r="L10998">
        <v>44.65</v>
      </c>
    </row>
    <row r="10999" spans="1:12" x14ac:dyDescent="0.25">
      <c r="A10999" t="str">
        <f t="shared" si="1962"/>
        <v>89301000</v>
      </c>
      <c r="B10999" t="str">
        <f t="shared" si="1967"/>
        <v>78051000</v>
      </c>
      <c r="C10999" t="str">
        <f t="shared" si="1968"/>
        <v>78051004</v>
      </c>
      <c r="D10999">
        <v>89301062</v>
      </c>
      <c r="E10999" t="str">
        <f>"0754055302"</f>
        <v>0754055302</v>
      </c>
      <c r="F10999" s="1">
        <v>45174</v>
      </c>
      <c r="G10999" t="str">
        <f>"0096251"</f>
        <v>0096251</v>
      </c>
      <c r="H10999">
        <v>0.17</v>
      </c>
      <c r="J10999">
        <v>198.83</v>
      </c>
      <c r="K10999" t="str">
        <f t="shared" si="1969"/>
        <v>809</v>
      </c>
      <c r="L10999">
        <v>198.83</v>
      </c>
    </row>
    <row r="11000" spans="1:12" x14ac:dyDescent="0.25">
      <c r="A11000" t="str">
        <f t="shared" si="1962"/>
        <v>89301000</v>
      </c>
      <c r="B11000" t="str">
        <f t="shared" si="1967"/>
        <v>78051000</v>
      </c>
      <c r="C11000" t="str">
        <f t="shared" si="1968"/>
        <v>78051004</v>
      </c>
      <c r="D11000">
        <v>89301062</v>
      </c>
      <c r="E11000" t="str">
        <f>"0754055302"</f>
        <v>0754055302</v>
      </c>
      <c r="F11000" s="1">
        <v>45174</v>
      </c>
      <c r="G11000" t="str">
        <f>"0098943"</f>
        <v>0098943</v>
      </c>
      <c r="H11000">
        <v>1</v>
      </c>
      <c r="J11000">
        <v>293.81</v>
      </c>
      <c r="K11000" t="str">
        <f t="shared" si="1969"/>
        <v>809</v>
      </c>
      <c r="L11000">
        <v>293.81</v>
      </c>
    </row>
    <row r="11001" spans="1:12" x14ac:dyDescent="0.25">
      <c r="A11001" t="str">
        <f t="shared" si="1962"/>
        <v>89301000</v>
      </c>
      <c r="B11001" t="str">
        <f t="shared" si="1967"/>
        <v>78051000</v>
      </c>
      <c r="C11001" t="str">
        <f t="shared" si="1968"/>
        <v>78051004</v>
      </c>
      <c r="D11001">
        <v>89301062</v>
      </c>
      <c r="E11001" t="str">
        <f>"510527346"</f>
        <v>510527346</v>
      </c>
      <c r="F11001" s="1">
        <v>45174</v>
      </c>
      <c r="G11001" t="str">
        <f>"89311"</f>
        <v>89311</v>
      </c>
      <c r="H11001">
        <v>1</v>
      </c>
      <c r="I11001">
        <v>970</v>
      </c>
      <c r="J11001">
        <v>0</v>
      </c>
      <c r="K11001" t="str">
        <f t="shared" si="1969"/>
        <v>809</v>
      </c>
      <c r="L11001">
        <v>1425.9</v>
      </c>
    </row>
    <row r="11002" spans="1:12" x14ac:dyDescent="0.25">
      <c r="A11002" t="str">
        <f t="shared" si="1962"/>
        <v>89301000</v>
      </c>
      <c r="B11002" t="str">
        <f t="shared" si="1967"/>
        <v>78051000</v>
      </c>
      <c r="C11002" t="str">
        <f t="shared" si="1968"/>
        <v>78051004</v>
      </c>
      <c r="D11002">
        <v>89301062</v>
      </c>
      <c r="E11002" t="str">
        <f>"510527346"</f>
        <v>510527346</v>
      </c>
      <c r="F11002" s="1">
        <v>45174</v>
      </c>
      <c r="G11002" t="str">
        <f>"0090044"</f>
        <v>0090044</v>
      </c>
      <c r="H11002">
        <v>1</v>
      </c>
      <c r="J11002">
        <v>16.8</v>
      </c>
      <c r="K11002" t="str">
        <f t="shared" si="1969"/>
        <v>809</v>
      </c>
      <c r="L11002">
        <v>16.8</v>
      </c>
    </row>
    <row r="11003" spans="1:12" x14ac:dyDescent="0.25">
      <c r="A11003" t="str">
        <f t="shared" si="1962"/>
        <v>89301000</v>
      </c>
      <c r="B11003" t="str">
        <f t="shared" si="1967"/>
        <v>78051000</v>
      </c>
      <c r="C11003" t="str">
        <f t="shared" si="1968"/>
        <v>78051004</v>
      </c>
      <c r="D11003">
        <v>89301062</v>
      </c>
      <c r="E11003" t="str">
        <f>"510527346"</f>
        <v>510527346</v>
      </c>
      <c r="F11003" s="1">
        <v>45174</v>
      </c>
      <c r="G11003" t="str">
        <f>"0225891"</f>
        <v>0225891</v>
      </c>
      <c r="H11003">
        <v>0.2</v>
      </c>
      <c r="J11003">
        <v>44.65</v>
      </c>
      <c r="K11003" t="str">
        <f t="shared" si="1969"/>
        <v>809</v>
      </c>
      <c r="L11003">
        <v>44.65</v>
      </c>
    </row>
    <row r="11004" spans="1:12" x14ac:dyDescent="0.25">
      <c r="A11004" t="str">
        <f t="shared" si="1962"/>
        <v>89301000</v>
      </c>
      <c r="B11004" t="str">
        <f t="shared" si="1967"/>
        <v>78051000</v>
      </c>
      <c r="C11004" t="str">
        <f t="shared" si="1968"/>
        <v>78051004</v>
      </c>
      <c r="D11004">
        <v>89301062</v>
      </c>
      <c r="E11004" t="str">
        <f>"510527346"</f>
        <v>510527346</v>
      </c>
      <c r="F11004" s="1">
        <v>45174</v>
      </c>
      <c r="G11004" t="str">
        <f>"0096251"</f>
        <v>0096251</v>
      </c>
      <c r="H11004">
        <v>0.17</v>
      </c>
      <c r="J11004">
        <v>198.83</v>
      </c>
      <c r="K11004" t="str">
        <f t="shared" si="1969"/>
        <v>809</v>
      </c>
      <c r="L11004">
        <v>198.83</v>
      </c>
    </row>
    <row r="11005" spans="1:12" x14ac:dyDescent="0.25">
      <c r="A11005" t="str">
        <f t="shared" si="1962"/>
        <v>89301000</v>
      </c>
      <c r="B11005" t="str">
        <f t="shared" si="1967"/>
        <v>78051000</v>
      </c>
      <c r="C11005" t="str">
        <f t="shared" si="1968"/>
        <v>78051004</v>
      </c>
      <c r="D11005">
        <v>89301062</v>
      </c>
      <c r="E11005" t="str">
        <f>"510527346"</f>
        <v>510527346</v>
      </c>
      <c r="F11005" s="1">
        <v>45174</v>
      </c>
      <c r="G11005" t="str">
        <f>"0098943"</f>
        <v>0098943</v>
      </c>
      <c r="H11005">
        <v>1</v>
      </c>
      <c r="J11005">
        <v>293.81</v>
      </c>
      <c r="K11005" t="str">
        <f t="shared" si="1969"/>
        <v>809</v>
      </c>
      <c r="L11005">
        <v>293.81</v>
      </c>
    </row>
    <row r="11006" spans="1:12" x14ac:dyDescent="0.25">
      <c r="A11006" t="str">
        <f t="shared" si="1962"/>
        <v>89301000</v>
      </c>
      <c r="B11006" t="str">
        <f t="shared" si="1967"/>
        <v>78051000</v>
      </c>
      <c r="C11006" t="str">
        <f t="shared" si="1968"/>
        <v>78051004</v>
      </c>
      <c r="D11006">
        <v>89301037</v>
      </c>
      <c r="E11006" t="str">
        <f>"516020051"</f>
        <v>516020051</v>
      </c>
      <c r="F11006" s="1">
        <v>45181</v>
      </c>
      <c r="G11006" t="str">
        <f>"89312"</f>
        <v>89312</v>
      </c>
      <c r="H11006">
        <v>2</v>
      </c>
      <c r="I11006">
        <v>624</v>
      </c>
      <c r="J11006">
        <v>0</v>
      </c>
      <c r="K11006" t="str">
        <f t="shared" si="1969"/>
        <v>809</v>
      </c>
      <c r="L11006">
        <v>680.16</v>
      </c>
    </row>
    <row r="11007" spans="1:12" x14ac:dyDescent="0.25">
      <c r="A11007" t="str">
        <f t="shared" si="1962"/>
        <v>89301000</v>
      </c>
      <c r="B11007" t="str">
        <f t="shared" si="1967"/>
        <v>78051000</v>
      </c>
      <c r="C11007" t="str">
        <f t="shared" si="1968"/>
        <v>78051004</v>
      </c>
      <c r="D11007">
        <v>89301062</v>
      </c>
      <c r="E11007" t="str">
        <f>"7462254712"</f>
        <v>7462254712</v>
      </c>
      <c r="F11007" s="1">
        <v>45189</v>
      </c>
      <c r="G11007" t="str">
        <f>"89311"</f>
        <v>89311</v>
      </c>
      <c r="H11007">
        <v>1</v>
      </c>
      <c r="I11007">
        <v>970</v>
      </c>
      <c r="J11007">
        <v>0</v>
      </c>
      <c r="K11007" t="str">
        <f t="shared" si="1969"/>
        <v>809</v>
      </c>
      <c r="L11007">
        <v>1425.9</v>
      </c>
    </row>
    <row r="11008" spans="1:12" x14ac:dyDescent="0.25">
      <c r="A11008" t="str">
        <f t="shared" si="1962"/>
        <v>89301000</v>
      </c>
      <c r="B11008" t="str">
        <f t="shared" si="1967"/>
        <v>78051000</v>
      </c>
      <c r="C11008" t="str">
        <f t="shared" si="1968"/>
        <v>78051004</v>
      </c>
      <c r="D11008">
        <v>89301062</v>
      </c>
      <c r="E11008" t="str">
        <f>"7462254712"</f>
        <v>7462254712</v>
      </c>
      <c r="F11008" s="1">
        <v>45189</v>
      </c>
      <c r="G11008" t="str">
        <f>"0090044"</f>
        <v>0090044</v>
      </c>
      <c r="H11008">
        <v>1</v>
      </c>
      <c r="J11008">
        <v>16.8</v>
      </c>
      <c r="K11008" t="str">
        <f t="shared" si="1969"/>
        <v>809</v>
      </c>
      <c r="L11008">
        <v>16.8</v>
      </c>
    </row>
    <row r="11009" spans="1:12" x14ac:dyDescent="0.25">
      <c r="A11009" t="str">
        <f t="shared" si="1962"/>
        <v>89301000</v>
      </c>
      <c r="B11009" t="str">
        <f t="shared" si="1967"/>
        <v>78051000</v>
      </c>
      <c r="C11009" t="str">
        <f t="shared" si="1968"/>
        <v>78051004</v>
      </c>
      <c r="D11009">
        <v>89301062</v>
      </c>
      <c r="E11009" t="str">
        <f>"7462254712"</f>
        <v>7462254712</v>
      </c>
      <c r="F11009" s="1">
        <v>45189</v>
      </c>
      <c r="G11009" t="str">
        <f>"0225891"</f>
        <v>0225891</v>
      </c>
      <c r="H11009">
        <v>0.2</v>
      </c>
      <c r="J11009">
        <v>44.65</v>
      </c>
      <c r="K11009" t="str">
        <f t="shared" si="1969"/>
        <v>809</v>
      </c>
      <c r="L11009">
        <v>44.65</v>
      </c>
    </row>
    <row r="11010" spans="1:12" x14ac:dyDescent="0.25">
      <c r="A11010" t="str">
        <f t="shared" ref="A11010:A11073" si="1970">"89301000"</f>
        <v>89301000</v>
      </c>
      <c r="B11010" t="str">
        <f t="shared" si="1967"/>
        <v>78051000</v>
      </c>
      <c r="C11010" t="str">
        <f t="shared" si="1968"/>
        <v>78051004</v>
      </c>
      <c r="D11010">
        <v>89301062</v>
      </c>
      <c r="E11010" t="str">
        <f>"7462254712"</f>
        <v>7462254712</v>
      </c>
      <c r="F11010" s="1">
        <v>45189</v>
      </c>
      <c r="G11010" t="str">
        <f>"0096251"</f>
        <v>0096251</v>
      </c>
      <c r="H11010">
        <v>0.17</v>
      </c>
      <c r="J11010">
        <v>198.83</v>
      </c>
      <c r="K11010" t="str">
        <f t="shared" si="1969"/>
        <v>809</v>
      </c>
      <c r="L11010">
        <v>198.83</v>
      </c>
    </row>
    <row r="11011" spans="1:12" x14ac:dyDescent="0.25">
      <c r="A11011" t="str">
        <f t="shared" si="1970"/>
        <v>89301000</v>
      </c>
      <c r="B11011" t="str">
        <f t="shared" si="1967"/>
        <v>78051000</v>
      </c>
      <c r="C11011" t="str">
        <f t="shared" si="1968"/>
        <v>78051004</v>
      </c>
      <c r="D11011">
        <v>89301062</v>
      </c>
      <c r="E11011" t="str">
        <f>"7462254712"</f>
        <v>7462254712</v>
      </c>
      <c r="F11011" s="1">
        <v>45189</v>
      </c>
      <c r="G11011" t="str">
        <f>"0098943"</f>
        <v>0098943</v>
      </c>
      <c r="H11011">
        <v>1</v>
      </c>
      <c r="J11011">
        <v>293.81</v>
      </c>
      <c r="K11011" t="str">
        <f t="shared" si="1969"/>
        <v>809</v>
      </c>
      <c r="L11011">
        <v>293.81</v>
      </c>
    </row>
    <row r="11012" spans="1:12" x14ac:dyDescent="0.25">
      <c r="A11012" t="str">
        <f t="shared" si="1970"/>
        <v>89301000</v>
      </c>
      <c r="B11012" t="str">
        <f t="shared" si="1967"/>
        <v>78051000</v>
      </c>
      <c r="C11012" t="str">
        <f t="shared" si="1968"/>
        <v>78051004</v>
      </c>
      <c r="D11012">
        <v>89301062</v>
      </c>
      <c r="E11012" t="str">
        <f>"495628091"</f>
        <v>495628091</v>
      </c>
      <c r="F11012" s="1">
        <v>45189</v>
      </c>
      <c r="G11012" t="str">
        <f>"89311"</f>
        <v>89311</v>
      </c>
      <c r="H11012">
        <v>1</v>
      </c>
      <c r="I11012">
        <v>970</v>
      </c>
      <c r="J11012">
        <v>0</v>
      </c>
      <c r="K11012" t="str">
        <f t="shared" si="1969"/>
        <v>809</v>
      </c>
      <c r="L11012">
        <v>1425.9</v>
      </c>
    </row>
    <row r="11013" spans="1:12" x14ac:dyDescent="0.25">
      <c r="A11013" t="str">
        <f t="shared" si="1970"/>
        <v>89301000</v>
      </c>
      <c r="B11013" t="str">
        <f t="shared" si="1967"/>
        <v>78051000</v>
      </c>
      <c r="C11013" t="str">
        <f t="shared" si="1968"/>
        <v>78051004</v>
      </c>
      <c r="D11013">
        <v>89301062</v>
      </c>
      <c r="E11013" t="str">
        <f>"495628091"</f>
        <v>495628091</v>
      </c>
      <c r="F11013" s="1">
        <v>45189</v>
      </c>
      <c r="G11013" t="str">
        <f>"0090044"</f>
        <v>0090044</v>
      </c>
      <c r="H11013">
        <v>1</v>
      </c>
      <c r="J11013">
        <v>16.8</v>
      </c>
      <c r="K11013" t="str">
        <f t="shared" si="1969"/>
        <v>809</v>
      </c>
      <c r="L11013">
        <v>16.8</v>
      </c>
    </row>
    <row r="11014" spans="1:12" x14ac:dyDescent="0.25">
      <c r="A11014" t="str">
        <f t="shared" si="1970"/>
        <v>89301000</v>
      </c>
      <c r="B11014" t="str">
        <f t="shared" si="1967"/>
        <v>78051000</v>
      </c>
      <c r="C11014" t="str">
        <f t="shared" si="1968"/>
        <v>78051004</v>
      </c>
      <c r="D11014">
        <v>89301062</v>
      </c>
      <c r="E11014" t="str">
        <f>"495628091"</f>
        <v>495628091</v>
      </c>
      <c r="F11014" s="1">
        <v>45189</v>
      </c>
      <c r="G11014" t="str">
        <f>"0225891"</f>
        <v>0225891</v>
      </c>
      <c r="H11014">
        <v>0.2</v>
      </c>
      <c r="J11014">
        <v>44.65</v>
      </c>
      <c r="K11014" t="str">
        <f t="shared" si="1969"/>
        <v>809</v>
      </c>
      <c r="L11014">
        <v>44.65</v>
      </c>
    </row>
    <row r="11015" spans="1:12" x14ac:dyDescent="0.25">
      <c r="A11015" t="str">
        <f t="shared" si="1970"/>
        <v>89301000</v>
      </c>
      <c r="B11015" t="str">
        <f t="shared" si="1967"/>
        <v>78051000</v>
      </c>
      <c r="C11015" t="str">
        <f t="shared" si="1968"/>
        <v>78051004</v>
      </c>
      <c r="D11015">
        <v>89301062</v>
      </c>
      <c r="E11015" t="str">
        <f>"495628091"</f>
        <v>495628091</v>
      </c>
      <c r="F11015" s="1">
        <v>45189</v>
      </c>
      <c r="G11015" t="str">
        <f>"0096251"</f>
        <v>0096251</v>
      </c>
      <c r="H11015">
        <v>0.17</v>
      </c>
      <c r="J11015">
        <v>198.83</v>
      </c>
      <c r="K11015" t="str">
        <f t="shared" si="1969"/>
        <v>809</v>
      </c>
      <c r="L11015">
        <v>198.83</v>
      </c>
    </row>
    <row r="11016" spans="1:12" x14ac:dyDescent="0.25">
      <c r="A11016" t="str">
        <f t="shared" si="1970"/>
        <v>89301000</v>
      </c>
      <c r="B11016" t="str">
        <f t="shared" si="1967"/>
        <v>78051000</v>
      </c>
      <c r="C11016" t="str">
        <f t="shared" si="1968"/>
        <v>78051004</v>
      </c>
      <c r="D11016">
        <v>89301062</v>
      </c>
      <c r="E11016" t="str">
        <f>"495628091"</f>
        <v>495628091</v>
      </c>
      <c r="F11016" s="1">
        <v>45189</v>
      </c>
      <c r="G11016" t="str">
        <f>"0098943"</f>
        <v>0098943</v>
      </c>
      <c r="H11016">
        <v>1</v>
      </c>
      <c r="J11016">
        <v>293.81</v>
      </c>
      <c r="K11016" t="str">
        <f t="shared" si="1969"/>
        <v>809</v>
      </c>
      <c r="L11016">
        <v>293.81</v>
      </c>
    </row>
    <row r="11017" spans="1:12" x14ac:dyDescent="0.25">
      <c r="A11017" t="str">
        <f t="shared" si="1970"/>
        <v>89301000</v>
      </c>
      <c r="B11017" t="str">
        <f t="shared" si="1967"/>
        <v>78051000</v>
      </c>
      <c r="C11017" t="str">
        <f t="shared" si="1968"/>
        <v>78051004</v>
      </c>
      <c r="D11017">
        <v>89301062</v>
      </c>
      <c r="E11017" t="str">
        <f>"6406191264"</f>
        <v>6406191264</v>
      </c>
      <c r="F11017" s="1">
        <v>45189</v>
      </c>
      <c r="G11017" t="str">
        <f>"89311"</f>
        <v>89311</v>
      </c>
      <c r="H11017">
        <v>1</v>
      </c>
      <c r="I11017">
        <v>970</v>
      </c>
      <c r="J11017">
        <v>0</v>
      </c>
      <c r="K11017" t="str">
        <f t="shared" si="1969"/>
        <v>809</v>
      </c>
      <c r="L11017">
        <v>1425.9</v>
      </c>
    </row>
    <row r="11018" spans="1:12" x14ac:dyDescent="0.25">
      <c r="A11018" t="str">
        <f t="shared" si="1970"/>
        <v>89301000</v>
      </c>
      <c r="B11018" t="str">
        <f t="shared" si="1967"/>
        <v>78051000</v>
      </c>
      <c r="C11018" t="str">
        <f t="shared" si="1968"/>
        <v>78051004</v>
      </c>
      <c r="D11018">
        <v>89301062</v>
      </c>
      <c r="E11018" t="str">
        <f>"6406191264"</f>
        <v>6406191264</v>
      </c>
      <c r="F11018" s="1">
        <v>45189</v>
      </c>
      <c r="G11018" t="str">
        <f>"0090044"</f>
        <v>0090044</v>
      </c>
      <c r="H11018">
        <v>1</v>
      </c>
      <c r="J11018">
        <v>16.8</v>
      </c>
      <c r="K11018" t="str">
        <f t="shared" si="1969"/>
        <v>809</v>
      </c>
      <c r="L11018">
        <v>16.8</v>
      </c>
    </row>
    <row r="11019" spans="1:12" x14ac:dyDescent="0.25">
      <c r="A11019" t="str">
        <f t="shared" si="1970"/>
        <v>89301000</v>
      </c>
      <c r="B11019" t="str">
        <f t="shared" si="1967"/>
        <v>78051000</v>
      </c>
      <c r="C11019" t="str">
        <f t="shared" si="1968"/>
        <v>78051004</v>
      </c>
      <c r="D11019">
        <v>89301062</v>
      </c>
      <c r="E11019" t="str">
        <f>"6406191264"</f>
        <v>6406191264</v>
      </c>
      <c r="F11019" s="1">
        <v>45189</v>
      </c>
      <c r="G11019" t="str">
        <f>"0225891"</f>
        <v>0225891</v>
      </c>
      <c r="H11019">
        <v>0.2</v>
      </c>
      <c r="J11019">
        <v>44.65</v>
      </c>
      <c r="K11019" t="str">
        <f t="shared" si="1969"/>
        <v>809</v>
      </c>
      <c r="L11019">
        <v>44.65</v>
      </c>
    </row>
    <row r="11020" spans="1:12" x14ac:dyDescent="0.25">
      <c r="A11020" t="str">
        <f t="shared" si="1970"/>
        <v>89301000</v>
      </c>
      <c r="B11020" t="str">
        <f t="shared" si="1967"/>
        <v>78051000</v>
      </c>
      <c r="C11020" t="str">
        <f t="shared" si="1968"/>
        <v>78051004</v>
      </c>
      <c r="D11020">
        <v>89301062</v>
      </c>
      <c r="E11020" t="str">
        <f>"6406191264"</f>
        <v>6406191264</v>
      </c>
      <c r="F11020" s="1">
        <v>45189</v>
      </c>
      <c r="G11020" t="str">
        <f>"0096251"</f>
        <v>0096251</v>
      </c>
      <c r="H11020">
        <v>0.17</v>
      </c>
      <c r="J11020">
        <v>198.83</v>
      </c>
      <c r="K11020" t="str">
        <f t="shared" si="1969"/>
        <v>809</v>
      </c>
      <c r="L11020">
        <v>198.83</v>
      </c>
    </row>
    <row r="11021" spans="1:12" x14ac:dyDescent="0.25">
      <c r="A11021" t="str">
        <f t="shared" si="1970"/>
        <v>89301000</v>
      </c>
      <c r="B11021" t="str">
        <f t="shared" si="1967"/>
        <v>78051000</v>
      </c>
      <c r="C11021" t="str">
        <f t="shared" si="1968"/>
        <v>78051004</v>
      </c>
      <c r="D11021">
        <v>89301062</v>
      </c>
      <c r="E11021" t="str">
        <f>"6406191264"</f>
        <v>6406191264</v>
      </c>
      <c r="F11021" s="1">
        <v>45189</v>
      </c>
      <c r="G11021" t="str">
        <f>"0098943"</f>
        <v>0098943</v>
      </c>
      <c r="H11021">
        <v>1</v>
      </c>
      <c r="J11021">
        <v>293.81</v>
      </c>
      <c r="K11021" t="str">
        <f t="shared" si="1969"/>
        <v>809</v>
      </c>
      <c r="L11021">
        <v>293.81</v>
      </c>
    </row>
    <row r="11022" spans="1:12" x14ac:dyDescent="0.25">
      <c r="A11022" t="str">
        <f t="shared" si="1970"/>
        <v>89301000</v>
      </c>
      <c r="B11022" t="str">
        <f t="shared" si="1967"/>
        <v>78051000</v>
      </c>
      <c r="C11022" t="str">
        <f t="shared" si="1968"/>
        <v>78051004</v>
      </c>
      <c r="D11022">
        <v>89301062</v>
      </c>
      <c r="E11022" t="str">
        <f>"6456212081"</f>
        <v>6456212081</v>
      </c>
      <c r="F11022" s="1">
        <v>45189</v>
      </c>
      <c r="G11022" t="str">
        <f>"89311"</f>
        <v>89311</v>
      </c>
      <c r="H11022">
        <v>1</v>
      </c>
      <c r="I11022">
        <v>970</v>
      </c>
      <c r="J11022">
        <v>0</v>
      </c>
      <c r="K11022" t="str">
        <f t="shared" si="1969"/>
        <v>809</v>
      </c>
      <c r="L11022">
        <v>1425.9</v>
      </c>
    </row>
    <row r="11023" spans="1:12" x14ac:dyDescent="0.25">
      <c r="A11023" t="str">
        <f t="shared" si="1970"/>
        <v>89301000</v>
      </c>
      <c r="B11023" t="str">
        <f t="shared" ref="B11023:B11057" si="1971">"78051000"</f>
        <v>78051000</v>
      </c>
      <c r="C11023" t="str">
        <f t="shared" ref="C11023:C11046" si="1972">"78051004"</f>
        <v>78051004</v>
      </c>
      <c r="D11023">
        <v>89301062</v>
      </c>
      <c r="E11023" t="str">
        <f>"6456212081"</f>
        <v>6456212081</v>
      </c>
      <c r="F11023" s="1">
        <v>45189</v>
      </c>
      <c r="G11023" t="str">
        <f>"0090044"</f>
        <v>0090044</v>
      </c>
      <c r="H11023">
        <v>1</v>
      </c>
      <c r="J11023">
        <v>16.8</v>
      </c>
      <c r="K11023" t="str">
        <f t="shared" ref="K11023:K11046" si="1973">"809"</f>
        <v>809</v>
      </c>
      <c r="L11023">
        <v>16.8</v>
      </c>
    </row>
    <row r="11024" spans="1:12" x14ac:dyDescent="0.25">
      <c r="A11024" t="str">
        <f t="shared" si="1970"/>
        <v>89301000</v>
      </c>
      <c r="B11024" t="str">
        <f t="shared" si="1971"/>
        <v>78051000</v>
      </c>
      <c r="C11024" t="str">
        <f t="shared" si="1972"/>
        <v>78051004</v>
      </c>
      <c r="D11024">
        <v>89301062</v>
      </c>
      <c r="E11024" t="str">
        <f>"6456212081"</f>
        <v>6456212081</v>
      </c>
      <c r="F11024" s="1">
        <v>45189</v>
      </c>
      <c r="G11024" t="str">
        <f>"0225891"</f>
        <v>0225891</v>
      </c>
      <c r="H11024">
        <v>0.2</v>
      </c>
      <c r="J11024">
        <v>44.65</v>
      </c>
      <c r="K11024" t="str">
        <f t="shared" si="1973"/>
        <v>809</v>
      </c>
      <c r="L11024">
        <v>44.65</v>
      </c>
    </row>
    <row r="11025" spans="1:12" x14ac:dyDescent="0.25">
      <c r="A11025" t="str">
        <f t="shared" si="1970"/>
        <v>89301000</v>
      </c>
      <c r="B11025" t="str">
        <f t="shared" si="1971"/>
        <v>78051000</v>
      </c>
      <c r="C11025" t="str">
        <f t="shared" si="1972"/>
        <v>78051004</v>
      </c>
      <c r="D11025">
        <v>89301062</v>
      </c>
      <c r="E11025" t="str">
        <f>"6456212081"</f>
        <v>6456212081</v>
      </c>
      <c r="F11025" s="1">
        <v>45189</v>
      </c>
      <c r="G11025" t="str">
        <f>"0096251"</f>
        <v>0096251</v>
      </c>
      <c r="H11025">
        <v>0.17</v>
      </c>
      <c r="J11025">
        <v>198.83</v>
      </c>
      <c r="K11025" t="str">
        <f t="shared" si="1973"/>
        <v>809</v>
      </c>
      <c r="L11025">
        <v>198.83</v>
      </c>
    </row>
    <row r="11026" spans="1:12" x14ac:dyDescent="0.25">
      <c r="A11026" t="str">
        <f t="shared" si="1970"/>
        <v>89301000</v>
      </c>
      <c r="B11026" t="str">
        <f t="shared" si="1971"/>
        <v>78051000</v>
      </c>
      <c r="C11026" t="str">
        <f t="shared" si="1972"/>
        <v>78051004</v>
      </c>
      <c r="D11026">
        <v>89301062</v>
      </c>
      <c r="E11026" t="str">
        <f>"6456212081"</f>
        <v>6456212081</v>
      </c>
      <c r="F11026" s="1">
        <v>45189</v>
      </c>
      <c r="G11026" t="str">
        <f>"0098943"</f>
        <v>0098943</v>
      </c>
      <c r="H11026">
        <v>1</v>
      </c>
      <c r="J11026">
        <v>293.81</v>
      </c>
      <c r="K11026" t="str">
        <f t="shared" si="1973"/>
        <v>809</v>
      </c>
      <c r="L11026">
        <v>293.81</v>
      </c>
    </row>
    <row r="11027" spans="1:12" x14ac:dyDescent="0.25">
      <c r="A11027" t="str">
        <f t="shared" si="1970"/>
        <v>89301000</v>
      </c>
      <c r="B11027" t="str">
        <f t="shared" si="1971"/>
        <v>78051000</v>
      </c>
      <c r="C11027" t="str">
        <f t="shared" si="1972"/>
        <v>78051004</v>
      </c>
      <c r="D11027">
        <v>89301062</v>
      </c>
      <c r="E11027" t="str">
        <f>"8462255307"</f>
        <v>8462255307</v>
      </c>
      <c r="F11027" s="1">
        <v>45189</v>
      </c>
      <c r="G11027" t="str">
        <f>"89311"</f>
        <v>89311</v>
      </c>
      <c r="H11027">
        <v>1</v>
      </c>
      <c r="I11027">
        <v>970</v>
      </c>
      <c r="J11027">
        <v>0</v>
      </c>
      <c r="K11027" t="str">
        <f t="shared" si="1973"/>
        <v>809</v>
      </c>
      <c r="L11027">
        <v>1425.9</v>
      </c>
    </row>
    <row r="11028" spans="1:12" x14ac:dyDescent="0.25">
      <c r="A11028" t="str">
        <f t="shared" si="1970"/>
        <v>89301000</v>
      </c>
      <c r="B11028" t="str">
        <f t="shared" si="1971"/>
        <v>78051000</v>
      </c>
      <c r="C11028" t="str">
        <f t="shared" si="1972"/>
        <v>78051004</v>
      </c>
      <c r="D11028">
        <v>89301062</v>
      </c>
      <c r="E11028" t="str">
        <f>"8462255307"</f>
        <v>8462255307</v>
      </c>
      <c r="F11028" s="1">
        <v>45189</v>
      </c>
      <c r="G11028" t="str">
        <f>"0090044"</f>
        <v>0090044</v>
      </c>
      <c r="H11028">
        <v>1</v>
      </c>
      <c r="J11028">
        <v>16.8</v>
      </c>
      <c r="K11028" t="str">
        <f t="shared" si="1973"/>
        <v>809</v>
      </c>
      <c r="L11028">
        <v>16.8</v>
      </c>
    </row>
    <row r="11029" spans="1:12" x14ac:dyDescent="0.25">
      <c r="A11029" t="str">
        <f t="shared" si="1970"/>
        <v>89301000</v>
      </c>
      <c r="B11029" t="str">
        <f t="shared" si="1971"/>
        <v>78051000</v>
      </c>
      <c r="C11029" t="str">
        <f t="shared" si="1972"/>
        <v>78051004</v>
      </c>
      <c r="D11029">
        <v>89301062</v>
      </c>
      <c r="E11029" t="str">
        <f>"8462255307"</f>
        <v>8462255307</v>
      </c>
      <c r="F11029" s="1">
        <v>45189</v>
      </c>
      <c r="G11029" t="str">
        <f>"0225891"</f>
        <v>0225891</v>
      </c>
      <c r="H11029">
        <v>0.2</v>
      </c>
      <c r="J11029">
        <v>44.65</v>
      </c>
      <c r="K11029" t="str">
        <f t="shared" si="1973"/>
        <v>809</v>
      </c>
      <c r="L11029">
        <v>44.65</v>
      </c>
    </row>
    <row r="11030" spans="1:12" x14ac:dyDescent="0.25">
      <c r="A11030" t="str">
        <f t="shared" si="1970"/>
        <v>89301000</v>
      </c>
      <c r="B11030" t="str">
        <f t="shared" si="1971"/>
        <v>78051000</v>
      </c>
      <c r="C11030" t="str">
        <f t="shared" si="1972"/>
        <v>78051004</v>
      </c>
      <c r="D11030">
        <v>89301062</v>
      </c>
      <c r="E11030" t="str">
        <f>"8462255307"</f>
        <v>8462255307</v>
      </c>
      <c r="F11030" s="1">
        <v>45189</v>
      </c>
      <c r="G11030" t="str">
        <f>"0096251"</f>
        <v>0096251</v>
      </c>
      <c r="H11030">
        <v>0.17</v>
      </c>
      <c r="J11030">
        <v>198.83</v>
      </c>
      <c r="K11030" t="str">
        <f t="shared" si="1973"/>
        <v>809</v>
      </c>
      <c r="L11030">
        <v>198.83</v>
      </c>
    </row>
    <row r="11031" spans="1:12" x14ac:dyDescent="0.25">
      <c r="A11031" t="str">
        <f t="shared" si="1970"/>
        <v>89301000</v>
      </c>
      <c r="B11031" t="str">
        <f t="shared" si="1971"/>
        <v>78051000</v>
      </c>
      <c r="C11031" t="str">
        <f t="shared" si="1972"/>
        <v>78051004</v>
      </c>
      <c r="D11031">
        <v>89301062</v>
      </c>
      <c r="E11031" t="str">
        <f>"8462255307"</f>
        <v>8462255307</v>
      </c>
      <c r="F11031" s="1">
        <v>45189</v>
      </c>
      <c r="G11031" t="str">
        <f>"0098943"</f>
        <v>0098943</v>
      </c>
      <c r="H11031">
        <v>1</v>
      </c>
      <c r="J11031">
        <v>293.81</v>
      </c>
      <c r="K11031" t="str">
        <f t="shared" si="1973"/>
        <v>809</v>
      </c>
      <c r="L11031">
        <v>293.81</v>
      </c>
    </row>
    <row r="11032" spans="1:12" x14ac:dyDescent="0.25">
      <c r="A11032" t="str">
        <f t="shared" si="1970"/>
        <v>89301000</v>
      </c>
      <c r="B11032" t="str">
        <f t="shared" si="1971"/>
        <v>78051000</v>
      </c>
      <c r="C11032" t="str">
        <f t="shared" si="1972"/>
        <v>78051004</v>
      </c>
      <c r="D11032">
        <v>89301062</v>
      </c>
      <c r="E11032" t="str">
        <f>"6807282141"</f>
        <v>6807282141</v>
      </c>
      <c r="F11032" s="1">
        <v>45189</v>
      </c>
      <c r="G11032" t="str">
        <f>"89311"</f>
        <v>89311</v>
      </c>
      <c r="H11032">
        <v>1</v>
      </c>
      <c r="I11032">
        <v>970</v>
      </c>
      <c r="J11032">
        <v>0</v>
      </c>
      <c r="K11032" t="str">
        <f t="shared" si="1973"/>
        <v>809</v>
      </c>
      <c r="L11032">
        <v>1425.9</v>
      </c>
    </row>
    <row r="11033" spans="1:12" x14ac:dyDescent="0.25">
      <c r="A11033" t="str">
        <f t="shared" si="1970"/>
        <v>89301000</v>
      </c>
      <c r="B11033" t="str">
        <f t="shared" si="1971"/>
        <v>78051000</v>
      </c>
      <c r="C11033" t="str">
        <f t="shared" si="1972"/>
        <v>78051004</v>
      </c>
      <c r="D11033">
        <v>89301062</v>
      </c>
      <c r="E11033" t="str">
        <f>"6807282141"</f>
        <v>6807282141</v>
      </c>
      <c r="F11033" s="1">
        <v>45189</v>
      </c>
      <c r="G11033" t="str">
        <f>"0090044"</f>
        <v>0090044</v>
      </c>
      <c r="H11033">
        <v>1</v>
      </c>
      <c r="J11033">
        <v>16.8</v>
      </c>
      <c r="K11033" t="str">
        <f t="shared" si="1973"/>
        <v>809</v>
      </c>
      <c r="L11033">
        <v>16.8</v>
      </c>
    </row>
    <row r="11034" spans="1:12" x14ac:dyDescent="0.25">
      <c r="A11034" t="str">
        <f t="shared" si="1970"/>
        <v>89301000</v>
      </c>
      <c r="B11034" t="str">
        <f t="shared" si="1971"/>
        <v>78051000</v>
      </c>
      <c r="C11034" t="str">
        <f t="shared" si="1972"/>
        <v>78051004</v>
      </c>
      <c r="D11034">
        <v>89301062</v>
      </c>
      <c r="E11034" t="str">
        <f>"6807282141"</f>
        <v>6807282141</v>
      </c>
      <c r="F11034" s="1">
        <v>45189</v>
      </c>
      <c r="G11034" t="str">
        <f>"0225891"</f>
        <v>0225891</v>
      </c>
      <c r="H11034">
        <v>0.2</v>
      </c>
      <c r="J11034">
        <v>44.65</v>
      </c>
      <c r="K11034" t="str">
        <f t="shared" si="1973"/>
        <v>809</v>
      </c>
      <c r="L11034">
        <v>44.65</v>
      </c>
    </row>
    <row r="11035" spans="1:12" x14ac:dyDescent="0.25">
      <c r="A11035" t="str">
        <f t="shared" si="1970"/>
        <v>89301000</v>
      </c>
      <c r="B11035" t="str">
        <f t="shared" si="1971"/>
        <v>78051000</v>
      </c>
      <c r="C11035" t="str">
        <f t="shared" si="1972"/>
        <v>78051004</v>
      </c>
      <c r="D11035">
        <v>89301062</v>
      </c>
      <c r="E11035" t="str">
        <f>"6807282141"</f>
        <v>6807282141</v>
      </c>
      <c r="F11035" s="1">
        <v>45189</v>
      </c>
      <c r="G11035" t="str">
        <f>"0096251"</f>
        <v>0096251</v>
      </c>
      <c r="H11035">
        <v>0.17</v>
      </c>
      <c r="J11035">
        <v>198.83</v>
      </c>
      <c r="K11035" t="str">
        <f t="shared" si="1973"/>
        <v>809</v>
      </c>
      <c r="L11035">
        <v>198.83</v>
      </c>
    </row>
    <row r="11036" spans="1:12" x14ac:dyDescent="0.25">
      <c r="A11036" t="str">
        <f t="shared" si="1970"/>
        <v>89301000</v>
      </c>
      <c r="B11036" t="str">
        <f t="shared" si="1971"/>
        <v>78051000</v>
      </c>
      <c r="C11036" t="str">
        <f t="shared" si="1972"/>
        <v>78051004</v>
      </c>
      <c r="D11036">
        <v>89301062</v>
      </c>
      <c r="E11036" t="str">
        <f>"6807282141"</f>
        <v>6807282141</v>
      </c>
      <c r="F11036" s="1">
        <v>45189</v>
      </c>
      <c r="G11036" t="str">
        <f>"0098943"</f>
        <v>0098943</v>
      </c>
      <c r="H11036">
        <v>1</v>
      </c>
      <c r="J11036">
        <v>293.81</v>
      </c>
      <c r="K11036" t="str">
        <f t="shared" si="1973"/>
        <v>809</v>
      </c>
      <c r="L11036">
        <v>293.81</v>
      </c>
    </row>
    <row r="11037" spans="1:12" x14ac:dyDescent="0.25">
      <c r="A11037" t="str">
        <f t="shared" si="1970"/>
        <v>89301000</v>
      </c>
      <c r="B11037" t="str">
        <f t="shared" si="1971"/>
        <v>78051000</v>
      </c>
      <c r="C11037" t="str">
        <f t="shared" si="1972"/>
        <v>78051004</v>
      </c>
      <c r="D11037">
        <v>89301062</v>
      </c>
      <c r="E11037" t="str">
        <f>"7957015814"</f>
        <v>7957015814</v>
      </c>
      <c r="F11037" s="1">
        <v>45196</v>
      </c>
      <c r="G11037" t="str">
        <f>"89311"</f>
        <v>89311</v>
      </c>
      <c r="H11037">
        <v>1</v>
      </c>
      <c r="I11037">
        <v>970</v>
      </c>
      <c r="J11037">
        <v>0</v>
      </c>
      <c r="K11037" t="str">
        <f t="shared" si="1973"/>
        <v>809</v>
      </c>
      <c r="L11037">
        <v>1425.9</v>
      </c>
    </row>
    <row r="11038" spans="1:12" x14ac:dyDescent="0.25">
      <c r="A11038" t="str">
        <f t="shared" si="1970"/>
        <v>89301000</v>
      </c>
      <c r="B11038" t="str">
        <f t="shared" si="1971"/>
        <v>78051000</v>
      </c>
      <c r="C11038" t="str">
        <f t="shared" si="1972"/>
        <v>78051004</v>
      </c>
      <c r="D11038">
        <v>89301062</v>
      </c>
      <c r="E11038" t="str">
        <f>"7957015814"</f>
        <v>7957015814</v>
      </c>
      <c r="F11038" s="1">
        <v>45196</v>
      </c>
      <c r="G11038" t="str">
        <f>"0090044"</f>
        <v>0090044</v>
      </c>
      <c r="H11038">
        <v>1</v>
      </c>
      <c r="J11038">
        <v>16.8</v>
      </c>
      <c r="K11038" t="str">
        <f t="shared" si="1973"/>
        <v>809</v>
      </c>
      <c r="L11038">
        <v>16.8</v>
      </c>
    </row>
    <row r="11039" spans="1:12" x14ac:dyDescent="0.25">
      <c r="A11039" t="str">
        <f t="shared" si="1970"/>
        <v>89301000</v>
      </c>
      <c r="B11039" t="str">
        <f t="shared" si="1971"/>
        <v>78051000</v>
      </c>
      <c r="C11039" t="str">
        <f t="shared" si="1972"/>
        <v>78051004</v>
      </c>
      <c r="D11039">
        <v>89301062</v>
      </c>
      <c r="E11039" t="str">
        <f>"7957015814"</f>
        <v>7957015814</v>
      </c>
      <c r="F11039" s="1">
        <v>45196</v>
      </c>
      <c r="G11039" t="str">
        <f>"0225891"</f>
        <v>0225891</v>
      </c>
      <c r="H11039">
        <v>0.2</v>
      </c>
      <c r="J11039">
        <v>44.65</v>
      </c>
      <c r="K11039" t="str">
        <f t="shared" si="1973"/>
        <v>809</v>
      </c>
      <c r="L11039">
        <v>44.65</v>
      </c>
    </row>
    <row r="11040" spans="1:12" x14ac:dyDescent="0.25">
      <c r="A11040" t="str">
        <f t="shared" si="1970"/>
        <v>89301000</v>
      </c>
      <c r="B11040" t="str">
        <f t="shared" si="1971"/>
        <v>78051000</v>
      </c>
      <c r="C11040" t="str">
        <f t="shared" si="1972"/>
        <v>78051004</v>
      </c>
      <c r="D11040">
        <v>89301062</v>
      </c>
      <c r="E11040" t="str">
        <f>"7957015814"</f>
        <v>7957015814</v>
      </c>
      <c r="F11040" s="1">
        <v>45196</v>
      </c>
      <c r="G11040" t="str">
        <f>"0096251"</f>
        <v>0096251</v>
      </c>
      <c r="H11040">
        <v>0.17</v>
      </c>
      <c r="J11040">
        <v>198.83</v>
      </c>
      <c r="K11040" t="str">
        <f t="shared" si="1973"/>
        <v>809</v>
      </c>
      <c r="L11040">
        <v>198.83</v>
      </c>
    </row>
    <row r="11041" spans="1:12" x14ac:dyDescent="0.25">
      <c r="A11041" t="str">
        <f t="shared" si="1970"/>
        <v>89301000</v>
      </c>
      <c r="B11041" t="str">
        <f t="shared" si="1971"/>
        <v>78051000</v>
      </c>
      <c r="C11041" t="str">
        <f t="shared" si="1972"/>
        <v>78051004</v>
      </c>
      <c r="D11041">
        <v>89301062</v>
      </c>
      <c r="E11041" t="str">
        <f>"7957015814"</f>
        <v>7957015814</v>
      </c>
      <c r="F11041" s="1">
        <v>45196</v>
      </c>
      <c r="G11041" t="str">
        <f>"0098943"</f>
        <v>0098943</v>
      </c>
      <c r="H11041">
        <v>1</v>
      </c>
      <c r="J11041">
        <v>293.81</v>
      </c>
      <c r="K11041" t="str">
        <f t="shared" si="1973"/>
        <v>809</v>
      </c>
      <c r="L11041">
        <v>293.81</v>
      </c>
    </row>
    <row r="11042" spans="1:12" x14ac:dyDescent="0.25">
      <c r="A11042" t="str">
        <f t="shared" si="1970"/>
        <v>89301000</v>
      </c>
      <c r="B11042" t="str">
        <f t="shared" si="1971"/>
        <v>78051000</v>
      </c>
      <c r="C11042" t="str">
        <f t="shared" si="1972"/>
        <v>78051004</v>
      </c>
      <c r="D11042">
        <v>89301062</v>
      </c>
      <c r="E11042" t="str">
        <f>"7355154422"</f>
        <v>7355154422</v>
      </c>
      <c r="F11042" s="1">
        <v>45196</v>
      </c>
      <c r="G11042" t="str">
        <f>"89311"</f>
        <v>89311</v>
      </c>
      <c r="H11042">
        <v>1</v>
      </c>
      <c r="I11042">
        <v>970</v>
      </c>
      <c r="J11042">
        <v>0</v>
      </c>
      <c r="K11042" t="str">
        <f t="shared" si="1973"/>
        <v>809</v>
      </c>
      <c r="L11042">
        <v>1425.9</v>
      </c>
    </row>
    <row r="11043" spans="1:12" x14ac:dyDescent="0.25">
      <c r="A11043" t="str">
        <f t="shared" si="1970"/>
        <v>89301000</v>
      </c>
      <c r="B11043" t="str">
        <f t="shared" si="1971"/>
        <v>78051000</v>
      </c>
      <c r="C11043" t="str">
        <f t="shared" si="1972"/>
        <v>78051004</v>
      </c>
      <c r="D11043">
        <v>89301062</v>
      </c>
      <c r="E11043" t="str">
        <f>"7355154422"</f>
        <v>7355154422</v>
      </c>
      <c r="F11043" s="1">
        <v>45196</v>
      </c>
      <c r="G11043" t="str">
        <f>"0090044"</f>
        <v>0090044</v>
      </c>
      <c r="H11043">
        <v>1</v>
      </c>
      <c r="J11043">
        <v>16.8</v>
      </c>
      <c r="K11043" t="str">
        <f t="shared" si="1973"/>
        <v>809</v>
      </c>
      <c r="L11043">
        <v>16.8</v>
      </c>
    </row>
    <row r="11044" spans="1:12" x14ac:dyDescent="0.25">
      <c r="A11044" t="str">
        <f t="shared" si="1970"/>
        <v>89301000</v>
      </c>
      <c r="B11044" t="str">
        <f t="shared" si="1971"/>
        <v>78051000</v>
      </c>
      <c r="C11044" t="str">
        <f t="shared" si="1972"/>
        <v>78051004</v>
      </c>
      <c r="D11044">
        <v>89301062</v>
      </c>
      <c r="E11044" t="str">
        <f>"7355154422"</f>
        <v>7355154422</v>
      </c>
      <c r="F11044" s="1">
        <v>45196</v>
      </c>
      <c r="G11044" t="str">
        <f>"0225891"</f>
        <v>0225891</v>
      </c>
      <c r="H11044">
        <v>0.2</v>
      </c>
      <c r="J11044">
        <v>44.65</v>
      </c>
      <c r="K11044" t="str">
        <f t="shared" si="1973"/>
        <v>809</v>
      </c>
      <c r="L11044">
        <v>44.65</v>
      </c>
    </row>
    <row r="11045" spans="1:12" x14ac:dyDescent="0.25">
      <c r="A11045" t="str">
        <f t="shared" si="1970"/>
        <v>89301000</v>
      </c>
      <c r="B11045" t="str">
        <f t="shared" si="1971"/>
        <v>78051000</v>
      </c>
      <c r="C11045" t="str">
        <f t="shared" si="1972"/>
        <v>78051004</v>
      </c>
      <c r="D11045">
        <v>89301062</v>
      </c>
      <c r="E11045" t="str">
        <f>"7355154422"</f>
        <v>7355154422</v>
      </c>
      <c r="F11045" s="1">
        <v>45196</v>
      </c>
      <c r="G11045" t="str">
        <f>"0096251"</f>
        <v>0096251</v>
      </c>
      <c r="H11045">
        <v>0.17</v>
      </c>
      <c r="J11045">
        <v>198.83</v>
      </c>
      <c r="K11045" t="str">
        <f t="shared" si="1973"/>
        <v>809</v>
      </c>
      <c r="L11045">
        <v>198.83</v>
      </c>
    </row>
    <row r="11046" spans="1:12" x14ac:dyDescent="0.25">
      <c r="A11046" t="str">
        <f t="shared" si="1970"/>
        <v>89301000</v>
      </c>
      <c r="B11046" t="str">
        <f t="shared" si="1971"/>
        <v>78051000</v>
      </c>
      <c r="C11046" t="str">
        <f t="shared" si="1972"/>
        <v>78051004</v>
      </c>
      <c r="D11046">
        <v>89301062</v>
      </c>
      <c r="E11046" t="str">
        <f>"7355154422"</f>
        <v>7355154422</v>
      </c>
      <c r="F11046" s="1">
        <v>45196</v>
      </c>
      <c r="G11046" t="str">
        <f>"0098943"</f>
        <v>0098943</v>
      </c>
      <c r="H11046">
        <v>1</v>
      </c>
      <c r="J11046">
        <v>293.81</v>
      </c>
      <c r="K11046" t="str">
        <f t="shared" si="1973"/>
        <v>809</v>
      </c>
      <c r="L11046">
        <v>293.81</v>
      </c>
    </row>
    <row r="11047" spans="1:12" x14ac:dyDescent="0.25">
      <c r="A11047" t="str">
        <f t="shared" si="1970"/>
        <v>89301000</v>
      </c>
      <c r="B11047" t="str">
        <f t="shared" si="1971"/>
        <v>78051000</v>
      </c>
      <c r="C11047" t="str">
        <f t="shared" ref="C11047:C11057" si="1974">"78051017"</f>
        <v>78051017</v>
      </c>
      <c r="D11047">
        <v>89301062</v>
      </c>
      <c r="E11047" t="str">
        <f>"7160065396"</f>
        <v>7160065396</v>
      </c>
      <c r="F11047" s="1">
        <v>45174</v>
      </c>
      <c r="G11047" t="str">
        <f t="shared" ref="G11047:G11057" si="1975">"89615"</f>
        <v>89615</v>
      </c>
      <c r="H11047">
        <v>1</v>
      </c>
      <c r="I11047">
        <v>2199</v>
      </c>
      <c r="J11047">
        <v>0</v>
      </c>
      <c r="K11047" t="str">
        <f t="shared" ref="K11047:K11057" si="1976">"810"</f>
        <v>810</v>
      </c>
      <c r="L11047">
        <v>1429.35</v>
      </c>
    </row>
    <row r="11048" spans="1:12" x14ac:dyDescent="0.25">
      <c r="A11048" t="str">
        <f t="shared" si="1970"/>
        <v>89301000</v>
      </c>
      <c r="B11048" t="str">
        <f t="shared" si="1971"/>
        <v>78051000</v>
      </c>
      <c r="C11048" t="str">
        <f t="shared" si="1974"/>
        <v>78051017</v>
      </c>
      <c r="D11048">
        <v>89301062</v>
      </c>
      <c r="E11048" t="str">
        <f>"0754055302"</f>
        <v>0754055302</v>
      </c>
      <c r="F11048" s="1">
        <v>45174</v>
      </c>
      <c r="G11048" t="str">
        <f t="shared" si="1975"/>
        <v>89615</v>
      </c>
      <c r="H11048">
        <v>1</v>
      </c>
      <c r="I11048">
        <v>2199</v>
      </c>
      <c r="J11048">
        <v>0</v>
      </c>
      <c r="K11048" t="str">
        <f t="shared" si="1976"/>
        <v>810</v>
      </c>
      <c r="L11048">
        <v>1429.35</v>
      </c>
    </row>
    <row r="11049" spans="1:12" x14ac:dyDescent="0.25">
      <c r="A11049" t="str">
        <f t="shared" si="1970"/>
        <v>89301000</v>
      </c>
      <c r="B11049" t="str">
        <f t="shared" si="1971"/>
        <v>78051000</v>
      </c>
      <c r="C11049" t="str">
        <f t="shared" si="1974"/>
        <v>78051017</v>
      </c>
      <c r="D11049">
        <v>89301062</v>
      </c>
      <c r="E11049" t="str">
        <f>"510527346"</f>
        <v>510527346</v>
      </c>
      <c r="F11049" s="1">
        <v>45174</v>
      </c>
      <c r="G11049" t="str">
        <f t="shared" si="1975"/>
        <v>89615</v>
      </c>
      <c r="H11049">
        <v>1</v>
      </c>
      <c r="I11049">
        <v>2199</v>
      </c>
      <c r="J11049">
        <v>0</v>
      </c>
      <c r="K11049" t="str">
        <f t="shared" si="1976"/>
        <v>810</v>
      </c>
      <c r="L11049">
        <v>1429.35</v>
      </c>
    </row>
    <row r="11050" spans="1:12" x14ac:dyDescent="0.25">
      <c r="A11050" t="str">
        <f t="shared" si="1970"/>
        <v>89301000</v>
      </c>
      <c r="B11050" t="str">
        <f t="shared" si="1971"/>
        <v>78051000</v>
      </c>
      <c r="C11050" t="str">
        <f t="shared" si="1974"/>
        <v>78051017</v>
      </c>
      <c r="D11050">
        <v>89301062</v>
      </c>
      <c r="E11050" t="str">
        <f>"7462254712"</f>
        <v>7462254712</v>
      </c>
      <c r="F11050" s="1">
        <v>45189</v>
      </c>
      <c r="G11050" t="str">
        <f t="shared" si="1975"/>
        <v>89615</v>
      </c>
      <c r="H11050">
        <v>1</v>
      </c>
      <c r="I11050">
        <v>2199</v>
      </c>
      <c r="J11050">
        <v>0</v>
      </c>
      <c r="K11050" t="str">
        <f t="shared" si="1976"/>
        <v>810</v>
      </c>
      <c r="L11050">
        <v>1429.35</v>
      </c>
    </row>
    <row r="11051" spans="1:12" x14ac:dyDescent="0.25">
      <c r="A11051" t="str">
        <f t="shared" si="1970"/>
        <v>89301000</v>
      </c>
      <c r="B11051" t="str">
        <f t="shared" si="1971"/>
        <v>78051000</v>
      </c>
      <c r="C11051" t="str">
        <f t="shared" si="1974"/>
        <v>78051017</v>
      </c>
      <c r="D11051">
        <v>89301062</v>
      </c>
      <c r="E11051" t="str">
        <f>"495628091"</f>
        <v>495628091</v>
      </c>
      <c r="F11051" s="1">
        <v>45189</v>
      </c>
      <c r="G11051" t="str">
        <f t="shared" si="1975"/>
        <v>89615</v>
      </c>
      <c r="H11051">
        <v>1</v>
      </c>
      <c r="I11051">
        <v>2199</v>
      </c>
      <c r="J11051">
        <v>0</v>
      </c>
      <c r="K11051" t="str">
        <f t="shared" si="1976"/>
        <v>810</v>
      </c>
      <c r="L11051">
        <v>1429.35</v>
      </c>
    </row>
    <row r="11052" spans="1:12" x14ac:dyDescent="0.25">
      <c r="A11052" t="str">
        <f t="shared" si="1970"/>
        <v>89301000</v>
      </c>
      <c r="B11052" t="str">
        <f t="shared" si="1971"/>
        <v>78051000</v>
      </c>
      <c r="C11052" t="str">
        <f t="shared" si="1974"/>
        <v>78051017</v>
      </c>
      <c r="D11052">
        <v>89301062</v>
      </c>
      <c r="E11052" t="str">
        <f>"6406191264"</f>
        <v>6406191264</v>
      </c>
      <c r="F11052" s="1">
        <v>45189</v>
      </c>
      <c r="G11052" t="str">
        <f t="shared" si="1975"/>
        <v>89615</v>
      </c>
      <c r="H11052">
        <v>1</v>
      </c>
      <c r="I11052">
        <v>2199</v>
      </c>
      <c r="J11052">
        <v>0</v>
      </c>
      <c r="K11052" t="str">
        <f t="shared" si="1976"/>
        <v>810</v>
      </c>
      <c r="L11052">
        <v>1429.35</v>
      </c>
    </row>
    <row r="11053" spans="1:12" x14ac:dyDescent="0.25">
      <c r="A11053" t="str">
        <f t="shared" si="1970"/>
        <v>89301000</v>
      </c>
      <c r="B11053" t="str">
        <f t="shared" si="1971"/>
        <v>78051000</v>
      </c>
      <c r="C11053" t="str">
        <f t="shared" si="1974"/>
        <v>78051017</v>
      </c>
      <c r="D11053">
        <v>89301062</v>
      </c>
      <c r="E11053" t="str">
        <f>"6456212081"</f>
        <v>6456212081</v>
      </c>
      <c r="F11053" s="1">
        <v>45189</v>
      </c>
      <c r="G11053" t="str">
        <f t="shared" si="1975"/>
        <v>89615</v>
      </c>
      <c r="H11053">
        <v>1</v>
      </c>
      <c r="I11053">
        <v>2199</v>
      </c>
      <c r="J11053">
        <v>0</v>
      </c>
      <c r="K11053" t="str">
        <f t="shared" si="1976"/>
        <v>810</v>
      </c>
      <c r="L11053">
        <v>1429.35</v>
      </c>
    </row>
    <row r="11054" spans="1:12" x14ac:dyDescent="0.25">
      <c r="A11054" t="str">
        <f t="shared" si="1970"/>
        <v>89301000</v>
      </c>
      <c r="B11054" t="str">
        <f t="shared" si="1971"/>
        <v>78051000</v>
      </c>
      <c r="C11054" t="str">
        <f t="shared" si="1974"/>
        <v>78051017</v>
      </c>
      <c r="D11054">
        <v>89301062</v>
      </c>
      <c r="E11054" t="str">
        <f>"8462255307"</f>
        <v>8462255307</v>
      </c>
      <c r="F11054" s="1">
        <v>45189</v>
      </c>
      <c r="G11054" t="str">
        <f t="shared" si="1975"/>
        <v>89615</v>
      </c>
      <c r="H11054">
        <v>1</v>
      </c>
      <c r="I11054">
        <v>2199</v>
      </c>
      <c r="J11054">
        <v>0</v>
      </c>
      <c r="K11054" t="str">
        <f t="shared" si="1976"/>
        <v>810</v>
      </c>
      <c r="L11054">
        <v>1429.35</v>
      </c>
    </row>
    <row r="11055" spans="1:12" x14ac:dyDescent="0.25">
      <c r="A11055" t="str">
        <f t="shared" si="1970"/>
        <v>89301000</v>
      </c>
      <c r="B11055" t="str">
        <f t="shared" si="1971"/>
        <v>78051000</v>
      </c>
      <c r="C11055" t="str">
        <f t="shared" si="1974"/>
        <v>78051017</v>
      </c>
      <c r="D11055">
        <v>89301062</v>
      </c>
      <c r="E11055" t="str">
        <f>"6807282141"</f>
        <v>6807282141</v>
      </c>
      <c r="F11055" s="1">
        <v>45189</v>
      </c>
      <c r="G11055" t="str">
        <f t="shared" si="1975"/>
        <v>89615</v>
      </c>
      <c r="H11055">
        <v>1</v>
      </c>
      <c r="I11055">
        <v>2199</v>
      </c>
      <c r="J11055">
        <v>0</v>
      </c>
      <c r="K11055" t="str">
        <f t="shared" si="1976"/>
        <v>810</v>
      </c>
      <c r="L11055">
        <v>1429.35</v>
      </c>
    </row>
    <row r="11056" spans="1:12" x14ac:dyDescent="0.25">
      <c r="A11056" t="str">
        <f t="shared" si="1970"/>
        <v>89301000</v>
      </c>
      <c r="B11056" t="str">
        <f t="shared" si="1971"/>
        <v>78051000</v>
      </c>
      <c r="C11056" t="str">
        <f t="shared" si="1974"/>
        <v>78051017</v>
      </c>
      <c r="D11056">
        <v>89301062</v>
      </c>
      <c r="E11056" t="str">
        <f>"7957015814"</f>
        <v>7957015814</v>
      </c>
      <c r="F11056" s="1">
        <v>45196</v>
      </c>
      <c r="G11056" t="str">
        <f t="shared" si="1975"/>
        <v>89615</v>
      </c>
      <c r="H11056">
        <v>1</v>
      </c>
      <c r="I11056">
        <v>2199</v>
      </c>
      <c r="J11056">
        <v>0</v>
      </c>
      <c r="K11056" t="str">
        <f t="shared" si="1976"/>
        <v>810</v>
      </c>
      <c r="L11056">
        <v>1429.35</v>
      </c>
    </row>
    <row r="11057" spans="1:12" x14ac:dyDescent="0.25">
      <c r="A11057" t="str">
        <f t="shared" si="1970"/>
        <v>89301000</v>
      </c>
      <c r="B11057" t="str">
        <f t="shared" si="1971"/>
        <v>78051000</v>
      </c>
      <c r="C11057" t="str">
        <f t="shared" si="1974"/>
        <v>78051017</v>
      </c>
      <c r="D11057">
        <v>89301062</v>
      </c>
      <c r="E11057" t="str">
        <f>"7355154422"</f>
        <v>7355154422</v>
      </c>
      <c r="F11057" s="1">
        <v>45196</v>
      </c>
      <c r="G11057" t="str">
        <f t="shared" si="1975"/>
        <v>89615</v>
      </c>
      <c r="H11057">
        <v>1</v>
      </c>
      <c r="I11057">
        <v>2199</v>
      </c>
      <c r="J11057">
        <v>0</v>
      </c>
      <c r="K11057" t="str">
        <f t="shared" si="1976"/>
        <v>810</v>
      </c>
      <c r="L11057">
        <v>1429.35</v>
      </c>
    </row>
    <row r="11058" spans="1:12" x14ac:dyDescent="0.25">
      <c r="A11058" t="str">
        <f t="shared" si="1970"/>
        <v>89301000</v>
      </c>
      <c r="B11058" t="str">
        <f t="shared" ref="B11058:C11060" si="1977">"77293000"</f>
        <v>77293000</v>
      </c>
      <c r="C11058" t="str">
        <f t="shared" si="1977"/>
        <v>77293000</v>
      </c>
      <c r="D11058">
        <v>89301082</v>
      </c>
      <c r="E11058" t="str">
        <f>"8355104406"</f>
        <v>8355104406</v>
      </c>
      <c r="F11058" s="1">
        <v>45173</v>
      </c>
      <c r="G11058" t="str">
        <f>"93159"</f>
        <v>93159</v>
      </c>
      <c r="H11058">
        <v>1</v>
      </c>
      <c r="I11058">
        <v>197</v>
      </c>
      <c r="J11058">
        <v>0</v>
      </c>
      <c r="K11058" t="str">
        <f>"801"</f>
        <v>801</v>
      </c>
      <c r="L11058">
        <v>165.48</v>
      </c>
    </row>
    <row r="11059" spans="1:12" x14ac:dyDescent="0.25">
      <c r="A11059" t="str">
        <f t="shared" si="1970"/>
        <v>89301000</v>
      </c>
      <c r="B11059" t="str">
        <f t="shared" si="1977"/>
        <v>77293000</v>
      </c>
      <c r="C11059" t="str">
        <f t="shared" si="1977"/>
        <v>77293000</v>
      </c>
      <c r="D11059">
        <v>89301082</v>
      </c>
      <c r="E11059" t="str">
        <f>"8355104406"</f>
        <v>8355104406</v>
      </c>
      <c r="F11059" s="1">
        <v>45173</v>
      </c>
      <c r="G11059" t="str">
        <f>"97111"</f>
        <v>97111</v>
      </c>
      <c r="H11059">
        <v>1</v>
      </c>
      <c r="I11059">
        <v>19</v>
      </c>
      <c r="J11059">
        <v>0</v>
      </c>
      <c r="K11059" t="str">
        <f>"801"</f>
        <v>801</v>
      </c>
      <c r="L11059">
        <v>23.94</v>
      </c>
    </row>
    <row r="11060" spans="1:12" x14ac:dyDescent="0.25">
      <c r="A11060" t="str">
        <f t="shared" si="1970"/>
        <v>89301000</v>
      </c>
      <c r="B11060" t="str">
        <f t="shared" si="1977"/>
        <v>77293000</v>
      </c>
      <c r="C11060" t="str">
        <f t="shared" si="1977"/>
        <v>77293000</v>
      </c>
      <c r="D11060">
        <v>89301082</v>
      </c>
      <c r="E11060" t="str">
        <f>"8355104406"</f>
        <v>8355104406</v>
      </c>
      <c r="F11060" s="1">
        <v>45173</v>
      </c>
      <c r="G11060" t="str">
        <f>"09119"</f>
        <v>09119</v>
      </c>
      <c r="H11060">
        <v>1</v>
      </c>
      <c r="I11060">
        <v>43</v>
      </c>
      <c r="J11060">
        <v>0</v>
      </c>
      <c r="K11060" t="str">
        <f>"801"</f>
        <v>801</v>
      </c>
      <c r="L11060">
        <v>54.18</v>
      </c>
    </row>
    <row r="11061" spans="1:12" x14ac:dyDescent="0.25">
      <c r="A11061" t="str">
        <f t="shared" si="1970"/>
        <v>89301000</v>
      </c>
      <c r="B11061" t="str">
        <f t="shared" ref="B11061:B11077" si="1978">"91866000"</f>
        <v>91866000</v>
      </c>
      <c r="C11061" t="str">
        <f t="shared" ref="C11061:C11072" si="1979">"91866313"</f>
        <v>91866313</v>
      </c>
      <c r="D11061">
        <v>89301102</v>
      </c>
      <c r="E11061" t="str">
        <f>"0903247103"</f>
        <v>0903247103</v>
      </c>
      <c r="F11061" s="1">
        <v>45177</v>
      </c>
      <c r="G11061" t="str">
        <f>"82147"</f>
        <v>82147</v>
      </c>
      <c r="H11061">
        <v>9</v>
      </c>
      <c r="I11061">
        <v>2160</v>
      </c>
      <c r="J11061">
        <v>0</v>
      </c>
      <c r="K11061" t="str">
        <f t="shared" ref="K11061:K11072" si="1980">"802"</f>
        <v>802</v>
      </c>
      <c r="L11061">
        <v>2095.1999999999998</v>
      </c>
    </row>
    <row r="11062" spans="1:12" x14ac:dyDescent="0.25">
      <c r="A11062" t="str">
        <f t="shared" si="1970"/>
        <v>89301000</v>
      </c>
      <c r="B11062" t="str">
        <f t="shared" si="1978"/>
        <v>91866000</v>
      </c>
      <c r="C11062" t="str">
        <f t="shared" si="1979"/>
        <v>91866313</v>
      </c>
      <c r="D11062">
        <v>89301102</v>
      </c>
      <c r="E11062" t="str">
        <f>"0903247103"</f>
        <v>0903247103</v>
      </c>
      <c r="F11062" s="1">
        <v>45177</v>
      </c>
      <c r="G11062" t="str">
        <f>"82147"</f>
        <v>82147</v>
      </c>
      <c r="H11062">
        <v>3</v>
      </c>
      <c r="I11062">
        <v>720</v>
      </c>
      <c r="J11062">
        <v>0</v>
      </c>
      <c r="K11062" t="str">
        <f t="shared" si="1980"/>
        <v>802</v>
      </c>
      <c r="L11062">
        <v>698.4</v>
      </c>
    </row>
    <row r="11063" spans="1:12" x14ac:dyDescent="0.25">
      <c r="A11063" t="str">
        <f t="shared" si="1970"/>
        <v>89301000</v>
      </c>
      <c r="B11063" t="str">
        <f t="shared" si="1978"/>
        <v>91866000</v>
      </c>
      <c r="C11063" t="str">
        <f t="shared" si="1979"/>
        <v>91866313</v>
      </c>
      <c r="D11063">
        <v>89301103</v>
      </c>
      <c r="E11063" t="str">
        <f>"0954106065"</f>
        <v>0954106065</v>
      </c>
      <c r="F11063" s="1">
        <v>45181</v>
      </c>
      <c r="G11063" t="str">
        <f>"82041"</f>
        <v>82041</v>
      </c>
      <c r="H11063">
        <v>1</v>
      </c>
      <c r="I11063">
        <v>1096</v>
      </c>
      <c r="J11063">
        <v>0</v>
      </c>
      <c r="K11063" t="str">
        <f t="shared" si="1980"/>
        <v>802</v>
      </c>
      <c r="L11063">
        <v>1063.1199999999999</v>
      </c>
    </row>
    <row r="11064" spans="1:12" x14ac:dyDescent="0.25">
      <c r="A11064" t="str">
        <f t="shared" si="1970"/>
        <v>89301000</v>
      </c>
      <c r="B11064" t="str">
        <f t="shared" si="1978"/>
        <v>91866000</v>
      </c>
      <c r="C11064" t="str">
        <f t="shared" si="1979"/>
        <v>91866313</v>
      </c>
      <c r="D11064">
        <v>89301101</v>
      </c>
      <c r="E11064" t="str">
        <f>"0859053261"</f>
        <v>0859053261</v>
      </c>
      <c r="F11064" s="1">
        <v>45176</v>
      </c>
      <c r="G11064" t="str">
        <f>"82221"</f>
        <v>82221</v>
      </c>
      <c r="H11064">
        <v>1</v>
      </c>
      <c r="I11064">
        <v>574</v>
      </c>
      <c r="J11064">
        <v>0</v>
      </c>
      <c r="K11064" t="str">
        <f t="shared" si="1980"/>
        <v>802</v>
      </c>
      <c r="L11064">
        <v>556.78</v>
      </c>
    </row>
    <row r="11065" spans="1:12" x14ac:dyDescent="0.25">
      <c r="A11065" t="str">
        <f t="shared" si="1970"/>
        <v>89301000</v>
      </c>
      <c r="B11065" t="str">
        <f t="shared" si="1978"/>
        <v>91866000</v>
      </c>
      <c r="C11065" t="str">
        <f t="shared" si="1979"/>
        <v>91866313</v>
      </c>
      <c r="D11065">
        <v>89301522</v>
      </c>
      <c r="E11065" t="str">
        <f>"8456145346"</f>
        <v>8456145346</v>
      </c>
      <c r="F11065" s="1">
        <v>45180</v>
      </c>
      <c r="G11065" t="str">
        <f>"82113"</f>
        <v>82113</v>
      </c>
      <c r="H11065">
        <v>2</v>
      </c>
      <c r="I11065">
        <v>726</v>
      </c>
      <c r="J11065">
        <v>0</v>
      </c>
      <c r="K11065" t="str">
        <f t="shared" si="1980"/>
        <v>802</v>
      </c>
      <c r="L11065">
        <v>704.22</v>
      </c>
    </row>
    <row r="11066" spans="1:12" x14ac:dyDescent="0.25">
      <c r="A11066" t="str">
        <f t="shared" si="1970"/>
        <v>89301000</v>
      </c>
      <c r="B11066" t="str">
        <f t="shared" si="1978"/>
        <v>91866000</v>
      </c>
      <c r="C11066" t="str">
        <f t="shared" si="1979"/>
        <v>91866313</v>
      </c>
      <c r="D11066">
        <v>89301522</v>
      </c>
      <c r="E11066" t="str">
        <f>"8456145346"</f>
        <v>8456145346</v>
      </c>
      <c r="F11066" s="1">
        <v>45180</v>
      </c>
      <c r="G11066" t="str">
        <f>"82113"</f>
        <v>82113</v>
      </c>
      <c r="H11066">
        <v>2</v>
      </c>
      <c r="I11066">
        <v>726</v>
      </c>
      <c r="J11066">
        <v>0</v>
      </c>
      <c r="K11066" t="str">
        <f t="shared" si="1980"/>
        <v>802</v>
      </c>
      <c r="L11066">
        <v>704.22</v>
      </c>
    </row>
    <row r="11067" spans="1:12" x14ac:dyDescent="0.25">
      <c r="A11067" t="str">
        <f t="shared" si="1970"/>
        <v>89301000</v>
      </c>
      <c r="B11067" t="str">
        <f t="shared" si="1978"/>
        <v>91866000</v>
      </c>
      <c r="C11067" t="str">
        <f t="shared" si="1979"/>
        <v>91866313</v>
      </c>
      <c r="D11067">
        <v>89301522</v>
      </c>
      <c r="E11067" t="str">
        <f>"8456145346"</f>
        <v>8456145346</v>
      </c>
      <c r="F11067" s="1">
        <v>45175</v>
      </c>
      <c r="G11067" t="str">
        <f>"82113"</f>
        <v>82113</v>
      </c>
      <c r="H11067">
        <v>2</v>
      </c>
      <c r="I11067">
        <v>726</v>
      </c>
      <c r="J11067">
        <v>0</v>
      </c>
      <c r="K11067" t="str">
        <f t="shared" si="1980"/>
        <v>802</v>
      </c>
      <c r="L11067">
        <v>704.22</v>
      </c>
    </row>
    <row r="11068" spans="1:12" x14ac:dyDescent="0.25">
      <c r="A11068" t="str">
        <f t="shared" si="1970"/>
        <v>89301000</v>
      </c>
      <c r="B11068" t="str">
        <f t="shared" si="1978"/>
        <v>91866000</v>
      </c>
      <c r="C11068" t="str">
        <f t="shared" si="1979"/>
        <v>91866313</v>
      </c>
      <c r="D11068">
        <v>89301522</v>
      </c>
      <c r="E11068" t="str">
        <f>"8456145346"</f>
        <v>8456145346</v>
      </c>
      <c r="F11068" s="1">
        <v>45175</v>
      </c>
      <c r="G11068" t="str">
        <f>"82113"</f>
        <v>82113</v>
      </c>
      <c r="H11068">
        <v>2</v>
      </c>
      <c r="I11068">
        <v>726</v>
      </c>
      <c r="J11068">
        <v>0</v>
      </c>
      <c r="K11068" t="str">
        <f t="shared" si="1980"/>
        <v>802</v>
      </c>
      <c r="L11068">
        <v>704.22</v>
      </c>
    </row>
    <row r="11069" spans="1:12" x14ac:dyDescent="0.25">
      <c r="A11069" t="str">
        <f t="shared" si="1970"/>
        <v>89301000</v>
      </c>
      <c r="B11069" t="str">
        <f t="shared" si="1978"/>
        <v>91866000</v>
      </c>
      <c r="C11069" t="str">
        <f t="shared" si="1979"/>
        <v>91866313</v>
      </c>
      <c r="D11069">
        <v>89301101</v>
      </c>
      <c r="E11069" t="str">
        <f>"1151280317"</f>
        <v>1151280317</v>
      </c>
      <c r="F11069" s="1">
        <v>45171</v>
      </c>
      <c r="G11069" t="str">
        <f>"82087"</f>
        <v>82087</v>
      </c>
      <c r="H11069">
        <v>1</v>
      </c>
      <c r="I11069">
        <v>53</v>
      </c>
      <c r="J11069">
        <v>0</v>
      </c>
      <c r="K11069" t="str">
        <f t="shared" si="1980"/>
        <v>802</v>
      </c>
      <c r="L11069">
        <v>51.41</v>
      </c>
    </row>
    <row r="11070" spans="1:12" x14ac:dyDescent="0.25">
      <c r="A11070" t="str">
        <f t="shared" si="1970"/>
        <v>89301000</v>
      </c>
      <c r="B11070" t="str">
        <f t="shared" si="1978"/>
        <v>91866000</v>
      </c>
      <c r="C11070" t="str">
        <f t="shared" si="1979"/>
        <v>91866313</v>
      </c>
      <c r="D11070">
        <v>89301101</v>
      </c>
      <c r="E11070" t="str">
        <f>"1151280317"</f>
        <v>1151280317</v>
      </c>
      <c r="F11070" s="1">
        <v>45171</v>
      </c>
      <c r="G11070" t="str">
        <f>"82087"</f>
        <v>82087</v>
      </c>
      <c r="H11070">
        <v>1</v>
      </c>
      <c r="I11070">
        <v>53</v>
      </c>
      <c r="J11070">
        <v>0</v>
      </c>
      <c r="K11070" t="str">
        <f t="shared" si="1980"/>
        <v>802</v>
      </c>
      <c r="L11070">
        <v>51.41</v>
      </c>
    </row>
    <row r="11071" spans="1:12" x14ac:dyDescent="0.25">
      <c r="A11071" t="str">
        <f t="shared" si="1970"/>
        <v>89301000</v>
      </c>
      <c r="B11071" t="str">
        <f t="shared" si="1978"/>
        <v>91866000</v>
      </c>
      <c r="C11071" t="str">
        <f t="shared" si="1979"/>
        <v>91866313</v>
      </c>
      <c r="D11071">
        <v>89301101</v>
      </c>
      <c r="E11071" t="str">
        <f>"1151280317"</f>
        <v>1151280317</v>
      </c>
      <c r="F11071" s="1">
        <v>45172</v>
      </c>
      <c r="G11071" t="str">
        <f>"82087"</f>
        <v>82087</v>
      </c>
      <c r="H11071">
        <v>1</v>
      </c>
      <c r="I11071">
        <v>53</v>
      </c>
      <c r="J11071">
        <v>0</v>
      </c>
      <c r="K11071" t="str">
        <f t="shared" si="1980"/>
        <v>802</v>
      </c>
      <c r="L11071">
        <v>51.41</v>
      </c>
    </row>
    <row r="11072" spans="1:12" x14ac:dyDescent="0.25">
      <c r="A11072" t="str">
        <f t="shared" si="1970"/>
        <v>89301000</v>
      </c>
      <c r="B11072" t="str">
        <f t="shared" si="1978"/>
        <v>91866000</v>
      </c>
      <c r="C11072" t="str">
        <f t="shared" si="1979"/>
        <v>91866313</v>
      </c>
      <c r="D11072">
        <v>89301101</v>
      </c>
      <c r="E11072" t="str">
        <f>"1151280317"</f>
        <v>1151280317</v>
      </c>
      <c r="F11072" s="1">
        <v>45172</v>
      </c>
      <c r="G11072" t="str">
        <f>"82087"</f>
        <v>82087</v>
      </c>
      <c r="H11072">
        <v>1</v>
      </c>
      <c r="I11072">
        <v>53</v>
      </c>
      <c r="J11072">
        <v>0</v>
      </c>
      <c r="K11072" t="str">
        <f t="shared" si="1980"/>
        <v>802</v>
      </c>
      <c r="L11072">
        <v>51.41</v>
      </c>
    </row>
    <row r="11073" spans="1:12" x14ac:dyDescent="0.25">
      <c r="A11073" t="str">
        <f t="shared" si="1970"/>
        <v>89301000</v>
      </c>
      <c r="B11073" t="str">
        <f t="shared" si="1978"/>
        <v>91866000</v>
      </c>
      <c r="C11073" t="str">
        <f>"91866321"</f>
        <v>91866321</v>
      </c>
      <c r="D11073">
        <v>89301103</v>
      </c>
      <c r="E11073" t="str">
        <f>"2051171430"</f>
        <v>2051171430</v>
      </c>
      <c r="F11073" s="1">
        <v>45183</v>
      </c>
      <c r="G11073" t="str">
        <f>"91485"</f>
        <v>91485</v>
      </c>
      <c r="H11073">
        <v>1</v>
      </c>
      <c r="I11073">
        <v>268</v>
      </c>
      <c r="J11073">
        <v>0</v>
      </c>
      <c r="K11073" t="str">
        <f>"813"</f>
        <v>813</v>
      </c>
      <c r="L11073">
        <v>225.12</v>
      </c>
    </row>
    <row r="11074" spans="1:12" x14ac:dyDescent="0.25">
      <c r="A11074" t="str">
        <f t="shared" ref="A11074:A11137" si="1981">"89301000"</f>
        <v>89301000</v>
      </c>
      <c r="B11074" t="str">
        <f t="shared" si="1978"/>
        <v>91866000</v>
      </c>
      <c r="C11074" t="str">
        <f>"91866321"</f>
        <v>91866321</v>
      </c>
      <c r="D11074">
        <v>89301522</v>
      </c>
      <c r="E11074" t="str">
        <f>"8456145346"</f>
        <v>8456145346</v>
      </c>
      <c r="F11074" s="1">
        <v>45175</v>
      </c>
      <c r="G11074" t="str">
        <f>"91411"</f>
        <v>91411</v>
      </c>
      <c r="H11074">
        <v>1</v>
      </c>
      <c r="I11074">
        <v>1631</v>
      </c>
      <c r="J11074">
        <v>0</v>
      </c>
      <c r="K11074" t="str">
        <f>"813"</f>
        <v>813</v>
      </c>
      <c r="L11074">
        <v>1370.04</v>
      </c>
    </row>
    <row r="11075" spans="1:12" x14ac:dyDescent="0.25">
      <c r="A11075" t="str">
        <f t="shared" si="1981"/>
        <v>89301000</v>
      </c>
      <c r="B11075" t="str">
        <f t="shared" si="1978"/>
        <v>91866000</v>
      </c>
      <c r="C11075" t="str">
        <f>"91866321"</f>
        <v>91866321</v>
      </c>
      <c r="D11075">
        <v>89301522</v>
      </c>
      <c r="E11075" t="str">
        <f>"8456145346"</f>
        <v>8456145346</v>
      </c>
      <c r="F11075" s="1">
        <v>45175</v>
      </c>
      <c r="G11075" t="str">
        <f>"91411"</f>
        <v>91411</v>
      </c>
      <c r="H11075">
        <v>1</v>
      </c>
      <c r="I11075">
        <v>1631</v>
      </c>
      <c r="J11075">
        <v>0</v>
      </c>
      <c r="K11075" t="str">
        <f>"813"</f>
        <v>813</v>
      </c>
      <c r="L11075">
        <v>1370.04</v>
      </c>
    </row>
    <row r="11076" spans="1:12" x14ac:dyDescent="0.25">
      <c r="A11076" t="str">
        <f t="shared" si="1981"/>
        <v>89301000</v>
      </c>
      <c r="B11076" t="str">
        <f t="shared" si="1978"/>
        <v>91866000</v>
      </c>
      <c r="C11076" t="str">
        <f>"91866321"</f>
        <v>91866321</v>
      </c>
      <c r="D11076">
        <v>89301102</v>
      </c>
      <c r="E11076" t="str">
        <f>"1262281735"</f>
        <v>1262281735</v>
      </c>
      <c r="F11076" s="1">
        <v>45184</v>
      </c>
      <c r="G11076" t="str">
        <f>"97111"</f>
        <v>97111</v>
      </c>
      <c r="H11076">
        <v>1</v>
      </c>
      <c r="I11076">
        <v>19</v>
      </c>
      <c r="J11076">
        <v>0</v>
      </c>
      <c r="K11076" t="str">
        <f>"813"</f>
        <v>813</v>
      </c>
      <c r="L11076">
        <v>23.94</v>
      </c>
    </row>
    <row r="11077" spans="1:12" x14ac:dyDescent="0.25">
      <c r="A11077" t="str">
        <f t="shared" si="1981"/>
        <v>89301000</v>
      </c>
      <c r="B11077" t="str">
        <f t="shared" si="1978"/>
        <v>91866000</v>
      </c>
      <c r="C11077" t="str">
        <f>"91866321"</f>
        <v>91866321</v>
      </c>
      <c r="D11077">
        <v>89301102</v>
      </c>
      <c r="E11077" t="str">
        <f>"1262281735"</f>
        <v>1262281735</v>
      </c>
      <c r="F11077" s="1">
        <v>45184</v>
      </c>
      <c r="G11077" t="str">
        <f>"91135"</f>
        <v>91135</v>
      </c>
      <c r="H11077">
        <v>1</v>
      </c>
      <c r="I11077">
        <v>267</v>
      </c>
      <c r="J11077">
        <v>0</v>
      </c>
      <c r="K11077" t="str">
        <f>"813"</f>
        <v>813</v>
      </c>
      <c r="L11077">
        <v>224.28</v>
      </c>
    </row>
    <row r="11078" spans="1:12" x14ac:dyDescent="0.25">
      <c r="A11078" t="str">
        <f t="shared" si="1981"/>
        <v>89301000</v>
      </c>
      <c r="B11078" t="str">
        <f t="shared" ref="B11078:C11084" si="1982">"89345401"</f>
        <v>89345401</v>
      </c>
      <c r="C11078" t="str">
        <f t="shared" si="1982"/>
        <v>89345401</v>
      </c>
      <c r="D11078">
        <v>89301212</v>
      </c>
      <c r="E11078" t="str">
        <f>"405713420"</f>
        <v>405713420</v>
      </c>
      <c r="F11078" s="1">
        <v>45196</v>
      </c>
      <c r="G11078" t="str">
        <f>"89131"</f>
        <v>89131</v>
      </c>
      <c r="H11078">
        <v>1</v>
      </c>
      <c r="I11078">
        <v>190</v>
      </c>
      <c r="J11078">
        <v>0</v>
      </c>
      <c r="K11078" t="str">
        <f t="shared" ref="K11078:K11088" si="1983">"809"</f>
        <v>809</v>
      </c>
      <c r="L11078">
        <v>279.3</v>
      </c>
    </row>
    <row r="11079" spans="1:12" x14ac:dyDescent="0.25">
      <c r="A11079" t="str">
        <f t="shared" si="1981"/>
        <v>89301000</v>
      </c>
      <c r="B11079" t="str">
        <f t="shared" si="1982"/>
        <v>89345401</v>
      </c>
      <c r="C11079" t="str">
        <f t="shared" si="1982"/>
        <v>89345401</v>
      </c>
      <c r="D11079">
        <v>89301172</v>
      </c>
      <c r="E11079" t="str">
        <f>"9462075744"</f>
        <v>9462075744</v>
      </c>
      <c r="F11079" s="1">
        <v>45196</v>
      </c>
      <c r="G11079" t="str">
        <f>"89513"</f>
        <v>89513</v>
      </c>
      <c r="H11079">
        <v>1</v>
      </c>
      <c r="I11079">
        <v>378</v>
      </c>
      <c r="J11079">
        <v>0</v>
      </c>
      <c r="K11079" t="str">
        <f t="shared" si="1983"/>
        <v>809</v>
      </c>
      <c r="L11079">
        <v>555.66</v>
      </c>
    </row>
    <row r="11080" spans="1:12" x14ac:dyDescent="0.25">
      <c r="A11080" t="str">
        <f t="shared" si="1981"/>
        <v>89301000</v>
      </c>
      <c r="B11080" t="str">
        <f t="shared" si="1982"/>
        <v>89345401</v>
      </c>
      <c r="C11080" t="str">
        <f t="shared" si="1982"/>
        <v>89345401</v>
      </c>
      <c r="D11080">
        <v>89301172</v>
      </c>
      <c r="E11080" t="str">
        <f>"9462075744"</f>
        <v>9462075744</v>
      </c>
      <c r="F11080" s="1">
        <v>45196</v>
      </c>
      <c r="G11080" t="str">
        <f>"89514"</f>
        <v>89514</v>
      </c>
      <c r="H11080">
        <v>1</v>
      </c>
      <c r="I11080">
        <v>378</v>
      </c>
      <c r="J11080">
        <v>0</v>
      </c>
      <c r="K11080" t="str">
        <f t="shared" si="1983"/>
        <v>809</v>
      </c>
      <c r="L11080">
        <v>555.66</v>
      </c>
    </row>
    <row r="11081" spans="1:12" x14ac:dyDescent="0.25">
      <c r="A11081" t="str">
        <f t="shared" si="1981"/>
        <v>89301000</v>
      </c>
      <c r="B11081" t="str">
        <f t="shared" si="1982"/>
        <v>89345401</v>
      </c>
      <c r="C11081" t="str">
        <f t="shared" si="1982"/>
        <v>89345401</v>
      </c>
      <c r="D11081">
        <v>89301022</v>
      </c>
      <c r="E11081" t="str">
        <f>"7911265318"</f>
        <v>7911265318</v>
      </c>
      <c r="F11081" s="1">
        <v>45175</v>
      </c>
      <c r="G11081" t="str">
        <f>"89513"</f>
        <v>89513</v>
      </c>
      <c r="H11081">
        <v>1</v>
      </c>
      <c r="I11081">
        <v>378</v>
      </c>
      <c r="J11081">
        <v>0</v>
      </c>
      <c r="K11081" t="str">
        <f t="shared" si="1983"/>
        <v>809</v>
      </c>
      <c r="L11081">
        <v>555.66</v>
      </c>
    </row>
    <row r="11082" spans="1:12" x14ac:dyDescent="0.25">
      <c r="A11082" t="str">
        <f t="shared" si="1981"/>
        <v>89301000</v>
      </c>
      <c r="B11082" t="str">
        <f t="shared" si="1982"/>
        <v>89345401</v>
      </c>
      <c r="C11082" t="str">
        <f t="shared" si="1982"/>
        <v>89345401</v>
      </c>
      <c r="D11082">
        <v>89301034</v>
      </c>
      <c r="E11082" t="str">
        <f>"7453284498"</f>
        <v>7453284498</v>
      </c>
      <c r="F11082" s="1">
        <v>45187</v>
      </c>
      <c r="G11082" t="str">
        <f>"89513"</f>
        <v>89513</v>
      </c>
      <c r="H11082">
        <v>1</v>
      </c>
      <c r="I11082">
        <v>378</v>
      </c>
      <c r="J11082">
        <v>0</v>
      </c>
      <c r="K11082" t="str">
        <f t="shared" si="1983"/>
        <v>809</v>
      </c>
      <c r="L11082">
        <v>555.66</v>
      </c>
    </row>
    <row r="11083" spans="1:12" x14ac:dyDescent="0.25">
      <c r="A11083" t="str">
        <f t="shared" si="1981"/>
        <v>89301000</v>
      </c>
      <c r="B11083" t="str">
        <f t="shared" si="1982"/>
        <v>89345401</v>
      </c>
      <c r="C11083" t="str">
        <f t="shared" si="1982"/>
        <v>89345401</v>
      </c>
      <c r="D11083">
        <v>89301034</v>
      </c>
      <c r="E11083" t="str">
        <f>"7453284498"</f>
        <v>7453284498</v>
      </c>
      <c r="F11083" s="1">
        <v>45187</v>
      </c>
      <c r="G11083" t="str">
        <f>"89514"</f>
        <v>89514</v>
      </c>
      <c r="H11083">
        <v>1</v>
      </c>
      <c r="I11083">
        <v>378</v>
      </c>
      <c r="J11083">
        <v>0</v>
      </c>
      <c r="K11083" t="str">
        <f t="shared" si="1983"/>
        <v>809</v>
      </c>
      <c r="L11083">
        <v>555.66</v>
      </c>
    </row>
    <row r="11084" spans="1:12" x14ac:dyDescent="0.25">
      <c r="A11084" t="str">
        <f t="shared" si="1981"/>
        <v>89301000</v>
      </c>
      <c r="B11084" t="str">
        <f t="shared" si="1982"/>
        <v>89345401</v>
      </c>
      <c r="C11084" t="str">
        <f t="shared" si="1982"/>
        <v>89345401</v>
      </c>
      <c r="D11084">
        <v>89301037</v>
      </c>
      <c r="E11084" t="str">
        <f>"7854135410"</f>
        <v>7854135410</v>
      </c>
      <c r="F11084" s="1">
        <v>45175</v>
      </c>
      <c r="G11084" t="str">
        <f>"89517"</f>
        <v>89517</v>
      </c>
      <c r="H11084">
        <v>1</v>
      </c>
      <c r="I11084">
        <v>994</v>
      </c>
      <c r="J11084">
        <v>0</v>
      </c>
      <c r="K11084" t="str">
        <f t="shared" si="1983"/>
        <v>809</v>
      </c>
      <c r="L11084">
        <v>1461.18</v>
      </c>
    </row>
    <row r="11085" spans="1:12" x14ac:dyDescent="0.25">
      <c r="A11085" t="str">
        <f t="shared" si="1981"/>
        <v>89301000</v>
      </c>
      <c r="B11085" t="str">
        <f>"93507000"</f>
        <v>93507000</v>
      </c>
      <c r="C11085" t="str">
        <f>"93507001"</f>
        <v>93507001</v>
      </c>
      <c r="D11085">
        <v>89301037</v>
      </c>
      <c r="E11085" t="str">
        <f>"8503246224"</f>
        <v>8503246224</v>
      </c>
      <c r="F11085" s="1">
        <v>45190</v>
      </c>
      <c r="G11085" t="str">
        <f>"89131"</f>
        <v>89131</v>
      </c>
      <c r="H11085">
        <v>1</v>
      </c>
      <c r="I11085">
        <v>190</v>
      </c>
      <c r="J11085">
        <v>0</v>
      </c>
      <c r="K11085" t="str">
        <f t="shared" si="1983"/>
        <v>809</v>
      </c>
      <c r="L11085">
        <v>279.3</v>
      </c>
    </row>
    <row r="11086" spans="1:12" x14ac:dyDescent="0.25">
      <c r="A11086" t="str">
        <f t="shared" si="1981"/>
        <v>89301000</v>
      </c>
      <c r="B11086" t="str">
        <f>"93507000"</f>
        <v>93507000</v>
      </c>
      <c r="C11086" t="str">
        <f>"93507001"</f>
        <v>93507001</v>
      </c>
      <c r="D11086">
        <v>89301037</v>
      </c>
      <c r="E11086" t="str">
        <f>"8503246224"</f>
        <v>8503246224</v>
      </c>
      <c r="F11086" s="1">
        <v>45190</v>
      </c>
      <c r="G11086" t="str">
        <f>"89513"</f>
        <v>89513</v>
      </c>
      <c r="H11086">
        <v>1</v>
      </c>
      <c r="I11086">
        <v>378</v>
      </c>
      <c r="J11086">
        <v>0</v>
      </c>
      <c r="K11086" t="str">
        <f t="shared" si="1983"/>
        <v>809</v>
      </c>
      <c r="L11086">
        <v>555.66</v>
      </c>
    </row>
    <row r="11087" spans="1:12" x14ac:dyDescent="0.25">
      <c r="A11087" t="str">
        <f t="shared" si="1981"/>
        <v>89301000</v>
      </c>
      <c r="B11087" t="str">
        <f>"93507000"</f>
        <v>93507000</v>
      </c>
      <c r="C11087" t="str">
        <f>"93507001"</f>
        <v>93507001</v>
      </c>
      <c r="D11087">
        <v>89301037</v>
      </c>
      <c r="E11087" t="str">
        <f>"8503246224"</f>
        <v>8503246224</v>
      </c>
      <c r="F11087" s="1">
        <v>45190</v>
      </c>
      <c r="G11087" t="str">
        <f>"89514"</f>
        <v>89514</v>
      </c>
      <c r="H11087">
        <v>1</v>
      </c>
      <c r="I11087">
        <v>378</v>
      </c>
      <c r="J11087">
        <v>0</v>
      </c>
      <c r="K11087" t="str">
        <f t="shared" si="1983"/>
        <v>809</v>
      </c>
      <c r="L11087">
        <v>555.66</v>
      </c>
    </row>
    <row r="11088" spans="1:12" x14ac:dyDescent="0.25">
      <c r="A11088" t="str">
        <f t="shared" si="1981"/>
        <v>89301000</v>
      </c>
      <c r="B11088" t="str">
        <f>"86210300"</f>
        <v>86210300</v>
      </c>
      <c r="C11088" t="str">
        <f>"86210220"</f>
        <v>86210220</v>
      </c>
      <c r="D11088">
        <v>89301212</v>
      </c>
      <c r="E11088" t="str">
        <f>"526212175"</f>
        <v>526212175</v>
      </c>
      <c r="F11088" s="1">
        <v>45173</v>
      </c>
      <c r="G11088" t="str">
        <f>"89180"</f>
        <v>89180</v>
      </c>
      <c r="H11088">
        <v>2</v>
      </c>
      <c r="I11088">
        <v>762</v>
      </c>
      <c r="J11088">
        <v>0</v>
      </c>
      <c r="K11088" t="str">
        <f t="shared" si="1983"/>
        <v>809</v>
      </c>
      <c r="L11088">
        <v>1120.1400000000001</v>
      </c>
    </row>
    <row r="11089" spans="1:12" x14ac:dyDescent="0.25">
      <c r="A11089" t="str">
        <f t="shared" si="1981"/>
        <v>89301000</v>
      </c>
      <c r="B11089" t="str">
        <f>"91997900"</f>
        <v>91997900</v>
      </c>
      <c r="C11089" t="str">
        <f>"91997901"</f>
        <v>91997901</v>
      </c>
      <c r="D11089">
        <v>89301167</v>
      </c>
      <c r="E11089" t="str">
        <f>"470127462"</f>
        <v>470127462</v>
      </c>
      <c r="F11089" s="1">
        <v>45169</v>
      </c>
      <c r="G11089" t="str">
        <f>"93227"</f>
        <v>93227</v>
      </c>
      <c r="H11089">
        <v>1</v>
      </c>
      <c r="I11089">
        <v>949</v>
      </c>
      <c r="J11089">
        <v>0</v>
      </c>
      <c r="K11089" t="str">
        <f>"801"</f>
        <v>801</v>
      </c>
      <c r="L11089">
        <v>797.16</v>
      </c>
    </row>
    <row r="11090" spans="1:12" x14ac:dyDescent="0.25">
      <c r="A11090" t="str">
        <f t="shared" si="1981"/>
        <v>89301000</v>
      </c>
      <c r="B11090" t="str">
        <f>"91997900"</f>
        <v>91997900</v>
      </c>
      <c r="C11090" t="str">
        <f>"91997901"</f>
        <v>91997901</v>
      </c>
      <c r="D11090">
        <v>89301167</v>
      </c>
      <c r="E11090" t="str">
        <f>"470127462"</f>
        <v>470127462</v>
      </c>
      <c r="F11090" s="1">
        <v>45169</v>
      </c>
      <c r="G11090" t="str">
        <f>"97111"</f>
        <v>97111</v>
      </c>
      <c r="H11090">
        <v>1</v>
      </c>
      <c r="I11090">
        <v>19</v>
      </c>
      <c r="J11090">
        <v>0</v>
      </c>
      <c r="K11090" t="str">
        <f>"801"</f>
        <v>801</v>
      </c>
      <c r="L11090">
        <v>23.94</v>
      </c>
    </row>
    <row r="11091" spans="1:12" x14ac:dyDescent="0.25">
      <c r="A11091" t="str">
        <f t="shared" si="1981"/>
        <v>89301000</v>
      </c>
      <c r="B11091" t="str">
        <f t="shared" ref="B11091:B11097" si="1984">"02384000"</f>
        <v>02384000</v>
      </c>
      <c r="C11091" t="str">
        <f t="shared" ref="C11091:C11097" si="1985">"02384007"</f>
        <v>02384007</v>
      </c>
      <c r="D11091">
        <v>89301037</v>
      </c>
      <c r="E11091" t="str">
        <f>"5751140153"</f>
        <v>5751140153</v>
      </c>
      <c r="F11091" s="1">
        <v>45190</v>
      </c>
      <c r="G11091" t="str">
        <f>"89312"</f>
        <v>89312</v>
      </c>
      <c r="H11091">
        <v>1</v>
      </c>
      <c r="I11091">
        <v>312</v>
      </c>
      <c r="J11091">
        <v>0</v>
      </c>
      <c r="K11091" t="str">
        <f t="shared" ref="K11091:K11100" si="1986">"809"</f>
        <v>809</v>
      </c>
      <c r="L11091">
        <v>340.08</v>
      </c>
    </row>
    <row r="11092" spans="1:12" x14ac:dyDescent="0.25">
      <c r="A11092" t="str">
        <f t="shared" si="1981"/>
        <v>89301000</v>
      </c>
      <c r="B11092" t="str">
        <f t="shared" si="1984"/>
        <v>02384000</v>
      </c>
      <c r="C11092" t="str">
        <f t="shared" si="1985"/>
        <v>02384007</v>
      </c>
      <c r="D11092">
        <v>89301037</v>
      </c>
      <c r="E11092" t="str">
        <f>"5751140153"</f>
        <v>5751140153</v>
      </c>
      <c r="F11092" s="1">
        <v>45190</v>
      </c>
      <c r="G11092" t="str">
        <f>"89312"</f>
        <v>89312</v>
      </c>
      <c r="H11092">
        <v>2</v>
      </c>
      <c r="I11092">
        <v>624</v>
      </c>
      <c r="J11092">
        <v>0</v>
      </c>
      <c r="K11092" t="str">
        <f t="shared" si="1986"/>
        <v>809</v>
      </c>
      <c r="L11092">
        <v>680.16</v>
      </c>
    </row>
    <row r="11093" spans="1:12" x14ac:dyDescent="0.25">
      <c r="A11093" t="str">
        <f t="shared" si="1981"/>
        <v>89301000</v>
      </c>
      <c r="B11093" t="str">
        <f t="shared" si="1984"/>
        <v>02384000</v>
      </c>
      <c r="C11093" t="str">
        <f t="shared" si="1985"/>
        <v>02384007</v>
      </c>
      <c r="D11093">
        <v>89301037</v>
      </c>
      <c r="E11093" t="str">
        <f>"5856222009"</f>
        <v>5856222009</v>
      </c>
      <c r="F11093" s="1">
        <v>45175</v>
      </c>
      <c r="G11093" t="str">
        <f>"89312"</f>
        <v>89312</v>
      </c>
      <c r="H11093">
        <v>1</v>
      </c>
      <c r="I11093">
        <v>312</v>
      </c>
      <c r="J11093">
        <v>0</v>
      </c>
      <c r="K11093" t="str">
        <f t="shared" si="1986"/>
        <v>809</v>
      </c>
      <c r="L11093">
        <v>340.08</v>
      </c>
    </row>
    <row r="11094" spans="1:12" x14ac:dyDescent="0.25">
      <c r="A11094" t="str">
        <f t="shared" si="1981"/>
        <v>89301000</v>
      </c>
      <c r="B11094" t="str">
        <f t="shared" si="1984"/>
        <v>02384000</v>
      </c>
      <c r="C11094" t="str">
        <f t="shared" si="1985"/>
        <v>02384007</v>
      </c>
      <c r="D11094">
        <v>89301037</v>
      </c>
      <c r="E11094" t="str">
        <f>"5856222009"</f>
        <v>5856222009</v>
      </c>
      <c r="F11094" s="1">
        <v>45175</v>
      </c>
      <c r="G11094" t="str">
        <f>"89312"</f>
        <v>89312</v>
      </c>
      <c r="H11094">
        <v>2</v>
      </c>
      <c r="I11094">
        <v>624</v>
      </c>
      <c r="J11094">
        <v>0</v>
      </c>
      <c r="K11094" t="str">
        <f t="shared" si="1986"/>
        <v>809</v>
      </c>
      <c r="L11094">
        <v>680.16</v>
      </c>
    </row>
    <row r="11095" spans="1:12" x14ac:dyDescent="0.25">
      <c r="A11095" t="str">
        <f t="shared" si="1981"/>
        <v>89301000</v>
      </c>
      <c r="B11095" t="str">
        <f t="shared" si="1984"/>
        <v>02384000</v>
      </c>
      <c r="C11095" t="str">
        <f t="shared" si="1985"/>
        <v>02384007</v>
      </c>
      <c r="D11095">
        <v>89301167</v>
      </c>
      <c r="E11095" t="str">
        <f>"6260171478"</f>
        <v>6260171478</v>
      </c>
      <c r="F11095" s="1">
        <v>45181</v>
      </c>
      <c r="G11095" t="str">
        <f>"89513"</f>
        <v>89513</v>
      </c>
      <c r="H11095">
        <v>1</v>
      </c>
      <c r="I11095">
        <v>378</v>
      </c>
      <c r="J11095">
        <v>0</v>
      </c>
      <c r="K11095" t="str">
        <f t="shared" si="1986"/>
        <v>809</v>
      </c>
      <c r="L11095">
        <v>555.66</v>
      </c>
    </row>
    <row r="11096" spans="1:12" x14ac:dyDescent="0.25">
      <c r="A11096" t="str">
        <f t="shared" si="1981"/>
        <v>89301000</v>
      </c>
      <c r="B11096" t="str">
        <f t="shared" si="1984"/>
        <v>02384000</v>
      </c>
      <c r="C11096" t="str">
        <f t="shared" si="1985"/>
        <v>02384007</v>
      </c>
      <c r="D11096">
        <v>89301167</v>
      </c>
      <c r="E11096" t="str">
        <f>"6260171478"</f>
        <v>6260171478</v>
      </c>
      <c r="F11096" s="1">
        <v>45181</v>
      </c>
      <c r="G11096" t="str">
        <f>"89514"</f>
        <v>89514</v>
      </c>
      <c r="H11096">
        <v>1</v>
      </c>
      <c r="I11096">
        <v>378</v>
      </c>
      <c r="J11096">
        <v>0</v>
      </c>
      <c r="K11096" t="str">
        <f t="shared" si="1986"/>
        <v>809</v>
      </c>
      <c r="L11096">
        <v>555.66</v>
      </c>
    </row>
    <row r="11097" spans="1:12" x14ac:dyDescent="0.25">
      <c r="A11097" t="str">
        <f t="shared" si="1981"/>
        <v>89301000</v>
      </c>
      <c r="B11097" t="str">
        <f t="shared" si="1984"/>
        <v>02384000</v>
      </c>
      <c r="C11097" t="str">
        <f t="shared" si="1985"/>
        <v>02384007</v>
      </c>
      <c r="D11097">
        <v>89301212</v>
      </c>
      <c r="E11097" t="str">
        <f>"6357030691"</f>
        <v>6357030691</v>
      </c>
      <c r="F11097" s="1">
        <v>45190</v>
      </c>
      <c r="G11097" t="str">
        <f>"89517"</f>
        <v>89517</v>
      </c>
      <c r="H11097">
        <v>1</v>
      </c>
      <c r="I11097">
        <v>994</v>
      </c>
      <c r="J11097">
        <v>0</v>
      </c>
      <c r="K11097" t="str">
        <f t="shared" si="1986"/>
        <v>809</v>
      </c>
      <c r="L11097">
        <v>1461.18</v>
      </c>
    </row>
    <row r="11098" spans="1:12" x14ac:dyDescent="0.25">
      <c r="A11098" t="str">
        <f t="shared" si="1981"/>
        <v>89301000</v>
      </c>
      <c r="B11098" t="str">
        <f>"86131000"</f>
        <v>86131000</v>
      </c>
      <c r="C11098" t="str">
        <f>"86131000"</f>
        <v>86131000</v>
      </c>
      <c r="D11098">
        <v>89301212</v>
      </c>
      <c r="E11098" t="str">
        <f>"526212175"</f>
        <v>526212175</v>
      </c>
      <c r="F11098" s="1">
        <v>45173</v>
      </c>
      <c r="G11098" t="str">
        <f>"89512"</f>
        <v>89512</v>
      </c>
      <c r="H11098">
        <v>1</v>
      </c>
      <c r="I11098">
        <v>283</v>
      </c>
      <c r="J11098">
        <v>0</v>
      </c>
      <c r="K11098" t="str">
        <f t="shared" si="1986"/>
        <v>809</v>
      </c>
      <c r="L11098">
        <v>416.01</v>
      </c>
    </row>
    <row r="11099" spans="1:12" x14ac:dyDescent="0.25">
      <c r="A11099" t="str">
        <f t="shared" si="1981"/>
        <v>89301000</v>
      </c>
      <c r="B11099" t="str">
        <f>"89100260"</f>
        <v>89100260</v>
      </c>
      <c r="C11099" t="str">
        <f>"89100261"</f>
        <v>89100261</v>
      </c>
      <c r="D11099">
        <v>89301212</v>
      </c>
      <c r="E11099" t="str">
        <f>"425214491"</f>
        <v>425214491</v>
      </c>
      <c r="F11099" s="1">
        <v>45174</v>
      </c>
      <c r="G11099" t="str">
        <f>"89131"</f>
        <v>89131</v>
      </c>
      <c r="H11099">
        <v>1</v>
      </c>
      <c r="I11099">
        <v>190</v>
      </c>
      <c r="J11099">
        <v>0</v>
      </c>
      <c r="K11099" t="str">
        <f t="shared" si="1986"/>
        <v>809</v>
      </c>
      <c r="L11099">
        <v>279.3</v>
      </c>
    </row>
    <row r="11100" spans="1:12" x14ac:dyDescent="0.25">
      <c r="A11100" t="str">
        <f t="shared" si="1981"/>
        <v>89301000</v>
      </c>
      <c r="B11100" t="str">
        <f>"89100260"</f>
        <v>89100260</v>
      </c>
      <c r="C11100" t="str">
        <f>"89100261"</f>
        <v>89100261</v>
      </c>
      <c r="D11100">
        <v>89301112</v>
      </c>
      <c r="E11100" t="str">
        <f>"6205160511"</f>
        <v>6205160511</v>
      </c>
      <c r="F11100" s="1">
        <v>45189</v>
      </c>
      <c r="G11100" t="str">
        <f>"89127"</f>
        <v>89127</v>
      </c>
      <c r="H11100">
        <v>2</v>
      </c>
      <c r="I11100">
        <v>484</v>
      </c>
      <c r="J11100">
        <v>0</v>
      </c>
      <c r="K11100" t="str">
        <f t="shared" si="1986"/>
        <v>809</v>
      </c>
      <c r="L11100">
        <v>711.48</v>
      </c>
    </row>
    <row r="11101" spans="1:12" x14ac:dyDescent="0.25">
      <c r="A11101" t="str">
        <f t="shared" si="1981"/>
        <v>89301000</v>
      </c>
      <c r="B11101" t="str">
        <f t="shared" ref="B11101:B11140" si="1987">"88805000"</f>
        <v>88805000</v>
      </c>
      <c r="C11101" t="str">
        <f t="shared" ref="C11101:C11114" si="1988">"88805001"</f>
        <v>88805001</v>
      </c>
      <c r="D11101">
        <v>89301167</v>
      </c>
      <c r="E11101" t="str">
        <f>"5709166199"</f>
        <v>5709166199</v>
      </c>
      <c r="F11101" s="1">
        <v>45182</v>
      </c>
      <c r="G11101" t="str">
        <f>"93167"</f>
        <v>93167</v>
      </c>
      <c r="H11101">
        <v>1</v>
      </c>
      <c r="I11101">
        <v>470</v>
      </c>
      <c r="J11101">
        <v>0</v>
      </c>
      <c r="K11101" t="str">
        <f t="shared" ref="K11101:K11114" si="1989">"801"</f>
        <v>801</v>
      </c>
      <c r="L11101">
        <v>394.8</v>
      </c>
    </row>
    <row r="11102" spans="1:12" x14ac:dyDescent="0.25">
      <c r="A11102" t="str">
        <f t="shared" si="1981"/>
        <v>89301000</v>
      </c>
      <c r="B11102" t="str">
        <f t="shared" si="1987"/>
        <v>88805000</v>
      </c>
      <c r="C11102" t="str">
        <f t="shared" si="1988"/>
        <v>88805001</v>
      </c>
      <c r="D11102">
        <v>89301167</v>
      </c>
      <c r="E11102" t="str">
        <f>"5709166199"</f>
        <v>5709166199</v>
      </c>
      <c r="F11102" s="1">
        <v>45182</v>
      </c>
      <c r="G11102" t="str">
        <f t="shared" ref="G11102:G11107" si="1990">"97111"</f>
        <v>97111</v>
      </c>
      <c r="H11102">
        <v>1</v>
      </c>
      <c r="I11102">
        <v>19</v>
      </c>
      <c r="J11102">
        <v>0</v>
      </c>
      <c r="K11102" t="str">
        <f t="shared" si="1989"/>
        <v>801</v>
      </c>
      <c r="L11102">
        <v>23.94</v>
      </c>
    </row>
    <row r="11103" spans="1:12" x14ac:dyDescent="0.25">
      <c r="A11103" t="str">
        <f t="shared" si="1981"/>
        <v>89301000</v>
      </c>
      <c r="B11103" t="str">
        <f t="shared" si="1987"/>
        <v>88805000</v>
      </c>
      <c r="C11103" t="str">
        <f t="shared" si="1988"/>
        <v>88805001</v>
      </c>
      <c r="D11103">
        <v>89301108</v>
      </c>
      <c r="E11103" t="str">
        <f>"1509230470"</f>
        <v>1509230470</v>
      </c>
      <c r="F11103" s="1">
        <v>45196</v>
      </c>
      <c r="G11103" t="str">
        <f t="shared" si="1990"/>
        <v>97111</v>
      </c>
      <c r="H11103">
        <v>1</v>
      </c>
      <c r="I11103">
        <v>19</v>
      </c>
      <c r="J11103">
        <v>0</v>
      </c>
      <c r="K11103" t="str">
        <f t="shared" si="1989"/>
        <v>801</v>
      </c>
      <c r="L11103">
        <v>23.94</v>
      </c>
    </row>
    <row r="11104" spans="1:12" x14ac:dyDescent="0.25">
      <c r="A11104" t="str">
        <f t="shared" si="1981"/>
        <v>89301000</v>
      </c>
      <c r="B11104" t="str">
        <f t="shared" si="1987"/>
        <v>88805000</v>
      </c>
      <c r="C11104" t="str">
        <f t="shared" si="1988"/>
        <v>88805001</v>
      </c>
      <c r="D11104">
        <v>89301202</v>
      </c>
      <c r="E11104" t="str">
        <f>"0962023260"</f>
        <v>0962023260</v>
      </c>
      <c r="F11104" s="1">
        <v>45181</v>
      </c>
      <c r="G11104" t="str">
        <f t="shared" si="1990"/>
        <v>97111</v>
      </c>
      <c r="H11104">
        <v>1</v>
      </c>
      <c r="I11104">
        <v>19</v>
      </c>
      <c r="J11104">
        <v>0</v>
      </c>
      <c r="K11104" t="str">
        <f t="shared" si="1989"/>
        <v>801</v>
      </c>
      <c r="L11104">
        <v>23.94</v>
      </c>
    </row>
    <row r="11105" spans="1:12" x14ac:dyDescent="0.25">
      <c r="A11105" t="str">
        <f t="shared" si="1981"/>
        <v>89301000</v>
      </c>
      <c r="B11105" t="str">
        <f t="shared" si="1987"/>
        <v>88805000</v>
      </c>
      <c r="C11105" t="str">
        <f t="shared" si="1988"/>
        <v>88805001</v>
      </c>
      <c r="D11105">
        <v>89301202</v>
      </c>
      <c r="E11105" t="str">
        <f>"0653221393"</f>
        <v>0653221393</v>
      </c>
      <c r="F11105" s="1">
        <v>45189</v>
      </c>
      <c r="G11105" t="str">
        <f t="shared" si="1990"/>
        <v>97111</v>
      </c>
      <c r="H11105">
        <v>1</v>
      </c>
      <c r="I11105">
        <v>19</v>
      </c>
      <c r="J11105">
        <v>0</v>
      </c>
      <c r="K11105" t="str">
        <f t="shared" si="1989"/>
        <v>801</v>
      </c>
      <c r="L11105">
        <v>23.94</v>
      </c>
    </row>
    <row r="11106" spans="1:12" x14ac:dyDescent="0.25">
      <c r="A11106" t="str">
        <f t="shared" si="1981"/>
        <v>89301000</v>
      </c>
      <c r="B11106" t="str">
        <f t="shared" si="1987"/>
        <v>88805000</v>
      </c>
      <c r="C11106" t="str">
        <f t="shared" si="1988"/>
        <v>88805001</v>
      </c>
      <c r="D11106">
        <v>89301202</v>
      </c>
      <c r="E11106" t="str">
        <f>"0102224870"</f>
        <v>0102224870</v>
      </c>
      <c r="F11106" s="1">
        <v>45189</v>
      </c>
      <c r="G11106" t="str">
        <f t="shared" si="1990"/>
        <v>97111</v>
      </c>
      <c r="H11106">
        <v>1</v>
      </c>
      <c r="I11106">
        <v>19</v>
      </c>
      <c r="J11106">
        <v>0</v>
      </c>
      <c r="K11106" t="str">
        <f t="shared" si="1989"/>
        <v>801</v>
      </c>
      <c r="L11106">
        <v>23.94</v>
      </c>
    </row>
    <row r="11107" spans="1:12" x14ac:dyDescent="0.25">
      <c r="A11107" t="str">
        <f t="shared" si="1981"/>
        <v>89301000</v>
      </c>
      <c r="B11107" t="str">
        <f t="shared" si="1987"/>
        <v>88805000</v>
      </c>
      <c r="C11107" t="str">
        <f t="shared" si="1988"/>
        <v>88805001</v>
      </c>
      <c r="D11107">
        <v>89301202</v>
      </c>
      <c r="E11107" t="str">
        <f>"7660045338"</f>
        <v>7660045338</v>
      </c>
      <c r="F11107" s="1">
        <v>45191</v>
      </c>
      <c r="G11107" t="str">
        <f t="shared" si="1990"/>
        <v>97111</v>
      </c>
      <c r="H11107">
        <v>1</v>
      </c>
      <c r="I11107">
        <v>19</v>
      </c>
      <c r="J11107">
        <v>0</v>
      </c>
      <c r="K11107" t="str">
        <f t="shared" si="1989"/>
        <v>801</v>
      </c>
      <c r="L11107">
        <v>23.94</v>
      </c>
    </row>
    <row r="11108" spans="1:12" x14ac:dyDescent="0.25">
      <c r="A11108" t="str">
        <f t="shared" si="1981"/>
        <v>89301000</v>
      </c>
      <c r="B11108" t="str">
        <f t="shared" si="1987"/>
        <v>88805000</v>
      </c>
      <c r="C11108" t="str">
        <f t="shared" si="1988"/>
        <v>88805001</v>
      </c>
      <c r="D11108">
        <v>89301202</v>
      </c>
      <c r="E11108" t="str">
        <f>"0962023260"</f>
        <v>0962023260</v>
      </c>
      <c r="F11108" s="1">
        <v>45181</v>
      </c>
      <c r="G11108" t="str">
        <f>"81643"</f>
        <v>81643</v>
      </c>
      <c r="H11108">
        <v>1</v>
      </c>
      <c r="I11108">
        <v>104</v>
      </c>
      <c r="J11108">
        <v>0</v>
      </c>
      <c r="K11108" t="str">
        <f t="shared" si="1989"/>
        <v>801</v>
      </c>
      <c r="L11108">
        <v>87.36</v>
      </c>
    </row>
    <row r="11109" spans="1:12" x14ac:dyDescent="0.25">
      <c r="A11109" t="str">
        <f t="shared" si="1981"/>
        <v>89301000</v>
      </c>
      <c r="B11109" t="str">
        <f t="shared" si="1987"/>
        <v>88805000</v>
      </c>
      <c r="C11109" t="str">
        <f t="shared" si="1988"/>
        <v>88805001</v>
      </c>
      <c r="D11109">
        <v>89301202</v>
      </c>
      <c r="E11109" t="str">
        <f>"0653221393"</f>
        <v>0653221393</v>
      </c>
      <c r="F11109" s="1">
        <v>45189</v>
      </c>
      <c r="G11109" t="str">
        <f>"81643"</f>
        <v>81643</v>
      </c>
      <c r="H11109">
        <v>1</v>
      </c>
      <c r="I11109">
        <v>104</v>
      </c>
      <c r="J11109">
        <v>0</v>
      </c>
      <c r="K11109" t="str">
        <f t="shared" si="1989"/>
        <v>801</v>
      </c>
      <c r="L11109">
        <v>87.36</v>
      </c>
    </row>
    <row r="11110" spans="1:12" x14ac:dyDescent="0.25">
      <c r="A11110" t="str">
        <f t="shared" si="1981"/>
        <v>89301000</v>
      </c>
      <c r="B11110" t="str">
        <f t="shared" si="1987"/>
        <v>88805000</v>
      </c>
      <c r="C11110" t="str">
        <f t="shared" si="1988"/>
        <v>88805001</v>
      </c>
      <c r="D11110">
        <v>89301202</v>
      </c>
      <c r="E11110" t="str">
        <f>"0102224870"</f>
        <v>0102224870</v>
      </c>
      <c r="F11110" s="1">
        <v>45189</v>
      </c>
      <c r="G11110" t="str">
        <f>"81643"</f>
        <v>81643</v>
      </c>
      <c r="H11110">
        <v>1</v>
      </c>
      <c r="I11110">
        <v>104</v>
      </c>
      <c r="J11110">
        <v>0</v>
      </c>
      <c r="K11110" t="str">
        <f t="shared" si="1989"/>
        <v>801</v>
      </c>
      <c r="L11110">
        <v>87.36</v>
      </c>
    </row>
    <row r="11111" spans="1:12" x14ac:dyDescent="0.25">
      <c r="A11111" t="str">
        <f t="shared" si="1981"/>
        <v>89301000</v>
      </c>
      <c r="B11111" t="str">
        <f t="shared" si="1987"/>
        <v>88805000</v>
      </c>
      <c r="C11111" t="str">
        <f t="shared" si="1988"/>
        <v>88805001</v>
      </c>
      <c r="D11111">
        <v>89301202</v>
      </c>
      <c r="E11111" t="str">
        <f>"7660045338"</f>
        <v>7660045338</v>
      </c>
      <c r="F11111" s="1">
        <v>45191</v>
      </c>
      <c r="G11111" t="str">
        <f>"81643"</f>
        <v>81643</v>
      </c>
      <c r="H11111">
        <v>1</v>
      </c>
      <c r="I11111">
        <v>104</v>
      </c>
      <c r="J11111">
        <v>0</v>
      </c>
      <c r="K11111" t="str">
        <f t="shared" si="1989"/>
        <v>801</v>
      </c>
      <c r="L11111">
        <v>87.36</v>
      </c>
    </row>
    <row r="11112" spans="1:12" x14ac:dyDescent="0.25">
      <c r="A11112" t="str">
        <f t="shared" si="1981"/>
        <v>89301000</v>
      </c>
      <c r="B11112" t="str">
        <f t="shared" si="1987"/>
        <v>88805000</v>
      </c>
      <c r="C11112" t="str">
        <f t="shared" si="1988"/>
        <v>88805001</v>
      </c>
      <c r="D11112">
        <v>89301108</v>
      </c>
      <c r="E11112" t="str">
        <f>"1509230470"</f>
        <v>1509230470</v>
      </c>
      <c r="F11112" s="1">
        <v>45196</v>
      </c>
      <c r="G11112" t="str">
        <f>"81631"</f>
        <v>81631</v>
      </c>
      <c r="H11112">
        <v>1</v>
      </c>
      <c r="I11112">
        <v>299</v>
      </c>
      <c r="J11112">
        <v>0</v>
      </c>
      <c r="K11112" t="str">
        <f t="shared" si="1989"/>
        <v>801</v>
      </c>
      <c r="L11112">
        <v>251.16</v>
      </c>
    </row>
    <row r="11113" spans="1:12" x14ac:dyDescent="0.25">
      <c r="A11113" t="str">
        <f t="shared" si="1981"/>
        <v>89301000</v>
      </c>
      <c r="B11113" t="str">
        <f t="shared" si="1987"/>
        <v>88805000</v>
      </c>
      <c r="C11113" t="str">
        <f t="shared" si="1988"/>
        <v>88805001</v>
      </c>
      <c r="D11113">
        <v>89301108</v>
      </c>
      <c r="E11113" t="str">
        <f>"1509230470"</f>
        <v>1509230470</v>
      </c>
      <c r="F11113" s="1">
        <v>45196</v>
      </c>
      <c r="G11113" t="str">
        <f>"92143"</f>
        <v>92143</v>
      </c>
      <c r="H11113">
        <v>1</v>
      </c>
      <c r="I11113">
        <v>1772</v>
      </c>
      <c r="J11113">
        <v>0</v>
      </c>
      <c r="K11113" t="str">
        <f t="shared" si="1989"/>
        <v>801</v>
      </c>
      <c r="L11113">
        <v>1488.48</v>
      </c>
    </row>
    <row r="11114" spans="1:12" x14ac:dyDescent="0.25">
      <c r="A11114" t="str">
        <f t="shared" si="1981"/>
        <v>89301000</v>
      </c>
      <c r="B11114" t="str">
        <f t="shared" si="1987"/>
        <v>88805000</v>
      </c>
      <c r="C11114" t="str">
        <f t="shared" si="1988"/>
        <v>88805001</v>
      </c>
      <c r="D11114">
        <v>89301167</v>
      </c>
      <c r="E11114" t="str">
        <f>"5709166199"</f>
        <v>5709166199</v>
      </c>
      <c r="F11114" s="1">
        <v>45181</v>
      </c>
      <c r="G11114" t="str">
        <f>"09119"</f>
        <v>09119</v>
      </c>
      <c r="H11114">
        <v>1</v>
      </c>
      <c r="I11114">
        <v>43</v>
      </c>
      <c r="J11114">
        <v>0</v>
      </c>
      <c r="K11114" t="str">
        <f t="shared" si="1989"/>
        <v>801</v>
      </c>
      <c r="L11114">
        <v>54.18</v>
      </c>
    </row>
    <row r="11115" spans="1:12" x14ac:dyDescent="0.25">
      <c r="A11115" t="str">
        <f t="shared" si="1981"/>
        <v>89301000</v>
      </c>
      <c r="B11115" t="str">
        <f t="shared" si="1987"/>
        <v>88805000</v>
      </c>
      <c r="C11115" t="str">
        <f t="shared" ref="C11115:C11140" si="1991">"88805014"</f>
        <v>88805014</v>
      </c>
      <c r="D11115">
        <v>89301282</v>
      </c>
      <c r="E11115" t="str">
        <f>"7203215690"</f>
        <v>7203215690</v>
      </c>
      <c r="F11115" s="1">
        <v>45180</v>
      </c>
      <c r="G11115" t="str">
        <f>"94221"</f>
        <v>94221</v>
      </c>
      <c r="H11115">
        <v>1</v>
      </c>
      <c r="I11115">
        <v>2467</v>
      </c>
      <c r="J11115">
        <v>0</v>
      </c>
      <c r="K11115" t="str">
        <f t="shared" ref="K11115:K11140" si="1992">"816"</f>
        <v>816</v>
      </c>
      <c r="L11115">
        <v>2220.3000000000002</v>
      </c>
    </row>
    <row r="11116" spans="1:12" x14ac:dyDescent="0.25">
      <c r="A11116" t="str">
        <f t="shared" si="1981"/>
        <v>89301000</v>
      </c>
      <c r="B11116" t="str">
        <f t="shared" si="1987"/>
        <v>88805000</v>
      </c>
      <c r="C11116" t="str">
        <f t="shared" si="1991"/>
        <v>88805014</v>
      </c>
      <c r="D11116">
        <v>89301282</v>
      </c>
      <c r="E11116" t="str">
        <f>"7203215690"</f>
        <v>7203215690</v>
      </c>
      <c r="F11116" s="1">
        <v>45180</v>
      </c>
      <c r="G11116" t="str">
        <f>"94227"</f>
        <v>94227</v>
      </c>
      <c r="H11116">
        <v>3</v>
      </c>
      <c r="I11116">
        <v>1899</v>
      </c>
      <c r="J11116">
        <v>0</v>
      </c>
      <c r="K11116" t="str">
        <f t="shared" si="1992"/>
        <v>816</v>
      </c>
      <c r="L11116">
        <v>1709.1</v>
      </c>
    </row>
    <row r="11117" spans="1:12" x14ac:dyDescent="0.25">
      <c r="A11117" t="str">
        <f t="shared" si="1981"/>
        <v>89301000</v>
      </c>
      <c r="B11117" t="str">
        <f t="shared" si="1987"/>
        <v>88805000</v>
      </c>
      <c r="C11117" t="str">
        <f t="shared" si="1991"/>
        <v>88805014</v>
      </c>
      <c r="D11117">
        <v>89301282</v>
      </c>
      <c r="E11117" t="str">
        <f>"7203215690"</f>
        <v>7203215690</v>
      </c>
      <c r="F11117" s="1">
        <v>45180</v>
      </c>
      <c r="G11117" t="str">
        <f>"94237"</f>
        <v>94237</v>
      </c>
      <c r="H11117">
        <v>1</v>
      </c>
      <c r="I11117">
        <v>3936</v>
      </c>
      <c r="J11117">
        <v>0</v>
      </c>
      <c r="K11117" t="str">
        <f t="shared" si="1992"/>
        <v>816</v>
      </c>
      <c r="L11117">
        <v>3542.4</v>
      </c>
    </row>
    <row r="11118" spans="1:12" x14ac:dyDescent="0.25">
      <c r="A11118" t="str">
        <f t="shared" si="1981"/>
        <v>89301000</v>
      </c>
      <c r="B11118" t="str">
        <f t="shared" si="1987"/>
        <v>88805000</v>
      </c>
      <c r="C11118" t="str">
        <f t="shared" si="1991"/>
        <v>88805014</v>
      </c>
      <c r="D11118">
        <v>89301282</v>
      </c>
      <c r="E11118" t="str">
        <f>"7203215690"</f>
        <v>7203215690</v>
      </c>
      <c r="F11118" s="1">
        <v>45180</v>
      </c>
      <c r="G11118" t="str">
        <f>"94948"</f>
        <v>94948</v>
      </c>
      <c r="H11118">
        <v>1</v>
      </c>
      <c r="I11118">
        <v>0</v>
      </c>
      <c r="J11118">
        <v>0</v>
      </c>
      <c r="K11118" t="str">
        <f t="shared" si="1992"/>
        <v>816</v>
      </c>
      <c r="L11118">
        <v>0</v>
      </c>
    </row>
    <row r="11119" spans="1:12" x14ac:dyDescent="0.25">
      <c r="A11119" t="str">
        <f t="shared" si="1981"/>
        <v>89301000</v>
      </c>
      <c r="B11119" t="str">
        <f t="shared" si="1987"/>
        <v>88805000</v>
      </c>
      <c r="C11119" t="str">
        <f t="shared" si="1991"/>
        <v>88805014</v>
      </c>
      <c r="D11119">
        <v>89301282</v>
      </c>
      <c r="E11119" t="str">
        <f>"7903053532"</f>
        <v>7903053532</v>
      </c>
      <c r="F11119" s="1">
        <v>45183</v>
      </c>
      <c r="G11119" t="str">
        <f>"94227"</f>
        <v>94227</v>
      </c>
      <c r="H11119">
        <v>1</v>
      </c>
      <c r="I11119">
        <v>633</v>
      </c>
      <c r="J11119">
        <v>0</v>
      </c>
      <c r="K11119" t="str">
        <f t="shared" si="1992"/>
        <v>816</v>
      </c>
      <c r="L11119">
        <v>569.70000000000005</v>
      </c>
    </row>
    <row r="11120" spans="1:12" x14ac:dyDescent="0.25">
      <c r="A11120" t="str">
        <f t="shared" si="1981"/>
        <v>89301000</v>
      </c>
      <c r="B11120" t="str">
        <f t="shared" si="1987"/>
        <v>88805000</v>
      </c>
      <c r="C11120" t="str">
        <f t="shared" si="1991"/>
        <v>88805014</v>
      </c>
      <c r="D11120">
        <v>89301282</v>
      </c>
      <c r="E11120" t="str">
        <f>"7903053532"</f>
        <v>7903053532</v>
      </c>
      <c r="F11120" s="1">
        <v>45183</v>
      </c>
      <c r="G11120" t="str">
        <f>"94948"</f>
        <v>94948</v>
      </c>
      <c r="H11120">
        <v>1</v>
      </c>
      <c r="I11120">
        <v>0</v>
      </c>
      <c r="J11120">
        <v>0</v>
      </c>
      <c r="K11120" t="str">
        <f t="shared" si="1992"/>
        <v>816</v>
      </c>
      <c r="L11120">
        <v>0</v>
      </c>
    </row>
    <row r="11121" spans="1:12" x14ac:dyDescent="0.25">
      <c r="A11121" t="str">
        <f t="shared" si="1981"/>
        <v>89301000</v>
      </c>
      <c r="B11121" t="str">
        <f t="shared" si="1987"/>
        <v>88805000</v>
      </c>
      <c r="C11121" t="str">
        <f t="shared" si="1991"/>
        <v>88805014</v>
      </c>
      <c r="D11121">
        <v>89301282</v>
      </c>
      <c r="E11121" t="str">
        <f>"1154280281"</f>
        <v>1154280281</v>
      </c>
      <c r="F11121" s="1">
        <v>45183</v>
      </c>
      <c r="G11121" t="str">
        <f>"94227"</f>
        <v>94227</v>
      </c>
      <c r="H11121">
        <v>1</v>
      </c>
      <c r="I11121">
        <v>633</v>
      </c>
      <c r="J11121">
        <v>0</v>
      </c>
      <c r="K11121" t="str">
        <f t="shared" si="1992"/>
        <v>816</v>
      </c>
      <c r="L11121">
        <v>569.70000000000005</v>
      </c>
    </row>
    <row r="11122" spans="1:12" x14ac:dyDescent="0.25">
      <c r="A11122" t="str">
        <f t="shared" si="1981"/>
        <v>89301000</v>
      </c>
      <c r="B11122" t="str">
        <f t="shared" si="1987"/>
        <v>88805000</v>
      </c>
      <c r="C11122" t="str">
        <f t="shared" si="1991"/>
        <v>88805014</v>
      </c>
      <c r="D11122">
        <v>89301282</v>
      </c>
      <c r="E11122" t="str">
        <f>"1154280281"</f>
        <v>1154280281</v>
      </c>
      <c r="F11122" s="1">
        <v>45183</v>
      </c>
      <c r="G11122" t="str">
        <f>"94948"</f>
        <v>94948</v>
      </c>
      <c r="H11122">
        <v>1</v>
      </c>
      <c r="I11122">
        <v>0</v>
      </c>
      <c r="J11122">
        <v>0</v>
      </c>
      <c r="K11122" t="str">
        <f t="shared" si="1992"/>
        <v>816</v>
      </c>
      <c r="L11122">
        <v>0</v>
      </c>
    </row>
    <row r="11123" spans="1:12" x14ac:dyDescent="0.25">
      <c r="A11123" t="str">
        <f t="shared" si="1981"/>
        <v>89301000</v>
      </c>
      <c r="B11123" t="str">
        <f t="shared" si="1987"/>
        <v>88805000</v>
      </c>
      <c r="C11123" t="str">
        <f t="shared" si="1991"/>
        <v>88805014</v>
      </c>
      <c r="D11123">
        <v>89301282</v>
      </c>
      <c r="E11123" t="str">
        <f>"1406070017"</f>
        <v>1406070017</v>
      </c>
      <c r="F11123" s="1">
        <v>45183</v>
      </c>
      <c r="G11123" t="str">
        <f>"94227"</f>
        <v>94227</v>
      </c>
      <c r="H11123">
        <v>1</v>
      </c>
      <c r="I11123">
        <v>633</v>
      </c>
      <c r="J11123">
        <v>0</v>
      </c>
      <c r="K11123" t="str">
        <f t="shared" si="1992"/>
        <v>816</v>
      </c>
      <c r="L11123">
        <v>569.70000000000005</v>
      </c>
    </row>
    <row r="11124" spans="1:12" x14ac:dyDescent="0.25">
      <c r="A11124" t="str">
        <f t="shared" si="1981"/>
        <v>89301000</v>
      </c>
      <c r="B11124" t="str">
        <f t="shared" si="1987"/>
        <v>88805000</v>
      </c>
      <c r="C11124" t="str">
        <f t="shared" si="1991"/>
        <v>88805014</v>
      </c>
      <c r="D11124">
        <v>89301282</v>
      </c>
      <c r="E11124" t="str">
        <f>"1406070017"</f>
        <v>1406070017</v>
      </c>
      <c r="F11124" s="1">
        <v>45183</v>
      </c>
      <c r="G11124" t="str">
        <f>"94948"</f>
        <v>94948</v>
      </c>
      <c r="H11124">
        <v>1</v>
      </c>
      <c r="I11124">
        <v>0</v>
      </c>
      <c r="J11124">
        <v>0</v>
      </c>
      <c r="K11124" t="str">
        <f t="shared" si="1992"/>
        <v>816</v>
      </c>
      <c r="L11124">
        <v>0</v>
      </c>
    </row>
    <row r="11125" spans="1:12" x14ac:dyDescent="0.25">
      <c r="A11125" t="str">
        <f t="shared" si="1981"/>
        <v>89301000</v>
      </c>
      <c r="B11125" t="str">
        <f t="shared" si="1987"/>
        <v>88805000</v>
      </c>
      <c r="C11125" t="str">
        <f t="shared" si="1991"/>
        <v>88805014</v>
      </c>
      <c r="D11125">
        <v>89301282</v>
      </c>
      <c r="E11125" t="str">
        <f>"7611015709"</f>
        <v>7611015709</v>
      </c>
      <c r="F11125" s="1">
        <v>45173</v>
      </c>
      <c r="G11125" t="str">
        <f>"94331"</f>
        <v>94331</v>
      </c>
      <c r="H11125">
        <v>2</v>
      </c>
      <c r="I11125">
        <v>15732</v>
      </c>
      <c r="J11125">
        <v>0</v>
      </c>
      <c r="K11125" t="str">
        <f t="shared" si="1992"/>
        <v>816</v>
      </c>
      <c r="L11125">
        <v>14158.8</v>
      </c>
    </row>
    <row r="11126" spans="1:12" x14ac:dyDescent="0.25">
      <c r="A11126" t="str">
        <f t="shared" si="1981"/>
        <v>89301000</v>
      </c>
      <c r="B11126" t="str">
        <f t="shared" si="1987"/>
        <v>88805000</v>
      </c>
      <c r="C11126" t="str">
        <f t="shared" si="1991"/>
        <v>88805014</v>
      </c>
      <c r="D11126">
        <v>89301282</v>
      </c>
      <c r="E11126" t="str">
        <f>"7611015709"</f>
        <v>7611015709</v>
      </c>
      <c r="F11126" s="1">
        <v>45173</v>
      </c>
      <c r="G11126" t="str">
        <f>"94948"</f>
        <v>94948</v>
      </c>
      <c r="H11126">
        <v>1</v>
      </c>
      <c r="I11126">
        <v>0</v>
      </c>
      <c r="J11126">
        <v>0</v>
      </c>
      <c r="K11126" t="str">
        <f t="shared" si="1992"/>
        <v>816</v>
      </c>
      <c r="L11126">
        <v>0</v>
      </c>
    </row>
    <row r="11127" spans="1:12" x14ac:dyDescent="0.25">
      <c r="A11127" t="str">
        <f t="shared" si="1981"/>
        <v>89301000</v>
      </c>
      <c r="B11127" t="str">
        <f t="shared" si="1987"/>
        <v>88805000</v>
      </c>
      <c r="C11127" t="str">
        <f t="shared" si="1991"/>
        <v>88805014</v>
      </c>
      <c r="D11127">
        <v>89301282</v>
      </c>
      <c r="E11127" t="str">
        <f>"1404100291"</f>
        <v>1404100291</v>
      </c>
      <c r="F11127" s="1">
        <v>45181</v>
      </c>
      <c r="G11127" t="str">
        <f>"94982"</f>
        <v>94982</v>
      </c>
      <c r="H11127">
        <v>1</v>
      </c>
      <c r="I11127">
        <v>0</v>
      </c>
      <c r="J11127">
        <v>27500</v>
      </c>
      <c r="K11127" t="str">
        <f t="shared" si="1992"/>
        <v>816</v>
      </c>
      <c r="L11127">
        <v>27500</v>
      </c>
    </row>
    <row r="11128" spans="1:12" x14ac:dyDescent="0.25">
      <c r="A11128" t="str">
        <f t="shared" si="1981"/>
        <v>89301000</v>
      </c>
      <c r="B11128" t="str">
        <f t="shared" si="1987"/>
        <v>88805000</v>
      </c>
      <c r="C11128" t="str">
        <f t="shared" si="1991"/>
        <v>88805014</v>
      </c>
      <c r="D11128">
        <v>89301282</v>
      </c>
      <c r="E11128" t="str">
        <f>"1404100291"</f>
        <v>1404100291</v>
      </c>
      <c r="F11128" s="1">
        <v>45181</v>
      </c>
      <c r="G11128" t="str">
        <f>"94996"</f>
        <v>94996</v>
      </c>
      <c r="H11128">
        <v>1</v>
      </c>
      <c r="I11128">
        <v>0</v>
      </c>
      <c r="J11128">
        <v>0</v>
      </c>
      <c r="K11128" t="str">
        <f t="shared" si="1992"/>
        <v>816</v>
      </c>
      <c r="L11128">
        <v>0</v>
      </c>
    </row>
    <row r="11129" spans="1:12" x14ac:dyDescent="0.25">
      <c r="A11129" t="str">
        <f t="shared" si="1981"/>
        <v>89301000</v>
      </c>
      <c r="B11129" t="str">
        <f t="shared" si="1987"/>
        <v>88805000</v>
      </c>
      <c r="C11129" t="str">
        <f t="shared" si="1991"/>
        <v>88805014</v>
      </c>
      <c r="D11129">
        <v>89301282</v>
      </c>
      <c r="E11129" t="str">
        <f>"0808175269"</f>
        <v>0808175269</v>
      </c>
      <c r="F11129" s="1">
        <v>45173</v>
      </c>
      <c r="G11129" t="str">
        <f>"94982"</f>
        <v>94982</v>
      </c>
      <c r="H11129">
        <v>1</v>
      </c>
      <c r="I11129">
        <v>0</v>
      </c>
      <c r="J11129">
        <v>27500</v>
      </c>
      <c r="K11129" t="str">
        <f t="shared" si="1992"/>
        <v>816</v>
      </c>
      <c r="L11129">
        <v>27500</v>
      </c>
    </row>
    <row r="11130" spans="1:12" x14ac:dyDescent="0.25">
      <c r="A11130" t="str">
        <f t="shared" si="1981"/>
        <v>89301000</v>
      </c>
      <c r="B11130" t="str">
        <f t="shared" si="1987"/>
        <v>88805000</v>
      </c>
      <c r="C11130" t="str">
        <f t="shared" si="1991"/>
        <v>88805014</v>
      </c>
      <c r="D11130">
        <v>89301282</v>
      </c>
      <c r="E11130" t="str">
        <f>"0808175269"</f>
        <v>0808175269</v>
      </c>
      <c r="F11130" s="1">
        <v>45173</v>
      </c>
      <c r="G11130" t="str">
        <f>"94996"</f>
        <v>94996</v>
      </c>
      <c r="H11130">
        <v>1</v>
      </c>
      <c r="I11130">
        <v>0</v>
      </c>
      <c r="J11130">
        <v>0</v>
      </c>
      <c r="K11130" t="str">
        <f t="shared" si="1992"/>
        <v>816</v>
      </c>
      <c r="L11130">
        <v>0</v>
      </c>
    </row>
    <row r="11131" spans="1:12" x14ac:dyDescent="0.25">
      <c r="A11131" t="str">
        <f t="shared" si="1981"/>
        <v>89301000</v>
      </c>
      <c r="B11131" t="str">
        <f t="shared" si="1987"/>
        <v>88805000</v>
      </c>
      <c r="C11131" t="str">
        <f t="shared" si="1991"/>
        <v>88805014</v>
      </c>
      <c r="D11131">
        <v>89301282</v>
      </c>
      <c r="E11131" t="str">
        <f>"7203215690"</f>
        <v>7203215690</v>
      </c>
      <c r="F11131" s="1">
        <v>45175</v>
      </c>
      <c r="G11131" t="str">
        <f>"94983"</f>
        <v>94983</v>
      </c>
      <c r="H11131">
        <v>1</v>
      </c>
      <c r="I11131">
        <v>0</v>
      </c>
      <c r="J11131">
        <v>39600</v>
      </c>
      <c r="K11131" t="str">
        <f t="shared" si="1992"/>
        <v>816</v>
      </c>
      <c r="L11131">
        <v>39600</v>
      </c>
    </row>
    <row r="11132" spans="1:12" x14ac:dyDescent="0.25">
      <c r="A11132" t="str">
        <f t="shared" si="1981"/>
        <v>89301000</v>
      </c>
      <c r="B11132" t="str">
        <f t="shared" si="1987"/>
        <v>88805000</v>
      </c>
      <c r="C11132" t="str">
        <f t="shared" si="1991"/>
        <v>88805014</v>
      </c>
      <c r="D11132">
        <v>89301282</v>
      </c>
      <c r="E11132" t="str">
        <f>"7203215690"</f>
        <v>7203215690</v>
      </c>
      <c r="F11132" s="1">
        <v>45175</v>
      </c>
      <c r="G11132" t="str">
        <f>"94996"</f>
        <v>94996</v>
      </c>
      <c r="H11132">
        <v>1</v>
      </c>
      <c r="I11132">
        <v>0</v>
      </c>
      <c r="J11132">
        <v>0</v>
      </c>
      <c r="K11132" t="str">
        <f t="shared" si="1992"/>
        <v>816</v>
      </c>
      <c r="L11132">
        <v>0</v>
      </c>
    </row>
    <row r="11133" spans="1:12" x14ac:dyDescent="0.25">
      <c r="A11133" t="str">
        <f t="shared" si="1981"/>
        <v>89301000</v>
      </c>
      <c r="B11133" t="str">
        <f t="shared" si="1987"/>
        <v>88805000</v>
      </c>
      <c r="C11133" t="str">
        <f t="shared" si="1991"/>
        <v>88805014</v>
      </c>
      <c r="D11133">
        <v>89301282</v>
      </c>
      <c r="E11133" t="str">
        <f>"7910025376"</f>
        <v>7910025376</v>
      </c>
      <c r="F11133" s="1">
        <v>45184</v>
      </c>
      <c r="G11133" t="str">
        <f>"94983"</f>
        <v>94983</v>
      </c>
      <c r="H11133">
        <v>1</v>
      </c>
      <c r="I11133">
        <v>0</v>
      </c>
      <c r="J11133">
        <v>39600</v>
      </c>
      <c r="K11133" t="str">
        <f t="shared" si="1992"/>
        <v>816</v>
      </c>
      <c r="L11133">
        <v>39600</v>
      </c>
    </row>
    <row r="11134" spans="1:12" x14ac:dyDescent="0.25">
      <c r="A11134" t="str">
        <f t="shared" si="1981"/>
        <v>89301000</v>
      </c>
      <c r="B11134" t="str">
        <f t="shared" si="1987"/>
        <v>88805000</v>
      </c>
      <c r="C11134" t="str">
        <f t="shared" si="1991"/>
        <v>88805014</v>
      </c>
      <c r="D11134">
        <v>89301282</v>
      </c>
      <c r="E11134" t="str">
        <f>"7910025376"</f>
        <v>7910025376</v>
      </c>
      <c r="F11134" s="1">
        <v>45184</v>
      </c>
      <c r="G11134" t="str">
        <f>"94996"</f>
        <v>94996</v>
      </c>
      <c r="H11134">
        <v>1</v>
      </c>
      <c r="I11134">
        <v>0</v>
      </c>
      <c r="J11134">
        <v>0</v>
      </c>
      <c r="K11134" t="str">
        <f t="shared" si="1992"/>
        <v>816</v>
      </c>
      <c r="L11134">
        <v>0</v>
      </c>
    </row>
    <row r="11135" spans="1:12" x14ac:dyDescent="0.25">
      <c r="A11135" t="str">
        <f t="shared" si="1981"/>
        <v>89301000</v>
      </c>
      <c r="B11135" t="str">
        <f t="shared" si="1987"/>
        <v>88805000</v>
      </c>
      <c r="C11135" t="str">
        <f t="shared" si="1991"/>
        <v>88805014</v>
      </c>
      <c r="D11135">
        <v>89301282</v>
      </c>
      <c r="E11135" t="str">
        <f>"0654105276"</f>
        <v>0654105276</v>
      </c>
      <c r="F11135" s="1">
        <v>45181</v>
      </c>
      <c r="G11135" t="str">
        <f>"94983"</f>
        <v>94983</v>
      </c>
      <c r="H11135">
        <v>1</v>
      </c>
      <c r="I11135">
        <v>0</v>
      </c>
      <c r="J11135">
        <v>39600</v>
      </c>
      <c r="K11135" t="str">
        <f t="shared" si="1992"/>
        <v>816</v>
      </c>
      <c r="L11135">
        <v>39600</v>
      </c>
    </row>
    <row r="11136" spans="1:12" x14ac:dyDescent="0.25">
      <c r="A11136" t="str">
        <f t="shared" si="1981"/>
        <v>89301000</v>
      </c>
      <c r="B11136" t="str">
        <f t="shared" si="1987"/>
        <v>88805000</v>
      </c>
      <c r="C11136" t="str">
        <f t="shared" si="1991"/>
        <v>88805014</v>
      </c>
      <c r="D11136">
        <v>89301282</v>
      </c>
      <c r="E11136" t="str">
        <f>"0654105276"</f>
        <v>0654105276</v>
      </c>
      <c r="F11136" s="1">
        <v>45181</v>
      </c>
      <c r="G11136" t="str">
        <f>"94996"</f>
        <v>94996</v>
      </c>
      <c r="H11136">
        <v>1</v>
      </c>
      <c r="I11136">
        <v>0</v>
      </c>
      <c r="J11136">
        <v>0</v>
      </c>
      <c r="K11136" t="str">
        <f t="shared" si="1992"/>
        <v>816</v>
      </c>
      <c r="L11136">
        <v>0</v>
      </c>
    </row>
    <row r="11137" spans="1:12" x14ac:dyDescent="0.25">
      <c r="A11137" t="str">
        <f t="shared" si="1981"/>
        <v>89301000</v>
      </c>
      <c r="B11137" t="str">
        <f t="shared" si="1987"/>
        <v>88805000</v>
      </c>
      <c r="C11137" t="str">
        <f t="shared" si="1991"/>
        <v>88805014</v>
      </c>
      <c r="D11137">
        <v>89301282</v>
      </c>
      <c r="E11137" t="str">
        <f>"6504042292"</f>
        <v>6504042292</v>
      </c>
      <c r="F11137" s="1">
        <v>45182</v>
      </c>
      <c r="G11137" t="str">
        <f>"94983"</f>
        <v>94983</v>
      </c>
      <c r="H11137">
        <v>1</v>
      </c>
      <c r="I11137">
        <v>0</v>
      </c>
      <c r="J11137">
        <v>39600</v>
      </c>
      <c r="K11137" t="str">
        <f t="shared" si="1992"/>
        <v>816</v>
      </c>
      <c r="L11137">
        <v>39600</v>
      </c>
    </row>
    <row r="11138" spans="1:12" x14ac:dyDescent="0.25">
      <c r="A11138" t="str">
        <f t="shared" ref="A11138:A11201" si="1993">"89301000"</f>
        <v>89301000</v>
      </c>
      <c r="B11138" t="str">
        <f t="shared" si="1987"/>
        <v>88805000</v>
      </c>
      <c r="C11138" t="str">
        <f t="shared" si="1991"/>
        <v>88805014</v>
      </c>
      <c r="D11138">
        <v>89301282</v>
      </c>
      <c r="E11138" t="str">
        <f>"6504042292"</f>
        <v>6504042292</v>
      </c>
      <c r="F11138" s="1">
        <v>45182</v>
      </c>
      <c r="G11138" t="str">
        <f>"94996"</f>
        <v>94996</v>
      </c>
      <c r="H11138">
        <v>1</v>
      </c>
      <c r="I11138">
        <v>0</v>
      </c>
      <c r="J11138">
        <v>0</v>
      </c>
      <c r="K11138" t="str">
        <f t="shared" si="1992"/>
        <v>816</v>
      </c>
      <c r="L11138">
        <v>0</v>
      </c>
    </row>
    <row r="11139" spans="1:12" x14ac:dyDescent="0.25">
      <c r="A11139" t="str">
        <f t="shared" si="1993"/>
        <v>89301000</v>
      </c>
      <c r="B11139" t="str">
        <f t="shared" si="1987"/>
        <v>88805000</v>
      </c>
      <c r="C11139" t="str">
        <f t="shared" si="1991"/>
        <v>88805014</v>
      </c>
      <c r="D11139">
        <v>89301282</v>
      </c>
      <c r="E11139" t="str">
        <f>"9356234844"</f>
        <v>9356234844</v>
      </c>
      <c r="F11139" s="1">
        <v>45180</v>
      </c>
      <c r="G11139" t="str">
        <f>"94983"</f>
        <v>94983</v>
      </c>
      <c r="H11139">
        <v>1</v>
      </c>
      <c r="I11139">
        <v>0</v>
      </c>
      <c r="J11139">
        <v>39600</v>
      </c>
      <c r="K11139" t="str">
        <f t="shared" si="1992"/>
        <v>816</v>
      </c>
      <c r="L11139">
        <v>39600</v>
      </c>
    </row>
    <row r="11140" spans="1:12" x14ac:dyDescent="0.25">
      <c r="A11140" t="str">
        <f t="shared" si="1993"/>
        <v>89301000</v>
      </c>
      <c r="B11140" t="str">
        <f t="shared" si="1987"/>
        <v>88805000</v>
      </c>
      <c r="C11140" t="str">
        <f t="shared" si="1991"/>
        <v>88805014</v>
      </c>
      <c r="D11140">
        <v>89301282</v>
      </c>
      <c r="E11140" t="str">
        <f>"9356234844"</f>
        <v>9356234844</v>
      </c>
      <c r="F11140" s="1">
        <v>45180</v>
      </c>
      <c r="G11140" t="str">
        <f>"94996"</f>
        <v>94996</v>
      </c>
      <c r="H11140">
        <v>1</v>
      </c>
      <c r="I11140">
        <v>0</v>
      </c>
      <c r="J11140">
        <v>0</v>
      </c>
      <c r="K11140" t="str">
        <f t="shared" si="1992"/>
        <v>816</v>
      </c>
      <c r="L11140">
        <v>0</v>
      </c>
    </row>
    <row r="11141" spans="1:12" x14ac:dyDescent="0.25">
      <c r="A11141" t="str">
        <f t="shared" si="1993"/>
        <v>89301000</v>
      </c>
      <c r="B11141" t="str">
        <f t="shared" ref="B11141:C11159" si="1994">"91970116"</f>
        <v>91970116</v>
      </c>
      <c r="C11141" t="str">
        <f t="shared" si="1994"/>
        <v>91970116</v>
      </c>
      <c r="D11141">
        <v>89301167</v>
      </c>
      <c r="E11141" t="str">
        <f t="shared" ref="E11141:E11164" si="1995">"530220073"</f>
        <v>530220073</v>
      </c>
      <c r="F11141" s="1">
        <v>45198</v>
      </c>
      <c r="G11141" t="str">
        <f>"97111"</f>
        <v>97111</v>
      </c>
      <c r="H11141">
        <v>1</v>
      </c>
      <c r="I11141">
        <v>19</v>
      </c>
      <c r="J11141">
        <v>0</v>
      </c>
      <c r="K11141" t="str">
        <f t="shared" ref="K11141:K11159" si="1996">"801"</f>
        <v>801</v>
      </c>
      <c r="L11141">
        <v>23.94</v>
      </c>
    </row>
    <row r="11142" spans="1:12" x14ac:dyDescent="0.25">
      <c r="A11142" t="str">
        <f t="shared" si="1993"/>
        <v>89301000</v>
      </c>
      <c r="B11142" t="str">
        <f t="shared" si="1994"/>
        <v>91970116</v>
      </c>
      <c r="C11142" t="str">
        <f t="shared" si="1994"/>
        <v>91970116</v>
      </c>
      <c r="D11142">
        <v>89301167</v>
      </c>
      <c r="E11142" t="str">
        <f t="shared" si="1995"/>
        <v>530220073</v>
      </c>
      <c r="F11142" s="1">
        <v>45198</v>
      </c>
      <c r="G11142" t="str">
        <f>"81625"</f>
        <v>81625</v>
      </c>
      <c r="H11142">
        <v>1</v>
      </c>
      <c r="I11142">
        <v>21</v>
      </c>
      <c r="J11142">
        <v>0</v>
      </c>
      <c r="K11142" t="str">
        <f t="shared" si="1996"/>
        <v>801</v>
      </c>
      <c r="L11142">
        <v>17.64</v>
      </c>
    </row>
    <row r="11143" spans="1:12" x14ac:dyDescent="0.25">
      <c r="A11143" t="str">
        <f t="shared" si="1993"/>
        <v>89301000</v>
      </c>
      <c r="B11143" t="str">
        <f t="shared" si="1994"/>
        <v>91970116</v>
      </c>
      <c r="C11143" t="str">
        <f t="shared" si="1994"/>
        <v>91970116</v>
      </c>
      <c r="D11143">
        <v>89301167</v>
      </c>
      <c r="E11143" t="str">
        <f t="shared" si="1995"/>
        <v>530220073</v>
      </c>
      <c r="F11143" s="1">
        <v>45198</v>
      </c>
      <c r="G11143" t="str">
        <f>"81621"</f>
        <v>81621</v>
      </c>
      <c r="H11143">
        <v>1</v>
      </c>
      <c r="I11143">
        <v>19</v>
      </c>
      <c r="J11143">
        <v>0</v>
      </c>
      <c r="K11143" t="str">
        <f t="shared" si="1996"/>
        <v>801</v>
      </c>
      <c r="L11143">
        <v>15.96</v>
      </c>
    </row>
    <row r="11144" spans="1:12" x14ac:dyDescent="0.25">
      <c r="A11144" t="str">
        <f t="shared" si="1993"/>
        <v>89301000</v>
      </c>
      <c r="B11144" t="str">
        <f t="shared" si="1994"/>
        <v>91970116</v>
      </c>
      <c r="C11144" t="str">
        <f t="shared" si="1994"/>
        <v>91970116</v>
      </c>
      <c r="D11144">
        <v>89301167</v>
      </c>
      <c r="E11144" t="str">
        <f t="shared" si="1995"/>
        <v>530220073</v>
      </c>
      <c r="F11144" s="1">
        <v>45198</v>
      </c>
      <c r="G11144" t="str">
        <f>"81499"</f>
        <v>81499</v>
      </c>
      <c r="H11144">
        <v>1</v>
      </c>
      <c r="I11144">
        <v>18</v>
      </c>
      <c r="J11144">
        <v>0</v>
      </c>
      <c r="K11144" t="str">
        <f t="shared" si="1996"/>
        <v>801</v>
      </c>
      <c r="L11144">
        <v>15.12</v>
      </c>
    </row>
    <row r="11145" spans="1:12" x14ac:dyDescent="0.25">
      <c r="A11145" t="str">
        <f t="shared" si="1993"/>
        <v>89301000</v>
      </c>
      <c r="B11145" t="str">
        <f t="shared" si="1994"/>
        <v>91970116</v>
      </c>
      <c r="C11145" t="str">
        <f t="shared" si="1994"/>
        <v>91970116</v>
      </c>
      <c r="D11145">
        <v>89301167</v>
      </c>
      <c r="E11145" t="str">
        <f t="shared" si="1995"/>
        <v>530220073</v>
      </c>
      <c r="F11145" s="1">
        <v>45198</v>
      </c>
      <c r="G11145" t="str">
        <f>"81523"</f>
        <v>81523</v>
      </c>
      <c r="H11145">
        <v>1</v>
      </c>
      <c r="I11145">
        <v>23</v>
      </c>
      <c r="J11145">
        <v>0</v>
      </c>
      <c r="K11145" t="str">
        <f t="shared" si="1996"/>
        <v>801</v>
      </c>
      <c r="L11145">
        <v>19.32</v>
      </c>
    </row>
    <row r="11146" spans="1:12" x14ac:dyDescent="0.25">
      <c r="A11146" t="str">
        <f t="shared" si="1993"/>
        <v>89301000</v>
      </c>
      <c r="B11146" t="str">
        <f t="shared" si="1994"/>
        <v>91970116</v>
      </c>
      <c r="C11146" t="str">
        <f t="shared" si="1994"/>
        <v>91970116</v>
      </c>
      <c r="D11146">
        <v>89301167</v>
      </c>
      <c r="E11146" t="str">
        <f t="shared" si="1995"/>
        <v>530220073</v>
      </c>
      <c r="F11146" s="1">
        <v>45198</v>
      </c>
      <c r="G11146" t="str">
        <f>"81365"</f>
        <v>81365</v>
      </c>
      <c r="H11146">
        <v>1</v>
      </c>
      <c r="I11146">
        <v>16</v>
      </c>
      <c r="J11146">
        <v>0</v>
      </c>
      <c r="K11146" t="str">
        <f t="shared" si="1996"/>
        <v>801</v>
      </c>
      <c r="L11146">
        <v>13.44</v>
      </c>
    </row>
    <row r="11147" spans="1:12" x14ac:dyDescent="0.25">
      <c r="A11147" t="str">
        <f t="shared" si="1993"/>
        <v>89301000</v>
      </c>
      <c r="B11147" t="str">
        <f t="shared" si="1994"/>
        <v>91970116</v>
      </c>
      <c r="C11147" t="str">
        <f t="shared" si="1994"/>
        <v>91970116</v>
      </c>
      <c r="D11147">
        <v>89301167</v>
      </c>
      <c r="E11147" t="str">
        <f t="shared" si="1995"/>
        <v>530220073</v>
      </c>
      <c r="F11147" s="1">
        <v>45198</v>
      </c>
      <c r="G11147" t="str">
        <f>"81329"</f>
        <v>81329</v>
      </c>
      <c r="H11147">
        <v>1</v>
      </c>
      <c r="I11147">
        <v>17</v>
      </c>
      <c r="J11147">
        <v>0</v>
      </c>
      <c r="K11147" t="str">
        <f t="shared" si="1996"/>
        <v>801</v>
      </c>
      <c r="L11147">
        <v>14.28</v>
      </c>
    </row>
    <row r="11148" spans="1:12" x14ac:dyDescent="0.25">
      <c r="A11148" t="str">
        <f t="shared" si="1993"/>
        <v>89301000</v>
      </c>
      <c r="B11148" t="str">
        <f t="shared" si="1994"/>
        <v>91970116</v>
      </c>
      <c r="C11148" t="str">
        <f t="shared" si="1994"/>
        <v>91970116</v>
      </c>
      <c r="D11148">
        <v>89301167</v>
      </c>
      <c r="E11148" t="str">
        <f t="shared" si="1995"/>
        <v>530220073</v>
      </c>
      <c r="F11148" s="1">
        <v>45198</v>
      </c>
      <c r="G11148" t="str">
        <f>"81361"</f>
        <v>81361</v>
      </c>
      <c r="H11148">
        <v>1</v>
      </c>
      <c r="I11148">
        <v>17</v>
      </c>
      <c r="J11148">
        <v>0</v>
      </c>
      <c r="K11148" t="str">
        <f t="shared" si="1996"/>
        <v>801</v>
      </c>
      <c r="L11148">
        <v>14.28</v>
      </c>
    </row>
    <row r="11149" spans="1:12" x14ac:dyDescent="0.25">
      <c r="A11149" t="str">
        <f t="shared" si="1993"/>
        <v>89301000</v>
      </c>
      <c r="B11149" t="str">
        <f t="shared" si="1994"/>
        <v>91970116</v>
      </c>
      <c r="C11149" t="str">
        <f t="shared" si="1994"/>
        <v>91970116</v>
      </c>
      <c r="D11149">
        <v>89301167</v>
      </c>
      <c r="E11149" t="str">
        <f t="shared" si="1995"/>
        <v>530220073</v>
      </c>
      <c r="F11149" s="1">
        <v>45198</v>
      </c>
      <c r="G11149" t="str">
        <f>"81337"</f>
        <v>81337</v>
      </c>
      <c r="H11149">
        <v>1</v>
      </c>
      <c r="I11149">
        <v>20</v>
      </c>
      <c r="J11149">
        <v>0</v>
      </c>
      <c r="K11149" t="str">
        <f t="shared" si="1996"/>
        <v>801</v>
      </c>
      <c r="L11149">
        <v>16.8</v>
      </c>
    </row>
    <row r="11150" spans="1:12" x14ac:dyDescent="0.25">
      <c r="A11150" t="str">
        <f t="shared" si="1993"/>
        <v>89301000</v>
      </c>
      <c r="B11150" t="str">
        <f t="shared" si="1994"/>
        <v>91970116</v>
      </c>
      <c r="C11150" t="str">
        <f t="shared" si="1994"/>
        <v>91970116</v>
      </c>
      <c r="D11150">
        <v>89301167</v>
      </c>
      <c r="E11150" t="str">
        <f t="shared" si="1995"/>
        <v>530220073</v>
      </c>
      <c r="F11150" s="1">
        <v>45198</v>
      </c>
      <c r="G11150" t="str">
        <f>"81357"</f>
        <v>81357</v>
      </c>
      <c r="H11150">
        <v>1</v>
      </c>
      <c r="I11150">
        <v>20</v>
      </c>
      <c r="J11150">
        <v>0</v>
      </c>
      <c r="K11150" t="str">
        <f t="shared" si="1996"/>
        <v>801</v>
      </c>
      <c r="L11150">
        <v>16.8</v>
      </c>
    </row>
    <row r="11151" spans="1:12" x14ac:dyDescent="0.25">
      <c r="A11151" t="str">
        <f t="shared" si="1993"/>
        <v>89301000</v>
      </c>
      <c r="B11151" t="str">
        <f t="shared" si="1994"/>
        <v>91970116</v>
      </c>
      <c r="C11151" t="str">
        <f t="shared" si="1994"/>
        <v>91970116</v>
      </c>
      <c r="D11151">
        <v>89301167</v>
      </c>
      <c r="E11151" t="str">
        <f t="shared" si="1995"/>
        <v>530220073</v>
      </c>
      <c r="F11151" s="1">
        <v>45198</v>
      </c>
      <c r="G11151" t="str">
        <f>"81421"</f>
        <v>81421</v>
      </c>
      <c r="H11151">
        <v>1</v>
      </c>
      <c r="I11151">
        <v>19</v>
      </c>
      <c r="J11151">
        <v>0</v>
      </c>
      <c r="K11151" t="str">
        <f t="shared" si="1996"/>
        <v>801</v>
      </c>
      <c r="L11151">
        <v>15.96</v>
      </c>
    </row>
    <row r="11152" spans="1:12" x14ac:dyDescent="0.25">
      <c r="A11152" t="str">
        <f t="shared" si="1993"/>
        <v>89301000</v>
      </c>
      <c r="B11152" t="str">
        <f t="shared" si="1994"/>
        <v>91970116</v>
      </c>
      <c r="C11152" t="str">
        <f t="shared" si="1994"/>
        <v>91970116</v>
      </c>
      <c r="D11152">
        <v>89301167</v>
      </c>
      <c r="E11152" t="str">
        <f t="shared" si="1995"/>
        <v>530220073</v>
      </c>
      <c r="F11152" s="1">
        <v>45198</v>
      </c>
      <c r="G11152" t="str">
        <f>"81435"</f>
        <v>81435</v>
      </c>
      <c r="H11152">
        <v>1</v>
      </c>
      <c r="I11152">
        <v>22</v>
      </c>
      <c r="J11152">
        <v>0</v>
      </c>
      <c r="K11152" t="str">
        <f t="shared" si="1996"/>
        <v>801</v>
      </c>
      <c r="L11152">
        <v>18.48</v>
      </c>
    </row>
    <row r="11153" spans="1:12" x14ac:dyDescent="0.25">
      <c r="A11153" t="str">
        <f t="shared" si="1993"/>
        <v>89301000</v>
      </c>
      <c r="B11153" t="str">
        <f t="shared" si="1994"/>
        <v>91970116</v>
      </c>
      <c r="C11153" t="str">
        <f t="shared" si="1994"/>
        <v>91970116</v>
      </c>
      <c r="D11153">
        <v>89301167</v>
      </c>
      <c r="E11153" t="str">
        <f t="shared" si="1995"/>
        <v>530220073</v>
      </c>
      <c r="F11153" s="1">
        <v>45198</v>
      </c>
      <c r="G11153" t="str">
        <f>"81439"</f>
        <v>81439</v>
      </c>
      <c r="H11153">
        <v>1</v>
      </c>
      <c r="I11153">
        <v>16</v>
      </c>
      <c r="J11153">
        <v>0</v>
      </c>
      <c r="K11153" t="str">
        <f t="shared" si="1996"/>
        <v>801</v>
      </c>
      <c r="L11153">
        <v>13.44</v>
      </c>
    </row>
    <row r="11154" spans="1:12" x14ac:dyDescent="0.25">
      <c r="A11154" t="str">
        <f t="shared" si="1993"/>
        <v>89301000</v>
      </c>
      <c r="B11154" t="str">
        <f t="shared" si="1994"/>
        <v>91970116</v>
      </c>
      <c r="C11154" t="str">
        <f t="shared" si="1994"/>
        <v>91970116</v>
      </c>
      <c r="D11154">
        <v>89301167</v>
      </c>
      <c r="E11154" t="str">
        <f t="shared" si="1995"/>
        <v>530220073</v>
      </c>
      <c r="F11154" s="1">
        <v>45198</v>
      </c>
      <c r="G11154" t="str">
        <f>"81471"</f>
        <v>81471</v>
      </c>
      <c r="H11154">
        <v>1</v>
      </c>
      <c r="I11154">
        <v>24</v>
      </c>
      <c r="J11154">
        <v>0</v>
      </c>
      <c r="K11154" t="str">
        <f t="shared" si="1996"/>
        <v>801</v>
      </c>
      <c r="L11154">
        <v>20.16</v>
      </c>
    </row>
    <row r="11155" spans="1:12" x14ac:dyDescent="0.25">
      <c r="A11155" t="str">
        <f t="shared" si="1993"/>
        <v>89301000</v>
      </c>
      <c r="B11155" t="str">
        <f t="shared" si="1994"/>
        <v>91970116</v>
      </c>
      <c r="C11155" t="str">
        <f t="shared" si="1994"/>
        <v>91970116</v>
      </c>
      <c r="D11155">
        <v>89301167</v>
      </c>
      <c r="E11155" t="str">
        <f t="shared" si="1995"/>
        <v>530220073</v>
      </c>
      <c r="F11155" s="1">
        <v>45198</v>
      </c>
      <c r="G11155" t="str">
        <f>"81611"</f>
        <v>81611</v>
      </c>
      <c r="H11155">
        <v>1</v>
      </c>
      <c r="I11155">
        <v>30</v>
      </c>
      <c r="J11155">
        <v>0</v>
      </c>
      <c r="K11155" t="str">
        <f t="shared" si="1996"/>
        <v>801</v>
      </c>
      <c r="L11155">
        <v>25.2</v>
      </c>
    </row>
    <row r="11156" spans="1:12" x14ac:dyDescent="0.25">
      <c r="A11156" t="str">
        <f t="shared" si="1993"/>
        <v>89301000</v>
      </c>
      <c r="B11156" t="str">
        <f t="shared" si="1994"/>
        <v>91970116</v>
      </c>
      <c r="C11156" t="str">
        <f t="shared" si="1994"/>
        <v>91970116</v>
      </c>
      <c r="D11156">
        <v>89301167</v>
      </c>
      <c r="E11156" t="str">
        <f t="shared" si="1995"/>
        <v>530220073</v>
      </c>
      <c r="F11156" s="1">
        <v>45198</v>
      </c>
      <c r="G11156" t="str">
        <f>"81511"</f>
        <v>81511</v>
      </c>
      <c r="H11156">
        <v>1</v>
      </c>
      <c r="I11156">
        <v>10</v>
      </c>
      <c r="J11156">
        <v>0</v>
      </c>
      <c r="K11156" t="str">
        <f t="shared" si="1996"/>
        <v>801</v>
      </c>
      <c r="L11156">
        <v>8.4</v>
      </c>
    </row>
    <row r="11157" spans="1:12" x14ac:dyDescent="0.25">
      <c r="A11157" t="str">
        <f t="shared" si="1993"/>
        <v>89301000</v>
      </c>
      <c r="B11157" t="str">
        <f t="shared" si="1994"/>
        <v>91970116</v>
      </c>
      <c r="C11157" t="str">
        <f t="shared" si="1994"/>
        <v>91970116</v>
      </c>
      <c r="D11157">
        <v>89301167</v>
      </c>
      <c r="E11157" t="str">
        <f t="shared" si="1995"/>
        <v>530220073</v>
      </c>
      <c r="F11157" s="1">
        <v>45198</v>
      </c>
      <c r="G11157" t="str">
        <f>"81593"</f>
        <v>81593</v>
      </c>
      <c r="H11157">
        <v>1</v>
      </c>
      <c r="I11157">
        <v>22</v>
      </c>
      <c r="J11157">
        <v>0</v>
      </c>
      <c r="K11157" t="str">
        <f t="shared" si="1996"/>
        <v>801</v>
      </c>
      <c r="L11157">
        <v>18.48</v>
      </c>
    </row>
    <row r="11158" spans="1:12" x14ac:dyDescent="0.25">
      <c r="A11158" t="str">
        <f t="shared" si="1993"/>
        <v>89301000</v>
      </c>
      <c r="B11158" t="str">
        <f t="shared" si="1994"/>
        <v>91970116</v>
      </c>
      <c r="C11158" t="str">
        <f t="shared" si="1994"/>
        <v>91970116</v>
      </c>
      <c r="D11158">
        <v>89301167</v>
      </c>
      <c r="E11158" t="str">
        <f t="shared" si="1995"/>
        <v>530220073</v>
      </c>
      <c r="F11158" s="1">
        <v>45198</v>
      </c>
      <c r="G11158" t="str">
        <f>"81393"</f>
        <v>81393</v>
      </c>
      <c r="H11158">
        <v>1</v>
      </c>
      <c r="I11158">
        <v>24</v>
      </c>
      <c r="J11158">
        <v>0</v>
      </c>
      <c r="K11158" t="str">
        <f t="shared" si="1996"/>
        <v>801</v>
      </c>
      <c r="L11158">
        <v>20.16</v>
      </c>
    </row>
    <row r="11159" spans="1:12" x14ac:dyDescent="0.25">
      <c r="A11159" t="str">
        <f t="shared" si="1993"/>
        <v>89301000</v>
      </c>
      <c r="B11159" t="str">
        <f t="shared" si="1994"/>
        <v>91970116</v>
      </c>
      <c r="C11159" t="str">
        <f t="shared" si="1994"/>
        <v>91970116</v>
      </c>
      <c r="D11159">
        <v>89301167</v>
      </c>
      <c r="E11159" t="str">
        <f t="shared" si="1995"/>
        <v>530220073</v>
      </c>
      <c r="F11159" s="1">
        <v>45198</v>
      </c>
      <c r="G11159" t="str">
        <f>"81469"</f>
        <v>81469</v>
      </c>
      <c r="H11159">
        <v>1</v>
      </c>
      <c r="I11159">
        <v>16</v>
      </c>
      <c r="J11159">
        <v>0</v>
      </c>
      <c r="K11159" t="str">
        <f t="shared" si="1996"/>
        <v>801</v>
      </c>
      <c r="L11159">
        <v>13.44</v>
      </c>
    </row>
    <row r="11160" spans="1:12" x14ac:dyDescent="0.25">
      <c r="A11160" t="str">
        <f t="shared" si="1993"/>
        <v>89301000</v>
      </c>
      <c r="B11160" t="str">
        <f>"91970116"</f>
        <v>91970116</v>
      </c>
      <c r="C11160" t="str">
        <f>"91970115"</f>
        <v>91970115</v>
      </c>
      <c r="D11160">
        <v>89301167</v>
      </c>
      <c r="E11160" t="str">
        <f t="shared" si="1995"/>
        <v>530220073</v>
      </c>
      <c r="F11160" s="1">
        <v>45198</v>
      </c>
      <c r="G11160" t="str">
        <f>"09119"</f>
        <v>09119</v>
      </c>
      <c r="H11160">
        <v>1</v>
      </c>
      <c r="I11160">
        <v>43</v>
      </c>
      <c r="J11160">
        <v>0</v>
      </c>
      <c r="K11160" t="str">
        <f>"818"</f>
        <v>818</v>
      </c>
      <c r="L11160">
        <v>54.18</v>
      </c>
    </row>
    <row r="11161" spans="1:12" x14ac:dyDescent="0.25">
      <c r="A11161" t="str">
        <f t="shared" si="1993"/>
        <v>89301000</v>
      </c>
      <c r="B11161" t="str">
        <f>"91970116"</f>
        <v>91970116</v>
      </c>
      <c r="C11161" t="str">
        <f>"91970115"</f>
        <v>91970115</v>
      </c>
      <c r="D11161">
        <v>89301167</v>
      </c>
      <c r="E11161" t="str">
        <f t="shared" si="1995"/>
        <v>530220073</v>
      </c>
      <c r="F11161" s="1">
        <v>45198</v>
      </c>
      <c r="G11161" t="str">
        <f>"96163"</f>
        <v>96163</v>
      </c>
      <c r="H11161">
        <v>1</v>
      </c>
      <c r="I11161">
        <v>28</v>
      </c>
      <c r="J11161">
        <v>0</v>
      </c>
      <c r="K11161" t="str">
        <f>"818"</f>
        <v>818</v>
      </c>
      <c r="L11161">
        <v>27.16</v>
      </c>
    </row>
    <row r="11162" spans="1:12" x14ac:dyDescent="0.25">
      <c r="A11162" t="str">
        <f t="shared" si="1993"/>
        <v>89301000</v>
      </c>
      <c r="B11162" t="str">
        <f>"91970116"</f>
        <v>91970116</v>
      </c>
      <c r="C11162" t="str">
        <f>"91970115"</f>
        <v>91970115</v>
      </c>
      <c r="D11162">
        <v>89301167</v>
      </c>
      <c r="E11162" t="str">
        <f t="shared" si="1995"/>
        <v>530220073</v>
      </c>
      <c r="F11162" s="1">
        <v>45198</v>
      </c>
      <c r="G11162" t="str">
        <f>"96315"</f>
        <v>96315</v>
      </c>
      <c r="H11162">
        <v>1</v>
      </c>
      <c r="I11162">
        <v>30</v>
      </c>
      <c r="J11162">
        <v>0</v>
      </c>
      <c r="K11162" t="str">
        <f>"818"</f>
        <v>818</v>
      </c>
      <c r="L11162">
        <v>29.1</v>
      </c>
    </row>
    <row r="11163" spans="1:12" x14ac:dyDescent="0.25">
      <c r="A11163" t="str">
        <f t="shared" si="1993"/>
        <v>89301000</v>
      </c>
      <c r="B11163" t="str">
        <f>"91970116"</f>
        <v>91970116</v>
      </c>
      <c r="C11163" t="str">
        <f>"91970115"</f>
        <v>91970115</v>
      </c>
      <c r="D11163">
        <v>89301167</v>
      </c>
      <c r="E11163" t="str">
        <f t="shared" si="1995"/>
        <v>530220073</v>
      </c>
      <c r="F11163" s="1">
        <v>45198</v>
      </c>
      <c r="G11163" t="str">
        <f>"96711"</f>
        <v>96711</v>
      </c>
      <c r="H11163">
        <v>1</v>
      </c>
      <c r="I11163">
        <v>28</v>
      </c>
      <c r="J11163">
        <v>0</v>
      </c>
      <c r="K11163" t="str">
        <f>"818"</f>
        <v>818</v>
      </c>
      <c r="L11163">
        <v>27.16</v>
      </c>
    </row>
    <row r="11164" spans="1:12" x14ac:dyDescent="0.25">
      <c r="A11164" t="str">
        <f t="shared" si="1993"/>
        <v>89301000</v>
      </c>
      <c r="B11164" t="str">
        <f>"91970116"</f>
        <v>91970116</v>
      </c>
      <c r="C11164" t="str">
        <f>"91970115"</f>
        <v>91970115</v>
      </c>
      <c r="D11164">
        <v>89301167</v>
      </c>
      <c r="E11164" t="str">
        <f t="shared" si="1995"/>
        <v>530220073</v>
      </c>
      <c r="F11164" s="1">
        <v>45198</v>
      </c>
      <c r="G11164" t="str">
        <f>"96713"</f>
        <v>96713</v>
      </c>
      <c r="H11164">
        <v>1</v>
      </c>
      <c r="I11164">
        <v>14</v>
      </c>
      <c r="J11164">
        <v>0</v>
      </c>
      <c r="K11164" t="str">
        <f>"818"</f>
        <v>818</v>
      </c>
      <c r="L11164">
        <v>13.58</v>
      </c>
    </row>
    <row r="11165" spans="1:12" x14ac:dyDescent="0.25">
      <c r="A11165" t="str">
        <f t="shared" si="1993"/>
        <v>89301000</v>
      </c>
      <c r="B11165" t="str">
        <f t="shared" ref="B11165:B11189" si="1997">"85200000"</f>
        <v>85200000</v>
      </c>
      <c r="C11165" t="str">
        <f>"85200315"</f>
        <v>85200315</v>
      </c>
      <c r="D11165">
        <v>89301212</v>
      </c>
      <c r="E11165" t="str">
        <f>"5752281964"</f>
        <v>5752281964</v>
      </c>
      <c r="F11165" s="1">
        <v>45195</v>
      </c>
      <c r="G11165" t="str">
        <f>"89131"</f>
        <v>89131</v>
      </c>
      <c r="H11165">
        <v>1</v>
      </c>
      <c r="I11165">
        <v>190</v>
      </c>
      <c r="J11165">
        <v>0</v>
      </c>
      <c r="K11165" t="str">
        <f>"809"</f>
        <v>809</v>
      </c>
      <c r="L11165">
        <v>279.3</v>
      </c>
    </row>
    <row r="11166" spans="1:12" x14ac:dyDescent="0.25">
      <c r="A11166" t="str">
        <f t="shared" si="1993"/>
        <v>89301000</v>
      </c>
      <c r="B11166" t="str">
        <f t="shared" si="1997"/>
        <v>85200000</v>
      </c>
      <c r="C11166" t="str">
        <f>"85200315"</f>
        <v>85200315</v>
      </c>
      <c r="D11166">
        <v>89301212</v>
      </c>
      <c r="E11166" t="str">
        <f>"5752281964"</f>
        <v>5752281964</v>
      </c>
      <c r="F11166" s="1">
        <v>45195</v>
      </c>
      <c r="G11166" t="str">
        <f>"89513"</f>
        <v>89513</v>
      </c>
      <c r="H11166">
        <v>1</v>
      </c>
      <c r="I11166">
        <v>378</v>
      </c>
      <c r="J11166">
        <v>0</v>
      </c>
      <c r="K11166" t="str">
        <f>"809"</f>
        <v>809</v>
      </c>
      <c r="L11166">
        <v>555.66</v>
      </c>
    </row>
    <row r="11167" spans="1:12" x14ac:dyDescent="0.25">
      <c r="A11167" t="str">
        <f t="shared" si="1993"/>
        <v>89301000</v>
      </c>
      <c r="B11167" t="str">
        <f t="shared" si="1997"/>
        <v>85200000</v>
      </c>
      <c r="C11167" t="str">
        <f>"85200315"</f>
        <v>85200315</v>
      </c>
      <c r="D11167">
        <v>89301212</v>
      </c>
      <c r="E11167" t="str">
        <f>"5752281964"</f>
        <v>5752281964</v>
      </c>
      <c r="F11167" s="1">
        <v>45195</v>
      </c>
      <c r="G11167" t="str">
        <f>"89514"</f>
        <v>89514</v>
      </c>
      <c r="H11167">
        <v>1</v>
      </c>
      <c r="I11167">
        <v>378</v>
      </c>
      <c r="J11167">
        <v>0</v>
      </c>
      <c r="K11167" t="str">
        <f>"809"</f>
        <v>809</v>
      </c>
      <c r="L11167">
        <v>555.66</v>
      </c>
    </row>
    <row r="11168" spans="1:12" x14ac:dyDescent="0.25">
      <c r="A11168" t="str">
        <f t="shared" si="1993"/>
        <v>89301000</v>
      </c>
      <c r="B11168" t="str">
        <f t="shared" si="1997"/>
        <v>85200000</v>
      </c>
      <c r="C11168" t="str">
        <f>"85200332"</f>
        <v>85200332</v>
      </c>
      <c r="D11168">
        <v>89301167</v>
      </c>
      <c r="E11168" t="str">
        <f t="shared" ref="E11168:E11189" si="1998">"6056171154"</f>
        <v>6056171154</v>
      </c>
      <c r="F11168" s="1">
        <v>45188</v>
      </c>
      <c r="G11168" t="str">
        <f>"93189"</f>
        <v>93189</v>
      </c>
      <c r="H11168">
        <v>1</v>
      </c>
      <c r="I11168">
        <v>191</v>
      </c>
      <c r="J11168">
        <v>0</v>
      </c>
      <c r="K11168" t="str">
        <f t="shared" ref="K11168:K11189" si="1999">"801"</f>
        <v>801</v>
      </c>
      <c r="L11168">
        <v>160.44</v>
      </c>
    </row>
    <row r="11169" spans="1:12" x14ac:dyDescent="0.25">
      <c r="A11169" t="str">
        <f t="shared" si="1993"/>
        <v>89301000</v>
      </c>
      <c r="B11169" t="str">
        <f t="shared" si="1997"/>
        <v>85200000</v>
      </c>
      <c r="C11169" t="str">
        <f>"85200332"</f>
        <v>85200332</v>
      </c>
      <c r="D11169">
        <v>89301167</v>
      </c>
      <c r="E11169" t="str">
        <f t="shared" si="1998"/>
        <v>6056171154</v>
      </c>
      <c r="F11169" s="1">
        <v>45188</v>
      </c>
      <c r="G11169" t="str">
        <f>"93195"</f>
        <v>93195</v>
      </c>
      <c r="H11169">
        <v>1</v>
      </c>
      <c r="I11169">
        <v>183</v>
      </c>
      <c r="J11169">
        <v>0</v>
      </c>
      <c r="K11169" t="str">
        <f t="shared" si="1999"/>
        <v>801</v>
      </c>
      <c r="L11169">
        <v>153.72</v>
      </c>
    </row>
    <row r="11170" spans="1:12" x14ac:dyDescent="0.25">
      <c r="A11170" t="str">
        <f t="shared" si="1993"/>
        <v>89301000</v>
      </c>
      <c r="B11170" t="str">
        <f t="shared" si="1997"/>
        <v>85200000</v>
      </c>
      <c r="C11170" t="str">
        <f>"85200332"</f>
        <v>85200332</v>
      </c>
      <c r="D11170">
        <v>89301167</v>
      </c>
      <c r="E11170" t="str">
        <f t="shared" si="1998"/>
        <v>6056171154</v>
      </c>
      <c r="F11170" s="1">
        <v>45188</v>
      </c>
      <c r="G11170" t="str">
        <f>"97111"</f>
        <v>97111</v>
      </c>
      <c r="H11170">
        <v>1</v>
      </c>
      <c r="I11170">
        <v>19</v>
      </c>
      <c r="J11170">
        <v>0</v>
      </c>
      <c r="K11170" t="str">
        <f t="shared" si="1999"/>
        <v>801</v>
      </c>
      <c r="L11170">
        <v>23.94</v>
      </c>
    </row>
    <row r="11171" spans="1:12" x14ac:dyDescent="0.25">
      <c r="A11171" t="str">
        <f t="shared" si="1993"/>
        <v>89301000</v>
      </c>
      <c r="B11171" t="str">
        <f t="shared" si="1997"/>
        <v>85200000</v>
      </c>
      <c r="C11171" t="str">
        <f>"85200332"</f>
        <v>85200332</v>
      </c>
      <c r="D11171">
        <v>89301167</v>
      </c>
      <c r="E11171" t="str">
        <f t="shared" si="1998"/>
        <v>6056171154</v>
      </c>
      <c r="F11171" s="1">
        <v>45189</v>
      </c>
      <c r="G11171" t="str">
        <f>"96167"</f>
        <v>96167</v>
      </c>
      <c r="H11171">
        <v>1</v>
      </c>
      <c r="I11171">
        <v>67</v>
      </c>
      <c r="J11171">
        <v>0</v>
      </c>
      <c r="K11171" t="str">
        <f t="shared" si="1999"/>
        <v>801</v>
      </c>
      <c r="L11171">
        <v>56.28</v>
      </c>
    </row>
    <row r="11172" spans="1:12" x14ac:dyDescent="0.25">
      <c r="A11172" t="str">
        <f t="shared" si="1993"/>
        <v>89301000</v>
      </c>
      <c r="B11172" t="str">
        <f t="shared" si="1997"/>
        <v>85200000</v>
      </c>
      <c r="C11172" t="str">
        <f t="shared" ref="C11172:C11189" si="2000">"85200048"</f>
        <v>85200048</v>
      </c>
      <c r="D11172">
        <v>89301167</v>
      </c>
      <c r="E11172" t="str">
        <f t="shared" si="1998"/>
        <v>6056171154</v>
      </c>
      <c r="F11172" s="1">
        <v>45188</v>
      </c>
      <c r="G11172" t="str">
        <f>"81329"</f>
        <v>81329</v>
      </c>
      <c r="H11172">
        <v>1</v>
      </c>
      <c r="I11172">
        <v>17</v>
      </c>
      <c r="J11172">
        <v>0</v>
      </c>
      <c r="K11172" t="str">
        <f t="shared" si="1999"/>
        <v>801</v>
      </c>
      <c r="L11172">
        <v>14.28</v>
      </c>
    </row>
    <row r="11173" spans="1:12" x14ac:dyDescent="0.25">
      <c r="A11173" t="str">
        <f t="shared" si="1993"/>
        <v>89301000</v>
      </c>
      <c r="B11173" t="str">
        <f t="shared" si="1997"/>
        <v>85200000</v>
      </c>
      <c r="C11173" t="str">
        <f t="shared" si="2000"/>
        <v>85200048</v>
      </c>
      <c r="D11173">
        <v>89301167</v>
      </c>
      <c r="E11173" t="str">
        <f t="shared" si="1998"/>
        <v>6056171154</v>
      </c>
      <c r="F11173" s="1">
        <v>45188</v>
      </c>
      <c r="G11173" t="str">
        <f>"81337"</f>
        <v>81337</v>
      </c>
      <c r="H11173">
        <v>1</v>
      </c>
      <c r="I11173">
        <v>20</v>
      </c>
      <c r="J11173">
        <v>0</v>
      </c>
      <c r="K11173" t="str">
        <f t="shared" si="1999"/>
        <v>801</v>
      </c>
      <c r="L11173">
        <v>16.8</v>
      </c>
    </row>
    <row r="11174" spans="1:12" x14ac:dyDescent="0.25">
      <c r="A11174" t="str">
        <f t="shared" si="1993"/>
        <v>89301000</v>
      </c>
      <c r="B11174" t="str">
        <f t="shared" si="1997"/>
        <v>85200000</v>
      </c>
      <c r="C11174" t="str">
        <f t="shared" si="2000"/>
        <v>85200048</v>
      </c>
      <c r="D11174">
        <v>89301167</v>
      </c>
      <c r="E11174" t="str">
        <f t="shared" si="1998"/>
        <v>6056171154</v>
      </c>
      <c r="F11174" s="1">
        <v>45188</v>
      </c>
      <c r="G11174" t="str">
        <f>"81357"</f>
        <v>81357</v>
      </c>
      <c r="H11174">
        <v>1</v>
      </c>
      <c r="I11174">
        <v>20</v>
      </c>
      <c r="J11174">
        <v>0</v>
      </c>
      <c r="K11174" t="str">
        <f t="shared" si="1999"/>
        <v>801</v>
      </c>
      <c r="L11174">
        <v>16.8</v>
      </c>
    </row>
    <row r="11175" spans="1:12" x14ac:dyDescent="0.25">
      <c r="A11175" t="str">
        <f t="shared" si="1993"/>
        <v>89301000</v>
      </c>
      <c r="B11175" t="str">
        <f t="shared" si="1997"/>
        <v>85200000</v>
      </c>
      <c r="C11175" t="str">
        <f t="shared" si="2000"/>
        <v>85200048</v>
      </c>
      <c r="D11175">
        <v>89301167</v>
      </c>
      <c r="E11175" t="str">
        <f t="shared" si="1998"/>
        <v>6056171154</v>
      </c>
      <c r="F11175" s="1">
        <v>45188</v>
      </c>
      <c r="G11175" t="str">
        <f>"81361"</f>
        <v>81361</v>
      </c>
      <c r="H11175">
        <v>1</v>
      </c>
      <c r="I11175">
        <v>17</v>
      </c>
      <c r="J11175">
        <v>0</v>
      </c>
      <c r="K11175" t="str">
        <f t="shared" si="1999"/>
        <v>801</v>
      </c>
      <c r="L11175">
        <v>14.28</v>
      </c>
    </row>
    <row r="11176" spans="1:12" x14ac:dyDescent="0.25">
      <c r="A11176" t="str">
        <f t="shared" si="1993"/>
        <v>89301000</v>
      </c>
      <c r="B11176" t="str">
        <f t="shared" si="1997"/>
        <v>85200000</v>
      </c>
      <c r="C11176" t="str">
        <f t="shared" si="2000"/>
        <v>85200048</v>
      </c>
      <c r="D11176">
        <v>89301167</v>
      </c>
      <c r="E11176" t="str">
        <f t="shared" si="1998"/>
        <v>6056171154</v>
      </c>
      <c r="F11176" s="1">
        <v>45188</v>
      </c>
      <c r="G11176" t="str">
        <f>"81383"</f>
        <v>81383</v>
      </c>
      <c r="H11176">
        <v>1</v>
      </c>
      <c r="I11176">
        <v>24</v>
      </c>
      <c r="J11176">
        <v>0</v>
      </c>
      <c r="K11176" t="str">
        <f t="shared" si="1999"/>
        <v>801</v>
      </c>
      <c r="L11176">
        <v>20.16</v>
      </c>
    </row>
    <row r="11177" spans="1:12" x14ac:dyDescent="0.25">
      <c r="A11177" t="str">
        <f t="shared" si="1993"/>
        <v>89301000</v>
      </c>
      <c r="B11177" t="str">
        <f t="shared" si="1997"/>
        <v>85200000</v>
      </c>
      <c r="C11177" t="str">
        <f t="shared" si="2000"/>
        <v>85200048</v>
      </c>
      <c r="D11177">
        <v>89301167</v>
      </c>
      <c r="E11177" t="str">
        <f t="shared" si="1998"/>
        <v>6056171154</v>
      </c>
      <c r="F11177" s="1">
        <v>45188</v>
      </c>
      <c r="G11177" t="str">
        <f>"81393"</f>
        <v>81393</v>
      </c>
      <c r="H11177">
        <v>1</v>
      </c>
      <c r="I11177">
        <v>24</v>
      </c>
      <c r="J11177">
        <v>0</v>
      </c>
      <c r="K11177" t="str">
        <f t="shared" si="1999"/>
        <v>801</v>
      </c>
      <c r="L11177">
        <v>20.16</v>
      </c>
    </row>
    <row r="11178" spans="1:12" x14ac:dyDescent="0.25">
      <c r="A11178" t="str">
        <f t="shared" si="1993"/>
        <v>89301000</v>
      </c>
      <c r="B11178" t="str">
        <f t="shared" si="1997"/>
        <v>85200000</v>
      </c>
      <c r="C11178" t="str">
        <f t="shared" si="2000"/>
        <v>85200048</v>
      </c>
      <c r="D11178">
        <v>89301167</v>
      </c>
      <c r="E11178" t="str">
        <f t="shared" si="1998"/>
        <v>6056171154</v>
      </c>
      <c r="F11178" s="1">
        <v>45188</v>
      </c>
      <c r="G11178" t="str">
        <f>"81421"</f>
        <v>81421</v>
      </c>
      <c r="H11178">
        <v>1</v>
      </c>
      <c r="I11178">
        <v>19</v>
      </c>
      <c r="J11178">
        <v>0</v>
      </c>
      <c r="K11178" t="str">
        <f t="shared" si="1999"/>
        <v>801</v>
      </c>
      <c r="L11178">
        <v>15.96</v>
      </c>
    </row>
    <row r="11179" spans="1:12" x14ac:dyDescent="0.25">
      <c r="A11179" t="str">
        <f t="shared" si="1993"/>
        <v>89301000</v>
      </c>
      <c r="B11179" t="str">
        <f t="shared" si="1997"/>
        <v>85200000</v>
      </c>
      <c r="C11179" t="str">
        <f t="shared" si="2000"/>
        <v>85200048</v>
      </c>
      <c r="D11179">
        <v>89301167</v>
      </c>
      <c r="E11179" t="str">
        <f t="shared" si="1998"/>
        <v>6056171154</v>
      </c>
      <c r="F11179" s="1">
        <v>45188</v>
      </c>
      <c r="G11179" t="str">
        <f>"81435"</f>
        <v>81435</v>
      </c>
      <c r="H11179">
        <v>1</v>
      </c>
      <c r="I11179">
        <v>22</v>
      </c>
      <c r="J11179">
        <v>0</v>
      </c>
      <c r="K11179" t="str">
        <f t="shared" si="1999"/>
        <v>801</v>
      </c>
      <c r="L11179">
        <v>18.48</v>
      </c>
    </row>
    <row r="11180" spans="1:12" x14ac:dyDescent="0.25">
      <c r="A11180" t="str">
        <f t="shared" si="1993"/>
        <v>89301000</v>
      </c>
      <c r="B11180" t="str">
        <f t="shared" si="1997"/>
        <v>85200000</v>
      </c>
      <c r="C11180" t="str">
        <f t="shared" si="2000"/>
        <v>85200048</v>
      </c>
      <c r="D11180">
        <v>89301167</v>
      </c>
      <c r="E11180" t="str">
        <f t="shared" si="1998"/>
        <v>6056171154</v>
      </c>
      <c r="F11180" s="1">
        <v>45188</v>
      </c>
      <c r="G11180" t="str">
        <f>"81439"</f>
        <v>81439</v>
      </c>
      <c r="H11180">
        <v>1</v>
      </c>
      <c r="I11180">
        <v>16</v>
      </c>
      <c r="J11180">
        <v>0</v>
      </c>
      <c r="K11180" t="str">
        <f t="shared" si="1999"/>
        <v>801</v>
      </c>
      <c r="L11180">
        <v>13.44</v>
      </c>
    </row>
    <row r="11181" spans="1:12" x14ac:dyDescent="0.25">
      <c r="A11181" t="str">
        <f t="shared" si="1993"/>
        <v>89301000</v>
      </c>
      <c r="B11181" t="str">
        <f t="shared" si="1997"/>
        <v>85200000</v>
      </c>
      <c r="C11181" t="str">
        <f t="shared" si="2000"/>
        <v>85200048</v>
      </c>
      <c r="D11181">
        <v>89301167</v>
      </c>
      <c r="E11181" t="str">
        <f t="shared" si="1998"/>
        <v>6056171154</v>
      </c>
      <c r="F11181" s="1">
        <v>45188</v>
      </c>
      <c r="G11181" t="str">
        <f>"81469"</f>
        <v>81469</v>
      </c>
      <c r="H11181">
        <v>1</v>
      </c>
      <c r="I11181">
        <v>16</v>
      </c>
      <c r="J11181">
        <v>0</v>
      </c>
      <c r="K11181" t="str">
        <f t="shared" si="1999"/>
        <v>801</v>
      </c>
      <c r="L11181">
        <v>13.44</v>
      </c>
    </row>
    <row r="11182" spans="1:12" x14ac:dyDescent="0.25">
      <c r="A11182" t="str">
        <f t="shared" si="1993"/>
        <v>89301000</v>
      </c>
      <c r="B11182" t="str">
        <f t="shared" si="1997"/>
        <v>85200000</v>
      </c>
      <c r="C11182" t="str">
        <f t="shared" si="2000"/>
        <v>85200048</v>
      </c>
      <c r="D11182">
        <v>89301167</v>
      </c>
      <c r="E11182" t="str">
        <f t="shared" si="1998"/>
        <v>6056171154</v>
      </c>
      <c r="F11182" s="1">
        <v>45188</v>
      </c>
      <c r="G11182" t="str">
        <f>"81499"</f>
        <v>81499</v>
      </c>
      <c r="H11182">
        <v>1</v>
      </c>
      <c r="I11182">
        <v>18</v>
      </c>
      <c r="J11182">
        <v>0</v>
      </c>
      <c r="K11182" t="str">
        <f t="shared" si="1999"/>
        <v>801</v>
      </c>
      <c r="L11182">
        <v>15.12</v>
      </c>
    </row>
    <row r="11183" spans="1:12" x14ac:dyDescent="0.25">
      <c r="A11183" t="str">
        <f t="shared" si="1993"/>
        <v>89301000</v>
      </c>
      <c r="B11183" t="str">
        <f t="shared" si="1997"/>
        <v>85200000</v>
      </c>
      <c r="C11183" t="str">
        <f t="shared" si="2000"/>
        <v>85200048</v>
      </c>
      <c r="D11183">
        <v>89301167</v>
      </c>
      <c r="E11183" t="str">
        <f t="shared" si="1998"/>
        <v>6056171154</v>
      </c>
      <c r="F11183" s="1">
        <v>45188</v>
      </c>
      <c r="G11183" t="str">
        <f>"81523"</f>
        <v>81523</v>
      </c>
      <c r="H11183">
        <v>1</v>
      </c>
      <c r="I11183">
        <v>23</v>
      </c>
      <c r="J11183">
        <v>0</v>
      </c>
      <c r="K11183" t="str">
        <f t="shared" si="1999"/>
        <v>801</v>
      </c>
      <c r="L11183">
        <v>19.32</v>
      </c>
    </row>
    <row r="11184" spans="1:12" x14ac:dyDescent="0.25">
      <c r="A11184" t="str">
        <f t="shared" si="1993"/>
        <v>89301000</v>
      </c>
      <c r="B11184" t="str">
        <f t="shared" si="1997"/>
        <v>85200000</v>
      </c>
      <c r="C11184" t="str">
        <f t="shared" si="2000"/>
        <v>85200048</v>
      </c>
      <c r="D11184">
        <v>89301167</v>
      </c>
      <c r="E11184" t="str">
        <f t="shared" si="1998"/>
        <v>6056171154</v>
      </c>
      <c r="F11184" s="1">
        <v>45188</v>
      </c>
      <c r="G11184" t="str">
        <f>"81593"</f>
        <v>81593</v>
      </c>
      <c r="H11184">
        <v>1</v>
      </c>
      <c r="I11184">
        <v>22</v>
      </c>
      <c r="J11184">
        <v>0</v>
      </c>
      <c r="K11184" t="str">
        <f t="shared" si="1999"/>
        <v>801</v>
      </c>
      <c r="L11184">
        <v>18.48</v>
      </c>
    </row>
    <row r="11185" spans="1:12" x14ac:dyDescent="0.25">
      <c r="A11185" t="str">
        <f t="shared" si="1993"/>
        <v>89301000</v>
      </c>
      <c r="B11185" t="str">
        <f t="shared" si="1997"/>
        <v>85200000</v>
      </c>
      <c r="C11185" t="str">
        <f t="shared" si="2000"/>
        <v>85200048</v>
      </c>
      <c r="D11185">
        <v>89301167</v>
      </c>
      <c r="E11185" t="str">
        <f t="shared" si="1998"/>
        <v>6056171154</v>
      </c>
      <c r="F11185" s="1">
        <v>45188</v>
      </c>
      <c r="G11185" t="str">
        <f>"81621"</f>
        <v>81621</v>
      </c>
      <c r="H11185">
        <v>1</v>
      </c>
      <c r="I11185">
        <v>19</v>
      </c>
      <c r="J11185">
        <v>0</v>
      </c>
      <c r="K11185" t="str">
        <f t="shared" si="1999"/>
        <v>801</v>
      </c>
      <c r="L11185">
        <v>15.96</v>
      </c>
    </row>
    <row r="11186" spans="1:12" x14ac:dyDescent="0.25">
      <c r="A11186" t="str">
        <f t="shared" si="1993"/>
        <v>89301000</v>
      </c>
      <c r="B11186" t="str">
        <f t="shared" si="1997"/>
        <v>85200000</v>
      </c>
      <c r="C11186" t="str">
        <f t="shared" si="2000"/>
        <v>85200048</v>
      </c>
      <c r="D11186">
        <v>89301167</v>
      </c>
      <c r="E11186" t="str">
        <f t="shared" si="1998"/>
        <v>6056171154</v>
      </c>
      <c r="F11186" s="1">
        <v>45188</v>
      </c>
      <c r="G11186" t="str">
        <f>"81625"</f>
        <v>81625</v>
      </c>
      <c r="H11186">
        <v>1</v>
      </c>
      <c r="I11186">
        <v>21</v>
      </c>
      <c r="J11186">
        <v>0</v>
      </c>
      <c r="K11186" t="str">
        <f t="shared" si="1999"/>
        <v>801</v>
      </c>
      <c r="L11186">
        <v>17.64</v>
      </c>
    </row>
    <row r="11187" spans="1:12" x14ac:dyDescent="0.25">
      <c r="A11187" t="str">
        <f t="shared" si="1993"/>
        <v>89301000</v>
      </c>
      <c r="B11187" t="str">
        <f t="shared" si="1997"/>
        <v>85200000</v>
      </c>
      <c r="C11187" t="str">
        <f t="shared" si="2000"/>
        <v>85200048</v>
      </c>
      <c r="D11187">
        <v>89301167</v>
      </c>
      <c r="E11187" t="str">
        <f t="shared" si="1998"/>
        <v>6056171154</v>
      </c>
      <c r="F11187" s="1">
        <v>45188</v>
      </c>
      <c r="G11187" t="str">
        <f>"81627"</f>
        <v>81627</v>
      </c>
      <c r="H11187">
        <v>1</v>
      </c>
      <c r="I11187">
        <v>47</v>
      </c>
      <c r="J11187">
        <v>0</v>
      </c>
      <c r="K11187" t="str">
        <f t="shared" si="1999"/>
        <v>801</v>
      </c>
      <c r="L11187">
        <v>39.479999999999997</v>
      </c>
    </row>
    <row r="11188" spans="1:12" x14ac:dyDescent="0.25">
      <c r="A11188" t="str">
        <f t="shared" si="1993"/>
        <v>89301000</v>
      </c>
      <c r="B11188" t="str">
        <f t="shared" si="1997"/>
        <v>85200000</v>
      </c>
      <c r="C11188" t="str">
        <f t="shared" si="2000"/>
        <v>85200048</v>
      </c>
      <c r="D11188">
        <v>89301167</v>
      </c>
      <c r="E11188" t="str">
        <f t="shared" si="1998"/>
        <v>6056171154</v>
      </c>
      <c r="F11188" s="1">
        <v>45188</v>
      </c>
      <c r="G11188" t="str">
        <f>"91153"</f>
        <v>91153</v>
      </c>
      <c r="H11188">
        <v>1</v>
      </c>
      <c r="I11188">
        <v>153</v>
      </c>
      <c r="J11188">
        <v>0</v>
      </c>
      <c r="K11188" t="str">
        <f t="shared" si="1999"/>
        <v>801</v>
      </c>
      <c r="L11188">
        <v>128.52000000000001</v>
      </c>
    </row>
    <row r="11189" spans="1:12" x14ac:dyDescent="0.25">
      <c r="A11189" t="str">
        <f t="shared" si="1993"/>
        <v>89301000</v>
      </c>
      <c r="B11189" t="str">
        <f t="shared" si="1997"/>
        <v>85200000</v>
      </c>
      <c r="C11189" t="str">
        <f t="shared" si="2000"/>
        <v>85200048</v>
      </c>
      <c r="D11189">
        <v>89301167</v>
      </c>
      <c r="E11189" t="str">
        <f t="shared" si="1998"/>
        <v>6056171154</v>
      </c>
      <c r="F11189" s="1">
        <v>45188</v>
      </c>
      <c r="G11189" t="str">
        <f>"97111"</f>
        <v>97111</v>
      </c>
      <c r="H11189">
        <v>1</v>
      </c>
      <c r="I11189">
        <v>19</v>
      </c>
      <c r="J11189">
        <v>0</v>
      </c>
      <c r="K11189" t="str">
        <f t="shared" si="1999"/>
        <v>801</v>
      </c>
      <c r="L11189">
        <v>23.94</v>
      </c>
    </row>
    <row r="11190" spans="1:12" x14ac:dyDescent="0.25">
      <c r="A11190" t="str">
        <f t="shared" si="1993"/>
        <v>89301000</v>
      </c>
      <c r="B11190" t="str">
        <f>"91970117"</f>
        <v>91970117</v>
      </c>
      <c r="C11190" t="str">
        <f>"91970117"</f>
        <v>91970117</v>
      </c>
      <c r="D11190">
        <v>89301212</v>
      </c>
      <c r="E11190" t="str">
        <f>"7156235581"</f>
        <v>7156235581</v>
      </c>
      <c r="F11190" s="1">
        <v>45196</v>
      </c>
      <c r="G11190" t="str">
        <f>"89513"</f>
        <v>89513</v>
      </c>
      <c r="H11190">
        <v>1</v>
      </c>
      <c r="I11190">
        <v>378</v>
      </c>
      <c r="J11190">
        <v>0</v>
      </c>
      <c r="K11190" t="str">
        <f>"809"</f>
        <v>809</v>
      </c>
      <c r="L11190">
        <v>555.66</v>
      </c>
    </row>
    <row r="11191" spans="1:12" x14ac:dyDescent="0.25">
      <c r="A11191" t="str">
        <f t="shared" si="1993"/>
        <v>89301000</v>
      </c>
      <c r="B11191" t="str">
        <f>"91970117"</f>
        <v>91970117</v>
      </c>
      <c r="C11191" t="str">
        <f>"91970117"</f>
        <v>91970117</v>
      </c>
      <c r="D11191">
        <v>89301212</v>
      </c>
      <c r="E11191" t="str">
        <f>"7156235581"</f>
        <v>7156235581</v>
      </c>
      <c r="F11191" s="1">
        <v>45196</v>
      </c>
      <c r="G11191" t="str">
        <f>"89514"</f>
        <v>89514</v>
      </c>
      <c r="H11191">
        <v>1</v>
      </c>
      <c r="I11191">
        <v>378</v>
      </c>
      <c r="J11191">
        <v>0</v>
      </c>
      <c r="K11191" t="str">
        <f>"809"</f>
        <v>809</v>
      </c>
      <c r="L11191">
        <v>555.66</v>
      </c>
    </row>
    <row r="11192" spans="1:12" x14ac:dyDescent="0.25">
      <c r="A11192" t="str">
        <f t="shared" si="1993"/>
        <v>89301000</v>
      </c>
      <c r="B11192" t="str">
        <f t="shared" ref="B11192:B11223" si="2001">"72077000"</f>
        <v>72077000</v>
      </c>
      <c r="C11192" t="str">
        <f t="shared" ref="C11192:C11223" si="2002">"72077001"</f>
        <v>72077001</v>
      </c>
      <c r="D11192">
        <v>89301152</v>
      </c>
      <c r="E11192" t="str">
        <f>"8552240785"</f>
        <v>8552240785</v>
      </c>
      <c r="F11192" s="1">
        <v>45173</v>
      </c>
      <c r="G11192" t="str">
        <f>"91485"</f>
        <v>91485</v>
      </c>
      <c r="H11192">
        <v>1</v>
      </c>
      <c r="I11192">
        <v>268</v>
      </c>
      <c r="J11192">
        <v>0</v>
      </c>
      <c r="K11192" t="str">
        <f t="shared" ref="K11192:K11223" si="2003">"813"</f>
        <v>813</v>
      </c>
      <c r="L11192">
        <v>225.12</v>
      </c>
    </row>
    <row r="11193" spans="1:12" x14ac:dyDescent="0.25">
      <c r="A11193" t="str">
        <f t="shared" si="1993"/>
        <v>89301000</v>
      </c>
      <c r="B11193" t="str">
        <f t="shared" si="2001"/>
        <v>72077000</v>
      </c>
      <c r="C11193" t="str">
        <f t="shared" si="2002"/>
        <v>72077001</v>
      </c>
      <c r="D11193">
        <v>89301152</v>
      </c>
      <c r="E11193" t="str">
        <f>"8755085790"</f>
        <v>8755085790</v>
      </c>
      <c r="F11193" s="1">
        <v>45174</v>
      </c>
      <c r="G11193" t="str">
        <f>"91485"</f>
        <v>91485</v>
      </c>
      <c r="H11193">
        <v>1</v>
      </c>
      <c r="I11193">
        <v>268</v>
      </c>
      <c r="J11193">
        <v>0</v>
      </c>
      <c r="K11193" t="str">
        <f t="shared" si="2003"/>
        <v>813</v>
      </c>
      <c r="L11193">
        <v>225.12</v>
      </c>
    </row>
    <row r="11194" spans="1:12" x14ac:dyDescent="0.25">
      <c r="A11194" t="str">
        <f t="shared" si="1993"/>
        <v>89301000</v>
      </c>
      <c r="B11194" t="str">
        <f t="shared" si="2001"/>
        <v>72077000</v>
      </c>
      <c r="C11194" t="str">
        <f t="shared" si="2002"/>
        <v>72077001</v>
      </c>
      <c r="D11194">
        <v>89301152</v>
      </c>
      <c r="E11194" t="str">
        <f>"6959305375"</f>
        <v>6959305375</v>
      </c>
      <c r="F11194" s="1">
        <v>45180</v>
      </c>
      <c r="G11194" t="str">
        <f>"91197"</f>
        <v>91197</v>
      </c>
      <c r="H11194">
        <v>1</v>
      </c>
      <c r="I11194">
        <v>1048</v>
      </c>
      <c r="J11194">
        <v>0</v>
      </c>
      <c r="K11194" t="str">
        <f t="shared" si="2003"/>
        <v>813</v>
      </c>
      <c r="L11194">
        <v>880.32</v>
      </c>
    </row>
    <row r="11195" spans="1:12" x14ac:dyDescent="0.25">
      <c r="A11195" t="str">
        <f t="shared" si="1993"/>
        <v>89301000</v>
      </c>
      <c r="B11195" t="str">
        <f t="shared" si="2001"/>
        <v>72077000</v>
      </c>
      <c r="C11195" t="str">
        <f t="shared" si="2002"/>
        <v>72077001</v>
      </c>
      <c r="D11195">
        <v>89301152</v>
      </c>
      <c r="E11195" t="str">
        <f>"6959305375"</f>
        <v>6959305375</v>
      </c>
      <c r="F11195" s="1">
        <v>45181</v>
      </c>
      <c r="G11195" t="str">
        <f>"91465"</f>
        <v>91465</v>
      </c>
      <c r="H11195">
        <v>1</v>
      </c>
      <c r="I11195">
        <v>1412</v>
      </c>
      <c r="J11195">
        <v>0</v>
      </c>
      <c r="K11195" t="str">
        <f t="shared" si="2003"/>
        <v>813</v>
      </c>
      <c r="L11195">
        <v>1186.08</v>
      </c>
    </row>
    <row r="11196" spans="1:12" x14ac:dyDescent="0.25">
      <c r="A11196" t="str">
        <f t="shared" si="1993"/>
        <v>89301000</v>
      </c>
      <c r="B11196" t="str">
        <f t="shared" si="2001"/>
        <v>72077000</v>
      </c>
      <c r="C11196" t="str">
        <f t="shared" si="2002"/>
        <v>72077001</v>
      </c>
      <c r="D11196">
        <v>89301152</v>
      </c>
      <c r="E11196" t="str">
        <f>"9256045513"</f>
        <v>9256045513</v>
      </c>
      <c r="F11196" s="1">
        <v>45173</v>
      </c>
      <c r="G11196" t="str">
        <f>"91485"</f>
        <v>91485</v>
      </c>
      <c r="H11196">
        <v>1</v>
      </c>
      <c r="I11196">
        <v>268</v>
      </c>
      <c r="J11196">
        <v>0</v>
      </c>
      <c r="K11196" t="str">
        <f t="shared" si="2003"/>
        <v>813</v>
      </c>
      <c r="L11196">
        <v>225.12</v>
      </c>
    </row>
    <row r="11197" spans="1:12" x14ac:dyDescent="0.25">
      <c r="A11197" t="str">
        <f t="shared" si="1993"/>
        <v>89301000</v>
      </c>
      <c r="B11197" t="str">
        <f t="shared" si="2001"/>
        <v>72077000</v>
      </c>
      <c r="C11197" t="str">
        <f t="shared" si="2002"/>
        <v>72077001</v>
      </c>
      <c r="D11197">
        <v>89301152</v>
      </c>
      <c r="E11197" t="str">
        <f>"8356105340"</f>
        <v>8356105340</v>
      </c>
      <c r="F11197" s="1">
        <v>45174</v>
      </c>
      <c r="G11197" t="str">
        <f>"91485"</f>
        <v>91485</v>
      </c>
      <c r="H11197">
        <v>1</v>
      </c>
      <c r="I11197">
        <v>268</v>
      </c>
      <c r="J11197">
        <v>0</v>
      </c>
      <c r="K11197" t="str">
        <f t="shared" si="2003"/>
        <v>813</v>
      </c>
      <c r="L11197">
        <v>225.12</v>
      </c>
    </row>
    <row r="11198" spans="1:12" x14ac:dyDescent="0.25">
      <c r="A11198" t="str">
        <f t="shared" si="1993"/>
        <v>89301000</v>
      </c>
      <c r="B11198" t="str">
        <f t="shared" si="2001"/>
        <v>72077000</v>
      </c>
      <c r="C11198" t="str">
        <f t="shared" si="2002"/>
        <v>72077001</v>
      </c>
      <c r="D11198">
        <v>89301152</v>
      </c>
      <c r="E11198" t="str">
        <f>"9152156167"</f>
        <v>9152156167</v>
      </c>
      <c r="F11198" s="1">
        <v>45191</v>
      </c>
      <c r="G11198" t="str">
        <f>"91485"</f>
        <v>91485</v>
      </c>
      <c r="H11198">
        <v>1</v>
      </c>
      <c r="I11198">
        <v>268</v>
      </c>
      <c r="J11198">
        <v>0</v>
      </c>
      <c r="K11198" t="str">
        <f t="shared" si="2003"/>
        <v>813</v>
      </c>
      <c r="L11198">
        <v>225.12</v>
      </c>
    </row>
    <row r="11199" spans="1:12" x14ac:dyDescent="0.25">
      <c r="A11199" t="str">
        <f t="shared" si="1993"/>
        <v>89301000</v>
      </c>
      <c r="B11199" t="str">
        <f t="shared" si="2001"/>
        <v>72077000</v>
      </c>
      <c r="C11199" t="str">
        <f t="shared" si="2002"/>
        <v>72077001</v>
      </c>
      <c r="D11199">
        <v>89301152</v>
      </c>
      <c r="E11199" t="str">
        <f>"9152156167"</f>
        <v>9152156167</v>
      </c>
      <c r="F11199" s="1">
        <v>45191</v>
      </c>
      <c r="G11199" t="str">
        <f>"91175"</f>
        <v>91175</v>
      </c>
      <c r="H11199">
        <v>1</v>
      </c>
      <c r="I11199">
        <v>362</v>
      </c>
      <c r="J11199">
        <v>0</v>
      </c>
      <c r="K11199" t="str">
        <f t="shared" si="2003"/>
        <v>813</v>
      </c>
      <c r="L11199">
        <v>304.08</v>
      </c>
    </row>
    <row r="11200" spans="1:12" x14ac:dyDescent="0.25">
      <c r="A11200" t="str">
        <f t="shared" si="1993"/>
        <v>89301000</v>
      </c>
      <c r="B11200" t="str">
        <f t="shared" si="2001"/>
        <v>72077000</v>
      </c>
      <c r="C11200" t="str">
        <f t="shared" si="2002"/>
        <v>72077001</v>
      </c>
      <c r="D11200">
        <v>89301152</v>
      </c>
      <c r="E11200" t="str">
        <f>"9152156167"</f>
        <v>9152156167</v>
      </c>
      <c r="F11200" s="1">
        <v>45191</v>
      </c>
      <c r="G11200" t="str">
        <f>"91171"</f>
        <v>91171</v>
      </c>
      <c r="H11200">
        <v>1</v>
      </c>
      <c r="I11200">
        <v>362</v>
      </c>
      <c r="J11200">
        <v>0</v>
      </c>
      <c r="K11200" t="str">
        <f t="shared" si="2003"/>
        <v>813</v>
      </c>
      <c r="L11200">
        <v>304.08</v>
      </c>
    </row>
    <row r="11201" spans="1:12" x14ac:dyDescent="0.25">
      <c r="A11201" t="str">
        <f t="shared" si="1993"/>
        <v>89301000</v>
      </c>
      <c r="B11201" t="str">
        <f t="shared" si="2001"/>
        <v>72077000</v>
      </c>
      <c r="C11201" t="str">
        <f t="shared" si="2002"/>
        <v>72077001</v>
      </c>
      <c r="D11201">
        <v>89301152</v>
      </c>
      <c r="E11201" t="str">
        <f>"9152156167"</f>
        <v>9152156167</v>
      </c>
      <c r="F11201" s="1">
        <v>45196</v>
      </c>
      <c r="G11201" t="str">
        <f>"91577"</f>
        <v>91577</v>
      </c>
      <c r="H11201">
        <v>1</v>
      </c>
      <c r="I11201">
        <v>398</v>
      </c>
      <c r="J11201">
        <v>0</v>
      </c>
      <c r="K11201" t="str">
        <f t="shared" si="2003"/>
        <v>813</v>
      </c>
      <c r="L11201">
        <v>334.32</v>
      </c>
    </row>
    <row r="11202" spans="1:12" x14ac:dyDescent="0.25">
      <c r="A11202" t="str">
        <f t="shared" ref="A11202:A11265" si="2004">"89301000"</f>
        <v>89301000</v>
      </c>
      <c r="B11202" t="str">
        <f t="shared" si="2001"/>
        <v>72077000</v>
      </c>
      <c r="C11202" t="str">
        <f t="shared" si="2002"/>
        <v>72077001</v>
      </c>
      <c r="D11202">
        <v>89301152</v>
      </c>
      <c r="E11202" t="str">
        <f>"9054266166"</f>
        <v>9054266166</v>
      </c>
      <c r="F11202" s="1">
        <v>45191</v>
      </c>
      <c r="G11202" t="str">
        <f>"91175"</f>
        <v>91175</v>
      </c>
      <c r="H11202">
        <v>1</v>
      </c>
      <c r="I11202">
        <v>362</v>
      </c>
      <c r="J11202">
        <v>0</v>
      </c>
      <c r="K11202" t="str">
        <f t="shared" si="2003"/>
        <v>813</v>
      </c>
      <c r="L11202">
        <v>304.08</v>
      </c>
    </row>
    <row r="11203" spans="1:12" x14ac:dyDescent="0.25">
      <c r="A11203" t="str">
        <f t="shared" si="2004"/>
        <v>89301000</v>
      </c>
      <c r="B11203" t="str">
        <f t="shared" si="2001"/>
        <v>72077000</v>
      </c>
      <c r="C11203" t="str">
        <f t="shared" si="2002"/>
        <v>72077001</v>
      </c>
      <c r="D11203">
        <v>89301152</v>
      </c>
      <c r="E11203" t="str">
        <f>"9054266166"</f>
        <v>9054266166</v>
      </c>
      <c r="F11203" s="1">
        <v>45191</v>
      </c>
      <c r="G11203" t="str">
        <f>"91171"</f>
        <v>91171</v>
      </c>
      <c r="H11203">
        <v>1</v>
      </c>
      <c r="I11203">
        <v>362</v>
      </c>
      <c r="J11203">
        <v>0</v>
      </c>
      <c r="K11203" t="str">
        <f t="shared" si="2003"/>
        <v>813</v>
      </c>
      <c r="L11203">
        <v>304.08</v>
      </c>
    </row>
    <row r="11204" spans="1:12" x14ac:dyDescent="0.25">
      <c r="A11204" t="str">
        <f t="shared" si="2004"/>
        <v>89301000</v>
      </c>
      <c r="B11204" t="str">
        <f t="shared" si="2001"/>
        <v>72077000</v>
      </c>
      <c r="C11204" t="str">
        <f t="shared" si="2002"/>
        <v>72077001</v>
      </c>
      <c r="D11204">
        <v>89301152</v>
      </c>
      <c r="E11204" t="str">
        <f>"9751075917"</f>
        <v>9751075917</v>
      </c>
      <c r="F11204" s="1">
        <v>45173</v>
      </c>
      <c r="G11204" t="str">
        <f>"91485"</f>
        <v>91485</v>
      </c>
      <c r="H11204">
        <v>1</v>
      </c>
      <c r="I11204">
        <v>268</v>
      </c>
      <c r="J11204">
        <v>0</v>
      </c>
      <c r="K11204" t="str">
        <f t="shared" si="2003"/>
        <v>813</v>
      </c>
      <c r="L11204">
        <v>225.12</v>
      </c>
    </row>
    <row r="11205" spans="1:12" x14ac:dyDescent="0.25">
      <c r="A11205" t="str">
        <f t="shared" si="2004"/>
        <v>89301000</v>
      </c>
      <c r="B11205" t="str">
        <f t="shared" si="2001"/>
        <v>72077000</v>
      </c>
      <c r="C11205" t="str">
        <f t="shared" si="2002"/>
        <v>72077001</v>
      </c>
      <c r="D11205">
        <v>89301152</v>
      </c>
      <c r="E11205" t="str">
        <f>"8252204686"</f>
        <v>8252204686</v>
      </c>
      <c r="F11205" s="1">
        <v>45170</v>
      </c>
      <c r="G11205" t="str">
        <f>"91219"</f>
        <v>91219</v>
      </c>
      <c r="H11205">
        <v>1</v>
      </c>
      <c r="I11205">
        <v>343</v>
      </c>
      <c r="J11205">
        <v>0</v>
      </c>
      <c r="K11205" t="str">
        <f t="shared" si="2003"/>
        <v>813</v>
      </c>
      <c r="L11205">
        <v>288.12</v>
      </c>
    </row>
    <row r="11206" spans="1:12" x14ac:dyDescent="0.25">
      <c r="A11206" t="str">
        <f t="shared" si="2004"/>
        <v>89301000</v>
      </c>
      <c r="B11206" t="str">
        <f t="shared" si="2001"/>
        <v>72077000</v>
      </c>
      <c r="C11206" t="str">
        <f t="shared" si="2002"/>
        <v>72077001</v>
      </c>
      <c r="D11206">
        <v>89301152</v>
      </c>
      <c r="E11206" t="str">
        <f>"8252204686"</f>
        <v>8252204686</v>
      </c>
      <c r="F11206" s="1">
        <v>45170</v>
      </c>
      <c r="G11206" t="str">
        <f>"91219"</f>
        <v>91219</v>
      </c>
      <c r="H11206">
        <v>1</v>
      </c>
      <c r="I11206">
        <v>343</v>
      </c>
      <c r="J11206">
        <v>0</v>
      </c>
      <c r="K11206" t="str">
        <f t="shared" si="2003"/>
        <v>813</v>
      </c>
      <c r="L11206">
        <v>288.12</v>
      </c>
    </row>
    <row r="11207" spans="1:12" x14ac:dyDescent="0.25">
      <c r="A11207" t="str">
        <f t="shared" si="2004"/>
        <v>89301000</v>
      </c>
      <c r="B11207" t="str">
        <f t="shared" si="2001"/>
        <v>72077000</v>
      </c>
      <c r="C11207" t="str">
        <f t="shared" si="2002"/>
        <v>72077001</v>
      </c>
      <c r="D11207">
        <v>89301152</v>
      </c>
      <c r="E11207" t="str">
        <f>"8252204686"</f>
        <v>8252204686</v>
      </c>
      <c r="F11207" s="1">
        <v>45170</v>
      </c>
      <c r="G11207" t="str">
        <f>"91219"</f>
        <v>91219</v>
      </c>
      <c r="H11207">
        <v>1</v>
      </c>
      <c r="I11207">
        <v>343</v>
      </c>
      <c r="J11207">
        <v>0</v>
      </c>
      <c r="K11207" t="str">
        <f t="shared" si="2003"/>
        <v>813</v>
      </c>
      <c r="L11207">
        <v>288.12</v>
      </c>
    </row>
    <row r="11208" spans="1:12" x14ac:dyDescent="0.25">
      <c r="A11208" t="str">
        <f t="shared" si="2004"/>
        <v>89301000</v>
      </c>
      <c r="B11208" t="str">
        <f t="shared" si="2001"/>
        <v>72077000</v>
      </c>
      <c r="C11208" t="str">
        <f t="shared" si="2002"/>
        <v>72077001</v>
      </c>
      <c r="D11208">
        <v>89301152</v>
      </c>
      <c r="E11208" t="str">
        <f>"8252204686"</f>
        <v>8252204686</v>
      </c>
      <c r="F11208" s="1">
        <v>45170</v>
      </c>
      <c r="G11208" t="str">
        <f>"91219"</f>
        <v>91219</v>
      </c>
      <c r="H11208">
        <v>1</v>
      </c>
      <c r="I11208">
        <v>343</v>
      </c>
      <c r="J11208">
        <v>0</v>
      </c>
      <c r="K11208" t="str">
        <f t="shared" si="2003"/>
        <v>813</v>
      </c>
      <c r="L11208">
        <v>288.12</v>
      </c>
    </row>
    <row r="11209" spans="1:12" x14ac:dyDescent="0.25">
      <c r="A11209" t="str">
        <f t="shared" si="2004"/>
        <v>89301000</v>
      </c>
      <c r="B11209" t="str">
        <f t="shared" si="2001"/>
        <v>72077000</v>
      </c>
      <c r="C11209" t="str">
        <f t="shared" si="2002"/>
        <v>72077001</v>
      </c>
      <c r="D11209">
        <v>89301152</v>
      </c>
      <c r="E11209" t="str">
        <f>"8252204686"</f>
        <v>8252204686</v>
      </c>
      <c r="F11209" s="1">
        <v>45170</v>
      </c>
      <c r="G11209" t="str">
        <f>"91219"</f>
        <v>91219</v>
      </c>
      <c r="H11209">
        <v>1</v>
      </c>
      <c r="I11209">
        <v>343</v>
      </c>
      <c r="J11209">
        <v>0</v>
      </c>
      <c r="K11209" t="str">
        <f t="shared" si="2003"/>
        <v>813</v>
      </c>
      <c r="L11209">
        <v>288.12</v>
      </c>
    </row>
    <row r="11210" spans="1:12" x14ac:dyDescent="0.25">
      <c r="A11210" t="str">
        <f t="shared" si="2004"/>
        <v>89301000</v>
      </c>
      <c r="B11210" t="str">
        <f t="shared" si="2001"/>
        <v>72077000</v>
      </c>
      <c r="C11210" t="str">
        <f t="shared" si="2002"/>
        <v>72077001</v>
      </c>
      <c r="D11210">
        <v>89301152</v>
      </c>
      <c r="E11210" t="str">
        <f>"7153025726"</f>
        <v>7153025726</v>
      </c>
      <c r="F11210" s="1">
        <v>45170</v>
      </c>
      <c r="G11210" t="str">
        <f>"91197"</f>
        <v>91197</v>
      </c>
      <c r="H11210">
        <v>1</v>
      </c>
      <c r="I11210">
        <v>1048</v>
      </c>
      <c r="J11210">
        <v>0</v>
      </c>
      <c r="K11210" t="str">
        <f t="shared" si="2003"/>
        <v>813</v>
      </c>
      <c r="L11210">
        <v>880.32</v>
      </c>
    </row>
    <row r="11211" spans="1:12" x14ac:dyDescent="0.25">
      <c r="A11211" t="str">
        <f t="shared" si="2004"/>
        <v>89301000</v>
      </c>
      <c r="B11211" t="str">
        <f t="shared" si="2001"/>
        <v>72077000</v>
      </c>
      <c r="C11211" t="str">
        <f t="shared" si="2002"/>
        <v>72077001</v>
      </c>
      <c r="D11211">
        <v>89301152</v>
      </c>
      <c r="E11211" t="str">
        <f>"7153025726"</f>
        <v>7153025726</v>
      </c>
      <c r="F11211" s="1">
        <v>45174</v>
      </c>
      <c r="G11211" t="str">
        <f>"91465"</f>
        <v>91465</v>
      </c>
      <c r="H11211">
        <v>1</v>
      </c>
      <c r="I11211">
        <v>1412</v>
      </c>
      <c r="J11211">
        <v>0</v>
      </c>
      <c r="K11211" t="str">
        <f t="shared" si="2003"/>
        <v>813</v>
      </c>
      <c r="L11211">
        <v>1186.08</v>
      </c>
    </row>
    <row r="11212" spans="1:12" x14ac:dyDescent="0.25">
      <c r="A11212" t="str">
        <f t="shared" si="2004"/>
        <v>89301000</v>
      </c>
      <c r="B11212" t="str">
        <f t="shared" si="2001"/>
        <v>72077000</v>
      </c>
      <c r="C11212" t="str">
        <f t="shared" si="2002"/>
        <v>72077001</v>
      </c>
      <c r="D11212">
        <v>89301152</v>
      </c>
      <c r="E11212" t="str">
        <f>"9752285532"</f>
        <v>9752285532</v>
      </c>
      <c r="F11212" s="1">
        <v>45170</v>
      </c>
      <c r="G11212" t="str">
        <f>"91197"</f>
        <v>91197</v>
      </c>
      <c r="H11212">
        <v>1</v>
      </c>
      <c r="I11212">
        <v>1048</v>
      </c>
      <c r="J11212">
        <v>0</v>
      </c>
      <c r="K11212" t="str">
        <f t="shared" si="2003"/>
        <v>813</v>
      </c>
      <c r="L11212">
        <v>880.32</v>
      </c>
    </row>
    <row r="11213" spans="1:12" x14ac:dyDescent="0.25">
      <c r="A11213" t="str">
        <f t="shared" si="2004"/>
        <v>89301000</v>
      </c>
      <c r="B11213" t="str">
        <f t="shared" si="2001"/>
        <v>72077000</v>
      </c>
      <c r="C11213" t="str">
        <f t="shared" si="2002"/>
        <v>72077001</v>
      </c>
      <c r="D11213">
        <v>89301152</v>
      </c>
      <c r="E11213" t="str">
        <f>"9752285532"</f>
        <v>9752285532</v>
      </c>
      <c r="F11213" s="1">
        <v>45176</v>
      </c>
      <c r="G11213" t="str">
        <f>"91465"</f>
        <v>91465</v>
      </c>
      <c r="H11213">
        <v>1</v>
      </c>
      <c r="I11213">
        <v>1412</v>
      </c>
      <c r="J11213">
        <v>0</v>
      </c>
      <c r="K11213" t="str">
        <f t="shared" si="2003"/>
        <v>813</v>
      </c>
      <c r="L11213">
        <v>1186.08</v>
      </c>
    </row>
    <row r="11214" spans="1:12" x14ac:dyDescent="0.25">
      <c r="A11214" t="str">
        <f t="shared" si="2004"/>
        <v>89301000</v>
      </c>
      <c r="B11214" t="str">
        <f t="shared" si="2001"/>
        <v>72077000</v>
      </c>
      <c r="C11214" t="str">
        <f t="shared" si="2002"/>
        <v>72077001</v>
      </c>
      <c r="D11214">
        <v>89301152</v>
      </c>
      <c r="E11214" t="str">
        <f>"7004255313"</f>
        <v>7004255313</v>
      </c>
      <c r="F11214" s="1">
        <v>45170</v>
      </c>
      <c r="G11214" t="str">
        <f>"91197"</f>
        <v>91197</v>
      </c>
      <c r="H11214">
        <v>1</v>
      </c>
      <c r="I11214">
        <v>1048</v>
      </c>
      <c r="J11214">
        <v>0</v>
      </c>
      <c r="K11214" t="str">
        <f t="shared" si="2003"/>
        <v>813</v>
      </c>
      <c r="L11214">
        <v>880.32</v>
      </c>
    </row>
    <row r="11215" spans="1:12" x14ac:dyDescent="0.25">
      <c r="A11215" t="str">
        <f t="shared" si="2004"/>
        <v>89301000</v>
      </c>
      <c r="B11215" t="str">
        <f t="shared" si="2001"/>
        <v>72077000</v>
      </c>
      <c r="C11215" t="str">
        <f t="shared" si="2002"/>
        <v>72077001</v>
      </c>
      <c r="D11215">
        <v>89301152</v>
      </c>
      <c r="E11215" t="str">
        <f>"7004255313"</f>
        <v>7004255313</v>
      </c>
      <c r="F11215" s="1">
        <v>45174</v>
      </c>
      <c r="G11215" t="str">
        <f>"91465"</f>
        <v>91465</v>
      </c>
      <c r="H11215">
        <v>1</v>
      </c>
      <c r="I11215">
        <v>1412</v>
      </c>
      <c r="J11215">
        <v>0</v>
      </c>
      <c r="K11215" t="str">
        <f t="shared" si="2003"/>
        <v>813</v>
      </c>
      <c r="L11215">
        <v>1186.08</v>
      </c>
    </row>
    <row r="11216" spans="1:12" x14ac:dyDescent="0.25">
      <c r="A11216" t="str">
        <f t="shared" si="2004"/>
        <v>89301000</v>
      </c>
      <c r="B11216" t="str">
        <f t="shared" si="2001"/>
        <v>72077000</v>
      </c>
      <c r="C11216" t="str">
        <f t="shared" si="2002"/>
        <v>72077001</v>
      </c>
      <c r="D11216">
        <v>89301152</v>
      </c>
      <c r="E11216" t="str">
        <f>"7004255313"</f>
        <v>7004255313</v>
      </c>
      <c r="F11216" s="1">
        <v>45174</v>
      </c>
      <c r="G11216" t="str">
        <f>"91219"</f>
        <v>91219</v>
      </c>
      <c r="H11216">
        <v>1</v>
      </c>
      <c r="I11216">
        <v>343</v>
      </c>
      <c r="J11216">
        <v>0</v>
      </c>
      <c r="K11216" t="str">
        <f t="shared" si="2003"/>
        <v>813</v>
      </c>
      <c r="L11216">
        <v>288.12</v>
      </c>
    </row>
    <row r="11217" spans="1:12" x14ac:dyDescent="0.25">
      <c r="A11217" t="str">
        <f t="shared" si="2004"/>
        <v>89301000</v>
      </c>
      <c r="B11217" t="str">
        <f t="shared" si="2001"/>
        <v>72077000</v>
      </c>
      <c r="C11217" t="str">
        <f t="shared" si="2002"/>
        <v>72077001</v>
      </c>
      <c r="D11217">
        <v>89301152</v>
      </c>
      <c r="E11217" t="str">
        <f>"7004255313"</f>
        <v>7004255313</v>
      </c>
      <c r="F11217" s="1">
        <v>45174</v>
      </c>
      <c r="G11217" t="str">
        <f>"91219"</f>
        <v>91219</v>
      </c>
      <c r="H11217">
        <v>1</v>
      </c>
      <c r="I11217">
        <v>343</v>
      </c>
      <c r="J11217">
        <v>0</v>
      </c>
      <c r="K11217" t="str">
        <f t="shared" si="2003"/>
        <v>813</v>
      </c>
      <c r="L11217">
        <v>288.12</v>
      </c>
    </row>
    <row r="11218" spans="1:12" x14ac:dyDescent="0.25">
      <c r="A11218" t="str">
        <f t="shared" si="2004"/>
        <v>89301000</v>
      </c>
      <c r="B11218" t="str">
        <f t="shared" si="2001"/>
        <v>72077000</v>
      </c>
      <c r="C11218" t="str">
        <f t="shared" si="2002"/>
        <v>72077001</v>
      </c>
      <c r="D11218">
        <v>89301152</v>
      </c>
      <c r="E11218" t="str">
        <f>"7004255313"</f>
        <v>7004255313</v>
      </c>
      <c r="F11218" s="1">
        <v>45174</v>
      </c>
      <c r="G11218" t="str">
        <f>"91219"</f>
        <v>91219</v>
      </c>
      <c r="H11218">
        <v>1</v>
      </c>
      <c r="I11218">
        <v>343</v>
      </c>
      <c r="J11218">
        <v>0</v>
      </c>
      <c r="K11218" t="str">
        <f t="shared" si="2003"/>
        <v>813</v>
      </c>
      <c r="L11218">
        <v>288.12</v>
      </c>
    </row>
    <row r="11219" spans="1:12" x14ac:dyDescent="0.25">
      <c r="A11219" t="str">
        <f t="shared" si="2004"/>
        <v>89301000</v>
      </c>
      <c r="B11219" t="str">
        <f t="shared" si="2001"/>
        <v>72077000</v>
      </c>
      <c r="C11219" t="str">
        <f t="shared" si="2002"/>
        <v>72077001</v>
      </c>
      <c r="D11219">
        <v>89301152</v>
      </c>
      <c r="E11219" t="str">
        <f>"8662105441"</f>
        <v>8662105441</v>
      </c>
      <c r="F11219" s="1">
        <v>45176</v>
      </c>
      <c r="G11219" t="str">
        <f>"91197"</f>
        <v>91197</v>
      </c>
      <c r="H11219">
        <v>1</v>
      </c>
      <c r="I11219">
        <v>1048</v>
      </c>
      <c r="J11219">
        <v>0</v>
      </c>
      <c r="K11219" t="str">
        <f t="shared" si="2003"/>
        <v>813</v>
      </c>
      <c r="L11219">
        <v>880.32</v>
      </c>
    </row>
    <row r="11220" spans="1:12" x14ac:dyDescent="0.25">
      <c r="A11220" t="str">
        <f t="shared" si="2004"/>
        <v>89301000</v>
      </c>
      <c r="B11220" t="str">
        <f t="shared" si="2001"/>
        <v>72077000</v>
      </c>
      <c r="C11220" t="str">
        <f t="shared" si="2002"/>
        <v>72077001</v>
      </c>
      <c r="D11220">
        <v>89301152</v>
      </c>
      <c r="E11220" t="str">
        <f>"8662105441"</f>
        <v>8662105441</v>
      </c>
      <c r="F11220" s="1">
        <v>45176</v>
      </c>
      <c r="G11220" t="str">
        <f>"91465"</f>
        <v>91465</v>
      </c>
      <c r="H11220">
        <v>1</v>
      </c>
      <c r="I11220">
        <v>1412</v>
      </c>
      <c r="J11220">
        <v>0</v>
      </c>
      <c r="K11220" t="str">
        <f t="shared" si="2003"/>
        <v>813</v>
      </c>
      <c r="L11220">
        <v>1186.08</v>
      </c>
    </row>
    <row r="11221" spans="1:12" x14ac:dyDescent="0.25">
      <c r="A11221" t="str">
        <f t="shared" si="2004"/>
        <v>89301000</v>
      </c>
      <c r="B11221" t="str">
        <f t="shared" si="2001"/>
        <v>72077000</v>
      </c>
      <c r="C11221" t="str">
        <f t="shared" si="2002"/>
        <v>72077001</v>
      </c>
      <c r="D11221">
        <v>89301152</v>
      </c>
      <c r="E11221" t="str">
        <f>"7356085330"</f>
        <v>7356085330</v>
      </c>
      <c r="F11221" s="1">
        <v>45182</v>
      </c>
      <c r="G11221" t="str">
        <f>"91485"</f>
        <v>91485</v>
      </c>
      <c r="H11221">
        <v>1</v>
      </c>
      <c r="I11221">
        <v>268</v>
      </c>
      <c r="J11221">
        <v>0</v>
      </c>
      <c r="K11221" t="str">
        <f t="shared" si="2003"/>
        <v>813</v>
      </c>
      <c r="L11221">
        <v>225.12</v>
      </c>
    </row>
    <row r="11222" spans="1:12" x14ac:dyDescent="0.25">
      <c r="A11222" t="str">
        <f t="shared" si="2004"/>
        <v>89301000</v>
      </c>
      <c r="B11222" t="str">
        <f t="shared" si="2001"/>
        <v>72077000</v>
      </c>
      <c r="C11222" t="str">
        <f t="shared" si="2002"/>
        <v>72077001</v>
      </c>
      <c r="D11222">
        <v>89301152</v>
      </c>
      <c r="E11222" t="str">
        <f>"7356085330"</f>
        <v>7356085330</v>
      </c>
      <c r="F11222" s="1">
        <v>45182</v>
      </c>
      <c r="G11222" t="str">
        <f>"91359"</f>
        <v>91359</v>
      </c>
      <c r="H11222">
        <v>1</v>
      </c>
      <c r="I11222">
        <v>205</v>
      </c>
      <c r="J11222">
        <v>0</v>
      </c>
      <c r="K11222" t="str">
        <f t="shared" si="2003"/>
        <v>813</v>
      </c>
      <c r="L11222">
        <v>172.2</v>
      </c>
    </row>
    <row r="11223" spans="1:12" x14ac:dyDescent="0.25">
      <c r="A11223" t="str">
        <f t="shared" si="2004"/>
        <v>89301000</v>
      </c>
      <c r="B11223" t="str">
        <f t="shared" si="2001"/>
        <v>72077000</v>
      </c>
      <c r="C11223" t="str">
        <f t="shared" si="2002"/>
        <v>72077001</v>
      </c>
      <c r="D11223">
        <v>89301152</v>
      </c>
      <c r="E11223" t="str">
        <f>"7356085330"</f>
        <v>7356085330</v>
      </c>
      <c r="F11223" s="1">
        <v>45182</v>
      </c>
      <c r="G11223" t="str">
        <f>"91361"</f>
        <v>91361</v>
      </c>
      <c r="H11223">
        <v>1</v>
      </c>
      <c r="I11223">
        <v>444</v>
      </c>
      <c r="J11223">
        <v>0</v>
      </c>
      <c r="K11223" t="str">
        <f t="shared" si="2003"/>
        <v>813</v>
      </c>
      <c r="L11223">
        <v>372.96</v>
      </c>
    </row>
    <row r="11224" spans="1:12" x14ac:dyDescent="0.25">
      <c r="A11224" t="str">
        <f t="shared" si="2004"/>
        <v>89301000</v>
      </c>
      <c r="B11224" t="str">
        <f t="shared" ref="B11224:B11255" si="2005">"72077000"</f>
        <v>72077000</v>
      </c>
      <c r="C11224" t="str">
        <f t="shared" ref="C11224:C11255" si="2006">"72077001"</f>
        <v>72077001</v>
      </c>
      <c r="D11224">
        <v>89301152</v>
      </c>
      <c r="E11224" t="str">
        <f>"7356085330"</f>
        <v>7356085330</v>
      </c>
      <c r="F11224" s="1">
        <v>45182</v>
      </c>
      <c r="G11224" t="str">
        <f>"91577"</f>
        <v>91577</v>
      </c>
      <c r="H11224">
        <v>1</v>
      </c>
      <c r="I11224">
        <v>398</v>
      </c>
      <c r="J11224">
        <v>0</v>
      </c>
      <c r="K11224" t="str">
        <f t="shared" ref="K11224:K11255" si="2007">"813"</f>
        <v>813</v>
      </c>
      <c r="L11224">
        <v>334.32</v>
      </c>
    </row>
    <row r="11225" spans="1:12" x14ac:dyDescent="0.25">
      <c r="A11225" t="str">
        <f t="shared" si="2004"/>
        <v>89301000</v>
      </c>
      <c r="B11225" t="str">
        <f t="shared" si="2005"/>
        <v>72077000</v>
      </c>
      <c r="C11225" t="str">
        <f t="shared" si="2006"/>
        <v>72077001</v>
      </c>
      <c r="D11225">
        <v>89301152</v>
      </c>
      <c r="E11225" t="str">
        <f>"5557191024"</f>
        <v>5557191024</v>
      </c>
      <c r="F11225" s="1">
        <v>45184</v>
      </c>
      <c r="G11225" t="str">
        <f>"91219"</f>
        <v>91219</v>
      </c>
      <c r="H11225">
        <v>1</v>
      </c>
      <c r="I11225">
        <v>343</v>
      </c>
      <c r="J11225">
        <v>0</v>
      </c>
      <c r="K11225" t="str">
        <f t="shared" si="2007"/>
        <v>813</v>
      </c>
      <c r="L11225">
        <v>288.12</v>
      </c>
    </row>
    <row r="11226" spans="1:12" x14ac:dyDescent="0.25">
      <c r="A11226" t="str">
        <f t="shared" si="2004"/>
        <v>89301000</v>
      </c>
      <c r="B11226" t="str">
        <f t="shared" si="2005"/>
        <v>72077000</v>
      </c>
      <c r="C11226" t="str">
        <f t="shared" si="2006"/>
        <v>72077001</v>
      </c>
      <c r="D11226">
        <v>89301152</v>
      </c>
      <c r="E11226" t="str">
        <f>"5557191024"</f>
        <v>5557191024</v>
      </c>
      <c r="F11226" s="1">
        <v>45184</v>
      </c>
      <c r="G11226" t="str">
        <f>"91219"</f>
        <v>91219</v>
      </c>
      <c r="H11226">
        <v>1</v>
      </c>
      <c r="I11226">
        <v>343</v>
      </c>
      <c r="J11226">
        <v>0</v>
      </c>
      <c r="K11226" t="str">
        <f t="shared" si="2007"/>
        <v>813</v>
      </c>
      <c r="L11226">
        <v>288.12</v>
      </c>
    </row>
    <row r="11227" spans="1:12" x14ac:dyDescent="0.25">
      <c r="A11227" t="str">
        <f t="shared" si="2004"/>
        <v>89301000</v>
      </c>
      <c r="B11227" t="str">
        <f t="shared" si="2005"/>
        <v>72077000</v>
      </c>
      <c r="C11227" t="str">
        <f t="shared" si="2006"/>
        <v>72077001</v>
      </c>
      <c r="D11227">
        <v>89301152</v>
      </c>
      <c r="E11227" t="str">
        <f>"9857044472"</f>
        <v>9857044472</v>
      </c>
      <c r="F11227" s="1">
        <v>45182</v>
      </c>
      <c r="G11227" t="str">
        <f>"91485"</f>
        <v>91485</v>
      </c>
      <c r="H11227">
        <v>1</v>
      </c>
      <c r="I11227">
        <v>268</v>
      </c>
      <c r="J11227">
        <v>0</v>
      </c>
      <c r="K11227" t="str">
        <f t="shared" si="2007"/>
        <v>813</v>
      </c>
      <c r="L11227">
        <v>225.12</v>
      </c>
    </row>
    <row r="11228" spans="1:12" x14ac:dyDescent="0.25">
      <c r="A11228" t="str">
        <f t="shared" si="2004"/>
        <v>89301000</v>
      </c>
      <c r="B11228" t="str">
        <f t="shared" si="2005"/>
        <v>72077000</v>
      </c>
      <c r="C11228" t="str">
        <f t="shared" si="2006"/>
        <v>72077001</v>
      </c>
      <c r="D11228">
        <v>89301152</v>
      </c>
      <c r="E11228" t="str">
        <f>"9857044472"</f>
        <v>9857044472</v>
      </c>
      <c r="F11228" s="1">
        <v>45182</v>
      </c>
      <c r="G11228" t="str">
        <f>"91359"</f>
        <v>91359</v>
      </c>
      <c r="H11228">
        <v>1</v>
      </c>
      <c r="I11228">
        <v>205</v>
      </c>
      <c r="J11228">
        <v>0</v>
      </c>
      <c r="K11228" t="str">
        <f t="shared" si="2007"/>
        <v>813</v>
      </c>
      <c r="L11228">
        <v>172.2</v>
      </c>
    </row>
    <row r="11229" spans="1:12" x14ac:dyDescent="0.25">
      <c r="A11229" t="str">
        <f t="shared" si="2004"/>
        <v>89301000</v>
      </c>
      <c r="B11229" t="str">
        <f t="shared" si="2005"/>
        <v>72077000</v>
      </c>
      <c r="C11229" t="str">
        <f t="shared" si="2006"/>
        <v>72077001</v>
      </c>
      <c r="D11229">
        <v>89301152</v>
      </c>
      <c r="E11229" t="str">
        <f>"9857044472"</f>
        <v>9857044472</v>
      </c>
      <c r="F11229" s="1">
        <v>45182</v>
      </c>
      <c r="G11229" t="str">
        <f>"91361"</f>
        <v>91361</v>
      </c>
      <c r="H11229">
        <v>1</v>
      </c>
      <c r="I11229">
        <v>444</v>
      </c>
      <c r="J11229">
        <v>0</v>
      </c>
      <c r="K11229" t="str">
        <f t="shared" si="2007"/>
        <v>813</v>
      </c>
      <c r="L11229">
        <v>372.96</v>
      </c>
    </row>
    <row r="11230" spans="1:12" x14ac:dyDescent="0.25">
      <c r="A11230" t="str">
        <f t="shared" si="2004"/>
        <v>89301000</v>
      </c>
      <c r="B11230" t="str">
        <f t="shared" si="2005"/>
        <v>72077000</v>
      </c>
      <c r="C11230" t="str">
        <f t="shared" si="2006"/>
        <v>72077001</v>
      </c>
      <c r="D11230">
        <v>89301152</v>
      </c>
      <c r="E11230" t="str">
        <f>"9857044472"</f>
        <v>9857044472</v>
      </c>
      <c r="F11230" s="1">
        <v>45182</v>
      </c>
      <c r="G11230" t="str">
        <f>"91577"</f>
        <v>91577</v>
      </c>
      <c r="H11230">
        <v>1</v>
      </c>
      <c r="I11230">
        <v>398</v>
      </c>
      <c r="J11230">
        <v>0</v>
      </c>
      <c r="K11230" t="str">
        <f t="shared" si="2007"/>
        <v>813</v>
      </c>
      <c r="L11230">
        <v>334.32</v>
      </c>
    </row>
    <row r="11231" spans="1:12" x14ac:dyDescent="0.25">
      <c r="A11231" t="str">
        <f t="shared" si="2004"/>
        <v>89301000</v>
      </c>
      <c r="B11231" t="str">
        <f t="shared" si="2005"/>
        <v>72077000</v>
      </c>
      <c r="C11231" t="str">
        <f t="shared" si="2006"/>
        <v>72077001</v>
      </c>
      <c r="D11231">
        <v>89301152</v>
      </c>
      <c r="E11231" t="str">
        <f>"6304081058"</f>
        <v>6304081058</v>
      </c>
      <c r="F11231" s="1">
        <v>45181</v>
      </c>
      <c r="G11231" t="str">
        <f>"91213"</f>
        <v>91213</v>
      </c>
      <c r="H11231">
        <v>2</v>
      </c>
      <c r="I11231">
        <v>696</v>
      </c>
      <c r="J11231">
        <v>0</v>
      </c>
      <c r="K11231" t="str">
        <f t="shared" si="2007"/>
        <v>813</v>
      </c>
      <c r="L11231">
        <v>584.64</v>
      </c>
    </row>
    <row r="11232" spans="1:12" x14ac:dyDescent="0.25">
      <c r="A11232" t="str">
        <f t="shared" si="2004"/>
        <v>89301000</v>
      </c>
      <c r="B11232" t="str">
        <f t="shared" si="2005"/>
        <v>72077000</v>
      </c>
      <c r="C11232" t="str">
        <f t="shared" si="2006"/>
        <v>72077001</v>
      </c>
      <c r="D11232">
        <v>89301152</v>
      </c>
      <c r="E11232" t="str">
        <f>"6304081058"</f>
        <v>6304081058</v>
      </c>
      <c r="F11232" s="1">
        <v>45184</v>
      </c>
      <c r="G11232" t="str">
        <f>"91213"</f>
        <v>91213</v>
      </c>
      <c r="H11232">
        <v>1</v>
      </c>
      <c r="I11232">
        <v>348</v>
      </c>
      <c r="J11232">
        <v>0</v>
      </c>
      <c r="K11232" t="str">
        <f t="shared" si="2007"/>
        <v>813</v>
      </c>
      <c r="L11232">
        <v>292.32</v>
      </c>
    </row>
    <row r="11233" spans="1:12" x14ac:dyDescent="0.25">
      <c r="A11233" t="str">
        <f t="shared" si="2004"/>
        <v>89301000</v>
      </c>
      <c r="B11233" t="str">
        <f t="shared" si="2005"/>
        <v>72077000</v>
      </c>
      <c r="C11233" t="str">
        <f t="shared" si="2006"/>
        <v>72077001</v>
      </c>
      <c r="D11233">
        <v>89301152</v>
      </c>
      <c r="E11233" t="str">
        <f>"6304081058"</f>
        <v>6304081058</v>
      </c>
      <c r="F11233" s="1">
        <v>45184</v>
      </c>
      <c r="G11233" t="str">
        <f>"91219"</f>
        <v>91219</v>
      </c>
      <c r="H11233">
        <v>9</v>
      </c>
      <c r="I11233">
        <v>3087</v>
      </c>
      <c r="J11233">
        <v>0</v>
      </c>
      <c r="K11233" t="str">
        <f t="shared" si="2007"/>
        <v>813</v>
      </c>
      <c r="L11233">
        <v>2593.08</v>
      </c>
    </row>
    <row r="11234" spans="1:12" x14ac:dyDescent="0.25">
      <c r="A11234" t="str">
        <f t="shared" si="2004"/>
        <v>89301000</v>
      </c>
      <c r="B11234" t="str">
        <f t="shared" si="2005"/>
        <v>72077000</v>
      </c>
      <c r="C11234" t="str">
        <f t="shared" si="2006"/>
        <v>72077001</v>
      </c>
      <c r="D11234">
        <v>89301107</v>
      </c>
      <c r="E11234" t="str">
        <f>"2107120554"</f>
        <v>2107120554</v>
      </c>
      <c r="F11234" s="1">
        <v>45182</v>
      </c>
      <c r="G11234" t="str">
        <f>"91171"</f>
        <v>91171</v>
      </c>
      <c r="H11234">
        <v>1</v>
      </c>
      <c r="I11234">
        <v>362</v>
      </c>
      <c r="J11234">
        <v>0</v>
      </c>
      <c r="K11234" t="str">
        <f t="shared" si="2007"/>
        <v>813</v>
      </c>
      <c r="L11234">
        <v>304.08</v>
      </c>
    </row>
    <row r="11235" spans="1:12" x14ac:dyDescent="0.25">
      <c r="A11235" t="str">
        <f t="shared" si="2004"/>
        <v>89301000</v>
      </c>
      <c r="B11235" t="str">
        <f t="shared" si="2005"/>
        <v>72077000</v>
      </c>
      <c r="C11235" t="str">
        <f t="shared" si="2006"/>
        <v>72077001</v>
      </c>
      <c r="D11235">
        <v>89301107</v>
      </c>
      <c r="E11235" t="str">
        <f>"2107120554"</f>
        <v>2107120554</v>
      </c>
      <c r="F11235" s="1">
        <v>45182</v>
      </c>
      <c r="G11235" t="str">
        <f>"91171"</f>
        <v>91171</v>
      </c>
      <c r="H11235">
        <v>1</v>
      </c>
      <c r="I11235">
        <v>362</v>
      </c>
      <c r="J11235">
        <v>0</v>
      </c>
      <c r="K11235" t="str">
        <f t="shared" si="2007"/>
        <v>813</v>
      </c>
      <c r="L11235">
        <v>304.08</v>
      </c>
    </row>
    <row r="11236" spans="1:12" x14ac:dyDescent="0.25">
      <c r="A11236" t="str">
        <f t="shared" si="2004"/>
        <v>89301000</v>
      </c>
      <c r="B11236" t="str">
        <f t="shared" si="2005"/>
        <v>72077000</v>
      </c>
      <c r="C11236" t="str">
        <f t="shared" si="2006"/>
        <v>72077001</v>
      </c>
      <c r="D11236">
        <v>89301152</v>
      </c>
      <c r="E11236" t="str">
        <f>"8858175788"</f>
        <v>8858175788</v>
      </c>
      <c r="F11236" s="1">
        <v>45184</v>
      </c>
      <c r="G11236" t="str">
        <f>"91485"</f>
        <v>91485</v>
      </c>
      <c r="H11236">
        <v>1</v>
      </c>
      <c r="I11236">
        <v>268</v>
      </c>
      <c r="J11236">
        <v>0</v>
      </c>
      <c r="K11236" t="str">
        <f t="shared" si="2007"/>
        <v>813</v>
      </c>
      <c r="L11236">
        <v>225.12</v>
      </c>
    </row>
    <row r="11237" spans="1:12" x14ac:dyDescent="0.25">
      <c r="A11237" t="str">
        <f t="shared" si="2004"/>
        <v>89301000</v>
      </c>
      <c r="B11237" t="str">
        <f t="shared" si="2005"/>
        <v>72077000</v>
      </c>
      <c r="C11237" t="str">
        <f t="shared" si="2006"/>
        <v>72077001</v>
      </c>
      <c r="D11237">
        <v>89301152</v>
      </c>
      <c r="E11237" t="str">
        <f>"8858175788"</f>
        <v>8858175788</v>
      </c>
      <c r="F11237" s="1">
        <v>45189</v>
      </c>
      <c r="G11237" t="str">
        <f>"91359"</f>
        <v>91359</v>
      </c>
      <c r="H11237">
        <v>1</v>
      </c>
      <c r="I11237">
        <v>205</v>
      </c>
      <c r="J11237">
        <v>0</v>
      </c>
      <c r="K11237" t="str">
        <f t="shared" si="2007"/>
        <v>813</v>
      </c>
      <c r="L11237">
        <v>172.2</v>
      </c>
    </row>
    <row r="11238" spans="1:12" x14ac:dyDescent="0.25">
      <c r="A11238" t="str">
        <f t="shared" si="2004"/>
        <v>89301000</v>
      </c>
      <c r="B11238" t="str">
        <f t="shared" si="2005"/>
        <v>72077000</v>
      </c>
      <c r="C11238" t="str">
        <f t="shared" si="2006"/>
        <v>72077001</v>
      </c>
      <c r="D11238">
        <v>89301152</v>
      </c>
      <c r="E11238" t="str">
        <f>"8858175788"</f>
        <v>8858175788</v>
      </c>
      <c r="F11238" s="1">
        <v>45189</v>
      </c>
      <c r="G11238" t="str">
        <f>"91361"</f>
        <v>91361</v>
      </c>
      <c r="H11238">
        <v>1</v>
      </c>
      <c r="I11238">
        <v>444</v>
      </c>
      <c r="J11238">
        <v>0</v>
      </c>
      <c r="K11238" t="str">
        <f t="shared" si="2007"/>
        <v>813</v>
      </c>
      <c r="L11238">
        <v>372.96</v>
      </c>
    </row>
    <row r="11239" spans="1:12" x14ac:dyDescent="0.25">
      <c r="A11239" t="str">
        <f t="shared" si="2004"/>
        <v>89301000</v>
      </c>
      <c r="B11239" t="str">
        <f t="shared" si="2005"/>
        <v>72077000</v>
      </c>
      <c r="C11239" t="str">
        <f t="shared" si="2006"/>
        <v>72077001</v>
      </c>
      <c r="D11239">
        <v>89301152</v>
      </c>
      <c r="E11239" t="str">
        <f>"8858175788"</f>
        <v>8858175788</v>
      </c>
      <c r="F11239" s="1">
        <v>45189</v>
      </c>
      <c r="G11239" t="str">
        <f>"91577"</f>
        <v>91577</v>
      </c>
      <c r="H11239">
        <v>1</v>
      </c>
      <c r="I11239">
        <v>398</v>
      </c>
      <c r="J11239">
        <v>0</v>
      </c>
      <c r="K11239" t="str">
        <f t="shared" si="2007"/>
        <v>813</v>
      </c>
      <c r="L11239">
        <v>334.32</v>
      </c>
    </row>
    <row r="11240" spans="1:12" x14ac:dyDescent="0.25">
      <c r="A11240" t="str">
        <f t="shared" si="2004"/>
        <v>89301000</v>
      </c>
      <c r="B11240" t="str">
        <f t="shared" si="2005"/>
        <v>72077000</v>
      </c>
      <c r="C11240" t="str">
        <f t="shared" si="2006"/>
        <v>72077001</v>
      </c>
      <c r="D11240">
        <v>89301152</v>
      </c>
      <c r="E11240" t="str">
        <f>"7858025582"</f>
        <v>7858025582</v>
      </c>
      <c r="F11240" s="1">
        <v>45184</v>
      </c>
      <c r="G11240" t="str">
        <f>"91485"</f>
        <v>91485</v>
      </c>
      <c r="H11240">
        <v>1</v>
      </c>
      <c r="I11240">
        <v>268</v>
      </c>
      <c r="J11240">
        <v>0</v>
      </c>
      <c r="K11240" t="str">
        <f t="shared" si="2007"/>
        <v>813</v>
      </c>
      <c r="L11240">
        <v>225.12</v>
      </c>
    </row>
    <row r="11241" spans="1:12" x14ac:dyDescent="0.25">
      <c r="A11241" t="str">
        <f t="shared" si="2004"/>
        <v>89301000</v>
      </c>
      <c r="B11241" t="str">
        <f t="shared" si="2005"/>
        <v>72077000</v>
      </c>
      <c r="C11241" t="str">
        <f t="shared" si="2006"/>
        <v>72077001</v>
      </c>
      <c r="D11241">
        <v>89301152</v>
      </c>
      <c r="E11241" t="str">
        <f>"7858025582"</f>
        <v>7858025582</v>
      </c>
      <c r="F11241" s="1">
        <v>45184</v>
      </c>
      <c r="G11241" t="str">
        <f>"91171"</f>
        <v>91171</v>
      </c>
      <c r="H11241">
        <v>1</v>
      </c>
      <c r="I11241">
        <v>362</v>
      </c>
      <c r="J11241">
        <v>0</v>
      </c>
      <c r="K11241" t="str">
        <f t="shared" si="2007"/>
        <v>813</v>
      </c>
      <c r="L11241">
        <v>304.08</v>
      </c>
    </row>
    <row r="11242" spans="1:12" x14ac:dyDescent="0.25">
      <c r="A11242" t="str">
        <f t="shared" si="2004"/>
        <v>89301000</v>
      </c>
      <c r="B11242" t="str">
        <f t="shared" si="2005"/>
        <v>72077000</v>
      </c>
      <c r="C11242" t="str">
        <f t="shared" si="2006"/>
        <v>72077001</v>
      </c>
      <c r="D11242">
        <v>89301152</v>
      </c>
      <c r="E11242" t="str">
        <f>"7858025582"</f>
        <v>7858025582</v>
      </c>
      <c r="F11242" s="1">
        <v>45184</v>
      </c>
      <c r="G11242" t="str">
        <f>"91175"</f>
        <v>91175</v>
      </c>
      <c r="H11242">
        <v>1</v>
      </c>
      <c r="I11242">
        <v>362</v>
      </c>
      <c r="J11242">
        <v>0</v>
      </c>
      <c r="K11242" t="str">
        <f t="shared" si="2007"/>
        <v>813</v>
      </c>
      <c r="L11242">
        <v>304.08</v>
      </c>
    </row>
    <row r="11243" spans="1:12" x14ac:dyDescent="0.25">
      <c r="A11243" t="str">
        <f t="shared" si="2004"/>
        <v>89301000</v>
      </c>
      <c r="B11243" t="str">
        <f t="shared" si="2005"/>
        <v>72077000</v>
      </c>
      <c r="C11243" t="str">
        <f t="shared" si="2006"/>
        <v>72077001</v>
      </c>
      <c r="D11243">
        <v>89301152</v>
      </c>
      <c r="E11243" t="str">
        <f>"7858025582"</f>
        <v>7858025582</v>
      </c>
      <c r="F11243" s="1">
        <v>45189</v>
      </c>
      <c r="G11243" t="str">
        <f>"91577"</f>
        <v>91577</v>
      </c>
      <c r="H11243">
        <v>1</v>
      </c>
      <c r="I11243">
        <v>398</v>
      </c>
      <c r="J11243">
        <v>0</v>
      </c>
      <c r="K11243" t="str">
        <f t="shared" si="2007"/>
        <v>813</v>
      </c>
      <c r="L11243">
        <v>334.32</v>
      </c>
    </row>
    <row r="11244" spans="1:12" x14ac:dyDescent="0.25">
      <c r="A11244" t="str">
        <f t="shared" si="2004"/>
        <v>89301000</v>
      </c>
      <c r="B11244" t="str">
        <f t="shared" si="2005"/>
        <v>72077000</v>
      </c>
      <c r="C11244" t="str">
        <f t="shared" si="2006"/>
        <v>72077001</v>
      </c>
      <c r="D11244">
        <v>89301152</v>
      </c>
      <c r="E11244" t="str">
        <f t="shared" ref="E11244:E11249" si="2008">"9759056142"</f>
        <v>9759056142</v>
      </c>
      <c r="F11244" s="1">
        <v>45184</v>
      </c>
      <c r="G11244" t="str">
        <f>"91485"</f>
        <v>91485</v>
      </c>
      <c r="H11244">
        <v>1</v>
      </c>
      <c r="I11244">
        <v>268</v>
      </c>
      <c r="J11244">
        <v>0</v>
      </c>
      <c r="K11244" t="str">
        <f t="shared" si="2007"/>
        <v>813</v>
      </c>
      <c r="L11244">
        <v>225.12</v>
      </c>
    </row>
    <row r="11245" spans="1:12" x14ac:dyDescent="0.25">
      <c r="A11245" t="str">
        <f t="shared" si="2004"/>
        <v>89301000</v>
      </c>
      <c r="B11245" t="str">
        <f t="shared" si="2005"/>
        <v>72077000</v>
      </c>
      <c r="C11245" t="str">
        <f t="shared" si="2006"/>
        <v>72077001</v>
      </c>
      <c r="D11245">
        <v>89301152</v>
      </c>
      <c r="E11245" t="str">
        <f t="shared" si="2008"/>
        <v>9759056142</v>
      </c>
      <c r="F11245" s="1">
        <v>45184</v>
      </c>
      <c r="G11245" t="str">
        <f>"91175"</f>
        <v>91175</v>
      </c>
      <c r="H11245">
        <v>1</v>
      </c>
      <c r="I11245">
        <v>362</v>
      </c>
      <c r="J11245">
        <v>0</v>
      </c>
      <c r="K11245" t="str">
        <f t="shared" si="2007"/>
        <v>813</v>
      </c>
      <c r="L11245">
        <v>304.08</v>
      </c>
    </row>
    <row r="11246" spans="1:12" x14ac:dyDescent="0.25">
      <c r="A11246" t="str">
        <f t="shared" si="2004"/>
        <v>89301000</v>
      </c>
      <c r="B11246" t="str">
        <f t="shared" si="2005"/>
        <v>72077000</v>
      </c>
      <c r="C11246" t="str">
        <f t="shared" si="2006"/>
        <v>72077001</v>
      </c>
      <c r="D11246">
        <v>89301152</v>
      </c>
      <c r="E11246" t="str">
        <f t="shared" si="2008"/>
        <v>9759056142</v>
      </c>
      <c r="F11246" s="1">
        <v>45184</v>
      </c>
      <c r="G11246" t="str">
        <f>"91171"</f>
        <v>91171</v>
      </c>
      <c r="H11246">
        <v>1</v>
      </c>
      <c r="I11246">
        <v>362</v>
      </c>
      <c r="J11246">
        <v>0</v>
      </c>
      <c r="K11246" t="str">
        <f t="shared" si="2007"/>
        <v>813</v>
      </c>
      <c r="L11246">
        <v>304.08</v>
      </c>
    </row>
    <row r="11247" spans="1:12" x14ac:dyDescent="0.25">
      <c r="A11247" t="str">
        <f t="shared" si="2004"/>
        <v>89301000</v>
      </c>
      <c r="B11247" t="str">
        <f t="shared" si="2005"/>
        <v>72077000</v>
      </c>
      <c r="C11247" t="str">
        <f t="shared" si="2006"/>
        <v>72077001</v>
      </c>
      <c r="D11247">
        <v>89301152</v>
      </c>
      <c r="E11247" t="str">
        <f t="shared" si="2008"/>
        <v>9759056142</v>
      </c>
      <c r="F11247" s="1">
        <v>45188</v>
      </c>
      <c r="G11247" t="str">
        <f>"91465"</f>
        <v>91465</v>
      </c>
      <c r="H11247">
        <v>1</v>
      </c>
      <c r="I11247">
        <v>1412</v>
      </c>
      <c r="J11247">
        <v>0</v>
      </c>
      <c r="K11247" t="str">
        <f t="shared" si="2007"/>
        <v>813</v>
      </c>
      <c r="L11247">
        <v>1186.08</v>
      </c>
    </row>
    <row r="11248" spans="1:12" x14ac:dyDescent="0.25">
      <c r="A11248" t="str">
        <f t="shared" si="2004"/>
        <v>89301000</v>
      </c>
      <c r="B11248" t="str">
        <f t="shared" si="2005"/>
        <v>72077000</v>
      </c>
      <c r="C11248" t="str">
        <f t="shared" si="2006"/>
        <v>72077001</v>
      </c>
      <c r="D11248">
        <v>89301152</v>
      </c>
      <c r="E11248" t="str">
        <f t="shared" si="2008"/>
        <v>9759056142</v>
      </c>
      <c r="F11248" s="1">
        <v>45188</v>
      </c>
      <c r="G11248" t="str">
        <f>"91197"</f>
        <v>91197</v>
      </c>
      <c r="H11248">
        <v>1</v>
      </c>
      <c r="I11248">
        <v>1048</v>
      </c>
      <c r="J11248">
        <v>0</v>
      </c>
      <c r="K11248" t="str">
        <f t="shared" si="2007"/>
        <v>813</v>
      </c>
      <c r="L11248">
        <v>880.32</v>
      </c>
    </row>
    <row r="11249" spans="1:12" x14ac:dyDescent="0.25">
      <c r="A11249" t="str">
        <f t="shared" si="2004"/>
        <v>89301000</v>
      </c>
      <c r="B11249" t="str">
        <f t="shared" si="2005"/>
        <v>72077000</v>
      </c>
      <c r="C11249" t="str">
        <f t="shared" si="2006"/>
        <v>72077001</v>
      </c>
      <c r="D11249">
        <v>89301152</v>
      </c>
      <c r="E11249" t="str">
        <f t="shared" si="2008"/>
        <v>9759056142</v>
      </c>
      <c r="F11249" s="1">
        <v>45189</v>
      </c>
      <c r="G11249" t="str">
        <f>"91577"</f>
        <v>91577</v>
      </c>
      <c r="H11249">
        <v>1</v>
      </c>
      <c r="I11249">
        <v>398</v>
      </c>
      <c r="J11249">
        <v>0</v>
      </c>
      <c r="K11249" t="str">
        <f t="shared" si="2007"/>
        <v>813</v>
      </c>
      <c r="L11249">
        <v>334.32</v>
      </c>
    </row>
    <row r="11250" spans="1:12" x14ac:dyDescent="0.25">
      <c r="A11250" t="str">
        <f t="shared" si="2004"/>
        <v>89301000</v>
      </c>
      <c r="B11250" t="str">
        <f t="shared" si="2005"/>
        <v>72077000</v>
      </c>
      <c r="C11250" t="str">
        <f t="shared" si="2006"/>
        <v>72077001</v>
      </c>
      <c r="D11250">
        <v>89301152</v>
      </c>
      <c r="E11250" t="str">
        <f>"9262155705"</f>
        <v>9262155705</v>
      </c>
      <c r="F11250" s="1">
        <v>45184</v>
      </c>
      <c r="G11250" t="str">
        <f>"91485"</f>
        <v>91485</v>
      </c>
      <c r="H11250">
        <v>1</v>
      </c>
      <c r="I11250">
        <v>268</v>
      </c>
      <c r="J11250">
        <v>0</v>
      </c>
      <c r="K11250" t="str">
        <f t="shared" si="2007"/>
        <v>813</v>
      </c>
      <c r="L11250">
        <v>225.12</v>
      </c>
    </row>
    <row r="11251" spans="1:12" x14ac:dyDescent="0.25">
      <c r="A11251" t="str">
        <f t="shared" si="2004"/>
        <v>89301000</v>
      </c>
      <c r="B11251" t="str">
        <f t="shared" si="2005"/>
        <v>72077000</v>
      </c>
      <c r="C11251" t="str">
        <f t="shared" si="2006"/>
        <v>72077001</v>
      </c>
      <c r="D11251">
        <v>89301152</v>
      </c>
      <c r="E11251" t="str">
        <f>"8059045335"</f>
        <v>8059045335</v>
      </c>
      <c r="F11251" s="1">
        <v>45190</v>
      </c>
      <c r="G11251" t="str">
        <f>"91465"</f>
        <v>91465</v>
      </c>
      <c r="H11251">
        <v>1</v>
      </c>
      <c r="I11251">
        <v>1412</v>
      </c>
      <c r="J11251">
        <v>0</v>
      </c>
      <c r="K11251" t="str">
        <f t="shared" si="2007"/>
        <v>813</v>
      </c>
      <c r="L11251">
        <v>1186.08</v>
      </c>
    </row>
    <row r="11252" spans="1:12" x14ac:dyDescent="0.25">
      <c r="A11252" t="str">
        <f t="shared" si="2004"/>
        <v>89301000</v>
      </c>
      <c r="B11252" t="str">
        <f t="shared" si="2005"/>
        <v>72077000</v>
      </c>
      <c r="C11252" t="str">
        <f t="shared" si="2006"/>
        <v>72077001</v>
      </c>
      <c r="D11252">
        <v>89301152</v>
      </c>
      <c r="E11252" t="str">
        <f>"8059045335"</f>
        <v>8059045335</v>
      </c>
      <c r="F11252" s="1">
        <v>45190</v>
      </c>
      <c r="G11252" t="str">
        <f>"91197"</f>
        <v>91197</v>
      </c>
      <c r="H11252">
        <v>1</v>
      </c>
      <c r="I11252">
        <v>1048</v>
      </c>
      <c r="J11252">
        <v>0</v>
      </c>
      <c r="K11252" t="str">
        <f t="shared" si="2007"/>
        <v>813</v>
      </c>
      <c r="L11252">
        <v>880.32</v>
      </c>
    </row>
    <row r="11253" spans="1:12" x14ac:dyDescent="0.25">
      <c r="A11253" t="str">
        <f t="shared" si="2004"/>
        <v>89301000</v>
      </c>
      <c r="B11253" t="str">
        <f t="shared" si="2005"/>
        <v>72077000</v>
      </c>
      <c r="C11253" t="str">
        <f t="shared" si="2006"/>
        <v>72077001</v>
      </c>
      <c r="D11253">
        <v>89301152</v>
      </c>
      <c r="E11253" t="str">
        <f>"530926377"</f>
        <v>530926377</v>
      </c>
      <c r="F11253" s="1">
        <v>45189</v>
      </c>
      <c r="G11253" t="str">
        <f>"91485"</f>
        <v>91485</v>
      </c>
      <c r="H11253">
        <v>1</v>
      </c>
      <c r="I11253">
        <v>268</v>
      </c>
      <c r="J11253">
        <v>0</v>
      </c>
      <c r="K11253" t="str">
        <f t="shared" si="2007"/>
        <v>813</v>
      </c>
      <c r="L11253">
        <v>225.12</v>
      </c>
    </row>
    <row r="11254" spans="1:12" x14ac:dyDescent="0.25">
      <c r="A11254" t="str">
        <f t="shared" si="2004"/>
        <v>89301000</v>
      </c>
      <c r="B11254" t="str">
        <f t="shared" si="2005"/>
        <v>72077000</v>
      </c>
      <c r="C11254" t="str">
        <f t="shared" si="2006"/>
        <v>72077001</v>
      </c>
      <c r="D11254">
        <v>89301152</v>
      </c>
      <c r="E11254" t="str">
        <f>"530926377"</f>
        <v>530926377</v>
      </c>
      <c r="F11254" s="1">
        <v>45189</v>
      </c>
      <c r="G11254" t="str">
        <f>"91359"</f>
        <v>91359</v>
      </c>
      <c r="H11254">
        <v>1</v>
      </c>
      <c r="I11254">
        <v>205</v>
      </c>
      <c r="J11254">
        <v>0</v>
      </c>
      <c r="K11254" t="str">
        <f t="shared" si="2007"/>
        <v>813</v>
      </c>
      <c r="L11254">
        <v>172.2</v>
      </c>
    </row>
    <row r="11255" spans="1:12" x14ac:dyDescent="0.25">
      <c r="A11255" t="str">
        <f t="shared" si="2004"/>
        <v>89301000</v>
      </c>
      <c r="B11255" t="str">
        <f t="shared" si="2005"/>
        <v>72077000</v>
      </c>
      <c r="C11255" t="str">
        <f t="shared" si="2006"/>
        <v>72077001</v>
      </c>
      <c r="D11255">
        <v>89301152</v>
      </c>
      <c r="E11255" t="str">
        <f>"530926377"</f>
        <v>530926377</v>
      </c>
      <c r="F11255" s="1">
        <v>45189</v>
      </c>
      <c r="G11255" t="str">
        <f>"91361"</f>
        <v>91361</v>
      </c>
      <c r="H11255">
        <v>1</v>
      </c>
      <c r="I11255">
        <v>444</v>
      </c>
      <c r="J11255">
        <v>0</v>
      </c>
      <c r="K11255" t="str">
        <f t="shared" si="2007"/>
        <v>813</v>
      </c>
      <c r="L11255">
        <v>372.96</v>
      </c>
    </row>
    <row r="11256" spans="1:12" x14ac:dyDescent="0.25">
      <c r="A11256" t="str">
        <f t="shared" si="2004"/>
        <v>89301000</v>
      </c>
      <c r="B11256" t="str">
        <f t="shared" ref="B11256:B11274" si="2009">"72077000"</f>
        <v>72077000</v>
      </c>
      <c r="C11256" t="str">
        <f t="shared" ref="C11256:C11274" si="2010">"72077001"</f>
        <v>72077001</v>
      </c>
      <c r="D11256">
        <v>89301152</v>
      </c>
      <c r="E11256" t="str">
        <f>"530926377"</f>
        <v>530926377</v>
      </c>
      <c r="F11256" s="1">
        <v>45189</v>
      </c>
      <c r="G11256" t="str">
        <f>"91577"</f>
        <v>91577</v>
      </c>
      <c r="H11256">
        <v>1</v>
      </c>
      <c r="I11256">
        <v>398</v>
      </c>
      <c r="J11256">
        <v>0</v>
      </c>
      <c r="K11256" t="str">
        <f t="shared" ref="K11256:K11274" si="2011">"813"</f>
        <v>813</v>
      </c>
      <c r="L11256">
        <v>334.32</v>
      </c>
    </row>
    <row r="11257" spans="1:12" x14ac:dyDescent="0.25">
      <c r="A11257" t="str">
        <f t="shared" si="2004"/>
        <v>89301000</v>
      </c>
      <c r="B11257" t="str">
        <f t="shared" si="2009"/>
        <v>72077000</v>
      </c>
      <c r="C11257" t="str">
        <f t="shared" si="2010"/>
        <v>72077001</v>
      </c>
      <c r="D11257">
        <v>89301152</v>
      </c>
      <c r="E11257" t="str">
        <f>"530926377"</f>
        <v>530926377</v>
      </c>
      <c r="F11257" s="1">
        <v>45191</v>
      </c>
      <c r="G11257" t="str">
        <f>"91171"</f>
        <v>91171</v>
      </c>
      <c r="H11257">
        <v>1</v>
      </c>
      <c r="I11257">
        <v>362</v>
      </c>
      <c r="J11257">
        <v>0</v>
      </c>
      <c r="K11257" t="str">
        <f t="shared" si="2011"/>
        <v>813</v>
      </c>
      <c r="L11257">
        <v>304.08</v>
      </c>
    </row>
    <row r="11258" spans="1:12" x14ac:dyDescent="0.25">
      <c r="A11258" t="str">
        <f t="shared" si="2004"/>
        <v>89301000</v>
      </c>
      <c r="B11258" t="str">
        <f t="shared" si="2009"/>
        <v>72077000</v>
      </c>
      <c r="C11258" t="str">
        <f t="shared" si="2010"/>
        <v>72077001</v>
      </c>
      <c r="D11258">
        <v>89301702</v>
      </c>
      <c r="E11258" t="str">
        <f>"0860105268"</f>
        <v>0860105268</v>
      </c>
      <c r="F11258" s="1">
        <v>45190</v>
      </c>
      <c r="G11258" t="str">
        <f>"91197"</f>
        <v>91197</v>
      </c>
      <c r="H11258">
        <v>1</v>
      </c>
      <c r="I11258">
        <v>1048</v>
      </c>
      <c r="J11258">
        <v>0</v>
      </c>
      <c r="K11258" t="str">
        <f t="shared" si="2011"/>
        <v>813</v>
      </c>
      <c r="L11258">
        <v>880.32</v>
      </c>
    </row>
    <row r="11259" spans="1:12" x14ac:dyDescent="0.25">
      <c r="A11259" t="str">
        <f t="shared" si="2004"/>
        <v>89301000</v>
      </c>
      <c r="B11259" t="str">
        <f t="shared" si="2009"/>
        <v>72077000</v>
      </c>
      <c r="C11259" t="str">
        <f t="shared" si="2010"/>
        <v>72077001</v>
      </c>
      <c r="D11259">
        <v>89301152</v>
      </c>
      <c r="E11259" t="str">
        <f>"8251245310"</f>
        <v>8251245310</v>
      </c>
      <c r="F11259" s="1">
        <v>45195</v>
      </c>
      <c r="G11259" t="str">
        <f>"91197"</f>
        <v>91197</v>
      </c>
      <c r="H11259">
        <v>1</v>
      </c>
      <c r="I11259">
        <v>1048</v>
      </c>
      <c r="J11259">
        <v>0</v>
      </c>
      <c r="K11259" t="str">
        <f t="shared" si="2011"/>
        <v>813</v>
      </c>
      <c r="L11259">
        <v>880.32</v>
      </c>
    </row>
    <row r="11260" spans="1:12" x14ac:dyDescent="0.25">
      <c r="A11260" t="str">
        <f t="shared" si="2004"/>
        <v>89301000</v>
      </c>
      <c r="B11260" t="str">
        <f t="shared" si="2009"/>
        <v>72077000</v>
      </c>
      <c r="C11260" t="str">
        <f t="shared" si="2010"/>
        <v>72077001</v>
      </c>
      <c r="D11260">
        <v>89301152</v>
      </c>
      <c r="E11260" t="str">
        <f>"8251245310"</f>
        <v>8251245310</v>
      </c>
      <c r="F11260" s="1">
        <v>45195</v>
      </c>
      <c r="G11260" t="str">
        <f>"91465"</f>
        <v>91465</v>
      </c>
      <c r="H11260">
        <v>1</v>
      </c>
      <c r="I11260">
        <v>1412</v>
      </c>
      <c r="J11260">
        <v>0</v>
      </c>
      <c r="K11260" t="str">
        <f t="shared" si="2011"/>
        <v>813</v>
      </c>
      <c r="L11260">
        <v>1186.08</v>
      </c>
    </row>
    <row r="11261" spans="1:12" x14ac:dyDescent="0.25">
      <c r="A11261" t="str">
        <f t="shared" si="2004"/>
        <v>89301000</v>
      </c>
      <c r="B11261" t="str">
        <f t="shared" si="2009"/>
        <v>72077000</v>
      </c>
      <c r="C11261" t="str">
        <f t="shared" si="2010"/>
        <v>72077001</v>
      </c>
      <c r="D11261">
        <v>89301152</v>
      </c>
      <c r="E11261" t="str">
        <f>"9256045513"</f>
        <v>9256045513</v>
      </c>
      <c r="F11261" s="1">
        <v>45135</v>
      </c>
      <c r="G11261" t="str">
        <f>"91175"</f>
        <v>91175</v>
      </c>
      <c r="H11261">
        <v>1</v>
      </c>
      <c r="I11261">
        <v>362</v>
      </c>
      <c r="J11261">
        <v>0</v>
      </c>
      <c r="K11261" t="str">
        <f t="shared" si="2011"/>
        <v>813</v>
      </c>
      <c r="L11261">
        <v>304.08</v>
      </c>
    </row>
    <row r="11262" spans="1:12" x14ac:dyDescent="0.25">
      <c r="A11262" t="str">
        <f t="shared" si="2004"/>
        <v>89301000</v>
      </c>
      <c r="B11262" t="str">
        <f t="shared" si="2009"/>
        <v>72077000</v>
      </c>
      <c r="C11262" t="str">
        <f t="shared" si="2010"/>
        <v>72077001</v>
      </c>
      <c r="D11262">
        <v>89301152</v>
      </c>
      <c r="E11262" t="str">
        <f>"9256045513"</f>
        <v>9256045513</v>
      </c>
      <c r="F11262" s="1">
        <v>45135</v>
      </c>
      <c r="G11262" t="str">
        <f>"91171"</f>
        <v>91171</v>
      </c>
      <c r="H11262">
        <v>1</v>
      </c>
      <c r="I11262">
        <v>362</v>
      </c>
      <c r="J11262">
        <v>0</v>
      </c>
      <c r="K11262" t="str">
        <f t="shared" si="2011"/>
        <v>813</v>
      </c>
      <c r="L11262">
        <v>304.08</v>
      </c>
    </row>
    <row r="11263" spans="1:12" x14ac:dyDescent="0.25">
      <c r="A11263" t="str">
        <f t="shared" si="2004"/>
        <v>89301000</v>
      </c>
      <c r="B11263" t="str">
        <f t="shared" si="2009"/>
        <v>72077000</v>
      </c>
      <c r="C11263" t="str">
        <f t="shared" si="2010"/>
        <v>72077001</v>
      </c>
      <c r="D11263">
        <v>89301152</v>
      </c>
      <c r="E11263" t="str">
        <f>"9751075917"</f>
        <v>9751075917</v>
      </c>
      <c r="F11263" s="1">
        <v>45135</v>
      </c>
      <c r="G11263" t="str">
        <f>"91175"</f>
        <v>91175</v>
      </c>
      <c r="H11263">
        <v>1</v>
      </c>
      <c r="I11263">
        <v>362</v>
      </c>
      <c r="J11263">
        <v>0</v>
      </c>
      <c r="K11263" t="str">
        <f t="shared" si="2011"/>
        <v>813</v>
      </c>
      <c r="L11263">
        <v>304.08</v>
      </c>
    </row>
    <row r="11264" spans="1:12" x14ac:dyDescent="0.25">
      <c r="A11264" t="str">
        <f t="shared" si="2004"/>
        <v>89301000</v>
      </c>
      <c r="B11264" t="str">
        <f t="shared" si="2009"/>
        <v>72077000</v>
      </c>
      <c r="C11264" t="str">
        <f t="shared" si="2010"/>
        <v>72077001</v>
      </c>
      <c r="D11264">
        <v>89301152</v>
      </c>
      <c r="E11264" t="str">
        <f>"9751075917"</f>
        <v>9751075917</v>
      </c>
      <c r="F11264" s="1">
        <v>45135</v>
      </c>
      <c r="G11264" t="str">
        <f>"91171"</f>
        <v>91171</v>
      </c>
      <c r="H11264">
        <v>1</v>
      </c>
      <c r="I11264">
        <v>362</v>
      </c>
      <c r="J11264">
        <v>0</v>
      </c>
      <c r="K11264" t="str">
        <f t="shared" si="2011"/>
        <v>813</v>
      </c>
      <c r="L11264">
        <v>304.08</v>
      </c>
    </row>
    <row r="11265" spans="1:12" x14ac:dyDescent="0.25">
      <c r="A11265" t="str">
        <f t="shared" si="2004"/>
        <v>89301000</v>
      </c>
      <c r="B11265" t="str">
        <f t="shared" si="2009"/>
        <v>72077000</v>
      </c>
      <c r="C11265" t="str">
        <f t="shared" si="2010"/>
        <v>72077001</v>
      </c>
      <c r="D11265">
        <v>89301152</v>
      </c>
      <c r="E11265" t="str">
        <f>"8552240785"</f>
        <v>8552240785</v>
      </c>
      <c r="F11265" s="1">
        <v>45146</v>
      </c>
      <c r="G11265" t="str">
        <f>"91197"</f>
        <v>91197</v>
      </c>
      <c r="H11265">
        <v>1</v>
      </c>
      <c r="I11265">
        <v>1048</v>
      </c>
      <c r="J11265">
        <v>0</v>
      </c>
      <c r="K11265" t="str">
        <f t="shared" si="2011"/>
        <v>813</v>
      </c>
      <c r="L11265">
        <v>880.32</v>
      </c>
    </row>
    <row r="11266" spans="1:12" x14ac:dyDescent="0.25">
      <c r="A11266" t="str">
        <f t="shared" ref="A11266:A11329" si="2012">"89301000"</f>
        <v>89301000</v>
      </c>
      <c r="B11266" t="str">
        <f t="shared" si="2009"/>
        <v>72077000</v>
      </c>
      <c r="C11266" t="str">
        <f t="shared" si="2010"/>
        <v>72077001</v>
      </c>
      <c r="D11266">
        <v>89301152</v>
      </c>
      <c r="E11266" t="str">
        <f>"8552240785"</f>
        <v>8552240785</v>
      </c>
      <c r="F11266" s="1">
        <v>45147</v>
      </c>
      <c r="G11266" t="str">
        <f>"91359"</f>
        <v>91359</v>
      </c>
      <c r="H11266">
        <v>1</v>
      </c>
      <c r="I11266">
        <v>205</v>
      </c>
      <c r="J11266">
        <v>0</v>
      </c>
      <c r="K11266" t="str">
        <f t="shared" si="2011"/>
        <v>813</v>
      </c>
      <c r="L11266">
        <v>172.2</v>
      </c>
    </row>
    <row r="11267" spans="1:12" x14ac:dyDescent="0.25">
      <c r="A11267" t="str">
        <f t="shared" si="2012"/>
        <v>89301000</v>
      </c>
      <c r="B11267" t="str">
        <f t="shared" si="2009"/>
        <v>72077000</v>
      </c>
      <c r="C11267" t="str">
        <f t="shared" si="2010"/>
        <v>72077001</v>
      </c>
      <c r="D11267">
        <v>89301152</v>
      </c>
      <c r="E11267" t="str">
        <f>"8552240785"</f>
        <v>8552240785</v>
      </c>
      <c r="F11267" s="1">
        <v>45147</v>
      </c>
      <c r="G11267" t="str">
        <f>"91361"</f>
        <v>91361</v>
      </c>
      <c r="H11267">
        <v>1</v>
      </c>
      <c r="I11267">
        <v>444</v>
      </c>
      <c r="J11267">
        <v>0</v>
      </c>
      <c r="K11267" t="str">
        <f t="shared" si="2011"/>
        <v>813</v>
      </c>
      <c r="L11267">
        <v>372.96</v>
      </c>
    </row>
    <row r="11268" spans="1:12" x14ac:dyDescent="0.25">
      <c r="A11268" t="str">
        <f t="shared" si="2012"/>
        <v>89301000</v>
      </c>
      <c r="B11268" t="str">
        <f t="shared" si="2009"/>
        <v>72077000</v>
      </c>
      <c r="C11268" t="str">
        <f t="shared" si="2010"/>
        <v>72077001</v>
      </c>
      <c r="D11268">
        <v>89301152</v>
      </c>
      <c r="E11268" t="str">
        <f>"8552240785"</f>
        <v>8552240785</v>
      </c>
      <c r="F11268" s="1">
        <v>45147</v>
      </c>
      <c r="G11268" t="str">
        <f>"91577"</f>
        <v>91577</v>
      </c>
      <c r="H11268">
        <v>1</v>
      </c>
      <c r="I11268">
        <v>398</v>
      </c>
      <c r="J11268">
        <v>0</v>
      </c>
      <c r="K11268" t="str">
        <f t="shared" si="2011"/>
        <v>813</v>
      </c>
      <c r="L11268">
        <v>334.32</v>
      </c>
    </row>
    <row r="11269" spans="1:12" x14ac:dyDescent="0.25">
      <c r="A11269" t="str">
        <f t="shared" si="2012"/>
        <v>89301000</v>
      </c>
      <c r="B11269" t="str">
        <f t="shared" si="2009"/>
        <v>72077000</v>
      </c>
      <c r="C11269" t="str">
        <f t="shared" si="2010"/>
        <v>72077001</v>
      </c>
      <c r="D11269">
        <v>89301152</v>
      </c>
      <c r="E11269" t="str">
        <f>"8552240785"</f>
        <v>8552240785</v>
      </c>
      <c r="F11269" s="1">
        <v>45149</v>
      </c>
      <c r="G11269" t="str">
        <f>"91465"</f>
        <v>91465</v>
      </c>
      <c r="H11269">
        <v>1</v>
      </c>
      <c r="I11269">
        <v>1412</v>
      </c>
      <c r="J11269">
        <v>0</v>
      </c>
      <c r="K11269" t="str">
        <f t="shared" si="2011"/>
        <v>813</v>
      </c>
      <c r="L11269">
        <v>1186.08</v>
      </c>
    </row>
    <row r="11270" spans="1:12" x14ac:dyDescent="0.25">
      <c r="A11270" t="str">
        <f t="shared" si="2012"/>
        <v>89301000</v>
      </c>
      <c r="B11270" t="str">
        <f t="shared" si="2009"/>
        <v>72077000</v>
      </c>
      <c r="C11270" t="str">
        <f t="shared" si="2010"/>
        <v>72077001</v>
      </c>
      <c r="D11270">
        <v>89301152</v>
      </c>
      <c r="E11270" t="str">
        <f>"8755085790"</f>
        <v>8755085790</v>
      </c>
      <c r="F11270" s="1">
        <v>45155</v>
      </c>
      <c r="G11270" t="str">
        <f>"91175"</f>
        <v>91175</v>
      </c>
      <c r="H11270">
        <v>1</v>
      </c>
      <c r="I11270">
        <v>362</v>
      </c>
      <c r="J11270">
        <v>0</v>
      </c>
      <c r="K11270" t="str">
        <f t="shared" si="2011"/>
        <v>813</v>
      </c>
      <c r="L11270">
        <v>304.08</v>
      </c>
    </row>
    <row r="11271" spans="1:12" x14ac:dyDescent="0.25">
      <c r="A11271" t="str">
        <f t="shared" si="2012"/>
        <v>89301000</v>
      </c>
      <c r="B11271" t="str">
        <f t="shared" si="2009"/>
        <v>72077000</v>
      </c>
      <c r="C11271" t="str">
        <f t="shared" si="2010"/>
        <v>72077001</v>
      </c>
      <c r="D11271">
        <v>89301152</v>
      </c>
      <c r="E11271" t="str">
        <f>"8755085790"</f>
        <v>8755085790</v>
      </c>
      <c r="F11271" s="1">
        <v>45155</v>
      </c>
      <c r="G11271" t="str">
        <f>"91171"</f>
        <v>91171</v>
      </c>
      <c r="H11271">
        <v>1</v>
      </c>
      <c r="I11271">
        <v>362</v>
      </c>
      <c r="J11271">
        <v>0</v>
      </c>
      <c r="K11271" t="str">
        <f t="shared" si="2011"/>
        <v>813</v>
      </c>
      <c r="L11271">
        <v>304.08</v>
      </c>
    </row>
    <row r="11272" spans="1:12" x14ac:dyDescent="0.25">
      <c r="A11272" t="str">
        <f t="shared" si="2012"/>
        <v>89301000</v>
      </c>
      <c r="B11272" t="str">
        <f t="shared" si="2009"/>
        <v>72077000</v>
      </c>
      <c r="C11272" t="str">
        <f t="shared" si="2010"/>
        <v>72077001</v>
      </c>
      <c r="D11272">
        <v>89301152</v>
      </c>
      <c r="E11272" t="str">
        <f>"8755085790"</f>
        <v>8755085790</v>
      </c>
      <c r="F11272" s="1">
        <v>45161</v>
      </c>
      <c r="G11272" t="str">
        <f>"91577"</f>
        <v>91577</v>
      </c>
      <c r="H11272">
        <v>1</v>
      </c>
      <c r="I11272">
        <v>398</v>
      </c>
      <c r="J11272">
        <v>0</v>
      </c>
      <c r="K11272" t="str">
        <f t="shared" si="2011"/>
        <v>813</v>
      </c>
      <c r="L11272">
        <v>334.32</v>
      </c>
    </row>
    <row r="11273" spans="1:12" x14ac:dyDescent="0.25">
      <c r="A11273" t="str">
        <f t="shared" si="2012"/>
        <v>89301000</v>
      </c>
      <c r="B11273" t="str">
        <f t="shared" si="2009"/>
        <v>72077000</v>
      </c>
      <c r="C11273" t="str">
        <f t="shared" si="2010"/>
        <v>72077001</v>
      </c>
      <c r="D11273">
        <v>89301152</v>
      </c>
      <c r="E11273" t="str">
        <f>"9256045513"</f>
        <v>9256045513</v>
      </c>
      <c r="F11273" s="1">
        <v>45140</v>
      </c>
      <c r="G11273" t="str">
        <f>"91577"</f>
        <v>91577</v>
      </c>
      <c r="H11273">
        <v>1</v>
      </c>
      <c r="I11273">
        <v>398</v>
      </c>
      <c r="J11273">
        <v>0</v>
      </c>
      <c r="K11273" t="str">
        <f t="shared" si="2011"/>
        <v>813</v>
      </c>
      <c r="L11273">
        <v>334.32</v>
      </c>
    </row>
    <row r="11274" spans="1:12" x14ac:dyDescent="0.25">
      <c r="A11274" t="str">
        <f t="shared" si="2012"/>
        <v>89301000</v>
      </c>
      <c r="B11274" t="str">
        <f t="shared" si="2009"/>
        <v>72077000</v>
      </c>
      <c r="C11274" t="str">
        <f t="shared" si="2010"/>
        <v>72077001</v>
      </c>
      <c r="D11274">
        <v>89301152</v>
      </c>
      <c r="E11274" t="str">
        <f>"9751075917"</f>
        <v>9751075917</v>
      </c>
      <c r="F11274" s="1">
        <v>45140</v>
      </c>
      <c r="G11274" t="str">
        <f>"91577"</f>
        <v>91577</v>
      </c>
      <c r="H11274">
        <v>1</v>
      </c>
      <c r="I11274">
        <v>398</v>
      </c>
      <c r="J11274">
        <v>0</v>
      </c>
      <c r="K11274" t="str">
        <f t="shared" si="2011"/>
        <v>813</v>
      </c>
      <c r="L11274">
        <v>334.32</v>
      </c>
    </row>
    <row r="11275" spans="1:12" x14ac:dyDescent="0.25">
      <c r="A11275" t="str">
        <f t="shared" si="2012"/>
        <v>89301000</v>
      </c>
      <c r="B11275" t="str">
        <f>"78934000"</f>
        <v>78934000</v>
      </c>
      <c r="C11275" t="str">
        <f>"78934001"</f>
        <v>78934001</v>
      </c>
      <c r="D11275">
        <v>89301322</v>
      </c>
      <c r="E11275" t="str">
        <f>"521005180"</f>
        <v>521005180</v>
      </c>
      <c r="F11275" s="1">
        <v>45187</v>
      </c>
      <c r="G11275" t="str">
        <f>"89513"</f>
        <v>89513</v>
      </c>
      <c r="H11275">
        <v>1</v>
      </c>
      <c r="I11275">
        <v>378</v>
      </c>
      <c r="J11275">
        <v>0</v>
      </c>
      <c r="K11275" t="str">
        <f t="shared" ref="K11275:K11284" si="2013">"809"</f>
        <v>809</v>
      </c>
      <c r="L11275">
        <v>555.66</v>
      </c>
    </row>
    <row r="11276" spans="1:12" x14ac:dyDescent="0.25">
      <c r="A11276" t="str">
        <f t="shared" si="2012"/>
        <v>89301000</v>
      </c>
      <c r="B11276" t="str">
        <f>"78934000"</f>
        <v>78934000</v>
      </c>
      <c r="C11276" t="str">
        <f>"78934001"</f>
        <v>78934001</v>
      </c>
      <c r="D11276">
        <v>89301322</v>
      </c>
      <c r="E11276" t="str">
        <f>"521005180"</f>
        <v>521005180</v>
      </c>
      <c r="F11276" s="1">
        <v>45187</v>
      </c>
      <c r="G11276" t="str">
        <f>"89514"</f>
        <v>89514</v>
      </c>
      <c r="H11276">
        <v>1</v>
      </c>
      <c r="I11276">
        <v>378</v>
      </c>
      <c r="J11276">
        <v>0</v>
      </c>
      <c r="K11276" t="str">
        <f t="shared" si="2013"/>
        <v>809</v>
      </c>
      <c r="L11276">
        <v>555.66</v>
      </c>
    </row>
    <row r="11277" spans="1:12" x14ac:dyDescent="0.25">
      <c r="A11277" t="str">
        <f t="shared" si="2012"/>
        <v>89301000</v>
      </c>
      <c r="B11277" t="str">
        <f>"78934000"</f>
        <v>78934000</v>
      </c>
      <c r="C11277" t="str">
        <f>"78934001"</f>
        <v>78934001</v>
      </c>
      <c r="D11277">
        <v>89301212</v>
      </c>
      <c r="E11277" t="str">
        <f>"6052291905"</f>
        <v>6052291905</v>
      </c>
      <c r="F11277" s="1">
        <v>45194</v>
      </c>
      <c r="G11277" t="str">
        <f>"89513"</f>
        <v>89513</v>
      </c>
      <c r="H11277">
        <v>1</v>
      </c>
      <c r="I11277">
        <v>378</v>
      </c>
      <c r="J11277">
        <v>0</v>
      </c>
      <c r="K11277" t="str">
        <f t="shared" si="2013"/>
        <v>809</v>
      </c>
      <c r="L11277">
        <v>555.66</v>
      </c>
    </row>
    <row r="11278" spans="1:12" x14ac:dyDescent="0.25">
      <c r="A11278" t="str">
        <f t="shared" si="2012"/>
        <v>89301000</v>
      </c>
      <c r="B11278" t="str">
        <f>"78934000"</f>
        <v>78934000</v>
      </c>
      <c r="C11278" t="str">
        <f>"78934001"</f>
        <v>78934001</v>
      </c>
      <c r="D11278">
        <v>89301212</v>
      </c>
      <c r="E11278" t="str">
        <f>"6052291905"</f>
        <v>6052291905</v>
      </c>
      <c r="F11278" s="1">
        <v>45194</v>
      </c>
      <c r="G11278" t="str">
        <f>"89514"</f>
        <v>89514</v>
      </c>
      <c r="H11278">
        <v>1</v>
      </c>
      <c r="I11278">
        <v>378</v>
      </c>
      <c r="J11278">
        <v>0</v>
      </c>
      <c r="K11278" t="str">
        <f t="shared" si="2013"/>
        <v>809</v>
      </c>
      <c r="L11278">
        <v>555.66</v>
      </c>
    </row>
    <row r="11279" spans="1:12" x14ac:dyDescent="0.25">
      <c r="A11279" t="str">
        <f t="shared" si="2012"/>
        <v>89301000</v>
      </c>
      <c r="B11279" t="str">
        <f>"85600000"</f>
        <v>85600000</v>
      </c>
      <c r="C11279" t="str">
        <f>"85600421"</f>
        <v>85600421</v>
      </c>
      <c r="D11279">
        <v>89301322</v>
      </c>
      <c r="E11279" t="str">
        <f>"535318331"</f>
        <v>535318331</v>
      </c>
      <c r="F11279" s="1">
        <v>45194</v>
      </c>
      <c r="G11279" t="str">
        <f>"89611"</f>
        <v>89611</v>
      </c>
      <c r="H11279">
        <v>1</v>
      </c>
      <c r="I11279">
        <v>2262</v>
      </c>
      <c r="J11279">
        <v>0</v>
      </c>
      <c r="K11279" t="str">
        <f t="shared" si="2013"/>
        <v>809</v>
      </c>
      <c r="L11279">
        <v>1470.3</v>
      </c>
    </row>
    <row r="11280" spans="1:12" x14ac:dyDescent="0.25">
      <c r="A11280" t="str">
        <f t="shared" si="2012"/>
        <v>89301000</v>
      </c>
      <c r="B11280" t="str">
        <f>"85600000"</f>
        <v>85600000</v>
      </c>
      <c r="C11280" t="str">
        <f>"85600421"</f>
        <v>85600421</v>
      </c>
      <c r="D11280">
        <v>89301322</v>
      </c>
      <c r="E11280" t="str">
        <f>"535318331"</f>
        <v>535318331</v>
      </c>
      <c r="F11280" s="1">
        <v>45194</v>
      </c>
      <c r="G11280" t="str">
        <f>"0137480"</f>
        <v>0137480</v>
      </c>
      <c r="H11280">
        <v>0.2</v>
      </c>
      <c r="J11280">
        <v>1004.83</v>
      </c>
      <c r="K11280" t="str">
        <f t="shared" si="2013"/>
        <v>809</v>
      </c>
      <c r="L11280">
        <v>1004.83</v>
      </c>
    </row>
    <row r="11281" spans="1:12" x14ac:dyDescent="0.25">
      <c r="A11281" t="str">
        <f t="shared" si="2012"/>
        <v>89301000</v>
      </c>
      <c r="B11281" t="str">
        <f t="shared" ref="B11281:C11284" si="2014">"89434000"</f>
        <v>89434000</v>
      </c>
      <c r="C11281" t="str">
        <f t="shared" si="2014"/>
        <v>89434000</v>
      </c>
      <c r="D11281">
        <v>89301212</v>
      </c>
      <c r="E11281" t="str">
        <f>"6562291263"</f>
        <v>6562291263</v>
      </c>
      <c r="F11281" s="1">
        <v>45176</v>
      </c>
      <c r="G11281" t="str">
        <f>"89513"</f>
        <v>89513</v>
      </c>
      <c r="H11281">
        <v>1</v>
      </c>
      <c r="I11281">
        <v>378</v>
      </c>
      <c r="J11281">
        <v>0</v>
      </c>
      <c r="K11281" t="str">
        <f t="shared" si="2013"/>
        <v>809</v>
      </c>
      <c r="L11281">
        <v>555.66</v>
      </c>
    </row>
    <row r="11282" spans="1:12" x14ac:dyDescent="0.25">
      <c r="A11282" t="str">
        <f t="shared" si="2012"/>
        <v>89301000</v>
      </c>
      <c r="B11282" t="str">
        <f t="shared" si="2014"/>
        <v>89434000</v>
      </c>
      <c r="C11282" t="str">
        <f t="shared" si="2014"/>
        <v>89434000</v>
      </c>
      <c r="D11282">
        <v>89301212</v>
      </c>
      <c r="E11282" t="str">
        <f>"6562291263"</f>
        <v>6562291263</v>
      </c>
      <c r="F11282" s="1">
        <v>45176</v>
      </c>
      <c r="G11282" t="str">
        <f>"89514"</f>
        <v>89514</v>
      </c>
      <c r="H11282">
        <v>1</v>
      </c>
      <c r="I11282">
        <v>378</v>
      </c>
      <c r="J11282">
        <v>0</v>
      </c>
      <c r="K11282" t="str">
        <f t="shared" si="2013"/>
        <v>809</v>
      </c>
      <c r="L11282">
        <v>555.66</v>
      </c>
    </row>
    <row r="11283" spans="1:12" x14ac:dyDescent="0.25">
      <c r="A11283" t="str">
        <f t="shared" si="2012"/>
        <v>89301000</v>
      </c>
      <c r="B11283" t="str">
        <f t="shared" si="2014"/>
        <v>89434000</v>
      </c>
      <c r="C11283" t="str">
        <f t="shared" si="2014"/>
        <v>89434000</v>
      </c>
      <c r="D11283">
        <v>89301212</v>
      </c>
      <c r="E11283" t="str">
        <f>"6952124850"</f>
        <v>6952124850</v>
      </c>
      <c r="F11283" s="1">
        <v>45174</v>
      </c>
      <c r="G11283" t="str">
        <f>"89513"</f>
        <v>89513</v>
      </c>
      <c r="H11283">
        <v>1</v>
      </c>
      <c r="I11283">
        <v>378</v>
      </c>
      <c r="J11283">
        <v>0</v>
      </c>
      <c r="K11283" t="str">
        <f t="shared" si="2013"/>
        <v>809</v>
      </c>
      <c r="L11283">
        <v>555.66</v>
      </c>
    </row>
    <row r="11284" spans="1:12" x14ac:dyDescent="0.25">
      <c r="A11284" t="str">
        <f t="shared" si="2012"/>
        <v>89301000</v>
      </c>
      <c r="B11284" t="str">
        <f t="shared" si="2014"/>
        <v>89434000</v>
      </c>
      <c r="C11284" t="str">
        <f t="shared" si="2014"/>
        <v>89434000</v>
      </c>
      <c r="D11284">
        <v>89301212</v>
      </c>
      <c r="E11284" t="str">
        <f>"6952124850"</f>
        <v>6952124850</v>
      </c>
      <c r="F11284" s="1">
        <v>45174</v>
      </c>
      <c r="G11284" t="str">
        <f>"89514"</f>
        <v>89514</v>
      </c>
      <c r="H11284">
        <v>1</v>
      </c>
      <c r="I11284">
        <v>378</v>
      </c>
      <c r="J11284">
        <v>0</v>
      </c>
      <c r="K11284" t="str">
        <f t="shared" si="2013"/>
        <v>809</v>
      </c>
      <c r="L11284">
        <v>555.66</v>
      </c>
    </row>
    <row r="11285" spans="1:12" x14ac:dyDescent="0.25">
      <c r="A11285" t="str">
        <f t="shared" si="2012"/>
        <v>89301000</v>
      </c>
      <c r="B11285" t="str">
        <f t="shared" ref="B11285:B11322" si="2015">"93501000"</f>
        <v>93501000</v>
      </c>
      <c r="C11285" t="str">
        <f t="shared" ref="C11285:C11319" si="2016">"93501001"</f>
        <v>93501001</v>
      </c>
      <c r="D11285">
        <v>89301167</v>
      </c>
      <c r="E11285" t="str">
        <f t="shared" ref="E11285:E11300" si="2017">"470127462"</f>
        <v>470127462</v>
      </c>
      <c r="F11285" s="1">
        <v>45182</v>
      </c>
      <c r="G11285" t="str">
        <f>"09119"</f>
        <v>09119</v>
      </c>
      <c r="H11285">
        <v>1</v>
      </c>
      <c r="I11285">
        <v>43</v>
      </c>
      <c r="J11285">
        <v>0</v>
      </c>
      <c r="K11285" t="str">
        <f t="shared" ref="K11285:K11319" si="2018">"801"</f>
        <v>801</v>
      </c>
      <c r="L11285">
        <v>54.18</v>
      </c>
    </row>
    <row r="11286" spans="1:12" x14ac:dyDescent="0.25">
      <c r="A11286" t="str">
        <f t="shared" si="2012"/>
        <v>89301000</v>
      </c>
      <c r="B11286" t="str">
        <f t="shared" si="2015"/>
        <v>93501000</v>
      </c>
      <c r="C11286" t="str">
        <f t="shared" si="2016"/>
        <v>93501001</v>
      </c>
      <c r="D11286">
        <v>89301167</v>
      </c>
      <c r="E11286" t="str">
        <f t="shared" si="2017"/>
        <v>470127462</v>
      </c>
      <c r="F11286" s="1">
        <v>45182</v>
      </c>
      <c r="G11286" t="str">
        <f>"81337"</f>
        <v>81337</v>
      </c>
      <c r="H11286">
        <v>1</v>
      </c>
      <c r="I11286">
        <v>20</v>
      </c>
      <c r="J11286">
        <v>0</v>
      </c>
      <c r="K11286" t="str">
        <f t="shared" si="2018"/>
        <v>801</v>
      </c>
      <c r="L11286">
        <v>16.8</v>
      </c>
    </row>
    <row r="11287" spans="1:12" x14ac:dyDescent="0.25">
      <c r="A11287" t="str">
        <f t="shared" si="2012"/>
        <v>89301000</v>
      </c>
      <c r="B11287" t="str">
        <f t="shared" si="2015"/>
        <v>93501000</v>
      </c>
      <c r="C11287" t="str">
        <f t="shared" si="2016"/>
        <v>93501001</v>
      </c>
      <c r="D11287">
        <v>89301167</v>
      </c>
      <c r="E11287" t="str">
        <f t="shared" si="2017"/>
        <v>470127462</v>
      </c>
      <c r="F11287" s="1">
        <v>45182</v>
      </c>
      <c r="G11287" t="str">
        <f>"81357"</f>
        <v>81357</v>
      </c>
      <c r="H11287">
        <v>1</v>
      </c>
      <c r="I11287">
        <v>20</v>
      </c>
      <c r="J11287">
        <v>0</v>
      </c>
      <c r="K11287" t="str">
        <f t="shared" si="2018"/>
        <v>801</v>
      </c>
      <c r="L11287">
        <v>16.8</v>
      </c>
    </row>
    <row r="11288" spans="1:12" x14ac:dyDescent="0.25">
      <c r="A11288" t="str">
        <f t="shared" si="2012"/>
        <v>89301000</v>
      </c>
      <c r="B11288" t="str">
        <f t="shared" si="2015"/>
        <v>93501000</v>
      </c>
      <c r="C11288" t="str">
        <f t="shared" si="2016"/>
        <v>93501001</v>
      </c>
      <c r="D11288">
        <v>89301167</v>
      </c>
      <c r="E11288" t="str">
        <f t="shared" si="2017"/>
        <v>470127462</v>
      </c>
      <c r="F11288" s="1">
        <v>45182</v>
      </c>
      <c r="G11288" t="str">
        <f>"81393"</f>
        <v>81393</v>
      </c>
      <c r="H11288">
        <v>1</v>
      </c>
      <c r="I11288">
        <v>24</v>
      </c>
      <c r="J11288">
        <v>0</v>
      </c>
      <c r="K11288" t="str">
        <f t="shared" si="2018"/>
        <v>801</v>
      </c>
      <c r="L11288">
        <v>20.16</v>
      </c>
    </row>
    <row r="11289" spans="1:12" x14ac:dyDescent="0.25">
      <c r="A11289" t="str">
        <f t="shared" si="2012"/>
        <v>89301000</v>
      </c>
      <c r="B11289" t="str">
        <f t="shared" si="2015"/>
        <v>93501000</v>
      </c>
      <c r="C11289" t="str">
        <f t="shared" si="2016"/>
        <v>93501001</v>
      </c>
      <c r="D11289">
        <v>89301167</v>
      </c>
      <c r="E11289" t="str">
        <f t="shared" si="2017"/>
        <v>470127462</v>
      </c>
      <c r="F11289" s="1">
        <v>45182</v>
      </c>
      <c r="G11289" t="str">
        <f>"81435"</f>
        <v>81435</v>
      </c>
      <c r="H11289">
        <v>1</v>
      </c>
      <c r="I11289">
        <v>22</v>
      </c>
      <c r="J11289">
        <v>0</v>
      </c>
      <c r="K11289" t="str">
        <f t="shared" si="2018"/>
        <v>801</v>
      </c>
      <c r="L11289">
        <v>18.48</v>
      </c>
    </row>
    <row r="11290" spans="1:12" x14ac:dyDescent="0.25">
      <c r="A11290" t="str">
        <f t="shared" si="2012"/>
        <v>89301000</v>
      </c>
      <c r="B11290" t="str">
        <f t="shared" si="2015"/>
        <v>93501000</v>
      </c>
      <c r="C11290" t="str">
        <f t="shared" si="2016"/>
        <v>93501001</v>
      </c>
      <c r="D11290">
        <v>89301167</v>
      </c>
      <c r="E11290" t="str">
        <f t="shared" si="2017"/>
        <v>470127462</v>
      </c>
      <c r="F11290" s="1">
        <v>45182</v>
      </c>
      <c r="G11290" t="str">
        <f>"81439"</f>
        <v>81439</v>
      </c>
      <c r="H11290">
        <v>1</v>
      </c>
      <c r="I11290">
        <v>16</v>
      </c>
      <c r="J11290">
        <v>0</v>
      </c>
      <c r="K11290" t="str">
        <f t="shared" si="2018"/>
        <v>801</v>
      </c>
      <c r="L11290">
        <v>13.44</v>
      </c>
    </row>
    <row r="11291" spans="1:12" x14ac:dyDescent="0.25">
      <c r="A11291" t="str">
        <f t="shared" si="2012"/>
        <v>89301000</v>
      </c>
      <c r="B11291" t="str">
        <f t="shared" si="2015"/>
        <v>93501000</v>
      </c>
      <c r="C11291" t="str">
        <f t="shared" si="2016"/>
        <v>93501001</v>
      </c>
      <c r="D11291">
        <v>89301167</v>
      </c>
      <c r="E11291" t="str">
        <f t="shared" si="2017"/>
        <v>470127462</v>
      </c>
      <c r="F11291" s="1">
        <v>45182</v>
      </c>
      <c r="G11291" t="str">
        <f>"81469"</f>
        <v>81469</v>
      </c>
      <c r="H11291">
        <v>1</v>
      </c>
      <c r="I11291">
        <v>16</v>
      </c>
      <c r="J11291">
        <v>0</v>
      </c>
      <c r="K11291" t="str">
        <f t="shared" si="2018"/>
        <v>801</v>
      </c>
      <c r="L11291">
        <v>13.44</v>
      </c>
    </row>
    <row r="11292" spans="1:12" x14ac:dyDescent="0.25">
      <c r="A11292" t="str">
        <f t="shared" si="2012"/>
        <v>89301000</v>
      </c>
      <c r="B11292" t="str">
        <f t="shared" si="2015"/>
        <v>93501000</v>
      </c>
      <c r="C11292" t="str">
        <f t="shared" si="2016"/>
        <v>93501001</v>
      </c>
      <c r="D11292">
        <v>89301167</v>
      </c>
      <c r="E11292" t="str">
        <f t="shared" si="2017"/>
        <v>470127462</v>
      </c>
      <c r="F11292" s="1">
        <v>45182</v>
      </c>
      <c r="G11292" t="str">
        <f>"81499"</f>
        <v>81499</v>
      </c>
      <c r="H11292">
        <v>1</v>
      </c>
      <c r="I11292">
        <v>18</v>
      </c>
      <c r="J11292">
        <v>0</v>
      </c>
      <c r="K11292" t="str">
        <f t="shared" si="2018"/>
        <v>801</v>
      </c>
      <c r="L11292">
        <v>15.12</v>
      </c>
    </row>
    <row r="11293" spans="1:12" x14ac:dyDescent="0.25">
      <c r="A11293" t="str">
        <f t="shared" si="2012"/>
        <v>89301000</v>
      </c>
      <c r="B11293" t="str">
        <f t="shared" si="2015"/>
        <v>93501000</v>
      </c>
      <c r="C11293" t="str">
        <f t="shared" si="2016"/>
        <v>93501001</v>
      </c>
      <c r="D11293">
        <v>89301167</v>
      </c>
      <c r="E11293" t="str">
        <f t="shared" si="2017"/>
        <v>470127462</v>
      </c>
      <c r="F11293" s="1">
        <v>45182</v>
      </c>
      <c r="G11293" t="str">
        <f>"81593"</f>
        <v>81593</v>
      </c>
      <c r="H11293">
        <v>1</v>
      </c>
      <c r="I11293">
        <v>22</v>
      </c>
      <c r="J11293">
        <v>0</v>
      </c>
      <c r="K11293" t="str">
        <f t="shared" si="2018"/>
        <v>801</v>
      </c>
      <c r="L11293">
        <v>18.48</v>
      </c>
    </row>
    <row r="11294" spans="1:12" x14ac:dyDescent="0.25">
      <c r="A11294" t="str">
        <f t="shared" si="2012"/>
        <v>89301000</v>
      </c>
      <c r="B11294" t="str">
        <f t="shared" si="2015"/>
        <v>93501000</v>
      </c>
      <c r="C11294" t="str">
        <f t="shared" si="2016"/>
        <v>93501001</v>
      </c>
      <c r="D11294">
        <v>89301167</v>
      </c>
      <c r="E11294" t="str">
        <f t="shared" si="2017"/>
        <v>470127462</v>
      </c>
      <c r="F11294" s="1">
        <v>45182</v>
      </c>
      <c r="G11294" t="str">
        <f>"81621"</f>
        <v>81621</v>
      </c>
      <c r="H11294">
        <v>1</v>
      </c>
      <c r="I11294">
        <v>19</v>
      </c>
      <c r="J11294">
        <v>0</v>
      </c>
      <c r="K11294" t="str">
        <f t="shared" si="2018"/>
        <v>801</v>
      </c>
      <c r="L11294">
        <v>15.96</v>
      </c>
    </row>
    <row r="11295" spans="1:12" x14ac:dyDescent="0.25">
      <c r="A11295" t="str">
        <f t="shared" si="2012"/>
        <v>89301000</v>
      </c>
      <c r="B11295" t="str">
        <f t="shared" si="2015"/>
        <v>93501000</v>
      </c>
      <c r="C11295" t="str">
        <f t="shared" si="2016"/>
        <v>93501001</v>
      </c>
      <c r="D11295">
        <v>89301167</v>
      </c>
      <c r="E11295" t="str">
        <f t="shared" si="2017"/>
        <v>470127462</v>
      </c>
      <c r="F11295" s="1">
        <v>45182</v>
      </c>
      <c r="G11295" t="str">
        <f>"81625"</f>
        <v>81625</v>
      </c>
      <c r="H11295">
        <v>1</v>
      </c>
      <c r="I11295">
        <v>21</v>
      </c>
      <c r="J11295">
        <v>0</v>
      </c>
      <c r="K11295" t="str">
        <f t="shared" si="2018"/>
        <v>801</v>
      </c>
      <c r="L11295">
        <v>17.64</v>
      </c>
    </row>
    <row r="11296" spans="1:12" x14ac:dyDescent="0.25">
      <c r="A11296" t="str">
        <f t="shared" si="2012"/>
        <v>89301000</v>
      </c>
      <c r="B11296" t="str">
        <f t="shared" si="2015"/>
        <v>93501000</v>
      </c>
      <c r="C11296" t="str">
        <f t="shared" si="2016"/>
        <v>93501001</v>
      </c>
      <c r="D11296">
        <v>89301167</v>
      </c>
      <c r="E11296" t="str">
        <f t="shared" si="2017"/>
        <v>470127462</v>
      </c>
      <c r="F11296" s="1">
        <v>45182</v>
      </c>
      <c r="G11296" t="str">
        <f>"81731"</f>
        <v>81731</v>
      </c>
      <c r="H11296">
        <v>1</v>
      </c>
      <c r="I11296">
        <v>861</v>
      </c>
      <c r="J11296">
        <v>0</v>
      </c>
      <c r="K11296" t="str">
        <f t="shared" si="2018"/>
        <v>801</v>
      </c>
      <c r="L11296">
        <v>723.24</v>
      </c>
    </row>
    <row r="11297" spans="1:12" x14ac:dyDescent="0.25">
      <c r="A11297" t="str">
        <f t="shared" si="2012"/>
        <v>89301000</v>
      </c>
      <c r="B11297" t="str">
        <f t="shared" si="2015"/>
        <v>93501000</v>
      </c>
      <c r="C11297" t="str">
        <f t="shared" si="2016"/>
        <v>93501001</v>
      </c>
      <c r="D11297">
        <v>89301167</v>
      </c>
      <c r="E11297" t="str">
        <f t="shared" si="2017"/>
        <v>470127462</v>
      </c>
      <c r="F11297" s="1">
        <v>45182</v>
      </c>
      <c r="G11297" t="str">
        <f>"91153"</f>
        <v>91153</v>
      </c>
      <c r="H11297">
        <v>1</v>
      </c>
      <c r="I11297">
        <v>153</v>
      </c>
      <c r="J11297">
        <v>0</v>
      </c>
      <c r="K11297" t="str">
        <f t="shared" si="2018"/>
        <v>801</v>
      </c>
      <c r="L11297">
        <v>128.52000000000001</v>
      </c>
    </row>
    <row r="11298" spans="1:12" x14ac:dyDescent="0.25">
      <c r="A11298" t="str">
        <f t="shared" si="2012"/>
        <v>89301000</v>
      </c>
      <c r="B11298" t="str">
        <f t="shared" si="2015"/>
        <v>93501000</v>
      </c>
      <c r="C11298" t="str">
        <f t="shared" si="2016"/>
        <v>93501001</v>
      </c>
      <c r="D11298">
        <v>89301167</v>
      </c>
      <c r="E11298" t="str">
        <f t="shared" si="2017"/>
        <v>470127462</v>
      </c>
      <c r="F11298" s="1">
        <v>45182</v>
      </c>
      <c r="G11298" t="str">
        <f>"93189"</f>
        <v>93189</v>
      </c>
      <c r="H11298">
        <v>1</v>
      </c>
      <c r="I11298">
        <v>191</v>
      </c>
      <c r="J11298">
        <v>0</v>
      </c>
      <c r="K11298" t="str">
        <f t="shared" si="2018"/>
        <v>801</v>
      </c>
      <c r="L11298">
        <v>160.44</v>
      </c>
    </row>
    <row r="11299" spans="1:12" x14ac:dyDescent="0.25">
      <c r="A11299" t="str">
        <f t="shared" si="2012"/>
        <v>89301000</v>
      </c>
      <c r="B11299" t="str">
        <f t="shared" si="2015"/>
        <v>93501000</v>
      </c>
      <c r="C11299" t="str">
        <f t="shared" si="2016"/>
        <v>93501001</v>
      </c>
      <c r="D11299">
        <v>89301167</v>
      </c>
      <c r="E11299" t="str">
        <f t="shared" si="2017"/>
        <v>470127462</v>
      </c>
      <c r="F11299" s="1">
        <v>45182</v>
      </c>
      <c r="G11299" t="str">
        <f>"93195"</f>
        <v>93195</v>
      </c>
      <c r="H11299">
        <v>1</v>
      </c>
      <c r="I11299">
        <v>183</v>
      </c>
      <c r="J11299">
        <v>0</v>
      </c>
      <c r="K11299" t="str">
        <f t="shared" si="2018"/>
        <v>801</v>
      </c>
      <c r="L11299">
        <v>153.72</v>
      </c>
    </row>
    <row r="11300" spans="1:12" x14ac:dyDescent="0.25">
      <c r="A11300" t="str">
        <f t="shared" si="2012"/>
        <v>89301000</v>
      </c>
      <c r="B11300" t="str">
        <f t="shared" si="2015"/>
        <v>93501000</v>
      </c>
      <c r="C11300" t="str">
        <f t="shared" si="2016"/>
        <v>93501001</v>
      </c>
      <c r="D11300">
        <v>89301167</v>
      </c>
      <c r="E11300" t="str">
        <f t="shared" si="2017"/>
        <v>470127462</v>
      </c>
      <c r="F11300" s="1">
        <v>45182</v>
      </c>
      <c r="G11300" t="str">
        <f>"97111"</f>
        <v>97111</v>
      </c>
      <c r="H11300">
        <v>1</v>
      </c>
      <c r="I11300">
        <v>19</v>
      </c>
      <c r="J11300">
        <v>0</v>
      </c>
      <c r="K11300" t="str">
        <f t="shared" si="2018"/>
        <v>801</v>
      </c>
      <c r="L11300">
        <v>23.94</v>
      </c>
    </row>
    <row r="11301" spans="1:12" x14ac:dyDescent="0.25">
      <c r="A11301" t="str">
        <f t="shared" si="2012"/>
        <v>89301000</v>
      </c>
      <c r="B11301" t="str">
        <f t="shared" si="2015"/>
        <v>93501000</v>
      </c>
      <c r="C11301" t="str">
        <f t="shared" si="2016"/>
        <v>93501001</v>
      </c>
      <c r="D11301">
        <v>89301167</v>
      </c>
      <c r="E11301" t="str">
        <f t="shared" ref="E11301:E11318" si="2019">"420102444"</f>
        <v>420102444</v>
      </c>
      <c r="F11301" s="1">
        <v>45190</v>
      </c>
      <c r="G11301" t="str">
        <f>"09119"</f>
        <v>09119</v>
      </c>
      <c r="H11301">
        <v>1</v>
      </c>
      <c r="I11301">
        <v>43</v>
      </c>
      <c r="J11301">
        <v>0</v>
      </c>
      <c r="K11301" t="str">
        <f t="shared" si="2018"/>
        <v>801</v>
      </c>
      <c r="L11301">
        <v>54.18</v>
      </c>
    </row>
    <row r="11302" spans="1:12" x14ac:dyDescent="0.25">
      <c r="A11302" t="str">
        <f t="shared" si="2012"/>
        <v>89301000</v>
      </c>
      <c r="B11302" t="str">
        <f t="shared" si="2015"/>
        <v>93501000</v>
      </c>
      <c r="C11302" t="str">
        <f t="shared" si="2016"/>
        <v>93501001</v>
      </c>
      <c r="D11302">
        <v>89301167</v>
      </c>
      <c r="E11302" t="str">
        <f t="shared" si="2019"/>
        <v>420102444</v>
      </c>
      <c r="F11302" s="1">
        <v>45190</v>
      </c>
      <c r="G11302" t="str">
        <f>"81329"</f>
        <v>81329</v>
      </c>
      <c r="H11302">
        <v>1</v>
      </c>
      <c r="I11302">
        <v>17</v>
      </c>
      <c r="J11302">
        <v>0</v>
      </c>
      <c r="K11302" t="str">
        <f t="shared" si="2018"/>
        <v>801</v>
      </c>
      <c r="L11302">
        <v>14.28</v>
      </c>
    </row>
    <row r="11303" spans="1:12" x14ac:dyDescent="0.25">
      <c r="A11303" t="str">
        <f t="shared" si="2012"/>
        <v>89301000</v>
      </c>
      <c r="B11303" t="str">
        <f t="shared" si="2015"/>
        <v>93501000</v>
      </c>
      <c r="C11303" t="str">
        <f t="shared" si="2016"/>
        <v>93501001</v>
      </c>
      <c r="D11303">
        <v>89301167</v>
      </c>
      <c r="E11303" t="str">
        <f t="shared" si="2019"/>
        <v>420102444</v>
      </c>
      <c r="F11303" s="1">
        <v>45190</v>
      </c>
      <c r="G11303" t="str">
        <f>"81337"</f>
        <v>81337</v>
      </c>
      <c r="H11303">
        <v>1</v>
      </c>
      <c r="I11303">
        <v>20</v>
      </c>
      <c r="J11303">
        <v>0</v>
      </c>
      <c r="K11303" t="str">
        <f t="shared" si="2018"/>
        <v>801</v>
      </c>
      <c r="L11303">
        <v>16.8</v>
      </c>
    </row>
    <row r="11304" spans="1:12" x14ac:dyDescent="0.25">
      <c r="A11304" t="str">
        <f t="shared" si="2012"/>
        <v>89301000</v>
      </c>
      <c r="B11304" t="str">
        <f t="shared" si="2015"/>
        <v>93501000</v>
      </c>
      <c r="C11304" t="str">
        <f t="shared" si="2016"/>
        <v>93501001</v>
      </c>
      <c r="D11304">
        <v>89301167</v>
      </c>
      <c r="E11304" t="str">
        <f t="shared" si="2019"/>
        <v>420102444</v>
      </c>
      <c r="F11304" s="1">
        <v>45190</v>
      </c>
      <c r="G11304" t="str">
        <f>"81357"</f>
        <v>81357</v>
      </c>
      <c r="H11304">
        <v>1</v>
      </c>
      <c r="I11304">
        <v>20</v>
      </c>
      <c r="J11304">
        <v>0</v>
      </c>
      <c r="K11304" t="str">
        <f t="shared" si="2018"/>
        <v>801</v>
      </c>
      <c r="L11304">
        <v>16.8</v>
      </c>
    </row>
    <row r="11305" spans="1:12" x14ac:dyDescent="0.25">
      <c r="A11305" t="str">
        <f t="shared" si="2012"/>
        <v>89301000</v>
      </c>
      <c r="B11305" t="str">
        <f t="shared" si="2015"/>
        <v>93501000</v>
      </c>
      <c r="C11305" t="str">
        <f t="shared" si="2016"/>
        <v>93501001</v>
      </c>
      <c r="D11305">
        <v>89301167</v>
      </c>
      <c r="E11305" t="str">
        <f t="shared" si="2019"/>
        <v>420102444</v>
      </c>
      <c r="F11305" s="1">
        <v>45190</v>
      </c>
      <c r="G11305" t="str">
        <f>"81361"</f>
        <v>81361</v>
      </c>
      <c r="H11305">
        <v>1</v>
      </c>
      <c r="I11305">
        <v>17</v>
      </c>
      <c r="J11305">
        <v>0</v>
      </c>
      <c r="K11305" t="str">
        <f t="shared" si="2018"/>
        <v>801</v>
      </c>
      <c r="L11305">
        <v>14.28</v>
      </c>
    </row>
    <row r="11306" spans="1:12" x14ac:dyDescent="0.25">
      <c r="A11306" t="str">
        <f t="shared" si="2012"/>
        <v>89301000</v>
      </c>
      <c r="B11306" t="str">
        <f t="shared" si="2015"/>
        <v>93501000</v>
      </c>
      <c r="C11306" t="str">
        <f t="shared" si="2016"/>
        <v>93501001</v>
      </c>
      <c r="D11306">
        <v>89301167</v>
      </c>
      <c r="E11306" t="str">
        <f t="shared" si="2019"/>
        <v>420102444</v>
      </c>
      <c r="F11306" s="1">
        <v>45190</v>
      </c>
      <c r="G11306" t="str">
        <f>"81383"</f>
        <v>81383</v>
      </c>
      <c r="H11306">
        <v>1</v>
      </c>
      <c r="I11306">
        <v>24</v>
      </c>
      <c r="J11306">
        <v>0</v>
      </c>
      <c r="K11306" t="str">
        <f t="shared" si="2018"/>
        <v>801</v>
      </c>
      <c r="L11306">
        <v>20.16</v>
      </c>
    </row>
    <row r="11307" spans="1:12" x14ac:dyDescent="0.25">
      <c r="A11307" t="str">
        <f t="shared" si="2012"/>
        <v>89301000</v>
      </c>
      <c r="B11307" t="str">
        <f t="shared" si="2015"/>
        <v>93501000</v>
      </c>
      <c r="C11307" t="str">
        <f t="shared" si="2016"/>
        <v>93501001</v>
      </c>
      <c r="D11307">
        <v>89301167</v>
      </c>
      <c r="E11307" t="str">
        <f t="shared" si="2019"/>
        <v>420102444</v>
      </c>
      <c r="F11307" s="1">
        <v>45190</v>
      </c>
      <c r="G11307" t="str">
        <f>"81393"</f>
        <v>81393</v>
      </c>
      <c r="H11307">
        <v>1</v>
      </c>
      <c r="I11307">
        <v>24</v>
      </c>
      <c r="J11307">
        <v>0</v>
      </c>
      <c r="K11307" t="str">
        <f t="shared" si="2018"/>
        <v>801</v>
      </c>
      <c r="L11307">
        <v>20.16</v>
      </c>
    </row>
    <row r="11308" spans="1:12" x14ac:dyDescent="0.25">
      <c r="A11308" t="str">
        <f t="shared" si="2012"/>
        <v>89301000</v>
      </c>
      <c r="B11308" t="str">
        <f t="shared" si="2015"/>
        <v>93501000</v>
      </c>
      <c r="C11308" t="str">
        <f t="shared" si="2016"/>
        <v>93501001</v>
      </c>
      <c r="D11308">
        <v>89301167</v>
      </c>
      <c r="E11308" t="str">
        <f t="shared" si="2019"/>
        <v>420102444</v>
      </c>
      <c r="F11308" s="1">
        <v>45190</v>
      </c>
      <c r="G11308" t="str">
        <f>"81421"</f>
        <v>81421</v>
      </c>
      <c r="H11308">
        <v>1</v>
      </c>
      <c r="I11308">
        <v>19</v>
      </c>
      <c r="J11308">
        <v>0</v>
      </c>
      <c r="K11308" t="str">
        <f t="shared" si="2018"/>
        <v>801</v>
      </c>
      <c r="L11308">
        <v>15.96</v>
      </c>
    </row>
    <row r="11309" spans="1:12" x14ac:dyDescent="0.25">
      <c r="A11309" t="str">
        <f t="shared" si="2012"/>
        <v>89301000</v>
      </c>
      <c r="B11309" t="str">
        <f t="shared" si="2015"/>
        <v>93501000</v>
      </c>
      <c r="C11309" t="str">
        <f t="shared" si="2016"/>
        <v>93501001</v>
      </c>
      <c r="D11309">
        <v>89301167</v>
      </c>
      <c r="E11309" t="str">
        <f t="shared" si="2019"/>
        <v>420102444</v>
      </c>
      <c r="F11309" s="1">
        <v>45190</v>
      </c>
      <c r="G11309" t="str">
        <f>"81435"</f>
        <v>81435</v>
      </c>
      <c r="H11309">
        <v>1</v>
      </c>
      <c r="I11309">
        <v>22</v>
      </c>
      <c r="J11309">
        <v>0</v>
      </c>
      <c r="K11309" t="str">
        <f t="shared" si="2018"/>
        <v>801</v>
      </c>
      <c r="L11309">
        <v>18.48</v>
      </c>
    </row>
    <row r="11310" spans="1:12" x14ac:dyDescent="0.25">
      <c r="A11310" t="str">
        <f t="shared" si="2012"/>
        <v>89301000</v>
      </c>
      <c r="B11310" t="str">
        <f t="shared" si="2015"/>
        <v>93501000</v>
      </c>
      <c r="C11310" t="str">
        <f t="shared" si="2016"/>
        <v>93501001</v>
      </c>
      <c r="D11310">
        <v>89301167</v>
      </c>
      <c r="E11310" t="str">
        <f t="shared" si="2019"/>
        <v>420102444</v>
      </c>
      <c r="F11310" s="1">
        <v>45190</v>
      </c>
      <c r="G11310" t="str">
        <f>"81439"</f>
        <v>81439</v>
      </c>
      <c r="H11310">
        <v>1</v>
      </c>
      <c r="I11310">
        <v>16</v>
      </c>
      <c r="J11310">
        <v>0</v>
      </c>
      <c r="K11310" t="str">
        <f t="shared" si="2018"/>
        <v>801</v>
      </c>
      <c r="L11310">
        <v>13.44</v>
      </c>
    </row>
    <row r="11311" spans="1:12" x14ac:dyDescent="0.25">
      <c r="A11311" t="str">
        <f t="shared" si="2012"/>
        <v>89301000</v>
      </c>
      <c r="B11311" t="str">
        <f t="shared" si="2015"/>
        <v>93501000</v>
      </c>
      <c r="C11311" t="str">
        <f t="shared" si="2016"/>
        <v>93501001</v>
      </c>
      <c r="D11311">
        <v>89301167</v>
      </c>
      <c r="E11311" t="str">
        <f t="shared" si="2019"/>
        <v>420102444</v>
      </c>
      <c r="F11311" s="1">
        <v>45190</v>
      </c>
      <c r="G11311" t="str">
        <f>"81469"</f>
        <v>81469</v>
      </c>
      <c r="H11311">
        <v>1</v>
      </c>
      <c r="I11311">
        <v>16</v>
      </c>
      <c r="J11311">
        <v>0</v>
      </c>
      <c r="K11311" t="str">
        <f t="shared" si="2018"/>
        <v>801</v>
      </c>
      <c r="L11311">
        <v>13.44</v>
      </c>
    </row>
    <row r="11312" spans="1:12" x14ac:dyDescent="0.25">
      <c r="A11312" t="str">
        <f t="shared" si="2012"/>
        <v>89301000</v>
      </c>
      <c r="B11312" t="str">
        <f t="shared" si="2015"/>
        <v>93501000</v>
      </c>
      <c r="C11312" t="str">
        <f t="shared" si="2016"/>
        <v>93501001</v>
      </c>
      <c r="D11312">
        <v>89301167</v>
      </c>
      <c r="E11312" t="str">
        <f t="shared" si="2019"/>
        <v>420102444</v>
      </c>
      <c r="F11312" s="1">
        <v>45190</v>
      </c>
      <c r="G11312" t="str">
        <f>"81499"</f>
        <v>81499</v>
      </c>
      <c r="H11312">
        <v>1</v>
      </c>
      <c r="I11312">
        <v>18</v>
      </c>
      <c r="J11312">
        <v>0</v>
      </c>
      <c r="K11312" t="str">
        <f t="shared" si="2018"/>
        <v>801</v>
      </c>
      <c r="L11312">
        <v>15.12</v>
      </c>
    </row>
    <row r="11313" spans="1:12" x14ac:dyDescent="0.25">
      <c r="A11313" t="str">
        <f t="shared" si="2012"/>
        <v>89301000</v>
      </c>
      <c r="B11313" t="str">
        <f t="shared" si="2015"/>
        <v>93501000</v>
      </c>
      <c r="C11313" t="str">
        <f t="shared" si="2016"/>
        <v>93501001</v>
      </c>
      <c r="D11313">
        <v>89301167</v>
      </c>
      <c r="E11313" t="str">
        <f t="shared" si="2019"/>
        <v>420102444</v>
      </c>
      <c r="F11313" s="1">
        <v>45190</v>
      </c>
      <c r="G11313" t="str">
        <f>"81523"</f>
        <v>81523</v>
      </c>
      <c r="H11313">
        <v>1</v>
      </c>
      <c r="I11313">
        <v>23</v>
      </c>
      <c r="J11313">
        <v>0</v>
      </c>
      <c r="K11313" t="str">
        <f t="shared" si="2018"/>
        <v>801</v>
      </c>
      <c r="L11313">
        <v>19.32</v>
      </c>
    </row>
    <row r="11314" spans="1:12" x14ac:dyDescent="0.25">
      <c r="A11314" t="str">
        <f t="shared" si="2012"/>
        <v>89301000</v>
      </c>
      <c r="B11314" t="str">
        <f t="shared" si="2015"/>
        <v>93501000</v>
      </c>
      <c r="C11314" t="str">
        <f t="shared" si="2016"/>
        <v>93501001</v>
      </c>
      <c r="D11314">
        <v>89301167</v>
      </c>
      <c r="E11314" t="str">
        <f t="shared" si="2019"/>
        <v>420102444</v>
      </c>
      <c r="F11314" s="1">
        <v>45190</v>
      </c>
      <c r="G11314" t="str">
        <f>"81593"</f>
        <v>81593</v>
      </c>
      <c r="H11314">
        <v>1</v>
      </c>
      <c r="I11314">
        <v>22</v>
      </c>
      <c r="J11314">
        <v>0</v>
      </c>
      <c r="K11314" t="str">
        <f t="shared" si="2018"/>
        <v>801</v>
      </c>
      <c r="L11314">
        <v>18.48</v>
      </c>
    </row>
    <row r="11315" spans="1:12" x14ac:dyDescent="0.25">
      <c r="A11315" t="str">
        <f t="shared" si="2012"/>
        <v>89301000</v>
      </c>
      <c r="B11315" t="str">
        <f t="shared" si="2015"/>
        <v>93501000</v>
      </c>
      <c r="C11315" t="str">
        <f t="shared" si="2016"/>
        <v>93501001</v>
      </c>
      <c r="D11315">
        <v>89301167</v>
      </c>
      <c r="E11315" t="str">
        <f t="shared" si="2019"/>
        <v>420102444</v>
      </c>
      <c r="F11315" s="1">
        <v>45190</v>
      </c>
      <c r="G11315" t="str">
        <f>"81621"</f>
        <v>81621</v>
      </c>
      <c r="H11315">
        <v>1</v>
      </c>
      <c r="I11315">
        <v>19</v>
      </c>
      <c r="J11315">
        <v>0</v>
      </c>
      <c r="K11315" t="str">
        <f t="shared" si="2018"/>
        <v>801</v>
      </c>
      <c r="L11315">
        <v>15.96</v>
      </c>
    </row>
    <row r="11316" spans="1:12" x14ac:dyDescent="0.25">
      <c r="A11316" t="str">
        <f t="shared" si="2012"/>
        <v>89301000</v>
      </c>
      <c r="B11316" t="str">
        <f t="shared" si="2015"/>
        <v>93501000</v>
      </c>
      <c r="C11316" t="str">
        <f t="shared" si="2016"/>
        <v>93501001</v>
      </c>
      <c r="D11316">
        <v>89301167</v>
      </c>
      <c r="E11316" t="str">
        <f t="shared" si="2019"/>
        <v>420102444</v>
      </c>
      <c r="F11316" s="1">
        <v>45190</v>
      </c>
      <c r="G11316" t="str">
        <f>"81625"</f>
        <v>81625</v>
      </c>
      <c r="H11316">
        <v>1</v>
      </c>
      <c r="I11316">
        <v>21</v>
      </c>
      <c r="J11316">
        <v>0</v>
      </c>
      <c r="K11316" t="str">
        <f t="shared" si="2018"/>
        <v>801</v>
      </c>
      <c r="L11316">
        <v>17.64</v>
      </c>
    </row>
    <row r="11317" spans="1:12" x14ac:dyDescent="0.25">
      <c r="A11317" t="str">
        <f t="shared" si="2012"/>
        <v>89301000</v>
      </c>
      <c r="B11317" t="str">
        <f t="shared" si="2015"/>
        <v>93501000</v>
      </c>
      <c r="C11317" t="str">
        <f t="shared" si="2016"/>
        <v>93501001</v>
      </c>
      <c r="D11317">
        <v>89301167</v>
      </c>
      <c r="E11317" t="str">
        <f t="shared" si="2019"/>
        <v>420102444</v>
      </c>
      <c r="F11317" s="1">
        <v>45190</v>
      </c>
      <c r="G11317" t="str">
        <f>"91153"</f>
        <v>91153</v>
      </c>
      <c r="H11317">
        <v>1</v>
      </c>
      <c r="I11317">
        <v>153</v>
      </c>
      <c r="J11317">
        <v>0</v>
      </c>
      <c r="K11317" t="str">
        <f t="shared" si="2018"/>
        <v>801</v>
      </c>
      <c r="L11317">
        <v>128.52000000000001</v>
      </c>
    </row>
    <row r="11318" spans="1:12" x14ac:dyDescent="0.25">
      <c r="A11318" t="str">
        <f t="shared" si="2012"/>
        <v>89301000</v>
      </c>
      <c r="B11318" t="str">
        <f t="shared" si="2015"/>
        <v>93501000</v>
      </c>
      <c r="C11318" t="str">
        <f t="shared" si="2016"/>
        <v>93501001</v>
      </c>
      <c r="D11318">
        <v>89301167</v>
      </c>
      <c r="E11318" t="str">
        <f t="shared" si="2019"/>
        <v>420102444</v>
      </c>
      <c r="F11318" s="1">
        <v>45190</v>
      </c>
      <c r="G11318" t="str">
        <f>"97111"</f>
        <v>97111</v>
      </c>
      <c r="H11318">
        <v>1</v>
      </c>
      <c r="I11318">
        <v>19</v>
      </c>
      <c r="J11318">
        <v>0</v>
      </c>
      <c r="K11318" t="str">
        <f t="shared" si="2018"/>
        <v>801</v>
      </c>
      <c r="L11318">
        <v>23.94</v>
      </c>
    </row>
    <row r="11319" spans="1:12" x14ac:dyDescent="0.25">
      <c r="A11319" t="str">
        <f t="shared" si="2012"/>
        <v>89301000</v>
      </c>
      <c r="B11319" t="str">
        <f t="shared" si="2015"/>
        <v>93501000</v>
      </c>
      <c r="C11319" t="str">
        <f t="shared" si="2016"/>
        <v>93501001</v>
      </c>
      <c r="D11319">
        <v>89301167</v>
      </c>
      <c r="E11319" t="str">
        <f>"6003120068"</f>
        <v>6003120068</v>
      </c>
      <c r="F11319" s="1">
        <v>45174</v>
      </c>
      <c r="G11319" t="str">
        <f>"09119"</f>
        <v>09119</v>
      </c>
      <c r="H11319">
        <v>1</v>
      </c>
      <c r="I11319">
        <v>43</v>
      </c>
      <c r="J11319">
        <v>0</v>
      </c>
      <c r="K11319" t="str">
        <f t="shared" si="2018"/>
        <v>801</v>
      </c>
      <c r="L11319">
        <v>54.18</v>
      </c>
    </row>
    <row r="11320" spans="1:12" x14ac:dyDescent="0.25">
      <c r="A11320" t="str">
        <f t="shared" si="2012"/>
        <v>89301000</v>
      </c>
      <c r="B11320" t="str">
        <f t="shared" si="2015"/>
        <v>93501000</v>
      </c>
      <c r="C11320" t="str">
        <f>"93501005"</f>
        <v>93501005</v>
      </c>
      <c r="D11320">
        <v>89301167</v>
      </c>
      <c r="E11320" t="str">
        <f>"470127462"</f>
        <v>470127462</v>
      </c>
      <c r="F11320" s="1">
        <v>45182</v>
      </c>
      <c r="G11320" t="str">
        <f>"96167"</f>
        <v>96167</v>
      </c>
      <c r="H11320">
        <v>1</v>
      </c>
      <c r="I11320">
        <v>67</v>
      </c>
      <c r="J11320">
        <v>0</v>
      </c>
      <c r="K11320" t="str">
        <f>"818"</f>
        <v>818</v>
      </c>
      <c r="L11320">
        <v>64.989999999999995</v>
      </c>
    </row>
    <row r="11321" spans="1:12" x14ac:dyDescent="0.25">
      <c r="A11321" t="str">
        <f t="shared" si="2012"/>
        <v>89301000</v>
      </c>
      <c r="B11321" t="str">
        <f t="shared" si="2015"/>
        <v>93501000</v>
      </c>
      <c r="C11321" t="str">
        <f>"93501005"</f>
        <v>93501005</v>
      </c>
      <c r="D11321">
        <v>89301167</v>
      </c>
      <c r="E11321" t="str">
        <f>"420102444"</f>
        <v>420102444</v>
      </c>
      <c r="F11321" s="1">
        <v>45190</v>
      </c>
      <c r="G11321" t="str">
        <f>"96167"</f>
        <v>96167</v>
      </c>
      <c r="H11321">
        <v>1</v>
      </c>
      <c r="I11321">
        <v>67</v>
      </c>
      <c r="J11321">
        <v>0</v>
      </c>
      <c r="K11321" t="str">
        <f>"818"</f>
        <v>818</v>
      </c>
      <c r="L11321">
        <v>64.989999999999995</v>
      </c>
    </row>
    <row r="11322" spans="1:12" x14ac:dyDescent="0.25">
      <c r="A11322" t="str">
        <f t="shared" si="2012"/>
        <v>89301000</v>
      </c>
      <c r="B11322" t="str">
        <f t="shared" si="2015"/>
        <v>93501000</v>
      </c>
      <c r="C11322" t="str">
        <f>"93501005"</f>
        <v>93501005</v>
      </c>
      <c r="D11322">
        <v>89301167</v>
      </c>
      <c r="E11322" t="str">
        <f>"6003120068"</f>
        <v>6003120068</v>
      </c>
      <c r="F11322" s="1">
        <v>45174</v>
      </c>
      <c r="G11322" t="str">
        <f>"96167"</f>
        <v>96167</v>
      </c>
      <c r="H11322">
        <v>1</v>
      </c>
      <c r="I11322">
        <v>67</v>
      </c>
      <c r="J11322">
        <v>0</v>
      </c>
      <c r="K11322" t="str">
        <f>"818"</f>
        <v>818</v>
      </c>
      <c r="L11322">
        <v>64.989999999999995</v>
      </c>
    </row>
    <row r="11323" spans="1:12" x14ac:dyDescent="0.25">
      <c r="A11323" t="str">
        <f t="shared" si="2012"/>
        <v>89301000</v>
      </c>
      <c r="B11323" t="str">
        <f>"93201000"</f>
        <v>93201000</v>
      </c>
      <c r="C11323" t="str">
        <f>"93201350"</f>
        <v>93201350</v>
      </c>
      <c r="D11323">
        <v>89301212</v>
      </c>
      <c r="E11323" t="str">
        <f>"526009140"</f>
        <v>526009140</v>
      </c>
      <c r="F11323" s="1">
        <v>45149</v>
      </c>
      <c r="G11323" t="str">
        <f>"89180"</f>
        <v>89180</v>
      </c>
      <c r="H11323">
        <v>2</v>
      </c>
      <c r="I11323">
        <v>762</v>
      </c>
      <c r="J11323">
        <v>0</v>
      </c>
      <c r="K11323" t="str">
        <f>"809"</f>
        <v>809</v>
      </c>
      <c r="L11323">
        <v>1120.1400000000001</v>
      </c>
    </row>
    <row r="11324" spans="1:12" x14ac:dyDescent="0.25">
      <c r="A11324" t="str">
        <f t="shared" si="2012"/>
        <v>89301000</v>
      </c>
      <c r="B11324" t="str">
        <f>"93223000"</f>
        <v>93223000</v>
      </c>
      <c r="C11324" t="str">
        <f>"93223001"</f>
        <v>93223001</v>
      </c>
      <c r="D11324">
        <v>89301212</v>
      </c>
      <c r="E11324" t="str">
        <f>"7852065826"</f>
        <v>7852065826</v>
      </c>
      <c r="F11324" s="1">
        <v>45181</v>
      </c>
      <c r="G11324" t="str">
        <f>"89513"</f>
        <v>89513</v>
      </c>
      <c r="H11324">
        <v>1</v>
      </c>
      <c r="I11324">
        <v>378</v>
      </c>
      <c r="J11324">
        <v>0</v>
      </c>
      <c r="K11324" t="str">
        <f>"809"</f>
        <v>809</v>
      </c>
      <c r="L11324">
        <v>555.66</v>
      </c>
    </row>
    <row r="11325" spans="1:12" x14ac:dyDescent="0.25">
      <c r="A11325" t="str">
        <f t="shared" si="2012"/>
        <v>89301000</v>
      </c>
      <c r="B11325" t="str">
        <f>"93223000"</f>
        <v>93223000</v>
      </c>
      <c r="C11325" t="str">
        <f>"93223001"</f>
        <v>93223001</v>
      </c>
      <c r="D11325">
        <v>89301212</v>
      </c>
      <c r="E11325" t="str">
        <f>"7852065826"</f>
        <v>7852065826</v>
      </c>
      <c r="F11325" s="1">
        <v>45181</v>
      </c>
      <c r="G11325" t="str">
        <f>"89514"</f>
        <v>89514</v>
      </c>
      <c r="H11325">
        <v>1</v>
      </c>
      <c r="I11325">
        <v>378</v>
      </c>
      <c r="J11325">
        <v>0</v>
      </c>
      <c r="K11325" t="str">
        <f>"809"</f>
        <v>809</v>
      </c>
      <c r="L11325">
        <v>555.66</v>
      </c>
    </row>
    <row r="11326" spans="1:12" x14ac:dyDescent="0.25">
      <c r="A11326" t="str">
        <f t="shared" si="2012"/>
        <v>89301000</v>
      </c>
      <c r="B11326" t="str">
        <f t="shared" ref="B11326:B11357" si="2020">"10510000"</f>
        <v>10510000</v>
      </c>
      <c r="C11326" t="str">
        <f t="shared" ref="C11326:C11357" si="2021">"10510001"</f>
        <v>10510001</v>
      </c>
      <c r="D11326">
        <v>89301202</v>
      </c>
      <c r="E11326" t="str">
        <f>"510413124"</f>
        <v>510413124</v>
      </c>
      <c r="F11326" s="1">
        <v>45183</v>
      </c>
      <c r="G11326" t="str">
        <f>"82113"</f>
        <v>82113</v>
      </c>
      <c r="H11326">
        <v>1</v>
      </c>
      <c r="I11326">
        <v>363</v>
      </c>
      <c r="J11326">
        <v>0</v>
      </c>
      <c r="K11326" t="str">
        <f t="shared" ref="K11326:K11357" si="2022">"802"</f>
        <v>802</v>
      </c>
      <c r="L11326">
        <v>352.11</v>
      </c>
    </row>
    <row r="11327" spans="1:12" x14ac:dyDescent="0.25">
      <c r="A11327" t="str">
        <f t="shared" si="2012"/>
        <v>89301000</v>
      </c>
      <c r="B11327" t="str">
        <f t="shared" si="2020"/>
        <v>10510000</v>
      </c>
      <c r="C11327" t="str">
        <f t="shared" si="2021"/>
        <v>10510001</v>
      </c>
      <c r="D11327">
        <v>89301202</v>
      </c>
      <c r="E11327" t="str">
        <f>"510413124"</f>
        <v>510413124</v>
      </c>
      <c r="F11327" s="1">
        <v>45182</v>
      </c>
      <c r="G11327" t="str">
        <f>"97111"</f>
        <v>97111</v>
      </c>
      <c r="H11327">
        <v>1</v>
      </c>
      <c r="I11327">
        <v>19</v>
      </c>
      <c r="J11327">
        <v>0</v>
      </c>
      <c r="K11327" t="str">
        <f t="shared" si="2022"/>
        <v>802</v>
      </c>
      <c r="L11327">
        <v>23.94</v>
      </c>
    </row>
    <row r="11328" spans="1:12" x14ac:dyDescent="0.25">
      <c r="A11328" t="str">
        <f t="shared" si="2012"/>
        <v>89301000</v>
      </c>
      <c r="B11328" t="str">
        <f t="shared" si="2020"/>
        <v>10510000</v>
      </c>
      <c r="C11328" t="str">
        <f t="shared" si="2021"/>
        <v>10510001</v>
      </c>
      <c r="D11328">
        <v>89301202</v>
      </c>
      <c r="E11328" t="str">
        <f>"510413124"</f>
        <v>510413124</v>
      </c>
      <c r="F11328" s="1">
        <v>45183</v>
      </c>
      <c r="G11328" t="str">
        <f>"82145"</f>
        <v>82145</v>
      </c>
      <c r="H11328">
        <v>6</v>
      </c>
      <c r="I11328">
        <v>354</v>
      </c>
      <c r="J11328">
        <v>0</v>
      </c>
      <c r="K11328" t="str">
        <f t="shared" si="2022"/>
        <v>802</v>
      </c>
      <c r="L11328">
        <v>343.38</v>
      </c>
    </row>
    <row r="11329" spans="1:12" x14ac:dyDescent="0.25">
      <c r="A11329" t="str">
        <f t="shared" si="2012"/>
        <v>89301000</v>
      </c>
      <c r="B11329" t="str">
        <f t="shared" si="2020"/>
        <v>10510000</v>
      </c>
      <c r="C11329" t="str">
        <f t="shared" si="2021"/>
        <v>10510001</v>
      </c>
      <c r="D11329">
        <v>89301202</v>
      </c>
      <c r="E11329" t="str">
        <f>"510413124"</f>
        <v>510413124</v>
      </c>
      <c r="F11329" s="1">
        <v>45183</v>
      </c>
      <c r="G11329" t="str">
        <f>"82079"</f>
        <v>82079</v>
      </c>
      <c r="H11329">
        <v>1</v>
      </c>
      <c r="I11329">
        <v>333</v>
      </c>
      <c r="J11329">
        <v>0</v>
      </c>
      <c r="K11329" t="str">
        <f t="shared" si="2022"/>
        <v>802</v>
      </c>
      <c r="L11329">
        <v>323.01</v>
      </c>
    </row>
    <row r="11330" spans="1:12" x14ac:dyDescent="0.25">
      <c r="A11330" t="str">
        <f t="shared" ref="A11330:A11393" si="2023">"89301000"</f>
        <v>89301000</v>
      </c>
      <c r="B11330" t="str">
        <f t="shared" si="2020"/>
        <v>10510000</v>
      </c>
      <c r="C11330" t="str">
        <f t="shared" si="2021"/>
        <v>10510001</v>
      </c>
      <c r="D11330">
        <v>89301202</v>
      </c>
      <c r="E11330" t="str">
        <f>"510413124"</f>
        <v>510413124</v>
      </c>
      <c r="F11330" s="1">
        <v>45183</v>
      </c>
      <c r="G11330" t="str">
        <f>"82111"</f>
        <v>82111</v>
      </c>
      <c r="H11330">
        <v>1</v>
      </c>
      <c r="I11330">
        <v>37</v>
      </c>
      <c r="J11330">
        <v>0</v>
      </c>
      <c r="K11330" t="str">
        <f t="shared" si="2022"/>
        <v>802</v>
      </c>
      <c r="L11330">
        <v>35.89</v>
      </c>
    </row>
    <row r="11331" spans="1:12" x14ac:dyDescent="0.25">
      <c r="A11331" t="str">
        <f t="shared" si="2023"/>
        <v>89301000</v>
      </c>
      <c r="B11331" t="str">
        <f t="shared" si="2020"/>
        <v>10510000</v>
      </c>
      <c r="C11331" t="str">
        <f t="shared" si="2021"/>
        <v>10510001</v>
      </c>
      <c r="D11331">
        <v>89301202</v>
      </c>
      <c r="E11331" t="str">
        <f>"9808115746"</f>
        <v>9808115746</v>
      </c>
      <c r="F11331" s="1">
        <v>45184</v>
      </c>
      <c r="G11331" t="str">
        <f>"82113"</f>
        <v>82113</v>
      </c>
      <c r="H11331">
        <v>1</v>
      </c>
      <c r="I11331">
        <v>363</v>
      </c>
      <c r="J11331">
        <v>0</v>
      </c>
      <c r="K11331" t="str">
        <f t="shared" si="2022"/>
        <v>802</v>
      </c>
      <c r="L11331">
        <v>352.11</v>
      </c>
    </row>
    <row r="11332" spans="1:12" x14ac:dyDescent="0.25">
      <c r="A11332" t="str">
        <f t="shared" si="2023"/>
        <v>89301000</v>
      </c>
      <c r="B11332" t="str">
        <f t="shared" si="2020"/>
        <v>10510000</v>
      </c>
      <c r="C11332" t="str">
        <f t="shared" si="2021"/>
        <v>10510001</v>
      </c>
      <c r="D11332">
        <v>89301202</v>
      </c>
      <c r="E11332" t="str">
        <f>"9808115746"</f>
        <v>9808115746</v>
      </c>
      <c r="F11332" s="1">
        <v>45183</v>
      </c>
      <c r="G11332" t="str">
        <f>"97111"</f>
        <v>97111</v>
      </c>
      <c r="H11332">
        <v>1</v>
      </c>
      <c r="I11332">
        <v>19</v>
      </c>
      <c r="J11332">
        <v>0</v>
      </c>
      <c r="K11332" t="str">
        <f t="shared" si="2022"/>
        <v>802</v>
      </c>
      <c r="L11332">
        <v>23.94</v>
      </c>
    </row>
    <row r="11333" spans="1:12" x14ac:dyDescent="0.25">
      <c r="A11333" t="str">
        <f t="shared" si="2023"/>
        <v>89301000</v>
      </c>
      <c r="B11333" t="str">
        <f t="shared" si="2020"/>
        <v>10510000</v>
      </c>
      <c r="C11333" t="str">
        <f t="shared" si="2021"/>
        <v>10510001</v>
      </c>
      <c r="D11333">
        <v>89301202</v>
      </c>
      <c r="E11333" t="str">
        <f>"9808115746"</f>
        <v>9808115746</v>
      </c>
      <c r="F11333" s="1">
        <v>45184</v>
      </c>
      <c r="G11333" t="str">
        <f>"82079"</f>
        <v>82079</v>
      </c>
      <c r="H11333">
        <v>1</v>
      </c>
      <c r="I11333">
        <v>333</v>
      </c>
      <c r="J11333">
        <v>0</v>
      </c>
      <c r="K11333" t="str">
        <f t="shared" si="2022"/>
        <v>802</v>
      </c>
      <c r="L11333">
        <v>323.01</v>
      </c>
    </row>
    <row r="11334" spans="1:12" x14ac:dyDescent="0.25">
      <c r="A11334" t="str">
        <f t="shared" si="2023"/>
        <v>89301000</v>
      </c>
      <c r="B11334" t="str">
        <f t="shared" si="2020"/>
        <v>10510000</v>
      </c>
      <c r="C11334" t="str">
        <f t="shared" si="2021"/>
        <v>10510001</v>
      </c>
      <c r="D11334">
        <v>89301202</v>
      </c>
      <c r="E11334" t="str">
        <f>"9808115746"</f>
        <v>9808115746</v>
      </c>
      <c r="F11334" s="1">
        <v>45184</v>
      </c>
      <c r="G11334" t="str">
        <f>"82145"</f>
        <v>82145</v>
      </c>
      <c r="H11334">
        <v>6</v>
      </c>
      <c r="I11334">
        <v>354</v>
      </c>
      <c r="J11334">
        <v>0</v>
      </c>
      <c r="K11334" t="str">
        <f t="shared" si="2022"/>
        <v>802</v>
      </c>
      <c r="L11334">
        <v>343.38</v>
      </c>
    </row>
    <row r="11335" spans="1:12" x14ac:dyDescent="0.25">
      <c r="A11335" t="str">
        <f t="shared" si="2023"/>
        <v>89301000</v>
      </c>
      <c r="B11335" t="str">
        <f t="shared" si="2020"/>
        <v>10510000</v>
      </c>
      <c r="C11335" t="str">
        <f t="shared" si="2021"/>
        <v>10510001</v>
      </c>
      <c r="D11335">
        <v>89301202</v>
      </c>
      <c r="E11335" t="str">
        <f>"9808115746"</f>
        <v>9808115746</v>
      </c>
      <c r="F11335" s="1">
        <v>45184</v>
      </c>
      <c r="G11335" t="str">
        <f>"82111"</f>
        <v>82111</v>
      </c>
      <c r="H11335">
        <v>1</v>
      </c>
      <c r="I11335">
        <v>37</v>
      </c>
      <c r="J11335">
        <v>0</v>
      </c>
      <c r="K11335" t="str">
        <f t="shared" si="2022"/>
        <v>802</v>
      </c>
      <c r="L11335">
        <v>35.89</v>
      </c>
    </row>
    <row r="11336" spans="1:12" x14ac:dyDescent="0.25">
      <c r="A11336" t="str">
        <f t="shared" si="2023"/>
        <v>89301000</v>
      </c>
      <c r="B11336" t="str">
        <f t="shared" si="2020"/>
        <v>10510000</v>
      </c>
      <c r="C11336" t="str">
        <f t="shared" si="2021"/>
        <v>10510001</v>
      </c>
      <c r="D11336">
        <v>89301202</v>
      </c>
      <c r="E11336" t="str">
        <f>"8208225311"</f>
        <v>8208225311</v>
      </c>
      <c r="F11336" s="1">
        <v>45184</v>
      </c>
      <c r="G11336" t="str">
        <f>"82111"</f>
        <v>82111</v>
      </c>
      <c r="H11336">
        <v>1</v>
      </c>
      <c r="I11336">
        <v>37</v>
      </c>
      <c r="J11336">
        <v>0</v>
      </c>
      <c r="K11336" t="str">
        <f t="shared" si="2022"/>
        <v>802</v>
      </c>
      <c r="L11336">
        <v>35.89</v>
      </c>
    </row>
    <row r="11337" spans="1:12" x14ac:dyDescent="0.25">
      <c r="A11337" t="str">
        <f t="shared" si="2023"/>
        <v>89301000</v>
      </c>
      <c r="B11337" t="str">
        <f t="shared" si="2020"/>
        <v>10510000</v>
      </c>
      <c r="C11337" t="str">
        <f t="shared" si="2021"/>
        <v>10510001</v>
      </c>
      <c r="D11337">
        <v>89301202</v>
      </c>
      <c r="E11337" t="str">
        <f>"8208225311"</f>
        <v>8208225311</v>
      </c>
      <c r="F11337" s="1">
        <v>45184</v>
      </c>
      <c r="G11337" t="str">
        <f>"82145"</f>
        <v>82145</v>
      </c>
      <c r="H11337">
        <v>1</v>
      </c>
      <c r="I11337">
        <v>59</v>
      </c>
      <c r="J11337">
        <v>0</v>
      </c>
      <c r="K11337" t="str">
        <f t="shared" si="2022"/>
        <v>802</v>
      </c>
      <c r="L11337">
        <v>57.23</v>
      </c>
    </row>
    <row r="11338" spans="1:12" x14ac:dyDescent="0.25">
      <c r="A11338" t="str">
        <f t="shared" si="2023"/>
        <v>89301000</v>
      </c>
      <c r="B11338" t="str">
        <f t="shared" si="2020"/>
        <v>10510000</v>
      </c>
      <c r="C11338" t="str">
        <f t="shared" si="2021"/>
        <v>10510001</v>
      </c>
      <c r="D11338">
        <v>89301202</v>
      </c>
      <c r="E11338" t="str">
        <f>"8208225311"</f>
        <v>8208225311</v>
      </c>
      <c r="F11338" s="1">
        <v>45184</v>
      </c>
      <c r="G11338" t="str">
        <f>"82079"</f>
        <v>82079</v>
      </c>
      <c r="H11338">
        <v>1</v>
      </c>
      <c r="I11338">
        <v>333</v>
      </c>
      <c r="J11338">
        <v>0</v>
      </c>
      <c r="K11338" t="str">
        <f t="shared" si="2022"/>
        <v>802</v>
      </c>
      <c r="L11338">
        <v>323.01</v>
      </c>
    </row>
    <row r="11339" spans="1:12" x14ac:dyDescent="0.25">
      <c r="A11339" t="str">
        <f t="shared" si="2023"/>
        <v>89301000</v>
      </c>
      <c r="B11339" t="str">
        <f t="shared" si="2020"/>
        <v>10510000</v>
      </c>
      <c r="C11339" t="str">
        <f t="shared" si="2021"/>
        <v>10510001</v>
      </c>
      <c r="D11339">
        <v>89301202</v>
      </c>
      <c r="E11339" t="str">
        <f>"8208225311"</f>
        <v>8208225311</v>
      </c>
      <c r="F11339" s="1">
        <v>45183</v>
      </c>
      <c r="G11339" t="str">
        <f>"97111"</f>
        <v>97111</v>
      </c>
      <c r="H11339">
        <v>1</v>
      </c>
      <c r="I11339">
        <v>19</v>
      </c>
      <c r="J11339">
        <v>0</v>
      </c>
      <c r="K11339" t="str">
        <f t="shared" si="2022"/>
        <v>802</v>
      </c>
      <c r="L11339">
        <v>23.94</v>
      </c>
    </row>
    <row r="11340" spans="1:12" x14ac:dyDescent="0.25">
      <c r="A11340" t="str">
        <f t="shared" si="2023"/>
        <v>89301000</v>
      </c>
      <c r="B11340" t="str">
        <f t="shared" si="2020"/>
        <v>10510000</v>
      </c>
      <c r="C11340" t="str">
        <f t="shared" si="2021"/>
        <v>10510001</v>
      </c>
      <c r="D11340">
        <v>89301202</v>
      </c>
      <c r="E11340" t="str">
        <f>"8208225311"</f>
        <v>8208225311</v>
      </c>
      <c r="F11340" s="1">
        <v>45184</v>
      </c>
      <c r="G11340" t="str">
        <f>"82113"</f>
        <v>82113</v>
      </c>
      <c r="H11340">
        <v>1</v>
      </c>
      <c r="I11340">
        <v>363</v>
      </c>
      <c r="J11340">
        <v>0</v>
      </c>
      <c r="K11340" t="str">
        <f t="shared" si="2022"/>
        <v>802</v>
      </c>
      <c r="L11340">
        <v>352.11</v>
      </c>
    </row>
    <row r="11341" spans="1:12" x14ac:dyDescent="0.25">
      <c r="A11341" t="str">
        <f t="shared" si="2023"/>
        <v>89301000</v>
      </c>
      <c r="B11341" t="str">
        <f t="shared" si="2020"/>
        <v>10510000</v>
      </c>
      <c r="C11341" t="str">
        <f t="shared" si="2021"/>
        <v>10510001</v>
      </c>
      <c r="D11341">
        <v>89301202</v>
      </c>
      <c r="E11341" t="str">
        <f t="shared" ref="E11341:E11346" si="2024">"8307205335"</f>
        <v>8307205335</v>
      </c>
      <c r="F11341" s="1">
        <v>45187</v>
      </c>
      <c r="G11341" t="str">
        <f>"82079"</f>
        <v>82079</v>
      </c>
      <c r="H11341">
        <v>1</v>
      </c>
      <c r="I11341">
        <v>333</v>
      </c>
      <c r="J11341">
        <v>0</v>
      </c>
      <c r="K11341" t="str">
        <f t="shared" si="2022"/>
        <v>802</v>
      </c>
      <c r="L11341">
        <v>323.01</v>
      </c>
    </row>
    <row r="11342" spans="1:12" x14ac:dyDescent="0.25">
      <c r="A11342" t="str">
        <f t="shared" si="2023"/>
        <v>89301000</v>
      </c>
      <c r="B11342" t="str">
        <f t="shared" si="2020"/>
        <v>10510000</v>
      </c>
      <c r="C11342" t="str">
        <f t="shared" si="2021"/>
        <v>10510001</v>
      </c>
      <c r="D11342">
        <v>89301202</v>
      </c>
      <c r="E11342" t="str">
        <f t="shared" si="2024"/>
        <v>8307205335</v>
      </c>
      <c r="F11342" s="1">
        <v>45187</v>
      </c>
      <c r="G11342" t="str">
        <f>"82145"</f>
        <v>82145</v>
      </c>
      <c r="H11342">
        <v>1</v>
      </c>
      <c r="I11342">
        <v>59</v>
      </c>
      <c r="J11342">
        <v>0</v>
      </c>
      <c r="K11342" t="str">
        <f t="shared" si="2022"/>
        <v>802</v>
      </c>
      <c r="L11342">
        <v>57.23</v>
      </c>
    </row>
    <row r="11343" spans="1:12" x14ac:dyDescent="0.25">
      <c r="A11343" t="str">
        <f t="shared" si="2023"/>
        <v>89301000</v>
      </c>
      <c r="B11343" t="str">
        <f t="shared" si="2020"/>
        <v>10510000</v>
      </c>
      <c r="C11343" t="str">
        <f t="shared" si="2021"/>
        <v>10510001</v>
      </c>
      <c r="D11343">
        <v>89301202</v>
      </c>
      <c r="E11343" t="str">
        <f t="shared" si="2024"/>
        <v>8307205335</v>
      </c>
      <c r="F11343" s="1">
        <v>45187</v>
      </c>
      <c r="G11343" t="str">
        <f>"82111"</f>
        <v>82111</v>
      </c>
      <c r="H11343">
        <v>1</v>
      </c>
      <c r="I11343">
        <v>37</v>
      </c>
      <c r="J11343">
        <v>0</v>
      </c>
      <c r="K11343" t="str">
        <f t="shared" si="2022"/>
        <v>802</v>
      </c>
      <c r="L11343">
        <v>35.89</v>
      </c>
    </row>
    <row r="11344" spans="1:12" x14ac:dyDescent="0.25">
      <c r="A11344" t="str">
        <f t="shared" si="2023"/>
        <v>89301000</v>
      </c>
      <c r="B11344" t="str">
        <f t="shared" si="2020"/>
        <v>10510000</v>
      </c>
      <c r="C11344" t="str">
        <f t="shared" si="2021"/>
        <v>10510001</v>
      </c>
      <c r="D11344">
        <v>89301202</v>
      </c>
      <c r="E11344" t="str">
        <f t="shared" si="2024"/>
        <v>8307205335</v>
      </c>
      <c r="F11344" s="1">
        <v>45187</v>
      </c>
      <c r="G11344" t="str">
        <f>"82113"</f>
        <v>82113</v>
      </c>
      <c r="H11344">
        <v>1</v>
      </c>
      <c r="I11344">
        <v>363</v>
      </c>
      <c r="J11344">
        <v>0</v>
      </c>
      <c r="K11344" t="str">
        <f t="shared" si="2022"/>
        <v>802</v>
      </c>
      <c r="L11344">
        <v>352.11</v>
      </c>
    </row>
    <row r="11345" spans="1:12" x14ac:dyDescent="0.25">
      <c r="A11345" t="str">
        <f t="shared" si="2023"/>
        <v>89301000</v>
      </c>
      <c r="B11345" t="str">
        <f t="shared" si="2020"/>
        <v>10510000</v>
      </c>
      <c r="C11345" t="str">
        <f t="shared" si="2021"/>
        <v>10510001</v>
      </c>
      <c r="D11345">
        <v>89301202</v>
      </c>
      <c r="E11345" t="str">
        <f t="shared" si="2024"/>
        <v>8307205335</v>
      </c>
      <c r="F11345" s="1">
        <v>45187</v>
      </c>
      <c r="G11345" t="str">
        <f>"82113"</f>
        <v>82113</v>
      </c>
      <c r="H11345">
        <v>1</v>
      </c>
      <c r="I11345">
        <v>363</v>
      </c>
      <c r="J11345">
        <v>0</v>
      </c>
      <c r="K11345" t="str">
        <f t="shared" si="2022"/>
        <v>802</v>
      </c>
      <c r="L11345">
        <v>352.11</v>
      </c>
    </row>
    <row r="11346" spans="1:12" x14ac:dyDescent="0.25">
      <c r="A11346" t="str">
        <f t="shared" si="2023"/>
        <v>89301000</v>
      </c>
      <c r="B11346" t="str">
        <f t="shared" si="2020"/>
        <v>10510000</v>
      </c>
      <c r="C11346" t="str">
        <f t="shared" si="2021"/>
        <v>10510001</v>
      </c>
      <c r="D11346">
        <v>89301202</v>
      </c>
      <c r="E11346" t="str">
        <f t="shared" si="2024"/>
        <v>8307205335</v>
      </c>
      <c r="F11346" s="1">
        <v>45184</v>
      </c>
      <c r="G11346" t="str">
        <f>"97111"</f>
        <v>97111</v>
      </c>
      <c r="H11346">
        <v>1</v>
      </c>
      <c r="I11346">
        <v>19</v>
      </c>
      <c r="J11346">
        <v>0</v>
      </c>
      <c r="K11346" t="str">
        <f t="shared" si="2022"/>
        <v>802</v>
      </c>
      <c r="L11346">
        <v>23.94</v>
      </c>
    </row>
    <row r="11347" spans="1:12" x14ac:dyDescent="0.25">
      <c r="A11347" t="str">
        <f t="shared" si="2023"/>
        <v>89301000</v>
      </c>
      <c r="B11347" t="str">
        <f t="shared" si="2020"/>
        <v>10510000</v>
      </c>
      <c r="C11347" t="str">
        <f t="shared" si="2021"/>
        <v>10510001</v>
      </c>
      <c r="D11347">
        <v>89301202</v>
      </c>
      <c r="E11347" t="str">
        <f t="shared" ref="E11347:E11352" si="2025">"6810011593"</f>
        <v>6810011593</v>
      </c>
      <c r="F11347" s="1">
        <v>45184</v>
      </c>
      <c r="G11347" t="str">
        <f>"97111"</f>
        <v>97111</v>
      </c>
      <c r="H11347">
        <v>1</v>
      </c>
      <c r="I11347">
        <v>19</v>
      </c>
      <c r="J11347">
        <v>0</v>
      </c>
      <c r="K11347" t="str">
        <f t="shared" si="2022"/>
        <v>802</v>
      </c>
      <c r="L11347">
        <v>23.94</v>
      </c>
    </row>
    <row r="11348" spans="1:12" x14ac:dyDescent="0.25">
      <c r="A11348" t="str">
        <f t="shared" si="2023"/>
        <v>89301000</v>
      </c>
      <c r="B11348" t="str">
        <f t="shared" si="2020"/>
        <v>10510000</v>
      </c>
      <c r="C11348" t="str">
        <f t="shared" si="2021"/>
        <v>10510001</v>
      </c>
      <c r="D11348">
        <v>89301202</v>
      </c>
      <c r="E11348" t="str">
        <f t="shared" si="2025"/>
        <v>6810011593</v>
      </c>
      <c r="F11348" s="1">
        <v>45187</v>
      </c>
      <c r="G11348" t="str">
        <f>"82113"</f>
        <v>82113</v>
      </c>
      <c r="H11348">
        <v>1</v>
      </c>
      <c r="I11348">
        <v>363</v>
      </c>
      <c r="J11348">
        <v>0</v>
      </c>
      <c r="K11348" t="str">
        <f t="shared" si="2022"/>
        <v>802</v>
      </c>
      <c r="L11348">
        <v>352.11</v>
      </c>
    </row>
    <row r="11349" spans="1:12" x14ac:dyDescent="0.25">
      <c r="A11349" t="str">
        <f t="shared" si="2023"/>
        <v>89301000</v>
      </c>
      <c r="B11349" t="str">
        <f t="shared" si="2020"/>
        <v>10510000</v>
      </c>
      <c r="C11349" t="str">
        <f t="shared" si="2021"/>
        <v>10510001</v>
      </c>
      <c r="D11349">
        <v>89301202</v>
      </c>
      <c r="E11349" t="str">
        <f t="shared" si="2025"/>
        <v>6810011593</v>
      </c>
      <c r="F11349" s="1">
        <v>45187</v>
      </c>
      <c r="G11349" t="str">
        <f>"82111"</f>
        <v>82111</v>
      </c>
      <c r="H11349">
        <v>1</v>
      </c>
      <c r="I11349">
        <v>37</v>
      </c>
      <c r="J11349">
        <v>0</v>
      </c>
      <c r="K11349" t="str">
        <f t="shared" si="2022"/>
        <v>802</v>
      </c>
      <c r="L11349">
        <v>35.89</v>
      </c>
    </row>
    <row r="11350" spans="1:12" x14ac:dyDescent="0.25">
      <c r="A11350" t="str">
        <f t="shared" si="2023"/>
        <v>89301000</v>
      </c>
      <c r="B11350" t="str">
        <f t="shared" si="2020"/>
        <v>10510000</v>
      </c>
      <c r="C11350" t="str">
        <f t="shared" si="2021"/>
        <v>10510001</v>
      </c>
      <c r="D11350">
        <v>89301202</v>
      </c>
      <c r="E11350" t="str">
        <f t="shared" si="2025"/>
        <v>6810011593</v>
      </c>
      <c r="F11350" s="1">
        <v>45187</v>
      </c>
      <c r="G11350" t="str">
        <f>"82145"</f>
        <v>82145</v>
      </c>
      <c r="H11350">
        <v>6</v>
      </c>
      <c r="I11350">
        <v>354</v>
      </c>
      <c r="J11350">
        <v>0</v>
      </c>
      <c r="K11350" t="str">
        <f t="shared" si="2022"/>
        <v>802</v>
      </c>
      <c r="L11350">
        <v>343.38</v>
      </c>
    </row>
    <row r="11351" spans="1:12" x14ac:dyDescent="0.25">
      <c r="A11351" t="str">
        <f t="shared" si="2023"/>
        <v>89301000</v>
      </c>
      <c r="B11351" t="str">
        <f t="shared" si="2020"/>
        <v>10510000</v>
      </c>
      <c r="C11351" t="str">
        <f t="shared" si="2021"/>
        <v>10510001</v>
      </c>
      <c r="D11351">
        <v>89301202</v>
      </c>
      <c r="E11351" t="str">
        <f t="shared" si="2025"/>
        <v>6810011593</v>
      </c>
      <c r="F11351" s="1">
        <v>45184</v>
      </c>
      <c r="G11351" t="str">
        <f>"82111"</f>
        <v>82111</v>
      </c>
      <c r="H11351">
        <v>1</v>
      </c>
      <c r="I11351">
        <v>37</v>
      </c>
      <c r="J11351">
        <v>0</v>
      </c>
      <c r="K11351" t="str">
        <f t="shared" si="2022"/>
        <v>802</v>
      </c>
      <c r="L11351">
        <v>35.89</v>
      </c>
    </row>
    <row r="11352" spans="1:12" x14ac:dyDescent="0.25">
      <c r="A11352" t="str">
        <f t="shared" si="2023"/>
        <v>89301000</v>
      </c>
      <c r="B11352" t="str">
        <f t="shared" si="2020"/>
        <v>10510000</v>
      </c>
      <c r="C11352" t="str">
        <f t="shared" si="2021"/>
        <v>10510001</v>
      </c>
      <c r="D11352">
        <v>89301202</v>
      </c>
      <c r="E11352" t="str">
        <f t="shared" si="2025"/>
        <v>6810011593</v>
      </c>
      <c r="F11352" s="1">
        <v>45187</v>
      </c>
      <c r="G11352" t="str">
        <f>"82079"</f>
        <v>82079</v>
      </c>
      <c r="H11352">
        <v>1</v>
      </c>
      <c r="I11352">
        <v>333</v>
      </c>
      <c r="J11352">
        <v>0</v>
      </c>
      <c r="K11352" t="str">
        <f t="shared" si="2022"/>
        <v>802</v>
      </c>
      <c r="L11352">
        <v>323.01</v>
      </c>
    </row>
    <row r="11353" spans="1:12" x14ac:dyDescent="0.25">
      <c r="A11353" t="str">
        <f t="shared" si="2023"/>
        <v>89301000</v>
      </c>
      <c r="B11353" t="str">
        <f t="shared" si="2020"/>
        <v>10510000</v>
      </c>
      <c r="C11353" t="str">
        <f t="shared" si="2021"/>
        <v>10510001</v>
      </c>
      <c r="D11353">
        <v>89301202</v>
      </c>
      <c r="E11353" t="str">
        <f>"6605161178"</f>
        <v>6605161178</v>
      </c>
      <c r="F11353" s="1">
        <v>45187</v>
      </c>
      <c r="G11353" t="str">
        <f>"82145"</f>
        <v>82145</v>
      </c>
      <c r="H11353">
        <v>6</v>
      </c>
      <c r="I11353">
        <v>354</v>
      </c>
      <c r="J11353">
        <v>0</v>
      </c>
      <c r="K11353" t="str">
        <f t="shared" si="2022"/>
        <v>802</v>
      </c>
      <c r="L11353">
        <v>343.38</v>
      </c>
    </row>
    <row r="11354" spans="1:12" x14ac:dyDescent="0.25">
      <c r="A11354" t="str">
        <f t="shared" si="2023"/>
        <v>89301000</v>
      </c>
      <c r="B11354" t="str">
        <f t="shared" si="2020"/>
        <v>10510000</v>
      </c>
      <c r="C11354" t="str">
        <f t="shared" si="2021"/>
        <v>10510001</v>
      </c>
      <c r="D11354">
        <v>89301202</v>
      </c>
      <c r="E11354" t="str">
        <f>"6605161178"</f>
        <v>6605161178</v>
      </c>
      <c r="F11354" s="1">
        <v>45187</v>
      </c>
      <c r="G11354" t="str">
        <f>"82079"</f>
        <v>82079</v>
      </c>
      <c r="H11354">
        <v>1</v>
      </c>
      <c r="I11354">
        <v>333</v>
      </c>
      <c r="J11354">
        <v>0</v>
      </c>
      <c r="K11354" t="str">
        <f t="shared" si="2022"/>
        <v>802</v>
      </c>
      <c r="L11354">
        <v>323.01</v>
      </c>
    </row>
    <row r="11355" spans="1:12" x14ac:dyDescent="0.25">
      <c r="A11355" t="str">
        <f t="shared" si="2023"/>
        <v>89301000</v>
      </c>
      <c r="B11355" t="str">
        <f t="shared" si="2020"/>
        <v>10510000</v>
      </c>
      <c r="C11355" t="str">
        <f t="shared" si="2021"/>
        <v>10510001</v>
      </c>
      <c r="D11355">
        <v>89301202</v>
      </c>
      <c r="E11355" t="str">
        <f>"6605161178"</f>
        <v>6605161178</v>
      </c>
      <c r="F11355" s="1">
        <v>45187</v>
      </c>
      <c r="G11355" t="str">
        <f>"82111"</f>
        <v>82111</v>
      </c>
      <c r="H11355">
        <v>1</v>
      </c>
      <c r="I11355">
        <v>37</v>
      </c>
      <c r="J11355">
        <v>0</v>
      </c>
      <c r="K11355" t="str">
        <f t="shared" si="2022"/>
        <v>802</v>
      </c>
      <c r="L11355">
        <v>35.89</v>
      </c>
    </row>
    <row r="11356" spans="1:12" x14ac:dyDescent="0.25">
      <c r="A11356" t="str">
        <f t="shared" si="2023"/>
        <v>89301000</v>
      </c>
      <c r="B11356" t="str">
        <f t="shared" si="2020"/>
        <v>10510000</v>
      </c>
      <c r="C11356" t="str">
        <f t="shared" si="2021"/>
        <v>10510001</v>
      </c>
      <c r="D11356">
        <v>89301202</v>
      </c>
      <c r="E11356" t="str">
        <f>"6605161178"</f>
        <v>6605161178</v>
      </c>
      <c r="F11356" s="1">
        <v>45187</v>
      </c>
      <c r="G11356" t="str">
        <f>"82113"</f>
        <v>82113</v>
      </c>
      <c r="H11356">
        <v>1</v>
      </c>
      <c r="I11356">
        <v>363</v>
      </c>
      <c r="J11356">
        <v>0</v>
      </c>
      <c r="K11356" t="str">
        <f t="shared" si="2022"/>
        <v>802</v>
      </c>
      <c r="L11356">
        <v>352.11</v>
      </c>
    </row>
    <row r="11357" spans="1:12" x14ac:dyDescent="0.25">
      <c r="A11357" t="str">
        <f t="shared" si="2023"/>
        <v>89301000</v>
      </c>
      <c r="B11357" t="str">
        <f t="shared" si="2020"/>
        <v>10510000</v>
      </c>
      <c r="C11357" t="str">
        <f t="shared" si="2021"/>
        <v>10510001</v>
      </c>
      <c r="D11357">
        <v>89301202</v>
      </c>
      <c r="E11357" t="str">
        <f>"6605161178"</f>
        <v>6605161178</v>
      </c>
      <c r="F11357" s="1">
        <v>45184</v>
      </c>
      <c r="G11357" t="str">
        <f>"97111"</f>
        <v>97111</v>
      </c>
      <c r="H11357">
        <v>1</v>
      </c>
      <c r="I11357">
        <v>19</v>
      </c>
      <c r="J11357">
        <v>0</v>
      </c>
      <c r="K11357" t="str">
        <f t="shared" si="2022"/>
        <v>802</v>
      </c>
      <c r="L11357">
        <v>23.94</v>
      </c>
    </row>
    <row r="11358" spans="1:12" x14ac:dyDescent="0.25">
      <c r="A11358" t="str">
        <f t="shared" si="2023"/>
        <v>89301000</v>
      </c>
      <c r="B11358" t="str">
        <f t="shared" ref="B11358:B11389" si="2026">"10510000"</f>
        <v>10510000</v>
      </c>
      <c r="C11358" t="str">
        <f t="shared" ref="C11358:C11389" si="2027">"10510001"</f>
        <v>10510001</v>
      </c>
      <c r="D11358">
        <v>89301202</v>
      </c>
      <c r="E11358" t="str">
        <f t="shared" ref="E11358:E11363" si="2028">"8809086253"</f>
        <v>8809086253</v>
      </c>
      <c r="F11358" s="1">
        <v>45184</v>
      </c>
      <c r="G11358" t="str">
        <f>"97111"</f>
        <v>97111</v>
      </c>
      <c r="H11358">
        <v>1</v>
      </c>
      <c r="I11358">
        <v>19</v>
      </c>
      <c r="J11358">
        <v>0</v>
      </c>
      <c r="K11358" t="str">
        <f t="shared" ref="K11358:K11389" si="2029">"802"</f>
        <v>802</v>
      </c>
      <c r="L11358">
        <v>23.94</v>
      </c>
    </row>
    <row r="11359" spans="1:12" x14ac:dyDescent="0.25">
      <c r="A11359" t="str">
        <f t="shared" si="2023"/>
        <v>89301000</v>
      </c>
      <c r="B11359" t="str">
        <f t="shared" si="2026"/>
        <v>10510000</v>
      </c>
      <c r="C11359" t="str">
        <f t="shared" si="2027"/>
        <v>10510001</v>
      </c>
      <c r="D11359">
        <v>89301202</v>
      </c>
      <c r="E11359" t="str">
        <f t="shared" si="2028"/>
        <v>8809086253</v>
      </c>
      <c r="F11359" s="1">
        <v>45188</v>
      </c>
      <c r="G11359" t="str">
        <f>"82113"</f>
        <v>82113</v>
      </c>
      <c r="H11359">
        <v>1</v>
      </c>
      <c r="I11359">
        <v>363</v>
      </c>
      <c r="J11359">
        <v>0</v>
      </c>
      <c r="K11359" t="str">
        <f t="shared" si="2029"/>
        <v>802</v>
      </c>
      <c r="L11359">
        <v>352.11</v>
      </c>
    </row>
    <row r="11360" spans="1:12" x14ac:dyDescent="0.25">
      <c r="A11360" t="str">
        <f t="shared" si="2023"/>
        <v>89301000</v>
      </c>
      <c r="B11360" t="str">
        <f t="shared" si="2026"/>
        <v>10510000</v>
      </c>
      <c r="C11360" t="str">
        <f t="shared" si="2027"/>
        <v>10510001</v>
      </c>
      <c r="D11360">
        <v>89301202</v>
      </c>
      <c r="E11360" t="str">
        <f t="shared" si="2028"/>
        <v>8809086253</v>
      </c>
      <c r="F11360" s="1">
        <v>45189</v>
      </c>
      <c r="G11360" t="str">
        <f>"82113"</f>
        <v>82113</v>
      </c>
      <c r="H11360">
        <v>1</v>
      </c>
      <c r="I11360">
        <v>363</v>
      </c>
      <c r="J11360">
        <v>0</v>
      </c>
      <c r="K11360" t="str">
        <f t="shared" si="2029"/>
        <v>802</v>
      </c>
      <c r="L11360">
        <v>352.11</v>
      </c>
    </row>
    <row r="11361" spans="1:12" x14ac:dyDescent="0.25">
      <c r="A11361" t="str">
        <f t="shared" si="2023"/>
        <v>89301000</v>
      </c>
      <c r="B11361" t="str">
        <f t="shared" si="2026"/>
        <v>10510000</v>
      </c>
      <c r="C11361" t="str">
        <f t="shared" si="2027"/>
        <v>10510001</v>
      </c>
      <c r="D11361">
        <v>89301202</v>
      </c>
      <c r="E11361" t="str">
        <f t="shared" si="2028"/>
        <v>8809086253</v>
      </c>
      <c r="F11361" s="1">
        <v>45187</v>
      </c>
      <c r="G11361" t="str">
        <f>"82145"</f>
        <v>82145</v>
      </c>
      <c r="H11361">
        <v>6</v>
      </c>
      <c r="I11361">
        <v>354</v>
      </c>
      <c r="J11361">
        <v>0</v>
      </c>
      <c r="K11361" t="str">
        <f t="shared" si="2029"/>
        <v>802</v>
      </c>
      <c r="L11361">
        <v>343.38</v>
      </c>
    </row>
    <row r="11362" spans="1:12" x14ac:dyDescent="0.25">
      <c r="A11362" t="str">
        <f t="shared" si="2023"/>
        <v>89301000</v>
      </c>
      <c r="B11362" t="str">
        <f t="shared" si="2026"/>
        <v>10510000</v>
      </c>
      <c r="C11362" t="str">
        <f t="shared" si="2027"/>
        <v>10510001</v>
      </c>
      <c r="D11362">
        <v>89301202</v>
      </c>
      <c r="E11362" t="str">
        <f t="shared" si="2028"/>
        <v>8809086253</v>
      </c>
      <c r="F11362" s="1">
        <v>45187</v>
      </c>
      <c r="G11362" t="str">
        <f>"82111"</f>
        <v>82111</v>
      </c>
      <c r="H11362">
        <v>1</v>
      </c>
      <c r="I11362">
        <v>37</v>
      </c>
      <c r="J11362">
        <v>0</v>
      </c>
      <c r="K11362" t="str">
        <f t="shared" si="2029"/>
        <v>802</v>
      </c>
      <c r="L11362">
        <v>35.89</v>
      </c>
    </row>
    <row r="11363" spans="1:12" x14ac:dyDescent="0.25">
      <c r="A11363" t="str">
        <f t="shared" si="2023"/>
        <v>89301000</v>
      </c>
      <c r="B11363" t="str">
        <f t="shared" si="2026"/>
        <v>10510000</v>
      </c>
      <c r="C11363" t="str">
        <f t="shared" si="2027"/>
        <v>10510001</v>
      </c>
      <c r="D11363">
        <v>89301202</v>
      </c>
      <c r="E11363" t="str">
        <f t="shared" si="2028"/>
        <v>8809086253</v>
      </c>
      <c r="F11363" s="1">
        <v>45187</v>
      </c>
      <c r="G11363" t="str">
        <f>"82079"</f>
        <v>82079</v>
      </c>
      <c r="H11363">
        <v>1</v>
      </c>
      <c r="I11363">
        <v>333</v>
      </c>
      <c r="J11363">
        <v>0</v>
      </c>
      <c r="K11363" t="str">
        <f t="shared" si="2029"/>
        <v>802</v>
      </c>
      <c r="L11363">
        <v>323.01</v>
      </c>
    </row>
    <row r="11364" spans="1:12" x14ac:dyDescent="0.25">
      <c r="A11364" t="str">
        <f t="shared" si="2023"/>
        <v>89301000</v>
      </c>
      <c r="B11364" t="str">
        <f t="shared" si="2026"/>
        <v>10510000</v>
      </c>
      <c r="C11364" t="str">
        <f t="shared" si="2027"/>
        <v>10510001</v>
      </c>
      <c r="D11364">
        <v>89301202</v>
      </c>
      <c r="E11364" t="str">
        <f>"8206155309"</f>
        <v>8206155309</v>
      </c>
      <c r="F11364" s="1">
        <v>45187</v>
      </c>
      <c r="G11364" t="str">
        <f>"97111"</f>
        <v>97111</v>
      </c>
      <c r="H11364">
        <v>1</v>
      </c>
      <c r="I11364">
        <v>19</v>
      </c>
      <c r="J11364">
        <v>0</v>
      </c>
      <c r="K11364" t="str">
        <f t="shared" si="2029"/>
        <v>802</v>
      </c>
      <c r="L11364">
        <v>23.94</v>
      </c>
    </row>
    <row r="11365" spans="1:12" x14ac:dyDescent="0.25">
      <c r="A11365" t="str">
        <f t="shared" si="2023"/>
        <v>89301000</v>
      </c>
      <c r="B11365" t="str">
        <f t="shared" si="2026"/>
        <v>10510000</v>
      </c>
      <c r="C11365" t="str">
        <f t="shared" si="2027"/>
        <v>10510001</v>
      </c>
      <c r="D11365">
        <v>89301202</v>
      </c>
      <c r="E11365" t="str">
        <f>"8206155309"</f>
        <v>8206155309</v>
      </c>
      <c r="F11365" s="1">
        <v>45188</v>
      </c>
      <c r="G11365" t="str">
        <f>"82113"</f>
        <v>82113</v>
      </c>
      <c r="H11365">
        <v>1</v>
      </c>
      <c r="I11365">
        <v>363</v>
      </c>
      <c r="J11365">
        <v>0</v>
      </c>
      <c r="K11365" t="str">
        <f t="shared" si="2029"/>
        <v>802</v>
      </c>
      <c r="L11365">
        <v>352.11</v>
      </c>
    </row>
    <row r="11366" spans="1:12" x14ac:dyDescent="0.25">
      <c r="A11366" t="str">
        <f t="shared" si="2023"/>
        <v>89301000</v>
      </c>
      <c r="B11366" t="str">
        <f t="shared" si="2026"/>
        <v>10510000</v>
      </c>
      <c r="C11366" t="str">
        <f t="shared" si="2027"/>
        <v>10510001</v>
      </c>
      <c r="D11366">
        <v>89301202</v>
      </c>
      <c r="E11366" t="str">
        <f>"8206155309"</f>
        <v>8206155309</v>
      </c>
      <c r="F11366" s="1">
        <v>45188</v>
      </c>
      <c r="G11366" t="str">
        <f>"82145"</f>
        <v>82145</v>
      </c>
      <c r="H11366">
        <v>6</v>
      </c>
      <c r="I11366">
        <v>354</v>
      </c>
      <c r="J11366">
        <v>0</v>
      </c>
      <c r="K11366" t="str">
        <f t="shared" si="2029"/>
        <v>802</v>
      </c>
      <c r="L11366">
        <v>343.38</v>
      </c>
    </row>
    <row r="11367" spans="1:12" x14ac:dyDescent="0.25">
      <c r="A11367" t="str">
        <f t="shared" si="2023"/>
        <v>89301000</v>
      </c>
      <c r="B11367" t="str">
        <f t="shared" si="2026"/>
        <v>10510000</v>
      </c>
      <c r="C11367" t="str">
        <f t="shared" si="2027"/>
        <v>10510001</v>
      </c>
      <c r="D11367">
        <v>89301202</v>
      </c>
      <c r="E11367" t="str">
        <f>"8206155309"</f>
        <v>8206155309</v>
      </c>
      <c r="F11367" s="1">
        <v>45188</v>
      </c>
      <c r="G11367" t="str">
        <f>"82111"</f>
        <v>82111</v>
      </c>
      <c r="H11367">
        <v>1</v>
      </c>
      <c r="I11367">
        <v>37</v>
      </c>
      <c r="J11367">
        <v>0</v>
      </c>
      <c r="K11367" t="str">
        <f t="shared" si="2029"/>
        <v>802</v>
      </c>
      <c r="L11367">
        <v>35.89</v>
      </c>
    </row>
    <row r="11368" spans="1:12" x14ac:dyDescent="0.25">
      <c r="A11368" t="str">
        <f t="shared" si="2023"/>
        <v>89301000</v>
      </c>
      <c r="B11368" t="str">
        <f t="shared" si="2026"/>
        <v>10510000</v>
      </c>
      <c r="C11368" t="str">
        <f t="shared" si="2027"/>
        <v>10510001</v>
      </c>
      <c r="D11368">
        <v>89301202</v>
      </c>
      <c r="E11368" t="str">
        <f>"8206155309"</f>
        <v>8206155309</v>
      </c>
      <c r="F11368" s="1">
        <v>45188</v>
      </c>
      <c r="G11368" t="str">
        <f>"82079"</f>
        <v>82079</v>
      </c>
      <c r="H11368">
        <v>1</v>
      </c>
      <c r="I11368">
        <v>333</v>
      </c>
      <c r="J11368">
        <v>0</v>
      </c>
      <c r="K11368" t="str">
        <f t="shared" si="2029"/>
        <v>802</v>
      </c>
      <c r="L11368">
        <v>323.01</v>
      </c>
    </row>
    <row r="11369" spans="1:12" x14ac:dyDescent="0.25">
      <c r="A11369" t="str">
        <f t="shared" si="2023"/>
        <v>89301000</v>
      </c>
      <c r="B11369" t="str">
        <f t="shared" si="2026"/>
        <v>10510000</v>
      </c>
      <c r="C11369" t="str">
        <f t="shared" si="2027"/>
        <v>10510001</v>
      </c>
      <c r="D11369">
        <v>89301202</v>
      </c>
      <c r="E11369" t="str">
        <f>"7908175374"</f>
        <v>7908175374</v>
      </c>
      <c r="F11369" s="1">
        <v>45189</v>
      </c>
      <c r="G11369" t="str">
        <f>"82145"</f>
        <v>82145</v>
      </c>
      <c r="H11369">
        <v>6</v>
      </c>
      <c r="I11369">
        <v>354</v>
      </c>
      <c r="J11369">
        <v>0</v>
      </c>
      <c r="K11369" t="str">
        <f t="shared" si="2029"/>
        <v>802</v>
      </c>
      <c r="L11369">
        <v>343.38</v>
      </c>
    </row>
    <row r="11370" spans="1:12" x14ac:dyDescent="0.25">
      <c r="A11370" t="str">
        <f t="shared" si="2023"/>
        <v>89301000</v>
      </c>
      <c r="B11370" t="str">
        <f t="shared" si="2026"/>
        <v>10510000</v>
      </c>
      <c r="C11370" t="str">
        <f t="shared" si="2027"/>
        <v>10510001</v>
      </c>
      <c r="D11370">
        <v>89301202</v>
      </c>
      <c r="E11370" t="str">
        <f>"7908175374"</f>
        <v>7908175374</v>
      </c>
      <c r="F11370" s="1">
        <v>45189</v>
      </c>
      <c r="G11370" t="str">
        <f>"82079"</f>
        <v>82079</v>
      </c>
      <c r="H11370">
        <v>1</v>
      </c>
      <c r="I11370">
        <v>333</v>
      </c>
      <c r="J11370">
        <v>0</v>
      </c>
      <c r="K11370" t="str">
        <f t="shared" si="2029"/>
        <v>802</v>
      </c>
      <c r="L11370">
        <v>323.01</v>
      </c>
    </row>
    <row r="11371" spans="1:12" x14ac:dyDescent="0.25">
      <c r="A11371" t="str">
        <f t="shared" si="2023"/>
        <v>89301000</v>
      </c>
      <c r="B11371" t="str">
        <f t="shared" si="2026"/>
        <v>10510000</v>
      </c>
      <c r="C11371" t="str">
        <f t="shared" si="2027"/>
        <v>10510001</v>
      </c>
      <c r="D11371">
        <v>89301202</v>
      </c>
      <c r="E11371" t="str">
        <f>"7908175374"</f>
        <v>7908175374</v>
      </c>
      <c r="F11371" s="1">
        <v>45189</v>
      </c>
      <c r="G11371" t="str">
        <f>"82111"</f>
        <v>82111</v>
      </c>
      <c r="H11371">
        <v>1</v>
      </c>
      <c r="I11371">
        <v>37</v>
      </c>
      <c r="J11371">
        <v>0</v>
      </c>
      <c r="K11371" t="str">
        <f t="shared" si="2029"/>
        <v>802</v>
      </c>
      <c r="L11371">
        <v>35.89</v>
      </c>
    </row>
    <row r="11372" spans="1:12" x14ac:dyDescent="0.25">
      <c r="A11372" t="str">
        <f t="shared" si="2023"/>
        <v>89301000</v>
      </c>
      <c r="B11372" t="str">
        <f t="shared" si="2026"/>
        <v>10510000</v>
      </c>
      <c r="C11372" t="str">
        <f t="shared" si="2027"/>
        <v>10510001</v>
      </c>
      <c r="D11372">
        <v>89301202</v>
      </c>
      <c r="E11372" t="str">
        <f>"7908175374"</f>
        <v>7908175374</v>
      </c>
      <c r="F11372" s="1">
        <v>45189</v>
      </c>
      <c r="G11372" t="str">
        <f>"82113"</f>
        <v>82113</v>
      </c>
      <c r="H11372">
        <v>1</v>
      </c>
      <c r="I11372">
        <v>363</v>
      </c>
      <c r="J11372">
        <v>0</v>
      </c>
      <c r="K11372" t="str">
        <f t="shared" si="2029"/>
        <v>802</v>
      </c>
      <c r="L11372">
        <v>352.11</v>
      </c>
    </row>
    <row r="11373" spans="1:12" x14ac:dyDescent="0.25">
      <c r="A11373" t="str">
        <f t="shared" si="2023"/>
        <v>89301000</v>
      </c>
      <c r="B11373" t="str">
        <f t="shared" si="2026"/>
        <v>10510000</v>
      </c>
      <c r="C11373" t="str">
        <f t="shared" si="2027"/>
        <v>10510001</v>
      </c>
      <c r="D11373">
        <v>89301202</v>
      </c>
      <c r="E11373" t="str">
        <f>"7908175374"</f>
        <v>7908175374</v>
      </c>
      <c r="F11373" s="1">
        <v>45188</v>
      </c>
      <c r="G11373" t="str">
        <f>"97111"</f>
        <v>97111</v>
      </c>
      <c r="H11373">
        <v>1</v>
      </c>
      <c r="I11373">
        <v>19</v>
      </c>
      <c r="J11373">
        <v>0</v>
      </c>
      <c r="K11373" t="str">
        <f t="shared" si="2029"/>
        <v>802</v>
      </c>
      <c r="L11373">
        <v>23.94</v>
      </c>
    </row>
    <row r="11374" spans="1:12" x14ac:dyDescent="0.25">
      <c r="A11374" t="str">
        <f t="shared" si="2023"/>
        <v>89301000</v>
      </c>
      <c r="B11374" t="str">
        <f t="shared" si="2026"/>
        <v>10510000</v>
      </c>
      <c r="C11374" t="str">
        <f t="shared" si="2027"/>
        <v>10510001</v>
      </c>
      <c r="D11374">
        <v>89301202</v>
      </c>
      <c r="E11374" t="str">
        <f>"2303180275"</f>
        <v>2303180275</v>
      </c>
      <c r="F11374" s="1">
        <v>45188</v>
      </c>
      <c r="G11374" t="str">
        <f>"97111"</f>
        <v>97111</v>
      </c>
      <c r="H11374">
        <v>1</v>
      </c>
      <c r="I11374">
        <v>19</v>
      </c>
      <c r="J11374">
        <v>0</v>
      </c>
      <c r="K11374" t="str">
        <f t="shared" si="2029"/>
        <v>802</v>
      </c>
      <c r="L11374">
        <v>23.94</v>
      </c>
    </row>
    <row r="11375" spans="1:12" x14ac:dyDescent="0.25">
      <c r="A11375" t="str">
        <f t="shared" si="2023"/>
        <v>89301000</v>
      </c>
      <c r="B11375" t="str">
        <f t="shared" si="2026"/>
        <v>10510000</v>
      </c>
      <c r="C11375" t="str">
        <f t="shared" si="2027"/>
        <v>10510001</v>
      </c>
      <c r="D11375">
        <v>89301202</v>
      </c>
      <c r="E11375" t="str">
        <f>"2303180275"</f>
        <v>2303180275</v>
      </c>
      <c r="F11375" s="1">
        <v>45189</v>
      </c>
      <c r="G11375" t="str">
        <f>"82113"</f>
        <v>82113</v>
      </c>
      <c r="H11375">
        <v>1</v>
      </c>
      <c r="I11375">
        <v>363</v>
      </c>
      <c r="J11375">
        <v>0</v>
      </c>
      <c r="K11375" t="str">
        <f t="shared" si="2029"/>
        <v>802</v>
      </c>
      <c r="L11375">
        <v>352.11</v>
      </c>
    </row>
    <row r="11376" spans="1:12" x14ac:dyDescent="0.25">
      <c r="A11376" t="str">
        <f t="shared" si="2023"/>
        <v>89301000</v>
      </c>
      <c r="B11376" t="str">
        <f t="shared" si="2026"/>
        <v>10510000</v>
      </c>
      <c r="C11376" t="str">
        <f t="shared" si="2027"/>
        <v>10510001</v>
      </c>
      <c r="D11376">
        <v>89301202</v>
      </c>
      <c r="E11376" t="str">
        <f>"2303180275"</f>
        <v>2303180275</v>
      </c>
      <c r="F11376" s="1">
        <v>45189</v>
      </c>
      <c r="G11376" t="str">
        <f>"82145"</f>
        <v>82145</v>
      </c>
      <c r="H11376">
        <v>6</v>
      </c>
      <c r="I11376">
        <v>354</v>
      </c>
      <c r="J11376">
        <v>0</v>
      </c>
      <c r="K11376" t="str">
        <f t="shared" si="2029"/>
        <v>802</v>
      </c>
      <c r="L11376">
        <v>343.38</v>
      </c>
    </row>
    <row r="11377" spans="1:12" x14ac:dyDescent="0.25">
      <c r="A11377" t="str">
        <f t="shared" si="2023"/>
        <v>89301000</v>
      </c>
      <c r="B11377" t="str">
        <f t="shared" si="2026"/>
        <v>10510000</v>
      </c>
      <c r="C11377" t="str">
        <f t="shared" si="2027"/>
        <v>10510001</v>
      </c>
      <c r="D11377">
        <v>89301202</v>
      </c>
      <c r="E11377" t="str">
        <f>"2303180275"</f>
        <v>2303180275</v>
      </c>
      <c r="F11377" s="1">
        <v>45189</v>
      </c>
      <c r="G11377" t="str">
        <f>"82111"</f>
        <v>82111</v>
      </c>
      <c r="H11377">
        <v>1</v>
      </c>
      <c r="I11377">
        <v>37</v>
      </c>
      <c r="J11377">
        <v>0</v>
      </c>
      <c r="K11377" t="str">
        <f t="shared" si="2029"/>
        <v>802</v>
      </c>
      <c r="L11377">
        <v>35.89</v>
      </c>
    </row>
    <row r="11378" spans="1:12" x14ac:dyDescent="0.25">
      <c r="A11378" t="str">
        <f t="shared" si="2023"/>
        <v>89301000</v>
      </c>
      <c r="B11378" t="str">
        <f t="shared" si="2026"/>
        <v>10510000</v>
      </c>
      <c r="C11378" t="str">
        <f t="shared" si="2027"/>
        <v>10510001</v>
      </c>
      <c r="D11378">
        <v>89301202</v>
      </c>
      <c r="E11378" t="str">
        <f>"2303180275"</f>
        <v>2303180275</v>
      </c>
      <c r="F11378" s="1">
        <v>45189</v>
      </c>
      <c r="G11378" t="str">
        <f>"82079"</f>
        <v>82079</v>
      </c>
      <c r="H11378">
        <v>1</v>
      </c>
      <c r="I11378">
        <v>333</v>
      </c>
      <c r="J11378">
        <v>0</v>
      </c>
      <c r="K11378" t="str">
        <f t="shared" si="2029"/>
        <v>802</v>
      </c>
      <c r="L11378">
        <v>323.01</v>
      </c>
    </row>
    <row r="11379" spans="1:12" x14ac:dyDescent="0.25">
      <c r="A11379" t="str">
        <f t="shared" si="2023"/>
        <v>89301000</v>
      </c>
      <c r="B11379" t="str">
        <f t="shared" si="2026"/>
        <v>10510000</v>
      </c>
      <c r="C11379" t="str">
        <f t="shared" si="2027"/>
        <v>10510001</v>
      </c>
      <c r="D11379">
        <v>89301202</v>
      </c>
      <c r="E11379" t="str">
        <f t="shared" ref="E11379:E11384" si="2030">"8711014917"</f>
        <v>8711014917</v>
      </c>
      <c r="F11379" s="1">
        <v>45190</v>
      </c>
      <c r="G11379" t="str">
        <f>"82145"</f>
        <v>82145</v>
      </c>
      <c r="H11379">
        <v>6</v>
      </c>
      <c r="I11379">
        <v>354</v>
      </c>
      <c r="J11379">
        <v>0</v>
      </c>
      <c r="K11379" t="str">
        <f t="shared" si="2029"/>
        <v>802</v>
      </c>
      <c r="L11379">
        <v>343.38</v>
      </c>
    </row>
    <row r="11380" spans="1:12" x14ac:dyDescent="0.25">
      <c r="A11380" t="str">
        <f t="shared" si="2023"/>
        <v>89301000</v>
      </c>
      <c r="B11380" t="str">
        <f t="shared" si="2026"/>
        <v>10510000</v>
      </c>
      <c r="C11380" t="str">
        <f t="shared" si="2027"/>
        <v>10510001</v>
      </c>
      <c r="D11380">
        <v>89301202</v>
      </c>
      <c r="E11380" t="str">
        <f t="shared" si="2030"/>
        <v>8711014917</v>
      </c>
      <c r="F11380" s="1">
        <v>45191</v>
      </c>
      <c r="G11380" t="str">
        <f>"82079"</f>
        <v>82079</v>
      </c>
      <c r="H11380">
        <v>1</v>
      </c>
      <c r="I11380">
        <v>333</v>
      </c>
      <c r="J11380">
        <v>0</v>
      </c>
      <c r="K11380" t="str">
        <f t="shared" si="2029"/>
        <v>802</v>
      </c>
      <c r="L11380">
        <v>323.01</v>
      </c>
    </row>
    <row r="11381" spans="1:12" x14ac:dyDescent="0.25">
      <c r="A11381" t="str">
        <f t="shared" si="2023"/>
        <v>89301000</v>
      </c>
      <c r="B11381" t="str">
        <f t="shared" si="2026"/>
        <v>10510000</v>
      </c>
      <c r="C11381" t="str">
        <f t="shared" si="2027"/>
        <v>10510001</v>
      </c>
      <c r="D11381">
        <v>89301202</v>
      </c>
      <c r="E11381" t="str">
        <f t="shared" si="2030"/>
        <v>8711014917</v>
      </c>
      <c r="F11381" s="1">
        <v>45190</v>
      </c>
      <c r="G11381" t="str">
        <f>"82111"</f>
        <v>82111</v>
      </c>
      <c r="H11381">
        <v>1</v>
      </c>
      <c r="I11381">
        <v>37</v>
      </c>
      <c r="J11381">
        <v>0</v>
      </c>
      <c r="K11381" t="str">
        <f t="shared" si="2029"/>
        <v>802</v>
      </c>
      <c r="L11381">
        <v>35.89</v>
      </c>
    </row>
    <row r="11382" spans="1:12" x14ac:dyDescent="0.25">
      <c r="A11382" t="str">
        <f t="shared" si="2023"/>
        <v>89301000</v>
      </c>
      <c r="B11382" t="str">
        <f t="shared" si="2026"/>
        <v>10510000</v>
      </c>
      <c r="C11382" t="str">
        <f t="shared" si="2027"/>
        <v>10510001</v>
      </c>
      <c r="D11382">
        <v>89301202</v>
      </c>
      <c r="E11382" t="str">
        <f t="shared" si="2030"/>
        <v>8711014917</v>
      </c>
      <c r="F11382" s="1">
        <v>45189</v>
      </c>
      <c r="G11382" t="str">
        <f>"97111"</f>
        <v>97111</v>
      </c>
      <c r="H11382">
        <v>1</v>
      </c>
      <c r="I11382">
        <v>19</v>
      </c>
      <c r="J11382">
        <v>0</v>
      </c>
      <c r="K11382" t="str">
        <f t="shared" si="2029"/>
        <v>802</v>
      </c>
      <c r="L11382">
        <v>23.94</v>
      </c>
    </row>
    <row r="11383" spans="1:12" x14ac:dyDescent="0.25">
      <c r="A11383" t="str">
        <f t="shared" si="2023"/>
        <v>89301000</v>
      </c>
      <c r="B11383" t="str">
        <f t="shared" si="2026"/>
        <v>10510000</v>
      </c>
      <c r="C11383" t="str">
        <f t="shared" si="2027"/>
        <v>10510001</v>
      </c>
      <c r="D11383">
        <v>89301202</v>
      </c>
      <c r="E11383" t="str">
        <f t="shared" si="2030"/>
        <v>8711014917</v>
      </c>
      <c r="F11383" s="1">
        <v>45190</v>
      </c>
      <c r="G11383" t="str">
        <f>"82113"</f>
        <v>82113</v>
      </c>
      <c r="H11383">
        <v>1</v>
      </c>
      <c r="I11383">
        <v>363</v>
      </c>
      <c r="J11383">
        <v>0</v>
      </c>
      <c r="K11383" t="str">
        <f t="shared" si="2029"/>
        <v>802</v>
      </c>
      <c r="L11383">
        <v>352.11</v>
      </c>
    </row>
    <row r="11384" spans="1:12" x14ac:dyDescent="0.25">
      <c r="A11384" t="str">
        <f t="shared" si="2023"/>
        <v>89301000</v>
      </c>
      <c r="B11384" t="str">
        <f t="shared" si="2026"/>
        <v>10510000</v>
      </c>
      <c r="C11384" t="str">
        <f t="shared" si="2027"/>
        <v>10510001</v>
      </c>
      <c r="D11384">
        <v>89301202</v>
      </c>
      <c r="E11384" t="str">
        <f t="shared" si="2030"/>
        <v>8711014917</v>
      </c>
      <c r="F11384" s="1">
        <v>45194</v>
      </c>
      <c r="G11384" t="str">
        <f>"82113"</f>
        <v>82113</v>
      </c>
      <c r="H11384">
        <v>1</v>
      </c>
      <c r="I11384">
        <v>363</v>
      </c>
      <c r="J11384">
        <v>0</v>
      </c>
      <c r="K11384" t="str">
        <f t="shared" si="2029"/>
        <v>802</v>
      </c>
      <c r="L11384">
        <v>352.11</v>
      </c>
    </row>
    <row r="11385" spans="1:12" x14ac:dyDescent="0.25">
      <c r="A11385" t="str">
        <f t="shared" si="2023"/>
        <v>89301000</v>
      </c>
      <c r="B11385" t="str">
        <f t="shared" si="2026"/>
        <v>10510000</v>
      </c>
      <c r="C11385" t="str">
        <f t="shared" si="2027"/>
        <v>10510001</v>
      </c>
      <c r="D11385">
        <v>89301202</v>
      </c>
      <c r="E11385" t="str">
        <f>"8101075323"</f>
        <v>8101075323</v>
      </c>
      <c r="F11385" s="1">
        <v>45191</v>
      </c>
      <c r="G11385" t="str">
        <f>"82145"</f>
        <v>82145</v>
      </c>
      <c r="H11385">
        <v>1</v>
      </c>
      <c r="I11385">
        <v>59</v>
      </c>
      <c r="J11385">
        <v>0</v>
      </c>
      <c r="K11385" t="str">
        <f t="shared" si="2029"/>
        <v>802</v>
      </c>
      <c r="L11385">
        <v>57.23</v>
      </c>
    </row>
    <row r="11386" spans="1:12" x14ac:dyDescent="0.25">
      <c r="A11386" t="str">
        <f t="shared" si="2023"/>
        <v>89301000</v>
      </c>
      <c r="B11386" t="str">
        <f t="shared" si="2026"/>
        <v>10510000</v>
      </c>
      <c r="C11386" t="str">
        <f t="shared" si="2027"/>
        <v>10510001</v>
      </c>
      <c r="D11386">
        <v>89301202</v>
      </c>
      <c r="E11386" t="str">
        <f>"8101075323"</f>
        <v>8101075323</v>
      </c>
      <c r="F11386" s="1">
        <v>45191</v>
      </c>
      <c r="G11386" t="str">
        <f>"82079"</f>
        <v>82079</v>
      </c>
      <c r="H11386">
        <v>1</v>
      </c>
      <c r="I11386">
        <v>333</v>
      </c>
      <c r="J11386">
        <v>0</v>
      </c>
      <c r="K11386" t="str">
        <f t="shared" si="2029"/>
        <v>802</v>
      </c>
      <c r="L11386">
        <v>323.01</v>
      </c>
    </row>
    <row r="11387" spans="1:12" x14ac:dyDescent="0.25">
      <c r="A11387" t="str">
        <f t="shared" si="2023"/>
        <v>89301000</v>
      </c>
      <c r="B11387" t="str">
        <f t="shared" si="2026"/>
        <v>10510000</v>
      </c>
      <c r="C11387" t="str">
        <f t="shared" si="2027"/>
        <v>10510001</v>
      </c>
      <c r="D11387">
        <v>89301202</v>
      </c>
      <c r="E11387" t="str">
        <f>"8101075323"</f>
        <v>8101075323</v>
      </c>
      <c r="F11387" s="1">
        <v>45191</v>
      </c>
      <c r="G11387" t="str">
        <f>"82111"</f>
        <v>82111</v>
      </c>
      <c r="H11387">
        <v>1</v>
      </c>
      <c r="I11387">
        <v>37</v>
      </c>
      <c r="J11387">
        <v>0</v>
      </c>
      <c r="K11387" t="str">
        <f t="shared" si="2029"/>
        <v>802</v>
      </c>
      <c r="L11387">
        <v>35.89</v>
      </c>
    </row>
    <row r="11388" spans="1:12" x14ac:dyDescent="0.25">
      <c r="A11388" t="str">
        <f t="shared" si="2023"/>
        <v>89301000</v>
      </c>
      <c r="B11388" t="str">
        <f t="shared" si="2026"/>
        <v>10510000</v>
      </c>
      <c r="C11388" t="str">
        <f t="shared" si="2027"/>
        <v>10510001</v>
      </c>
      <c r="D11388">
        <v>89301202</v>
      </c>
      <c r="E11388" t="str">
        <f>"8101075323"</f>
        <v>8101075323</v>
      </c>
      <c r="F11388" s="1">
        <v>45190</v>
      </c>
      <c r="G11388" t="str">
        <f>"97111"</f>
        <v>97111</v>
      </c>
      <c r="H11388">
        <v>1</v>
      </c>
      <c r="I11388">
        <v>19</v>
      </c>
      <c r="J11388">
        <v>0</v>
      </c>
      <c r="K11388" t="str">
        <f t="shared" si="2029"/>
        <v>802</v>
      </c>
      <c r="L11388">
        <v>23.94</v>
      </c>
    </row>
    <row r="11389" spans="1:12" x14ac:dyDescent="0.25">
      <c r="A11389" t="str">
        <f t="shared" si="2023"/>
        <v>89301000</v>
      </c>
      <c r="B11389" t="str">
        <f t="shared" si="2026"/>
        <v>10510000</v>
      </c>
      <c r="C11389" t="str">
        <f t="shared" si="2027"/>
        <v>10510001</v>
      </c>
      <c r="D11389">
        <v>89301202</v>
      </c>
      <c r="E11389" t="str">
        <f>"8101075323"</f>
        <v>8101075323</v>
      </c>
      <c r="F11389" s="1">
        <v>45191</v>
      </c>
      <c r="G11389" t="str">
        <f>"82113"</f>
        <v>82113</v>
      </c>
      <c r="H11389">
        <v>1</v>
      </c>
      <c r="I11389">
        <v>363</v>
      </c>
      <c r="J11389">
        <v>0</v>
      </c>
      <c r="K11389" t="str">
        <f t="shared" si="2029"/>
        <v>802</v>
      </c>
      <c r="L11389">
        <v>352.11</v>
      </c>
    </row>
    <row r="11390" spans="1:12" x14ac:dyDescent="0.25">
      <c r="A11390" t="str">
        <f t="shared" si="2023"/>
        <v>89301000</v>
      </c>
      <c r="B11390" t="str">
        <f t="shared" ref="B11390:B11421" si="2031">"10510000"</f>
        <v>10510000</v>
      </c>
      <c r="C11390" t="str">
        <f t="shared" ref="C11390:C11421" si="2032">"10510001"</f>
        <v>10510001</v>
      </c>
      <c r="D11390">
        <v>89301202</v>
      </c>
      <c r="E11390" t="str">
        <f t="shared" ref="E11390:E11395" si="2033">"5605062111"</f>
        <v>5605062111</v>
      </c>
      <c r="F11390" s="1">
        <v>45191</v>
      </c>
      <c r="G11390" t="str">
        <f>"82113"</f>
        <v>82113</v>
      </c>
      <c r="H11390">
        <v>1</v>
      </c>
      <c r="I11390">
        <v>363</v>
      </c>
      <c r="J11390">
        <v>0</v>
      </c>
      <c r="K11390" t="str">
        <f t="shared" ref="K11390:K11421" si="2034">"802"</f>
        <v>802</v>
      </c>
      <c r="L11390">
        <v>352.11</v>
      </c>
    </row>
    <row r="11391" spans="1:12" x14ac:dyDescent="0.25">
      <c r="A11391" t="str">
        <f t="shared" si="2023"/>
        <v>89301000</v>
      </c>
      <c r="B11391" t="str">
        <f t="shared" si="2031"/>
        <v>10510000</v>
      </c>
      <c r="C11391" t="str">
        <f t="shared" si="2032"/>
        <v>10510001</v>
      </c>
      <c r="D11391">
        <v>89301202</v>
      </c>
      <c r="E11391" t="str">
        <f t="shared" si="2033"/>
        <v>5605062111</v>
      </c>
      <c r="F11391" s="1">
        <v>45190</v>
      </c>
      <c r="G11391" t="str">
        <f>"97111"</f>
        <v>97111</v>
      </c>
      <c r="H11391">
        <v>1</v>
      </c>
      <c r="I11391">
        <v>19</v>
      </c>
      <c r="J11391">
        <v>0</v>
      </c>
      <c r="K11391" t="str">
        <f t="shared" si="2034"/>
        <v>802</v>
      </c>
      <c r="L11391">
        <v>23.94</v>
      </c>
    </row>
    <row r="11392" spans="1:12" x14ac:dyDescent="0.25">
      <c r="A11392" t="str">
        <f t="shared" si="2023"/>
        <v>89301000</v>
      </c>
      <c r="B11392" t="str">
        <f t="shared" si="2031"/>
        <v>10510000</v>
      </c>
      <c r="C11392" t="str">
        <f t="shared" si="2032"/>
        <v>10510001</v>
      </c>
      <c r="D11392">
        <v>89301202</v>
      </c>
      <c r="E11392" t="str">
        <f t="shared" si="2033"/>
        <v>5605062111</v>
      </c>
      <c r="F11392" s="1">
        <v>45191</v>
      </c>
      <c r="G11392" t="str">
        <f>"82145"</f>
        <v>82145</v>
      </c>
      <c r="H11392">
        <v>6</v>
      </c>
      <c r="I11392">
        <v>354</v>
      </c>
      <c r="J11392">
        <v>0</v>
      </c>
      <c r="K11392" t="str">
        <f t="shared" si="2034"/>
        <v>802</v>
      </c>
      <c r="L11392">
        <v>343.38</v>
      </c>
    </row>
    <row r="11393" spans="1:12" x14ac:dyDescent="0.25">
      <c r="A11393" t="str">
        <f t="shared" si="2023"/>
        <v>89301000</v>
      </c>
      <c r="B11393" t="str">
        <f t="shared" si="2031"/>
        <v>10510000</v>
      </c>
      <c r="C11393" t="str">
        <f t="shared" si="2032"/>
        <v>10510001</v>
      </c>
      <c r="D11393">
        <v>89301202</v>
      </c>
      <c r="E11393" t="str">
        <f t="shared" si="2033"/>
        <v>5605062111</v>
      </c>
      <c r="F11393" s="1">
        <v>45191</v>
      </c>
      <c r="G11393" t="str">
        <f>"82111"</f>
        <v>82111</v>
      </c>
      <c r="H11393">
        <v>1</v>
      </c>
      <c r="I11393">
        <v>37</v>
      </c>
      <c r="J11393">
        <v>0</v>
      </c>
      <c r="K11393" t="str">
        <f t="shared" si="2034"/>
        <v>802</v>
      </c>
      <c r="L11393">
        <v>35.89</v>
      </c>
    </row>
    <row r="11394" spans="1:12" x14ac:dyDescent="0.25">
      <c r="A11394" t="str">
        <f t="shared" ref="A11394:A11457" si="2035">"89301000"</f>
        <v>89301000</v>
      </c>
      <c r="B11394" t="str">
        <f t="shared" si="2031"/>
        <v>10510000</v>
      </c>
      <c r="C11394" t="str">
        <f t="shared" si="2032"/>
        <v>10510001</v>
      </c>
      <c r="D11394">
        <v>89301202</v>
      </c>
      <c r="E11394" t="str">
        <f t="shared" si="2033"/>
        <v>5605062111</v>
      </c>
      <c r="F11394" s="1">
        <v>45190</v>
      </c>
      <c r="G11394" t="str">
        <f>"82111"</f>
        <v>82111</v>
      </c>
      <c r="H11394">
        <v>1</v>
      </c>
      <c r="I11394">
        <v>37</v>
      </c>
      <c r="J11394">
        <v>0</v>
      </c>
      <c r="K11394" t="str">
        <f t="shared" si="2034"/>
        <v>802</v>
      </c>
      <c r="L11394">
        <v>35.89</v>
      </c>
    </row>
    <row r="11395" spans="1:12" x14ac:dyDescent="0.25">
      <c r="A11395" t="str">
        <f t="shared" si="2035"/>
        <v>89301000</v>
      </c>
      <c r="B11395" t="str">
        <f t="shared" si="2031"/>
        <v>10510000</v>
      </c>
      <c r="C11395" t="str">
        <f t="shared" si="2032"/>
        <v>10510001</v>
      </c>
      <c r="D11395">
        <v>89301202</v>
      </c>
      <c r="E11395" t="str">
        <f t="shared" si="2033"/>
        <v>5605062111</v>
      </c>
      <c r="F11395" s="1">
        <v>45191</v>
      </c>
      <c r="G11395" t="str">
        <f>"82079"</f>
        <v>82079</v>
      </c>
      <c r="H11395">
        <v>1</v>
      </c>
      <c r="I11395">
        <v>333</v>
      </c>
      <c r="J11395">
        <v>0</v>
      </c>
      <c r="K11395" t="str">
        <f t="shared" si="2034"/>
        <v>802</v>
      </c>
      <c r="L11395">
        <v>323.01</v>
      </c>
    </row>
    <row r="11396" spans="1:12" x14ac:dyDescent="0.25">
      <c r="A11396" t="str">
        <f t="shared" si="2035"/>
        <v>89301000</v>
      </c>
      <c r="B11396" t="str">
        <f t="shared" si="2031"/>
        <v>10510000</v>
      </c>
      <c r="C11396" t="str">
        <f t="shared" si="2032"/>
        <v>10510001</v>
      </c>
      <c r="D11396">
        <v>89301355</v>
      </c>
      <c r="E11396" t="str">
        <f>"0161065586"</f>
        <v>0161065586</v>
      </c>
      <c r="F11396" s="1">
        <v>45194</v>
      </c>
      <c r="G11396" t="str">
        <f>"82113"</f>
        <v>82113</v>
      </c>
      <c r="H11396">
        <v>1</v>
      </c>
      <c r="I11396">
        <v>363</v>
      </c>
      <c r="J11396">
        <v>0</v>
      </c>
      <c r="K11396" t="str">
        <f t="shared" si="2034"/>
        <v>802</v>
      </c>
      <c r="L11396">
        <v>352.11</v>
      </c>
    </row>
    <row r="11397" spans="1:12" x14ac:dyDescent="0.25">
      <c r="A11397" t="str">
        <f t="shared" si="2035"/>
        <v>89301000</v>
      </c>
      <c r="B11397" t="str">
        <f t="shared" si="2031"/>
        <v>10510000</v>
      </c>
      <c r="C11397" t="str">
        <f t="shared" si="2032"/>
        <v>10510001</v>
      </c>
      <c r="D11397">
        <v>89301355</v>
      </c>
      <c r="E11397" t="str">
        <f>"0161065586"</f>
        <v>0161065586</v>
      </c>
      <c r="F11397" s="1">
        <v>45194</v>
      </c>
      <c r="G11397" t="str">
        <f>"82145"</f>
        <v>82145</v>
      </c>
      <c r="H11397">
        <v>1</v>
      </c>
      <c r="I11397">
        <v>59</v>
      </c>
      <c r="J11397">
        <v>0</v>
      </c>
      <c r="K11397" t="str">
        <f t="shared" si="2034"/>
        <v>802</v>
      </c>
      <c r="L11397">
        <v>57.23</v>
      </c>
    </row>
    <row r="11398" spans="1:12" x14ac:dyDescent="0.25">
      <c r="A11398" t="str">
        <f t="shared" si="2035"/>
        <v>89301000</v>
      </c>
      <c r="B11398" t="str">
        <f t="shared" si="2031"/>
        <v>10510000</v>
      </c>
      <c r="C11398" t="str">
        <f t="shared" si="2032"/>
        <v>10510001</v>
      </c>
      <c r="D11398">
        <v>89301355</v>
      </c>
      <c r="E11398" t="str">
        <f>"0161065586"</f>
        <v>0161065586</v>
      </c>
      <c r="F11398" s="1">
        <v>45194</v>
      </c>
      <c r="G11398" t="str">
        <f>"82079"</f>
        <v>82079</v>
      </c>
      <c r="H11398">
        <v>1</v>
      </c>
      <c r="I11398">
        <v>333</v>
      </c>
      <c r="J11398">
        <v>0</v>
      </c>
      <c r="K11398" t="str">
        <f t="shared" si="2034"/>
        <v>802</v>
      </c>
      <c r="L11398">
        <v>323.01</v>
      </c>
    </row>
    <row r="11399" spans="1:12" x14ac:dyDescent="0.25">
      <c r="A11399" t="str">
        <f t="shared" si="2035"/>
        <v>89301000</v>
      </c>
      <c r="B11399" t="str">
        <f t="shared" si="2031"/>
        <v>10510000</v>
      </c>
      <c r="C11399" t="str">
        <f t="shared" si="2032"/>
        <v>10510001</v>
      </c>
      <c r="D11399">
        <v>89301355</v>
      </c>
      <c r="E11399" t="str">
        <f>"0161065586"</f>
        <v>0161065586</v>
      </c>
      <c r="F11399" s="1">
        <v>45194</v>
      </c>
      <c r="G11399" t="str">
        <f>"82111"</f>
        <v>82111</v>
      </c>
      <c r="H11399">
        <v>1</v>
      </c>
      <c r="I11399">
        <v>37</v>
      </c>
      <c r="J11399">
        <v>0</v>
      </c>
      <c r="K11399" t="str">
        <f t="shared" si="2034"/>
        <v>802</v>
      </c>
      <c r="L11399">
        <v>35.89</v>
      </c>
    </row>
    <row r="11400" spans="1:12" x14ac:dyDescent="0.25">
      <c r="A11400" t="str">
        <f t="shared" si="2035"/>
        <v>89301000</v>
      </c>
      <c r="B11400" t="str">
        <f t="shared" si="2031"/>
        <v>10510000</v>
      </c>
      <c r="C11400" t="str">
        <f t="shared" si="2032"/>
        <v>10510001</v>
      </c>
      <c r="D11400">
        <v>89301355</v>
      </c>
      <c r="E11400" t="str">
        <f>"7861195815"</f>
        <v>7861195815</v>
      </c>
      <c r="F11400" s="1">
        <v>45194</v>
      </c>
      <c r="G11400" t="str">
        <f>"82145"</f>
        <v>82145</v>
      </c>
      <c r="H11400">
        <v>1</v>
      </c>
      <c r="I11400">
        <v>59</v>
      </c>
      <c r="J11400">
        <v>0</v>
      </c>
      <c r="K11400" t="str">
        <f t="shared" si="2034"/>
        <v>802</v>
      </c>
      <c r="L11400">
        <v>57.23</v>
      </c>
    </row>
    <row r="11401" spans="1:12" x14ac:dyDescent="0.25">
      <c r="A11401" t="str">
        <f t="shared" si="2035"/>
        <v>89301000</v>
      </c>
      <c r="B11401" t="str">
        <f t="shared" si="2031"/>
        <v>10510000</v>
      </c>
      <c r="C11401" t="str">
        <f t="shared" si="2032"/>
        <v>10510001</v>
      </c>
      <c r="D11401">
        <v>89301355</v>
      </c>
      <c r="E11401" t="str">
        <f>"7861195815"</f>
        <v>7861195815</v>
      </c>
      <c r="F11401" s="1">
        <v>45194</v>
      </c>
      <c r="G11401" t="str">
        <f>"82111"</f>
        <v>82111</v>
      </c>
      <c r="H11401">
        <v>1</v>
      </c>
      <c r="I11401">
        <v>37</v>
      </c>
      <c r="J11401">
        <v>0</v>
      </c>
      <c r="K11401" t="str">
        <f t="shared" si="2034"/>
        <v>802</v>
      </c>
      <c r="L11401">
        <v>35.89</v>
      </c>
    </row>
    <row r="11402" spans="1:12" x14ac:dyDescent="0.25">
      <c r="A11402" t="str">
        <f t="shared" si="2035"/>
        <v>89301000</v>
      </c>
      <c r="B11402" t="str">
        <f t="shared" si="2031"/>
        <v>10510000</v>
      </c>
      <c r="C11402" t="str">
        <f t="shared" si="2032"/>
        <v>10510001</v>
      </c>
      <c r="D11402">
        <v>89301355</v>
      </c>
      <c r="E11402" t="str">
        <f>"7861195815"</f>
        <v>7861195815</v>
      </c>
      <c r="F11402" s="1">
        <v>45191</v>
      </c>
      <c r="G11402" t="str">
        <f>"82111"</f>
        <v>82111</v>
      </c>
      <c r="H11402">
        <v>1</v>
      </c>
      <c r="I11402">
        <v>37</v>
      </c>
      <c r="J11402">
        <v>0</v>
      </c>
      <c r="K11402" t="str">
        <f t="shared" si="2034"/>
        <v>802</v>
      </c>
      <c r="L11402">
        <v>35.89</v>
      </c>
    </row>
    <row r="11403" spans="1:12" x14ac:dyDescent="0.25">
      <c r="A11403" t="str">
        <f t="shared" si="2035"/>
        <v>89301000</v>
      </c>
      <c r="B11403" t="str">
        <f t="shared" si="2031"/>
        <v>10510000</v>
      </c>
      <c r="C11403" t="str">
        <f t="shared" si="2032"/>
        <v>10510001</v>
      </c>
      <c r="D11403">
        <v>89301355</v>
      </c>
      <c r="E11403" t="str">
        <f>"7861195815"</f>
        <v>7861195815</v>
      </c>
      <c r="F11403" s="1">
        <v>45194</v>
      </c>
      <c r="G11403" t="str">
        <f>"82079"</f>
        <v>82079</v>
      </c>
      <c r="H11403">
        <v>1</v>
      </c>
      <c r="I11403">
        <v>333</v>
      </c>
      <c r="J11403">
        <v>0</v>
      </c>
      <c r="K11403" t="str">
        <f t="shared" si="2034"/>
        <v>802</v>
      </c>
      <c r="L11403">
        <v>323.01</v>
      </c>
    </row>
    <row r="11404" spans="1:12" x14ac:dyDescent="0.25">
      <c r="A11404" t="str">
        <f t="shared" si="2035"/>
        <v>89301000</v>
      </c>
      <c r="B11404" t="str">
        <f t="shared" si="2031"/>
        <v>10510000</v>
      </c>
      <c r="C11404" t="str">
        <f t="shared" si="2032"/>
        <v>10510001</v>
      </c>
      <c r="D11404">
        <v>89301355</v>
      </c>
      <c r="E11404" t="str">
        <f>"7861195815"</f>
        <v>7861195815</v>
      </c>
      <c r="F11404" s="1">
        <v>45195</v>
      </c>
      <c r="G11404" t="str">
        <f>"82113"</f>
        <v>82113</v>
      </c>
      <c r="H11404">
        <v>1</v>
      </c>
      <c r="I11404">
        <v>363</v>
      </c>
      <c r="J11404">
        <v>0</v>
      </c>
      <c r="K11404" t="str">
        <f t="shared" si="2034"/>
        <v>802</v>
      </c>
      <c r="L11404">
        <v>352.11</v>
      </c>
    </row>
    <row r="11405" spans="1:12" x14ac:dyDescent="0.25">
      <c r="A11405" t="str">
        <f t="shared" si="2035"/>
        <v>89301000</v>
      </c>
      <c r="B11405" t="str">
        <f t="shared" si="2031"/>
        <v>10510000</v>
      </c>
      <c r="C11405" t="str">
        <f t="shared" si="2032"/>
        <v>10510001</v>
      </c>
      <c r="D11405">
        <v>89301171</v>
      </c>
      <c r="E11405" t="str">
        <f>"7209115342"</f>
        <v>7209115342</v>
      </c>
      <c r="F11405" s="1">
        <v>45182</v>
      </c>
      <c r="G11405" t="str">
        <f>"82034"</f>
        <v>82034</v>
      </c>
      <c r="H11405">
        <v>1</v>
      </c>
      <c r="I11405">
        <v>354</v>
      </c>
      <c r="J11405">
        <v>0</v>
      </c>
      <c r="K11405" t="str">
        <f t="shared" si="2034"/>
        <v>802</v>
      </c>
      <c r="L11405">
        <v>343.38</v>
      </c>
    </row>
    <row r="11406" spans="1:12" x14ac:dyDescent="0.25">
      <c r="A11406" t="str">
        <f t="shared" si="2035"/>
        <v>89301000</v>
      </c>
      <c r="B11406" t="str">
        <f t="shared" si="2031"/>
        <v>10510000</v>
      </c>
      <c r="C11406" t="str">
        <f t="shared" si="2032"/>
        <v>10510001</v>
      </c>
      <c r="D11406">
        <v>89301171</v>
      </c>
      <c r="E11406" t="str">
        <f>"7209115342"</f>
        <v>7209115342</v>
      </c>
      <c r="F11406" s="1">
        <v>45182</v>
      </c>
      <c r="G11406" t="str">
        <f>"82041"</f>
        <v>82041</v>
      </c>
      <c r="H11406">
        <v>1</v>
      </c>
      <c r="I11406">
        <v>1096</v>
      </c>
      <c r="J11406">
        <v>0</v>
      </c>
      <c r="K11406" t="str">
        <f t="shared" si="2034"/>
        <v>802</v>
      </c>
      <c r="L11406">
        <v>1063.1199999999999</v>
      </c>
    </row>
    <row r="11407" spans="1:12" x14ac:dyDescent="0.25">
      <c r="A11407" t="str">
        <f t="shared" si="2035"/>
        <v>89301000</v>
      </c>
      <c r="B11407" t="str">
        <f t="shared" si="2031"/>
        <v>10510000</v>
      </c>
      <c r="C11407" t="str">
        <f t="shared" si="2032"/>
        <v>10510001</v>
      </c>
      <c r="D11407">
        <v>89301171</v>
      </c>
      <c r="E11407" t="str">
        <f>"7209115342"</f>
        <v>7209115342</v>
      </c>
      <c r="F11407" s="1">
        <v>45182</v>
      </c>
      <c r="G11407" t="str">
        <f>"82041"</f>
        <v>82041</v>
      </c>
      <c r="H11407">
        <v>1</v>
      </c>
      <c r="I11407">
        <v>1096</v>
      </c>
      <c r="J11407">
        <v>0</v>
      </c>
      <c r="K11407" t="str">
        <f t="shared" si="2034"/>
        <v>802</v>
      </c>
      <c r="L11407">
        <v>1063.1199999999999</v>
      </c>
    </row>
    <row r="11408" spans="1:12" x14ac:dyDescent="0.25">
      <c r="A11408" t="str">
        <f t="shared" si="2035"/>
        <v>89301000</v>
      </c>
      <c r="B11408" t="str">
        <f t="shared" si="2031"/>
        <v>10510000</v>
      </c>
      <c r="C11408" t="str">
        <f t="shared" si="2032"/>
        <v>10510001</v>
      </c>
      <c r="D11408">
        <v>89301171</v>
      </c>
      <c r="E11408" t="str">
        <f>"7056184938"</f>
        <v>7056184938</v>
      </c>
      <c r="F11408" s="1">
        <v>45182</v>
      </c>
      <c r="G11408" t="str">
        <f>"82034"</f>
        <v>82034</v>
      </c>
      <c r="H11408">
        <v>1</v>
      </c>
      <c r="I11408">
        <v>354</v>
      </c>
      <c r="J11408">
        <v>0</v>
      </c>
      <c r="K11408" t="str">
        <f t="shared" si="2034"/>
        <v>802</v>
      </c>
      <c r="L11408">
        <v>343.38</v>
      </c>
    </row>
    <row r="11409" spans="1:12" x14ac:dyDescent="0.25">
      <c r="A11409" t="str">
        <f t="shared" si="2035"/>
        <v>89301000</v>
      </c>
      <c r="B11409" t="str">
        <f t="shared" si="2031"/>
        <v>10510000</v>
      </c>
      <c r="C11409" t="str">
        <f t="shared" si="2032"/>
        <v>10510001</v>
      </c>
      <c r="D11409">
        <v>89301171</v>
      </c>
      <c r="E11409" t="str">
        <f>"7056184938"</f>
        <v>7056184938</v>
      </c>
      <c r="F11409" s="1">
        <v>45182</v>
      </c>
      <c r="G11409" t="str">
        <f>"82041"</f>
        <v>82041</v>
      </c>
      <c r="H11409">
        <v>1</v>
      </c>
      <c r="I11409">
        <v>1096</v>
      </c>
      <c r="J11409">
        <v>0</v>
      </c>
      <c r="K11409" t="str">
        <f t="shared" si="2034"/>
        <v>802</v>
      </c>
      <c r="L11409">
        <v>1063.1199999999999</v>
      </c>
    </row>
    <row r="11410" spans="1:12" x14ac:dyDescent="0.25">
      <c r="A11410" t="str">
        <f t="shared" si="2035"/>
        <v>89301000</v>
      </c>
      <c r="B11410" t="str">
        <f t="shared" si="2031"/>
        <v>10510000</v>
      </c>
      <c r="C11410" t="str">
        <f t="shared" si="2032"/>
        <v>10510001</v>
      </c>
      <c r="D11410">
        <v>89301171</v>
      </c>
      <c r="E11410" t="str">
        <f>"7056184938"</f>
        <v>7056184938</v>
      </c>
      <c r="F11410" s="1">
        <v>45182</v>
      </c>
      <c r="G11410" t="str">
        <f>"82041"</f>
        <v>82041</v>
      </c>
      <c r="H11410">
        <v>1</v>
      </c>
      <c r="I11410">
        <v>1096</v>
      </c>
      <c r="J11410">
        <v>0</v>
      </c>
      <c r="K11410" t="str">
        <f t="shared" si="2034"/>
        <v>802</v>
      </c>
      <c r="L11410">
        <v>1063.1199999999999</v>
      </c>
    </row>
    <row r="11411" spans="1:12" x14ac:dyDescent="0.25">
      <c r="A11411" t="str">
        <f t="shared" si="2035"/>
        <v>89301000</v>
      </c>
      <c r="B11411" t="str">
        <f t="shared" si="2031"/>
        <v>10510000</v>
      </c>
      <c r="C11411" t="str">
        <f t="shared" si="2032"/>
        <v>10510001</v>
      </c>
      <c r="D11411">
        <v>89301171</v>
      </c>
      <c r="E11411" t="str">
        <f>"6762230145"</f>
        <v>6762230145</v>
      </c>
      <c r="F11411" s="1">
        <v>45182</v>
      </c>
      <c r="G11411" t="str">
        <f>"82034"</f>
        <v>82034</v>
      </c>
      <c r="H11411">
        <v>1</v>
      </c>
      <c r="I11411">
        <v>354</v>
      </c>
      <c r="J11411">
        <v>0</v>
      </c>
      <c r="K11411" t="str">
        <f t="shared" si="2034"/>
        <v>802</v>
      </c>
      <c r="L11411">
        <v>343.38</v>
      </c>
    </row>
    <row r="11412" spans="1:12" x14ac:dyDescent="0.25">
      <c r="A11412" t="str">
        <f t="shared" si="2035"/>
        <v>89301000</v>
      </c>
      <c r="B11412" t="str">
        <f t="shared" si="2031"/>
        <v>10510000</v>
      </c>
      <c r="C11412" t="str">
        <f t="shared" si="2032"/>
        <v>10510001</v>
      </c>
      <c r="D11412">
        <v>89301171</v>
      </c>
      <c r="E11412" t="str">
        <f>"6762230145"</f>
        <v>6762230145</v>
      </c>
      <c r="F11412" s="1">
        <v>45182</v>
      </c>
      <c r="G11412" t="str">
        <f>"82041"</f>
        <v>82041</v>
      </c>
      <c r="H11412">
        <v>1</v>
      </c>
      <c r="I11412">
        <v>1096</v>
      </c>
      <c r="J11412">
        <v>0</v>
      </c>
      <c r="K11412" t="str">
        <f t="shared" si="2034"/>
        <v>802</v>
      </c>
      <c r="L11412">
        <v>1063.1199999999999</v>
      </c>
    </row>
    <row r="11413" spans="1:12" x14ac:dyDescent="0.25">
      <c r="A11413" t="str">
        <f t="shared" si="2035"/>
        <v>89301000</v>
      </c>
      <c r="B11413" t="str">
        <f t="shared" si="2031"/>
        <v>10510000</v>
      </c>
      <c r="C11413" t="str">
        <f t="shared" si="2032"/>
        <v>10510001</v>
      </c>
      <c r="D11413">
        <v>89301171</v>
      </c>
      <c r="E11413" t="str">
        <f>"6762230145"</f>
        <v>6762230145</v>
      </c>
      <c r="F11413" s="1">
        <v>45182</v>
      </c>
      <c r="G11413" t="str">
        <f>"82041"</f>
        <v>82041</v>
      </c>
      <c r="H11413">
        <v>1</v>
      </c>
      <c r="I11413">
        <v>1096</v>
      </c>
      <c r="J11413">
        <v>0</v>
      </c>
      <c r="K11413" t="str">
        <f t="shared" si="2034"/>
        <v>802</v>
      </c>
      <c r="L11413">
        <v>1063.1199999999999</v>
      </c>
    </row>
    <row r="11414" spans="1:12" x14ac:dyDescent="0.25">
      <c r="A11414" t="str">
        <f t="shared" si="2035"/>
        <v>89301000</v>
      </c>
      <c r="B11414" t="str">
        <f t="shared" si="2031"/>
        <v>10510000</v>
      </c>
      <c r="C11414" t="str">
        <f t="shared" si="2032"/>
        <v>10510001</v>
      </c>
      <c r="D11414">
        <v>89301171</v>
      </c>
      <c r="E11414" t="str">
        <f>"491121001"</f>
        <v>491121001</v>
      </c>
      <c r="F11414" s="1">
        <v>45187</v>
      </c>
      <c r="G11414" t="str">
        <f>"82034"</f>
        <v>82034</v>
      </c>
      <c r="H11414">
        <v>1</v>
      </c>
      <c r="I11414">
        <v>354</v>
      </c>
      <c r="J11414">
        <v>0</v>
      </c>
      <c r="K11414" t="str">
        <f t="shared" si="2034"/>
        <v>802</v>
      </c>
      <c r="L11414">
        <v>343.38</v>
      </c>
    </row>
    <row r="11415" spans="1:12" x14ac:dyDescent="0.25">
      <c r="A11415" t="str">
        <f t="shared" si="2035"/>
        <v>89301000</v>
      </c>
      <c r="B11415" t="str">
        <f t="shared" si="2031"/>
        <v>10510000</v>
      </c>
      <c r="C11415" t="str">
        <f t="shared" si="2032"/>
        <v>10510001</v>
      </c>
      <c r="D11415">
        <v>89301171</v>
      </c>
      <c r="E11415" t="str">
        <f>"491121001"</f>
        <v>491121001</v>
      </c>
      <c r="F11415" s="1">
        <v>45187</v>
      </c>
      <c r="G11415" t="str">
        <f>"82041"</f>
        <v>82041</v>
      </c>
      <c r="H11415">
        <v>1</v>
      </c>
      <c r="I11415">
        <v>1096</v>
      </c>
      <c r="J11415">
        <v>0</v>
      </c>
      <c r="K11415" t="str">
        <f t="shared" si="2034"/>
        <v>802</v>
      </c>
      <c r="L11415">
        <v>1063.1199999999999</v>
      </c>
    </row>
    <row r="11416" spans="1:12" x14ac:dyDescent="0.25">
      <c r="A11416" t="str">
        <f t="shared" si="2035"/>
        <v>89301000</v>
      </c>
      <c r="B11416" t="str">
        <f t="shared" si="2031"/>
        <v>10510000</v>
      </c>
      <c r="C11416" t="str">
        <f t="shared" si="2032"/>
        <v>10510001</v>
      </c>
      <c r="D11416">
        <v>89301171</v>
      </c>
      <c r="E11416" t="str">
        <f>"491121001"</f>
        <v>491121001</v>
      </c>
      <c r="F11416" s="1">
        <v>45187</v>
      </c>
      <c r="G11416" t="str">
        <f>"82041"</f>
        <v>82041</v>
      </c>
      <c r="H11416">
        <v>1</v>
      </c>
      <c r="I11416">
        <v>1096</v>
      </c>
      <c r="J11416">
        <v>0</v>
      </c>
      <c r="K11416" t="str">
        <f t="shared" si="2034"/>
        <v>802</v>
      </c>
      <c r="L11416">
        <v>1063.1199999999999</v>
      </c>
    </row>
    <row r="11417" spans="1:12" x14ac:dyDescent="0.25">
      <c r="A11417" t="str">
        <f t="shared" si="2035"/>
        <v>89301000</v>
      </c>
      <c r="B11417" t="str">
        <f t="shared" si="2031"/>
        <v>10510000</v>
      </c>
      <c r="C11417" t="str">
        <f t="shared" si="2032"/>
        <v>10510001</v>
      </c>
      <c r="D11417">
        <v>89301171</v>
      </c>
      <c r="E11417" t="str">
        <f>"6001281693"</f>
        <v>6001281693</v>
      </c>
      <c r="F11417" s="1">
        <v>45190</v>
      </c>
      <c r="G11417" t="str">
        <f>"82041"</f>
        <v>82041</v>
      </c>
      <c r="H11417">
        <v>1</v>
      </c>
      <c r="I11417">
        <v>1096</v>
      </c>
      <c r="J11417">
        <v>0</v>
      </c>
      <c r="K11417" t="str">
        <f t="shared" si="2034"/>
        <v>802</v>
      </c>
      <c r="L11417">
        <v>1063.1199999999999</v>
      </c>
    </row>
    <row r="11418" spans="1:12" x14ac:dyDescent="0.25">
      <c r="A11418" t="str">
        <f t="shared" si="2035"/>
        <v>89301000</v>
      </c>
      <c r="B11418" t="str">
        <f t="shared" si="2031"/>
        <v>10510000</v>
      </c>
      <c r="C11418" t="str">
        <f t="shared" si="2032"/>
        <v>10510001</v>
      </c>
      <c r="D11418">
        <v>89301171</v>
      </c>
      <c r="E11418" t="str">
        <f>"6001281693"</f>
        <v>6001281693</v>
      </c>
      <c r="F11418" s="1">
        <v>45190</v>
      </c>
      <c r="G11418" t="str">
        <f>"82034"</f>
        <v>82034</v>
      </c>
      <c r="H11418">
        <v>1</v>
      </c>
      <c r="I11418">
        <v>354</v>
      </c>
      <c r="J11418">
        <v>0</v>
      </c>
      <c r="K11418" t="str">
        <f t="shared" si="2034"/>
        <v>802</v>
      </c>
      <c r="L11418">
        <v>343.38</v>
      </c>
    </row>
    <row r="11419" spans="1:12" x14ac:dyDescent="0.25">
      <c r="A11419" t="str">
        <f t="shared" si="2035"/>
        <v>89301000</v>
      </c>
      <c r="B11419" t="str">
        <f t="shared" si="2031"/>
        <v>10510000</v>
      </c>
      <c r="C11419" t="str">
        <f t="shared" si="2032"/>
        <v>10510001</v>
      </c>
      <c r="D11419">
        <v>89301171</v>
      </c>
      <c r="E11419" t="str">
        <f>"6001281693"</f>
        <v>6001281693</v>
      </c>
      <c r="F11419" s="1">
        <v>45190</v>
      </c>
      <c r="G11419" t="str">
        <f>"82041"</f>
        <v>82041</v>
      </c>
      <c r="H11419">
        <v>1</v>
      </c>
      <c r="I11419">
        <v>1096</v>
      </c>
      <c r="J11419">
        <v>0</v>
      </c>
      <c r="K11419" t="str">
        <f t="shared" si="2034"/>
        <v>802</v>
      </c>
      <c r="L11419">
        <v>1063.1199999999999</v>
      </c>
    </row>
    <row r="11420" spans="1:12" x14ac:dyDescent="0.25">
      <c r="A11420" t="str">
        <f t="shared" si="2035"/>
        <v>89301000</v>
      </c>
      <c r="B11420" t="str">
        <f t="shared" si="2031"/>
        <v>10510000</v>
      </c>
      <c r="C11420" t="str">
        <f t="shared" si="2032"/>
        <v>10510001</v>
      </c>
      <c r="D11420">
        <v>89301171</v>
      </c>
      <c r="E11420" t="str">
        <f>"7102155698"</f>
        <v>7102155698</v>
      </c>
      <c r="F11420" s="1">
        <v>45195</v>
      </c>
      <c r="G11420" t="str">
        <f>"82034"</f>
        <v>82034</v>
      </c>
      <c r="H11420">
        <v>1</v>
      </c>
      <c r="I11420">
        <v>354</v>
      </c>
      <c r="J11420">
        <v>0</v>
      </c>
      <c r="K11420" t="str">
        <f t="shared" si="2034"/>
        <v>802</v>
      </c>
      <c r="L11420">
        <v>343.38</v>
      </c>
    </row>
    <row r="11421" spans="1:12" x14ac:dyDescent="0.25">
      <c r="A11421" t="str">
        <f t="shared" si="2035"/>
        <v>89301000</v>
      </c>
      <c r="B11421" t="str">
        <f t="shared" si="2031"/>
        <v>10510000</v>
      </c>
      <c r="C11421" t="str">
        <f t="shared" si="2032"/>
        <v>10510001</v>
      </c>
      <c r="D11421">
        <v>89301171</v>
      </c>
      <c r="E11421" t="str">
        <f>"7102155698"</f>
        <v>7102155698</v>
      </c>
      <c r="F11421" s="1">
        <v>45195</v>
      </c>
      <c r="G11421" t="str">
        <f>"82041"</f>
        <v>82041</v>
      </c>
      <c r="H11421">
        <v>1</v>
      </c>
      <c r="I11421">
        <v>1096</v>
      </c>
      <c r="J11421">
        <v>0</v>
      </c>
      <c r="K11421" t="str">
        <f t="shared" si="2034"/>
        <v>802</v>
      </c>
      <c r="L11421">
        <v>1063.1199999999999</v>
      </c>
    </row>
    <row r="11422" spans="1:12" x14ac:dyDescent="0.25">
      <c r="A11422" t="str">
        <f t="shared" si="2035"/>
        <v>89301000</v>
      </c>
      <c r="B11422" t="str">
        <f t="shared" ref="B11422:B11428" si="2036">"10510000"</f>
        <v>10510000</v>
      </c>
      <c r="C11422" t="str">
        <f t="shared" ref="C11422:C11428" si="2037">"10510001"</f>
        <v>10510001</v>
      </c>
      <c r="D11422">
        <v>89301171</v>
      </c>
      <c r="E11422" t="str">
        <f>"7102155698"</f>
        <v>7102155698</v>
      </c>
      <c r="F11422" s="1">
        <v>45195</v>
      </c>
      <c r="G11422" t="str">
        <f>"82041"</f>
        <v>82041</v>
      </c>
      <c r="H11422">
        <v>1</v>
      </c>
      <c r="I11422">
        <v>1096</v>
      </c>
      <c r="J11422">
        <v>0</v>
      </c>
      <c r="K11422" t="str">
        <f t="shared" ref="K11422:K11428" si="2038">"802"</f>
        <v>802</v>
      </c>
      <c r="L11422">
        <v>1063.1199999999999</v>
      </c>
    </row>
    <row r="11423" spans="1:12" x14ac:dyDescent="0.25">
      <c r="A11423" t="str">
        <f t="shared" si="2035"/>
        <v>89301000</v>
      </c>
      <c r="B11423" t="str">
        <f t="shared" si="2036"/>
        <v>10510000</v>
      </c>
      <c r="C11423" t="str">
        <f t="shared" si="2037"/>
        <v>10510001</v>
      </c>
      <c r="D11423">
        <v>89301171</v>
      </c>
      <c r="E11423" t="str">
        <f>"7611115336"</f>
        <v>7611115336</v>
      </c>
      <c r="F11423" s="1">
        <v>45195</v>
      </c>
      <c r="G11423" t="str">
        <f>"82034"</f>
        <v>82034</v>
      </c>
      <c r="H11423">
        <v>1</v>
      </c>
      <c r="I11423">
        <v>354</v>
      </c>
      <c r="J11423">
        <v>0</v>
      </c>
      <c r="K11423" t="str">
        <f t="shared" si="2038"/>
        <v>802</v>
      </c>
      <c r="L11423">
        <v>343.38</v>
      </c>
    </row>
    <row r="11424" spans="1:12" x14ac:dyDescent="0.25">
      <c r="A11424" t="str">
        <f t="shared" si="2035"/>
        <v>89301000</v>
      </c>
      <c r="B11424" t="str">
        <f t="shared" si="2036"/>
        <v>10510000</v>
      </c>
      <c r="C11424" t="str">
        <f t="shared" si="2037"/>
        <v>10510001</v>
      </c>
      <c r="D11424">
        <v>89301171</v>
      </c>
      <c r="E11424" t="str">
        <f>"7611115336"</f>
        <v>7611115336</v>
      </c>
      <c r="F11424" s="1">
        <v>45195</v>
      </c>
      <c r="G11424" t="str">
        <f>"82041"</f>
        <v>82041</v>
      </c>
      <c r="H11424">
        <v>1</v>
      </c>
      <c r="I11424">
        <v>1096</v>
      </c>
      <c r="J11424">
        <v>0</v>
      </c>
      <c r="K11424" t="str">
        <f t="shared" si="2038"/>
        <v>802</v>
      </c>
      <c r="L11424">
        <v>1063.1199999999999</v>
      </c>
    </row>
    <row r="11425" spans="1:12" x14ac:dyDescent="0.25">
      <c r="A11425" t="str">
        <f t="shared" si="2035"/>
        <v>89301000</v>
      </c>
      <c r="B11425" t="str">
        <f t="shared" si="2036"/>
        <v>10510000</v>
      </c>
      <c r="C11425" t="str">
        <f t="shared" si="2037"/>
        <v>10510001</v>
      </c>
      <c r="D11425">
        <v>89301171</v>
      </c>
      <c r="E11425" t="str">
        <f>"7611115336"</f>
        <v>7611115336</v>
      </c>
      <c r="F11425" s="1">
        <v>45195</v>
      </c>
      <c r="G11425" t="str">
        <f>"82041"</f>
        <v>82041</v>
      </c>
      <c r="H11425">
        <v>1</v>
      </c>
      <c r="I11425">
        <v>1096</v>
      </c>
      <c r="J11425">
        <v>0</v>
      </c>
      <c r="K11425" t="str">
        <f t="shared" si="2038"/>
        <v>802</v>
      </c>
      <c r="L11425">
        <v>1063.1199999999999</v>
      </c>
    </row>
    <row r="11426" spans="1:12" x14ac:dyDescent="0.25">
      <c r="A11426" t="str">
        <f t="shared" si="2035"/>
        <v>89301000</v>
      </c>
      <c r="B11426" t="str">
        <f t="shared" si="2036"/>
        <v>10510000</v>
      </c>
      <c r="C11426" t="str">
        <f t="shared" si="2037"/>
        <v>10510001</v>
      </c>
      <c r="D11426">
        <v>89301171</v>
      </c>
      <c r="E11426" t="str">
        <f>"0508283226"</f>
        <v>0508283226</v>
      </c>
      <c r="F11426" s="1">
        <v>45195</v>
      </c>
      <c r="G11426" t="str">
        <f>"82034"</f>
        <v>82034</v>
      </c>
      <c r="H11426">
        <v>1</v>
      </c>
      <c r="I11426">
        <v>354</v>
      </c>
      <c r="J11426">
        <v>0</v>
      </c>
      <c r="K11426" t="str">
        <f t="shared" si="2038"/>
        <v>802</v>
      </c>
      <c r="L11426">
        <v>343.38</v>
      </c>
    </row>
    <row r="11427" spans="1:12" x14ac:dyDescent="0.25">
      <c r="A11427" t="str">
        <f t="shared" si="2035"/>
        <v>89301000</v>
      </c>
      <c r="B11427" t="str">
        <f t="shared" si="2036"/>
        <v>10510000</v>
      </c>
      <c r="C11427" t="str">
        <f t="shared" si="2037"/>
        <v>10510001</v>
      </c>
      <c r="D11427">
        <v>89301171</v>
      </c>
      <c r="E11427" t="str">
        <f>"0508283226"</f>
        <v>0508283226</v>
      </c>
      <c r="F11427" s="1">
        <v>45195</v>
      </c>
      <c r="G11427" t="str">
        <f>"82041"</f>
        <v>82041</v>
      </c>
      <c r="H11427">
        <v>1</v>
      </c>
      <c r="I11427">
        <v>1096</v>
      </c>
      <c r="J11427">
        <v>0</v>
      </c>
      <c r="K11427" t="str">
        <f t="shared" si="2038"/>
        <v>802</v>
      </c>
      <c r="L11427">
        <v>1063.1199999999999</v>
      </c>
    </row>
    <row r="11428" spans="1:12" x14ac:dyDescent="0.25">
      <c r="A11428" t="str">
        <f t="shared" si="2035"/>
        <v>89301000</v>
      </c>
      <c r="B11428" t="str">
        <f t="shared" si="2036"/>
        <v>10510000</v>
      </c>
      <c r="C11428" t="str">
        <f t="shared" si="2037"/>
        <v>10510001</v>
      </c>
      <c r="D11428">
        <v>89301171</v>
      </c>
      <c r="E11428" t="str">
        <f>"0508283226"</f>
        <v>0508283226</v>
      </c>
      <c r="F11428" s="1">
        <v>45195</v>
      </c>
      <c r="G11428" t="str">
        <f>"82041"</f>
        <v>82041</v>
      </c>
      <c r="H11428">
        <v>1</v>
      </c>
      <c r="I11428">
        <v>1096</v>
      </c>
      <c r="J11428">
        <v>0</v>
      </c>
      <c r="K11428" t="str">
        <f t="shared" si="2038"/>
        <v>802</v>
      </c>
      <c r="L11428">
        <v>1063.1199999999999</v>
      </c>
    </row>
    <row r="11429" spans="1:12" x14ac:dyDescent="0.25">
      <c r="A11429" t="str">
        <f t="shared" si="2035"/>
        <v>89301000</v>
      </c>
      <c r="B11429" t="str">
        <f>"72068000"</f>
        <v>72068000</v>
      </c>
      <c r="C11429" t="str">
        <f>"72068002"</f>
        <v>72068002</v>
      </c>
      <c r="D11429">
        <v>89301037</v>
      </c>
      <c r="E11429" t="str">
        <f>"6352251125"</f>
        <v>6352251125</v>
      </c>
      <c r="F11429" s="1">
        <v>45182</v>
      </c>
      <c r="G11429" t="str">
        <f>"89312"</f>
        <v>89312</v>
      </c>
      <c r="H11429">
        <v>3</v>
      </c>
      <c r="I11429">
        <v>936</v>
      </c>
      <c r="J11429">
        <v>0</v>
      </c>
      <c r="K11429" t="str">
        <f t="shared" ref="K11429:K11464" si="2039">"809"</f>
        <v>809</v>
      </c>
      <c r="L11429">
        <v>1020.24</v>
      </c>
    </row>
    <row r="11430" spans="1:12" x14ac:dyDescent="0.25">
      <c r="A11430" t="str">
        <f t="shared" si="2035"/>
        <v>89301000</v>
      </c>
      <c r="B11430" t="str">
        <f t="shared" ref="B11430:C11445" si="2040">"89632000"</f>
        <v>89632000</v>
      </c>
      <c r="C11430" t="str">
        <f t="shared" si="2040"/>
        <v>89632000</v>
      </c>
      <c r="D11430">
        <v>89301212</v>
      </c>
      <c r="E11430" t="str">
        <f>"415404411"</f>
        <v>415404411</v>
      </c>
      <c r="F11430" s="1">
        <v>45183</v>
      </c>
      <c r="G11430" t="str">
        <f>"89513"</f>
        <v>89513</v>
      </c>
      <c r="H11430">
        <v>1</v>
      </c>
      <c r="I11430">
        <v>378</v>
      </c>
      <c r="J11430">
        <v>0</v>
      </c>
      <c r="K11430" t="str">
        <f t="shared" si="2039"/>
        <v>809</v>
      </c>
      <c r="L11430">
        <v>555.66</v>
      </c>
    </row>
    <row r="11431" spans="1:12" x14ac:dyDescent="0.25">
      <c r="A11431" t="str">
        <f t="shared" si="2035"/>
        <v>89301000</v>
      </c>
      <c r="B11431" t="str">
        <f t="shared" si="2040"/>
        <v>89632000</v>
      </c>
      <c r="C11431" t="str">
        <f t="shared" si="2040"/>
        <v>89632000</v>
      </c>
      <c r="D11431">
        <v>89301212</v>
      </c>
      <c r="E11431" t="str">
        <f>"415404411"</f>
        <v>415404411</v>
      </c>
      <c r="F11431" s="1">
        <v>45183</v>
      </c>
      <c r="G11431" t="str">
        <f>"89514"</f>
        <v>89514</v>
      </c>
      <c r="H11431">
        <v>1</v>
      </c>
      <c r="I11431">
        <v>378</v>
      </c>
      <c r="J11431">
        <v>0</v>
      </c>
      <c r="K11431" t="str">
        <f t="shared" si="2039"/>
        <v>809</v>
      </c>
      <c r="L11431">
        <v>555.66</v>
      </c>
    </row>
    <row r="11432" spans="1:12" x14ac:dyDescent="0.25">
      <c r="A11432" t="str">
        <f t="shared" si="2035"/>
        <v>89301000</v>
      </c>
      <c r="B11432" t="str">
        <f t="shared" si="2040"/>
        <v>89632000</v>
      </c>
      <c r="C11432" t="str">
        <f t="shared" si="2040"/>
        <v>89632000</v>
      </c>
      <c r="D11432">
        <v>89301322</v>
      </c>
      <c r="E11432" t="str">
        <f>"446030409"</f>
        <v>446030409</v>
      </c>
      <c r="F11432" s="1">
        <v>45195</v>
      </c>
      <c r="G11432" t="str">
        <f>"09139"</f>
        <v>09139</v>
      </c>
      <c r="H11432">
        <v>1</v>
      </c>
      <c r="I11432">
        <v>356</v>
      </c>
      <c r="J11432">
        <v>0</v>
      </c>
      <c r="K11432" t="str">
        <f t="shared" si="2039"/>
        <v>809</v>
      </c>
      <c r="L11432">
        <v>523.32000000000005</v>
      </c>
    </row>
    <row r="11433" spans="1:12" x14ac:dyDescent="0.25">
      <c r="A11433" t="str">
        <f t="shared" si="2035"/>
        <v>89301000</v>
      </c>
      <c r="B11433" t="str">
        <f t="shared" si="2040"/>
        <v>89632000</v>
      </c>
      <c r="C11433" t="str">
        <f t="shared" si="2040"/>
        <v>89632000</v>
      </c>
      <c r="D11433">
        <v>89301322</v>
      </c>
      <c r="E11433" t="str">
        <f>"446030409"</f>
        <v>446030409</v>
      </c>
      <c r="F11433" s="1">
        <v>45195</v>
      </c>
      <c r="G11433" t="str">
        <f>"09135"</f>
        <v>09135</v>
      </c>
      <c r="H11433">
        <v>1</v>
      </c>
      <c r="I11433">
        <v>179</v>
      </c>
      <c r="J11433">
        <v>0</v>
      </c>
      <c r="K11433" t="str">
        <f t="shared" si="2039"/>
        <v>809</v>
      </c>
      <c r="L11433">
        <v>263.13</v>
      </c>
    </row>
    <row r="11434" spans="1:12" x14ac:dyDescent="0.25">
      <c r="A11434" t="str">
        <f t="shared" si="2035"/>
        <v>89301000</v>
      </c>
      <c r="B11434" t="str">
        <f t="shared" si="2040"/>
        <v>89632000</v>
      </c>
      <c r="C11434" t="str">
        <f t="shared" si="2040"/>
        <v>89632000</v>
      </c>
      <c r="D11434">
        <v>89301322</v>
      </c>
      <c r="E11434" t="str">
        <f>"446030409"</f>
        <v>446030409</v>
      </c>
      <c r="F11434" s="1">
        <v>45195</v>
      </c>
      <c r="G11434" t="str">
        <f>"89513"</f>
        <v>89513</v>
      </c>
      <c r="H11434">
        <v>1</v>
      </c>
      <c r="I11434">
        <v>378</v>
      </c>
      <c r="J11434">
        <v>0</v>
      </c>
      <c r="K11434" t="str">
        <f t="shared" si="2039"/>
        <v>809</v>
      </c>
      <c r="L11434">
        <v>555.66</v>
      </c>
    </row>
    <row r="11435" spans="1:12" x14ac:dyDescent="0.25">
      <c r="A11435" t="str">
        <f t="shared" si="2035"/>
        <v>89301000</v>
      </c>
      <c r="B11435" t="str">
        <f t="shared" si="2040"/>
        <v>89632000</v>
      </c>
      <c r="C11435" t="str">
        <f t="shared" si="2040"/>
        <v>89632000</v>
      </c>
      <c r="D11435">
        <v>89301322</v>
      </c>
      <c r="E11435" t="str">
        <f>"446030409"</f>
        <v>446030409</v>
      </c>
      <c r="F11435" s="1">
        <v>45195</v>
      </c>
      <c r="G11435" t="str">
        <f>"89514"</f>
        <v>89514</v>
      </c>
      <c r="H11435">
        <v>1</v>
      </c>
      <c r="I11435">
        <v>378</v>
      </c>
      <c r="J11435">
        <v>0</v>
      </c>
      <c r="K11435" t="str">
        <f t="shared" si="2039"/>
        <v>809</v>
      </c>
      <c r="L11435">
        <v>555.66</v>
      </c>
    </row>
    <row r="11436" spans="1:12" x14ac:dyDescent="0.25">
      <c r="A11436" t="str">
        <f t="shared" si="2035"/>
        <v>89301000</v>
      </c>
      <c r="B11436" t="str">
        <f t="shared" si="2040"/>
        <v>89632000</v>
      </c>
      <c r="C11436" t="str">
        <f t="shared" si="2040"/>
        <v>89632000</v>
      </c>
      <c r="D11436">
        <v>89301212</v>
      </c>
      <c r="E11436" t="str">
        <f>"7156285312"</f>
        <v>7156285312</v>
      </c>
      <c r="F11436" s="1">
        <v>45181</v>
      </c>
      <c r="G11436" t="str">
        <f>"89513"</f>
        <v>89513</v>
      </c>
      <c r="H11436">
        <v>1</v>
      </c>
      <c r="I11436">
        <v>378</v>
      </c>
      <c r="J11436">
        <v>0</v>
      </c>
      <c r="K11436" t="str">
        <f t="shared" si="2039"/>
        <v>809</v>
      </c>
      <c r="L11436">
        <v>555.66</v>
      </c>
    </row>
    <row r="11437" spans="1:12" x14ac:dyDescent="0.25">
      <c r="A11437" t="str">
        <f t="shared" si="2035"/>
        <v>89301000</v>
      </c>
      <c r="B11437" t="str">
        <f t="shared" si="2040"/>
        <v>89632000</v>
      </c>
      <c r="C11437" t="str">
        <f t="shared" si="2040"/>
        <v>89632000</v>
      </c>
      <c r="D11437">
        <v>89301212</v>
      </c>
      <c r="E11437" t="str">
        <f>"7156285312"</f>
        <v>7156285312</v>
      </c>
      <c r="F11437" s="1">
        <v>45181</v>
      </c>
      <c r="G11437" t="str">
        <f>"89514"</f>
        <v>89514</v>
      </c>
      <c r="H11437">
        <v>1</v>
      </c>
      <c r="I11437">
        <v>378</v>
      </c>
      <c r="J11437">
        <v>0</v>
      </c>
      <c r="K11437" t="str">
        <f t="shared" si="2039"/>
        <v>809</v>
      </c>
      <c r="L11437">
        <v>555.66</v>
      </c>
    </row>
    <row r="11438" spans="1:12" x14ac:dyDescent="0.25">
      <c r="A11438" t="str">
        <f t="shared" si="2035"/>
        <v>89301000</v>
      </c>
      <c r="B11438" t="str">
        <f t="shared" si="2040"/>
        <v>89632000</v>
      </c>
      <c r="C11438" t="str">
        <f t="shared" si="2040"/>
        <v>89632000</v>
      </c>
      <c r="D11438">
        <v>89301172</v>
      </c>
      <c r="E11438" t="str">
        <f>"9312255700"</f>
        <v>9312255700</v>
      </c>
      <c r="F11438" s="1">
        <v>45189</v>
      </c>
      <c r="G11438" t="str">
        <f>"89513"</f>
        <v>89513</v>
      </c>
      <c r="H11438">
        <v>1</v>
      </c>
      <c r="I11438">
        <v>378</v>
      </c>
      <c r="J11438">
        <v>0</v>
      </c>
      <c r="K11438" t="str">
        <f t="shared" si="2039"/>
        <v>809</v>
      </c>
      <c r="L11438">
        <v>555.66</v>
      </c>
    </row>
    <row r="11439" spans="1:12" x14ac:dyDescent="0.25">
      <c r="A11439" t="str">
        <f t="shared" si="2035"/>
        <v>89301000</v>
      </c>
      <c r="B11439" t="str">
        <f t="shared" si="2040"/>
        <v>89632000</v>
      </c>
      <c r="C11439" t="str">
        <f t="shared" si="2040"/>
        <v>89632000</v>
      </c>
      <c r="D11439">
        <v>89301172</v>
      </c>
      <c r="E11439" t="str">
        <f>"9312255700"</f>
        <v>9312255700</v>
      </c>
      <c r="F11439" s="1">
        <v>45189</v>
      </c>
      <c r="G11439" t="str">
        <f>"89514"</f>
        <v>89514</v>
      </c>
      <c r="H11439">
        <v>1</v>
      </c>
      <c r="I11439">
        <v>378</v>
      </c>
      <c r="J11439">
        <v>0</v>
      </c>
      <c r="K11439" t="str">
        <f t="shared" si="2039"/>
        <v>809</v>
      </c>
      <c r="L11439">
        <v>555.66</v>
      </c>
    </row>
    <row r="11440" spans="1:12" x14ac:dyDescent="0.25">
      <c r="A11440" t="str">
        <f t="shared" si="2035"/>
        <v>89301000</v>
      </c>
      <c r="B11440" t="str">
        <f t="shared" si="2040"/>
        <v>89632000</v>
      </c>
      <c r="C11440" t="str">
        <f t="shared" si="2040"/>
        <v>89632000</v>
      </c>
      <c r="D11440">
        <v>89301172</v>
      </c>
      <c r="E11440" t="str">
        <f>"9312255700"</f>
        <v>9312255700</v>
      </c>
      <c r="F11440" s="1">
        <v>45189</v>
      </c>
      <c r="G11440" t="str">
        <f>"89131"</f>
        <v>89131</v>
      </c>
      <c r="H11440">
        <v>1</v>
      </c>
      <c r="I11440">
        <v>190</v>
      </c>
      <c r="J11440">
        <v>0</v>
      </c>
      <c r="K11440" t="str">
        <f t="shared" si="2039"/>
        <v>809</v>
      </c>
      <c r="L11440">
        <v>279.3</v>
      </c>
    </row>
    <row r="11441" spans="1:12" x14ac:dyDescent="0.25">
      <c r="A11441" t="str">
        <f t="shared" si="2035"/>
        <v>89301000</v>
      </c>
      <c r="B11441" t="str">
        <f t="shared" si="2040"/>
        <v>89632000</v>
      </c>
      <c r="C11441" t="str">
        <f t="shared" si="2040"/>
        <v>89632000</v>
      </c>
      <c r="D11441">
        <v>89301212</v>
      </c>
      <c r="E11441" t="str">
        <f>"5757171596"</f>
        <v>5757171596</v>
      </c>
      <c r="F11441" s="1">
        <v>45180</v>
      </c>
      <c r="G11441" t="str">
        <f>"89131"</f>
        <v>89131</v>
      </c>
      <c r="H11441">
        <v>1</v>
      </c>
      <c r="I11441">
        <v>190</v>
      </c>
      <c r="J11441">
        <v>0</v>
      </c>
      <c r="K11441" t="str">
        <f t="shared" si="2039"/>
        <v>809</v>
      </c>
      <c r="L11441">
        <v>279.3</v>
      </c>
    </row>
    <row r="11442" spans="1:12" x14ac:dyDescent="0.25">
      <c r="A11442" t="str">
        <f t="shared" si="2035"/>
        <v>89301000</v>
      </c>
      <c r="B11442" t="str">
        <f t="shared" si="2040"/>
        <v>89632000</v>
      </c>
      <c r="C11442" t="str">
        <f t="shared" si="2040"/>
        <v>89632000</v>
      </c>
      <c r="D11442">
        <v>89301212</v>
      </c>
      <c r="E11442" t="str">
        <f>"5757171596"</f>
        <v>5757171596</v>
      </c>
      <c r="F11442" s="1">
        <v>45180</v>
      </c>
      <c r="G11442" t="str">
        <f>"89513"</f>
        <v>89513</v>
      </c>
      <c r="H11442">
        <v>1</v>
      </c>
      <c r="I11442">
        <v>378</v>
      </c>
      <c r="J11442">
        <v>0</v>
      </c>
      <c r="K11442" t="str">
        <f t="shared" si="2039"/>
        <v>809</v>
      </c>
      <c r="L11442">
        <v>555.66</v>
      </c>
    </row>
    <row r="11443" spans="1:12" x14ac:dyDescent="0.25">
      <c r="A11443" t="str">
        <f t="shared" si="2035"/>
        <v>89301000</v>
      </c>
      <c r="B11443" t="str">
        <f t="shared" si="2040"/>
        <v>89632000</v>
      </c>
      <c r="C11443" t="str">
        <f t="shared" si="2040"/>
        <v>89632000</v>
      </c>
      <c r="D11443">
        <v>89301212</v>
      </c>
      <c r="E11443" t="str">
        <f>"5757171596"</f>
        <v>5757171596</v>
      </c>
      <c r="F11443" s="1">
        <v>45180</v>
      </c>
      <c r="G11443" t="str">
        <f>"89514"</f>
        <v>89514</v>
      </c>
      <c r="H11443">
        <v>1</v>
      </c>
      <c r="I11443">
        <v>378</v>
      </c>
      <c r="J11443">
        <v>0</v>
      </c>
      <c r="K11443" t="str">
        <f t="shared" si="2039"/>
        <v>809</v>
      </c>
      <c r="L11443">
        <v>555.66</v>
      </c>
    </row>
    <row r="11444" spans="1:12" x14ac:dyDescent="0.25">
      <c r="A11444" t="str">
        <f t="shared" si="2035"/>
        <v>89301000</v>
      </c>
      <c r="B11444" t="str">
        <f t="shared" si="2040"/>
        <v>89632000</v>
      </c>
      <c r="C11444" t="str">
        <f t="shared" si="2040"/>
        <v>89632000</v>
      </c>
      <c r="D11444">
        <v>89301172</v>
      </c>
      <c r="E11444" t="str">
        <f>"9401244842"</f>
        <v>9401244842</v>
      </c>
      <c r="F11444" s="1">
        <v>45174</v>
      </c>
      <c r="G11444" t="str">
        <f>"89513"</f>
        <v>89513</v>
      </c>
      <c r="H11444">
        <v>1</v>
      </c>
      <c r="I11444">
        <v>378</v>
      </c>
      <c r="J11444">
        <v>0</v>
      </c>
      <c r="K11444" t="str">
        <f t="shared" si="2039"/>
        <v>809</v>
      </c>
      <c r="L11444">
        <v>555.66</v>
      </c>
    </row>
    <row r="11445" spans="1:12" x14ac:dyDescent="0.25">
      <c r="A11445" t="str">
        <f t="shared" si="2035"/>
        <v>89301000</v>
      </c>
      <c r="B11445" t="str">
        <f t="shared" si="2040"/>
        <v>89632000</v>
      </c>
      <c r="C11445" t="str">
        <f t="shared" si="2040"/>
        <v>89632000</v>
      </c>
      <c r="D11445">
        <v>89301172</v>
      </c>
      <c r="E11445" t="str">
        <f>"9401244842"</f>
        <v>9401244842</v>
      </c>
      <c r="F11445" s="1">
        <v>45174</v>
      </c>
      <c r="G11445" t="str">
        <f>"89514"</f>
        <v>89514</v>
      </c>
      <c r="H11445">
        <v>1</v>
      </c>
      <c r="I11445">
        <v>378</v>
      </c>
      <c r="J11445">
        <v>0</v>
      </c>
      <c r="K11445" t="str">
        <f t="shared" si="2039"/>
        <v>809</v>
      </c>
      <c r="L11445">
        <v>555.66</v>
      </c>
    </row>
    <row r="11446" spans="1:12" x14ac:dyDescent="0.25">
      <c r="A11446" t="str">
        <f t="shared" si="2035"/>
        <v>89301000</v>
      </c>
      <c r="B11446" t="str">
        <f t="shared" ref="B11446:B11464" si="2041">"93201000"</f>
        <v>93201000</v>
      </c>
      <c r="C11446" t="str">
        <f t="shared" ref="C11446:C11464" si="2042">"93201350"</f>
        <v>93201350</v>
      </c>
      <c r="D11446">
        <v>89301172</v>
      </c>
      <c r="E11446" t="str">
        <f>"7656045760"</f>
        <v>7656045760</v>
      </c>
      <c r="F11446" s="1">
        <v>45190</v>
      </c>
      <c r="G11446" t="str">
        <f>"89131"</f>
        <v>89131</v>
      </c>
      <c r="H11446">
        <v>1</v>
      </c>
      <c r="I11446">
        <v>190</v>
      </c>
      <c r="J11446">
        <v>0</v>
      </c>
      <c r="K11446" t="str">
        <f t="shared" si="2039"/>
        <v>809</v>
      </c>
      <c r="L11446">
        <v>279.3</v>
      </c>
    </row>
    <row r="11447" spans="1:12" x14ac:dyDescent="0.25">
      <c r="A11447" t="str">
        <f t="shared" si="2035"/>
        <v>89301000</v>
      </c>
      <c r="B11447" t="str">
        <f t="shared" si="2041"/>
        <v>93201000</v>
      </c>
      <c r="C11447" t="str">
        <f t="shared" si="2042"/>
        <v>93201350</v>
      </c>
      <c r="D11447">
        <v>89301212</v>
      </c>
      <c r="E11447" t="str">
        <f>"445214420"</f>
        <v>445214420</v>
      </c>
      <c r="F11447" s="1">
        <v>45173</v>
      </c>
      <c r="G11447" t="str">
        <f>"89131"</f>
        <v>89131</v>
      </c>
      <c r="H11447">
        <v>1</v>
      </c>
      <c r="I11447">
        <v>190</v>
      </c>
      <c r="J11447">
        <v>0</v>
      </c>
      <c r="K11447" t="str">
        <f t="shared" si="2039"/>
        <v>809</v>
      </c>
      <c r="L11447">
        <v>279.3</v>
      </c>
    </row>
    <row r="11448" spans="1:12" x14ac:dyDescent="0.25">
      <c r="A11448" t="str">
        <f t="shared" si="2035"/>
        <v>89301000</v>
      </c>
      <c r="B11448" t="str">
        <f t="shared" si="2041"/>
        <v>93201000</v>
      </c>
      <c r="C11448" t="str">
        <f t="shared" si="2042"/>
        <v>93201350</v>
      </c>
      <c r="D11448">
        <v>89301212</v>
      </c>
      <c r="E11448" t="str">
        <f>"495407110"</f>
        <v>495407110</v>
      </c>
      <c r="F11448" s="1">
        <v>45181</v>
      </c>
      <c r="G11448" t="str">
        <f>"89513"</f>
        <v>89513</v>
      </c>
      <c r="H11448">
        <v>1</v>
      </c>
      <c r="I11448">
        <v>378</v>
      </c>
      <c r="J11448">
        <v>0</v>
      </c>
      <c r="K11448" t="str">
        <f t="shared" si="2039"/>
        <v>809</v>
      </c>
      <c r="L11448">
        <v>555.66</v>
      </c>
    </row>
    <row r="11449" spans="1:12" x14ac:dyDescent="0.25">
      <c r="A11449" t="str">
        <f t="shared" si="2035"/>
        <v>89301000</v>
      </c>
      <c r="B11449" t="str">
        <f t="shared" si="2041"/>
        <v>93201000</v>
      </c>
      <c r="C11449" t="str">
        <f t="shared" si="2042"/>
        <v>93201350</v>
      </c>
      <c r="D11449">
        <v>89301212</v>
      </c>
      <c r="E11449" t="str">
        <f>"495407110"</f>
        <v>495407110</v>
      </c>
      <c r="F11449" s="1">
        <v>45181</v>
      </c>
      <c r="G11449" t="str">
        <f>"89514"</f>
        <v>89514</v>
      </c>
      <c r="H11449">
        <v>1</v>
      </c>
      <c r="I11449">
        <v>378</v>
      </c>
      <c r="J11449">
        <v>0</v>
      </c>
      <c r="K11449" t="str">
        <f t="shared" si="2039"/>
        <v>809</v>
      </c>
      <c r="L11449">
        <v>555.66</v>
      </c>
    </row>
    <row r="11450" spans="1:12" x14ac:dyDescent="0.25">
      <c r="A11450" t="str">
        <f t="shared" si="2035"/>
        <v>89301000</v>
      </c>
      <c r="B11450" t="str">
        <f t="shared" si="2041"/>
        <v>93201000</v>
      </c>
      <c r="C11450" t="str">
        <f t="shared" si="2042"/>
        <v>93201350</v>
      </c>
      <c r="D11450">
        <v>89301034</v>
      </c>
      <c r="E11450" t="str">
        <f>"7153125782"</f>
        <v>7153125782</v>
      </c>
      <c r="F11450" s="1">
        <v>45181</v>
      </c>
      <c r="G11450" t="str">
        <f>"89513"</f>
        <v>89513</v>
      </c>
      <c r="H11450">
        <v>1</v>
      </c>
      <c r="I11450">
        <v>378</v>
      </c>
      <c r="J11450">
        <v>0</v>
      </c>
      <c r="K11450" t="str">
        <f t="shared" si="2039"/>
        <v>809</v>
      </c>
      <c r="L11450">
        <v>555.66</v>
      </c>
    </row>
    <row r="11451" spans="1:12" x14ac:dyDescent="0.25">
      <c r="A11451" t="str">
        <f t="shared" si="2035"/>
        <v>89301000</v>
      </c>
      <c r="B11451" t="str">
        <f t="shared" si="2041"/>
        <v>93201000</v>
      </c>
      <c r="C11451" t="str">
        <f t="shared" si="2042"/>
        <v>93201350</v>
      </c>
      <c r="D11451">
        <v>89301034</v>
      </c>
      <c r="E11451" t="str">
        <f>"7153125782"</f>
        <v>7153125782</v>
      </c>
      <c r="F11451" s="1">
        <v>45181</v>
      </c>
      <c r="G11451" t="str">
        <f>"89514"</f>
        <v>89514</v>
      </c>
      <c r="H11451">
        <v>1</v>
      </c>
      <c r="I11451">
        <v>378</v>
      </c>
      <c r="J11451">
        <v>0</v>
      </c>
      <c r="K11451" t="str">
        <f t="shared" si="2039"/>
        <v>809</v>
      </c>
      <c r="L11451">
        <v>555.66</v>
      </c>
    </row>
    <row r="11452" spans="1:12" x14ac:dyDescent="0.25">
      <c r="A11452" t="str">
        <f t="shared" si="2035"/>
        <v>89301000</v>
      </c>
      <c r="B11452" t="str">
        <f t="shared" si="2041"/>
        <v>93201000</v>
      </c>
      <c r="C11452" t="str">
        <f t="shared" si="2042"/>
        <v>93201350</v>
      </c>
      <c r="D11452">
        <v>89301212</v>
      </c>
      <c r="E11452" t="str">
        <f>"445214420"</f>
        <v>445214420</v>
      </c>
      <c r="F11452" s="1">
        <v>45173</v>
      </c>
      <c r="G11452" t="str">
        <f>"89513"</f>
        <v>89513</v>
      </c>
      <c r="H11452">
        <v>1</v>
      </c>
      <c r="I11452">
        <v>378</v>
      </c>
      <c r="J11452">
        <v>0</v>
      </c>
      <c r="K11452" t="str">
        <f t="shared" si="2039"/>
        <v>809</v>
      </c>
      <c r="L11452">
        <v>555.66</v>
      </c>
    </row>
    <row r="11453" spans="1:12" x14ac:dyDescent="0.25">
      <c r="A11453" t="str">
        <f t="shared" si="2035"/>
        <v>89301000</v>
      </c>
      <c r="B11453" t="str">
        <f t="shared" si="2041"/>
        <v>93201000</v>
      </c>
      <c r="C11453" t="str">
        <f t="shared" si="2042"/>
        <v>93201350</v>
      </c>
      <c r="D11453">
        <v>89301212</v>
      </c>
      <c r="E11453" t="str">
        <f>"445214420"</f>
        <v>445214420</v>
      </c>
      <c r="F11453" s="1">
        <v>45173</v>
      </c>
      <c r="G11453" t="str">
        <f>"89514"</f>
        <v>89514</v>
      </c>
      <c r="H11453">
        <v>1</v>
      </c>
      <c r="I11453">
        <v>378</v>
      </c>
      <c r="J11453">
        <v>0</v>
      </c>
      <c r="K11453" t="str">
        <f t="shared" si="2039"/>
        <v>809</v>
      </c>
      <c r="L11453">
        <v>555.66</v>
      </c>
    </row>
    <row r="11454" spans="1:12" x14ac:dyDescent="0.25">
      <c r="A11454" t="str">
        <f t="shared" si="2035"/>
        <v>89301000</v>
      </c>
      <c r="B11454" t="str">
        <f t="shared" si="2041"/>
        <v>93201000</v>
      </c>
      <c r="C11454" t="str">
        <f t="shared" si="2042"/>
        <v>93201350</v>
      </c>
      <c r="D11454">
        <v>89301034</v>
      </c>
      <c r="E11454" t="str">
        <f>"6712310187"</f>
        <v>6712310187</v>
      </c>
      <c r="F11454" s="1">
        <v>45190</v>
      </c>
      <c r="G11454" t="str">
        <f>"89513"</f>
        <v>89513</v>
      </c>
      <c r="H11454">
        <v>1</v>
      </c>
      <c r="I11454">
        <v>378</v>
      </c>
      <c r="J11454">
        <v>0</v>
      </c>
      <c r="K11454" t="str">
        <f t="shared" si="2039"/>
        <v>809</v>
      </c>
      <c r="L11454">
        <v>555.66</v>
      </c>
    </row>
    <row r="11455" spans="1:12" x14ac:dyDescent="0.25">
      <c r="A11455" t="str">
        <f t="shared" si="2035"/>
        <v>89301000</v>
      </c>
      <c r="B11455" t="str">
        <f t="shared" si="2041"/>
        <v>93201000</v>
      </c>
      <c r="C11455" t="str">
        <f t="shared" si="2042"/>
        <v>93201350</v>
      </c>
      <c r="D11455">
        <v>89301034</v>
      </c>
      <c r="E11455" t="str">
        <f>"6712310187"</f>
        <v>6712310187</v>
      </c>
      <c r="F11455" s="1">
        <v>45190</v>
      </c>
      <c r="G11455" t="str">
        <f>"89514"</f>
        <v>89514</v>
      </c>
      <c r="H11455">
        <v>1</v>
      </c>
      <c r="I11455">
        <v>378</v>
      </c>
      <c r="J11455">
        <v>0</v>
      </c>
      <c r="K11455" t="str">
        <f t="shared" si="2039"/>
        <v>809</v>
      </c>
      <c r="L11455">
        <v>555.66</v>
      </c>
    </row>
    <row r="11456" spans="1:12" x14ac:dyDescent="0.25">
      <c r="A11456" t="str">
        <f t="shared" si="2035"/>
        <v>89301000</v>
      </c>
      <c r="B11456" t="str">
        <f t="shared" si="2041"/>
        <v>93201000</v>
      </c>
      <c r="C11456" t="str">
        <f t="shared" si="2042"/>
        <v>93201350</v>
      </c>
      <c r="D11456">
        <v>89301212</v>
      </c>
      <c r="E11456" t="str">
        <f>"495801257"</f>
        <v>495801257</v>
      </c>
      <c r="F11456" s="1">
        <v>45183</v>
      </c>
      <c r="G11456" t="str">
        <f>"89512"</f>
        <v>89512</v>
      </c>
      <c r="H11456">
        <v>1</v>
      </c>
      <c r="I11456">
        <v>283</v>
      </c>
      <c r="J11456">
        <v>0</v>
      </c>
      <c r="K11456" t="str">
        <f t="shared" si="2039"/>
        <v>809</v>
      </c>
      <c r="L11456">
        <v>416.01</v>
      </c>
    </row>
    <row r="11457" spans="1:12" x14ac:dyDescent="0.25">
      <c r="A11457" t="str">
        <f t="shared" si="2035"/>
        <v>89301000</v>
      </c>
      <c r="B11457" t="str">
        <f t="shared" si="2041"/>
        <v>93201000</v>
      </c>
      <c r="C11457" t="str">
        <f t="shared" si="2042"/>
        <v>93201350</v>
      </c>
      <c r="D11457">
        <v>89301212</v>
      </c>
      <c r="E11457" t="str">
        <f>"495801257"</f>
        <v>495801257</v>
      </c>
      <c r="F11457" s="1">
        <v>45183</v>
      </c>
      <c r="G11457" t="str">
        <f>"89180"</f>
        <v>89180</v>
      </c>
      <c r="H11457">
        <v>2</v>
      </c>
      <c r="I11457">
        <v>762</v>
      </c>
      <c r="J11457">
        <v>0</v>
      </c>
      <c r="K11457" t="str">
        <f t="shared" si="2039"/>
        <v>809</v>
      </c>
      <c r="L11457">
        <v>1120.1400000000001</v>
      </c>
    </row>
    <row r="11458" spans="1:12" x14ac:dyDescent="0.25">
      <c r="A11458" t="str">
        <f t="shared" ref="A11458:A11521" si="2043">"89301000"</f>
        <v>89301000</v>
      </c>
      <c r="B11458" t="str">
        <f t="shared" si="2041"/>
        <v>93201000</v>
      </c>
      <c r="C11458" t="str">
        <f t="shared" si="2042"/>
        <v>93201350</v>
      </c>
      <c r="D11458">
        <v>89301212</v>
      </c>
      <c r="E11458" t="str">
        <f>"445214420"</f>
        <v>445214420</v>
      </c>
      <c r="F11458" s="1">
        <v>45173</v>
      </c>
      <c r="G11458" t="str">
        <f>"89512"</f>
        <v>89512</v>
      </c>
      <c r="H11458">
        <v>1</v>
      </c>
      <c r="I11458">
        <v>283</v>
      </c>
      <c r="J11458">
        <v>0</v>
      </c>
      <c r="K11458" t="str">
        <f t="shared" si="2039"/>
        <v>809</v>
      </c>
      <c r="L11458">
        <v>416.01</v>
      </c>
    </row>
    <row r="11459" spans="1:12" x14ac:dyDescent="0.25">
      <c r="A11459" t="str">
        <f t="shared" si="2043"/>
        <v>89301000</v>
      </c>
      <c r="B11459" t="str">
        <f t="shared" si="2041"/>
        <v>93201000</v>
      </c>
      <c r="C11459" t="str">
        <f t="shared" si="2042"/>
        <v>93201350</v>
      </c>
      <c r="D11459">
        <v>89301212</v>
      </c>
      <c r="E11459" t="str">
        <f>"445214420"</f>
        <v>445214420</v>
      </c>
      <c r="F11459" s="1">
        <v>45173</v>
      </c>
      <c r="G11459" t="str">
        <f>"89180"</f>
        <v>89180</v>
      </c>
      <c r="H11459">
        <v>2</v>
      </c>
      <c r="I11459">
        <v>762</v>
      </c>
      <c r="J11459">
        <v>0</v>
      </c>
      <c r="K11459" t="str">
        <f t="shared" si="2039"/>
        <v>809</v>
      </c>
      <c r="L11459">
        <v>1120.1400000000001</v>
      </c>
    </row>
    <row r="11460" spans="1:12" x14ac:dyDescent="0.25">
      <c r="A11460" t="str">
        <f t="shared" si="2043"/>
        <v>89301000</v>
      </c>
      <c r="B11460" t="str">
        <f t="shared" si="2041"/>
        <v>93201000</v>
      </c>
      <c r="C11460" t="str">
        <f t="shared" si="2042"/>
        <v>93201350</v>
      </c>
      <c r="D11460">
        <v>89301212</v>
      </c>
      <c r="E11460" t="str">
        <f>"6456101168"</f>
        <v>6456101168</v>
      </c>
      <c r="F11460" s="1">
        <v>45181</v>
      </c>
      <c r="G11460" t="str">
        <f>"89512"</f>
        <v>89512</v>
      </c>
      <c r="H11460">
        <v>1</v>
      </c>
      <c r="I11460">
        <v>283</v>
      </c>
      <c r="J11460">
        <v>0</v>
      </c>
      <c r="K11460" t="str">
        <f t="shared" si="2039"/>
        <v>809</v>
      </c>
      <c r="L11460">
        <v>416.01</v>
      </c>
    </row>
    <row r="11461" spans="1:12" x14ac:dyDescent="0.25">
      <c r="A11461" t="str">
        <f t="shared" si="2043"/>
        <v>89301000</v>
      </c>
      <c r="B11461" t="str">
        <f t="shared" si="2041"/>
        <v>93201000</v>
      </c>
      <c r="C11461" t="str">
        <f t="shared" si="2042"/>
        <v>93201350</v>
      </c>
      <c r="D11461">
        <v>89301212</v>
      </c>
      <c r="E11461" t="str">
        <f>"6456101168"</f>
        <v>6456101168</v>
      </c>
      <c r="F11461" s="1">
        <v>45181</v>
      </c>
      <c r="G11461" t="str">
        <f>"89313"</f>
        <v>89313</v>
      </c>
      <c r="H11461">
        <v>1</v>
      </c>
      <c r="I11461">
        <v>420</v>
      </c>
      <c r="J11461">
        <v>0</v>
      </c>
      <c r="K11461" t="str">
        <f t="shared" si="2039"/>
        <v>809</v>
      </c>
      <c r="L11461">
        <v>617.4</v>
      </c>
    </row>
    <row r="11462" spans="1:12" x14ac:dyDescent="0.25">
      <c r="A11462" t="str">
        <f t="shared" si="2043"/>
        <v>89301000</v>
      </c>
      <c r="B11462" t="str">
        <f t="shared" si="2041"/>
        <v>93201000</v>
      </c>
      <c r="C11462" t="str">
        <f t="shared" si="2042"/>
        <v>93201350</v>
      </c>
      <c r="D11462">
        <v>89301212</v>
      </c>
      <c r="E11462" t="str">
        <f>"6456101168"</f>
        <v>6456101168</v>
      </c>
      <c r="F11462" s="1">
        <v>45181</v>
      </c>
      <c r="G11462" t="str">
        <f>"89180"</f>
        <v>89180</v>
      </c>
      <c r="H11462">
        <v>2</v>
      </c>
      <c r="I11462">
        <v>762</v>
      </c>
      <c r="J11462">
        <v>0</v>
      </c>
      <c r="K11462" t="str">
        <f t="shared" si="2039"/>
        <v>809</v>
      </c>
      <c r="L11462">
        <v>1120.1400000000001</v>
      </c>
    </row>
    <row r="11463" spans="1:12" x14ac:dyDescent="0.25">
      <c r="A11463" t="str">
        <f t="shared" si="2043"/>
        <v>89301000</v>
      </c>
      <c r="B11463" t="str">
        <f t="shared" si="2041"/>
        <v>93201000</v>
      </c>
      <c r="C11463" t="str">
        <f t="shared" si="2042"/>
        <v>93201350</v>
      </c>
      <c r="D11463">
        <v>89301212</v>
      </c>
      <c r="E11463" t="str">
        <f>"525615342"</f>
        <v>525615342</v>
      </c>
      <c r="F11463" s="1">
        <v>45191</v>
      </c>
      <c r="G11463" t="str">
        <f>"89180"</f>
        <v>89180</v>
      </c>
      <c r="H11463">
        <v>2</v>
      </c>
      <c r="I11463">
        <v>762</v>
      </c>
      <c r="J11463">
        <v>0</v>
      </c>
      <c r="K11463" t="str">
        <f t="shared" si="2039"/>
        <v>809</v>
      </c>
      <c r="L11463">
        <v>1120.1400000000001</v>
      </c>
    </row>
    <row r="11464" spans="1:12" x14ac:dyDescent="0.25">
      <c r="A11464" t="str">
        <f t="shared" si="2043"/>
        <v>89301000</v>
      </c>
      <c r="B11464" t="str">
        <f t="shared" si="2041"/>
        <v>93201000</v>
      </c>
      <c r="C11464" t="str">
        <f t="shared" si="2042"/>
        <v>93201350</v>
      </c>
      <c r="D11464">
        <v>89301212</v>
      </c>
      <c r="E11464" t="str">
        <f>"525615342"</f>
        <v>525615342</v>
      </c>
      <c r="F11464" s="1">
        <v>45191</v>
      </c>
      <c r="G11464" t="str">
        <f>"89512"</f>
        <v>89512</v>
      </c>
      <c r="H11464">
        <v>1</v>
      </c>
      <c r="I11464">
        <v>283</v>
      </c>
      <c r="J11464">
        <v>0</v>
      </c>
      <c r="K11464" t="str">
        <f t="shared" si="2039"/>
        <v>809</v>
      </c>
      <c r="L11464">
        <v>416.01</v>
      </c>
    </row>
    <row r="11465" spans="1:12" x14ac:dyDescent="0.25">
      <c r="A11465" t="str">
        <f t="shared" si="2043"/>
        <v>89301000</v>
      </c>
      <c r="B11465" t="str">
        <f>"94102000"</f>
        <v>94102000</v>
      </c>
      <c r="C11465" t="str">
        <f>"94102834"</f>
        <v>94102834</v>
      </c>
      <c r="D11465">
        <v>89301112</v>
      </c>
      <c r="E11465" t="str">
        <f>"6861021552"</f>
        <v>6861021552</v>
      </c>
      <c r="F11465" s="1">
        <v>45177</v>
      </c>
      <c r="G11465" t="str">
        <f>"89713"</f>
        <v>89713</v>
      </c>
      <c r="H11465">
        <v>1</v>
      </c>
      <c r="I11465">
        <v>5411</v>
      </c>
      <c r="J11465">
        <v>0</v>
      </c>
      <c r="K11465" t="str">
        <f>"810"</f>
        <v>810</v>
      </c>
      <c r="L11465">
        <v>3517.15</v>
      </c>
    </row>
    <row r="11466" spans="1:12" x14ac:dyDescent="0.25">
      <c r="A11466" t="str">
        <f t="shared" si="2043"/>
        <v>89301000</v>
      </c>
      <c r="B11466" t="str">
        <f>"94102000"</f>
        <v>94102000</v>
      </c>
      <c r="C11466" t="str">
        <f>"94102834"</f>
        <v>94102834</v>
      </c>
      <c r="D11466">
        <v>89301112</v>
      </c>
      <c r="E11466" t="str">
        <f>"6861021552"</f>
        <v>6861021552</v>
      </c>
      <c r="F11466" s="1">
        <v>45177</v>
      </c>
      <c r="G11466" t="str">
        <f>"89725"</f>
        <v>89725</v>
      </c>
      <c r="H11466">
        <v>1</v>
      </c>
      <c r="I11466">
        <v>2863</v>
      </c>
      <c r="J11466">
        <v>0</v>
      </c>
      <c r="K11466" t="str">
        <f>"810"</f>
        <v>810</v>
      </c>
      <c r="L11466">
        <v>1860.95</v>
      </c>
    </row>
    <row r="11467" spans="1:12" x14ac:dyDescent="0.25">
      <c r="A11467" t="str">
        <f t="shared" si="2043"/>
        <v>89301000</v>
      </c>
      <c r="B11467" t="str">
        <f t="shared" ref="B11467:B11473" si="2044">"80001000"</f>
        <v>80001000</v>
      </c>
      <c r="C11467" t="str">
        <f t="shared" ref="C11467:C11473" si="2045">"80001985"</f>
        <v>80001985</v>
      </c>
      <c r="D11467">
        <v>89301312</v>
      </c>
      <c r="E11467" t="str">
        <f>"9507254185"</f>
        <v>9507254185</v>
      </c>
      <c r="F11467" s="1">
        <v>45183</v>
      </c>
      <c r="G11467" t="str">
        <f>"89713"</f>
        <v>89713</v>
      </c>
      <c r="H11467">
        <v>1</v>
      </c>
      <c r="I11467">
        <v>5411</v>
      </c>
      <c r="J11467">
        <v>0</v>
      </c>
      <c r="K11467" t="str">
        <f t="shared" ref="K11467:K11475" si="2046">"809"</f>
        <v>809</v>
      </c>
      <c r="L11467">
        <v>3517.15</v>
      </c>
    </row>
    <row r="11468" spans="1:12" x14ac:dyDescent="0.25">
      <c r="A11468" t="str">
        <f t="shared" si="2043"/>
        <v>89301000</v>
      </c>
      <c r="B11468" t="str">
        <f t="shared" si="2044"/>
        <v>80001000</v>
      </c>
      <c r="C11468" t="str">
        <f t="shared" si="2045"/>
        <v>80001985</v>
      </c>
      <c r="D11468">
        <v>89301212</v>
      </c>
      <c r="E11468" t="str">
        <f>"5962181555"</f>
        <v>5962181555</v>
      </c>
      <c r="F11468" s="1">
        <v>45187</v>
      </c>
      <c r="G11468" t="str">
        <f>"89611"</f>
        <v>89611</v>
      </c>
      <c r="H11468">
        <v>2</v>
      </c>
      <c r="I11468">
        <v>4524</v>
      </c>
      <c r="J11468">
        <v>0</v>
      </c>
      <c r="K11468" t="str">
        <f t="shared" si="2046"/>
        <v>809</v>
      </c>
      <c r="L11468">
        <v>2940.6</v>
      </c>
    </row>
    <row r="11469" spans="1:12" x14ac:dyDescent="0.25">
      <c r="A11469" t="str">
        <f t="shared" si="2043"/>
        <v>89301000</v>
      </c>
      <c r="B11469" t="str">
        <f t="shared" si="2044"/>
        <v>80001000</v>
      </c>
      <c r="C11469" t="str">
        <f t="shared" si="2045"/>
        <v>80001985</v>
      </c>
      <c r="D11469">
        <v>89301212</v>
      </c>
      <c r="E11469" t="str">
        <f>"5962181555"</f>
        <v>5962181555</v>
      </c>
      <c r="F11469" s="1">
        <v>45187</v>
      </c>
      <c r="G11469" t="str">
        <f>"0224696"</f>
        <v>0224696</v>
      </c>
      <c r="H11469">
        <v>0.1</v>
      </c>
      <c r="J11469">
        <v>194.93</v>
      </c>
      <c r="K11469" t="str">
        <f t="shared" si="2046"/>
        <v>809</v>
      </c>
      <c r="L11469">
        <v>194.93</v>
      </c>
    </row>
    <row r="11470" spans="1:12" x14ac:dyDescent="0.25">
      <c r="A11470" t="str">
        <f t="shared" si="2043"/>
        <v>89301000</v>
      </c>
      <c r="B11470" t="str">
        <f t="shared" si="2044"/>
        <v>80001000</v>
      </c>
      <c r="C11470" t="str">
        <f t="shared" si="2045"/>
        <v>80001985</v>
      </c>
      <c r="D11470">
        <v>89301212</v>
      </c>
      <c r="E11470" t="str">
        <f>"5962181555"</f>
        <v>5962181555</v>
      </c>
      <c r="F11470" s="1">
        <v>45187</v>
      </c>
      <c r="G11470" t="str">
        <f>"0022077"</f>
        <v>0022077</v>
      </c>
      <c r="H11470">
        <v>0.5</v>
      </c>
      <c r="J11470">
        <v>1004.83</v>
      </c>
      <c r="K11470" t="str">
        <f t="shared" si="2046"/>
        <v>809</v>
      </c>
      <c r="L11470">
        <v>1004.83</v>
      </c>
    </row>
    <row r="11471" spans="1:12" x14ac:dyDescent="0.25">
      <c r="A11471" t="str">
        <f t="shared" si="2043"/>
        <v>89301000</v>
      </c>
      <c r="B11471" t="str">
        <f t="shared" si="2044"/>
        <v>80001000</v>
      </c>
      <c r="C11471" t="str">
        <f t="shared" si="2045"/>
        <v>80001985</v>
      </c>
      <c r="D11471">
        <v>89301172</v>
      </c>
      <c r="E11471" t="str">
        <f>"9205184593"</f>
        <v>9205184593</v>
      </c>
      <c r="F11471" s="1">
        <v>45195</v>
      </c>
      <c r="G11471" t="str">
        <f>"89713"</f>
        <v>89713</v>
      </c>
      <c r="H11471">
        <v>2</v>
      </c>
      <c r="I11471">
        <v>10822</v>
      </c>
      <c r="J11471">
        <v>0</v>
      </c>
      <c r="K11471" t="str">
        <f t="shared" si="2046"/>
        <v>809</v>
      </c>
      <c r="L11471">
        <v>7034.3</v>
      </c>
    </row>
    <row r="11472" spans="1:12" x14ac:dyDescent="0.25">
      <c r="A11472" t="str">
        <f t="shared" si="2043"/>
        <v>89301000</v>
      </c>
      <c r="B11472" t="str">
        <f t="shared" si="2044"/>
        <v>80001000</v>
      </c>
      <c r="C11472" t="str">
        <f t="shared" si="2045"/>
        <v>80001985</v>
      </c>
      <c r="D11472">
        <v>89301172</v>
      </c>
      <c r="E11472" t="str">
        <f>"9205184593"</f>
        <v>9205184593</v>
      </c>
      <c r="F11472" s="1">
        <v>45195</v>
      </c>
      <c r="G11472" t="str">
        <f>"89725"</f>
        <v>89725</v>
      </c>
      <c r="H11472">
        <v>1</v>
      </c>
      <c r="I11472">
        <v>2863</v>
      </c>
      <c r="J11472">
        <v>0</v>
      </c>
      <c r="K11472" t="str">
        <f t="shared" si="2046"/>
        <v>809</v>
      </c>
      <c r="L11472">
        <v>1860.95</v>
      </c>
    </row>
    <row r="11473" spans="1:12" x14ac:dyDescent="0.25">
      <c r="A11473" t="str">
        <f t="shared" si="2043"/>
        <v>89301000</v>
      </c>
      <c r="B11473" t="str">
        <f t="shared" si="2044"/>
        <v>80001000</v>
      </c>
      <c r="C11473" t="str">
        <f t="shared" si="2045"/>
        <v>80001985</v>
      </c>
      <c r="D11473">
        <v>89301172</v>
      </c>
      <c r="E11473" t="str">
        <f>"9205184593"</f>
        <v>9205184593</v>
      </c>
      <c r="F11473" s="1">
        <v>45195</v>
      </c>
      <c r="G11473" t="str">
        <f>"0224137"</f>
        <v>0224137</v>
      </c>
      <c r="H11473">
        <v>0.15</v>
      </c>
      <c r="J11473">
        <v>921</v>
      </c>
      <c r="K11473" t="str">
        <f t="shared" si="2046"/>
        <v>809</v>
      </c>
      <c r="L11473">
        <v>921</v>
      </c>
    </row>
    <row r="11474" spans="1:12" x14ac:dyDescent="0.25">
      <c r="A11474" t="str">
        <f t="shared" si="2043"/>
        <v>89301000</v>
      </c>
      <c r="B11474" t="str">
        <f t="shared" ref="B11474:B11511" si="2047">"89903000"</f>
        <v>89903000</v>
      </c>
      <c r="C11474" t="str">
        <f>"89903503"</f>
        <v>89903503</v>
      </c>
      <c r="D11474">
        <v>89301274</v>
      </c>
      <c r="E11474" t="str">
        <f>"7908085702"</f>
        <v>7908085702</v>
      </c>
      <c r="F11474" s="1">
        <v>45198</v>
      </c>
      <c r="G11474" t="str">
        <f>"89513"</f>
        <v>89513</v>
      </c>
      <c r="H11474">
        <v>1</v>
      </c>
      <c r="I11474">
        <v>378</v>
      </c>
      <c r="J11474">
        <v>0</v>
      </c>
      <c r="K11474" t="str">
        <f t="shared" si="2046"/>
        <v>809</v>
      </c>
      <c r="L11474">
        <v>555.66</v>
      </c>
    </row>
    <row r="11475" spans="1:12" x14ac:dyDescent="0.25">
      <c r="A11475" t="str">
        <f t="shared" si="2043"/>
        <v>89301000</v>
      </c>
      <c r="B11475" t="str">
        <f t="shared" si="2047"/>
        <v>89903000</v>
      </c>
      <c r="C11475" t="str">
        <f>"89903503"</f>
        <v>89903503</v>
      </c>
      <c r="D11475">
        <v>89301274</v>
      </c>
      <c r="E11475" t="str">
        <f>"7908085702"</f>
        <v>7908085702</v>
      </c>
      <c r="F11475" s="1">
        <v>45198</v>
      </c>
      <c r="G11475" t="str">
        <f>"89514"</f>
        <v>89514</v>
      </c>
      <c r="H11475">
        <v>1</v>
      </c>
      <c r="I11475">
        <v>378</v>
      </c>
      <c r="J11475">
        <v>0</v>
      </c>
      <c r="K11475" t="str">
        <f t="shared" si="2046"/>
        <v>809</v>
      </c>
      <c r="L11475">
        <v>555.66</v>
      </c>
    </row>
    <row r="11476" spans="1:12" x14ac:dyDescent="0.25">
      <c r="A11476" t="str">
        <f t="shared" si="2043"/>
        <v>89301000</v>
      </c>
      <c r="B11476" t="str">
        <f t="shared" si="2047"/>
        <v>89903000</v>
      </c>
      <c r="C11476" t="str">
        <f t="shared" ref="C11476:C11482" si="2048">"89903504"</f>
        <v>89903504</v>
      </c>
      <c r="D11476">
        <v>89301172</v>
      </c>
      <c r="E11476" t="str">
        <f>"7655085317"</f>
        <v>7655085317</v>
      </c>
      <c r="F11476" s="1">
        <v>45175</v>
      </c>
      <c r="G11476" t="str">
        <f>"89713"</f>
        <v>89713</v>
      </c>
      <c r="H11476">
        <v>1</v>
      </c>
      <c r="I11476">
        <v>5411</v>
      </c>
      <c r="J11476">
        <v>0</v>
      </c>
      <c r="K11476" t="str">
        <f t="shared" ref="K11476:K11482" si="2049">"810"</f>
        <v>810</v>
      </c>
      <c r="L11476">
        <v>3517.15</v>
      </c>
    </row>
    <row r="11477" spans="1:12" x14ac:dyDescent="0.25">
      <c r="A11477" t="str">
        <f t="shared" si="2043"/>
        <v>89301000</v>
      </c>
      <c r="B11477" t="str">
        <f t="shared" si="2047"/>
        <v>89903000</v>
      </c>
      <c r="C11477" t="str">
        <f t="shared" si="2048"/>
        <v>89903504</v>
      </c>
      <c r="D11477">
        <v>89301172</v>
      </c>
      <c r="E11477" t="str">
        <f>"7655085317"</f>
        <v>7655085317</v>
      </c>
      <c r="F11477" s="1">
        <v>45175</v>
      </c>
      <c r="G11477" t="str">
        <f>"89723"</f>
        <v>89723</v>
      </c>
      <c r="H11477">
        <v>1</v>
      </c>
      <c r="I11477">
        <v>5940</v>
      </c>
      <c r="J11477">
        <v>0</v>
      </c>
      <c r="K11477" t="str">
        <f t="shared" si="2049"/>
        <v>810</v>
      </c>
      <c r="L11477">
        <v>3861</v>
      </c>
    </row>
    <row r="11478" spans="1:12" x14ac:dyDescent="0.25">
      <c r="A11478" t="str">
        <f t="shared" si="2043"/>
        <v>89301000</v>
      </c>
      <c r="B11478" t="str">
        <f t="shared" si="2047"/>
        <v>89903000</v>
      </c>
      <c r="C11478" t="str">
        <f t="shared" si="2048"/>
        <v>89903504</v>
      </c>
      <c r="D11478">
        <v>89301606</v>
      </c>
      <c r="E11478" t="str">
        <f>"6459091771"</f>
        <v>6459091771</v>
      </c>
      <c r="F11478" s="1">
        <v>45183</v>
      </c>
      <c r="G11478" t="str">
        <f>"89713"</f>
        <v>89713</v>
      </c>
      <c r="H11478">
        <v>1</v>
      </c>
      <c r="I11478">
        <v>5411</v>
      </c>
      <c r="J11478">
        <v>0</v>
      </c>
      <c r="K11478" t="str">
        <f t="shared" si="2049"/>
        <v>810</v>
      </c>
      <c r="L11478">
        <v>3517.15</v>
      </c>
    </row>
    <row r="11479" spans="1:12" x14ac:dyDescent="0.25">
      <c r="A11479" t="str">
        <f t="shared" si="2043"/>
        <v>89301000</v>
      </c>
      <c r="B11479" t="str">
        <f t="shared" si="2047"/>
        <v>89903000</v>
      </c>
      <c r="C11479" t="str">
        <f t="shared" si="2048"/>
        <v>89903504</v>
      </c>
      <c r="D11479">
        <v>89301606</v>
      </c>
      <c r="E11479" t="str">
        <f>"6459091771"</f>
        <v>6459091771</v>
      </c>
      <c r="F11479" s="1">
        <v>45183</v>
      </c>
      <c r="G11479" t="str">
        <f>"89725"</f>
        <v>89725</v>
      </c>
      <c r="H11479">
        <v>1</v>
      </c>
      <c r="I11479">
        <v>2863</v>
      </c>
      <c r="J11479">
        <v>0</v>
      </c>
      <c r="K11479" t="str">
        <f t="shared" si="2049"/>
        <v>810</v>
      </c>
      <c r="L11479">
        <v>1860.95</v>
      </c>
    </row>
    <row r="11480" spans="1:12" x14ac:dyDescent="0.25">
      <c r="A11480" t="str">
        <f t="shared" si="2043"/>
        <v>89301000</v>
      </c>
      <c r="B11480" t="str">
        <f t="shared" si="2047"/>
        <v>89903000</v>
      </c>
      <c r="C11480" t="str">
        <f t="shared" si="2048"/>
        <v>89903504</v>
      </c>
      <c r="D11480">
        <v>89301606</v>
      </c>
      <c r="E11480" t="str">
        <f>"6459091771"</f>
        <v>6459091771</v>
      </c>
      <c r="F11480" s="1">
        <v>45183</v>
      </c>
      <c r="G11480" t="str">
        <f>"0009709"</f>
        <v>0009709</v>
      </c>
      <c r="H11480">
        <v>1</v>
      </c>
      <c r="J11480">
        <v>13.37</v>
      </c>
      <c r="K11480" t="str">
        <f t="shared" si="2049"/>
        <v>810</v>
      </c>
      <c r="L11480">
        <v>13.37</v>
      </c>
    </row>
    <row r="11481" spans="1:12" x14ac:dyDescent="0.25">
      <c r="A11481" t="str">
        <f t="shared" si="2043"/>
        <v>89301000</v>
      </c>
      <c r="B11481" t="str">
        <f t="shared" si="2047"/>
        <v>89903000</v>
      </c>
      <c r="C11481" t="str">
        <f t="shared" si="2048"/>
        <v>89903504</v>
      </c>
      <c r="D11481">
        <v>89301606</v>
      </c>
      <c r="E11481" t="str">
        <f>"6459091771"</f>
        <v>6459091771</v>
      </c>
      <c r="F11481" s="1">
        <v>45183</v>
      </c>
      <c r="G11481" t="str">
        <f>"0054253"</f>
        <v>0054253</v>
      </c>
      <c r="H11481">
        <v>1</v>
      </c>
      <c r="J11481">
        <v>843.46</v>
      </c>
      <c r="K11481" t="str">
        <f t="shared" si="2049"/>
        <v>810</v>
      </c>
      <c r="L11481">
        <v>843.46</v>
      </c>
    </row>
    <row r="11482" spans="1:12" x14ac:dyDescent="0.25">
      <c r="A11482" t="str">
        <f t="shared" si="2043"/>
        <v>89301000</v>
      </c>
      <c r="B11482" t="str">
        <f t="shared" si="2047"/>
        <v>89903000</v>
      </c>
      <c r="C11482" t="str">
        <f t="shared" si="2048"/>
        <v>89903504</v>
      </c>
      <c r="D11482">
        <v>89301112</v>
      </c>
      <c r="E11482" t="str">
        <f>"0753316157"</f>
        <v>0753316157</v>
      </c>
      <c r="F11482" s="1">
        <v>45198</v>
      </c>
      <c r="G11482" t="str">
        <f>"89713"</f>
        <v>89713</v>
      </c>
      <c r="H11482">
        <v>1</v>
      </c>
      <c r="I11482">
        <v>5411</v>
      </c>
      <c r="J11482">
        <v>0</v>
      </c>
      <c r="K11482" t="str">
        <f t="shared" si="2049"/>
        <v>810</v>
      </c>
      <c r="L11482">
        <v>3517.15</v>
      </c>
    </row>
    <row r="11483" spans="1:12" x14ac:dyDescent="0.25">
      <c r="A11483" t="str">
        <f t="shared" si="2043"/>
        <v>89301000</v>
      </c>
      <c r="B11483" t="str">
        <f t="shared" si="2047"/>
        <v>89903000</v>
      </c>
      <c r="C11483" t="str">
        <f t="shared" ref="C11483:C11511" si="2050">"89903503"</f>
        <v>89903503</v>
      </c>
      <c r="D11483">
        <v>89301172</v>
      </c>
      <c r="E11483" t="str">
        <f t="shared" ref="E11483:E11488" si="2051">"5401310013"</f>
        <v>5401310013</v>
      </c>
      <c r="F11483" s="1">
        <v>45177</v>
      </c>
      <c r="G11483" t="str">
        <f>"09233"</f>
        <v>09233</v>
      </c>
      <c r="H11483">
        <v>1</v>
      </c>
      <c r="I11483">
        <v>102</v>
      </c>
      <c r="J11483">
        <v>0</v>
      </c>
      <c r="K11483" t="str">
        <f t="shared" ref="K11483:K11511" si="2052">"809"</f>
        <v>809</v>
      </c>
      <c r="L11483">
        <v>149.94</v>
      </c>
    </row>
    <row r="11484" spans="1:12" x14ac:dyDescent="0.25">
      <c r="A11484" t="str">
        <f t="shared" si="2043"/>
        <v>89301000</v>
      </c>
      <c r="B11484" t="str">
        <f t="shared" si="2047"/>
        <v>89903000</v>
      </c>
      <c r="C11484" t="str">
        <f t="shared" si="2050"/>
        <v>89903503</v>
      </c>
      <c r="D11484">
        <v>89301172</v>
      </c>
      <c r="E11484" t="str">
        <f t="shared" si="2051"/>
        <v>5401310013</v>
      </c>
      <c r="F11484" s="1">
        <v>45177</v>
      </c>
      <c r="G11484" t="str">
        <f>"89311"</f>
        <v>89311</v>
      </c>
      <c r="H11484">
        <v>1</v>
      </c>
      <c r="I11484">
        <v>970</v>
      </c>
      <c r="J11484">
        <v>0</v>
      </c>
      <c r="K11484" t="str">
        <f t="shared" si="2052"/>
        <v>809</v>
      </c>
      <c r="L11484">
        <v>1425.9</v>
      </c>
    </row>
    <row r="11485" spans="1:12" x14ac:dyDescent="0.25">
      <c r="A11485" t="str">
        <f t="shared" si="2043"/>
        <v>89301000</v>
      </c>
      <c r="B11485" t="str">
        <f t="shared" si="2047"/>
        <v>89903000</v>
      </c>
      <c r="C11485" t="str">
        <f t="shared" si="2050"/>
        <v>89903503</v>
      </c>
      <c r="D11485">
        <v>89301172</v>
      </c>
      <c r="E11485" t="str">
        <f t="shared" si="2051"/>
        <v>5401310013</v>
      </c>
      <c r="F11485" s="1">
        <v>45177</v>
      </c>
      <c r="G11485" t="str">
        <f>"89615"</f>
        <v>89615</v>
      </c>
      <c r="H11485">
        <v>1</v>
      </c>
      <c r="I11485">
        <v>2199</v>
      </c>
      <c r="J11485">
        <v>0</v>
      </c>
      <c r="K11485" t="str">
        <f t="shared" si="2052"/>
        <v>809</v>
      </c>
      <c r="L11485">
        <v>1429.35</v>
      </c>
    </row>
    <row r="11486" spans="1:12" x14ac:dyDescent="0.25">
      <c r="A11486" t="str">
        <f t="shared" si="2043"/>
        <v>89301000</v>
      </c>
      <c r="B11486" t="str">
        <f t="shared" si="2047"/>
        <v>89903000</v>
      </c>
      <c r="C11486" t="str">
        <f t="shared" si="2050"/>
        <v>89903503</v>
      </c>
      <c r="D11486">
        <v>89301172</v>
      </c>
      <c r="E11486" t="str">
        <f t="shared" si="2051"/>
        <v>5401310013</v>
      </c>
      <c r="F11486" s="1">
        <v>45177</v>
      </c>
      <c r="G11486" t="str">
        <f>"0000502"</f>
        <v>0000502</v>
      </c>
      <c r="H11486">
        <v>0.1</v>
      </c>
      <c r="J11486">
        <v>6.97</v>
      </c>
      <c r="K11486" t="str">
        <f t="shared" si="2052"/>
        <v>809</v>
      </c>
      <c r="L11486">
        <v>6.97</v>
      </c>
    </row>
    <row r="11487" spans="1:12" x14ac:dyDescent="0.25">
      <c r="A11487" t="str">
        <f t="shared" si="2043"/>
        <v>89301000</v>
      </c>
      <c r="B11487" t="str">
        <f t="shared" si="2047"/>
        <v>89903000</v>
      </c>
      <c r="C11487" t="str">
        <f t="shared" si="2050"/>
        <v>89903503</v>
      </c>
      <c r="D11487">
        <v>89301172</v>
      </c>
      <c r="E11487" t="str">
        <f t="shared" si="2051"/>
        <v>5401310013</v>
      </c>
      <c r="F11487" s="1">
        <v>45177</v>
      </c>
      <c r="G11487" t="str">
        <f>"0096251"</f>
        <v>0096251</v>
      </c>
      <c r="H11487">
        <v>8.0000000000000002E-3</v>
      </c>
      <c r="J11487">
        <v>9.36</v>
      </c>
      <c r="K11487" t="str">
        <f t="shared" si="2052"/>
        <v>809</v>
      </c>
      <c r="L11487">
        <v>9.36</v>
      </c>
    </row>
    <row r="11488" spans="1:12" x14ac:dyDescent="0.25">
      <c r="A11488" t="str">
        <f t="shared" si="2043"/>
        <v>89301000</v>
      </c>
      <c r="B11488" t="str">
        <f t="shared" si="2047"/>
        <v>89903000</v>
      </c>
      <c r="C11488" t="str">
        <f t="shared" si="2050"/>
        <v>89903503</v>
      </c>
      <c r="D11488">
        <v>89301172</v>
      </c>
      <c r="E11488" t="str">
        <f t="shared" si="2051"/>
        <v>5401310013</v>
      </c>
      <c r="F11488" s="1">
        <v>45177</v>
      </c>
      <c r="G11488" t="str">
        <f>"0194183"</f>
        <v>0194183</v>
      </c>
      <c r="H11488">
        <v>3</v>
      </c>
      <c r="J11488">
        <v>159</v>
      </c>
      <c r="K11488" t="str">
        <f t="shared" si="2052"/>
        <v>809</v>
      </c>
      <c r="L11488">
        <v>159</v>
      </c>
    </row>
    <row r="11489" spans="1:12" x14ac:dyDescent="0.25">
      <c r="A11489" t="str">
        <f t="shared" si="2043"/>
        <v>89301000</v>
      </c>
      <c r="B11489" t="str">
        <f t="shared" si="2047"/>
        <v>89903000</v>
      </c>
      <c r="C11489" t="str">
        <f t="shared" si="2050"/>
        <v>89903503</v>
      </c>
      <c r="D11489">
        <v>89301062</v>
      </c>
      <c r="E11489" t="str">
        <f t="shared" ref="E11489:E11500" si="2053">"5409184649"</f>
        <v>5409184649</v>
      </c>
      <c r="F11489" s="1">
        <v>45177</v>
      </c>
      <c r="G11489" t="str">
        <f>"09233"</f>
        <v>09233</v>
      </c>
      <c r="H11489">
        <v>1</v>
      </c>
      <c r="I11489">
        <v>102</v>
      </c>
      <c r="J11489">
        <v>0</v>
      </c>
      <c r="K11489" t="str">
        <f t="shared" si="2052"/>
        <v>809</v>
      </c>
      <c r="L11489">
        <v>149.94</v>
      </c>
    </row>
    <row r="11490" spans="1:12" x14ac:dyDescent="0.25">
      <c r="A11490" t="str">
        <f t="shared" si="2043"/>
        <v>89301000</v>
      </c>
      <c r="B11490" t="str">
        <f t="shared" si="2047"/>
        <v>89903000</v>
      </c>
      <c r="C11490" t="str">
        <f t="shared" si="2050"/>
        <v>89903503</v>
      </c>
      <c r="D11490">
        <v>89301062</v>
      </c>
      <c r="E11490" t="str">
        <f t="shared" si="2053"/>
        <v>5409184649</v>
      </c>
      <c r="F11490" s="1">
        <v>45177</v>
      </c>
      <c r="G11490" t="str">
        <f>"89311"</f>
        <v>89311</v>
      </c>
      <c r="H11490">
        <v>1</v>
      </c>
      <c r="I11490">
        <v>970</v>
      </c>
      <c r="J11490">
        <v>0</v>
      </c>
      <c r="K11490" t="str">
        <f t="shared" si="2052"/>
        <v>809</v>
      </c>
      <c r="L11490">
        <v>1425.9</v>
      </c>
    </row>
    <row r="11491" spans="1:12" x14ac:dyDescent="0.25">
      <c r="A11491" t="str">
        <f t="shared" si="2043"/>
        <v>89301000</v>
      </c>
      <c r="B11491" t="str">
        <f t="shared" si="2047"/>
        <v>89903000</v>
      </c>
      <c r="C11491" t="str">
        <f t="shared" si="2050"/>
        <v>89903503</v>
      </c>
      <c r="D11491">
        <v>89301062</v>
      </c>
      <c r="E11491" t="str">
        <f t="shared" si="2053"/>
        <v>5409184649</v>
      </c>
      <c r="F11491" s="1">
        <v>45177</v>
      </c>
      <c r="G11491" t="str">
        <f>"89615"</f>
        <v>89615</v>
      </c>
      <c r="H11491">
        <v>1</v>
      </c>
      <c r="I11491">
        <v>2199</v>
      </c>
      <c r="J11491">
        <v>0</v>
      </c>
      <c r="K11491" t="str">
        <f t="shared" si="2052"/>
        <v>809</v>
      </c>
      <c r="L11491">
        <v>1429.35</v>
      </c>
    </row>
    <row r="11492" spans="1:12" x14ac:dyDescent="0.25">
      <c r="A11492" t="str">
        <f t="shared" si="2043"/>
        <v>89301000</v>
      </c>
      <c r="B11492" t="str">
        <f t="shared" si="2047"/>
        <v>89903000</v>
      </c>
      <c r="C11492" t="str">
        <f t="shared" si="2050"/>
        <v>89903503</v>
      </c>
      <c r="D11492">
        <v>89301062</v>
      </c>
      <c r="E11492" t="str">
        <f t="shared" si="2053"/>
        <v>5409184649</v>
      </c>
      <c r="F11492" s="1">
        <v>45177</v>
      </c>
      <c r="G11492" t="str">
        <f>"0000502"</f>
        <v>0000502</v>
      </c>
      <c r="H11492">
        <v>0.1</v>
      </c>
      <c r="J11492">
        <v>6.97</v>
      </c>
      <c r="K11492" t="str">
        <f t="shared" si="2052"/>
        <v>809</v>
      </c>
      <c r="L11492">
        <v>6.97</v>
      </c>
    </row>
    <row r="11493" spans="1:12" x14ac:dyDescent="0.25">
      <c r="A11493" t="str">
        <f t="shared" si="2043"/>
        <v>89301000</v>
      </c>
      <c r="B11493" t="str">
        <f t="shared" si="2047"/>
        <v>89903000</v>
      </c>
      <c r="C11493" t="str">
        <f t="shared" si="2050"/>
        <v>89903503</v>
      </c>
      <c r="D11493">
        <v>89301062</v>
      </c>
      <c r="E11493" t="str">
        <f t="shared" si="2053"/>
        <v>5409184649</v>
      </c>
      <c r="F11493" s="1">
        <v>45177</v>
      </c>
      <c r="G11493" t="str">
        <f>"0096251"</f>
        <v>0096251</v>
      </c>
      <c r="H11493">
        <v>8.0000000000000002E-3</v>
      </c>
      <c r="J11493">
        <v>9.36</v>
      </c>
      <c r="K11493" t="str">
        <f t="shared" si="2052"/>
        <v>809</v>
      </c>
      <c r="L11493">
        <v>9.36</v>
      </c>
    </row>
    <row r="11494" spans="1:12" x14ac:dyDescent="0.25">
      <c r="A11494" t="str">
        <f t="shared" si="2043"/>
        <v>89301000</v>
      </c>
      <c r="B11494" t="str">
        <f t="shared" si="2047"/>
        <v>89903000</v>
      </c>
      <c r="C11494" t="str">
        <f t="shared" si="2050"/>
        <v>89903503</v>
      </c>
      <c r="D11494">
        <v>89301062</v>
      </c>
      <c r="E11494" t="str">
        <f t="shared" si="2053"/>
        <v>5409184649</v>
      </c>
      <c r="F11494" s="1">
        <v>45177</v>
      </c>
      <c r="G11494" t="str">
        <f>"0194183"</f>
        <v>0194183</v>
      </c>
      <c r="H11494">
        <v>6</v>
      </c>
      <c r="J11494">
        <v>318</v>
      </c>
      <c r="K11494" t="str">
        <f t="shared" si="2052"/>
        <v>809</v>
      </c>
      <c r="L11494">
        <v>318</v>
      </c>
    </row>
    <row r="11495" spans="1:12" x14ac:dyDescent="0.25">
      <c r="A11495" t="str">
        <f t="shared" si="2043"/>
        <v>89301000</v>
      </c>
      <c r="B11495" t="str">
        <f t="shared" si="2047"/>
        <v>89903000</v>
      </c>
      <c r="C11495" t="str">
        <f t="shared" si="2050"/>
        <v>89903503</v>
      </c>
      <c r="D11495">
        <v>89301062</v>
      </c>
      <c r="E11495" t="str">
        <f t="shared" si="2053"/>
        <v>5409184649</v>
      </c>
      <c r="F11495" s="1">
        <v>45188</v>
      </c>
      <c r="G11495" t="str">
        <f>"09233"</f>
        <v>09233</v>
      </c>
      <c r="H11495">
        <v>1</v>
      </c>
      <c r="I11495">
        <v>102</v>
      </c>
      <c r="J11495">
        <v>0</v>
      </c>
      <c r="K11495" t="str">
        <f t="shared" si="2052"/>
        <v>809</v>
      </c>
      <c r="L11495">
        <v>149.94</v>
      </c>
    </row>
    <row r="11496" spans="1:12" x14ac:dyDescent="0.25">
      <c r="A11496" t="str">
        <f t="shared" si="2043"/>
        <v>89301000</v>
      </c>
      <c r="B11496" t="str">
        <f t="shared" si="2047"/>
        <v>89903000</v>
      </c>
      <c r="C11496" t="str">
        <f t="shared" si="2050"/>
        <v>89903503</v>
      </c>
      <c r="D11496">
        <v>89301062</v>
      </c>
      <c r="E11496" t="str">
        <f t="shared" si="2053"/>
        <v>5409184649</v>
      </c>
      <c r="F11496" s="1">
        <v>45188</v>
      </c>
      <c r="G11496" t="str">
        <f>"89311"</f>
        <v>89311</v>
      </c>
      <c r="H11496">
        <v>1</v>
      </c>
      <c r="I11496">
        <v>970</v>
      </c>
      <c r="J11496">
        <v>0</v>
      </c>
      <c r="K11496" t="str">
        <f t="shared" si="2052"/>
        <v>809</v>
      </c>
      <c r="L11496">
        <v>1425.9</v>
      </c>
    </row>
    <row r="11497" spans="1:12" x14ac:dyDescent="0.25">
      <c r="A11497" t="str">
        <f t="shared" si="2043"/>
        <v>89301000</v>
      </c>
      <c r="B11497" t="str">
        <f t="shared" si="2047"/>
        <v>89903000</v>
      </c>
      <c r="C11497" t="str">
        <f t="shared" si="2050"/>
        <v>89903503</v>
      </c>
      <c r="D11497">
        <v>89301062</v>
      </c>
      <c r="E11497" t="str">
        <f t="shared" si="2053"/>
        <v>5409184649</v>
      </c>
      <c r="F11497" s="1">
        <v>45188</v>
      </c>
      <c r="G11497" t="str">
        <f>"89615"</f>
        <v>89615</v>
      </c>
      <c r="H11497">
        <v>1</v>
      </c>
      <c r="I11497">
        <v>2199</v>
      </c>
      <c r="J11497">
        <v>0</v>
      </c>
      <c r="K11497" t="str">
        <f t="shared" si="2052"/>
        <v>809</v>
      </c>
      <c r="L11497">
        <v>1429.35</v>
      </c>
    </row>
    <row r="11498" spans="1:12" x14ac:dyDescent="0.25">
      <c r="A11498" t="str">
        <f t="shared" si="2043"/>
        <v>89301000</v>
      </c>
      <c r="B11498" t="str">
        <f t="shared" si="2047"/>
        <v>89903000</v>
      </c>
      <c r="C11498" t="str">
        <f t="shared" si="2050"/>
        <v>89903503</v>
      </c>
      <c r="D11498">
        <v>89301062</v>
      </c>
      <c r="E11498" t="str">
        <f t="shared" si="2053"/>
        <v>5409184649</v>
      </c>
      <c r="F11498" s="1">
        <v>45188</v>
      </c>
      <c r="G11498" t="str">
        <f>"0000502"</f>
        <v>0000502</v>
      </c>
      <c r="H11498">
        <v>0.1</v>
      </c>
      <c r="J11498">
        <v>6.97</v>
      </c>
      <c r="K11498" t="str">
        <f t="shared" si="2052"/>
        <v>809</v>
      </c>
      <c r="L11498">
        <v>6.97</v>
      </c>
    </row>
    <row r="11499" spans="1:12" x14ac:dyDescent="0.25">
      <c r="A11499" t="str">
        <f t="shared" si="2043"/>
        <v>89301000</v>
      </c>
      <c r="B11499" t="str">
        <f t="shared" si="2047"/>
        <v>89903000</v>
      </c>
      <c r="C11499" t="str">
        <f t="shared" si="2050"/>
        <v>89903503</v>
      </c>
      <c r="D11499">
        <v>89301062</v>
      </c>
      <c r="E11499" t="str">
        <f t="shared" si="2053"/>
        <v>5409184649</v>
      </c>
      <c r="F11499" s="1">
        <v>45188</v>
      </c>
      <c r="G11499" t="str">
        <f>"0096251"</f>
        <v>0096251</v>
      </c>
      <c r="H11499">
        <v>8.0000000000000002E-3</v>
      </c>
      <c r="J11499">
        <v>9.36</v>
      </c>
      <c r="K11499" t="str">
        <f t="shared" si="2052"/>
        <v>809</v>
      </c>
      <c r="L11499">
        <v>9.36</v>
      </c>
    </row>
    <row r="11500" spans="1:12" x14ac:dyDescent="0.25">
      <c r="A11500" t="str">
        <f t="shared" si="2043"/>
        <v>89301000</v>
      </c>
      <c r="B11500" t="str">
        <f t="shared" si="2047"/>
        <v>89903000</v>
      </c>
      <c r="C11500" t="str">
        <f t="shared" si="2050"/>
        <v>89903503</v>
      </c>
      <c r="D11500">
        <v>89301062</v>
      </c>
      <c r="E11500" t="str">
        <f t="shared" si="2053"/>
        <v>5409184649</v>
      </c>
      <c r="F11500" s="1">
        <v>45188</v>
      </c>
      <c r="G11500" t="str">
        <f>"0194183"</f>
        <v>0194183</v>
      </c>
      <c r="H11500">
        <v>3</v>
      </c>
      <c r="J11500">
        <v>159</v>
      </c>
      <c r="K11500" t="str">
        <f t="shared" si="2052"/>
        <v>809</v>
      </c>
      <c r="L11500">
        <v>159</v>
      </c>
    </row>
    <row r="11501" spans="1:12" x14ac:dyDescent="0.25">
      <c r="A11501" t="str">
        <f t="shared" si="2043"/>
        <v>89301000</v>
      </c>
      <c r="B11501" t="str">
        <f t="shared" si="2047"/>
        <v>89903000</v>
      </c>
      <c r="C11501" t="str">
        <f t="shared" si="2050"/>
        <v>89903503</v>
      </c>
      <c r="D11501">
        <v>89301172</v>
      </c>
      <c r="E11501" t="str">
        <f>"5401310013"</f>
        <v>5401310013</v>
      </c>
      <c r="F11501" s="1">
        <v>45191</v>
      </c>
      <c r="G11501" t="str">
        <f>"09233"</f>
        <v>09233</v>
      </c>
      <c r="H11501">
        <v>1</v>
      </c>
      <c r="I11501">
        <v>102</v>
      </c>
      <c r="J11501">
        <v>0</v>
      </c>
      <c r="K11501" t="str">
        <f t="shared" si="2052"/>
        <v>809</v>
      </c>
      <c r="L11501">
        <v>149.94</v>
      </c>
    </row>
    <row r="11502" spans="1:12" x14ac:dyDescent="0.25">
      <c r="A11502" t="str">
        <f t="shared" si="2043"/>
        <v>89301000</v>
      </c>
      <c r="B11502" t="str">
        <f t="shared" si="2047"/>
        <v>89903000</v>
      </c>
      <c r="C11502" t="str">
        <f t="shared" si="2050"/>
        <v>89903503</v>
      </c>
      <c r="D11502">
        <v>89301172</v>
      </c>
      <c r="E11502" t="str">
        <f>"5401310013"</f>
        <v>5401310013</v>
      </c>
      <c r="F11502" s="1">
        <v>45191</v>
      </c>
      <c r="G11502" t="str">
        <f>"89311"</f>
        <v>89311</v>
      </c>
      <c r="H11502">
        <v>1</v>
      </c>
      <c r="I11502">
        <v>970</v>
      </c>
      <c r="J11502">
        <v>0</v>
      </c>
      <c r="K11502" t="str">
        <f t="shared" si="2052"/>
        <v>809</v>
      </c>
      <c r="L11502">
        <v>1425.9</v>
      </c>
    </row>
    <row r="11503" spans="1:12" x14ac:dyDescent="0.25">
      <c r="A11503" t="str">
        <f t="shared" si="2043"/>
        <v>89301000</v>
      </c>
      <c r="B11503" t="str">
        <f t="shared" si="2047"/>
        <v>89903000</v>
      </c>
      <c r="C11503" t="str">
        <f t="shared" si="2050"/>
        <v>89903503</v>
      </c>
      <c r="D11503">
        <v>89301172</v>
      </c>
      <c r="E11503" t="str">
        <f>"5401310013"</f>
        <v>5401310013</v>
      </c>
      <c r="F11503" s="1">
        <v>45191</v>
      </c>
      <c r="G11503" t="str">
        <f>"89615"</f>
        <v>89615</v>
      </c>
      <c r="H11503">
        <v>1</v>
      </c>
      <c r="I11503">
        <v>2199</v>
      </c>
      <c r="J11503">
        <v>0</v>
      </c>
      <c r="K11503" t="str">
        <f t="shared" si="2052"/>
        <v>809</v>
      </c>
      <c r="L11503">
        <v>1429.35</v>
      </c>
    </row>
    <row r="11504" spans="1:12" x14ac:dyDescent="0.25">
      <c r="A11504" t="str">
        <f t="shared" si="2043"/>
        <v>89301000</v>
      </c>
      <c r="B11504" t="str">
        <f t="shared" si="2047"/>
        <v>89903000</v>
      </c>
      <c r="C11504" t="str">
        <f t="shared" si="2050"/>
        <v>89903503</v>
      </c>
      <c r="D11504">
        <v>89301172</v>
      </c>
      <c r="E11504" t="str">
        <f>"5401310013"</f>
        <v>5401310013</v>
      </c>
      <c r="F11504" s="1">
        <v>45191</v>
      </c>
      <c r="G11504" t="str">
        <f>"0000502"</f>
        <v>0000502</v>
      </c>
      <c r="H11504">
        <v>0.1</v>
      </c>
      <c r="J11504">
        <v>6.97</v>
      </c>
      <c r="K11504" t="str">
        <f t="shared" si="2052"/>
        <v>809</v>
      </c>
      <c r="L11504">
        <v>6.97</v>
      </c>
    </row>
    <row r="11505" spans="1:12" x14ac:dyDescent="0.25">
      <c r="A11505" t="str">
        <f t="shared" si="2043"/>
        <v>89301000</v>
      </c>
      <c r="B11505" t="str">
        <f t="shared" si="2047"/>
        <v>89903000</v>
      </c>
      <c r="C11505" t="str">
        <f t="shared" si="2050"/>
        <v>89903503</v>
      </c>
      <c r="D11505">
        <v>89301172</v>
      </c>
      <c r="E11505" t="str">
        <f>"5401310013"</f>
        <v>5401310013</v>
      </c>
      <c r="F11505" s="1">
        <v>45191</v>
      </c>
      <c r="G11505" t="str">
        <f>"0194183"</f>
        <v>0194183</v>
      </c>
      <c r="H11505">
        <v>3</v>
      </c>
      <c r="J11505">
        <v>159</v>
      </c>
      <c r="K11505" t="str">
        <f t="shared" si="2052"/>
        <v>809</v>
      </c>
      <c r="L11505">
        <v>159</v>
      </c>
    </row>
    <row r="11506" spans="1:12" x14ac:dyDescent="0.25">
      <c r="A11506" t="str">
        <f t="shared" si="2043"/>
        <v>89301000</v>
      </c>
      <c r="B11506" t="str">
        <f t="shared" si="2047"/>
        <v>89903000</v>
      </c>
      <c r="C11506" t="str">
        <f t="shared" si="2050"/>
        <v>89903503</v>
      </c>
      <c r="D11506">
        <v>89301062</v>
      </c>
      <c r="E11506" t="str">
        <f t="shared" ref="E11506:E11511" si="2054">"6507190052"</f>
        <v>6507190052</v>
      </c>
      <c r="F11506" s="1">
        <v>45191</v>
      </c>
      <c r="G11506" t="str">
        <f>"09233"</f>
        <v>09233</v>
      </c>
      <c r="H11506">
        <v>1</v>
      </c>
      <c r="I11506">
        <v>102</v>
      </c>
      <c r="J11506">
        <v>0</v>
      </c>
      <c r="K11506" t="str">
        <f t="shared" si="2052"/>
        <v>809</v>
      </c>
      <c r="L11506">
        <v>149.94</v>
      </c>
    </row>
    <row r="11507" spans="1:12" x14ac:dyDescent="0.25">
      <c r="A11507" t="str">
        <f t="shared" si="2043"/>
        <v>89301000</v>
      </c>
      <c r="B11507" t="str">
        <f t="shared" si="2047"/>
        <v>89903000</v>
      </c>
      <c r="C11507" t="str">
        <f t="shared" si="2050"/>
        <v>89903503</v>
      </c>
      <c r="D11507">
        <v>89301062</v>
      </c>
      <c r="E11507" t="str">
        <f t="shared" si="2054"/>
        <v>6507190052</v>
      </c>
      <c r="F11507" s="1">
        <v>45191</v>
      </c>
      <c r="G11507" t="str">
        <f>"89311"</f>
        <v>89311</v>
      </c>
      <c r="H11507">
        <v>1</v>
      </c>
      <c r="I11507">
        <v>970</v>
      </c>
      <c r="J11507">
        <v>0</v>
      </c>
      <c r="K11507" t="str">
        <f t="shared" si="2052"/>
        <v>809</v>
      </c>
      <c r="L11507">
        <v>1425.9</v>
      </c>
    </row>
    <row r="11508" spans="1:12" x14ac:dyDescent="0.25">
      <c r="A11508" t="str">
        <f t="shared" si="2043"/>
        <v>89301000</v>
      </c>
      <c r="B11508" t="str">
        <f t="shared" si="2047"/>
        <v>89903000</v>
      </c>
      <c r="C11508" t="str">
        <f t="shared" si="2050"/>
        <v>89903503</v>
      </c>
      <c r="D11508">
        <v>89301062</v>
      </c>
      <c r="E11508" t="str">
        <f t="shared" si="2054"/>
        <v>6507190052</v>
      </c>
      <c r="F11508" s="1">
        <v>45191</v>
      </c>
      <c r="G11508" t="str">
        <f>"89615"</f>
        <v>89615</v>
      </c>
      <c r="H11508">
        <v>1</v>
      </c>
      <c r="I11508">
        <v>2199</v>
      </c>
      <c r="J11508">
        <v>0</v>
      </c>
      <c r="K11508" t="str">
        <f t="shared" si="2052"/>
        <v>809</v>
      </c>
      <c r="L11508">
        <v>1429.35</v>
      </c>
    </row>
    <row r="11509" spans="1:12" x14ac:dyDescent="0.25">
      <c r="A11509" t="str">
        <f t="shared" si="2043"/>
        <v>89301000</v>
      </c>
      <c r="B11509" t="str">
        <f t="shared" si="2047"/>
        <v>89903000</v>
      </c>
      <c r="C11509" t="str">
        <f t="shared" si="2050"/>
        <v>89903503</v>
      </c>
      <c r="D11509">
        <v>89301062</v>
      </c>
      <c r="E11509" t="str">
        <f t="shared" si="2054"/>
        <v>6507190052</v>
      </c>
      <c r="F11509" s="1">
        <v>45191</v>
      </c>
      <c r="G11509" t="str">
        <f>"0000502"</f>
        <v>0000502</v>
      </c>
      <c r="H11509">
        <v>0.1</v>
      </c>
      <c r="J11509">
        <v>6.97</v>
      </c>
      <c r="K11509" t="str">
        <f t="shared" si="2052"/>
        <v>809</v>
      </c>
      <c r="L11509">
        <v>6.97</v>
      </c>
    </row>
    <row r="11510" spans="1:12" x14ac:dyDescent="0.25">
      <c r="A11510" t="str">
        <f t="shared" si="2043"/>
        <v>89301000</v>
      </c>
      <c r="B11510" t="str">
        <f t="shared" si="2047"/>
        <v>89903000</v>
      </c>
      <c r="C11510" t="str">
        <f t="shared" si="2050"/>
        <v>89903503</v>
      </c>
      <c r="D11510">
        <v>89301062</v>
      </c>
      <c r="E11510" t="str">
        <f t="shared" si="2054"/>
        <v>6507190052</v>
      </c>
      <c r="F11510" s="1">
        <v>45191</v>
      </c>
      <c r="G11510" t="str">
        <f>"0096251"</f>
        <v>0096251</v>
      </c>
      <c r="H11510">
        <v>8.0000000000000002E-3</v>
      </c>
      <c r="J11510">
        <v>9.36</v>
      </c>
      <c r="K11510" t="str">
        <f t="shared" si="2052"/>
        <v>809</v>
      </c>
      <c r="L11510">
        <v>9.36</v>
      </c>
    </row>
    <row r="11511" spans="1:12" x14ac:dyDescent="0.25">
      <c r="A11511" t="str">
        <f t="shared" si="2043"/>
        <v>89301000</v>
      </c>
      <c r="B11511" t="str">
        <f t="shared" si="2047"/>
        <v>89903000</v>
      </c>
      <c r="C11511" t="str">
        <f t="shared" si="2050"/>
        <v>89903503</v>
      </c>
      <c r="D11511">
        <v>89301062</v>
      </c>
      <c r="E11511" t="str">
        <f t="shared" si="2054"/>
        <v>6507190052</v>
      </c>
      <c r="F11511" s="1">
        <v>45191</v>
      </c>
      <c r="G11511" t="str">
        <f>"0194183"</f>
        <v>0194183</v>
      </c>
      <c r="H11511">
        <v>6</v>
      </c>
      <c r="J11511">
        <v>318</v>
      </c>
      <c r="K11511" t="str">
        <f t="shared" si="2052"/>
        <v>809</v>
      </c>
      <c r="L11511">
        <v>318</v>
      </c>
    </row>
    <row r="11512" spans="1:12" x14ac:dyDescent="0.25">
      <c r="A11512" t="str">
        <f t="shared" si="2043"/>
        <v>89301000</v>
      </c>
      <c r="B11512" t="str">
        <f t="shared" ref="B11512:B11543" si="2055">"72100000"</f>
        <v>72100000</v>
      </c>
      <c r="C11512" t="str">
        <f t="shared" ref="C11512:C11543" si="2056">"72100632"</f>
        <v>72100632</v>
      </c>
      <c r="D11512">
        <v>89301091</v>
      </c>
      <c r="E11512" t="str">
        <f>"9662116167"</f>
        <v>9662116167</v>
      </c>
      <c r="F11512" s="1">
        <v>45173</v>
      </c>
      <c r="G11512" t="str">
        <f t="shared" ref="G11512:G11535" si="2057">"94297"</f>
        <v>94297</v>
      </c>
      <c r="H11512">
        <v>1</v>
      </c>
      <c r="I11512">
        <v>304</v>
      </c>
      <c r="J11512">
        <v>0</v>
      </c>
      <c r="K11512" t="str">
        <f t="shared" ref="K11512:K11543" si="2058">"816"</f>
        <v>816</v>
      </c>
      <c r="L11512">
        <v>304</v>
      </c>
    </row>
    <row r="11513" spans="1:12" x14ac:dyDescent="0.25">
      <c r="A11513" t="str">
        <f t="shared" si="2043"/>
        <v>89301000</v>
      </c>
      <c r="B11513" t="str">
        <f t="shared" si="2055"/>
        <v>72100000</v>
      </c>
      <c r="C11513" t="str">
        <f t="shared" si="2056"/>
        <v>72100632</v>
      </c>
      <c r="D11513">
        <v>89301091</v>
      </c>
      <c r="E11513" t="str">
        <f>"2308290534"</f>
        <v>2308290534</v>
      </c>
      <c r="F11513" s="1">
        <v>45174</v>
      </c>
      <c r="G11513" t="str">
        <f t="shared" si="2057"/>
        <v>94297</v>
      </c>
      <c r="H11513">
        <v>1</v>
      </c>
      <c r="I11513">
        <v>304</v>
      </c>
      <c r="J11513">
        <v>0</v>
      </c>
      <c r="K11513" t="str">
        <f t="shared" si="2058"/>
        <v>816</v>
      </c>
      <c r="L11513">
        <v>304</v>
      </c>
    </row>
    <row r="11514" spans="1:12" x14ac:dyDescent="0.25">
      <c r="A11514" t="str">
        <f t="shared" si="2043"/>
        <v>89301000</v>
      </c>
      <c r="B11514" t="str">
        <f t="shared" si="2055"/>
        <v>72100000</v>
      </c>
      <c r="C11514" t="str">
        <f t="shared" si="2056"/>
        <v>72100632</v>
      </c>
      <c r="D11514">
        <v>89301091</v>
      </c>
      <c r="E11514" t="str">
        <f>"9152075757"</f>
        <v>9152075757</v>
      </c>
      <c r="F11514" s="1">
        <v>45176</v>
      </c>
      <c r="G11514" t="str">
        <f t="shared" si="2057"/>
        <v>94297</v>
      </c>
      <c r="H11514">
        <v>1</v>
      </c>
      <c r="I11514">
        <v>304</v>
      </c>
      <c r="J11514">
        <v>0</v>
      </c>
      <c r="K11514" t="str">
        <f t="shared" si="2058"/>
        <v>816</v>
      </c>
      <c r="L11514">
        <v>304</v>
      </c>
    </row>
    <row r="11515" spans="1:12" x14ac:dyDescent="0.25">
      <c r="A11515" t="str">
        <f t="shared" si="2043"/>
        <v>89301000</v>
      </c>
      <c r="B11515" t="str">
        <f t="shared" si="2055"/>
        <v>72100000</v>
      </c>
      <c r="C11515" t="str">
        <f t="shared" si="2056"/>
        <v>72100632</v>
      </c>
      <c r="D11515">
        <v>89301091</v>
      </c>
      <c r="E11515" t="str">
        <f>"2357260081"</f>
        <v>2357260081</v>
      </c>
      <c r="F11515" s="1">
        <v>45140</v>
      </c>
      <c r="G11515" t="str">
        <f t="shared" si="2057"/>
        <v>94297</v>
      </c>
      <c r="H11515">
        <v>1</v>
      </c>
      <c r="I11515">
        <v>304</v>
      </c>
      <c r="J11515">
        <v>0</v>
      </c>
      <c r="K11515" t="str">
        <f t="shared" si="2058"/>
        <v>816</v>
      </c>
      <c r="L11515">
        <v>304</v>
      </c>
    </row>
    <row r="11516" spans="1:12" x14ac:dyDescent="0.25">
      <c r="A11516" t="str">
        <f t="shared" si="2043"/>
        <v>89301000</v>
      </c>
      <c r="B11516" t="str">
        <f t="shared" si="2055"/>
        <v>72100000</v>
      </c>
      <c r="C11516" t="str">
        <f t="shared" si="2056"/>
        <v>72100632</v>
      </c>
      <c r="D11516">
        <v>89301091</v>
      </c>
      <c r="E11516" t="str">
        <f>"2357260576"</f>
        <v>2357260576</v>
      </c>
      <c r="F11516" s="1">
        <v>45140</v>
      </c>
      <c r="G11516" t="str">
        <f t="shared" si="2057"/>
        <v>94297</v>
      </c>
      <c r="H11516">
        <v>1</v>
      </c>
      <c r="I11516">
        <v>304</v>
      </c>
      <c r="J11516">
        <v>0</v>
      </c>
      <c r="K11516" t="str">
        <f t="shared" si="2058"/>
        <v>816</v>
      </c>
      <c r="L11516">
        <v>304</v>
      </c>
    </row>
    <row r="11517" spans="1:12" x14ac:dyDescent="0.25">
      <c r="A11517" t="str">
        <f t="shared" si="2043"/>
        <v>89301000</v>
      </c>
      <c r="B11517" t="str">
        <f t="shared" si="2055"/>
        <v>72100000</v>
      </c>
      <c r="C11517" t="str">
        <f t="shared" si="2056"/>
        <v>72100632</v>
      </c>
      <c r="D11517">
        <v>89301091</v>
      </c>
      <c r="E11517" t="str">
        <f>"2307260714"</f>
        <v>2307260714</v>
      </c>
      <c r="F11517" s="1">
        <v>45140</v>
      </c>
      <c r="G11517" t="str">
        <f t="shared" si="2057"/>
        <v>94297</v>
      </c>
      <c r="H11517">
        <v>1</v>
      </c>
      <c r="I11517">
        <v>304</v>
      </c>
      <c r="J11517">
        <v>0</v>
      </c>
      <c r="K11517" t="str">
        <f t="shared" si="2058"/>
        <v>816</v>
      </c>
      <c r="L11517">
        <v>304</v>
      </c>
    </row>
    <row r="11518" spans="1:12" x14ac:dyDescent="0.25">
      <c r="A11518" t="str">
        <f t="shared" si="2043"/>
        <v>89301000</v>
      </c>
      <c r="B11518" t="str">
        <f t="shared" si="2055"/>
        <v>72100000</v>
      </c>
      <c r="C11518" t="str">
        <f t="shared" si="2056"/>
        <v>72100632</v>
      </c>
      <c r="D11518">
        <v>89301091</v>
      </c>
      <c r="E11518" t="str">
        <f>"2307260747"</f>
        <v>2307260747</v>
      </c>
      <c r="F11518" s="1">
        <v>45140</v>
      </c>
      <c r="G11518" t="str">
        <f t="shared" si="2057"/>
        <v>94297</v>
      </c>
      <c r="H11518">
        <v>1</v>
      </c>
      <c r="I11518">
        <v>304</v>
      </c>
      <c r="J11518">
        <v>0</v>
      </c>
      <c r="K11518" t="str">
        <f t="shared" si="2058"/>
        <v>816</v>
      </c>
      <c r="L11518">
        <v>304</v>
      </c>
    </row>
    <row r="11519" spans="1:12" x14ac:dyDescent="0.25">
      <c r="A11519" t="str">
        <f t="shared" si="2043"/>
        <v>89301000</v>
      </c>
      <c r="B11519" t="str">
        <f t="shared" si="2055"/>
        <v>72100000</v>
      </c>
      <c r="C11519" t="str">
        <f t="shared" si="2056"/>
        <v>72100632</v>
      </c>
      <c r="D11519">
        <v>89301091</v>
      </c>
      <c r="E11519" t="str">
        <f>"2357260620"</f>
        <v>2357260620</v>
      </c>
      <c r="F11519" s="1">
        <v>45140</v>
      </c>
      <c r="G11519" t="str">
        <f t="shared" si="2057"/>
        <v>94297</v>
      </c>
      <c r="H11519">
        <v>1</v>
      </c>
      <c r="I11519">
        <v>304</v>
      </c>
      <c r="J11519">
        <v>0</v>
      </c>
      <c r="K11519" t="str">
        <f t="shared" si="2058"/>
        <v>816</v>
      </c>
      <c r="L11519">
        <v>304</v>
      </c>
    </row>
    <row r="11520" spans="1:12" x14ac:dyDescent="0.25">
      <c r="A11520" t="str">
        <f t="shared" si="2043"/>
        <v>89301000</v>
      </c>
      <c r="B11520" t="str">
        <f t="shared" si="2055"/>
        <v>72100000</v>
      </c>
      <c r="C11520" t="str">
        <f t="shared" si="2056"/>
        <v>72100632</v>
      </c>
      <c r="D11520">
        <v>89301091</v>
      </c>
      <c r="E11520" t="str">
        <f>"2307280063"</f>
        <v>2307280063</v>
      </c>
      <c r="F11520" s="1">
        <v>45140</v>
      </c>
      <c r="G11520" t="str">
        <f t="shared" si="2057"/>
        <v>94297</v>
      </c>
      <c r="H11520">
        <v>1</v>
      </c>
      <c r="I11520">
        <v>304</v>
      </c>
      <c r="J11520">
        <v>0</v>
      </c>
      <c r="K11520" t="str">
        <f t="shared" si="2058"/>
        <v>816</v>
      </c>
      <c r="L11520">
        <v>304</v>
      </c>
    </row>
    <row r="11521" spans="1:12" x14ac:dyDescent="0.25">
      <c r="A11521" t="str">
        <f t="shared" si="2043"/>
        <v>89301000</v>
      </c>
      <c r="B11521" t="str">
        <f t="shared" si="2055"/>
        <v>72100000</v>
      </c>
      <c r="C11521" t="str">
        <f t="shared" si="2056"/>
        <v>72100632</v>
      </c>
      <c r="D11521">
        <v>89301091</v>
      </c>
      <c r="E11521" t="str">
        <f>"2307280074"</f>
        <v>2307280074</v>
      </c>
      <c r="F11521" s="1">
        <v>45140</v>
      </c>
      <c r="G11521" t="str">
        <f t="shared" si="2057"/>
        <v>94297</v>
      </c>
      <c r="H11521">
        <v>1</v>
      </c>
      <c r="I11521">
        <v>304</v>
      </c>
      <c r="J11521">
        <v>0</v>
      </c>
      <c r="K11521" t="str">
        <f t="shared" si="2058"/>
        <v>816</v>
      </c>
      <c r="L11521">
        <v>304</v>
      </c>
    </row>
    <row r="11522" spans="1:12" x14ac:dyDescent="0.25">
      <c r="A11522" t="str">
        <f t="shared" ref="A11522:A11585" si="2059">"89301000"</f>
        <v>89301000</v>
      </c>
      <c r="B11522" t="str">
        <f t="shared" si="2055"/>
        <v>72100000</v>
      </c>
      <c r="C11522" t="str">
        <f t="shared" si="2056"/>
        <v>72100632</v>
      </c>
      <c r="D11522">
        <v>89301091</v>
      </c>
      <c r="E11522" t="str">
        <f>"9451234848"</f>
        <v>9451234848</v>
      </c>
      <c r="F11522" s="1">
        <v>45140</v>
      </c>
      <c r="G11522" t="str">
        <f t="shared" si="2057"/>
        <v>94297</v>
      </c>
      <c r="H11522">
        <v>1</v>
      </c>
      <c r="I11522">
        <v>304</v>
      </c>
      <c r="J11522">
        <v>0</v>
      </c>
      <c r="K11522" t="str">
        <f t="shared" si="2058"/>
        <v>816</v>
      </c>
      <c r="L11522">
        <v>304</v>
      </c>
    </row>
    <row r="11523" spans="1:12" x14ac:dyDescent="0.25">
      <c r="A11523" t="str">
        <f t="shared" si="2059"/>
        <v>89301000</v>
      </c>
      <c r="B11523" t="str">
        <f t="shared" si="2055"/>
        <v>72100000</v>
      </c>
      <c r="C11523" t="str">
        <f t="shared" si="2056"/>
        <v>72100632</v>
      </c>
      <c r="D11523">
        <v>89301091</v>
      </c>
      <c r="E11523" t="str">
        <f>"2357260070"</f>
        <v>2357260070</v>
      </c>
      <c r="F11523" s="1">
        <v>45141</v>
      </c>
      <c r="G11523" t="str">
        <f t="shared" si="2057"/>
        <v>94297</v>
      </c>
      <c r="H11523">
        <v>1</v>
      </c>
      <c r="I11523">
        <v>304</v>
      </c>
      <c r="J11523">
        <v>0</v>
      </c>
      <c r="K11523" t="str">
        <f t="shared" si="2058"/>
        <v>816</v>
      </c>
      <c r="L11523">
        <v>304</v>
      </c>
    </row>
    <row r="11524" spans="1:12" x14ac:dyDescent="0.25">
      <c r="A11524" t="str">
        <f t="shared" si="2059"/>
        <v>89301000</v>
      </c>
      <c r="B11524" t="str">
        <f t="shared" si="2055"/>
        <v>72100000</v>
      </c>
      <c r="C11524" t="str">
        <f t="shared" si="2056"/>
        <v>72100632</v>
      </c>
      <c r="D11524">
        <v>89301091</v>
      </c>
      <c r="E11524" t="str">
        <f>"2307300358"</f>
        <v>2307300358</v>
      </c>
      <c r="F11524" s="1">
        <v>45142</v>
      </c>
      <c r="G11524" t="str">
        <f t="shared" si="2057"/>
        <v>94297</v>
      </c>
      <c r="H11524">
        <v>1</v>
      </c>
      <c r="I11524">
        <v>304</v>
      </c>
      <c r="J11524">
        <v>0</v>
      </c>
      <c r="K11524" t="str">
        <f t="shared" si="2058"/>
        <v>816</v>
      </c>
      <c r="L11524">
        <v>304</v>
      </c>
    </row>
    <row r="11525" spans="1:12" x14ac:dyDescent="0.25">
      <c r="A11525" t="str">
        <f t="shared" si="2059"/>
        <v>89301000</v>
      </c>
      <c r="B11525" t="str">
        <f t="shared" si="2055"/>
        <v>72100000</v>
      </c>
      <c r="C11525" t="str">
        <f t="shared" si="2056"/>
        <v>72100632</v>
      </c>
      <c r="D11525">
        <v>89301091</v>
      </c>
      <c r="E11525" t="str">
        <f>"2357310054"</f>
        <v>2357310054</v>
      </c>
      <c r="F11525" s="1">
        <v>45145</v>
      </c>
      <c r="G11525" t="str">
        <f t="shared" si="2057"/>
        <v>94297</v>
      </c>
      <c r="H11525">
        <v>1</v>
      </c>
      <c r="I11525">
        <v>304</v>
      </c>
      <c r="J11525">
        <v>0</v>
      </c>
      <c r="K11525" t="str">
        <f t="shared" si="2058"/>
        <v>816</v>
      </c>
      <c r="L11525">
        <v>304</v>
      </c>
    </row>
    <row r="11526" spans="1:12" x14ac:dyDescent="0.25">
      <c r="A11526" t="str">
        <f t="shared" si="2059"/>
        <v>89301000</v>
      </c>
      <c r="B11526" t="str">
        <f t="shared" si="2055"/>
        <v>72100000</v>
      </c>
      <c r="C11526" t="str">
        <f t="shared" si="2056"/>
        <v>72100632</v>
      </c>
      <c r="D11526">
        <v>89301091</v>
      </c>
      <c r="E11526" t="str">
        <f>"8562196335"</f>
        <v>8562196335</v>
      </c>
      <c r="F11526" s="1">
        <v>45145</v>
      </c>
      <c r="G11526" t="str">
        <f t="shared" si="2057"/>
        <v>94297</v>
      </c>
      <c r="H11526">
        <v>1</v>
      </c>
      <c r="I11526">
        <v>304</v>
      </c>
      <c r="J11526">
        <v>0</v>
      </c>
      <c r="K11526" t="str">
        <f t="shared" si="2058"/>
        <v>816</v>
      </c>
      <c r="L11526">
        <v>304</v>
      </c>
    </row>
    <row r="11527" spans="1:12" x14ac:dyDescent="0.25">
      <c r="A11527" t="str">
        <f t="shared" si="2059"/>
        <v>89301000</v>
      </c>
      <c r="B11527" t="str">
        <f t="shared" si="2055"/>
        <v>72100000</v>
      </c>
      <c r="C11527" t="str">
        <f t="shared" si="2056"/>
        <v>72100632</v>
      </c>
      <c r="D11527">
        <v>89301091</v>
      </c>
      <c r="E11527" t="str">
        <f>"2357310472"</f>
        <v>2357310472</v>
      </c>
      <c r="F11527" s="1">
        <v>45145</v>
      </c>
      <c r="G11527" t="str">
        <f t="shared" si="2057"/>
        <v>94297</v>
      </c>
      <c r="H11527">
        <v>1</v>
      </c>
      <c r="I11527">
        <v>304</v>
      </c>
      <c r="J11527">
        <v>0</v>
      </c>
      <c r="K11527" t="str">
        <f t="shared" si="2058"/>
        <v>816</v>
      </c>
      <c r="L11527">
        <v>304</v>
      </c>
    </row>
    <row r="11528" spans="1:12" x14ac:dyDescent="0.25">
      <c r="A11528" t="str">
        <f t="shared" si="2059"/>
        <v>89301000</v>
      </c>
      <c r="B11528" t="str">
        <f t="shared" si="2055"/>
        <v>72100000</v>
      </c>
      <c r="C11528" t="str">
        <f t="shared" si="2056"/>
        <v>72100632</v>
      </c>
      <c r="D11528">
        <v>89301091</v>
      </c>
      <c r="E11528" t="str">
        <f>"2308010650"</f>
        <v>2308010650</v>
      </c>
      <c r="F11528" s="1">
        <v>45146</v>
      </c>
      <c r="G11528" t="str">
        <f t="shared" si="2057"/>
        <v>94297</v>
      </c>
      <c r="H11528">
        <v>1</v>
      </c>
      <c r="I11528">
        <v>304</v>
      </c>
      <c r="J11528">
        <v>0</v>
      </c>
      <c r="K11528" t="str">
        <f t="shared" si="2058"/>
        <v>816</v>
      </c>
      <c r="L11528">
        <v>304</v>
      </c>
    </row>
    <row r="11529" spans="1:12" x14ac:dyDescent="0.25">
      <c r="A11529" t="str">
        <f t="shared" si="2059"/>
        <v>89301000</v>
      </c>
      <c r="B11529" t="str">
        <f t="shared" si="2055"/>
        <v>72100000</v>
      </c>
      <c r="C11529" t="str">
        <f t="shared" si="2056"/>
        <v>72100632</v>
      </c>
      <c r="D11529">
        <v>89301091</v>
      </c>
      <c r="E11529" t="str">
        <f>"2308010661"</f>
        <v>2308010661</v>
      </c>
      <c r="F11529" s="1">
        <v>45146</v>
      </c>
      <c r="G11529" t="str">
        <f t="shared" si="2057"/>
        <v>94297</v>
      </c>
      <c r="H11529">
        <v>1</v>
      </c>
      <c r="I11529">
        <v>304</v>
      </c>
      <c r="J11529">
        <v>0</v>
      </c>
      <c r="K11529" t="str">
        <f t="shared" si="2058"/>
        <v>816</v>
      </c>
      <c r="L11529">
        <v>304</v>
      </c>
    </row>
    <row r="11530" spans="1:12" x14ac:dyDescent="0.25">
      <c r="A11530" t="str">
        <f t="shared" si="2059"/>
        <v>89301000</v>
      </c>
      <c r="B11530" t="str">
        <f t="shared" si="2055"/>
        <v>72100000</v>
      </c>
      <c r="C11530" t="str">
        <f t="shared" si="2056"/>
        <v>72100632</v>
      </c>
      <c r="D11530">
        <v>89301091</v>
      </c>
      <c r="E11530" t="str">
        <f>"8659035825"</f>
        <v>8659035825</v>
      </c>
      <c r="F11530" s="1">
        <v>45147</v>
      </c>
      <c r="G11530" t="str">
        <f t="shared" si="2057"/>
        <v>94297</v>
      </c>
      <c r="H11530">
        <v>1</v>
      </c>
      <c r="I11530">
        <v>304</v>
      </c>
      <c r="J11530">
        <v>0</v>
      </c>
      <c r="K11530" t="str">
        <f t="shared" si="2058"/>
        <v>816</v>
      </c>
      <c r="L11530">
        <v>304</v>
      </c>
    </row>
    <row r="11531" spans="1:12" x14ac:dyDescent="0.25">
      <c r="A11531" t="str">
        <f t="shared" si="2059"/>
        <v>89301000</v>
      </c>
      <c r="B11531" t="str">
        <f t="shared" si="2055"/>
        <v>72100000</v>
      </c>
      <c r="C11531" t="str">
        <f t="shared" si="2056"/>
        <v>72100632</v>
      </c>
      <c r="D11531">
        <v>89301091</v>
      </c>
      <c r="E11531" t="str">
        <f>"2358020533"</f>
        <v>2358020533</v>
      </c>
      <c r="F11531" s="1">
        <v>45147</v>
      </c>
      <c r="G11531" t="str">
        <f t="shared" si="2057"/>
        <v>94297</v>
      </c>
      <c r="H11531">
        <v>1</v>
      </c>
      <c r="I11531">
        <v>304</v>
      </c>
      <c r="J11531">
        <v>0</v>
      </c>
      <c r="K11531" t="str">
        <f t="shared" si="2058"/>
        <v>816</v>
      </c>
      <c r="L11531">
        <v>304</v>
      </c>
    </row>
    <row r="11532" spans="1:12" x14ac:dyDescent="0.25">
      <c r="A11532" t="str">
        <f t="shared" si="2059"/>
        <v>89301000</v>
      </c>
      <c r="B11532" t="str">
        <f t="shared" si="2055"/>
        <v>72100000</v>
      </c>
      <c r="C11532" t="str">
        <f t="shared" si="2056"/>
        <v>72100632</v>
      </c>
      <c r="D11532">
        <v>89301091</v>
      </c>
      <c r="E11532" t="str">
        <f>"9056135726"</f>
        <v>9056135726</v>
      </c>
      <c r="F11532" s="1">
        <v>45147</v>
      </c>
      <c r="G11532" t="str">
        <f t="shared" si="2057"/>
        <v>94297</v>
      </c>
      <c r="H11532">
        <v>1</v>
      </c>
      <c r="I11532">
        <v>304</v>
      </c>
      <c r="J11532">
        <v>0</v>
      </c>
      <c r="K11532" t="str">
        <f t="shared" si="2058"/>
        <v>816</v>
      </c>
      <c r="L11532">
        <v>304</v>
      </c>
    </row>
    <row r="11533" spans="1:12" x14ac:dyDescent="0.25">
      <c r="A11533" t="str">
        <f t="shared" si="2059"/>
        <v>89301000</v>
      </c>
      <c r="B11533" t="str">
        <f t="shared" si="2055"/>
        <v>72100000</v>
      </c>
      <c r="C11533" t="str">
        <f t="shared" si="2056"/>
        <v>72100632</v>
      </c>
      <c r="D11533">
        <v>89301091</v>
      </c>
      <c r="E11533" t="str">
        <f>"2358030664"</f>
        <v>2358030664</v>
      </c>
      <c r="F11533" s="1">
        <v>45147</v>
      </c>
      <c r="G11533" t="str">
        <f t="shared" si="2057"/>
        <v>94297</v>
      </c>
      <c r="H11533">
        <v>1</v>
      </c>
      <c r="I11533">
        <v>304</v>
      </c>
      <c r="J11533">
        <v>0</v>
      </c>
      <c r="K11533" t="str">
        <f t="shared" si="2058"/>
        <v>816</v>
      </c>
      <c r="L11533">
        <v>304</v>
      </c>
    </row>
    <row r="11534" spans="1:12" x14ac:dyDescent="0.25">
      <c r="A11534" t="str">
        <f t="shared" si="2059"/>
        <v>89301000</v>
      </c>
      <c r="B11534" t="str">
        <f t="shared" si="2055"/>
        <v>72100000</v>
      </c>
      <c r="C11534" t="str">
        <f t="shared" si="2056"/>
        <v>72100632</v>
      </c>
      <c r="D11534">
        <v>89301091</v>
      </c>
      <c r="E11534" t="str">
        <f>"2308030659"</f>
        <v>2308030659</v>
      </c>
      <c r="F11534" s="1">
        <v>45147</v>
      </c>
      <c r="G11534" t="str">
        <f t="shared" si="2057"/>
        <v>94297</v>
      </c>
      <c r="H11534">
        <v>1</v>
      </c>
      <c r="I11534">
        <v>304</v>
      </c>
      <c r="J11534">
        <v>0</v>
      </c>
      <c r="K11534" t="str">
        <f t="shared" si="2058"/>
        <v>816</v>
      </c>
      <c r="L11534">
        <v>304</v>
      </c>
    </row>
    <row r="11535" spans="1:12" x14ac:dyDescent="0.25">
      <c r="A11535" t="str">
        <f t="shared" si="2059"/>
        <v>89301000</v>
      </c>
      <c r="B11535" t="str">
        <f t="shared" si="2055"/>
        <v>72100000</v>
      </c>
      <c r="C11535" t="str">
        <f t="shared" si="2056"/>
        <v>72100632</v>
      </c>
      <c r="D11535">
        <v>89301091</v>
      </c>
      <c r="E11535" t="str">
        <f>"8451245759"</f>
        <v>8451245759</v>
      </c>
      <c r="F11535" s="1">
        <v>45148</v>
      </c>
      <c r="G11535" t="str">
        <f t="shared" si="2057"/>
        <v>94297</v>
      </c>
      <c r="H11535">
        <v>1</v>
      </c>
      <c r="I11535">
        <v>304</v>
      </c>
      <c r="J11535">
        <v>0</v>
      </c>
      <c r="K11535" t="str">
        <f t="shared" si="2058"/>
        <v>816</v>
      </c>
      <c r="L11535">
        <v>304</v>
      </c>
    </row>
    <row r="11536" spans="1:12" x14ac:dyDescent="0.25">
      <c r="A11536" t="str">
        <f t="shared" si="2059"/>
        <v>89301000</v>
      </c>
      <c r="B11536" t="str">
        <f t="shared" si="2055"/>
        <v>72100000</v>
      </c>
      <c r="C11536" t="str">
        <f t="shared" si="2056"/>
        <v>72100632</v>
      </c>
      <c r="D11536">
        <v>89301282</v>
      </c>
      <c r="E11536" t="str">
        <f>"1603050427"</f>
        <v>1603050427</v>
      </c>
      <c r="F11536" s="1">
        <v>45153</v>
      </c>
      <c r="G11536" t="str">
        <f>"94982"</f>
        <v>94982</v>
      </c>
      <c r="H11536">
        <v>1</v>
      </c>
      <c r="I11536">
        <v>0</v>
      </c>
      <c r="J11536">
        <v>27500</v>
      </c>
      <c r="K11536" t="str">
        <f t="shared" si="2058"/>
        <v>816</v>
      </c>
      <c r="L11536">
        <v>27500</v>
      </c>
    </row>
    <row r="11537" spans="1:12" x14ac:dyDescent="0.25">
      <c r="A11537" t="str">
        <f t="shared" si="2059"/>
        <v>89301000</v>
      </c>
      <c r="B11537" t="str">
        <f t="shared" si="2055"/>
        <v>72100000</v>
      </c>
      <c r="C11537" t="str">
        <f t="shared" si="2056"/>
        <v>72100632</v>
      </c>
      <c r="D11537">
        <v>89301282</v>
      </c>
      <c r="E11537" t="str">
        <f>"1603050427"</f>
        <v>1603050427</v>
      </c>
      <c r="F11537" s="1">
        <v>45153</v>
      </c>
      <c r="G11537" t="str">
        <f>"94996"</f>
        <v>94996</v>
      </c>
      <c r="H11537">
        <v>1</v>
      </c>
      <c r="I11537">
        <v>0</v>
      </c>
      <c r="J11537">
        <v>0</v>
      </c>
      <c r="K11537" t="str">
        <f t="shared" si="2058"/>
        <v>816</v>
      </c>
      <c r="L11537">
        <v>0</v>
      </c>
    </row>
    <row r="11538" spans="1:12" x14ac:dyDescent="0.25">
      <c r="A11538" t="str">
        <f t="shared" si="2059"/>
        <v>89301000</v>
      </c>
      <c r="B11538" t="str">
        <f t="shared" si="2055"/>
        <v>72100000</v>
      </c>
      <c r="C11538" t="str">
        <f t="shared" si="2056"/>
        <v>72100632</v>
      </c>
      <c r="D11538">
        <v>89301091</v>
      </c>
      <c r="E11538" t="str">
        <f>"2358070077"</f>
        <v>2358070077</v>
      </c>
      <c r="F11538" s="1">
        <v>45152</v>
      </c>
      <c r="G11538" t="str">
        <f t="shared" ref="G11538:G11557" si="2060">"94297"</f>
        <v>94297</v>
      </c>
      <c r="H11538">
        <v>1</v>
      </c>
      <c r="I11538">
        <v>304</v>
      </c>
      <c r="J11538">
        <v>0</v>
      </c>
      <c r="K11538" t="str">
        <f t="shared" si="2058"/>
        <v>816</v>
      </c>
      <c r="L11538">
        <v>304</v>
      </c>
    </row>
    <row r="11539" spans="1:12" x14ac:dyDescent="0.25">
      <c r="A11539" t="str">
        <f t="shared" si="2059"/>
        <v>89301000</v>
      </c>
      <c r="B11539" t="str">
        <f t="shared" si="2055"/>
        <v>72100000</v>
      </c>
      <c r="C11539" t="str">
        <f t="shared" si="2056"/>
        <v>72100632</v>
      </c>
      <c r="D11539">
        <v>89301091</v>
      </c>
      <c r="E11539" t="str">
        <f>"2358070539"</f>
        <v>2358070539</v>
      </c>
      <c r="F11539" s="1">
        <v>45152</v>
      </c>
      <c r="G11539" t="str">
        <f t="shared" si="2060"/>
        <v>94297</v>
      </c>
      <c r="H11539">
        <v>1</v>
      </c>
      <c r="I11539">
        <v>304</v>
      </c>
      <c r="J11539">
        <v>0</v>
      </c>
      <c r="K11539" t="str">
        <f t="shared" si="2058"/>
        <v>816</v>
      </c>
      <c r="L11539">
        <v>304</v>
      </c>
    </row>
    <row r="11540" spans="1:12" x14ac:dyDescent="0.25">
      <c r="A11540" t="str">
        <f t="shared" si="2059"/>
        <v>89301000</v>
      </c>
      <c r="B11540" t="str">
        <f t="shared" si="2055"/>
        <v>72100000</v>
      </c>
      <c r="C11540" t="str">
        <f t="shared" si="2056"/>
        <v>72100632</v>
      </c>
      <c r="D11540">
        <v>89301091</v>
      </c>
      <c r="E11540" t="str">
        <f>"2358070550"</f>
        <v>2358070550</v>
      </c>
      <c r="F11540" s="1">
        <v>45152</v>
      </c>
      <c r="G11540" t="str">
        <f t="shared" si="2060"/>
        <v>94297</v>
      </c>
      <c r="H11540">
        <v>1</v>
      </c>
      <c r="I11540">
        <v>304</v>
      </c>
      <c r="J11540">
        <v>0</v>
      </c>
      <c r="K11540" t="str">
        <f t="shared" si="2058"/>
        <v>816</v>
      </c>
      <c r="L11540">
        <v>304</v>
      </c>
    </row>
    <row r="11541" spans="1:12" x14ac:dyDescent="0.25">
      <c r="A11541" t="str">
        <f t="shared" si="2059"/>
        <v>89301000</v>
      </c>
      <c r="B11541" t="str">
        <f t="shared" si="2055"/>
        <v>72100000</v>
      </c>
      <c r="C11541" t="str">
        <f t="shared" si="2056"/>
        <v>72100632</v>
      </c>
      <c r="D11541">
        <v>89301091</v>
      </c>
      <c r="E11541" t="str">
        <f>"2308080082"</f>
        <v>2308080082</v>
      </c>
      <c r="F11541" s="1">
        <v>45152</v>
      </c>
      <c r="G11541" t="str">
        <f t="shared" si="2060"/>
        <v>94297</v>
      </c>
      <c r="H11541">
        <v>1</v>
      </c>
      <c r="I11541">
        <v>304</v>
      </c>
      <c r="J11541">
        <v>0</v>
      </c>
      <c r="K11541" t="str">
        <f t="shared" si="2058"/>
        <v>816</v>
      </c>
      <c r="L11541">
        <v>304</v>
      </c>
    </row>
    <row r="11542" spans="1:12" x14ac:dyDescent="0.25">
      <c r="A11542" t="str">
        <f t="shared" si="2059"/>
        <v>89301000</v>
      </c>
      <c r="B11542" t="str">
        <f t="shared" si="2055"/>
        <v>72100000</v>
      </c>
      <c r="C11542" t="str">
        <f t="shared" si="2056"/>
        <v>72100632</v>
      </c>
      <c r="D11542">
        <v>89301091</v>
      </c>
      <c r="E11542" t="str">
        <f>"2308080093"</f>
        <v>2308080093</v>
      </c>
      <c r="F11542" s="1">
        <v>45153</v>
      </c>
      <c r="G11542" t="str">
        <f t="shared" si="2060"/>
        <v>94297</v>
      </c>
      <c r="H11542">
        <v>1</v>
      </c>
      <c r="I11542">
        <v>304</v>
      </c>
      <c r="J11542">
        <v>0</v>
      </c>
      <c r="K11542" t="str">
        <f t="shared" si="2058"/>
        <v>816</v>
      </c>
      <c r="L11542">
        <v>304</v>
      </c>
    </row>
    <row r="11543" spans="1:12" x14ac:dyDescent="0.25">
      <c r="A11543" t="str">
        <f t="shared" si="2059"/>
        <v>89301000</v>
      </c>
      <c r="B11543" t="str">
        <f t="shared" si="2055"/>
        <v>72100000</v>
      </c>
      <c r="C11543" t="str">
        <f t="shared" si="2056"/>
        <v>72100632</v>
      </c>
      <c r="D11543">
        <v>89301091</v>
      </c>
      <c r="E11543" t="str">
        <f>"2308080698"</f>
        <v>2308080698</v>
      </c>
      <c r="F11543" s="1">
        <v>45153</v>
      </c>
      <c r="G11543" t="str">
        <f t="shared" si="2060"/>
        <v>94297</v>
      </c>
      <c r="H11543">
        <v>1</v>
      </c>
      <c r="I11543">
        <v>304</v>
      </c>
      <c r="J11543">
        <v>0</v>
      </c>
      <c r="K11543" t="str">
        <f t="shared" si="2058"/>
        <v>816</v>
      </c>
      <c r="L11543">
        <v>304</v>
      </c>
    </row>
    <row r="11544" spans="1:12" x14ac:dyDescent="0.25">
      <c r="A11544" t="str">
        <f t="shared" si="2059"/>
        <v>89301000</v>
      </c>
      <c r="B11544" t="str">
        <f t="shared" ref="B11544:B11575" si="2061">"72100000"</f>
        <v>72100000</v>
      </c>
      <c r="C11544" t="str">
        <f t="shared" ref="C11544:C11575" si="2062">"72100632"</f>
        <v>72100632</v>
      </c>
      <c r="D11544">
        <v>89301091</v>
      </c>
      <c r="E11544" t="str">
        <f>"2358080791"</f>
        <v>2358080791</v>
      </c>
      <c r="F11544" s="1">
        <v>45153</v>
      </c>
      <c r="G11544" t="str">
        <f t="shared" si="2060"/>
        <v>94297</v>
      </c>
      <c r="H11544">
        <v>1</v>
      </c>
      <c r="I11544">
        <v>304</v>
      </c>
      <c r="J11544">
        <v>0</v>
      </c>
      <c r="K11544" t="str">
        <f t="shared" ref="K11544:K11575" si="2063">"816"</f>
        <v>816</v>
      </c>
      <c r="L11544">
        <v>304</v>
      </c>
    </row>
    <row r="11545" spans="1:12" x14ac:dyDescent="0.25">
      <c r="A11545" t="str">
        <f t="shared" si="2059"/>
        <v>89301000</v>
      </c>
      <c r="B11545" t="str">
        <f t="shared" si="2061"/>
        <v>72100000</v>
      </c>
      <c r="C11545" t="str">
        <f t="shared" si="2062"/>
        <v>72100632</v>
      </c>
      <c r="D11545">
        <v>89301091</v>
      </c>
      <c r="E11545" t="str">
        <f>"2358090075"</f>
        <v>2358090075</v>
      </c>
      <c r="F11545" s="1">
        <v>45153</v>
      </c>
      <c r="G11545" t="str">
        <f t="shared" si="2060"/>
        <v>94297</v>
      </c>
      <c r="H11545">
        <v>1</v>
      </c>
      <c r="I11545">
        <v>304</v>
      </c>
      <c r="J11545">
        <v>0</v>
      </c>
      <c r="K11545" t="str">
        <f t="shared" si="2063"/>
        <v>816</v>
      </c>
      <c r="L11545">
        <v>304</v>
      </c>
    </row>
    <row r="11546" spans="1:12" x14ac:dyDescent="0.25">
      <c r="A11546" t="str">
        <f t="shared" si="2059"/>
        <v>89301000</v>
      </c>
      <c r="B11546" t="str">
        <f t="shared" si="2061"/>
        <v>72100000</v>
      </c>
      <c r="C11546" t="str">
        <f t="shared" si="2062"/>
        <v>72100632</v>
      </c>
      <c r="D11546">
        <v>89301091</v>
      </c>
      <c r="E11546" t="str">
        <f>"2308090708"</f>
        <v>2308090708</v>
      </c>
      <c r="F11546" s="1">
        <v>45154</v>
      </c>
      <c r="G11546" t="str">
        <f t="shared" si="2060"/>
        <v>94297</v>
      </c>
      <c r="H11546">
        <v>1</v>
      </c>
      <c r="I11546">
        <v>304</v>
      </c>
      <c r="J11546">
        <v>0</v>
      </c>
      <c r="K11546" t="str">
        <f t="shared" si="2063"/>
        <v>816</v>
      </c>
      <c r="L11546">
        <v>304</v>
      </c>
    </row>
    <row r="11547" spans="1:12" x14ac:dyDescent="0.25">
      <c r="A11547" t="str">
        <f t="shared" si="2059"/>
        <v>89301000</v>
      </c>
      <c r="B11547" t="str">
        <f t="shared" si="2061"/>
        <v>72100000</v>
      </c>
      <c r="C11547" t="str">
        <f t="shared" si="2062"/>
        <v>72100632</v>
      </c>
      <c r="D11547">
        <v>89301091</v>
      </c>
      <c r="E11547" t="str">
        <f>"2358100800"</f>
        <v>2358100800</v>
      </c>
      <c r="F11547" s="1">
        <v>45154</v>
      </c>
      <c r="G11547" t="str">
        <f t="shared" si="2060"/>
        <v>94297</v>
      </c>
      <c r="H11547">
        <v>1</v>
      </c>
      <c r="I11547">
        <v>304</v>
      </c>
      <c r="J11547">
        <v>0</v>
      </c>
      <c r="K11547" t="str">
        <f t="shared" si="2063"/>
        <v>816</v>
      </c>
      <c r="L11547">
        <v>304</v>
      </c>
    </row>
    <row r="11548" spans="1:12" x14ac:dyDescent="0.25">
      <c r="A11548" t="str">
        <f t="shared" si="2059"/>
        <v>89301000</v>
      </c>
      <c r="B11548" t="str">
        <f t="shared" si="2061"/>
        <v>72100000</v>
      </c>
      <c r="C11548" t="str">
        <f t="shared" si="2062"/>
        <v>72100632</v>
      </c>
      <c r="D11548">
        <v>89301091</v>
      </c>
      <c r="E11548" t="str">
        <f>"9857175713"</f>
        <v>9857175713</v>
      </c>
      <c r="F11548" s="1">
        <v>45154</v>
      </c>
      <c r="G11548" t="str">
        <f t="shared" si="2060"/>
        <v>94297</v>
      </c>
      <c r="H11548">
        <v>1</v>
      </c>
      <c r="I11548">
        <v>304</v>
      </c>
      <c r="J11548">
        <v>0</v>
      </c>
      <c r="K11548" t="str">
        <f t="shared" si="2063"/>
        <v>816</v>
      </c>
      <c r="L11548">
        <v>304</v>
      </c>
    </row>
    <row r="11549" spans="1:12" x14ac:dyDescent="0.25">
      <c r="A11549" t="str">
        <f t="shared" si="2059"/>
        <v>89301000</v>
      </c>
      <c r="B11549" t="str">
        <f t="shared" si="2061"/>
        <v>72100000</v>
      </c>
      <c r="C11549" t="str">
        <f t="shared" si="2062"/>
        <v>72100632</v>
      </c>
      <c r="D11549">
        <v>89301091</v>
      </c>
      <c r="E11549" t="str">
        <f>"9057115716"</f>
        <v>9057115716</v>
      </c>
      <c r="F11549" s="1">
        <v>45155</v>
      </c>
      <c r="G11549" t="str">
        <f t="shared" si="2060"/>
        <v>94297</v>
      </c>
      <c r="H11549">
        <v>1</v>
      </c>
      <c r="I11549">
        <v>304</v>
      </c>
      <c r="J11549">
        <v>0</v>
      </c>
      <c r="K11549" t="str">
        <f t="shared" si="2063"/>
        <v>816</v>
      </c>
      <c r="L11549">
        <v>304</v>
      </c>
    </row>
    <row r="11550" spans="1:12" x14ac:dyDescent="0.25">
      <c r="A11550" t="str">
        <f t="shared" si="2059"/>
        <v>89301000</v>
      </c>
      <c r="B11550" t="str">
        <f t="shared" si="2061"/>
        <v>72100000</v>
      </c>
      <c r="C11550" t="str">
        <f t="shared" si="2062"/>
        <v>72100632</v>
      </c>
      <c r="D11550">
        <v>89301091</v>
      </c>
      <c r="E11550" t="str">
        <f>"9755215712"</f>
        <v>9755215712</v>
      </c>
      <c r="F11550" s="1">
        <v>45155</v>
      </c>
      <c r="G11550" t="str">
        <f t="shared" si="2060"/>
        <v>94297</v>
      </c>
      <c r="H11550">
        <v>1</v>
      </c>
      <c r="I11550">
        <v>304</v>
      </c>
      <c r="J11550">
        <v>0</v>
      </c>
      <c r="K11550" t="str">
        <f t="shared" si="2063"/>
        <v>816</v>
      </c>
      <c r="L11550">
        <v>304</v>
      </c>
    </row>
    <row r="11551" spans="1:12" x14ac:dyDescent="0.25">
      <c r="A11551" t="str">
        <f t="shared" si="2059"/>
        <v>89301000</v>
      </c>
      <c r="B11551" t="str">
        <f t="shared" si="2061"/>
        <v>72100000</v>
      </c>
      <c r="C11551" t="str">
        <f t="shared" si="2062"/>
        <v>72100632</v>
      </c>
      <c r="D11551">
        <v>89301091</v>
      </c>
      <c r="E11551" t="str">
        <f>"7662205760"</f>
        <v>7662205760</v>
      </c>
      <c r="F11551" s="1">
        <v>45155</v>
      </c>
      <c r="G11551" t="str">
        <f t="shared" si="2060"/>
        <v>94297</v>
      </c>
      <c r="H11551">
        <v>1</v>
      </c>
      <c r="I11551">
        <v>304</v>
      </c>
      <c r="J11551">
        <v>0</v>
      </c>
      <c r="K11551" t="str">
        <f t="shared" si="2063"/>
        <v>816</v>
      </c>
      <c r="L11551">
        <v>304</v>
      </c>
    </row>
    <row r="11552" spans="1:12" x14ac:dyDescent="0.25">
      <c r="A11552" t="str">
        <f t="shared" si="2059"/>
        <v>89301000</v>
      </c>
      <c r="B11552" t="str">
        <f t="shared" si="2061"/>
        <v>72100000</v>
      </c>
      <c r="C11552" t="str">
        <f t="shared" si="2062"/>
        <v>72100632</v>
      </c>
      <c r="D11552">
        <v>89301091</v>
      </c>
      <c r="E11552" t="str">
        <f>"2358130203"</f>
        <v>2358130203</v>
      </c>
      <c r="F11552" s="1">
        <v>45156</v>
      </c>
      <c r="G11552" t="str">
        <f t="shared" si="2060"/>
        <v>94297</v>
      </c>
      <c r="H11552">
        <v>1</v>
      </c>
      <c r="I11552">
        <v>304</v>
      </c>
      <c r="J11552">
        <v>0</v>
      </c>
      <c r="K11552" t="str">
        <f t="shared" si="2063"/>
        <v>816</v>
      </c>
      <c r="L11552">
        <v>304</v>
      </c>
    </row>
    <row r="11553" spans="1:12" x14ac:dyDescent="0.25">
      <c r="A11553" t="str">
        <f t="shared" si="2059"/>
        <v>89301000</v>
      </c>
      <c r="B11553" t="str">
        <f t="shared" si="2061"/>
        <v>72100000</v>
      </c>
      <c r="C11553" t="str">
        <f t="shared" si="2062"/>
        <v>72100632</v>
      </c>
      <c r="D11553">
        <v>89301091</v>
      </c>
      <c r="E11553" t="str">
        <f>"2308130132"</f>
        <v>2308130132</v>
      </c>
      <c r="F11553" s="1">
        <v>45156</v>
      </c>
      <c r="G11553" t="str">
        <f t="shared" si="2060"/>
        <v>94297</v>
      </c>
      <c r="H11553">
        <v>1</v>
      </c>
      <c r="I11553">
        <v>304</v>
      </c>
      <c r="J11553">
        <v>0</v>
      </c>
      <c r="K11553" t="str">
        <f t="shared" si="2063"/>
        <v>816</v>
      </c>
      <c r="L11553">
        <v>304</v>
      </c>
    </row>
    <row r="11554" spans="1:12" x14ac:dyDescent="0.25">
      <c r="A11554" t="str">
        <f t="shared" si="2059"/>
        <v>89301000</v>
      </c>
      <c r="B11554" t="str">
        <f t="shared" si="2061"/>
        <v>72100000</v>
      </c>
      <c r="C11554" t="str">
        <f t="shared" si="2062"/>
        <v>72100632</v>
      </c>
      <c r="D11554">
        <v>89301091</v>
      </c>
      <c r="E11554" t="str">
        <f>"2358130214"</f>
        <v>2358130214</v>
      </c>
      <c r="F11554" s="1">
        <v>45156</v>
      </c>
      <c r="G11554" t="str">
        <f t="shared" si="2060"/>
        <v>94297</v>
      </c>
      <c r="H11554">
        <v>1</v>
      </c>
      <c r="I11554">
        <v>304</v>
      </c>
      <c r="J11554">
        <v>0</v>
      </c>
      <c r="K11554" t="str">
        <f t="shared" si="2063"/>
        <v>816</v>
      </c>
      <c r="L11554">
        <v>304</v>
      </c>
    </row>
    <row r="11555" spans="1:12" x14ac:dyDescent="0.25">
      <c r="A11555" t="str">
        <f t="shared" si="2059"/>
        <v>89301000</v>
      </c>
      <c r="B11555" t="str">
        <f t="shared" si="2061"/>
        <v>72100000</v>
      </c>
      <c r="C11555" t="str">
        <f t="shared" si="2062"/>
        <v>72100632</v>
      </c>
      <c r="D11555">
        <v>89301091</v>
      </c>
      <c r="E11555" t="str">
        <f>"2308130154"</f>
        <v>2308130154</v>
      </c>
      <c r="F11555" s="1">
        <v>45156</v>
      </c>
      <c r="G11555" t="str">
        <f t="shared" si="2060"/>
        <v>94297</v>
      </c>
      <c r="H11555">
        <v>1</v>
      </c>
      <c r="I11555">
        <v>304</v>
      </c>
      <c r="J11555">
        <v>0</v>
      </c>
      <c r="K11555" t="str">
        <f t="shared" si="2063"/>
        <v>816</v>
      </c>
      <c r="L11555">
        <v>304</v>
      </c>
    </row>
    <row r="11556" spans="1:12" x14ac:dyDescent="0.25">
      <c r="A11556" t="str">
        <f t="shared" si="2059"/>
        <v>89301000</v>
      </c>
      <c r="B11556" t="str">
        <f t="shared" si="2061"/>
        <v>72100000</v>
      </c>
      <c r="C11556" t="str">
        <f t="shared" si="2062"/>
        <v>72100632</v>
      </c>
      <c r="D11556">
        <v>89301091</v>
      </c>
      <c r="E11556" t="str">
        <f>"2358140477"</f>
        <v>2358140477</v>
      </c>
      <c r="F11556" s="1">
        <v>45159</v>
      </c>
      <c r="G11556" t="str">
        <f t="shared" si="2060"/>
        <v>94297</v>
      </c>
      <c r="H11556">
        <v>1</v>
      </c>
      <c r="I11556">
        <v>304</v>
      </c>
      <c r="J11556">
        <v>0</v>
      </c>
      <c r="K11556" t="str">
        <f t="shared" si="2063"/>
        <v>816</v>
      </c>
      <c r="L11556">
        <v>304</v>
      </c>
    </row>
    <row r="11557" spans="1:12" x14ac:dyDescent="0.25">
      <c r="A11557" t="str">
        <f t="shared" si="2059"/>
        <v>89301000</v>
      </c>
      <c r="B11557" t="str">
        <f t="shared" si="2061"/>
        <v>72100000</v>
      </c>
      <c r="C11557" t="str">
        <f t="shared" si="2062"/>
        <v>72100632</v>
      </c>
      <c r="D11557">
        <v>89301091</v>
      </c>
      <c r="E11557" t="str">
        <f>"2308140505"</f>
        <v>2308140505</v>
      </c>
      <c r="F11557" s="1">
        <v>45159</v>
      </c>
      <c r="G11557" t="str">
        <f t="shared" si="2060"/>
        <v>94297</v>
      </c>
      <c r="H11557">
        <v>1</v>
      </c>
      <c r="I11557">
        <v>304</v>
      </c>
      <c r="J11557">
        <v>0</v>
      </c>
      <c r="K11557" t="str">
        <f t="shared" si="2063"/>
        <v>816</v>
      </c>
      <c r="L11557">
        <v>304</v>
      </c>
    </row>
    <row r="11558" spans="1:12" x14ac:dyDescent="0.25">
      <c r="A11558" t="str">
        <f t="shared" si="2059"/>
        <v>89301000</v>
      </c>
      <c r="B11558" t="str">
        <f t="shared" si="2061"/>
        <v>72100000</v>
      </c>
      <c r="C11558" t="str">
        <f t="shared" si="2062"/>
        <v>72100632</v>
      </c>
      <c r="D11558">
        <v>89301282</v>
      </c>
      <c r="E11558" t="str">
        <f>"1106100237"</f>
        <v>1106100237</v>
      </c>
      <c r="F11558" s="1">
        <v>45145</v>
      </c>
      <c r="G11558" t="str">
        <f>"94983"</f>
        <v>94983</v>
      </c>
      <c r="H11558">
        <v>1</v>
      </c>
      <c r="I11558">
        <v>0</v>
      </c>
      <c r="J11558">
        <v>39600</v>
      </c>
      <c r="K11558" t="str">
        <f t="shared" si="2063"/>
        <v>816</v>
      </c>
      <c r="L11558">
        <v>39600</v>
      </c>
    </row>
    <row r="11559" spans="1:12" x14ac:dyDescent="0.25">
      <c r="A11559" t="str">
        <f t="shared" si="2059"/>
        <v>89301000</v>
      </c>
      <c r="B11559" t="str">
        <f t="shared" si="2061"/>
        <v>72100000</v>
      </c>
      <c r="C11559" t="str">
        <f t="shared" si="2062"/>
        <v>72100632</v>
      </c>
      <c r="D11559">
        <v>89301282</v>
      </c>
      <c r="E11559" t="str">
        <f>"1106100237"</f>
        <v>1106100237</v>
      </c>
      <c r="F11559" s="1">
        <v>45145</v>
      </c>
      <c r="G11559" t="str">
        <f>"94996"</f>
        <v>94996</v>
      </c>
      <c r="H11559">
        <v>1</v>
      </c>
      <c r="I11559">
        <v>0</v>
      </c>
      <c r="J11559">
        <v>0</v>
      </c>
      <c r="K11559" t="str">
        <f t="shared" si="2063"/>
        <v>816</v>
      </c>
      <c r="L11559">
        <v>0</v>
      </c>
    </row>
    <row r="11560" spans="1:12" x14ac:dyDescent="0.25">
      <c r="A11560" t="str">
        <f t="shared" si="2059"/>
        <v>89301000</v>
      </c>
      <c r="B11560" t="str">
        <f t="shared" si="2061"/>
        <v>72100000</v>
      </c>
      <c r="C11560" t="str">
        <f t="shared" si="2062"/>
        <v>72100632</v>
      </c>
      <c r="D11560">
        <v>89301282</v>
      </c>
      <c r="E11560" t="str">
        <f>"2201220307"</f>
        <v>2201220307</v>
      </c>
      <c r="F11560" s="1">
        <v>45156</v>
      </c>
      <c r="G11560" t="str">
        <f>"94983"</f>
        <v>94983</v>
      </c>
      <c r="H11560">
        <v>1</v>
      </c>
      <c r="I11560">
        <v>0</v>
      </c>
      <c r="J11560">
        <v>39600</v>
      </c>
      <c r="K11560" t="str">
        <f t="shared" si="2063"/>
        <v>816</v>
      </c>
      <c r="L11560">
        <v>39600</v>
      </c>
    </row>
    <row r="11561" spans="1:12" x14ac:dyDescent="0.25">
      <c r="A11561" t="str">
        <f t="shared" si="2059"/>
        <v>89301000</v>
      </c>
      <c r="B11561" t="str">
        <f t="shared" si="2061"/>
        <v>72100000</v>
      </c>
      <c r="C11561" t="str">
        <f t="shared" si="2062"/>
        <v>72100632</v>
      </c>
      <c r="D11561">
        <v>89301282</v>
      </c>
      <c r="E11561" t="str">
        <f>"2201220307"</f>
        <v>2201220307</v>
      </c>
      <c r="F11561" s="1">
        <v>45156</v>
      </c>
      <c r="G11561" t="str">
        <f>"94996"</f>
        <v>94996</v>
      </c>
      <c r="H11561">
        <v>1</v>
      </c>
      <c r="I11561">
        <v>0</v>
      </c>
      <c r="J11561">
        <v>0</v>
      </c>
      <c r="K11561" t="str">
        <f t="shared" si="2063"/>
        <v>816</v>
      </c>
      <c r="L11561">
        <v>0</v>
      </c>
    </row>
    <row r="11562" spans="1:12" x14ac:dyDescent="0.25">
      <c r="A11562" t="str">
        <f t="shared" si="2059"/>
        <v>89301000</v>
      </c>
      <c r="B11562" t="str">
        <f t="shared" si="2061"/>
        <v>72100000</v>
      </c>
      <c r="C11562" t="str">
        <f t="shared" si="2062"/>
        <v>72100632</v>
      </c>
      <c r="D11562">
        <v>89301091</v>
      </c>
      <c r="E11562" t="str">
        <f>"2358150047"</f>
        <v>2358150047</v>
      </c>
      <c r="F11562" s="1">
        <v>45160</v>
      </c>
      <c r="G11562" t="str">
        <f>"94297"</f>
        <v>94297</v>
      </c>
      <c r="H11562">
        <v>1</v>
      </c>
      <c r="I11562">
        <v>304</v>
      </c>
      <c r="J11562">
        <v>0</v>
      </c>
      <c r="K11562" t="str">
        <f t="shared" si="2063"/>
        <v>816</v>
      </c>
      <c r="L11562">
        <v>304</v>
      </c>
    </row>
    <row r="11563" spans="1:12" x14ac:dyDescent="0.25">
      <c r="A11563" t="str">
        <f t="shared" si="2059"/>
        <v>89301000</v>
      </c>
      <c r="B11563" t="str">
        <f t="shared" si="2061"/>
        <v>72100000</v>
      </c>
      <c r="C11563" t="str">
        <f t="shared" si="2062"/>
        <v>72100632</v>
      </c>
      <c r="D11563">
        <v>89301091</v>
      </c>
      <c r="E11563" t="str">
        <f>"2308150405"</f>
        <v>2308150405</v>
      </c>
      <c r="F11563" s="1">
        <v>45160</v>
      </c>
      <c r="G11563" t="str">
        <f>"94297"</f>
        <v>94297</v>
      </c>
      <c r="H11563">
        <v>1</v>
      </c>
      <c r="I11563">
        <v>304</v>
      </c>
      <c r="J11563">
        <v>0</v>
      </c>
      <c r="K11563" t="str">
        <f t="shared" si="2063"/>
        <v>816</v>
      </c>
      <c r="L11563">
        <v>304</v>
      </c>
    </row>
    <row r="11564" spans="1:12" x14ac:dyDescent="0.25">
      <c r="A11564" t="str">
        <f t="shared" si="2059"/>
        <v>89301000</v>
      </c>
      <c r="B11564" t="str">
        <f t="shared" si="2061"/>
        <v>72100000</v>
      </c>
      <c r="C11564" t="str">
        <f t="shared" si="2062"/>
        <v>72100632</v>
      </c>
      <c r="D11564">
        <v>89301282</v>
      </c>
      <c r="E11564" t="str">
        <f>"2008170593"</f>
        <v>2008170593</v>
      </c>
      <c r="F11564" s="1">
        <v>45168</v>
      </c>
      <c r="G11564" t="str">
        <f>"94983"</f>
        <v>94983</v>
      </c>
      <c r="H11564">
        <v>1</v>
      </c>
      <c r="I11564">
        <v>0</v>
      </c>
      <c r="J11564">
        <v>39600</v>
      </c>
      <c r="K11564" t="str">
        <f t="shared" si="2063"/>
        <v>816</v>
      </c>
      <c r="L11564">
        <v>39600</v>
      </c>
    </row>
    <row r="11565" spans="1:12" x14ac:dyDescent="0.25">
      <c r="A11565" t="str">
        <f t="shared" si="2059"/>
        <v>89301000</v>
      </c>
      <c r="B11565" t="str">
        <f t="shared" si="2061"/>
        <v>72100000</v>
      </c>
      <c r="C11565" t="str">
        <f t="shared" si="2062"/>
        <v>72100632</v>
      </c>
      <c r="D11565">
        <v>89301282</v>
      </c>
      <c r="E11565" t="str">
        <f>"2008170593"</f>
        <v>2008170593</v>
      </c>
      <c r="F11565" s="1">
        <v>45168</v>
      </c>
      <c r="G11565" t="str">
        <f>"94996"</f>
        <v>94996</v>
      </c>
      <c r="H11565">
        <v>1</v>
      </c>
      <c r="I11565">
        <v>0</v>
      </c>
      <c r="J11565">
        <v>0</v>
      </c>
      <c r="K11565" t="str">
        <f t="shared" si="2063"/>
        <v>816</v>
      </c>
      <c r="L11565">
        <v>0</v>
      </c>
    </row>
    <row r="11566" spans="1:12" x14ac:dyDescent="0.25">
      <c r="A11566" t="str">
        <f t="shared" si="2059"/>
        <v>89301000</v>
      </c>
      <c r="B11566" t="str">
        <f t="shared" si="2061"/>
        <v>72100000</v>
      </c>
      <c r="C11566" t="str">
        <f t="shared" si="2062"/>
        <v>72100632</v>
      </c>
      <c r="D11566">
        <v>89301091</v>
      </c>
      <c r="E11566" t="str">
        <f>"2358150597"</f>
        <v>2358150597</v>
      </c>
      <c r="F11566" s="1">
        <v>45160</v>
      </c>
      <c r="G11566" t="str">
        <f t="shared" ref="G11566:G11579" si="2064">"94297"</f>
        <v>94297</v>
      </c>
      <c r="H11566">
        <v>1</v>
      </c>
      <c r="I11566">
        <v>304</v>
      </c>
      <c r="J11566">
        <v>0</v>
      </c>
      <c r="K11566" t="str">
        <f t="shared" si="2063"/>
        <v>816</v>
      </c>
      <c r="L11566">
        <v>304</v>
      </c>
    </row>
    <row r="11567" spans="1:12" x14ac:dyDescent="0.25">
      <c r="A11567" t="str">
        <f t="shared" si="2059"/>
        <v>89301000</v>
      </c>
      <c r="B11567" t="str">
        <f t="shared" si="2061"/>
        <v>72100000</v>
      </c>
      <c r="C11567" t="str">
        <f t="shared" si="2062"/>
        <v>72100632</v>
      </c>
      <c r="D11567">
        <v>89301091</v>
      </c>
      <c r="E11567" t="str">
        <f>"2358160761"</f>
        <v>2358160761</v>
      </c>
      <c r="F11567" s="1">
        <v>45161</v>
      </c>
      <c r="G11567" t="str">
        <f t="shared" si="2064"/>
        <v>94297</v>
      </c>
      <c r="H11567">
        <v>1</v>
      </c>
      <c r="I11567">
        <v>304</v>
      </c>
      <c r="J11567">
        <v>0</v>
      </c>
      <c r="K11567" t="str">
        <f t="shared" si="2063"/>
        <v>816</v>
      </c>
      <c r="L11567">
        <v>304</v>
      </c>
    </row>
    <row r="11568" spans="1:12" x14ac:dyDescent="0.25">
      <c r="A11568" t="str">
        <f t="shared" si="2059"/>
        <v>89301000</v>
      </c>
      <c r="B11568" t="str">
        <f t="shared" si="2061"/>
        <v>72100000</v>
      </c>
      <c r="C11568" t="str">
        <f t="shared" si="2062"/>
        <v>72100632</v>
      </c>
      <c r="D11568">
        <v>89301091</v>
      </c>
      <c r="E11568" t="str">
        <f>"2308160767"</f>
        <v>2308160767</v>
      </c>
      <c r="F11568" s="1">
        <v>45161</v>
      </c>
      <c r="G11568" t="str">
        <f t="shared" si="2064"/>
        <v>94297</v>
      </c>
      <c r="H11568">
        <v>1</v>
      </c>
      <c r="I11568">
        <v>304</v>
      </c>
      <c r="J11568">
        <v>0</v>
      </c>
      <c r="K11568" t="str">
        <f t="shared" si="2063"/>
        <v>816</v>
      </c>
      <c r="L11568">
        <v>304</v>
      </c>
    </row>
    <row r="11569" spans="1:12" x14ac:dyDescent="0.25">
      <c r="A11569" t="str">
        <f t="shared" si="2059"/>
        <v>89301000</v>
      </c>
      <c r="B11569" t="str">
        <f t="shared" si="2061"/>
        <v>72100000</v>
      </c>
      <c r="C11569" t="str">
        <f t="shared" si="2062"/>
        <v>72100632</v>
      </c>
      <c r="D11569">
        <v>89301091</v>
      </c>
      <c r="E11569" t="str">
        <f>"2308160778"</f>
        <v>2308160778</v>
      </c>
      <c r="F11569" s="1">
        <v>45161</v>
      </c>
      <c r="G11569" t="str">
        <f t="shared" si="2064"/>
        <v>94297</v>
      </c>
      <c r="H11569">
        <v>1</v>
      </c>
      <c r="I11569">
        <v>304</v>
      </c>
      <c r="J11569">
        <v>0</v>
      </c>
      <c r="K11569" t="str">
        <f t="shared" si="2063"/>
        <v>816</v>
      </c>
      <c r="L11569">
        <v>304</v>
      </c>
    </row>
    <row r="11570" spans="1:12" x14ac:dyDescent="0.25">
      <c r="A11570" t="str">
        <f t="shared" si="2059"/>
        <v>89301000</v>
      </c>
      <c r="B11570" t="str">
        <f t="shared" si="2061"/>
        <v>72100000</v>
      </c>
      <c r="C11570" t="str">
        <f t="shared" si="2062"/>
        <v>72100632</v>
      </c>
      <c r="D11570">
        <v>89301091</v>
      </c>
      <c r="E11570" t="str">
        <f>"9260056091"</f>
        <v>9260056091</v>
      </c>
      <c r="F11570" s="1">
        <v>45161</v>
      </c>
      <c r="G11570" t="str">
        <f t="shared" si="2064"/>
        <v>94297</v>
      </c>
      <c r="H11570">
        <v>1</v>
      </c>
      <c r="I11570">
        <v>304</v>
      </c>
      <c r="J11570">
        <v>0</v>
      </c>
      <c r="K11570" t="str">
        <f t="shared" si="2063"/>
        <v>816</v>
      </c>
      <c r="L11570">
        <v>304</v>
      </c>
    </row>
    <row r="11571" spans="1:12" x14ac:dyDescent="0.25">
      <c r="A11571" t="str">
        <f t="shared" si="2059"/>
        <v>89301000</v>
      </c>
      <c r="B11571" t="str">
        <f t="shared" si="2061"/>
        <v>72100000</v>
      </c>
      <c r="C11571" t="str">
        <f t="shared" si="2062"/>
        <v>72100632</v>
      </c>
      <c r="D11571">
        <v>89301091</v>
      </c>
      <c r="E11571" t="str">
        <f>"2308200290"</f>
        <v>2308200290</v>
      </c>
      <c r="F11571" s="1">
        <v>45163</v>
      </c>
      <c r="G11571" t="str">
        <f t="shared" si="2064"/>
        <v>94297</v>
      </c>
      <c r="H11571">
        <v>1</v>
      </c>
      <c r="I11571">
        <v>304</v>
      </c>
      <c r="J11571">
        <v>0</v>
      </c>
      <c r="K11571" t="str">
        <f t="shared" si="2063"/>
        <v>816</v>
      </c>
      <c r="L11571">
        <v>304</v>
      </c>
    </row>
    <row r="11572" spans="1:12" x14ac:dyDescent="0.25">
      <c r="A11572" t="str">
        <f t="shared" si="2059"/>
        <v>89301000</v>
      </c>
      <c r="B11572" t="str">
        <f t="shared" si="2061"/>
        <v>72100000</v>
      </c>
      <c r="C11572" t="str">
        <f t="shared" si="2062"/>
        <v>72100632</v>
      </c>
      <c r="D11572">
        <v>89301091</v>
      </c>
      <c r="E11572" t="str">
        <f>"2308200301"</f>
        <v>2308200301</v>
      </c>
      <c r="F11572" s="1">
        <v>45163</v>
      </c>
      <c r="G11572" t="str">
        <f t="shared" si="2064"/>
        <v>94297</v>
      </c>
      <c r="H11572">
        <v>1</v>
      </c>
      <c r="I11572">
        <v>304</v>
      </c>
      <c r="J11572">
        <v>0</v>
      </c>
      <c r="K11572" t="str">
        <f t="shared" si="2063"/>
        <v>816</v>
      </c>
      <c r="L11572">
        <v>304</v>
      </c>
    </row>
    <row r="11573" spans="1:12" x14ac:dyDescent="0.25">
      <c r="A11573" t="str">
        <f t="shared" si="2059"/>
        <v>89301000</v>
      </c>
      <c r="B11573" t="str">
        <f t="shared" si="2061"/>
        <v>72100000</v>
      </c>
      <c r="C11573" t="str">
        <f t="shared" si="2062"/>
        <v>72100632</v>
      </c>
      <c r="D11573">
        <v>89301091</v>
      </c>
      <c r="E11573" t="str">
        <f>"2358200130"</f>
        <v>2358200130</v>
      </c>
      <c r="F11573" s="1">
        <v>45163</v>
      </c>
      <c r="G11573" t="str">
        <f t="shared" si="2064"/>
        <v>94297</v>
      </c>
      <c r="H11573">
        <v>1</v>
      </c>
      <c r="I11573">
        <v>304</v>
      </c>
      <c r="J11573">
        <v>0</v>
      </c>
      <c r="K11573" t="str">
        <f t="shared" si="2063"/>
        <v>816</v>
      </c>
      <c r="L11573">
        <v>304</v>
      </c>
    </row>
    <row r="11574" spans="1:12" x14ac:dyDescent="0.25">
      <c r="A11574" t="str">
        <f t="shared" si="2059"/>
        <v>89301000</v>
      </c>
      <c r="B11574" t="str">
        <f t="shared" si="2061"/>
        <v>72100000</v>
      </c>
      <c r="C11574" t="str">
        <f t="shared" si="2062"/>
        <v>72100632</v>
      </c>
      <c r="D11574">
        <v>89301091</v>
      </c>
      <c r="E11574" t="str">
        <f>"2308200323"</f>
        <v>2308200323</v>
      </c>
      <c r="F11574" s="1">
        <v>45163</v>
      </c>
      <c r="G11574" t="str">
        <f t="shared" si="2064"/>
        <v>94297</v>
      </c>
      <c r="H11574">
        <v>1</v>
      </c>
      <c r="I11574">
        <v>304</v>
      </c>
      <c r="J11574">
        <v>0</v>
      </c>
      <c r="K11574" t="str">
        <f t="shared" si="2063"/>
        <v>816</v>
      </c>
      <c r="L11574">
        <v>304</v>
      </c>
    </row>
    <row r="11575" spans="1:12" x14ac:dyDescent="0.25">
      <c r="A11575" t="str">
        <f t="shared" si="2059"/>
        <v>89301000</v>
      </c>
      <c r="B11575" t="str">
        <f t="shared" si="2061"/>
        <v>72100000</v>
      </c>
      <c r="C11575" t="str">
        <f t="shared" si="2062"/>
        <v>72100632</v>
      </c>
      <c r="D11575">
        <v>89301091</v>
      </c>
      <c r="E11575" t="str">
        <f>"2308210014"</f>
        <v>2308210014</v>
      </c>
      <c r="F11575" s="1">
        <v>45166</v>
      </c>
      <c r="G11575" t="str">
        <f t="shared" si="2064"/>
        <v>94297</v>
      </c>
      <c r="H11575">
        <v>1</v>
      </c>
      <c r="I11575">
        <v>304</v>
      </c>
      <c r="J11575">
        <v>0</v>
      </c>
      <c r="K11575" t="str">
        <f t="shared" si="2063"/>
        <v>816</v>
      </c>
      <c r="L11575">
        <v>304</v>
      </c>
    </row>
    <row r="11576" spans="1:12" x14ac:dyDescent="0.25">
      <c r="A11576" t="str">
        <f t="shared" si="2059"/>
        <v>89301000</v>
      </c>
      <c r="B11576" t="str">
        <f t="shared" ref="B11576:B11594" si="2065">"72100000"</f>
        <v>72100000</v>
      </c>
      <c r="C11576" t="str">
        <f t="shared" ref="C11576:C11594" si="2066">"72100632"</f>
        <v>72100632</v>
      </c>
      <c r="D11576">
        <v>89301091</v>
      </c>
      <c r="E11576" t="str">
        <f>"2308210608"</f>
        <v>2308210608</v>
      </c>
      <c r="F11576" s="1">
        <v>45166</v>
      </c>
      <c r="G11576" t="str">
        <f t="shared" si="2064"/>
        <v>94297</v>
      </c>
      <c r="H11576">
        <v>1</v>
      </c>
      <c r="I11576">
        <v>304</v>
      </c>
      <c r="J11576">
        <v>0</v>
      </c>
      <c r="K11576" t="str">
        <f t="shared" ref="K11576:K11594" si="2067">"816"</f>
        <v>816</v>
      </c>
      <c r="L11576">
        <v>304</v>
      </c>
    </row>
    <row r="11577" spans="1:12" x14ac:dyDescent="0.25">
      <c r="A11577" t="str">
        <f t="shared" si="2059"/>
        <v>89301000</v>
      </c>
      <c r="B11577" t="str">
        <f t="shared" si="2065"/>
        <v>72100000</v>
      </c>
      <c r="C11577" t="str">
        <f t="shared" si="2066"/>
        <v>72100632</v>
      </c>
      <c r="D11577">
        <v>89301091</v>
      </c>
      <c r="E11577" t="str">
        <f>"2308210630"</f>
        <v>2308210630</v>
      </c>
      <c r="F11577" s="1">
        <v>45166</v>
      </c>
      <c r="G11577" t="str">
        <f t="shared" si="2064"/>
        <v>94297</v>
      </c>
      <c r="H11577">
        <v>1</v>
      </c>
      <c r="I11577">
        <v>304</v>
      </c>
      <c r="J11577">
        <v>0</v>
      </c>
      <c r="K11577" t="str">
        <f t="shared" si="2067"/>
        <v>816</v>
      </c>
      <c r="L11577">
        <v>304</v>
      </c>
    </row>
    <row r="11578" spans="1:12" x14ac:dyDescent="0.25">
      <c r="A11578" t="str">
        <f t="shared" si="2059"/>
        <v>89301000</v>
      </c>
      <c r="B11578" t="str">
        <f t="shared" si="2065"/>
        <v>72100000</v>
      </c>
      <c r="C11578" t="str">
        <f t="shared" si="2066"/>
        <v>72100632</v>
      </c>
      <c r="D11578">
        <v>89301091</v>
      </c>
      <c r="E11578" t="str">
        <f>"2308210652"</f>
        <v>2308210652</v>
      </c>
      <c r="F11578" s="1">
        <v>45166</v>
      </c>
      <c r="G11578" t="str">
        <f t="shared" si="2064"/>
        <v>94297</v>
      </c>
      <c r="H11578">
        <v>1</v>
      </c>
      <c r="I11578">
        <v>304</v>
      </c>
      <c r="J11578">
        <v>0</v>
      </c>
      <c r="K11578" t="str">
        <f t="shared" si="2067"/>
        <v>816</v>
      </c>
      <c r="L11578">
        <v>304</v>
      </c>
    </row>
    <row r="11579" spans="1:12" x14ac:dyDescent="0.25">
      <c r="A11579" t="str">
        <f t="shared" si="2059"/>
        <v>89301000</v>
      </c>
      <c r="B11579" t="str">
        <f t="shared" si="2065"/>
        <v>72100000</v>
      </c>
      <c r="C11579" t="str">
        <f t="shared" si="2066"/>
        <v>72100632</v>
      </c>
      <c r="D11579">
        <v>89301091</v>
      </c>
      <c r="E11579" t="str">
        <f>"2358220689"</f>
        <v>2358220689</v>
      </c>
      <c r="F11579" s="1">
        <v>45167</v>
      </c>
      <c r="G11579" t="str">
        <f t="shared" si="2064"/>
        <v>94297</v>
      </c>
      <c r="H11579">
        <v>1</v>
      </c>
      <c r="I11579">
        <v>304</v>
      </c>
      <c r="J11579">
        <v>0</v>
      </c>
      <c r="K11579" t="str">
        <f t="shared" si="2067"/>
        <v>816</v>
      </c>
      <c r="L11579">
        <v>304</v>
      </c>
    </row>
    <row r="11580" spans="1:12" x14ac:dyDescent="0.25">
      <c r="A11580" t="str">
        <f t="shared" si="2059"/>
        <v>89301000</v>
      </c>
      <c r="B11580" t="str">
        <f t="shared" si="2065"/>
        <v>72100000</v>
      </c>
      <c r="C11580" t="str">
        <f t="shared" si="2066"/>
        <v>72100632</v>
      </c>
      <c r="D11580">
        <v>89301282</v>
      </c>
      <c r="E11580" t="str">
        <f>"1360070382"</f>
        <v>1360070382</v>
      </c>
      <c r="F11580" s="1">
        <v>45169</v>
      </c>
      <c r="G11580" t="str">
        <f>"94983"</f>
        <v>94983</v>
      </c>
      <c r="H11580">
        <v>1</v>
      </c>
      <c r="I11580">
        <v>0</v>
      </c>
      <c r="J11580">
        <v>39600</v>
      </c>
      <c r="K11580" t="str">
        <f t="shared" si="2067"/>
        <v>816</v>
      </c>
      <c r="L11580">
        <v>39600</v>
      </c>
    </row>
    <row r="11581" spans="1:12" x14ac:dyDescent="0.25">
      <c r="A11581" t="str">
        <f t="shared" si="2059"/>
        <v>89301000</v>
      </c>
      <c r="B11581" t="str">
        <f t="shared" si="2065"/>
        <v>72100000</v>
      </c>
      <c r="C11581" t="str">
        <f t="shared" si="2066"/>
        <v>72100632</v>
      </c>
      <c r="D11581">
        <v>89301282</v>
      </c>
      <c r="E11581" t="str">
        <f>"1360070382"</f>
        <v>1360070382</v>
      </c>
      <c r="F11581" s="1">
        <v>45169</v>
      </c>
      <c r="G11581" t="str">
        <f>"94996"</f>
        <v>94996</v>
      </c>
      <c r="H11581">
        <v>1</v>
      </c>
      <c r="I11581">
        <v>0</v>
      </c>
      <c r="J11581">
        <v>0</v>
      </c>
      <c r="K11581" t="str">
        <f t="shared" si="2067"/>
        <v>816</v>
      </c>
      <c r="L11581">
        <v>0</v>
      </c>
    </row>
    <row r="11582" spans="1:12" x14ac:dyDescent="0.25">
      <c r="A11582" t="str">
        <f t="shared" si="2059"/>
        <v>89301000</v>
      </c>
      <c r="B11582" t="str">
        <f t="shared" si="2065"/>
        <v>72100000</v>
      </c>
      <c r="C11582" t="str">
        <f t="shared" si="2066"/>
        <v>72100632</v>
      </c>
      <c r="D11582">
        <v>89301091</v>
      </c>
      <c r="E11582" t="str">
        <f>"2358230567"</f>
        <v>2358230567</v>
      </c>
      <c r="F11582" s="1">
        <v>45168</v>
      </c>
      <c r="G11582" t="str">
        <f t="shared" ref="G11582:G11589" si="2068">"94297"</f>
        <v>94297</v>
      </c>
      <c r="H11582">
        <v>1</v>
      </c>
      <c r="I11582">
        <v>304</v>
      </c>
      <c r="J11582">
        <v>0</v>
      </c>
      <c r="K11582" t="str">
        <f t="shared" si="2067"/>
        <v>816</v>
      </c>
      <c r="L11582">
        <v>304</v>
      </c>
    </row>
    <row r="11583" spans="1:12" x14ac:dyDescent="0.25">
      <c r="A11583" t="str">
        <f t="shared" si="2059"/>
        <v>89301000</v>
      </c>
      <c r="B11583" t="str">
        <f t="shared" si="2065"/>
        <v>72100000</v>
      </c>
      <c r="C11583" t="str">
        <f t="shared" si="2066"/>
        <v>72100632</v>
      </c>
      <c r="D11583">
        <v>89301091</v>
      </c>
      <c r="E11583" t="str">
        <f>"2358240522"</f>
        <v>2358240522</v>
      </c>
      <c r="F11583" s="1">
        <v>45168</v>
      </c>
      <c r="G11583" t="str">
        <f t="shared" si="2068"/>
        <v>94297</v>
      </c>
      <c r="H11583">
        <v>1</v>
      </c>
      <c r="I11583">
        <v>304</v>
      </c>
      <c r="J11583">
        <v>0</v>
      </c>
      <c r="K11583" t="str">
        <f t="shared" si="2067"/>
        <v>816</v>
      </c>
      <c r="L11583">
        <v>304</v>
      </c>
    </row>
    <row r="11584" spans="1:12" x14ac:dyDescent="0.25">
      <c r="A11584" t="str">
        <f t="shared" si="2059"/>
        <v>89301000</v>
      </c>
      <c r="B11584" t="str">
        <f t="shared" si="2065"/>
        <v>72100000</v>
      </c>
      <c r="C11584" t="str">
        <f t="shared" si="2066"/>
        <v>72100632</v>
      </c>
      <c r="D11584">
        <v>89301091</v>
      </c>
      <c r="E11584" t="str">
        <f>"2358250114"</f>
        <v>2358250114</v>
      </c>
      <c r="F11584" s="1">
        <v>45168</v>
      </c>
      <c r="G11584" t="str">
        <f t="shared" si="2068"/>
        <v>94297</v>
      </c>
      <c r="H11584">
        <v>1</v>
      </c>
      <c r="I11584">
        <v>304</v>
      </c>
      <c r="J11584">
        <v>0</v>
      </c>
      <c r="K11584" t="str">
        <f t="shared" si="2067"/>
        <v>816</v>
      </c>
      <c r="L11584">
        <v>304</v>
      </c>
    </row>
    <row r="11585" spans="1:12" x14ac:dyDescent="0.25">
      <c r="A11585" t="str">
        <f t="shared" si="2059"/>
        <v>89301000</v>
      </c>
      <c r="B11585" t="str">
        <f t="shared" si="2065"/>
        <v>72100000</v>
      </c>
      <c r="C11585" t="str">
        <f t="shared" si="2066"/>
        <v>72100632</v>
      </c>
      <c r="D11585">
        <v>89301091</v>
      </c>
      <c r="E11585" t="str">
        <f>"0259096178"</f>
        <v>0259096178</v>
      </c>
      <c r="F11585" s="1">
        <v>45168</v>
      </c>
      <c r="G11585" t="str">
        <f t="shared" si="2068"/>
        <v>94297</v>
      </c>
      <c r="H11585">
        <v>1</v>
      </c>
      <c r="I11585">
        <v>304</v>
      </c>
      <c r="J11585">
        <v>0</v>
      </c>
      <c r="K11585" t="str">
        <f t="shared" si="2067"/>
        <v>816</v>
      </c>
      <c r="L11585">
        <v>304</v>
      </c>
    </row>
    <row r="11586" spans="1:12" x14ac:dyDescent="0.25">
      <c r="A11586" t="str">
        <f t="shared" ref="A11586:A11649" si="2069">"89301000"</f>
        <v>89301000</v>
      </c>
      <c r="B11586" t="str">
        <f t="shared" si="2065"/>
        <v>72100000</v>
      </c>
      <c r="C11586" t="str">
        <f t="shared" si="2066"/>
        <v>72100632</v>
      </c>
      <c r="D11586">
        <v>89301091</v>
      </c>
      <c r="E11586" t="str">
        <f>"8253194466"</f>
        <v>8253194466</v>
      </c>
      <c r="F11586" s="1">
        <v>45168</v>
      </c>
      <c r="G11586" t="str">
        <f t="shared" si="2068"/>
        <v>94297</v>
      </c>
      <c r="H11586">
        <v>1</v>
      </c>
      <c r="I11586">
        <v>304</v>
      </c>
      <c r="J11586">
        <v>0</v>
      </c>
      <c r="K11586" t="str">
        <f t="shared" si="2067"/>
        <v>816</v>
      </c>
      <c r="L11586">
        <v>304</v>
      </c>
    </row>
    <row r="11587" spans="1:12" x14ac:dyDescent="0.25">
      <c r="A11587" t="str">
        <f t="shared" si="2069"/>
        <v>89301000</v>
      </c>
      <c r="B11587" t="str">
        <f t="shared" si="2065"/>
        <v>72100000</v>
      </c>
      <c r="C11587" t="str">
        <f t="shared" si="2066"/>
        <v>72100632</v>
      </c>
      <c r="D11587">
        <v>89301091</v>
      </c>
      <c r="E11587" t="str">
        <f>"2307240078"</f>
        <v>2307240078</v>
      </c>
      <c r="F11587" s="1">
        <v>45138</v>
      </c>
      <c r="G11587" t="str">
        <f t="shared" si="2068"/>
        <v>94297</v>
      </c>
      <c r="H11587">
        <v>1</v>
      </c>
      <c r="I11587">
        <v>304</v>
      </c>
      <c r="J11587">
        <v>0</v>
      </c>
      <c r="K11587" t="str">
        <f t="shared" si="2067"/>
        <v>816</v>
      </c>
      <c r="L11587">
        <v>304</v>
      </c>
    </row>
    <row r="11588" spans="1:12" x14ac:dyDescent="0.25">
      <c r="A11588" t="str">
        <f t="shared" si="2069"/>
        <v>89301000</v>
      </c>
      <c r="B11588" t="str">
        <f t="shared" si="2065"/>
        <v>72100000</v>
      </c>
      <c r="C11588" t="str">
        <f t="shared" si="2066"/>
        <v>72100632</v>
      </c>
      <c r="D11588">
        <v>89301091</v>
      </c>
      <c r="E11588" t="str">
        <f>"2307240089"</f>
        <v>2307240089</v>
      </c>
      <c r="F11588" s="1">
        <v>45138</v>
      </c>
      <c r="G11588" t="str">
        <f t="shared" si="2068"/>
        <v>94297</v>
      </c>
      <c r="H11588">
        <v>1</v>
      </c>
      <c r="I11588">
        <v>304</v>
      </c>
      <c r="J11588">
        <v>0</v>
      </c>
      <c r="K11588" t="str">
        <f t="shared" si="2067"/>
        <v>816</v>
      </c>
      <c r="L11588">
        <v>304</v>
      </c>
    </row>
    <row r="11589" spans="1:12" x14ac:dyDescent="0.25">
      <c r="A11589" t="str">
        <f t="shared" si="2069"/>
        <v>89301000</v>
      </c>
      <c r="B11589" t="str">
        <f t="shared" si="2065"/>
        <v>72100000</v>
      </c>
      <c r="C11589" t="str">
        <f t="shared" si="2066"/>
        <v>72100632</v>
      </c>
      <c r="D11589">
        <v>89301091</v>
      </c>
      <c r="E11589" t="str">
        <f>"2307240606"</f>
        <v>2307240606</v>
      </c>
      <c r="F11589" s="1">
        <v>45138</v>
      </c>
      <c r="G11589" t="str">
        <f t="shared" si="2068"/>
        <v>94297</v>
      </c>
      <c r="H11589">
        <v>1</v>
      </c>
      <c r="I11589">
        <v>304</v>
      </c>
      <c r="J11589">
        <v>0</v>
      </c>
      <c r="K11589" t="str">
        <f t="shared" si="2067"/>
        <v>816</v>
      </c>
      <c r="L11589">
        <v>304</v>
      </c>
    </row>
    <row r="11590" spans="1:12" x14ac:dyDescent="0.25">
      <c r="A11590" t="str">
        <f t="shared" si="2069"/>
        <v>89301000</v>
      </c>
      <c r="B11590" t="str">
        <f t="shared" si="2065"/>
        <v>72100000</v>
      </c>
      <c r="C11590" t="str">
        <f t="shared" si="2066"/>
        <v>72100632</v>
      </c>
      <c r="D11590">
        <v>89301282</v>
      </c>
      <c r="E11590" t="str">
        <f>"2007300790"</f>
        <v>2007300790</v>
      </c>
      <c r="F11590" s="1">
        <v>45121</v>
      </c>
      <c r="G11590" t="str">
        <f>"94964"</f>
        <v>94964</v>
      </c>
      <c r="H11590">
        <v>1</v>
      </c>
      <c r="I11590">
        <v>0</v>
      </c>
      <c r="J11590">
        <v>1952</v>
      </c>
      <c r="K11590" t="str">
        <f t="shared" si="2067"/>
        <v>816</v>
      </c>
      <c r="L11590">
        <v>1952</v>
      </c>
    </row>
    <row r="11591" spans="1:12" x14ac:dyDescent="0.25">
      <c r="A11591" t="str">
        <f t="shared" si="2069"/>
        <v>89301000</v>
      </c>
      <c r="B11591" t="str">
        <f t="shared" si="2065"/>
        <v>72100000</v>
      </c>
      <c r="C11591" t="str">
        <f t="shared" si="2066"/>
        <v>72100632</v>
      </c>
      <c r="D11591">
        <v>89301282</v>
      </c>
      <c r="E11591" t="str">
        <f>"8857126146"</f>
        <v>8857126146</v>
      </c>
      <c r="F11591" s="1">
        <v>45126</v>
      </c>
      <c r="G11591" t="str">
        <f>"94980"</f>
        <v>94980</v>
      </c>
      <c r="H11591">
        <v>1</v>
      </c>
      <c r="I11591">
        <v>0</v>
      </c>
      <c r="J11591">
        <v>11502</v>
      </c>
      <c r="K11591" t="str">
        <f t="shared" si="2067"/>
        <v>816</v>
      </c>
      <c r="L11591">
        <v>11502</v>
      </c>
    </row>
    <row r="11592" spans="1:12" x14ac:dyDescent="0.25">
      <c r="A11592" t="str">
        <f t="shared" si="2069"/>
        <v>89301000</v>
      </c>
      <c r="B11592" t="str">
        <f t="shared" si="2065"/>
        <v>72100000</v>
      </c>
      <c r="C11592" t="str">
        <f t="shared" si="2066"/>
        <v>72100632</v>
      </c>
      <c r="D11592">
        <v>89301282</v>
      </c>
      <c r="E11592" t="str">
        <f>"8857126146"</f>
        <v>8857126146</v>
      </c>
      <c r="F11592" s="1">
        <v>45126</v>
      </c>
      <c r="G11592" t="str">
        <f>"94237"</f>
        <v>94237</v>
      </c>
      <c r="H11592">
        <v>1</v>
      </c>
      <c r="I11592">
        <v>3936</v>
      </c>
      <c r="J11592">
        <v>0</v>
      </c>
      <c r="K11592" t="str">
        <f t="shared" si="2067"/>
        <v>816</v>
      </c>
      <c r="L11592">
        <v>3542.4</v>
      </c>
    </row>
    <row r="11593" spans="1:12" x14ac:dyDescent="0.25">
      <c r="A11593" t="str">
        <f t="shared" si="2069"/>
        <v>89301000</v>
      </c>
      <c r="B11593" t="str">
        <f t="shared" si="2065"/>
        <v>72100000</v>
      </c>
      <c r="C11593" t="str">
        <f t="shared" si="2066"/>
        <v>72100632</v>
      </c>
      <c r="D11593">
        <v>89301282</v>
      </c>
      <c r="E11593" t="str">
        <f>"8857126146"</f>
        <v>8857126146</v>
      </c>
      <c r="F11593" s="1">
        <v>45126</v>
      </c>
      <c r="G11593" t="str">
        <f>"94237"</f>
        <v>94237</v>
      </c>
      <c r="H11593">
        <v>2</v>
      </c>
      <c r="I11593">
        <v>7872</v>
      </c>
      <c r="J11593">
        <v>0</v>
      </c>
      <c r="K11593" t="str">
        <f t="shared" si="2067"/>
        <v>816</v>
      </c>
      <c r="L11593">
        <v>7084.8</v>
      </c>
    </row>
    <row r="11594" spans="1:12" x14ac:dyDescent="0.25">
      <c r="A11594" t="str">
        <f t="shared" si="2069"/>
        <v>89301000</v>
      </c>
      <c r="B11594" t="str">
        <f t="shared" si="2065"/>
        <v>72100000</v>
      </c>
      <c r="C11594" t="str">
        <f t="shared" si="2066"/>
        <v>72100632</v>
      </c>
      <c r="D11594">
        <v>89301282</v>
      </c>
      <c r="E11594" t="str">
        <f>"8857126146"</f>
        <v>8857126146</v>
      </c>
      <c r="F11594" s="1">
        <v>45126</v>
      </c>
      <c r="G11594" t="str">
        <f>"94948"</f>
        <v>94948</v>
      </c>
      <c r="H11594">
        <v>1</v>
      </c>
      <c r="I11594">
        <v>0</v>
      </c>
      <c r="J11594">
        <v>0</v>
      </c>
      <c r="K11594" t="str">
        <f t="shared" si="2067"/>
        <v>816</v>
      </c>
      <c r="L11594">
        <v>0</v>
      </c>
    </row>
    <row r="11595" spans="1:12" x14ac:dyDescent="0.25">
      <c r="A11595" t="str">
        <f t="shared" si="2069"/>
        <v>89301000</v>
      </c>
      <c r="B11595" t="str">
        <f t="shared" ref="B11595:B11626" si="2070">"06539000"</f>
        <v>06539000</v>
      </c>
      <c r="C11595" t="str">
        <f t="shared" ref="C11595:C11605" si="2071">"06539003"</f>
        <v>06539003</v>
      </c>
      <c r="D11595">
        <v>89301171</v>
      </c>
      <c r="E11595" t="str">
        <f t="shared" ref="E11595:E11605" si="2072">"505107076"</f>
        <v>505107076</v>
      </c>
      <c r="F11595" s="1">
        <v>45161</v>
      </c>
      <c r="G11595" t="str">
        <f t="shared" ref="G11595:G11604" si="2073">"91413"</f>
        <v>91413</v>
      </c>
      <c r="H11595">
        <v>1</v>
      </c>
      <c r="I11595">
        <v>868</v>
      </c>
      <c r="J11595">
        <v>0</v>
      </c>
      <c r="K11595" t="str">
        <f t="shared" ref="K11595:K11605" si="2074">"813"</f>
        <v>813</v>
      </c>
      <c r="L11595">
        <v>729.12</v>
      </c>
    </row>
    <row r="11596" spans="1:12" x14ac:dyDescent="0.25">
      <c r="A11596" t="str">
        <f t="shared" si="2069"/>
        <v>89301000</v>
      </c>
      <c r="B11596" t="str">
        <f t="shared" si="2070"/>
        <v>06539000</v>
      </c>
      <c r="C11596" t="str">
        <f t="shared" si="2071"/>
        <v>06539003</v>
      </c>
      <c r="D11596">
        <v>89301171</v>
      </c>
      <c r="E11596" t="str">
        <f t="shared" si="2072"/>
        <v>505107076</v>
      </c>
      <c r="F11596" s="1">
        <v>45161</v>
      </c>
      <c r="G11596" t="str">
        <f t="shared" si="2073"/>
        <v>91413</v>
      </c>
      <c r="H11596">
        <v>1</v>
      </c>
      <c r="I11596">
        <v>868</v>
      </c>
      <c r="J11596">
        <v>0</v>
      </c>
      <c r="K11596" t="str">
        <f t="shared" si="2074"/>
        <v>813</v>
      </c>
      <c r="L11596">
        <v>729.12</v>
      </c>
    </row>
    <row r="11597" spans="1:12" x14ac:dyDescent="0.25">
      <c r="A11597" t="str">
        <f t="shared" si="2069"/>
        <v>89301000</v>
      </c>
      <c r="B11597" t="str">
        <f t="shared" si="2070"/>
        <v>06539000</v>
      </c>
      <c r="C11597" t="str">
        <f t="shared" si="2071"/>
        <v>06539003</v>
      </c>
      <c r="D11597">
        <v>89301171</v>
      </c>
      <c r="E11597" t="str">
        <f t="shared" si="2072"/>
        <v>505107076</v>
      </c>
      <c r="F11597" s="1">
        <v>45187</v>
      </c>
      <c r="G11597" t="str">
        <f t="shared" si="2073"/>
        <v>91413</v>
      </c>
      <c r="H11597">
        <v>1</v>
      </c>
      <c r="I11597">
        <v>868</v>
      </c>
      <c r="J11597">
        <v>0</v>
      </c>
      <c r="K11597" t="str">
        <f t="shared" si="2074"/>
        <v>813</v>
      </c>
      <c r="L11597">
        <v>729.12</v>
      </c>
    </row>
    <row r="11598" spans="1:12" x14ac:dyDescent="0.25">
      <c r="A11598" t="str">
        <f t="shared" si="2069"/>
        <v>89301000</v>
      </c>
      <c r="B11598" t="str">
        <f t="shared" si="2070"/>
        <v>06539000</v>
      </c>
      <c r="C11598" t="str">
        <f t="shared" si="2071"/>
        <v>06539003</v>
      </c>
      <c r="D11598">
        <v>89301171</v>
      </c>
      <c r="E11598" t="str">
        <f t="shared" si="2072"/>
        <v>505107076</v>
      </c>
      <c r="F11598" s="1">
        <v>45187</v>
      </c>
      <c r="G11598" t="str">
        <f t="shared" si="2073"/>
        <v>91413</v>
      </c>
      <c r="H11598">
        <v>1</v>
      </c>
      <c r="I11598">
        <v>868</v>
      </c>
      <c r="J11598">
        <v>0</v>
      </c>
      <c r="K11598" t="str">
        <f t="shared" si="2074"/>
        <v>813</v>
      </c>
      <c r="L11598">
        <v>729.12</v>
      </c>
    </row>
    <row r="11599" spans="1:12" x14ac:dyDescent="0.25">
      <c r="A11599" t="str">
        <f t="shared" si="2069"/>
        <v>89301000</v>
      </c>
      <c r="B11599" t="str">
        <f t="shared" si="2070"/>
        <v>06539000</v>
      </c>
      <c r="C11599" t="str">
        <f t="shared" si="2071"/>
        <v>06539003</v>
      </c>
      <c r="D11599">
        <v>89301171</v>
      </c>
      <c r="E11599" t="str">
        <f t="shared" si="2072"/>
        <v>505107076</v>
      </c>
      <c r="F11599" s="1">
        <v>45182</v>
      </c>
      <c r="G11599" t="str">
        <f t="shared" si="2073"/>
        <v>91413</v>
      </c>
      <c r="H11599">
        <v>1</v>
      </c>
      <c r="I11599">
        <v>868</v>
      </c>
      <c r="J11599">
        <v>0</v>
      </c>
      <c r="K11599" t="str">
        <f t="shared" si="2074"/>
        <v>813</v>
      </c>
      <c r="L11599">
        <v>729.12</v>
      </c>
    </row>
    <row r="11600" spans="1:12" x14ac:dyDescent="0.25">
      <c r="A11600" t="str">
        <f t="shared" si="2069"/>
        <v>89301000</v>
      </c>
      <c r="B11600" t="str">
        <f t="shared" si="2070"/>
        <v>06539000</v>
      </c>
      <c r="C11600" t="str">
        <f t="shared" si="2071"/>
        <v>06539003</v>
      </c>
      <c r="D11600">
        <v>89301171</v>
      </c>
      <c r="E11600" t="str">
        <f t="shared" si="2072"/>
        <v>505107076</v>
      </c>
      <c r="F11600" s="1">
        <v>45182</v>
      </c>
      <c r="G11600" t="str">
        <f t="shared" si="2073"/>
        <v>91413</v>
      </c>
      <c r="H11600">
        <v>1</v>
      </c>
      <c r="I11600">
        <v>868</v>
      </c>
      <c r="J11600">
        <v>0</v>
      </c>
      <c r="K11600" t="str">
        <f t="shared" si="2074"/>
        <v>813</v>
      </c>
      <c r="L11600">
        <v>729.12</v>
      </c>
    </row>
    <row r="11601" spans="1:12" x14ac:dyDescent="0.25">
      <c r="A11601" t="str">
        <f t="shared" si="2069"/>
        <v>89301000</v>
      </c>
      <c r="B11601" t="str">
        <f t="shared" si="2070"/>
        <v>06539000</v>
      </c>
      <c r="C11601" t="str">
        <f t="shared" si="2071"/>
        <v>06539003</v>
      </c>
      <c r="D11601">
        <v>89301171</v>
      </c>
      <c r="E11601" t="str">
        <f t="shared" si="2072"/>
        <v>505107076</v>
      </c>
      <c r="F11601" s="1">
        <v>45187</v>
      </c>
      <c r="G11601" t="str">
        <f t="shared" si="2073"/>
        <v>91413</v>
      </c>
      <c r="H11601">
        <v>1</v>
      </c>
      <c r="I11601">
        <v>868</v>
      </c>
      <c r="J11601">
        <v>0</v>
      </c>
      <c r="K11601" t="str">
        <f t="shared" si="2074"/>
        <v>813</v>
      </c>
      <c r="L11601">
        <v>729.12</v>
      </c>
    </row>
    <row r="11602" spans="1:12" x14ac:dyDescent="0.25">
      <c r="A11602" t="str">
        <f t="shared" si="2069"/>
        <v>89301000</v>
      </c>
      <c r="B11602" t="str">
        <f t="shared" si="2070"/>
        <v>06539000</v>
      </c>
      <c r="C11602" t="str">
        <f t="shared" si="2071"/>
        <v>06539003</v>
      </c>
      <c r="D11602">
        <v>89301171</v>
      </c>
      <c r="E11602" t="str">
        <f t="shared" si="2072"/>
        <v>505107076</v>
      </c>
      <c r="F11602" s="1">
        <v>45187</v>
      </c>
      <c r="G11602" t="str">
        <f t="shared" si="2073"/>
        <v>91413</v>
      </c>
      <c r="H11602">
        <v>1</v>
      </c>
      <c r="I11602">
        <v>868</v>
      </c>
      <c r="J11602">
        <v>0</v>
      </c>
      <c r="K11602" t="str">
        <f t="shared" si="2074"/>
        <v>813</v>
      </c>
      <c r="L11602">
        <v>729.12</v>
      </c>
    </row>
    <row r="11603" spans="1:12" x14ac:dyDescent="0.25">
      <c r="A11603" t="str">
        <f t="shared" si="2069"/>
        <v>89301000</v>
      </c>
      <c r="B11603" t="str">
        <f t="shared" si="2070"/>
        <v>06539000</v>
      </c>
      <c r="C11603" t="str">
        <f t="shared" si="2071"/>
        <v>06539003</v>
      </c>
      <c r="D11603">
        <v>89301171</v>
      </c>
      <c r="E11603" t="str">
        <f t="shared" si="2072"/>
        <v>505107076</v>
      </c>
      <c r="F11603" s="1">
        <v>45187</v>
      </c>
      <c r="G11603" t="str">
        <f t="shared" si="2073"/>
        <v>91413</v>
      </c>
      <c r="H11603">
        <v>1</v>
      </c>
      <c r="I11603">
        <v>868</v>
      </c>
      <c r="J11603">
        <v>0</v>
      </c>
      <c r="K11603" t="str">
        <f t="shared" si="2074"/>
        <v>813</v>
      </c>
      <c r="L11603">
        <v>729.12</v>
      </c>
    </row>
    <row r="11604" spans="1:12" x14ac:dyDescent="0.25">
      <c r="A11604" t="str">
        <f t="shared" si="2069"/>
        <v>89301000</v>
      </c>
      <c r="B11604" t="str">
        <f t="shared" si="2070"/>
        <v>06539000</v>
      </c>
      <c r="C11604" t="str">
        <f t="shared" si="2071"/>
        <v>06539003</v>
      </c>
      <c r="D11604">
        <v>89301171</v>
      </c>
      <c r="E11604" t="str">
        <f t="shared" si="2072"/>
        <v>505107076</v>
      </c>
      <c r="F11604" s="1">
        <v>45187</v>
      </c>
      <c r="G11604" t="str">
        <f t="shared" si="2073"/>
        <v>91413</v>
      </c>
      <c r="H11604">
        <v>1</v>
      </c>
      <c r="I11604">
        <v>868</v>
      </c>
      <c r="J11604">
        <v>0</v>
      </c>
      <c r="K11604" t="str">
        <f t="shared" si="2074"/>
        <v>813</v>
      </c>
      <c r="L11604">
        <v>729.12</v>
      </c>
    </row>
    <row r="11605" spans="1:12" x14ac:dyDescent="0.25">
      <c r="A11605" t="str">
        <f t="shared" si="2069"/>
        <v>89301000</v>
      </c>
      <c r="B11605" t="str">
        <f t="shared" si="2070"/>
        <v>06539000</v>
      </c>
      <c r="C11605" t="str">
        <f t="shared" si="2071"/>
        <v>06539003</v>
      </c>
      <c r="D11605">
        <v>89301171</v>
      </c>
      <c r="E11605" t="str">
        <f t="shared" si="2072"/>
        <v>505107076</v>
      </c>
      <c r="F11605" s="1">
        <v>45182</v>
      </c>
      <c r="G11605" t="str">
        <f>"91475"</f>
        <v>91475</v>
      </c>
      <c r="H11605">
        <v>1</v>
      </c>
      <c r="I11605">
        <v>213</v>
      </c>
      <c r="J11605">
        <v>0</v>
      </c>
      <c r="K11605" t="str">
        <f t="shared" si="2074"/>
        <v>813</v>
      </c>
      <c r="L11605">
        <v>178.92</v>
      </c>
    </row>
    <row r="11606" spans="1:12" x14ac:dyDescent="0.25">
      <c r="A11606" t="str">
        <f t="shared" si="2069"/>
        <v>89301000</v>
      </c>
      <c r="B11606" t="str">
        <f t="shared" si="2070"/>
        <v>06539000</v>
      </c>
      <c r="C11606" t="str">
        <f>"06539001"</f>
        <v>06539001</v>
      </c>
      <c r="D11606">
        <v>89301171</v>
      </c>
      <c r="E11606" t="str">
        <f t="shared" ref="E11606:E11647" si="2075">"8701144936"</f>
        <v>8701144936</v>
      </c>
      <c r="F11606" s="1">
        <v>45156</v>
      </c>
      <c r="G11606" t="str">
        <f>"81329"</f>
        <v>81329</v>
      </c>
      <c r="H11606">
        <v>1</v>
      </c>
      <c r="I11606">
        <v>17</v>
      </c>
      <c r="J11606">
        <v>0</v>
      </c>
      <c r="K11606" t="str">
        <f>"801"</f>
        <v>801</v>
      </c>
      <c r="L11606">
        <v>14.28</v>
      </c>
    </row>
    <row r="11607" spans="1:12" x14ac:dyDescent="0.25">
      <c r="A11607" t="str">
        <f t="shared" si="2069"/>
        <v>89301000</v>
      </c>
      <c r="B11607" t="str">
        <f t="shared" si="2070"/>
        <v>06539000</v>
      </c>
      <c r="C11607" t="str">
        <f>"06539001"</f>
        <v>06539001</v>
      </c>
      <c r="D11607">
        <v>89301171</v>
      </c>
      <c r="E11607" t="str">
        <f t="shared" si="2075"/>
        <v>8701144936</v>
      </c>
      <c r="F11607" s="1">
        <v>45156</v>
      </c>
      <c r="G11607" t="str">
        <f>"81331"</f>
        <v>81331</v>
      </c>
      <c r="H11607">
        <v>1</v>
      </c>
      <c r="I11607">
        <v>193</v>
      </c>
      <c r="J11607">
        <v>0</v>
      </c>
      <c r="K11607" t="str">
        <f>"801"</f>
        <v>801</v>
      </c>
      <c r="L11607">
        <v>162.12</v>
      </c>
    </row>
    <row r="11608" spans="1:12" x14ac:dyDescent="0.25">
      <c r="A11608" t="str">
        <f t="shared" si="2069"/>
        <v>89301000</v>
      </c>
      <c r="B11608" t="str">
        <f t="shared" si="2070"/>
        <v>06539000</v>
      </c>
      <c r="C11608" t="str">
        <f t="shared" ref="C11608:C11615" si="2076">"06539002"</f>
        <v>06539002</v>
      </c>
      <c r="D11608">
        <v>89301171</v>
      </c>
      <c r="E11608" t="str">
        <f t="shared" si="2075"/>
        <v>8701144936</v>
      </c>
      <c r="F11608" s="1">
        <v>45156</v>
      </c>
      <c r="G11608" t="str">
        <f t="shared" ref="G11608:G11615" si="2077">"82097"</f>
        <v>82097</v>
      </c>
      <c r="H11608">
        <v>1</v>
      </c>
      <c r="I11608">
        <v>381</v>
      </c>
      <c r="J11608">
        <v>0</v>
      </c>
      <c r="K11608" t="str">
        <f t="shared" ref="K11608:K11615" si="2078">"802"</f>
        <v>802</v>
      </c>
      <c r="L11608">
        <v>369.57</v>
      </c>
    </row>
    <row r="11609" spans="1:12" x14ac:dyDescent="0.25">
      <c r="A11609" t="str">
        <f t="shared" si="2069"/>
        <v>89301000</v>
      </c>
      <c r="B11609" t="str">
        <f t="shared" si="2070"/>
        <v>06539000</v>
      </c>
      <c r="C11609" t="str">
        <f t="shared" si="2076"/>
        <v>06539002</v>
      </c>
      <c r="D11609">
        <v>89301171</v>
      </c>
      <c r="E11609" t="str">
        <f t="shared" si="2075"/>
        <v>8701144936</v>
      </c>
      <c r="F11609" s="1">
        <v>45156</v>
      </c>
      <c r="G11609" t="str">
        <f t="shared" si="2077"/>
        <v>82097</v>
      </c>
      <c r="H11609">
        <v>1</v>
      </c>
      <c r="I11609">
        <v>381</v>
      </c>
      <c r="J11609">
        <v>0</v>
      </c>
      <c r="K11609" t="str">
        <f t="shared" si="2078"/>
        <v>802</v>
      </c>
      <c r="L11609">
        <v>369.57</v>
      </c>
    </row>
    <row r="11610" spans="1:12" x14ac:dyDescent="0.25">
      <c r="A11610" t="str">
        <f t="shared" si="2069"/>
        <v>89301000</v>
      </c>
      <c r="B11610" t="str">
        <f t="shared" si="2070"/>
        <v>06539000</v>
      </c>
      <c r="C11610" t="str">
        <f t="shared" si="2076"/>
        <v>06539002</v>
      </c>
      <c r="D11610">
        <v>89301171</v>
      </c>
      <c r="E11610" t="str">
        <f t="shared" si="2075"/>
        <v>8701144936</v>
      </c>
      <c r="F11610" s="1">
        <v>45156</v>
      </c>
      <c r="G11610" t="str">
        <f t="shared" si="2077"/>
        <v>82097</v>
      </c>
      <c r="H11610">
        <v>1</v>
      </c>
      <c r="I11610">
        <v>381</v>
      </c>
      <c r="J11610">
        <v>0</v>
      </c>
      <c r="K11610" t="str">
        <f t="shared" si="2078"/>
        <v>802</v>
      </c>
      <c r="L11610">
        <v>369.57</v>
      </c>
    </row>
    <row r="11611" spans="1:12" x14ac:dyDescent="0.25">
      <c r="A11611" t="str">
        <f t="shared" si="2069"/>
        <v>89301000</v>
      </c>
      <c r="B11611" t="str">
        <f t="shared" si="2070"/>
        <v>06539000</v>
      </c>
      <c r="C11611" t="str">
        <f t="shared" si="2076"/>
        <v>06539002</v>
      </c>
      <c r="D11611">
        <v>89301171</v>
      </c>
      <c r="E11611" t="str">
        <f t="shared" si="2075"/>
        <v>8701144936</v>
      </c>
      <c r="F11611" s="1">
        <v>45156</v>
      </c>
      <c r="G11611" t="str">
        <f t="shared" si="2077"/>
        <v>82097</v>
      </c>
      <c r="H11611">
        <v>1</v>
      </c>
      <c r="I11611">
        <v>381</v>
      </c>
      <c r="J11611">
        <v>0</v>
      </c>
      <c r="K11611" t="str">
        <f t="shared" si="2078"/>
        <v>802</v>
      </c>
      <c r="L11611">
        <v>369.57</v>
      </c>
    </row>
    <row r="11612" spans="1:12" x14ac:dyDescent="0.25">
      <c r="A11612" t="str">
        <f t="shared" si="2069"/>
        <v>89301000</v>
      </c>
      <c r="B11612" t="str">
        <f t="shared" si="2070"/>
        <v>06539000</v>
      </c>
      <c r="C11612" t="str">
        <f t="shared" si="2076"/>
        <v>06539002</v>
      </c>
      <c r="D11612">
        <v>89301171</v>
      </c>
      <c r="E11612" t="str">
        <f t="shared" si="2075"/>
        <v>8701144936</v>
      </c>
      <c r="F11612" s="1">
        <v>45156</v>
      </c>
      <c r="G11612" t="str">
        <f t="shared" si="2077"/>
        <v>82097</v>
      </c>
      <c r="H11612">
        <v>1</v>
      </c>
      <c r="I11612">
        <v>381</v>
      </c>
      <c r="J11612">
        <v>0</v>
      </c>
      <c r="K11612" t="str">
        <f t="shared" si="2078"/>
        <v>802</v>
      </c>
      <c r="L11612">
        <v>369.57</v>
      </c>
    </row>
    <row r="11613" spans="1:12" x14ac:dyDescent="0.25">
      <c r="A11613" t="str">
        <f t="shared" si="2069"/>
        <v>89301000</v>
      </c>
      <c r="B11613" t="str">
        <f t="shared" si="2070"/>
        <v>06539000</v>
      </c>
      <c r="C11613" t="str">
        <f t="shared" si="2076"/>
        <v>06539002</v>
      </c>
      <c r="D11613">
        <v>89301171</v>
      </c>
      <c r="E11613" t="str">
        <f t="shared" si="2075"/>
        <v>8701144936</v>
      </c>
      <c r="F11613" s="1">
        <v>45156</v>
      </c>
      <c r="G11613" t="str">
        <f t="shared" si="2077"/>
        <v>82097</v>
      </c>
      <c r="H11613">
        <v>1</v>
      </c>
      <c r="I11613">
        <v>381</v>
      </c>
      <c r="J11613">
        <v>0</v>
      </c>
      <c r="K11613" t="str">
        <f t="shared" si="2078"/>
        <v>802</v>
      </c>
      <c r="L11613">
        <v>369.57</v>
      </c>
    </row>
    <row r="11614" spans="1:12" x14ac:dyDescent="0.25">
      <c r="A11614" t="str">
        <f t="shared" si="2069"/>
        <v>89301000</v>
      </c>
      <c r="B11614" t="str">
        <f t="shared" si="2070"/>
        <v>06539000</v>
      </c>
      <c r="C11614" t="str">
        <f t="shared" si="2076"/>
        <v>06539002</v>
      </c>
      <c r="D11614">
        <v>89301171</v>
      </c>
      <c r="E11614" t="str">
        <f t="shared" si="2075"/>
        <v>8701144936</v>
      </c>
      <c r="F11614" s="1">
        <v>45156</v>
      </c>
      <c r="G11614" t="str">
        <f t="shared" si="2077"/>
        <v>82097</v>
      </c>
      <c r="H11614">
        <v>1</v>
      </c>
      <c r="I11614">
        <v>381</v>
      </c>
      <c r="J11614">
        <v>0</v>
      </c>
      <c r="K11614" t="str">
        <f t="shared" si="2078"/>
        <v>802</v>
      </c>
      <c r="L11614">
        <v>369.57</v>
      </c>
    </row>
    <row r="11615" spans="1:12" x14ac:dyDescent="0.25">
      <c r="A11615" t="str">
        <f t="shared" si="2069"/>
        <v>89301000</v>
      </c>
      <c r="B11615" t="str">
        <f t="shared" si="2070"/>
        <v>06539000</v>
      </c>
      <c r="C11615" t="str">
        <f t="shared" si="2076"/>
        <v>06539002</v>
      </c>
      <c r="D11615">
        <v>89301171</v>
      </c>
      <c r="E11615" t="str">
        <f t="shared" si="2075"/>
        <v>8701144936</v>
      </c>
      <c r="F11615" s="1">
        <v>45156</v>
      </c>
      <c r="G11615" t="str">
        <f t="shared" si="2077"/>
        <v>82097</v>
      </c>
      <c r="H11615">
        <v>1</v>
      </c>
      <c r="I11615">
        <v>381</v>
      </c>
      <c r="J11615">
        <v>0</v>
      </c>
      <c r="K11615" t="str">
        <f t="shared" si="2078"/>
        <v>802</v>
      </c>
      <c r="L11615">
        <v>369.57</v>
      </c>
    </row>
    <row r="11616" spans="1:12" x14ac:dyDescent="0.25">
      <c r="A11616" t="str">
        <f t="shared" si="2069"/>
        <v>89301000</v>
      </c>
      <c r="B11616" t="str">
        <f t="shared" si="2070"/>
        <v>06539000</v>
      </c>
      <c r="C11616" t="str">
        <f t="shared" ref="C11616:C11647" si="2079">"06539003"</f>
        <v>06539003</v>
      </c>
      <c r="D11616">
        <v>89301171</v>
      </c>
      <c r="E11616" t="str">
        <f t="shared" si="2075"/>
        <v>8701144936</v>
      </c>
      <c r="F11616" s="1">
        <v>45161</v>
      </c>
      <c r="G11616" t="str">
        <f t="shared" ref="G11616:G11625" si="2080">"91413"</f>
        <v>91413</v>
      </c>
      <c r="H11616">
        <v>1</v>
      </c>
      <c r="I11616">
        <v>868</v>
      </c>
      <c r="J11616">
        <v>0</v>
      </c>
      <c r="K11616" t="str">
        <f t="shared" ref="K11616:K11647" si="2081">"813"</f>
        <v>813</v>
      </c>
      <c r="L11616">
        <v>729.12</v>
      </c>
    </row>
    <row r="11617" spans="1:12" x14ac:dyDescent="0.25">
      <c r="A11617" t="str">
        <f t="shared" si="2069"/>
        <v>89301000</v>
      </c>
      <c r="B11617" t="str">
        <f t="shared" si="2070"/>
        <v>06539000</v>
      </c>
      <c r="C11617" t="str">
        <f t="shared" si="2079"/>
        <v>06539003</v>
      </c>
      <c r="D11617">
        <v>89301171</v>
      </c>
      <c r="E11617" t="str">
        <f t="shared" si="2075"/>
        <v>8701144936</v>
      </c>
      <c r="F11617" s="1">
        <v>45161</v>
      </c>
      <c r="G11617" t="str">
        <f t="shared" si="2080"/>
        <v>91413</v>
      </c>
      <c r="H11617">
        <v>1</v>
      </c>
      <c r="I11617">
        <v>868</v>
      </c>
      <c r="J11617">
        <v>0</v>
      </c>
      <c r="K11617" t="str">
        <f t="shared" si="2081"/>
        <v>813</v>
      </c>
      <c r="L11617">
        <v>729.12</v>
      </c>
    </row>
    <row r="11618" spans="1:12" x14ac:dyDescent="0.25">
      <c r="A11618" t="str">
        <f t="shared" si="2069"/>
        <v>89301000</v>
      </c>
      <c r="B11618" t="str">
        <f t="shared" si="2070"/>
        <v>06539000</v>
      </c>
      <c r="C11618" t="str">
        <f t="shared" si="2079"/>
        <v>06539003</v>
      </c>
      <c r="D11618">
        <v>89301171</v>
      </c>
      <c r="E11618" t="str">
        <f t="shared" si="2075"/>
        <v>8701144936</v>
      </c>
      <c r="F11618" s="1">
        <v>45187</v>
      </c>
      <c r="G11618" t="str">
        <f t="shared" si="2080"/>
        <v>91413</v>
      </c>
      <c r="H11618">
        <v>1</v>
      </c>
      <c r="I11618">
        <v>868</v>
      </c>
      <c r="J11618">
        <v>0</v>
      </c>
      <c r="K11618" t="str">
        <f t="shared" si="2081"/>
        <v>813</v>
      </c>
      <c r="L11618">
        <v>729.12</v>
      </c>
    </row>
    <row r="11619" spans="1:12" x14ac:dyDescent="0.25">
      <c r="A11619" t="str">
        <f t="shared" si="2069"/>
        <v>89301000</v>
      </c>
      <c r="B11619" t="str">
        <f t="shared" si="2070"/>
        <v>06539000</v>
      </c>
      <c r="C11619" t="str">
        <f t="shared" si="2079"/>
        <v>06539003</v>
      </c>
      <c r="D11619">
        <v>89301171</v>
      </c>
      <c r="E11619" t="str">
        <f t="shared" si="2075"/>
        <v>8701144936</v>
      </c>
      <c r="F11619" s="1">
        <v>45187</v>
      </c>
      <c r="G11619" t="str">
        <f t="shared" si="2080"/>
        <v>91413</v>
      </c>
      <c r="H11619">
        <v>1</v>
      </c>
      <c r="I11619">
        <v>868</v>
      </c>
      <c r="J11619">
        <v>0</v>
      </c>
      <c r="K11619" t="str">
        <f t="shared" si="2081"/>
        <v>813</v>
      </c>
      <c r="L11619">
        <v>729.12</v>
      </c>
    </row>
    <row r="11620" spans="1:12" x14ac:dyDescent="0.25">
      <c r="A11620" t="str">
        <f t="shared" si="2069"/>
        <v>89301000</v>
      </c>
      <c r="B11620" t="str">
        <f t="shared" si="2070"/>
        <v>06539000</v>
      </c>
      <c r="C11620" t="str">
        <f t="shared" si="2079"/>
        <v>06539003</v>
      </c>
      <c r="D11620">
        <v>89301171</v>
      </c>
      <c r="E11620" t="str">
        <f t="shared" si="2075"/>
        <v>8701144936</v>
      </c>
      <c r="F11620" s="1">
        <v>45182</v>
      </c>
      <c r="G11620" t="str">
        <f t="shared" si="2080"/>
        <v>91413</v>
      </c>
      <c r="H11620">
        <v>1</v>
      </c>
      <c r="I11620">
        <v>868</v>
      </c>
      <c r="J11620">
        <v>0</v>
      </c>
      <c r="K11620" t="str">
        <f t="shared" si="2081"/>
        <v>813</v>
      </c>
      <c r="L11620">
        <v>729.12</v>
      </c>
    </row>
    <row r="11621" spans="1:12" x14ac:dyDescent="0.25">
      <c r="A11621" t="str">
        <f t="shared" si="2069"/>
        <v>89301000</v>
      </c>
      <c r="B11621" t="str">
        <f t="shared" si="2070"/>
        <v>06539000</v>
      </c>
      <c r="C11621" t="str">
        <f t="shared" si="2079"/>
        <v>06539003</v>
      </c>
      <c r="D11621">
        <v>89301171</v>
      </c>
      <c r="E11621" t="str">
        <f t="shared" si="2075"/>
        <v>8701144936</v>
      </c>
      <c r="F11621" s="1">
        <v>45182</v>
      </c>
      <c r="G11621" t="str">
        <f t="shared" si="2080"/>
        <v>91413</v>
      </c>
      <c r="H11621">
        <v>1</v>
      </c>
      <c r="I11621">
        <v>868</v>
      </c>
      <c r="J11621">
        <v>0</v>
      </c>
      <c r="K11621" t="str">
        <f t="shared" si="2081"/>
        <v>813</v>
      </c>
      <c r="L11621">
        <v>729.12</v>
      </c>
    </row>
    <row r="11622" spans="1:12" x14ac:dyDescent="0.25">
      <c r="A11622" t="str">
        <f t="shared" si="2069"/>
        <v>89301000</v>
      </c>
      <c r="B11622" t="str">
        <f t="shared" si="2070"/>
        <v>06539000</v>
      </c>
      <c r="C11622" t="str">
        <f t="shared" si="2079"/>
        <v>06539003</v>
      </c>
      <c r="D11622">
        <v>89301171</v>
      </c>
      <c r="E11622" t="str">
        <f t="shared" si="2075"/>
        <v>8701144936</v>
      </c>
      <c r="F11622" s="1">
        <v>45187</v>
      </c>
      <c r="G11622" t="str">
        <f t="shared" si="2080"/>
        <v>91413</v>
      </c>
      <c r="H11622">
        <v>1</v>
      </c>
      <c r="I11622">
        <v>868</v>
      </c>
      <c r="J11622">
        <v>0</v>
      </c>
      <c r="K11622" t="str">
        <f t="shared" si="2081"/>
        <v>813</v>
      </c>
      <c r="L11622">
        <v>729.12</v>
      </c>
    </row>
    <row r="11623" spans="1:12" x14ac:dyDescent="0.25">
      <c r="A11623" t="str">
        <f t="shared" si="2069"/>
        <v>89301000</v>
      </c>
      <c r="B11623" t="str">
        <f t="shared" si="2070"/>
        <v>06539000</v>
      </c>
      <c r="C11623" t="str">
        <f t="shared" si="2079"/>
        <v>06539003</v>
      </c>
      <c r="D11623">
        <v>89301171</v>
      </c>
      <c r="E11623" t="str">
        <f t="shared" si="2075"/>
        <v>8701144936</v>
      </c>
      <c r="F11623" s="1">
        <v>45187</v>
      </c>
      <c r="G11623" t="str">
        <f t="shared" si="2080"/>
        <v>91413</v>
      </c>
      <c r="H11623">
        <v>1</v>
      </c>
      <c r="I11623">
        <v>868</v>
      </c>
      <c r="J11623">
        <v>0</v>
      </c>
      <c r="K11623" t="str">
        <f t="shared" si="2081"/>
        <v>813</v>
      </c>
      <c r="L11623">
        <v>729.12</v>
      </c>
    </row>
    <row r="11624" spans="1:12" x14ac:dyDescent="0.25">
      <c r="A11624" t="str">
        <f t="shared" si="2069"/>
        <v>89301000</v>
      </c>
      <c r="B11624" t="str">
        <f t="shared" si="2070"/>
        <v>06539000</v>
      </c>
      <c r="C11624" t="str">
        <f t="shared" si="2079"/>
        <v>06539003</v>
      </c>
      <c r="D11624">
        <v>89301171</v>
      </c>
      <c r="E11624" t="str">
        <f t="shared" si="2075"/>
        <v>8701144936</v>
      </c>
      <c r="F11624" s="1">
        <v>45187</v>
      </c>
      <c r="G11624" t="str">
        <f t="shared" si="2080"/>
        <v>91413</v>
      </c>
      <c r="H11624">
        <v>1</v>
      </c>
      <c r="I11624">
        <v>868</v>
      </c>
      <c r="J11624">
        <v>0</v>
      </c>
      <c r="K11624" t="str">
        <f t="shared" si="2081"/>
        <v>813</v>
      </c>
      <c r="L11624">
        <v>729.12</v>
      </c>
    </row>
    <row r="11625" spans="1:12" x14ac:dyDescent="0.25">
      <c r="A11625" t="str">
        <f t="shared" si="2069"/>
        <v>89301000</v>
      </c>
      <c r="B11625" t="str">
        <f t="shared" si="2070"/>
        <v>06539000</v>
      </c>
      <c r="C11625" t="str">
        <f t="shared" si="2079"/>
        <v>06539003</v>
      </c>
      <c r="D11625">
        <v>89301171</v>
      </c>
      <c r="E11625" t="str">
        <f t="shared" si="2075"/>
        <v>8701144936</v>
      </c>
      <c r="F11625" s="1">
        <v>45187</v>
      </c>
      <c r="G11625" t="str">
        <f t="shared" si="2080"/>
        <v>91413</v>
      </c>
      <c r="H11625">
        <v>1</v>
      </c>
      <c r="I11625">
        <v>868</v>
      </c>
      <c r="J11625">
        <v>0</v>
      </c>
      <c r="K11625" t="str">
        <f t="shared" si="2081"/>
        <v>813</v>
      </c>
      <c r="L11625">
        <v>729.12</v>
      </c>
    </row>
    <row r="11626" spans="1:12" x14ac:dyDescent="0.25">
      <c r="A11626" t="str">
        <f t="shared" si="2069"/>
        <v>89301000</v>
      </c>
      <c r="B11626" t="str">
        <f t="shared" si="2070"/>
        <v>06539000</v>
      </c>
      <c r="C11626" t="str">
        <f t="shared" si="2079"/>
        <v>06539003</v>
      </c>
      <c r="D11626">
        <v>89301171</v>
      </c>
      <c r="E11626" t="str">
        <f t="shared" si="2075"/>
        <v>8701144936</v>
      </c>
      <c r="F11626" s="1">
        <v>45156</v>
      </c>
      <c r="G11626" t="str">
        <f t="shared" ref="G11626:G11632" si="2082">"91197"</f>
        <v>91197</v>
      </c>
      <c r="H11626">
        <v>1</v>
      </c>
      <c r="I11626">
        <v>1048</v>
      </c>
      <c r="J11626">
        <v>0</v>
      </c>
      <c r="K11626" t="str">
        <f t="shared" si="2081"/>
        <v>813</v>
      </c>
      <c r="L11626">
        <v>880.32</v>
      </c>
    </row>
    <row r="11627" spans="1:12" x14ac:dyDescent="0.25">
      <c r="A11627" t="str">
        <f t="shared" si="2069"/>
        <v>89301000</v>
      </c>
      <c r="B11627" t="str">
        <f t="shared" ref="B11627:B11658" si="2083">"06539000"</f>
        <v>06539000</v>
      </c>
      <c r="C11627" t="str">
        <f t="shared" si="2079"/>
        <v>06539003</v>
      </c>
      <c r="D11627">
        <v>89301171</v>
      </c>
      <c r="E11627" t="str">
        <f t="shared" si="2075"/>
        <v>8701144936</v>
      </c>
      <c r="F11627" s="1">
        <v>45159</v>
      </c>
      <c r="G11627" t="str">
        <f t="shared" si="2082"/>
        <v>91197</v>
      </c>
      <c r="H11627">
        <v>1</v>
      </c>
      <c r="I11627">
        <v>1048</v>
      </c>
      <c r="J11627">
        <v>0</v>
      </c>
      <c r="K11627" t="str">
        <f t="shared" si="2081"/>
        <v>813</v>
      </c>
      <c r="L11627">
        <v>880.32</v>
      </c>
    </row>
    <row r="11628" spans="1:12" x14ac:dyDescent="0.25">
      <c r="A11628" t="str">
        <f t="shared" si="2069"/>
        <v>89301000</v>
      </c>
      <c r="B11628" t="str">
        <f t="shared" si="2083"/>
        <v>06539000</v>
      </c>
      <c r="C11628" t="str">
        <f t="shared" si="2079"/>
        <v>06539003</v>
      </c>
      <c r="D11628">
        <v>89301171</v>
      </c>
      <c r="E11628" t="str">
        <f t="shared" si="2075"/>
        <v>8701144936</v>
      </c>
      <c r="F11628" s="1">
        <v>45159</v>
      </c>
      <c r="G11628" t="str">
        <f t="shared" si="2082"/>
        <v>91197</v>
      </c>
      <c r="H11628">
        <v>1</v>
      </c>
      <c r="I11628">
        <v>1048</v>
      </c>
      <c r="J11628">
        <v>0</v>
      </c>
      <c r="K11628" t="str">
        <f t="shared" si="2081"/>
        <v>813</v>
      </c>
      <c r="L11628">
        <v>880.32</v>
      </c>
    </row>
    <row r="11629" spans="1:12" x14ac:dyDescent="0.25">
      <c r="A11629" t="str">
        <f t="shared" si="2069"/>
        <v>89301000</v>
      </c>
      <c r="B11629" t="str">
        <f t="shared" si="2083"/>
        <v>06539000</v>
      </c>
      <c r="C11629" t="str">
        <f t="shared" si="2079"/>
        <v>06539003</v>
      </c>
      <c r="D11629">
        <v>89301171</v>
      </c>
      <c r="E11629" t="str">
        <f t="shared" si="2075"/>
        <v>8701144936</v>
      </c>
      <c r="F11629" s="1">
        <v>45158</v>
      </c>
      <c r="G11629" t="str">
        <f t="shared" si="2082"/>
        <v>91197</v>
      </c>
      <c r="H11629">
        <v>1</v>
      </c>
      <c r="I11629">
        <v>1048</v>
      </c>
      <c r="J11629">
        <v>0</v>
      </c>
      <c r="K11629" t="str">
        <f t="shared" si="2081"/>
        <v>813</v>
      </c>
      <c r="L11629">
        <v>880.32</v>
      </c>
    </row>
    <row r="11630" spans="1:12" x14ac:dyDescent="0.25">
      <c r="A11630" t="str">
        <f t="shared" si="2069"/>
        <v>89301000</v>
      </c>
      <c r="B11630" t="str">
        <f t="shared" si="2083"/>
        <v>06539000</v>
      </c>
      <c r="C11630" t="str">
        <f t="shared" si="2079"/>
        <v>06539003</v>
      </c>
      <c r="D11630">
        <v>89301171</v>
      </c>
      <c r="E11630" t="str">
        <f t="shared" si="2075"/>
        <v>8701144936</v>
      </c>
      <c r="F11630" s="1">
        <v>45158</v>
      </c>
      <c r="G11630" t="str">
        <f t="shared" si="2082"/>
        <v>91197</v>
      </c>
      <c r="H11630">
        <v>1</v>
      </c>
      <c r="I11630">
        <v>1048</v>
      </c>
      <c r="J11630">
        <v>0</v>
      </c>
      <c r="K11630" t="str">
        <f t="shared" si="2081"/>
        <v>813</v>
      </c>
      <c r="L11630">
        <v>880.32</v>
      </c>
    </row>
    <row r="11631" spans="1:12" x14ac:dyDescent="0.25">
      <c r="A11631" t="str">
        <f t="shared" si="2069"/>
        <v>89301000</v>
      </c>
      <c r="B11631" t="str">
        <f t="shared" si="2083"/>
        <v>06539000</v>
      </c>
      <c r="C11631" t="str">
        <f t="shared" si="2079"/>
        <v>06539003</v>
      </c>
      <c r="D11631">
        <v>89301171</v>
      </c>
      <c r="E11631" t="str">
        <f t="shared" si="2075"/>
        <v>8701144936</v>
      </c>
      <c r="F11631" s="1">
        <v>45157</v>
      </c>
      <c r="G11631" t="str">
        <f t="shared" si="2082"/>
        <v>91197</v>
      </c>
      <c r="H11631">
        <v>1</v>
      </c>
      <c r="I11631">
        <v>1048</v>
      </c>
      <c r="J11631">
        <v>0</v>
      </c>
      <c r="K11631" t="str">
        <f t="shared" si="2081"/>
        <v>813</v>
      </c>
      <c r="L11631">
        <v>880.32</v>
      </c>
    </row>
    <row r="11632" spans="1:12" x14ac:dyDescent="0.25">
      <c r="A11632" t="str">
        <f t="shared" si="2069"/>
        <v>89301000</v>
      </c>
      <c r="B11632" t="str">
        <f t="shared" si="2083"/>
        <v>06539000</v>
      </c>
      <c r="C11632" t="str">
        <f t="shared" si="2079"/>
        <v>06539003</v>
      </c>
      <c r="D11632">
        <v>89301171</v>
      </c>
      <c r="E11632" t="str">
        <f t="shared" si="2075"/>
        <v>8701144936</v>
      </c>
      <c r="F11632" s="1">
        <v>45157</v>
      </c>
      <c r="G11632" t="str">
        <f t="shared" si="2082"/>
        <v>91197</v>
      </c>
      <c r="H11632">
        <v>1</v>
      </c>
      <c r="I11632">
        <v>1048</v>
      </c>
      <c r="J11632">
        <v>0</v>
      </c>
      <c r="K11632" t="str">
        <f t="shared" si="2081"/>
        <v>813</v>
      </c>
      <c r="L11632">
        <v>880.32</v>
      </c>
    </row>
    <row r="11633" spans="1:12" x14ac:dyDescent="0.25">
      <c r="A11633" t="str">
        <f t="shared" si="2069"/>
        <v>89301000</v>
      </c>
      <c r="B11633" t="str">
        <f t="shared" si="2083"/>
        <v>06539000</v>
      </c>
      <c r="C11633" t="str">
        <f t="shared" si="2079"/>
        <v>06539003</v>
      </c>
      <c r="D11633">
        <v>89301171</v>
      </c>
      <c r="E11633" t="str">
        <f t="shared" si="2075"/>
        <v>8701144936</v>
      </c>
      <c r="F11633" s="1">
        <v>45187</v>
      </c>
      <c r="G11633" t="str">
        <f>"91329"</f>
        <v>91329</v>
      </c>
      <c r="H11633">
        <v>2</v>
      </c>
      <c r="I11633">
        <v>436</v>
      </c>
      <c r="J11633">
        <v>0</v>
      </c>
      <c r="K11633" t="str">
        <f t="shared" si="2081"/>
        <v>813</v>
      </c>
      <c r="L11633">
        <v>366.24</v>
      </c>
    </row>
    <row r="11634" spans="1:12" x14ac:dyDescent="0.25">
      <c r="A11634" t="str">
        <f t="shared" si="2069"/>
        <v>89301000</v>
      </c>
      <c r="B11634" t="str">
        <f t="shared" si="2083"/>
        <v>06539000</v>
      </c>
      <c r="C11634" t="str">
        <f t="shared" si="2079"/>
        <v>06539003</v>
      </c>
      <c r="D11634">
        <v>89301171</v>
      </c>
      <c r="E11634" t="str">
        <f t="shared" si="2075"/>
        <v>8701144936</v>
      </c>
      <c r="F11634" s="1">
        <v>45187</v>
      </c>
      <c r="G11634" t="str">
        <f>"91329"</f>
        <v>91329</v>
      </c>
      <c r="H11634">
        <v>2</v>
      </c>
      <c r="I11634">
        <v>436</v>
      </c>
      <c r="J11634">
        <v>0</v>
      </c>
      <c r="K11634" t="str">
        <f t="shared" si="2081"/>
        <v>813</v>
      </c>
      <c r="L11634">
        <v>366.24</v>
      </c>
    </row>
    <row r="11635" spans="1:12" x14ac:dyDescent="0.25">
      <c r="A11635" t="str">
        <f t="shared" si="2069"/>
        <v>89301000</v>
      </c>
      <c r="B11635" t="str">
        <f t="shared" si="2083"/>
        <v>06539000</v>
      </c>
      <c r="C11635" t="str">
        <f t="shared" si="2079"/>
        <v>06539003</v>
      </c>
      <c r="D11635">
        <v>89301171</v>
      </c>
      <c r="E11635" t="str">
        <f t="shared" si="2075"/>
        <v>8701144936</v>
      </c>
      <c r="F11635" s="1">
        <v>45187</v>
      </c>
      <c r="G11635" t="str">
        <f>"91329"</f>
        <v>91329</v>
      </c>
      <c r="H11635">
        <v>2</v>
      </c>
      <c r="I11635">
        <v>436</v>
      </c>
      <c r="J11635">
        <v>0</v>
      </c>
      <c r="K11635" t="str">
        <f t="shared" si="2081"/>
        <v>813</v>
      </c>
      <c r="L11635">
        <v>366.24</v>
      </c>
    </row>
    <row r="11636" spans="1:12" x14ac:dyDescent="0.25">
      <c r="A11636" t="str">
        <f t="shared" si="2069"/>
        <v>89301000</v>
      </c>
      <c r="B11636" t="str">
        <f t="shared" si="2083"/>
        <v>06539000</v>
      </c>
      <c r="C11636" t="str">
        <f t="shared" si="2079"/>
        <v>06539003</v>
      </c>
      <c r="D11636">
        <v>89301171</v>
      </c>
      <c r="E11636" t="str">
        <f t="shared" si="2075"/>
        <v>8701144936</v>
      </c>
      <c r="F11636" s="1">
        <v>45187</v>
      </c>
      <c r="G11636" t="str">
        <f>"91329"</f>
        <v>91329</v>
      </c>
      <c r="H11636">
        <v>2</v>
      </c>
      <c r="I11636">
        <v>436</v>
      </c>
      <c r="J11636">
        <v>0</v>
      </c>
      <c r="K11636" t="str">
        <f t="shared" si="2081"/>
        <v>813</v>
      </c>
      <c r="L11636">
        <v>366.24</v>
      </c>
    </row>
    <row r="11637" spans="1:12" x14ac:dyDescent="0.25">
      <c r="A11637" t="str">
        <f t="shared" si="2069"/>
        <v>89301000</v>
      </c>
      <c r="B11637" t="str">
        <f t="shared" si="2083"/>
        <v>06539000</v>
      </c>
      <c r="C11637" t="str">
        <f t="shared" si="2079"/>
        <v>06539003</v>
      </c>
      <c r="D11637">
        <v>89301171</v>
      </c>
      <c r="E11637" t="str">
        <f t="shared" si="2075"/>
        <v>8701144936</v>
      </c>
      <c r="F11637" s="1">
        <v>45159</v>
      </c>
      <c r="G11637" t="str">
        <f>"91129"</f>
        <v>91129</v>
      </c>
      <c r="H11637">
        <v>1</v>
      </c>
      <c r="I11637">
        <v>175</v>
      </c>
      <c r="J11637">
        <v>0</v>
      </c>
      <c r="K11637" t="str">
        <f t="shared" si="2081"/>
        <v>813</v>
      </c>
      <c r="L11637">
        <v>147</v>
      </c>
    </row>
    <row r="11638" spans="1:12" x14ac:dyDescent="0.25">
      <c r="A11638" t="str">
        <f t="shared" si="2069"/>
        <v>89301000</v>
      </c>
      <c r="B11638" t="str">
        <f t="shared" si="2083"/>
        <v>06539000</v>
      </c>
      <c r="C11638" t="str">
        <f t="shared" si="2079"/>
        <v>06539003</v>
      </c>
      <c r="D11638">
        <v>89301171</v>
      </c>
      <c r="E11638" t="str">
        <f t="shared" si="2075"/>
        <v>8701144936</v>
      </c>
      <c r="F11638" s="1">
        <v>45159</v>
      </c>
      <c r="G11638" t="str">
        <f>"91131"</f>
        <v>91131</v>
      </c>
      <c r="H11638">
        <v>1</v>
      </c>
      <c r="I11638">
        <v>171</v>
      </c>
      <c r="J11638">
        <v>0</v>
      </c>
      <c r="K11638" t="str">
        <f t="shared" si="2081"/>
        <v>813</v>
      </c>
      <c r="L11638">
        <v>143.63999999999999</v>
      </c>
    </row>
    <row r="11639" spans="1:12" x14ac:dyDescent="0.25">
      <c r="A11639" t="str">
        <f t="shared" si="2069"/>
        <v>89301000</v>
      </c>
      <c r="B11639" t="str">
        <f t="shared" si="2083"/>
        <v>06539000</v>
      </c>
      <c r="C11639" t="str">
        <f t="shared" si="2079"/>
        <v>06539003</v>
      </c>
      <c r="D11639">
        <v>89301171</v>
      </c>
      <c r="E11639" t="str">
        <f t="shared" si="2075"/>
        <v>8701144936</v>
      </c>
      <c r="F11639" s="1">
        <v>45159</v>
      </c>
      <c r="G11639" t="str">
        <f>"91133"</f>
        <v>91133</v>
      </c>
      <c r="H11639">
        <v>1</v>
      </c>
      <c r="I11639">
        <v>177</v>
      </c>
      <c r="J11639">
        <v>0</v>
      </c>
      <c r="K11639" t="str">
        <f t="shared" si="2081"/>
        <v>813</v>
      </c>
      <c r="L11639">
        <v>148.68</v>
      </c>
    </row>
    <row r="11640" spans="1:12" x14ac:dyDescent="0.25">
      <c r="A11640" t="str">
        <f t="shared" si="2069"/>
        <v>89301000</v>
      </c>
      <c r="B11640" t="str">
        <f t="shared" si="2083"/>
        <v>06539000</v>
      </c>
      <c r="C11640" t="str">
        <f t="shared" si="2079"/>
        <v>06539003</v>
      </c>
      <c r="D11640">
        <v>89301171</v>
      </c>
      <c r="E11640" t="str">
        <f t="shared" si="2075"/>
        <v>8701144936</v>
      </c>
      <c r="F11640" s="1">
        <v>45159</v>
      </c>
      <c r="G11640" t="str">
        <f>"91171"</f>
        <v>91171</v>
      </c>
      <c r="H11640">
        <v>1</v>
      </c>
      <c r="I11640">
        <v>362</v>
      </c>
      <c r="J11640">
        <v>0</v>
      </c>
      <c r="K11640" t="str">
        <f t="shared" si="2081"/>
        <v>813</v>
      </c>
      <c r="L11640">
        <v>304.08</v>
      </c>
    </row>
    <row r="11641" spans="1:12" x14ac:dyDescent="0.25">
      <c r="A11641" t="str">
        <f t="shared" si="2069"/>
        <v>89301000</v>
      </c>
      <c r="B11641" t="str">
        <f t="shared" si="2083"/>
        <v>06539000</v>
      </c>
      <c r="C11641" t="str">
        <f t="shared" si="2079"/>
        <v>06539003</v>
      </c>
      <c r="D11641">
        <v>89301171</v>
      </c>
      <c r="E11641" t="str">
        <f t="shared" si="2075"/>
        <v>8701144936</v>
      </c>
      <c r="F11641" s="1">
        <v>45156</v>
      </c>
      <c r="G11641" t="str">
        <f>"91173"</f>
        <v>91173</v>
      </c>
      <c r="H11641">
        <v>1</v>
      </c>
      <c r="I11641">
        <v>337</v>
      </c>
      <c r="J11641">
        <v>0</v>
      </c>
      <c r="K11641" t="str">
        <f t="shared" si="2081"/>
        <v>813</v>
      </c>
      <c r="L11641">
        <v>283.08</v>
      </c>
    </row>
    <row r="11642" spans="1:12" x14ac:dyDescent="0.25">
      <c r="A11642" t="str">
        <f t="shared" si="2069"/>
        <v>89301000</v>
      </c>
      <c r="B11642" t="str">
        <f t="shared" si="2083"/>
        <v>06539000</v>
      </c>
      <c r="C11642" t="str">
        <f t="shared" si="2079"/>
        <v>06539003</v>
      </c>
      <c r="D11642">
        <v>89301171</v>
      </c>
      <c r="E11642" t="str">
        <f t="shared" si="2075"/>
        <v>8701144936</v>
      </c>
      <c r="F11642" s="1">
        <v>45159</v>
      </c>
      <c r="G11642" t="str">
        <f>"91175"</f>
        <v>91175</v>
      </c>
      <c r="H11642">
        <v>1</v>
      </c>
      <c r="I11642">
        <v>362</v>
      </c>
      <c r="J11642">
        <v>0</v>
      </c>
      <c r="K11642" t="str">
        <f t="shared" si="2081"/>
        <v>813</v>
      </c>
      <c r="L11642">
        <v>304.08</v>
      </c>
    </row>
    <row r="11643" spans="1:12" x14ac:dyDescent="0.25">
      <c r="A11643" t="str">
        <f t="shared" si="2069"/>
        <v>89301000</v>
      </c>
      <c r="B11643" t="str">
        <f t="shared" si="2083"/>
        <v>06539000</v>
      </c>
      <c r="C11643" t="str">
        <f t="shared" si="2079"/>
        <v>06539003</v>
      </c>
      <c r="D11643">
        <v>89301171</v>
      </c>
      <c r="E11643" t="str">
        <f t="shared" si="2075"/>
        <v>8701144936</v>
      </c>
      <c r="F11643" s="1">
        <v>45157</v>
      </c>
      <c r="G11643" t="str">
        <f>"91167"</f>
        <v>91167</v>
      </c>
      <c r="H11643">
        <v>1</v>
      </c>
      <c r="I11643">
        <v>426</v>
      </c>
      <c r="J11643">
        <v>0</v>
      </c>
      <c r="K11643" t="str">
        <f t="shared" si="2081"/>
        <v>813</v>
      </c>
      <c r="L11643">
        <v>357.84</v>
      </c>
    </row>
    <row r="11644" spans="1:12" x14ac:dyDescent="0.25">
      <c r="A11644" t="str">
        <f t="shared" si="2069"/>
        <v>89301000</v>
      </c>
      <c r="B11644" t="str">
        <f t="shared" si="2083"/>
        <v>06539000</v>
      </c>
      <c r="C11644" t="str">
        <f t="shared" si="2079"/>
        <v>06539003</v>
      </c>
      <c r="D11644">
        <v>89301171</v>
      </c>
      <c r="E11644" t="str">
        <f t="shared" si="2075"/>
        <v>8701144936</v>
      </c>
      <c r="F11644" s="1">
        <v>45157</v>
      </c>
      <c r="G11644" t="str">
        <f>"91169"</f>
        <v>91169</v>
      </c>
      <c r="H11644">
        <v>1</v>
      </c>
      <c r="I11644">
        <v>426</v>
      </c>
      <c r="J11644">
        <v>0</v>
      </c>
      <c r="K11644" t="str">
        <f t="shared" si="2081"/>
        <v>813</v>
      </c>
      <c r="L11644">
        <v>357.84</v>
      </c>
    </row>
    <row r="11645" spans="1:12" x14ac:dyDescent="0.25">
      <c r="A11645" t="str">
        <f t="shared" si="2069"/>
        <v>89301000</v>
      </c>
      <c r="B11645" t="str">
        <f t="shared" si="2083"/>
        <v>06539000</v>
      </c>
      <c r="C11645" t="str">
        <f t="shared" si="2079"/>
        <v>06539003</v>
      </c>
      <c r="D11645">
        <v>89301171</v>
      </c>
      <c r="E11645" t="str">
        <f t="shared" si="2075"/>
        <v>8701144936</v>
      </c>
      <c r="F11645" s="1">
        <v>45156</v>
      </c>
      <c r="G11645" t="str">
        <f>"91167"</f>
        <v>91167</v>
      </c>
      <c r="H11645">
        <v>1</v>
      </c>
      <c r="I11645">
        <v>426</v>
      </c>
      <c r="J11645">
        <v>0</v>
      </c>
      <c r="K11645" t="str">
        <f t="shared" si="2081"/>
        <v>813</v>
      </c>
      <c r="L11645">
        <v>357.84</v>
      </c>
    </row>
    <row r="11646" spans="1:12" x14ac:dyDescent="0.25">
      <c r="A11646" t="str">
        <f t="shared" si="2069"/>
        <v>89301000</v>
      </c>
      <c r="B11646" t="str">
        <f t="shared" si="2083"/>
        <v>06539000</v>
      </c>
      <c r="C11646" t="str">
        <f t="shared" si="2079"/>
        <v>06539003</v>
      </c>
      <c r="D11646">
        <v>89301171</v>
      </c>
      <c r="E11646" t="str">
        <f t="shared" si="2075"/>
        <v>8701144936</v>
      </c>
      <c r="F11646" s="1">
        <v>45156</v>
      </c>
      <c r="G11646" t="str">
        <f>"91169"</f>
        <v>91169</v>
      </c>
      <c r="H11646">
        <v>1</v>
      </c>
      <c r="I11646">
        <v>426</v>
      </c>
      <c r="J11646">
        <v>0</v>
      </c>
      <c r="K11646" t="str">
        <f t="shared" si="2081"/>
        <v>813</v>
      </c>
      <c r="L11646">
        <v>357.84</v>
      </c>
    </row>
    <row r="11647" spans="1:12" x14ac:dyDescent="0.25">
      <c r="A11647" t="str">
        <f t="shared" si="2069"/>
        <v>89301000</v>
      </c>
      <c r="B11647" t="str">
        <f t="shared" si="2083"/>
        <v>06539000</v>
      </c>
      <c r="C11647" t="str">
        <f t="shared" si="2079"/>
        <v>06539003</v>
      </c>
      <c r="D11647">
        <v>89301171</v>
      </c>
      <c r="E11647" t="str">
        <f t="shared" si="2075"/>
        <v>8701144936</v>
      </c>
      <c r="F11647" s="1">
        <v>45161</v>
      </c>
      <c r="G11647" t="str">
        <f>"91475"</f>
        <v>91475</v>
      </c>
      <c r="H11647">
        <v>1</v>
      </c>
      <c r="I11647">
        <v>213</v>
      </c>
      <c r="J11647">
        <v>0</v>
      </c>
      <c r="K11647" t="str">
        <f t="shared" si="2081"/>
        <v>813</v>
      </c>
      <c r="L11647">
        <v>178.92</v>
      </c>
    </row>
    <row r="11648" spans="1:12" x14ac:dyDescent="0.25">
      <c r="A11648" t="str">
        <f t="shared" si="2069"/>
        <v>89301000</v>
      </c>
      <c r="B11648" t="str">
        <f t="shared" si="2083"/>
        <v>06539000</v>
      </c>
      <c r="C11648" t="str">
        <f>"06539001"</f>
        <v>06539001</v>
      </c>
      <c r="D11648">
        <v>89301103</v>
      </c>
      <c r="E11648" t="str">
        <f t="shared" ref="E11648:E11679" si="2084">"1404090270"</f>
        <v>1404090270</v>
      </c>
      <c r="F11648" s="1">
        <v>45163</v>
      </c>
      <c r="G11648" t="str">
        <f>"81329"</f>
        <v>81329</v>
      </c>
      <c r="H11648">
        <v>1</v>
      </c>
      <c r="I11648">
        <v>17</v>
      </c>
      <c r="J11648">
        <v>0</v>
      </c>
      <c r="K11648" t="str">
        <f>"801"</f>
        <v>801</v>
      </c>
      <c r="L11648">
        <v>14.28</v>
      </c>
    </row>
    <row r="11649" spans="1:12" x14ac:dyDescent="0.25">
      <c r="A11649" t="str">
        <f t="shared" si="2069"/>
        <v>89301000</v>
      </c>
      <c r="B11649" t="str">
        <f t="shared" si="2083"/>
        <v>06539000</v>
      </c>
      <c r="C11649" t="str">
        <f>"06539001"</f>
        <v>06539001</v>
      </c>
      <c r="D11649">
        <v>89301103</v>
      </c>
      <c r="E11649" t="str">
        <f t="shared" si="2084"/>
        <v>1404090270</v>
      </c>
      <c r="F11649" s="1">
        <v>45156</v>
      </c>
      <c r="G11649" t="str">
        <f>"81331"</f>
        <v>81331</v>
      </c>
      <c r="H11649">
        <v>1</v>
      </c>
      <c r="I11649">
        <v>193</v>
      </c>
      <c r="J11649">
        <v>0</v>
      </c>
      <c r="K11649" t="str">
        <f>"801"</f>
        <v>801</v>
      </c>
      <c r="L11649">
        <v>162.12</v>
      </c>
    </row>
    <row r="11650" spans="1:12" x14ac:dyDescent="0.25">
      <c r="A11650" t="str">
        <f t="shared" ref="A11650:A11713" si="2085">"89301000"</f>
        <v>89301000</v>
      </c>
      <c r="B11650" t="str">
        <f t="shared" si="2083"/>
        <v>06539000</v>
      </c>
      <c r="C11650" t="str">
        <f t="shared" ref="C11650:C11682" si="2086">"06539002"</f>
        <v>06539002</v>
      </c>
      <c r="D11650">
        <v>89301103</v>
      </c>
      <c r="E11650" t="str">
        <f t="shared" si="2084"/>
        <v>1404090270</v>
      </c>
      <c r="F11650" s="1">
        <v>45156</v>
      </c>
      <c r="G11650" t="str">
        <f>"82041"</f>
        <v>82041</v>
      </c>
      <c r="H11650">
        <v>1</v>
      </c>
      <c r="I11650">
        <v>1096</v>
      </c>
      <c r="J11650">
        <v>0</v>
      </c>
      <c r="K11650" t="str">
        <f t="shared" ref="K11650:K11682" si="2087">"802"</f>
        <v>802</v>
      </c>
      <c r="L11650">
        <v>1063.1199999999999</v>
      </c>
    </row>
    <row r="11651" spans="1:12" x14ac:dyDescent="0.25">
      <c r="A11651" t="str">
        <f t="shared" si="2085"/>
        <v>89301000</v>
      </c>
      <c r="B11651" t="str">
        <f t="shared" si="2083"/>
        <v>06539000</v>
      </c>
      <c r="C11651" t="str">
        <f t="shared" si="2086"/>
        <v>06539002</v>
      </c>
      <c r="D11651">
        <v>89301103</v>
      </c>
      <c r="E11651" t="str">
        <f t="shared" si="2084"/>
        <v>1404090270</v>
      </c>
      <c r="F11651" s="1">
        <v>45156</v>
      </c>
      <c r="G11651" t="str">
        <f>"82034"</f>
        <v>82034</v>
      </c>
      <c r="H11651">
        <v>1</v>
      </c>
      <c r="I11651">
        <v>354</v>
      </c>
      <c r="J11651">
        <v>0</v>
      </c>
      <c r="K11651" t="str">
        <f t="shared" si="2087"/>
        <v>802</v>
      </c>
      <c r="L11651">
        <v>343.38</v>
      </c>
    </row>
    <row r="11652" spans="1:12" x14ac:dyDescent="0.25">
      <c r="A11652" t="str">
        <f t="shared" si="2085"/>
        <v>89301000</v>
      </c>
      <c r="B11652" t="str">
        <f t="shared" si="2083"/>
        <v>06539000</v>
      </c>
      <c r="C11652" t="str">
        <f t="shared" si="2086"/>
        <v>06539002</v>
      </c>
      <c r="D11652">
        <v>89301103</v>
      </c>
      <c r="E11652" t="str">
        <f t="shared" si="2084"/>
        <v>1404090270</v>
      </c>
      <c r="F11652" s="1">
        <v>45156</v>
      </c>
      <c r="G11652" t="str">
        <f t="shared" ref="G11652:G11667" si="2088">"82097"</f>
        <v>82097</v>
      </c>
      <c r="H11652">
        <v>1</v>
      </c>
      <c r="I11652">
        <v>381</v>
      </c>
      <c r="J11652">
        <v>0</v>
      </c>
      <c r="K11652" t="str">
        <f t="shared" si="2087"/>
        <v>802</v>
      </c>
      <c r="L11652">
        <v>369.57</v>
      </c>
    </row>
    <row r="11653" spans="1:12" x14ac:dyDescent="0.25">
      <c r="A11653" t="str">
        <f t="shared" si="2085"/>
        <v>89301000</v>
      </c>
      <c r="B11653" t="str">
        <f t="shared" si="2083"/>
        <v>06539000</v>
      </c>
      <c r="C11653" t="str">
        <f t="shared" si="2086"/>
        <v>06539002</v>
      </c>
      <c r="D11653">
        <v>89301103</v>
      </c>
      <c r="E11653" t="str">
        <f t="shared" si="2084"/>
        <v>1404090270</v>
      </c>
      <c r="F11653" s="1">
        <v>45156</v>
      </c>
      <c r="G11653" t="str">
        <f t="shared" si="2088"/>
        <v>82097</v>
      </c>
      <c r="H11653">
        <v>1</v>
      </c>
      <c r="I11653">
        <v>381</v>
      </c>
      <c r="J11653">
        <v>0</v>
      </c>
      <c r="K11653" t="str">
        <f t="shared" si="2087"/>
        <v>802</v>
      </c>
      <c r="L11653">
        <v>369.57</v>
      </c>
    </row>
    <row r="11654" spans="1:12" x14ac:dyDescent="0.25">
      <c r="A11654" t="str">
        <f t="shared" si="2085"/>
        <v>89301000</v>
      </c>
      <c r="B11654" t="str">
        <f t="shared" si="2083"/>
        <v>06539000</v>
      </c>
      <c r="C11654" t="str">
        <f t="shared" si="2086"/>
        <v>06539002</v>
      </c>
      <c r="D11654">
        <v>89301103</v>
      </c>
      <c r="E11654" t="str">
        <f t="shared" si="2084"/>
        <v>1404090270</v>
      </c>
      <c r="F11654" s="1">
        <v>45156</v>
      </c>
      <c r="G11654" t="str">
        <f t="shared" si="2088"/>
        <v>82097</v>
      </c>
      <c r="H11654">
        <v>1</v>
      </c>
      <c r="I11654">
        <v>381</v>
      </c>
      <c r="J11654">
        <v>0</v>
      </c>
      <c r="K11654" t="str">
        <f t="shared" si="2087"/>
        <v>802</v>
      </c>
      <c r="L11654">
        <v>369.57</v>
      </c>
    </row>
    <row r="11655" spans="1:12" x14ac:dyDescent="0.25">
      <c r="A11655" t="str">
        <f t="shared" si="2085"/>
        <v>89301000</v>
      </c>
      <c r="B11655" t="str">
        <f t="shared" si="2083"/>
        <v>06539000</v>
      </c>
      <c r="C11655" t="str">
        <f t="shared" si="2086"/>
        <v>06539002</v>
      </c>
      <c r="D11655">
        <v>89301103</v>
      </c>
      <c r="E11655" t="str">
        <f t="shared" si="2084"/>
        <v>1404090270</v>
      </c>
      <c r="F11655" s="1">
        <v>45156</v>
      </c>
      <c r="G11655" t="str">
        <f t="shared" si="2088"/>
        <v>82097</v>
      </c>
      <c r="H11655">
        <v>1</v>
      </c>
      <c r="I11655">
        <v>381</v>
      </c>
      <c r="J11655">
        <v>0</v>
      </c>
      <c r="K11655" t="str">
        <f t="shared" si="2087"/>
        <v>802</v>
      </c>
      <c r="L11655">
        <v>369.57</v>
      </c>
    </row>
    <row r="11656" spans="1:12" x14ac:dyDescent="0.25">
      <c r="A11656" t="str">
        <f t="shared" si="2085"/>
        <v>89301000</v>
      </c>
      <c r="B11656" t="str">
        <f t="shared" si="2083"/>
        <v>06539000</v>
      </c>
      <c r="C11656" t="str">
        <f t="shared" si="2086"/>
        <v>06539002</v>
      </c>
      <c r="D11656">
        <v>89301103</v>
      </c>
      <c r="E11656" t="str">
        <f t="shared" si="2084"/>
        <v>1404090270</v>
      </c>
      <c r="F11656" s="1">
        <v>45156</v>
      </c>
      <c r="G11656" t="str">
        <f t="shared" si="2088"/>
        <v>82097</v>
      </c>
      <c r="H11656">
        <v>1</v>
      </c>
      <c r="I11656">
        <v>381</v>
      </c>
      <c r="J11656">
        <v>0</v>
      </c>
      <c r="K11656" t="str">
        <f t="shared" si="2087"/>
        <v>802</v>
      </c>
      <c r="L11656">
        <v>369.57</v>
      </c>
    </row>
    <row r="11657" spans="1:12" x14ac:dyDescent="0.25">
      <c r="A11657" t="str">
        <f t="shared" si="2085"/>
        <v>89301000</v>
      </c>
      <c r="B11657" t="str">
        <f t="shared" si="2083"/>
        <v>06539000</v>
      </c>
      <c r="C11657" t="str">
        <f t="shared" si="2086"/>
        <v>06539002</v>
      </c>
      <c r="D11657">
        <v>89301103</v>
      </c>
      <c r="E11657" t="str">
        <f t="shared" si="2084"/>
        <v>1404090270</v>
      </c>
      <c r="F11657" s="1">
        <v>45156</v>
      </c>
      <c r="G11657" t="str">
        <f t="shared" si="2088"/>
        <v>82097</v>
      </c>
      <c r="H11657">
        <v>1</v>
      </c>
      <c r="I11657">
        <v>381</v>
      </c>
      <c r="J11657">
        <v>0</v>
      </c>
      <c r="K11657" t="str">
        <f t="shared" si="2087"/>
        <v>802</v>
      </c>
      <c r="L11657">
        <v>369.57</v>
      </c>
    </row>
    <row r="11658" spans="1:12" x14ac:dyDescent="0.25">
      <c r="A11658" t="str">
        <f t="shared" si="2085"/>
        <v>89301000</v>
      </c>
      <c r="B11658" t="str">
        <f t="shared" si="2083"/>
        <v>06539000</v>
      </c>
      <c r="C11658" t="str">
        <f t="shared" si="2086"/>
        <v>06539002</v>
      </c>
      <c r="D11658">
        <v>89301103</v>
      </c>
      <c r="E11658" t="str">
        <f t="shared" si="2084"/>
        <v>1404090270</v>
      </c>
      <c r="F11658" s="1">
        <v>45156</v>
      </c>
      <c r="G11658" t="str">
        <f t="shared" si="2088"/>
        <v>82097</v>
      </c>
      <c r="H11658">
        <v>1</v>
      </c>
      <c r="I11658">
        <v>381</v>
      </c>
      <c r="J11658">
        <v>0</v>
      </c>
      <c r="K11658" t="str">
        <f t="shared" si="2087"/>
        <v>802</v>
      </c>
      <c r="L11658">
        <v>369.57</v>
      </c>
    </row>
    <row r="11659" spans="1:12" x14ac:dyDescent="0.25">
      <c r="A11659" t="str">
        <f t="shared" si="2085"/>
        <v>89301000</v>
      </c>
      <c r="B11659" t="str">
        <f t="shared" ref="B11659:B11690" si="2089">"06539000"</f>
        <v>06539000</v>
      </c>
      <c r="C11659" t="str">
        <f t="shared" si="2086"/>
        <v>06539002</v>
      </c>
      <c r="D11659">
        <v>89301103</v>
      </c>
      <c r="E11659" t="str">
        <f t="shared" si="2084"/>
        <v>1404090270</v>
      </c>
      <c r="F11659" s="1">
        <v>45156</v>
      </c>
      <c r="G11659" t="str">
        <f t="shared" si="2088"/>
        <v>82097</v>
      </c>
      <c r="H11659">
        <v>1</v>
      </c>
      <c r="I11659">
        <v>381</v>
      </c>
      <c r="J11659">
        <v>0</v>
      </c>
      <c r="K11659" t="str">
        <f t="shared" si="2087"/>
        <v>802</v>
      </c>
      <c r="L11659">
        <v>369.57</v>
      </c>
    </row>
    <row r="11660" spans="1:12" x14ac:dyDescent="0.25">
      <c r="A11660" t="str">
        <f t="shared" si="2085"/>
        <v>89301000</v>
      </c>
      <c r="B11660" t="str">
        <f t="shared" si="2089"/>
        <v>06539000</v>
      </c>
      <c r="C11660" t="str">
        <f t="shared" si="2086"/>
        <v>06539002</v>
      </c>
      <c r="D11660">
        <v>89301103</v>
      </c>
      <c r="E11660" t="str">
        <f t="shared" si="2084"/>
        <v>1404090270</v>
      </c>
      <c r="F11660" s="1">
        <v>45156</v>
      </c>
      <c r="G11660" t="str">
        <f t="shared" si="2088"/>
        <v>82097</v>
      </c>
      <c r="H11660">
        <v>1</v>
      </c>
      <c r="I11660">
        <v>381</v>
      </c>
      <c r="J11660">
        <v>0</v>
      </c>
      <c r="K11660" t="str">
        <f t="shared" si="2087"/>
        <v>802</v>
      </c>
      <c r="L11660">
        <v>369.57</v>
      </c>
    </row>
    <row r="11661" spans="1:12" x14ac:dyDescent="0.25">
      <c r="A11661" t="str">
        <f t="shared" si="2085"/>
        <v>89301000</v>
      </c>
      <c r="B11661" t="str">
        <f t="shared" si="2089"/>
        <v>06539000</v>
      </c>
      <c r="C11661" t="str">
        <f t="shared" si="2086"/>
        <v>06539002</v>
      </c>
      <c r="D11661">
        <v>89301103</v>
      </c>
      <c r="E11661" t="str">
        <f t="shared" si="2084"/>
        <v>1404090270</v>
      </c>
      <c r="F11661" s="1">
        <v>45156</v>
      </c>
      <c r="G11661" t="str">
        <f t="shared" si="2088"/>
        <v>82097</v>
      </c>
      <c r="H11661">
        <v>1</v>
      </c>
      <c r="I11661">
        <v>381</v>
      </c>
      <c r="J11661">
        <v>0</v>
      </c>
      <c r="K11661" t="str">
        <f t="shared" si="2087"/>
        <v>802</v>
      </c>
      <c r="L11661">
        <v>369.57</v>
      </c>
    </row>
    <row r="11662" spans="1:12" x14ac:dyDescent="0.25">
      <c r="A11662" t="str">
        <f t="shared" si="2085"/>
        <v>89301000</v>
      </c>
      <c r="B11662" t="str">
        <f t="shared" si="2089"/>
        <v>06539000</v>
      </c>
      <c r="C11662" t="str">
        <f t="shared" si="2086"/>
        <v>06539002</v>
      </c>
      <c r="D11662">
        <v>89301103</v>
      </c>
      <c r="E11662" t="str">
        <f t="shared" si="2084"/>
        <v>1404090270</v>
      </c>
      <c r="F11662" s="1">
        <v>45156</v>
      </c>
      <c r="G11662" t="str">
        <f t="shared" si="2088"/>
        <v>82097</v>
      </c>
      <c r="H11662">
        <v>1</v>
      </c>
      <c r="I11662">
        <v>381</v>
      </c>
      <c r="J11662">
        <v>0</v>
      </c>
      <c r="K11662" t="str">
        <f t="shared" si="2087"/>
        <v>802</v>
      </c>
      <c r="L11662">
        <v>369.57</v>
      </c>
    </row>
    <row r="11663" spans="1:12" x14ac:dyDescent="0.25">
      <c r="A11663" t="str">
        <f t="shared" si="2085"/>
        <v>89301000</v>
      </c>
      <c r="B11663" t="str">
        <f t="shared" si="2089"/>
        <v>06539000</v>
      </c>
      <c r="C11663" t="str">
        <f t="shared" si="2086"/>
        <v>06539002</v>
      </c>
      <c r="D11663">
        <v>89301103</v>
      </c>
      <c r="E11663" t="str">
        <f t="shared" si="2084"/>
        <v>1404090270</v>
      </c>
      <c r="F11663" s="1">
        <v>45156</v>
      </c>
      <c r="G11663" t="str">
        <f t="shared" si="2088"/>
        <v>82097</v>
      </c>
      <c r="H11663">
        <v>1</v>
      </c>
      <c r="I11663">
        <v>381</v>
      </c>
      <c r="J11663">
        <v>0</v>
      </c>
      <c r="K11663" t="str">
        <f t="shared" si="2087"/>
        <v>802</v>
      </c>
      <c r="L11663">
        <v>369.57</v>
      </c>
    </row>
    <row r="11664" spans="1:12" x14ac:dyDescent="0.25">
      <c r="A11664" t="str">
        <f t="shared" si="2085"/>
        <v>89301000</v>
      </c>
      <c r="B11664" t="str">
        <f t="shared" si="2089"/>
        <v>06539000</v>
      </c>
      <c r="C11664" t="str">
        <f t="shared" si="2086"/>
        <v>06539002</v>
      </c>
      <c r="D11664">
        <v>89301103</v>
      </c>
      <c r="E11664" t="str">
        <f t="shared" si="2084"/>
        <v>1404090270</v>
      </c>
      <c r="F11664" s="1">
        <v>45156</v>
      </c>
      <c r="G11664" t="str">
        <f t="shared" si="2088"/>
        <v>82097</v>
      </c>
      <c r="H11664">
        <v>1</v>
      </c>
      <c r="I11664">
        <v>381</v>
      </c>
      <c r="J11664">
        <v>0</v>
      </c>
      <c r="K11664" t="str">
        <f t="shared" si="2087"/>
        <v>802</v>
      </c>
      <c r="L11664">
        <v>369.57</v>
      </c>
    </row>
    <row r="11665" spans="1:12" x14ac:dyDescent="0.25">
      <c r="A11665" t="str">
        <f t="shared" si="2085"/>
        <v>89301000</v>
      </c>
      <c r="B11665" t="str">
        <f t="shared" si="2089"/>
        <v>06539000</v>
      </c>
      <c r="C11665" t="str">
        <f t="shared" si="2086"/>
        <v>06539002</v>
      </c>
      <c r="D11665">
        <v>89301103</v>
      </c>
      <c r="E11665" t="str">
        <f t="shared" si="2084"/>
        <v>1404090270</v>
      </c>
      <c r="F11665" s="1">
        <v>45156</v>
      </c>
      <c r="G11665" t="str">
        <f t="shared" si="2088"/>
        <v>82097</v>
      </c>
      <c r="H11665">
        <v>1</v>
      </c>
      <c r="I11665">
        <v>381</v>
      </c>
      <c r="J11665">
        <v>0</v>
      </c>
      <c r="K11665" t="str">
        <f t="shared" si="2087"/>
        <v>802</v>
      </c>
      <c r="L11665">
        <v>369.57</v>
      </c>
    </row>
    <row r="11666" spans="1:12" x14ac:dyDescent="0.25">
      <c r="A11666" t="str">
        <f t="shared" si="2085"/>
        <v>89301000</v>
      </c>
      <c r="B11666" t="str">
        <f t="shared" si="2089"/>
        <v>06539000</v>
      </c>
      <c r="C11666" t="str">
        <f t="shared" si="2086"/>
        <v>06539002</v>
      </c>
      <c r="D11666">
        <v>89301103</v>
      </c>
      <c r="E11666" t="str">
        <f t="shared" si="2084"/>
        <v>1404090270</v>
      </c>
      <c r="F11666" s="1">
        <v>45156</v>
      </c>
      <c r="G11666" t="str">
        <f t="shared" si="2088"/>
        <v>82097</v>
      </c>
      <c r="H11666">
        <v>1</v>
      </c>
      <c r="I11666">
        <v>381</v>
      </c>
      <c r="J11666">
        <v>0</v>
      </c>
      <c r="K11666" t="str">
        <f t="shared" si="2087"/>
        <v>802</v>
      </c>
      <c r="L11666">
        <v>369.57</v>
      </c>
    </row>
    <row r="11667" spans="1:12" x14ac:dyDescent="0.25">
      <c r="A11667" t="str">
        <f t="shared" si="2085"/>
        <v>89301000</v>
      </c>
      <c r="B11667" t="str">
        <f t="shared" si="2089"/>
        <v>06539000</v>
      </c>
      <c r="C11667" t="str">
        <f t="shared" si="2086"/>
        <v>06539002</v>
      </c>
      <c r="D11667">
        <v>89301103</v>
      </c>
      <c r="E11667" t="str">
        <f t="shared" si="2084"/>
        <v>1404090270</v>
      </c>
      <c r="F11667" s="1">
        <v>45156</v>
      </c>
      <c r="G11667" t="str">
        <f t="shared" si="2088"/>
        <v>82097</v>
      </c>
      <c r="H11667">
        <v>1</v>
      </c>
      <c r="I11667">
        <v>381</v>
      </c>
      <c r="J11667">
        <v>0</v>
      </c>
      <c r="K11667" t="str">
        <f t="shared" si="2087"/>
        <v>802</v>
      </c>
      <c r="L11667">
        <v>369.57</v>
      </c>
    </row>
    <row r="11668" spans="1:12" x14ac:dyDescent="0.25">
      <c r="A11668" t="str">
        <f t="shared" si="2085"/>
        <v>89301000</v>
      </c>
      <c r="B11668" t="str">
        <f t="shared" si="2089"/>
        <v>06539000</v>
      </c>
      <c r="C11668" t="str">
        <f t="shared" si="2086"/>
        <v>06539002</v>
      </c>
      <c r="D11668">
        <v>89301103</v>
      </c>
      <c r="E11668" t="str">
        <f t="shared" si="2084"/>
        <v>1404090270</v>
      </c>
      <c r="F11668" s="1">
        <v>45156</v>
      </c>
      <c r="G11668" t="str">
        <f>"82077"</f>
        <v>82077</v>
      </c>
      <c r="H11668">
        <v>1</v>
      </c>
      <c r="I11668">
        <v>351</v>
      </c>
      <c r="J11668">
        <v>0</v>
      </c>
      <c r="K11668" t="str">
        <f t="shared" si="2087"/>
        <v>802</v>
      </c>
      <c r="L11668">
        <v>340.47</v>
      </c>
    </row>
    <row r="11669" spans="1:12" x14ac:dyDescent="0.25">
      <c r="A11669" t="str">
        <f t="shared" si="2085"/>
        <v>89301000</v>
      </c>
      <c r="B11669" t="str">
        <f t="shared" si="2089"/>
        <v>06539000</v>
      </c>
      <c r="C11669" t="str">
        <f t="shared" si="2086"/>
        <v>06539002</v>
      </c>
      <c r="D11669">
        <v>89301103</v>
      </c>
      <c r="E11669" t="str">
        <f t="shared" si="2084"/>
        <v>1404090270</v>
      </c>
      <c r="F11669" s="1">
        <v>45156</v>
      </c>
      <c r="G11669" t="str">
        <f t="shared" ref="G11669:G11682" si="2090">"82097"</f>
        <v>82097</v>
      </c>
      <c r="H11669">
        <v>1</v>
      </c>
      <c r="I11669">
        <v>381</v>
      </c>
      <c r="J11669">
        <v>0</v>
      </c>
      <c r="K11669" t="str">
        <f t="shared" si="2087"/>
        <v>802</v>
      </c>
      <c r="L11669">
        <v>369.57</v>
      </c>
    </row>
    <row r="11670" spans="1:12" x14ac:dyDescent="0.25">
      <c r="A11670" t="str">
        <f t="shared" si="2085"/>
        <v>89301000</v>
      </c>
      <c r="B11670" t="str">
        <f t="shared" si="2089"/>
        <v>06539000</v>
      </c>
      <c r="C11670" t="str">
        <f t="shared" si="2086"/>
        <v>06539002</v>
      </c>
      <c r="D11670">
        <v>89301103</v>
      </c>
      <c r="E11670" t="str">
        <f t="shared" si="2084"/>
        <v>1404090270</v>
      </c>
      <c r="F11670" s="1">
        <v>45156</v>
      </c>
      <c r="G11670" t="str">
        <f t="shared" si="2090"/>
        <v>82097</v>
      </c>
      <c r="H11670">
        <v>1</v>
      </c>
      <c r="I11670">
        <v>381</v>
      </c>
      <c r="J11670">
        <v>0</v>
      </c>
      <c r="K11670" t="str">
        <f t="shared" si="2087"/>
        <v>802</v>
      </c>
      <c r="L11670">
        <v>369.57</v>
      </c>
    </row>
    <row r="11671" spans="1:12" x14ac:dyDescent="0.25">
      <c r="A11671" t="str">
        <f t="shared" si="2085"/>
        <v>89301000</v>
      </c>
      <c r="B11671" t="str">
        <f t="shared" si="2089"/>
        <v>06539000</v>
      </c>
      <c r="C11671" t="str">
        <f t="shared" si="2086"/>
        <v>06539002</v>
      </c>
      <c r="D11671">
        <v>89301103</v>
      </c>
      <c r="E11671" t="str">
        <f t="shared" si="2084"/>
        <v>1404090270</v>
      </c>
      <c r="F11671" s="1">
        <v>45156</v>
      </c>
      <c r="G11671" t="str">
        <f t="shared" si="2090"/>
        <v>82097</v>
      </c>
      <c r="H11671">
        <v>1</v>
      </c>
      <c r="I11671">
        <v>381</v>
      </c>
      <c r="J11671">
        <v>0</v>
      </c>
      <c r="K11671" t="str">
        <f t="shared" si="2087"/>
        <v>802</v>
      </c>
      <c r="L11671">
        <v>369.57</v>
      </c>
    </row>
    <row r="11672" spans="1:12" x14ac:dyDescent="0.25">
      <c r="A11672" t="str">
        <f t="shared" si="2085"/>
        <v>89301000</v>
      </c>
      <c r="B11672" t="str">
        <f t="shared" si="2089"/>
        <v>06539000</v>
      </c>
      <c r="C11672" t="str">
        <f t="shared" si="2086"/>
        <v>06539002</v>
      </c>
      <c r="D11672">
        <v>89301103</v>
      </c>
      <c r="E11672" t="str">
        <f t="shared" si="2084"/>
        <v>1404090270</v>
      </c>
      <c r="F11672" s="1">
        <v>45157</v>
      </c>
      <c r="G11672" t="str">
        <f t="shared" si="2090"/>
        <v>82097</v>
      </c>
      <c r="H11672">
        <v>1</v>
      </c>
      <c r="I11672">
        <v>381</v>
      </c>
      <c r="J11672">
        <v>0</v>
      </c>
      <c r="K11672" t="str">
        <f t="shared" si="2087"/>
        <v>802</v>
      </c>
      <c r="L11672">
        <v>369.57</v>
      </c>
    </row>
    <row r="11673" spans="1:12" x14ac:dyDescent="0.25">
      <c r="A11673" t="str">
        <f t="shared" si="2085"/>
        <v>89301000</v>
      </c>
      <c r="B11673" t="str">
        <f t="shared" si="2089"/>
        <v>06539000</v>
      </c>
      <c r="C11673" t="str">
        <f t="shared" si="2086"/>
        <v>06539002</v>
      </c>
      <c r="D11673">
        <v>89301103</v>
      </c>
      <c r="E11673" t="str">
        <f t="shared" si="2084"/>
        <v>1404090270</v>
      </c>
      <c r="F11673" s="1">
        <v>45157</v>
      </c>
      <c r="G11673" t="str">
        <f t="shared" si="2090"/>
        <v>82097</v>
      </c>
      <c r="H11673">
        <v>1</v>
      </c>
      <c r="I11673">
        <v>381</v>
      </c>
      <c r="J11673">
        <v>0</v>
      </c>
      <c r="K11673" t="str">
        <f t="shared" si="2087"/>
        <v>802</v>
      </c>
      <c r="L11673">
        <v>369.57</v>
      </c>
    </row>
    <row r="11674" spans="1:12" x14ac:dyDescent="0.25">
      <c r="A11674" t="str">
        <f t="shared" si="2085"/>
        <v>89301000</v>
      </c>
      <c r="B11674" t="str">
        <f t="shared" si="2089"/>
        <v>06539000</v>
      </c>
      <c r="C11674" t="str">
        <f t="shared" si="2086"/>
        <v>06539002</v>
      </c>
      <c r="D11674">
        <v>89301103</v>
      </c>
      <c r="E11674" t="str">
        <f t="shared" si="2084"/>
        <v>1404090270</v>
      </c>
      <c r="F11674" s="1">
        <v>45157</v>
      </c>
      <c r="G11674" t="str">
        <f t="shared" si="2090"/>
        <v>82097</v>
      </c>
      <c r="H11674">
        <v>1</v>
      </c>
      <c r="I11674">
        <v>381</v>
      </c>
      <c r="J11674">
        <v>0</v>
      </c>
      <c r="K11674" t="str">
        <f t="shared" si="2087"/>
        <v>802</v>
      </c>
      <c r="L11674">
        <v>369.57</v>
      </c>
    </row>
    <row r="11675" spans="1:12" x14ac:dyDescent="0.25">
      <c r="A11675" t="str">
        <f t="shared" si="2085"/>
        <v>89301000</v>
      </c>
      <c r="B11675" t="str">
        <f t="shared" si="2089"/>
        <v>06539000</v>
      </c>
      <c r="C11675" t="str">
        <f t="shared" si="2086"/>
        <v>06539002</v>
      </c>
      <c r="D11675">
        <v>89301103</v>
      </c>
      <c r="E11675" t="str">
        <f t="shared" si="2084"/>
        <v>1404090270</v>
      </c>
      <c r="F11675" s="1">
        <v>45157</v>
      </c>
      <c r="G11675" t="str">
        <f t="shared" si="2090"/>
        <v>82097</v>
      </c>
      <c r="H11675">
        <v>1</v>
      </c>
      <c r="I11675">
        <v>381</v>
      </c>
      <c r="J11675">
        <v>0</v>
      </c>
      <c r="K11675" t="str">
        <f t="shared" si="2087"/>
        <v>802</v>
      </c>
      <c r="L11675">
        <v>369.57</v>
      </c>
    </row>
    <row r="11676" spans="1:12" x14ac:dyDescent="0.25">
      <c r="A11676" t="str">
        <f t="shared" si="2085"/>
        <v>89301000</v>
      </c>
      <c r="B11676" t="str">
        <f t="shared" si="2089"/>
        <v>06539000</v>
      </c>
      <c r="C11676" t="str">
        <f t="shared" si="2086"/>
        <v>06539002</v>
      </c>
      <c r="D11676">
        <v>89301103</v>
      </c>
      <c r="E11676" t="str">
        <f t="shared" si="2084"/>
        <v>1404090270</v>
      </c>
      <c r="F11676" s="1">
        <v>45157</v>
      </c>
      <c r="G11676" t="str">
        <f t="shared" si="2090"/>
        <v>82097</v>
      </c>
      <c r="H11676">
        <v>1</v>
      </c>
      <c r="I11676">
        <v>381</v>
      </c>
      <c r="J11676">
        <v>0</v>
      </c>
      <c r="K11676" t="str">
        <f t="shared" si="2087"/>
        <v>802</v>
      </c>
      <c r="L11676">
        <v>369.57</v>
      </c>
    </row>
    <row r="11677" spans="1:12" x14ac:dyDescent="0.25">
      <c r="A11677" t="str">
        <f t="shared" si="2085"/>
        <v>89301000</v>
      </c>
      <c r="B11677" t="str">
        <f t="shared" si="2089"/>
        <v>06539000</v>
      </c>
      <c r="C11677" t="str">
        <f t="shared" si="2086"/>
        <v>06539002</v>
      </c>
      <c r="D11677">
        <v>89301103</v>
      </c>
      <c r="E11677" t="str">
        <f t="shared" si="2084"/>
        <v>1404090270</v>
      </c>
      <c r="F11677" s="1">
        <v>45157</v>
      </c>
      <c r="G11677" t="str">
        <f t="shared" si="2090"/>
        <v>82097</v>
      </c>
      <c r="H11677">
        <v>1</v>
      </c>
      <c r="I11677">
        <v>381</v>
      </c>
      <c r="J11677">
        <v>0</v>
      </c>
      <c r="K11677" t="str">
        <f t="shared" si="2087"/>
        <v>802</v>
      </c>
      <c r="L11677">
        <v>369.57</v>
      </c>
    </row>
    <row r="11678" spans="1:12" x14ac:dyDescent="0.25">
      <c r="A11678" t="str">
        <f t="shared" si="2085"/>
        <v>89301000</v>
      </c>
      <c r="B11678" t="str">
        <f t="shared" si="2089"/>
        <v>06539000</v>
      </c>
      <c r="C11678" t="str">
        <f t="shared" si="2086"/>
        <v>06539002</v>
      </c>
      <c r="D11678">
        <v>89301103</v>
      </c>
      <c r="E11678" t="str">
        <f t="shared" si="2084"/>
        <v>1404090270</v>
      </c>
      <c r="F11678" s="1">
        <v>45157</v>
      </c>
      <c r="G11678" t="str">
        <f t="shared" si="2090"/>
        <v>82097</v>
      </c>
      <c r="H11678">
        <v>1</v>
      </c>
      <c r="I11678">
        <v>381</v>
      </c>
      <c r="J11678">
        <v>0</v>
      </c>
      <c r="K11678" t="str">
        <f t="shared" si="2087"/>
        <v>802</v>
      </c>
      <c r="L11678">
        <v>369.57</v>
      </c>
    </row>
    <row r="11679" spans="1:12" x14ac:dyDescent="0.25">
      <c r="A11679" t="str">
        <f t="shared" si="2085"/>
        <v>89301000</v>
      </c>
      <c r="B11679" t="str">
        <f t="shared" si="2089"/>
        <v>06539000</v>
      </c>
      <c r="C11679" t="str">
        <f t="shared" si="2086"/>
        <v>06539002</v>
      </c>
      <c r="D11679">
        <v>89301103</v>
      </c>
      <c r="E11679" t="str">
        <f t="shared" si="2084"/>
        <v>1404090270</v>
      </c>
      <c r="F11679" s="1">
        <v>45157</v>
      </c>
      <c r="G11679" t="str">
        <f t="shared" si="2090"/>
        <v>82097</v>
      </c>
      <c r="H11679">
        <v>1</v>
      </c>
      <c r="I11679">
        <v>381</v>
      </c>
      <c r="J11679">
        <v>0</v>
      </c>
      <c r="K11679" t="str">
        <f t="shared" si="2087"/>
        <v>802</v>
      </c>
      <c r="L11679">
        <v>369.57</v>
      </c>
    </row>
    <row r="11680" spans="1:12" x14ac:dyDescent="0.25">
      <c r="A11680" t="str">
        <f t="shared" si="2085"/>
        <v>89301000</v>
      </c>
      <c r="B11680" t="str">
        <f t="shared" si="2089"/>
        <v>06539000</v>
      </c>
      <c r="C11680" t="str">
        <f t="shared" si="2086"/>
        <v>06539002</v>
      </c>
      <c r="D11680">
        <v>89301103</v>
      </c>
      <c r="E11680" t="str">
        <f t="shared" ref="E11680:E11716" si="2091">"1404090270"</f>
        <v>1404090270</v>
      </c>
      <c r="F11680" s="1">
        <v>45157</v>
      </c>
      <c r="G11680" t="str">
        <f t="shared" si="2090"/>
        <v>82097</v>
      </c>
      <c r="H11680">
        <v>1</v>
      </c>
      <c r="I11680">
        <v>381</v>
      </c>
      <c r="J11680">
        <v>0</v>
      </c>
      <c r="K11680" t="str">
        <f t="shared" si="2087"/>
        <v>802</v>
      </c>
      <c r="L11680">
        <v>369.57</v>
      </c>
    </row>
    <row r="11681" spans="1:12" x14ac:dyDescent="0.25">
      <c r="A11681" t="str">
        <f t="shared" si="2085"/>
        <v>89301000</v>
      </c>
      <c r="B11681" t="str">
        <f t="shared" si="2089"/>
        <v>06539000</v>
      </c>
      <c r="C11681" t="str">
        <f t="shared" si="2086"/>
        <v>06539002</v>
      </c>
      <c r="D11681">
        <v>89301103</v>
      </c>
      <c r="E11681" t="str">
        <f t="shared" si="2091"/>
        <v>1404090270</v>
      </c>
      <c r="F11681" s="1">
        <v>45157</v>
      </c>
      <c r="G11681" t="str">
        <f t="shared" si="2090"/>
        <v>82097</v>
      </c>
      <c r="H11681">
        <v>1</v>
      </c>
      <c r="I11681">
        <v>381</v>
      </c>
      <c r="J11681">
        <v>0</v>
      </c>
      <c r="K11681" t="str">
        <f t="shared" si="2087"/>
        <v>802</v>
      </c>
      <c r="L11681">
        <v>369.57</v>
      </c>
    </row>
    <row r="11682" spans="1:12" x14ac:dyDescent="0.25">
      <c r="A11682" t="str">
        <f t="shared" si="2085"/>
        <v>89301000</v>
      </c>
      <c r="B11682" t="str">
        <f t="shared" si="2089"/>
        <v>06539000</v>
      </c>
      <c r="C11682" t="str">
        <f t="shared" si="2086"/>
        <v>06539002</v>
      </c>
      <c r="D11682">
        <v>89301103</v>
      </c>
      <c r="E11682" t="str">
        <f t="shared" si="2091"/>
        <v>1404090270</v>
      </c>
      <c r="F11682" s="1">
        <v>45157</v>
      </c>
      <c r="G11682" t="str">
        <f t="shared" si="2090"/>
        <v>82097</v>
      </c>
      <c r="H11682">
        <v>1</v>
      </c>
      <c r="I11682">
        <v>381</v>
      </c>
      <c r="J11682">
        <v>0</v>
      </c>
      <c r="K11682" t="str">
        <f t="shared" si="2087"/>
        <v>802</v>
      </c>
      <c r="L11682">
        <v>369.57</v>
      </c>
    </row>
    <row r="11683" spans="1:12" x14ac:dyDescent="0.25">
      <c r="A11683" t="str">
        <f t="shared" si="2085"/>
        <v>89301000</v>
      </c>
      <c r="B11683" t="str">
        <f t="shared" si="2089"/>
        <v>06539000</v>
      </c>
      <c r="C11683" t="str">
        <f t="shared" ref="C11683:C11716" si="2092">"06539003"</f>
        <v>06539003</v>
      </c>
      <c r="D11683">
        <v>89301103</v>
      </c>
      <c r="E11683" t="str">
        <f t="shared" si="2091"/>
        <v>1404090270</v>
      </c>
      <c r="F11683" s="1">
        <v>45168</v>
      </c>
      <c r="G11683" t="str">
        <f>"91413"</f>
        <v>91413</v>
      </c>
      <c r="H11683">
        <v>1</v>
      </c>
      <c r="I11683">
        <v>868</v>
      </c>
      <c r="J11683">
        <v>0</v>
      </c>
      <c r="K11683" t="str">
        <f t="shared" ref="K11683:K11716" si="2093">"813"</f>
        <v>813</v>
      </c>
      <c r="L11683">
        <v>729.12</v>
      </c>
    </row>
    <row r="11684" spans="1:12" x14ac:dyDescent="0.25">
      <c r="A11684" t="str">
        <f t="shared" si="2085"/>
        <v>89301000</v>
      </c>
      <c r="B11684" t="str">
        <f t="shared" si="2089"/>
        <v>06539000</v>
      </c>
      <c r="C11684" t="str">
        <f t="shared" si="2092"/>
        <v>06539003</v>
      </c>
      <c r="D11684">
        <v>89301103</v>
      </c>
      <c r="E11684" t="str">
        <f t="shared" si="2091"/>
        <v>1404090270</v>
      </c>
      <c r="F11684" s="1">
        <v>45168</v>
      </c>
      <c r="G11684" t="str">
        <f>"91413"</f>
        <v>91413</v>
      </c>
      <c r="H11684">
        <v>1</v>
      </c>
      <c r="I11684">
        <v>868</v>
      </c>
      <c r="J11684">
        <v>0</v>
      </c>
      <c r="K11684" t="str">
        <f t="shared" si="2093"/>
        <v>813</v>
      </c>
      <c r="L11684">
        <v>729.12</v>
      </c>
    </row>
    <row r="11685" spans="1:12" x14ac:dyDescent="0.25">
      <c r="A11685" t="str">
        <f t="shared" si="2085"/>
        <v>89301000</v>
      </c>
      <c r="B11685" t="str">
        <f t="shared" si="2089"/>
        <v>06539000</v>
      </c>
      <c r="C11685" t="str">
        <f t="shared" si="2092"/>
        <v>06539003</v>
      </c>
      <c r="D11685">
        <v>89301103</v>
      </c>
      <c r="E11685" t="str">
        <f t="shared" si="2091"/>
        <v>1404090270</v>
      </c>
      <c r="F11685" s="1">
        <v>45156</v>
      </c>
      <c r="G11685" t="str">
        <f t="shared" ref="G11685:G11695" si="2094">"91197"</f>
        <v>91197</v>
      </c>
      <c r="H11685">
        <v>1</v>
      </c>
      <c r="I11685">
        <v>1048</v>
      </c>
      <c r="J11685">
        <v>0</v>
      </c>
      <c r="K11685" t="str">
        <f t="shared" si="2093"/>
        <v>813</v>
      </c>
      <c r="L11685">
        <v>880.32</v>
      </c>
    </row>
    <row r="11686" spans="1:12" x14ac:dyDescent="0.25">
      <c r="A11686" t="str">
        <f t="shared" si="2085"/>
        <v>89301000</v>
      </c>
      <c r="B11686" t="str">
        <f t="shared" si="2089"/>
        <v>06539000</v>
      </c>
      <c r="C11686" t="str">
        <f t="shared" si="2092"/>
        <v>06539003</v>
      </c>
      <c r="D11686">
        <v>89301103</v>
      </c>
      <c r="E11686" t="str">
        <f t="shared" si="2091"/>
        <v>1404090270</v>
      </c>
      <c r="F11686" s="1">
        <v>45161</v>
      </c>
      <c r="G11686" t="str">
        <f t="shared" si="2094"/>
        <v>91197</v>
      </c>
      <c r="H11686">
        <v>1</v>
      </c>
      <c r="I11686">
        <v>1048</v>
      </c>
      <c r="J11686">
        <v>0</v>
      </c>
      <c r="K11686" t="str">
        <f t="shared" si="2093"/>
        <v>813</v>
      </c>
      <c r="L11686">
        <v>880.32</v>
      </c>
    </row>
    <row r="11687" spans="1:12" x14ac:dyDescent="0.25">
      <c r="A11687" t="str">
        <f t="shared" si="2085"/>
        <v>89301000</v>
      </c>
      <c r="B11687" t="str">
        <f t="shared" si="2089"/>
        <v>06539000</v>
      </c>
      <c r="C11687" t="str">
        <f t="shared" si="2092"/>
        <v>06539003</v>
      </c>
      <c r="D11687">
        <v>89301103</v>
      </c>
      <c r="E11687" t="str">
        <f t="shared" si="2091"/>
        <v>1404090270</v>
      </c>
      <c r="F11687" s="1">
        <v>45161</v>
      </c>
      <c r="G11687" t="str">
        <f t="shared" si="2094"/>
        <v>91197</v>
      </c>
      <c r="H11687">
        <v>1</v>
      </c>
      <c r="I11687">
        <v>1048</v>
      </c>
      <c r="J11687">
        <v>0</v>
      </c>
      <c r="K11687" t="str">
        <f t="shared" si="2093"/>
        <v>813</v>
      </c>
      <c r="L11687">
        <v>880.32</v>
      </c>
    </row>
    <row r="11688" spans="1:12" x14ac:dyDescent="0.25">
      <c r="A11688" t="str">
        <f t="shared" si="2085"/>
        <v>89301000</v>
      </c>
      <c r="B11688" t="str">
        <f t="shared" si="2089"/>
        <v>06539000</v>
      </c>
      <c r="C11688" t="str">
        <f t="shared" si="2092"/>
        <v>06539003</v>
      </c>
      <c r="D11688">
        <v>89301103</v>
      </c>
      <c r="E11688" t="str">
        <f t="shared" si="2091"/>
        <v>1404090270</v>
      </c>
      <c r="F11688" s="1">
        <v>45160</v>
      </c>
      <c r="G11688" t="str">
        <f t="shared" si="2094"/>
        <v>91197</v>
      </c>
      <c r="H11688">
        <v>1</v>
      </c>
      <c r="I11688">
        <v>1048</v>
      </c>
      <c r="J11688">
        <v>0</v>
      </c>
      <c r="K11688" t="str">
        <f t="shared" si="2093"/>
        <v>813</v>
      </c>
      <c r="L11688">
        <v>880.32</v>
      </c>
    </row>
    <row r="11689" spans="1:12" x14ac:dyDescent="0.25">
      <c r="A11689" t="str">
        <f t="shared" si="2085"/>
        <v>89301000</v>
      </c>
      <c r="B11689" t="str">
        <f t="shared" si="2089"/>
        <v>06539000</v>
      </c>
      <c r="C11689" t="str">
        <f t="shared" si="2092"/>
        <v>06539003</v>
      </c>
      <c r="D11689">
        <v>89301103</v>
      </c>
      <c r="E11689" t="str">
        <f t="shared" si="2091"/>
        <v>1404090270</v>
      </c>
      <c r="F11689" s="1">
        <v>45160</v>
      </c>
      <c r="G11689" t="str">
        <f t="shared" si="2094"/>
        <v>91197</v>
      </c>
      <c r="H11689">
        <v>1</v>
      </c>
      <c r="I11689">
        <v>1048</v>
      </c>
      <c r="J11689">
        <v>0</v>
      </c>
      <c r="K11689" t="str">
        <f t="shared" si="2093"/>
        <v>813</v>
      </c>
      <c r="L11689">
        <v>880.32</v>
      </c>
    </row>
    <row r="11690" spans="1:12" x14ac:dyDescent="0.25">
      <c r="A11690" t="str">
        <f t="shared" si="2085"/>
        <v>89301000</v>
      </c>
      <c r="B11690" t="str">
        <f t="shared" si="2089"/>
        <v>06539000</v>
      </c>
      <c r="C11690" t="str">
        <f t="shared" si="2092"/>
        <v>06539003</v>
      </c>
      <c r="D11690">
        <v>89301103</v>
      </c>
      <c r="E11690" t="str">
        <f t="shared" si="2091"/>
        <v>1404090270</v>
      </c>
      <c r="F11690" s="1">
        <v>45159</v>
      </c>
      <c r="G11690" t="str">
        <f t="shared" si="2094"/>
        <v>91197</v>
      </c>
      <c r="H11690">
        <v>1</v>
      </c>
      <c r="I11690">
        <v>1048</v>
      </c>
      <c r="J11690">
        <v>0</v>
      </c>
      <c r="K11690" t="str">
        <f t="shared" si="2093"/>
        <v>813</v>
      </c>
      <c r="L11690">
        <v>880.32</v>
      </c>
    </row>
    <row r="11691" spans="1:12" x14ac:dyDescent="0.25">
      <c r="A11691" t="str">
        <f t="shared" si="2085"/>
        <v>89301000</v>
      </c>
      <c r="B11691" t="str">
        <f t="shared" ref="B11691:B11722" si="2095">"06539000"</f>
        <v>06539000</v>
      </c>
      <c r="C11691" t="str">
        <f t="shared" si="2092"/>
        <v>06539003</v>
      </c>
      <c r="D11691">
        <v>89301103</v>
      </c>
      <c r="E11691" t="str">
        <f t="shared" si="2091"/>
        <v>1404090270</v>
      </c>
      <c r="F11691" s="1">
        <v>45159</v>
      </c>
      <c r="G11691" t="str">
        <f t="shared" si="2094"/>
        <v>91197</v>
      </c>
      <c r="H11691">
        <v>1</v>
      </c>
      <c r="I11691">
        <v>1048</v>
      </c>
      <c r="J11691">
        <v>0</v>
      </c>
      <c r="K11691" t="str">
        <f t="shared" si="2093"/>
        <v>813</v>
      </c>
      <c r="L11691">
        <v>880.32</v>
      </c>
    </row>
    <row r="11692" spans="1:12" x14ac:dyDescent="0.25">
      <c r="A11692" t="str">
        <f t="shared" si="2085"/>
        <v>89301000</v>
      </c>
      <c r="B11692" t="str">
        <f t="shared" si="2095"/>
        <v>06539000</v>
      </c>
      <c r="C11692" t="str">
        <f t="shared" si="2092"/>
        <v>06539003</v>
      </c>
      <c r="D11692">
        <v>89301103</v>
      </c>
      <c r="E11692" t="str">
        <f t="shared" si="2091"/>
        <v>1404090270</v>
      </c>
      <c r="F11692" s="1">
        <v>45158</v>
      </c>
      <c r="G11692" t="str">
        <f t="shared" si="2094"/>
        <v>91197</v>
      </c>
      <c r="H11692">
        <v>1</v>
      </c>
      <c r="I11692">
        <v>1048</v>
      </c>
      <c r="J11692">
        <v>0</v>
      </c>
      <c r="K11692" t="str">
        <f t="shared" si="2093"/>
        <v>813</v>
      </c>
      <c r="L11692">
        <v>880.32</v>
      </c>
    </row>
    <row r="11693" spans="1:12" x14ac:dyDescent="0.25">
      <c r="A11693" t="str">
        <f t="shared" si="2085"/>
        <v>89301000</v>
      </c>
      <c r="B11693" t="str">
        <f t="shared" si="2095"/>
        <v>06539000</v>
      </c>
      <c r="C11693" t="str">
        <f t="shared" si="2092"/>
        <v>06539003</v>
      </c>
      <c r="D11693">
        <v>89301103</v>
      </c>
      <c r="E11693" t="str">
        <f t="shared" si="2091"/>
        <v>1404090270</v>
      </c>
      <c r="F11693" s="1">
        <v>45158</v>
      </c>
      <c r="G11693" t="str">
        <f t="shared" si="2094"/>
        <v>91197</v>
      </c>
      <c r="H11693">
        <v>1</v>
      </c>
      <c r="I11693">
        <v>1048</v>
      </c>
      <c r="J11693">
        <v>0</v>
      </c>
      <c r="K11693" t="str">
        <f t="shared" si="2093"/>
        <v>813</v>
      </c>
      <c r="L11693">
        <v>880.32</v>
      </c>
    </row>
    <row r="11694" spans="1:12" x14ac:dyDescent="0.25">
      <c r="A11694" t="str">
        <f t="shared" si="2085"/>
        <v>89301000</v>
      </c>
      <c r="B11694" t="str">
        <f t="shared" si="2095"/>
        <v>06539000</v>
      </c>
      <c r="C11694" t="str">
        <f t="shared" si="2092"/>
        <v>06539003</v>
      </c>
      <c r="D11694">
        <v>89301103</v>
      </c>
      <c r="E11694" t="str">
        <f t="shared" si="2091"/>
        <v>1404090270</v>
      </c>
      <c r="F11694" s="1">
        <v>45157</v>
      </c>
      <c r="G11694" t="str">
        <f t="shared" si="2094"/>
        <v>91197</v>
      </c>
      <c r="H11694">
        <v>1</v>
      </c>
      <c r="I11694">
        <v>1048</v>
      </c>
      <c r="J11694">
        <v>0</v>
      </c>
      <c r="K11694" t="str">
        <f t="shared" si="2093"/>
        <v>813</v>
      </c>
      <c r="L11694">
        <v>880.32</v>
      </c>
    </row>
    <row r="11695" spans="1:12" x14ac:dyDescent="0.25">
      <c r="A11695" t="str">
        <f t="shared" si="2085"/>
        <v>89301000</v>
      </c>
      <c r="B11695" t="str">
        <f t="shared" si="2095"/>
        <v>06539000</v>
      </c>
      <c r="C11695" t="str">
        <f t="shared" si="2092"/>
        <v>06539003</v>
      </c>
      <c r="D11695">
        <v>89301103</v>
      </c>
      <c r="E11695" t="str">
        <f t="shared" si="2091"/>
        <v>1404090270</v>
      </c>
      <c r="F11695" s="1">
        <v>45157</v>
      </c>
      <c r="G11695" t="str">
        <f t="shared" si="2094"/>
        <v>91197</v>
      </c>
      <c r="H11695">
        <v>1</v>
      </c>
      <c r="I11695">
        <v>1048</v>
      </c>
      <c r="J11695">
        <v>0</v>
      </c>
      <c r="K11695" t="str">
        <f t="shared" si="2093"/>
        <v>813</v>
      </c>
      <c r="L11695">
        <v>880.32</v>
      </c>
    </row>
    <row r="11696" spans="1:12" x14ac:dyDescent="0.25">
      <c r="A11696" t="str">
        <f t="shared" si="2085"/>
        <v>89301000</v>
      </c>
      <c r="B11696" t="str">
        <f t="shared" si="2095"/>
        <v>06539000</v>
      </c>
      <c r="C11696" t="str">
        <f t="shared" si="2092"/>
        <v>06539003</v>
      </c>
      <c r="D11696">
        <v>89301103</v>
      </c>
      <c r="E11696" t="str">
        <f t="shared" si="2091"/>
        <v>1404090270</v>
      </c>
      <c r="F11696" s="1">
        <v>45156</v>
      </c>
      <c r="G11696" t="str">
        <f>"91411"</f>
        <v>91411</v>
      </c>
      <c r="H11696">
        <v>1</v>
      </c>
      <c r="I11696">
        <v>1631</v>
      </c>
      <c r="J11696">
        <v>0</v>
      </c>
      <c r="K11696" t="str">
        <f t="shared" si="2093"/>
        <v>813</v>
      </c>
      <c r="L11696">
        <v>1370.04</v>
      </c>
    </row>
    <row r="11697" spans="1:12" x14ac:dyDescent="0.25">
      <c r="A11697" t="str">
        <f t="shared" si="2085"/>
        <v>89301000</v>
      </c>
      <c r="B11697" t="str">
        <f t="shared" si="2095"/>
        <v>06539000</v>
      </c>
      <c r="C11697" t="str">
        <f t="shared" si="2092"/>
        <v>06539003</v>
      </c>
      <c r="D11697">
        <v>89301103</v>
      </c>
      <c r="E11697" t="str">
        <f t="shared" si="2091"/>
        <v>1404090270</v>
      </c>
      <c r="F11697" s="1">
        <v>45156</v>
      </c>
      <c r="G11697" t="str">
        <f>"91411"</f>
        <v>91411</v>
      </c>
      <c r="H11697">
        <v>1</v>
      </c>
      <c r="I11697">
        <v>1631</v>
      </c>
      <c r="J11697">
        <v>0</v>
      </c>
      <c r="K11697" t="str">
        <f t="shared" si="2093"/>
        <v>813</v>
      </c>
      <c r="L11697">
        <v>1370.04</v>
      </c>
    </row>
    <row r="11698" spans="1:12" x14ac:dyDescent="0.25">
      <c r="A11698" t="str">
        <f t="shared" si="2085"/>
        <v>89301000</v>
      </c>
      <c r="B11698" t="str">
        <f t="shared" si="2095"/>
        <v>06539000</v>
      </c>
      <c r="C11698" t="str">
        <f t="shared" si="2092"/>
        <v>06539003</v>
      </c>
      <c r="D11698">
        <v>89301103</v>
      </c>
      <c r="E11698" t="str">
        <f t="shared" si="2091"/>
        <v>1404090270</v>
      </c>
      <c r="F11698" s="1">
        <v>45156</v>
      </c>
      <c r="G11698" t="str">
        <f>"91411"</f>
        <v>91411</v>
      </c>
      <c r="H11698">
        <v>1</v>
      </c>
      <c r="I11698">
        <v>1631</v>
      </c>
      <c r="J11698">
        <v>0</v>
      </c>
      <c r="K11698" t="str">
        <f t="shared" si="2093"/>
        <v>813</v>
      </c>
      <c r="L11698">
        <v>1370.04</v>
      </c>
    </row>
    <row r="11699" spans="1:12" x14ac:dyDescent="0.25">
      <c r="A11699" t="str">
        <f t="shared" si="2085"/>
        <v>89301000</v>
      </c>
      <c r="B11699" t="str">
        <f t="shared" si="2095"/>
        <v>06539000</v>
      </c>
      <c r="C11699" t="str">
        <f t="shared" si="2092"/>
        <v>06539003</v>
      </c>
      <c r="D11699">
        <v>89301103</v>
      </c>
      <c r="E11699" t="str">
        <f t="shared" si="2091"/>
        <v>1404090270</v>
      </c>
      <c r="F11699" s="1">
        <v>45170</v>
      </c>
      <c r="G11699" t="str">
        <f>"91495"</f>
        <v>91495</v>
      </c>
      <c r="H11699">
        <v>1</v>
      </c>
      <c r="I11699">
        <v>595</v>
      </c>
      <c r="J11699">
        <v>0</v>
      </c>
      <c r="K11699" t="str">
        <f t="shared" si="2093"/>
        <v>813</v>
      </c>
      <c r="L11699">
        <v>499.8</v>
      </c>
    </row>
    <row r="11700" spans="1:12" x14ac:dyDescent="0.25">
      <c r="A11700" t="str">
        <f t="shared" si="2085"/>
        <v>89301000</v>
      </c>
      <c r="B11700" t="str">
        <f t="shared" si="2095"/>
        <v>06539000</v>
      </c>
      <c r="C11700" t="str">
        <f t="shared" si="2092"/>
        <v>06539003</v>
      </c>
      <c r="D11700">
        <v>89301103</v>
      </c>
      <c r="E11700" t="str">
        <f t="shared" si="2091"/>
        <v>1404090270</v>
      </c>
      <c r="F11700" s="1">
        <v>45167</v>
      </c>
      <c r="G11700" t="str">
        <f>"91329"</f>
        <v>91329</v>
      </c>
      <c r="H11700">
        <v>2</v>
      </c>
      <c r="I11700">
        <v>436</v>
      </c>
      <c r="J11700">
        <v>0</v>
      </c>
      <c r="K11700" t="str">
        <f t="shared" si="2093"/>
        <v>813</v>
      </c>
      <c r="L11700">
        <v>366.24</v>
      </c>
    </row>
    <row r="11701" spans="1:12" x14ac:dyDescent="0.25">
      <c r="A11701" t="str">
        <f t="shared" si="2085"/>
        <v>89301000</v>
      </c>
      <c r="B11701" t="str">
        <f t="shared" si="2095"/>
        <v>06539000</v>
      </c>
      <c r="C11701" t="str">
        <f t="shared" si="2092"/>
        <v>06539003</v>
      </c>
      <c r="D11701">
        <v>89301103</v>
      </c>
      <c r="E11701" t="str">
        <f t="shared" si="2091"/>
        <v>1404090270</v>
      </c>
      <c r="F11701" s="1">
        <v>45167</v>
      </c>
      <c r="G11701" t="str">
        <f>"91329"</f>
        <v>91329</v>
      </c>
      <c r="H11701">
        <v>2</v>
      </c>
      <c r="I11701">
        <v>436</v>
      </c>
      <c r="J11701">
        <v>0</v>
      </c>
      <c r="K11701" t="str">
        <f t="shared" si="2093"/>
        <v>813</v>
      </c>
      <c r="L11701">
        <v>366.24</v>
      </c>
    </row>
    <row r="11702" spans="1:12" x14ac:dyDescent="0.25">
      <c r="A11702" t="str">
        <f t="shared" si="2085"/>
        <v>89301000</v>
      </c>
      <c r="B11702" t="str">
        <f t="shared" si="2095"/>
        <v>06539000</v>
      </c>
      <c r="C11702" t="str">
        <f t="shared" si="2092"/>
        <v>06539003</v>
      </c>
      <c r="D11702">
        <v>89301103</v>
      </c>
      <c r="E11702" t="str">
        <f t="shared" si="2091"/>
        <v>1404090270</v>
      </c>
      <c r="F11702" s="1">
        <v>45167</v>
      </c>
      <c r="G11702" t="str">
        <f>"91329"</f>
        <v>91329</v>
      </c>
      <c r="H11702">
        <v>2</v>
      </c>
      <c r="I11702">
        <v>436</v>
      </c>
      <c r="J11702">
        <v>0</v>
      </c>
      <c r="K11702" t="str">
        <f t="shared" si="2093"/>
        <v>813</v>
      </c>
      <c r="L11702">
        <v>366.24</v>
      </c>
    </row>
    <row r="11703" spans="1:12" x14ac:dyDescent="0.25">
      <c r="A11703" t="str">
        <f t="shared" si="2085"/>
        <v>89301000</v>
      </c>
      <c r="B11703" t="str">
        <f t="shared" si="2095"/>
        <v>06539000</v>
      </c>
      <c r="C11703" t="str">
        <f t="shared" si="2092"/>
        <v>06539003</v>
      </c>
      <c r="D11703">
        <v>89301103</v>
      </c>
      <c r="E11703" t="str">
        <f t="shared" si="2091"/>
        <v>1404090270</v>
      </c>
      <c r="F11703" s="1">
        <v>45167</v>
      </c>
      <c r="G11703" t="str">
        <f>"91329"</f>
        <v>91329</v>
      </c>
      <c r="H11703">
        <v>2</v>
      </c>
      <c r="I11703">
        <v>436</v>
      </c>
      <c r="J11703">
        <v>0</v>
      </c>
      <c r="K11703" t="str">
        <f t="shared" si="2093"/>
        <v>813</v>
      </c>
      <c r="L11703">
        <v>366.24</v>
      </c>
    </row>
    <row r="11704" spans="1:12" x14ac:dyDescent="0.25">
      <c r="A11704" t="str">
        <f t="shared" si="2085"/>
        <v>89301000</v>
      </c>
      <c r="B11704" t="str">
        <f t="shared" si="2095"/>
        <v>06539000</v>
      </c>
      <c r="C11704" t="str">
        <f t="shared" si="2092"/>
        <v>06539003</v>
      </c>
      <c r="D11704">
        <v>89301103</v>
      </c>
      <c r="E11704" t="str">
        <f t="shared" si="2091"/>
        <v>1404090270</v>
      </c>
      <c r="F11704" s="1">
        <v>45156</v>
      </c>
      <c r="G11704" t="str">
        <f t="shared" ref="G11704:G11709" si="2096">"91411"</f>
        <v>91411</v>
      </c>
      <c r="H11704">
        <v>1</v>
      </c>
      <c r="I11704">
        <v>1631</v>
      </c>
      <c r="J11704">
        <v>0</v>
      </c>
      <c r="K11704" t="str">
        <f t="shared" si="2093"/>
        <v>813</v>
      </c>
      <c r="L11704">
        <v>1370.04</v>
      </c>
    </row>
    <row r="11705" spans="1:12" x14ac:dyDescent="0.25">
      <c r="A11705" t="str">
        <f t="shared" si="2085"/>
        <v>89301000</v>
      </c>
      <c r="B11705" t="str">
        <f t="shared" si="2095"/>
        <v>06539000</v>
      </c>
      <c r="C11705" t="str">
        <f t="shared" si="2092"/>
        <v>06539003</v>
      </c>
      <c r="D11705">
        <v>89301103</v>
      </c>
      <c r="E11705" t="str">
        <f t="shared" si="2091"/>
        <v>1404090270</v>
      </c>
      <c r="F11705" s="1">
        <v>45156</v>
      </c>
      <c r="G11705" t="str">
        <f t="shared" si="2096"/>
        <v>91411</v>
      </c>
      <c r="H11705">
        <v>1</v>
      </c>
      <c r="I11705">
        <v>1631</v>
      </c>
      <c r="J11705">
        <v>0</v>
      </c>
      <c r="K11705" t="str">
        <f t="shared" si="2093"/>
        <v>813</v>
      </c>
      <c r="L11705">
        <v>1370.04</v>
      </c>
    </row>
    <row r="11706" spans="1:12" x14ac:dyDescent="0.25">
      <c r="A11706" t="str">
        <f t="shared" si="2085"/>
        <v>89301000</v>
      </c>
      <c r="B11706" t="str">
        <f t="shared" si="2095"/>
        <v>06539000</v>
      </c>
      <c r="C11706" t="str">
        <f t="shared" si="2092"/>
        <v>06539003</v>
      </c>
      <c r="D11706">
        <v>89301103</v>
      </c>
      <c r="E11706" t="str">
        <f t="shared" si="2091"/>
        <v>1404090270</v>
      </c>
      <c r="F11706" s="1">
        <v>45156</v>
      </c>
      <c r="G11706" t="str">
        <f t="shared" si="2096"/>
        <v>91411</v>
      </c>
      <c r="H11706">
        <v>1</v>
      </c>
      <c r="I11706">
        <v>1631</v>
      </c>
      <c r="J11706">
        <v>0</v>
      </c>
      <c r="K11706" t="str">
        <f t="shared" si="2093"/>
        <v>813</v>
      </c>
      <c r="L11706">
        <v>1370.04</v>
      </c>
    </row>
    <row r="11707" spans="1:12" x14ac:dyDescent="0.25">
      <c r="A11707" t="str">
        <f t="shared" si="2085"/>
        <v>89301000</v>
      </c>
      <c r="B11707" t="str">
        <f t="shared" si="2095"/>
        <v>06539000</v>
      </c>
      <c r="C11707" t="str">
        <f t="shared" si="2092"/>
        <v>06539003</v>
      </c>
      <c r="D11707">
        <v>89301103</v>
      </c>
      <c r="E11707" t="str">
        <f t="shared" si="2091"/>
        <v>1404090270</v>
      </c>
      <c r="F11707" s="1">
        <v>45156</v>
      </c>
      <c r="G11707" t="str">
        <f t="shared" si="2096"/>
        <v>91411</v>
      </c>
      <c r="H11707">
        <v>1</v>
      </c>
      <c r="I11707">
        <v>1631</v>
      </c>
      <c r="J11707">
        <v>0</v>
      </c>
      <c r="K11707" t="str">
        <f t="shared" si="2093"/>
        <v>813</v>
      </c>
      <c r="L11707">
        <v>1370.04</v>
      </c>
    </row>
    <row r="11708" spans="1:12" x14ac:dyDescent="0.25">
      <c r="A11708" t="str">
        <f t="shared" si="2085"/>
        <v>89301000</v>
      </c>
      <c r="B11708" t="str">
        <f t="shared" si="2095"/>
        <v>06539000</v>
      </c>
      <c r="C11708" t="str">
        <f t="shared" si="2092"/>
        <v>06539003</v>
      </c>
      <c r="D11708">
        <v>89301103</v>
      </c>
      <c r="E11708" t="str">
        <f t="shared" si="2091"/>
        <v>1404090270</v>
      </c>
      <c r="F11708" s="1">
        <v>45156</v>
      </c>
      <c r="G11708" t="str">
        <f t="shared" si="2096"/>
        <v>91411</v>
      </c>
      <c r="H11708">
        <v>1</v>
      </c>
      <c r="I11708">
        <v>1631</v>
      </c>
      <c r="J11708">
        <v>0</v>
      </c>
      <c r="K11708" t="str">
        <f t="shared" si="2093"/>
        <v>813</v>
      </c>
      <c r="L11708">
        <v>1370.04</v>
      </c>
    </row>
    <row r="11709" spans="1:12" x14ac:dyDescent="0.25">
      <c r="A11709" t="str">
        <f t="shared" si="2085"/>
        <v>89301000</v>
      </c>
      <c r="B11709" t="str">
        <f t="shared" si="2095"/>
        <v>06539000</v>
      </c>
      <c r="C11709" t="str">
        <f t="shared" si="2092"/>
        <v>06539003</v>
      </c>
      <c r="D11709">
        <v>89301103</v>
      </c>
      <c r="E11709" t="str">
        <f t="shared" si="2091"/>
        <v>1404090270</v>
      </c>
      <c r="F11709" s="1">
        <v>45156</v>
      </c>
      <c r="G11709" t="str">
        <f t="shared" si="2096"/>
        <v>91411</v>
      </c>
      <c r="H11709">
        <v>1</v>
      </c>
      <c r="I11709">
        <v>1631</v>
      </c>
      <c r="J11709">
        <v>0</v>
      </c>
      <c r="K11709" t="str">
        <f t="shared" si="2093"/>
        <v>813</v>
      </c>
      <c r="L11709">
        <v>1370.04</v>
      </c>
    </row>
    <row r="11710" spans="1:12" x14ac:dyDescent="0.25">
      <c r="A11710" t="str">
        <f t="shared" si="2085"/>
        <v>89301000</v>
      </c>
      <c r="B11710" t="str">
        <f t="shared" si="2095"/>
        <v>06539000</v>
      </c>
      <c r="C11710" t="str">
        <f t="shared" si="2092"/>
        <v>06539003</v>
      </c>
      <c r="D11710">
        <v>89301103</v>
      </c>
      <c r="E11710" t="str">
        <f t="shared" si="2091"/>
        <v>1404090270</v>
      </c>
      <c r="F11710" s="1">
        <v>45163</v>
      </c>
      <c r="G11710" t="str">
        <f>"91129"</f>
        <v>91129</v>
      </c>
      <c r="H11710">
        <v>1</v>
      </c>
      <c r="I11710">
        <v>175</v>
      </c>
      <c r="J11710">
        <v>0</v>
      </c>
      <c r="K11710" t="str">
        <f t="shared" si="2093"/>
        <v>813</v>
      </c>
      <c r="L11710">
        <v>147</v>
      </c>
    </row>
    <row r="11711" spans="1:12" x14ac:dyDescent="0.25">
      <c r="A11711" t="str">
        <f t="shared" si="2085"/>
        <v>89301000</v>
      </c>
      <c r="B11711" t="str">
        <f t="shared" si="2095"/>
        <v>06539000</v>
      </c>
      <c r="C11711" t="str">
        <f t="shared" si="2092"/>
        <v>06539003</v>
      </c>
      <c r="D11711">
        <v>89301103</v>
      </c>
      <c r="E11711" t="str">
        <f t="shared" si="2091"/>
        <v>1404090270</v>
      </c>
      <c r="F11711" s="1">
        <v>45163</v>
      </c>
      <c r="G11711" t="str">
        <f>"91131"</f>
        <v>91131</v>
      </c>
      <c r="H11711">
        <v>1</v>
      </c>
      <c r="I11711">
        <v>171</v>
      </c>
      <c r="J11711">
        <v>0</v>
      </c>
      <c r="K11711" t="str">
        <f t="shared" si="2093"/>
        <v>813</v>
      </c>
      <c r="L11711">
        <v>143.63999999999999</v>
      </c>
    </row>
    <row r="11712" spans="1:12" x14ac:dyDescent="0.25">
      <c r="A11712" t="str">
        <f t="shared" si="2085"/>
        <v>89301000</v>
      </c>
      <c r="B11712" t="str">
        <f t="shared" si="2095"/>
        <v>06539000</v>
      </c>
      <c r="C11712" t="str">
        <f t="shared" si="2092"/>
        <v>06539003</v>
      </c>
      <c r="D11712">
        <v>89301103</v>
      </c>
      <c r="E11712" t="str">
        <f t="shared" si="2091"/>
        <v>1404090270</v>
      </c>
      <c r="F11712" s="1">
        <v>45163</v>
      </c>
      <c r="G11712" t="str">
        <f>"91133"</f>
        <v>91133</v>
      </c>
      <c r="H11712">
        <v>1</v>
      </c>
      <c r="I11712">
        <v>177</v>
      </c>
      <c r="J11712">
        <v>0</v>
      </c>
      <c r="K11712" t="str">
        <f t="shared" si="2093"/>
        <v>813</v>
      </c>
      <c r="L11712">
        <v>148.68</v>
      </c>
    </row>
    <row r="11713" spans="1:12" x14ac:dyDescent="0.25">
      <c r="A11713" t="str">
        <f t="shared" si="2085"/>
        <v>89301000</v>
      </c>
      <c r="B11713" t="str">
        <f t="shared" si="2095"/>
        <v>06539000</v>
      </c>
      <c r="C11713" t="str">
        <f t="shared" si="2092"/>
        <v>06539003</v>
      </c>
      <c r="D11713">
        <v>89301103</v>
      </c>
      <c r="E11713" t="str">
        <f t="shared" si="2091"/>
        <v>1404090270</v>
      </c>
      <c r="F11713" s="1">
        <v>45159</v>
      </c>
      <c r="G11713" t="str">
        <f>"91171"</f>
        <v>91171</v>
      </c>
      <c r="H11713">
        <v>1</v>
      </c>
      <c r="I11713">
        <v>362</v>
      </c>
      <c r="J11713">
        <v>0</v>
      </c>
      <c r="K11713" t="str">
        <f t="shared" si="2093"/>
        <v>813</v>
      </c>
      <c r="L11713">
        <v>304.08</v>
      </c>
    </row>
    <row r="11714" spans="1:12" x14ac:dyDescent="0.25">
      <c r="A11714" t="str">
        <f t="shared" ref="A11714:A11777" si="2097">"89301000"</f>
        <v>89301000</v>
      </c>
      <c r="B11714" t="str">
        <f t="shared" si="2095"/>
        <v>06539000</v>
      </c>
      <c r="C11714" t="str">
        <f t="shared" si="2092"/>
        <v>06539003</v>
      </c>
      <c r="D11714">
        <v>89301103</v>
      </c>
      <c r="E11714" t="str">
        <f t="shared" si="2091"/>
        <v>1404090270</v>
      </c>
      <c r="F11714" s="1">
        <v>45156</v>
      </c>
      <c r="G11714" t="str">
        <f>"91173"</f>
        <v>91173</v>
      </c>
      <c r="H11714">
        <v>1</v>
      </c>
      <c r="I11714">
        <v>337</v>
      </c>
      <c r="J11714">
        <v>0</v>
      </c>
      <c r="K11714" t="str">
        <f t="shared" si="2093"/>
        <v>813</v>
      </c>
      <c r="L11714">
        <v>283.08</v>
      </c>
    </row>
    <row r="11715" spans="1:12" x14ac:dyDescent="0.25">
      <c r="A11715" t="str">
        <f t="shared" si="2097"/>
        <v>89301000</v>
      </c>
      <c r="B11715" t="str">
        <f t="shared" si="2095"/>
        <v>06539000</v>
      </c>
      <c r="C11715" t="str">
        <f t="shared" si="2092"/>
        <v>06539003</v>
      </c>
      <c r="D11715">
        <v>89301103</v>
      </c>
      <c r="E11715" t="str">
        <f t="shared" si="2091"/>
        <v>1404090270</v>
      </c>
      <c r="F11715" s="1">
        <v>45159</v>
      </c>
      <c r="G11715" t="str">
        <f>"91175"</f>
        <v>91175</v>
      </c>
      <c r="H11715">
        <v>1</v>
      </c>
      <c r="I11715">
        <v>362</v>
      </c>
      <c r="J11715">
        <v>0</v>
      </c>
      <c r="K11715" t="str">
        <f t="shared" si="2093"/>
        <v>813</v>
      </c>
      <c r="L11715">
        <v>304.08</v>
      </c>
    </row>
    <row r="11716" spans="1:12" x14ac:dyDescent="0.25">
      <c r="A11716" t="str">
        <f t="shared" si="2097"/>
        <v>89301000</v>
      </c>
      <c r="B11716" t="str">
        <f t="shared" si="2095"/>
        <v>06539000</v>
      </c>
      <c r="C11716" t="str">
        <f t="shared" si="2092"/>
        <v>06539003</v>
      </c>
      <c r="D11716">
        <v>89301103</v>
      </c>
      <c r="E11716" t="str">
        <f t="shared" si="2091"/>
        <v>1404090270</v>
      </c>
      <c r="F11716" s="1">
        <v>45170</v>
      </c>
      <c r="G11716" t="str">
        <f>"91475"</f>
        <v>91475</v>
      </c>
      <c r="H11716">
        <v>1</v>
      </c>
      <c r="I11716">
        <v>213</v>
      </c>
      <c r="J11716">
        <v>0</v>
      </c>
      <c r="K11716" t="str">
        <f t="shared" si="2093"/>
        <v>813</v>
      </c>
      <c r="L11716">
        <v>178.92</v>
      </c>
    </row>
    <row r="11717" spans="1:12" x14ac:dyDescent="0.25">
      <c r="A11717" t="str">
        <f t="shared" si="2097"/>
        <v>89301000</v>
      </c>
      <c r="B11717" t="str">
        <f t="shared" si="2095"/>
        <v>06539000</v>
      </c>
      <c r="C11717" t="str">
        <f>"06539001"</f>
        <v>06539001</v>
      </c>
      <c r="D11717">
        <v>89301101</v>
      </c>
      <c r="E11717" t="str">
        <f t="shared" ref="E11717:E11742" si="2098">"1410191244"</f>
        <v>1410191244</v>
      </c>
      <c r="F11717" s="1">
        <v>45173</v>
      </c>
      <c r="G11717" t="str">
        <f>"81705"</f>
        <v>81705</v>
      </c>
      <c r="H11717">
        <v>1</v>
      </c>
      <c r="I11717">
        <v>348</v>
      </c>
      <c r="J11717">
        <v>0</v>
      </c>
      <c r="K11717" t="str">
        <f>"801"</f>
        <v>801</v>
      </c>
      <c r="L11717">
        <v>292.32</v>
      </c>
    </row>
    <row r="11718" spans="1:12" x14ac:dyDescent="0.25">
      <c r="A11718" t="str">
        <f t="shared" si="2097"/>
        <v>89301000</v>
      </c>
      <c r="B11718" t="str">
        <f t="shared" si="2095"/>
        <v>06539000</v>
      </c>
      <c r="C11718" t="str">
        <f>"06539001"</f>
        <v>06539001</v>
      </c>
      <c r="D11718">
        <v>89301101</v>
      </c>
      <c r="E11718" t="str">
        <f t="shared" si="2098"/>
        <v>1410191244</v>
      </c>
      <c r="F11718" s="1">
        <v>45173</v>
      </c>
      <c r="G11718" t="str">
        <f>"81705"</f>
        <v>81705</v>
      </c>
      <c r="H11718">
        <v>1</v>
      </c>
      <c r="I11718">
        <v>348</v>
      </c>
      <c r="J11718">
        <v>0</v>
      </c>
      <c r="K11718" t="str">
        <f>"801"</f>
        <v>801</v>
      </c>
      <c r="L11718">
        <v>292.32</v>
      </c>
    </row>
    <row r="11719" spans="1:12" x14ac:dyDescent="0.25">
      <c r="A11719" t="str">
        <f t="shared" si="2097"/>
        <v>89301000</v>
      </c>
      <c r="B11719" t="str">
        <f t="shared" si="2095"/>
        <v>06539000</v>
      </c>
      <c r="C11719" t="str">
        <f>"06539001"</f>
        <v>06539001</v>
      </c>
      <c r="D11719">
        <v>89301101</v>
      </c>
      <c r="E11719" t="str">
        <f t="shared" si="2098"/>
        <v>1410191244</v>
      </c>
      <c r="F11719" s="1">
        <v>45163</v>
      </c>
      <c r="G11719" t="str">
        <f>"81329"</f>
        <v>81329</v>
      </c>
      <c r="H11719">
        <v>1</v>
      </c>
      <c r="I11719">
        <v>17</v>
      </c>
      <c r="J11719">
        <v>0</v>
      </c>
      <c r="K11719" t="str">
        <f>"801"</f>
        <v>801</v>
      </c>
      <c r="L11719">
        <v>14.28</v>
      </c>
    </row>
    <row r="11720" spans="1:12" x14ac:dyDescent="0.25">
      <c r="A11720" t="str">
        <f t="shared" si="2097"/>
        <v>89301000</v>
      </c>
      <c r="B11720" t="str">
        <f t="shared" si="2095"/>
        <v>06539000</v>
      </c>
      <c r="C11720" t="str">
        <f>"06539001"</f>
        <v>06539001</v>
      </c>
      <c r="D11720">
        <v>89301101</v>
      </c>
      <c r="E11720" t="str">
        <f t="shared" si="2098"/>
        <v>1410191244</v>
      </c>
      <c r="F11720" s="1">
        <v>45163</v>
      </c>
      <c r="G11720" t="str">
        <f>"81331"</f>
        <v>81331</v>
      </c>
      <c r="H11720">
        <v>1</v>
      </c>
      <c r="I11720">
        <v>193</v>
      </c>
      <c r="J11720">
        <v>0</v>
      </c>
      <c r="K11720" t="str">
        <f>"801"</f>
        <v>801</v>
      </c>
      <c r="L11720">
        <v>162.12</v>
      </c>
    </row>
    <row r="11721" spans="1:12" x14ac:dyDescent="0.25">
      <c r="A11721" t="str">
        <f t="shared" si="2097"/>
        <v>89301000</v>
      </c>
      <c r="B11721" t="str">
        <f t="shared" si="2095"/>
        <v>06539000</v>
      </c>
      <c r="C11721" t="str">
        <f t="shared" ref="C11721:C11752" si="2099">"06539003"</f>
        <v>06539003</v>
      </c>
      <c r="D11721">
        <v>89301101</v>
      </c>
      <c r="E11721" t="str">
        <f t="shared" si="2098"/>
        <v>1410191244</v>
      </c>
      <c r="F11721" s="1">
        <v>45168</v>
      </c>
      <c r="G11721" t="str">
        <f t="shared" ref="G11721:G11730" si="2100">"91413"</f>
        <v>91413</v>
      </c>
      <c r="H11721">
        <v>1</v>
      </c>
      <c r="I11721">
        <v>868</v>
      </c>
      <c r="J11721">
        <v>0</v>
      </c>
      <c r="K11721" t="str">
        <f t="shared" ref="K11721:K11752" si="2101">"813"</f>
        <v>813</v>
      </c>
      <c r="L11721">
        <v>729.12</v>
      </c>
    </row>
    <row r="11722" spans="1:12" x14ac:dyDescent="0.25">
      <c r="A11722" t="str">
        <f t="shared" si="2097"/>
        <v>89301000</v>
      </c>
      <c r="B11722" t="str">
        <f t="shared" si="2095"/>
        <v>06539000</v>
      </c>
      <c r="C11722" t="str">
        <f t="shared" si="2099"/>
        <v>06539003</v>
      </c>
      <c r="D11722">
        <v>89301101</v>
      </c>
      <c r="E11722" t="str">
        <f t="shared" si="2098"/>
        <v>1410191244</v>
      </c>
      <c r="F11722" s="1">
        <v>45168</v>
      </c>
      <c r="G11722" t="str">
        <f t="shared" si="2100"/>
        <v>91413</v>
      </c>
      <c r="H11722">
        <v>1</v>
      </c>
      <c r="I11722">
        <v>868</v>
      </c>
      <c r="J11722">
        <v>0</v>
      </c>
      <c r="K11722" t="str">
        <f t="shared" si="2101"/>
        <v>813</v>
      </c>
      <c r="L11722">
        <v>729.12</v>
      </c>
    </row>
    <row r="11723" spans="1:12" x14ac:dyDescent="0.25">
      <c r="A11723" t="str">
        <f t="shared" si="2097"/>
        <v>89301000</v>
      </c>
      <c r="B11723" t="str">
        <f t="shared" ref="B11723:B11754" si="2102">"06539000"</f>
        <v>06539000</v>
      </c>
      <c r="C11723" t="str">
        <f t="shared" si="2099"/>
        <v>06539003</v>
      </c>
      <c r="D11723">
        <v>89301101</v>
      </c>
      <c r="E11723" t="str">
        <f t="shared" si="2098"/>
        <v>1410191244</v>
      </c>
      <c r="F11723" s="1">
        <v>45188</v>
      </c>
      <c r="G11723" t="str">
        <f t="shared" si="2100"/>
        <v>91413</v>
      </c>
      <c r="H11723">
        <v>1</v>
      </c>
      <c r="I11723">
        <v>868</v>
      </c>
      <c r="J11723">
        <v>0</v>
      </c>
      <c r="K11723" t="str">
        <f t="shared" si="2101"/>
        <v>813</v>
      </c>
      <c r="L11723">
        <v>729.12</v>
      </c>
    </row>
    <row r="11724" spans="1:12" x14ac:dyDescent="0.25">
      <c r="A11724" t="str">
        <f t="shared" si="2097"/>
        <v>89301000</v>
      </c>
      <c r="B11724" t="str">
        <f t="shared" si="2102"/>
        <v>06539000</v>
      </c>
      <c r="C11724" t="str">
        <f t="shared" si="2099"/>
        <v>06539003</v>
      </c>
      <c r="D11724">
        <v>89301101</v>
      </c>
      <c r="E11724" t="str">
        <f t="shared" si="2098"/>
        <v>1410191244</v>
      </c>
      <c r="F11724" s="1">
        <v>45188</v>
      </c>
      <c r="G11724" t="str">
        <f t="shared" si="2100"/>
        <v>91413</v>
      </c>
      <c r="H11724">
        <v>1</v>
      </c>
      <c r="I11724">
        <v>868</v>
      </c>
      <c r="J11724">
        <v>0</v>
      </c>
      <c r="K11724" t="str">
        <f t="shared" si="2101"/>
        <v>813</v>
      </c>
      <c r="L11724">
        <v>729.12</v>
      </c>
    </row>
    <row r="11725" spans="1:12" x14ac:dyDescent="0.25">
      <c r="A11725" t="str">
        <f t="shared" si="2097"/>
        <v>89301000</v>
      </c>
      <c r="B11725" t="str">
        <f t="shared" si="2102"/>
        <v>06539000</v>
      </c>
      <c r="C11725" t="str">
        <f t="shared" si="2099"/>
        <v>06539003</v>
      </c>
      <c r="D11725">
        <v>89301101</v>
      </c>
      <c r="E11725" t="str">
        <f t="shared" si="2098"/>
        <v>1410191244</v>
      </c>
      <c r="F11725" s="1">
        <v>45189</v>
      </c>
      <c r="G11725" t="str">
        <f t="shared" si="2100"/>
        <v>91413</v>
      </c>
      <c r="H11725">
        <v>1</v>
      </c>
      <c r="I11725">
        <v>868</v>
      </c>
      <c r="J11725">
        <v>0</v>
      </c>
      <c r="K11725" t="str">
        <f t="shared" si="2101"/>
        <v>813</v>
      </c>
      <c r="L11725">
        <v>729.12</v>
      </c>
    </row>
    <row r="11726" spans="1:12" x14ac:dyDescent="0.25">
      <c r="A11726" t="str">
        <f t="shared" si="2097"/>
        <v>89301000</v>
      </c>
      <c r="B11726" t="str">
        <f t="shared" si="2102"/>
        <v>06539000</v>
      </c>
      <c r="C11726" t="str">
        <f t="shared" si="2099"/>
        <v>06539003</v>
      </c>
      <c r="D11726">
        <v>89301101</v>
      </c>
      <c r="E11726" t="str">
        <f t="shared" si="2098"/>
        <v>1410191244</v>
      </c>
      <c r="F11726" s="1">
        <v>45189</v>
      </c>
      <c r="G11726" t="str">
        <f t="shared" si="2100"/>
        <v>91413</v>
      </c>
      <c r="H11726">
        <v>1</v>
      </c>
      <c r="I11726">
        <v>868</v>
      </c>
      <c r="J11726">
        <v>0</v>
      </c>
      <c r="K11726" t="str">
        <f t="shared" si="2101"/>
        <v>813</v>
      </c>
      <c r="L11726">
        <v>729.12</v>
      </c>
    </row>
    <row r="11727" spans="1:12" x14ac:dyDescent="0.25">
      <c r="A11727" t="str">
        <f t="shared" si="2097"/>
        <v>89301000</v>
      </c>
      <c r="B11727" t="str">
        <f t="shared" si="2102"/>
        <v>06539000</v>
      </c>
      <c r="C11727" t="str">
        <f t="shared" si="2099"/>
        <v>06539003</v>
      </c>
      <c r="D11727">
        <v>89301101</v>
      </c>
      <c r="E11727" t="str">
        <f t="shared" si="2098"/>
        <v>1410191244</v>
      </c>
      <c r="F11727" s="1">
        <v>45188</v>
      </c>
      <c r="G11727" t="str">
        <f t="shared" si="2100"/>
        <v>91413</v>
      </c>
      <c r="H11727">
        <v>1</v>
      </c>
      <c r="I11727">
        <v>868</v>
      </c>
      <c r="J11727">
        <v>0</v>
      </c>
      <c r="K11727" t="str">
        <f t="shared" si="2101"/>
        <v>813</v>
      </c>
      <c r="L11727">
        <v>729.12</v>
      </c>
    </row>
    <row r="11728" spans="1:12" x14ac:dyDescent="0.25">
      <c r="A11728" t="str">
        <f t="shared" si="2097"/>
        <v>89301000</v>
      </c>
      <c r="B11728" t="str">
        <f t="shared" si="2102"/>
        <v>06539000</v>
      </c>
      <c r="C11728" t="str">
        <f t="shared" si="2099"/>
        <v>06539003</v>
      </c>
      <c r="D11728">
        <v>89301101</v>
      </c>
      <c r="E11728" t="str">
        <f t="shared" si="2098"/>
        <v>1410191244</v>
      </c>
      <c r="F11728" s="1">
        <v>45188</v>
      </c>
      <c r="G11728" t="str">
        <f t="shared" si="2100"/>
        <v>91413</v>
      </c>
      <c r="H11728">
        <v>1</v>
      </c>
      <c r="I11728">
        <v>868</v>
      </c>
      <c r="J11728">
        <v>0</v>
      </c>
      <c r="K11728" t="str">
        <f t="shared" si="2101"/>
        <v>813</v>
      </c>
      <c r="L11728">
        <v>729.12</v>
      </c>
    </row>
    <row r="11729" spans="1:12" x14ac:dyDescent="0.25">
      <c r="A11729" t="str">
        <f t="shared" si="2097"/>
        <v>89301000</v>
      </c>
      <c r="B11729" t="str">
        <f t="shared" si="2102"/>
        <v>06539000</v>
      </c>
      <c r="C11729" t="str">
        <f t="shared" si="2099"/>
        <v>06539003</v>
      </c>
      <c r="D11729">
        <v>89301101</v>
      </c>
      <c r="E11729" t="str">
        <f t="shared" si="2098"/>
        <v>1410191244</v>
      </c>
      <c r="F11729" s="1">
        <v>45188</v>
      </c>
      <c r="G11729" t="str">
        <f t="shared" si="2100"/>
        <v>91413</v>
      </c>
      <c r="H11729">
        <v>1</v>
      </c>
      <c r="I11729">
        <v>868</v>
      </c>
      <c r="J11729">
        <v>0</v>
      </c>
      <c r="K11729" t="str">
        <f t="shared" si="2101"/>
        <v>813</v>
      </c>
      <c r="L11729">
        <v>729.12</v>
      </c>
    </row>
    <row r="11730" spans="1:12" x14ac:dyDescent="0.25">
      <c r="A11730" t="str">
        <f t="shared" si="2097"/>
        <v>89301000</v>
      </c>
      <c r="B11730" t="str">
        <f t="shared" si="2102"/>
        <v>06539000</v>
      </c>
      <c r="C11730" t="str">
        <f t="shared" si="2099"/>
        <v>06539003</v>
      </c>
      <c r="D11730">
        <v>89301101</v>
      </c>
      <c r="E11730" t="str">
        <f t="shared" si="2098"/>
        <v>1410191244</v>
      </c>
      <c r="F11730" s="1">
        <v>45188</v>
      </c>
      <c r="G11730" t="str">
        <f t="shared" si="2100"/>
        <v>91413</v>
      </c>
      <c r="H11730">
        <v>1</v>
      </c>
      <c r="I11730">
        <v>868</v>
      </c>
      <c r="J11730">
        <v>0</v>
      </c>
      <c r="K11730" t="str">
        <f t="shared" si="2101"/>
        <v>813</v>
      </c>
      <c r="L11730">
        <v>729.12</v>
      </c>
    </row>
    <row r="11731" spans="1:12" x14ac:dyDescent="0.25">
      <c r="A11731" t="str">
        <f t="shared" si="2097"/>
        <v>89301000</v>
      </c>
      <c r="B11731" t="str">
        <f t="shared" si="2102"/>
        <v>06539000</v>
      </c>
      <c r="C11731" t="str">
        <f t="shared" si="2099"/>
        <v>06539003</v>
      </c>
      <c r="D11731">
        <v>89301101</v>
      </c>
      <c r="E11731" t="str">
        <f t="shared" si="2098"/>
        <v>1410191244</v>
      </c>
      <c r="F11731" s="1">
        <v>45188</v>
      </c>
      <c r="G11731" t="str">
        <f>"91329"</f>
        <v>91329</v>
      </c>
      <c r="H11731">
        <v>2</v>
      </c>
      <c r="I11731">
        <v>436</v>
      </c>
      <c r="J11731">
        <v>0</v>
      </c>
      <c r="K11731" t="str">
        <f t="shared" si="2101"/>
        <v>813</v>
      </c>
      <c r="L11731">
        <v>366.24</v>
      </c>
    </row>
    <row r="11732" spans="1:12" x14ac:dyDescent="0.25">
      <c r="A11732" t="str">
        <f t="shared" si="2097"/>
        <v>89301000</v>
      </c>
      <c r="B11732" t="str">
        <f t="shared" si="2102"/>
        <v>06539000</v>
      </c>
      <c r="C11732" t="str">
        <f t="shared" si="2099"/>
        <v>06539003</v>
      </c>
      <c r="D11732">
        <v>89301101</v>
      </c>
      <c r="E11732" t="str">
        <f t="shared" si="2098"/>
        <v>1410191244</v>
      </c>
      <c r="F11732" s="1">
        <v>45188</v>
      </c>
      <c r="G11732" t="str">
        <f>"91329"</f>
        <v>91329</v>
      </c>
      <c r="H11732">
        <v>2</v>
      </c>
      <c r="I11732">
        <v>436</v>
      </c>
      <c r="J11732">
        <v>0</v>
      </c>
      <c r="K11732" t="str">
        <f t="shared" si="2101"/>
        <v>813</v>
      </c>
      <c r="L11732">
        <v>366.24</v>
      </c>
    </row>
    <row r="11733" spans="1:12" x14ac:dyDescent="0.25">
      <c r="A11733" t="str">
        <f t="shared" si="2097"/>
        <v>89301000</v>
      </c>
      <c r="B11733" t="str">
        <f t="shared" si="2102"/>
        <v>06539000</v>
      </c>
      <c r="C11733" t="str">
        <f t="shared" si="2099"/>
        <v>06539003</v>
      </c>
      <c r="D11733">
        <v>89301101</v>
      </c>
      <c r="E11733" t="str">
        <f t="shared" si="2098"/>
        <v>1410191244</v>
      </c>
      <c r="F11733" s="1">
        <v>45188</v>
      </c>
      <c r="G11733" t="str">
        <f>"91329"</f>
        <v>91329</v>
      </c>
      <c r="H11733">
        <v>2</v>
      </c>
      <c r="I11733">
        <v>436</v>
      </c>
      <c r="J11733">
        <v>0</v>
      </c>
      <c r="K11733" t="str">
        <f t="shared" si="2101"/>
        <v>813</v>
      </c>
      <c r="L11733">
        <v>366.24</v>
      </c>
    </row>
    <row r="11734" spans="1:12" x14ac:dyDescent="0.25">
      <c r="A11734" t="str">
        <f t="shared" si="2097"/>
        <v>89301000</v>
      </c>
      <c r="B11734" t="str">
        <f t="shared" si="2102"/>
        <v>06539000</v>
      </c>
      <c r="C11734" t="str">
        <f t="shared" si="2099"/>
        <v>06539003</v>
      </c>
      <c r="D11734">
        <v>89301101</v>
      </c>
      <c r="E11734" t="str">
        <f t="shared" si="2098"/>
        <v>1410191244</v>
      </c>
      <c r="F11734" s="1">
        <v>45188</v>
      </c>
      <c r="G11734" t="str">
        <f>"91329"</f>
        <v>91329</v>
      </c>
      <c r="H11734">
        <v>2</v>
      </c>
      <c r="I11734">
        <v>436</v>
      </c>
      <c r="J11734">
        <v>0</v>
      </c>
      <c r="K11734" t="str">
        <f t="shared" si="2101"/>
        <v>813</v>
      </c>
      <c r="L11734">
        <v>366.24</v>
      </c>
    </row>
    <row r="11735" spans="1:12" x14ac:dyDescent="0.25">
      <c r="A11735" t="str">
        <f t="shared" si="2097"/>
        <v>89301000</v>
      </c>
      <c r="B11735" t="str">
        <f t="shared" si="2102"/>
        <v>06539000</v>
      </c>
      <c r="C11735" t="str">
        <f t="shared" si="2099"/>
        <v>06539003</v>
      </c>
      <c r="D11735">
        <v>89301101</v>
      </c>
      <c r="E11735" t="str">
        <f t="shared" si="2098"/>
        <v>1410191244</v>
      </c>
      <c r="F11735" s="1">
        <v>45173</v>
      </c>
      <c r="G11735" t="str">
        <f>"91329"</f>
        <v>91329</v>
      </c>
      <c r="H11735">
        <v>2</v>
      </c>
      <c r="I11735">
        <v>436</v>
      </c>
      <c r="J11735">
        <v>0</v>
      </c>
      <c r="K11735" t="str">
        <f t="shared" si="2101"/>
        <v>813</v>
      </c>
      <c r="L11735">
        <v>366.24</v>
      </c>
    </row>
    <row r="11736" spans="1:12" x14ac:dyDescent="0.25">
      <c r="A11736" t="str">
        <f t="shared" si="2097"/>
        <v>89301000</v>
      </c>
      <c r="B11736" t="str">
        <f t="shared" si="2102"/>
        <v>06539000</v>
      </c>
      <c r="C11736" t="str">
        <f t="shared" si="2099"/>
        <v>06539003</v>
      </c>
      <c r="D11736">
        <v>89301101</v>
      </c>
      <c r="E11736" t="str">
        <f t="shared" si="2098"/>
        <v>1410191244</v>
      </c>
      <c r="F11736" s="1">
        <v>45163</v>
      </c>
      <c r="G11736" t="str">
        <f>"91129"</f>
        <v>91129</v>
      </c>
      <c r="H11736">
        <v>1</v>
      </c>
      <c r="I11736">
        <v>175</v>
      </c>
      <c r="J11736">
        <v>0</v>
      </c>
      <c r="K11736" t="str">
        <f t="shared" si="2101"/>
        <v>813</v>
      </c>
      <c r="L11736">
        <v>147</v>
      </c>
    </row>
    <row r="11737" spans="1:12" x14ac:dyDescent="0.25">
      <c r="A11737" t="str">
        <f t="shared" si="2097"/>
        <v>89301000</v>
      </c>
      <c r="B11737" t="str">
        <f t="shared" si="2102"/>
        <v>06539000</v>
      </c>
      <c r="C11737" t="str">
        <f t="shared" si="2099"/>
        <v>06539003</v>
      </c>
      <c r="D11737">
        <v>89301101</v>
      </c>
      <c r="E11737" t="str">
        <f t="shared" si="2098"/>
        <v>1410191244</v>
      </c>
      <c r="F11737" s="1">
        <v>45163</v>
      </c>
      <c r="G11737" t="str">
        <f>"91131"</f>
        <v>91131</v>
      </c>
      <c r="H11737">
        <v>1</v>
      </c>
      <c r="I11737">
        <v>171</v>
      </c>
      <c r="J11737">
        <v>0</v>
      </c>
      <c r="K11737" t="str">
        <f t="shared" si="2101"/>
        <v>813</v>
      </c>
      <c r="L11737">
        <v>143.63999999999999</v>
      </c>
    </row>
    <row r="11738" spans="1:12" x14ac:dyDescent="0.25">
      <c r="A11738" t="str">
        <f t="shared" si="2097"/>
        <v>89301000</v>
      </c>
      <c r="B11738" t="str">
        <f t="shared" si="2102"/>
        <v>06539000</v>
      </c>
      <c r="C11738" t="str">
        <f t="shared" si="2099"/>
        <v>06539003</v>
      </c>
      <c r="D11738">
        <v>89301101</v>
      </c>
      <c r="E11738" t="str">
        <f t="shared" si="2098"/>
        <v>1410191244</v>
      </c>
      <c r="F11738" s="1">
        <v>45163</v>
      </c>
      <c r="G11738" t="str">
        <f>"91133"</f>
        <v>91133</v>
      </c>
      <c r="H11738">
        <v>1</v>
      </c>
      <c r="I11738">
        <v>177</v>
      </c>
      <c r="J11738">
        <v>0</v>
      </c>
      <c r="K11738" t="str">
        <f t="shared" si="2101"/>
        <v>813</v>
      </c>
      <c r="L11738">
        <v>148.68</v>
      </c>
    </row>
    <row r="11739" spans="1:12" x14ac:dyDescent="0.25">
      <c r="A11739" t="str">
        <f t="shared" si="2097"/>
        <v>89301000</v>
      </c>
      <c r="B11739" t="str">
        <f t="shared" si="2102"/>
        <v>06539000</v>
      </c>
      <c r="C11739" t="str">
        <f t="shared" si="2099"/>
        <v>06539003</v>
      </c>
      <c r="D11739">
        <v>89301101</v>
      </c>
      <c r="E11739" t="str">
        <f t="shared" si="2098"/>
        <v>1410191244</v>
      </c>
      <c r="F11739" s="1">
        <v>45163</v>
      </c>
      <c r="G11739" t="str">
        <f>"91171"</f>
        <v>91171</v>
      </c>
      <c r="H11739">
        <v>1</v>
      </c>
      <c r="I11739">
        <v>362</v>
      </c>
      <c r="J11739">
        <v>0</v>
      </c>
      <c r="K11739" t="str">
        <f t="shared" si="2101"/>
        <v>813</v>
      </c>
      <c r="L11739">
        <v>304.08</v>
      </c>
    </row>
    <row r="11740" spans="1:12" x14ac:dyDescent="0.25">
      <c r="A11740" t="str">
        <f t="shared" si="2097"/>
        <v>89301000</v>
      </c>
      <c r="B11740" t="str">
        <f t="shared" si="2102"/>
        <v>06539000</v>
      </c>
      <c r="C11740" t="str">
        <f t="shared" si="2099"/>
        <v>06539003</v>
      </c>
      <c r="D11740">
        <v>89301101</v>
      </c>
      <c r="E11740" t="str">
        <f t="shared" si="2098"/>
        <v>1410191244</v>
      </c>
      <c r="F11740" s="1">
        <v>45163</v>
      </c>
      <c r="G11740" t="str">
        <f>"91173"</f>
        <v>91173</v>
      </c>
      <c r="H11740">
        <v>1</v>
      </c>
      <c r="I11740">
        <v>337</v>
      </c>
      <c r="J11740">
        <v>0</v>
      </c>
      <c r="K11740" t="str">
        <f t="shared" si="2101"/>
        <v>813</v>
      </c>
      <c r="L11740">
        <v>283.08</v>
      </c>
    </row>
    <row r="11741" spans="1:12" x14ac:dyDescent="0.25">
      <c r="A11741" t="str">
        <f t="shared" si="2097"/>
        <v>89301000</v>
      </c>
      <c r="B11741" t="str">
        <f t="shared" si="2102"/>
        <v>06539000</v>
      </c>
      <c r="C11741" t="str">
        <f t="shared" si="2099"/>
        <v>06539003</v>
      </c>
      <c r="D11741">
        <v>89301101</v>
      </c>
      <c r="E11741" t="str">
        <f t="shared" si="2098"/>
        <v>1410191244</v>
      </c>
      <c r="F11741" s="1">
        <v>45163</v>
      </c>
      <c r="G11741" t="str">
        <f>"91175"</f>
        <v>91175</v>
      </c>
      <c r="H11741">
        <v>1</v>
      </c>
      <c r="I11741">
        <v>362</v>
      </c>
      <c r="J11741">
        <v>0</v>
      </c>
      <c r="K11741" t="str">
        <f t="shared" si="2101"/>
        <v>813</v>
      </c>
      <c r="L11741">
        <v>304.08</v>
      </c>
    </row>
    <row r="11742" spans="1:12" x14ac:dyDescent="0.25">
      <c r="A11742" t="str">
        <f t="shared" si="2097"/>
        <v>89301000</v>
      </c>
      <c r="B11742" t="str">
        <f t="shared" si="2102"/>
        <v>06539000</v>
      </c>
      <c r="C11742" t="str">
        <f t="shared" si="2099"/>
        <v>06539003</v>
      </c>
      <c r="D11742">
        <v>89301101</v>
      </c>
      <c r="E11742" t="str">
        <f t="shared" si="2098"/>
        <v>1410191244</v>
      </c>
      <c r="F11742" s="1">
        <v>45168</v>
      </c>
      <c r="G11742" t="str">
        <f>"91475"</f>
        <v>91475</v>
      </c>
      <c r="H11742">
        <v>1</v>
      </c>
      <c r="I11742">
        <v>213</v>
      </c>
      <c r="J11742">
        <v>0</v>
      </c>
      <c r="K11742" t="str">
        <f t="shared" si="2101"/>
        <v>813</v>
      </c>
      <c r="L11742">
        <v>178.92</v>
      </c>
    </row>
    <row r="11743" spans="1:12" x14ac:dyDescent="0.25">
      <c r="A11743" t="str">
        <f t="shared" si="2097"/>
        <v>89301000</v>
      </c>
      <c r="B11743" t="str">
        <f t="shared" si="2102"/>
        <v>06539000</v>
      </c>
      <c r="C11743" t="str">
        <f t="shared" si="2099"/>
        <v>06539003</v>
      </c>
      <c r="D11743">
        <v>89301171</v>
      </c>
      <c r="E11743" t="str">
        <f t="shared" ref="E11743:E11765" si="2103">"9157254854"</f>
        <v>9157254854</v>
      </c>
      <c r="F11743" s="1">
        <v>45168</v>
      </c>
      <c r="G11743" t="str">
        <f t="shared" ref="G11743:G11752" si="2104">"91413"</f>
        <v>91413</v>
      </c>
      <c r="H11743">
        <v>1</v>
      </c>
      <c r="I11743">
        <v>868</v>
      </c>
      <c r="J11743">
        <v>0</v>
      </c>
      <c r="K11743" t="str">
        <f t="shared" si="2101"/>
        <v>813</v>
      </c>
      <c r="L11743">
        <v>729.12</v>
      </c>
    </row>
    <row r="11744" spans="1:12" x14ac:dyDescent="0.25">
      <c r="A11744" t="str">
        <f t="shared" si="2097"/>
        <v>89301000</v>
      </c>
      <c r="B11744" t="str">
        <f t="shared" si="2102"/>
        <v>06539000</v>
      </c>
      <c r="C11744" t="str">
        <f t="shared" si="2099"/>
        <v>06539003</v>
      </c>
      <c r="D11744">
        <v>89301171</v>
      </c>
      <c r="E11744" t="str">
        <f t="shared" si="2103"/>
        <v>9157254854</v>
      </c>
      <c r="F11744" s="1">
        <v>45168</v>
      </c>
      <c r="G11744" t="str">
        <f t="shared" si="2104"/>
        <v>91413</v>
      </c>
      <c r="H11744">
        <v>1</v>
      </c>
      <c r="I11744">
        <v>868</v>
      </c>
      <c r="J11744">
        <v>0</v>
      </c>
      <c r="K11744" t="str">
        <f t="shared" si="2101"/>
        <v>813</v>
      </c>
      <c r="L11744">
        <v>729.12</v>
      </c>
    </row>
    <row r="11745" spans="1:12" x14ac:dyDescent="0.25">
      <c r="A11745" t="str">
        <f t="shared" si="2097"/>
        <v>89301000</v>
      </c>
      <c r="B11745" t="str">
        <f t="shared" si="2102"/>
        <v>06539000</v>
      </c>
      <c r="C11745" t="str">
        <f t="shared" si="2099"/>
        <v>06539003</v>
      </c>
      <c r="D11745">
        <v>89301171</v>
      </c>
      <c r="E11745" t="str">
        <f t="shared" si="2103"/>
        <v>9157254854</v>
      </c>
      <c r="F11745" s="1">
        <v>45188</v>
      </c>
      <c r="G11745" t="str">
        <f t="shared" si="2104"/>
        <v>91413</v>
      </c>
      <c r="H11745">
        <v>1</v>
      </c>
      <c r="I11745">
        <v>868</v>
      </c>
      <c r="J11745">
        <v>0</v>
      </c>
      <c r="K11745" t="str">
        <f t="shared" si="2101"/>
        <v>813</v>
      </c>
      <c r="L11745">
        <v>729.12</v>
      </c>
    </row>
    <row r="11746" spans="1:12" x14ac:dyDescent="0.25">
      <c r="A11746" t="str">
        <f t="shared" si="2097"/>
        <v>89301000</v>
      </c>
      <c r="B11746" t="str">
        <f t="shared" si="2102"/>
        <v>06539000</v>
      </c>
      <c r="C11746" t="str">
        <f t="shared" si="2099"/>
        <v>06539003</v>
      </c>
      <c r="D11746">
        <v>89301171</v>
      </c>
      <c r="E11746" t="str">
        <f t="shared" si="2103"/>
        <v>9157254854</v>
      </c>
      <c r="F11746" s="1">
        <v>45188</v>
      </c>
      <c r="G11746" t="str">
        <f t="shared" si="2104"/>
        <v>91413</v>
      </c>
      <c r="H11746">
        <v>1</v>
      </c>
      <c r="I11746">
        <v>868</v>
      </c>
      <c r="J11746">
        <v>0</v>
      </c>
      <c r="K11746" t="str">
        <f t="shared" si="2101"/>
        <v>813</v>
      </c>
      <c r="L11746">
        <v>729.12</v>
      </c>
    </row>
    <row r="11747" spans="1:12" x14ac:dyDescent="0.25">
      <c r="A11747" t="str">
        <f t="shared" si="2097"/>
        <v>89301000</v>
      </c>
      <c r="B11747" t="str">
        <f t="shared" si="2102"/>
        <v>06539000</v>
      </c>
      <c r="C11747" t="str">
        <f t="shared" si="2099"/>
        <v>06539003</v>
      </c>
      <c r="D11747">
        <v>89301171</v>
      </c>
      <c r="E11747" t="str">
        <f t="shared" si="2103"/>
        <v>9157254854</v>
      </c>
      <c r="F11747" s="1">
        <v>45189</v>
      </c>
      <c r="G11747" t="str">
        <f t="shared" si="2104"/>
        <v>91413</v>
      </c>
      <c r="H11747">
        <v>1</v>
      </c>
      <c r="I11747">
        <v>868</v>
      </c>
      <c r="J11747">
        <v>0</v>
      </c>
      <c r="K11747" t="str">
        <f t="shared" si="2101"/>
        <v>813</v>
      </c>
      <c r="L11747">
        <v>729.12</v>
      </c>
    </row>
    <row r="11748" spans="1:12" x14ac:dyDescent="0.25">
      <c r="A11748" t="str">
        <f t="shared" si="2097"/>
        <v>89301000</v>
      </c>
      <c r="B11748" t="str">
        <f t="shared" si="2102"/>
        <v>06539000</v>
      </c>
      <c r="C11748" t="str">
        <f t="shared" si="2099"/>
        <v>06539003</v>
      </c>
      <c r="D11748">
        <v>89301171</v>
      </c>
      <c r="E11748" t="str">
        <f t="shared" si="2103"/>
        <v>9157254854</v>
      </c>
      <c r="F11748" s="1">
        <v>45189</v>
      </c>
      <c r="G11748" t="str">
        <f t="shared" si="2104"/>
        <v>91413</v>
      </c>
      <c r="H11748">
        <v>1</v>
      </c>
      <c r="I11748">
        <v>868</v>
      </c>
      <c r="J11748">
        <v>0</v>
      </c>
      <c r="K11748" t="str">
        <f t="shared" si="2101"/>
        <v>813</v>
      </c>
      <c r="L11748">
        <v>729.12</v>
      </c>
    </row>
    <row r="11749" spans="1:12" x14ac:dyDescent="0.25">
      <c r="A11749" t="str">
        <f t="shared" si="2097"/>
        <v>89301000</v>
      </c>
      <c r="B11749" t="str">
        <f t="shared" si="2102"/>
        <v>06539000</v>
      </c>
      <c r="C11749" t="str">
        <f t="shared" si="2099"/>
        <v>06539003</v>
      </c>
      <c r="D11749">
        <v>89301171</v>
      </c>
      <c r="E11749" t="str">
        <f t="shared" si="2103"/>
        <v>9157254854</v>
      </c>
      <c r="F11749" s="1">
        <v>45188</v>
      </c>
      <c r="G11749" t="str">
        <f t="shared" si="2104"/>
        <v>91413</v>
      </c>
      <c r="H11749">
        <v>1</v>
      </c>
      <c r="I11749">
        <v>868</v>
      </c>
      <c r="J11749">
        <v>0</v>
      </c>
      <c r="K11749" t="str">
        <f t="shared" si="2101"/>
        <v>813</v>
      </c>
      <c r="L11749">
        <v>729.12</v>
      </c>
    </row>
    <row r="11750" spans="1:12" x14ac:dyDescent="0.25">
      <c r="A11750" t="str">
        <f t="shared" si="2097"/>
        <v>89301000</v>
      </c>
      <c r="B11750" t="str">
        <f t="shared" si="2102"/>
        <v>06539000</v>
      </c>
      <c r="C11750" t="str">
        <f t="shared" si="2099"/>
        <v>06539003</v>
      </c>
      <c r="D11750">
        <v>89301171</v>
      </c>
      <c r="E11750" t="str">
        <f t="shared" si="2103"/>
        <v>9157254854</v>
      </c>
      <c r="F11750" s="1">
        <v>45188</v>
      </c>
      <c r="G11750" t="str">
        <f t="shared" si="2104"/>
        <v>91413</v>
      </c>
      <c r="H11750">
        <v>1</v>
      </c>
      <c r="I11750">
        <v>868</v>
      </c>
      <c r="J11750">
        <v>0</v>
      </c>
      <c r="K11750" t="str">
        <f t="shared" si="2101"/>
        <v>813</v>
      </c>
      <c r="L11750">
        <v>729.12</v>
      </c>
    </row>
    <row r="11751" spans="1:12" x14ac:dyDescent="0.25">
      <c r="A11751" t="str">
        <f t="shared" si="2097"/>
        <v>89301000</v>
      </c>
      <c r="B11751" t="str">
        <f t="shared" si="2102"/>
        <v>06539000</v>
      </c>
      <c r="C11751" t="str">
        <f t="shared" si="2099"/>
        <v>06539003</v>
      </c>
      <c r="D11751">
        <v>89301171</v>
      </c>
      <c r="E11751" t="str">
        <f t="shared" si="2103"/>
        <v>9157254854</v>
      </c>
      <c r="F11751" s="1">
        <v>45188</v>
      </c>
      <c r="G11751" t="str">
        <f t="shared" si="2104"/>
        <v>91413</v>
      </c>
      <c r="H11751">
        <v>1</v>
      </c>
      <c r="I11751">
        <v>868</v>
      </c>
      <c r="J11751">
        <v>0</v>
      </c>
      <c r="K11751" t="str">
        <f t="shared" si="2101"/>
        <v>813</v>
      </c>
      <c r="L11751">
        <v>729.12</v>
      </c>
    </row>
    <row r="11752" spans="1:12" x14ac:dyDescent="0.25">
      <c r="A11752" t="str">
        <f t="shared" si="2097"/>
        <v>89301000</v>
      </c>
      <c r="B11752" t="str">
        <f t="shared" si="2102"/>
        <v>06539000</v>
      </c>
      <c r="C11752" t="str">
        <f t="shared" si="2099"/>
        <v>06539003</v>
      </c>
      <c r="D11752">
        <v>89301171</v>
      </c>
      <c r="E11752" t="str">
        <f t="shared" si="2103"/>
        <v>9157254854</v>
      </c>
      <c r="F11752" s="1">
        <v>45188</v>
      </c>
      <c r="G11752" t="str">
        <f t="shared" si="2104"/>
        <v>91413</v>
      </c>
      <c r="H11752">
        <v>1</v>
      </c>
      <c r="I11752">
        <v>868</v>
      </c>
      <c r="J11752">
        <v>0</v>
      </c>
      <c r="K11752" t="str">
        <f t="shared" si="2101"/>
        <v>813</v>
      </c>
      <c r="L11752">
        <v>729.12</v>
      </c>
    </row>
    <row r="11753" spans="1:12" x14ac:dyDescent="0.25">
      <c r="A11753" t="str">
        <f t="shared" si="2097"/>
        <v>89301000</v>
      </c>
      <c r="B11753" t="str">
        <f t="shared" si="2102"/>
        <v>06539000</v>
      </c>
      <c r="C11753" t="str">
        <f t="shared" ref="C11753:C11775" si="2105">"06539003"</f>
        <v>06539003</v>
      </c>
      <c r="D11753">
        <v>89301171</v>
      </c>
      <c r="E11753" t="str">
        <f t="shared" si="2103"/>
        <v>9157254854</v>
      </c>
      <c r="F11753" s="1">
        <v>45166</v>
      </c>
      <c r="G11753" t="str">
        <f t="shared" ref="G11753:G11758" si="2106">"91197"</f>
        <v>91197</v>
      </c>
      <c r="H11753">
        <v>1</v>
      </c>
      <c r="I11753">
        <v>1048</v>
      </c>
      <c r="J11753">
        <v>0</v>
      </c>
      <c r="K11753" t="str">
        <f t="shared" ref="K11753:K11775" si="2107">"813"</f>
        <v>813</v>
      </c>
      <c r="L11753">
        <v>880.32</v>
      </c>
    </row>
    <row r="11754" spans="1:12" x14ac:dyDescent="0.25">
      <c r="A11754" t="str">
        <f t="shared" si="2097"/>
        <v>89301000</v>
      </c>
      <c r="B11754" t="str">
        <f t="shared" si="2102"/>
        <v>06539000</v>
      </c>
      <c r="C11754" t="str">
        <f t="shared" si="2105"/>
        <v>06539003</v>
      </c>
      <c r="D11754">
        <v>89301171</v>
      </c>
      <c r="E11754" t="str">
        <f t="shared" si="2103"/>
        <v>9157254854</v>
      </c>
      <c r="F11754" s="1">
        <v>45166</v>
      </c>
      <c r="G11754" t="str">
        <f t="shared" si="2106"/>
        <v>91197</v>
      </c>
      <c r="H11754">
        <v>1</v>
      </c>
      <c r="I11754">
        <v>1048</v>
      </c>
      <c r="J11754">
        <v>0</v>
      </c>
      <c r="K11754" t="str">
        <f t="shared" si="2107"/>
        <v>813</v>
      </c>
      <c r="L11754">
        <v>880.32</v>
      </c>
    </row>
    <row r="11755" spans="1:12" x14ac:dyDescent="0.25">
      <c r="A11755" t="str">
        <f t="shared" si="2097"/>
        <v>89301000</v>
      </c>
      <c r="B11755" t="str">
        <f t="shared" ref="B11755:B11775" si="2108">"06539000"</f>
        <v>06539000</v>
      </c>
      <c r="C11755" t="str">
        <f t="shared" si="2105"/>
        <v>06539003</v>
      </c>
      <c r="D11755">
        <v>89301171</v>
      </c>
      <c r="E11755" t="str">
        <f t="shared" si="2103"/>
        <v>9157254854</v>
      </c>
      <c r="F11755" s="1">
        <v>45165</v>
      </c>
      <c r="G11755" t="str">
        <f t="shared" si="2106"/>
        <v>91197</v>
      </c>
      <c r="H11755">
        <v>1</v>
      </c>
      <c r="I11755">
        <v>1048</v>
      </c>
      <c r="J11755">
        <v>0</v>
      </c>
      <c r="K11755" t="str">
        <f t="shared" si="2107"/>
        <v>813</v>
      </c>
      <c r="L11755">
        <v>880.32</v>
      </c>
    </row>
    <row r="11756" spans="1:12" x14ac:dyDescent="0.25">
      <c r="A11756" t="str">
        <f t="shared" si="2097"/>
        <v>89301000</v>
      </c>
      <c r="B11756" t="str">
        <f t="shared" si="2108"/>
        <v>06539000</v>
      </c>
      <c r="C11756" t="str">
        <f t="shared" si="2105"/>
        <v>06539003</v>
      </c>
      <c r="D11756">
        <v>89301171</v>
      </c>
      <c r="E11756" t="str">
        <f t="shared" si="2103"/>
        <v>9157254854</v>
      </c>
      <c r="F11756" s="1">
        <v>45165</v>
      </c>
      <c r="G11756" t="str">
        <f t="shared" si="2106"/>
        <v>91197</v>
      </c>
      <c r="H11756">
        <v>1</v>
      </c>
      <c r="I11756">
        <v>1048</v>
      </c>
      <c r="J11756">
        <v>0</v>
      </c>
      <c r="K11756" t="str">
        <f t="shared" si="2107"/>
        <v>813</v>
      </c>
      <c r="L11756">
        <v>880.32</v>
      </c>
    </row>
    <row r="11757" spans="1:12" x14ac:dyDescent="0.25">
      <c r="A11757" t="str">
        <f t="shared" si="2097"/>
        <v>89301000</v>
      </c>
      <c r="B11757" t="str">
        <f t="shared" si="2108"/>
        <v>06539000</v>
      </c>
      <c r="C11757" t="str">
        <f t="shared" si="2105"/>
        <v>06539003</v>
      </c>
      <c r="D11757">
        <v>89301171</v>
      </c>
      <c r="E11757" t="str">
        <f t="shared" si="2103"/>
        <v>9157254854</v>
      </c>
      <c r="F11757" s="1">
        <v>45164</v>
      </c>
      <c r="G11757" t="str">
        <f t="shared" si="2106"/>
        <v>91197</v>
      </c>
      <c r="H11757">
        <v>1</v>
      </c>
      <c r="I11757">
        <v>1048</v>
      </c>
      <c r="J11757">
        <v>0</v>
      </c>
      <c r="K11757" t="str">
        <f t="shared" si="2107"/>
        <v>813</v>
      </c>
      <c r="L11757">
        <v>880.32</v>
      </c>
    </row>
    <row r="11758" spans="1:12" x14ac:dyDescent="0.25">
      <c r="A11758" t="str">
        <f t="shared" si="2097"/>
        <v>89301000</v>
      </c>
      <c r="B11758" t="str">
        <f t="shared" si="2108"/>
        <v>06539000</v>
      </c>
      <c r="C11758" t="str">
        <f t="shared" si="2105"/>
        <v>06539003</v>
      </c>
      <c r="D11758">
        <v>89301171</v>
      </c>
      <c r="E11758" t="str">
        <f t="shared" si="2103"/>
        <v>9157254854</v>
      </c>
      <c r="F11758" s="1">
        <v>45164</v>
      </c>
      <c r="G11758" t="str">
        <f t="shared" si="2106"/>
        <v>91197</v>
      </c>
      <c r="H11758">
        <v>1</v>
      </c>
      <c r="I11758">
        <v>1048</v>
      </c>
      <c r="J11758">
        <v>0</v>
      </c>
      <c r="K11758" t="str">
        <f t="shared" si="2107"/>
        <v>813</v>
      </c>
      <c r="L11758">
        <v>880.32</v>
      </c>
    </row>
    <row r="11759" spans="1:12" x14ac:dyDescent="0.25">
      <c r="A11759" t="str">
        <f t="shared" si="2097"/>
        <v>89301000</v>
      </c>
      <c r="B11759" t="str">
        <f t="shared" si="2108"/>
        <v>06539000</v>
      </c>
      <c r="C11759" t="str">
        <f t="shared" si="2105"/>
        <v>06539003</v>
      </c>
      <c r="D11759">
        <v>89301171</v>
      </c>
      <c r="E11759" t="str">
        <f t="shared" si="2103"/>
        <v>9157254854</v>
      </c>
      <c r="F11759" s="1">
        <v>45188</v>
      </c>
      <c r="G11759" t="str">
        <f>"91329"</f>
        <v>91329</v>
      </c>
      <c r="H11759">
        <v>2</v>
      </c>
      <c r="I11759">
        <v>436</v>
      </c>
      <c r="J11759">
        <v>0</v>
      </c>
      <c r="K11759" t="str">
        <f t="shared" si="2107"/>
        <v>813</v>
      </c>
      <c r="L11759">
        <v>366.24</v>
      </c>
    </row>
    <row r="11760" spans="1:12" x14ac:dyDescent="0.25">
      <c r="A11760" t="str">
        <f t="shared" si="2097"/>
        <v>89301000</v>
      </c>
      <c r="B11760" t="str">
        <f t="shared" si="2108"/>
        <v>06539000</v>
      </c>
      <c r="C11760" t="str">
        <f t="shared" si="2105"/>
        <v>06539003</v>
      </c>
      <c r="D11760">
        <v>89301171</v>
      </c>
      <c r="E11760" t="str">
        <f t="shared" si="2103"/>
        <v>9157254854</v>
      </c>
      <c r="F11760" s="1">
        <v>45188</v>
      </c>
      <c r="G11760" t="str">
        <f>"91329"</f>
        <v>91329</v>
      </c>
      <c r="H11760">
        <v>2</v>
      </c>
      <c r="I11760">
        <v>436</v>
      </c>
      <c r="J11760">
        <v>0</v>
      </c>
      <c r="K11760" t="str">
        <f t="shared" si="2107"/>
        <v>813</v>
      </c>
      <c r="L11760">
        <v>366.24</v>
      </c>
    </row>
    <row r="11761" spans="1:12" x14ac:dyDescent="0.25">
      <c r="A11761" t="str">
        <f t="shared" si="2097"/>
        <v>89301000</v>
      </c>
      <c r="B11761" t="str">
        <f t="shared" si="2108"/>
        <v>06539000</v>
      </c>
      <c r="C11761" t="str">
        <f t="shared" si="2105"/>
        <v>06539003</v>
      </c>
      <c r="D11761">
        <v>89301171</v>
      </c>
      <c r="E11761" t="str">
        <f t="shared" si="2103"/>
        <v>9157254854</v>
      </c>
      <c r="F11761" s="1">
        <v>45188</v>
      </c>
      <c r="G11761" t="str">
        <f>"91329"</f>
        <v>91329</v>
      </c>
      <c r="H11761">
        <v>2</v>
      </c>
      <c r="I11761">
        <v>436</v>
      </c>
      <c r="J11761">
        <v>0</v>
      </c>
      <c r="K11761" t="str">
        <f t="shared" si="2107"/>
        <v>813</v>
      </c>
      <c r="L11761">
        <v>366.24</v>
      </c>
    </row>
    <row r="11762" spans="1:12" x14ac:dyDescent="0.25">
      <c r="A11762" t="str">
        <f t="shared" si="2097"/>
        <v>89301000</v>
      </c>
      <c r="B11762" t="str">
        <f t="shared" si="2108"/>
        <v>06539000</v>
      </c>
      <c r="C11762" t="str">
        <f t="shared" si="2105"/>
        <v>06539003</v>
      </c>
      <c r="D11762">
        <v>89301171</v>
      </c>
      <c r="E11762" t="str">
        <f t="shared" si="2103"/>
        <v>9157254854</v>
      </c>
      <c r="F11762" s="1">
        <v>45188</v>
      </c>
      <c r="G11762" t="str">
        <f>"91329"</f>
        <v>91329</v>
      </c>
      <c r="H11762">
        <v>2</v>
      </c>
      <c r="I11762">
        <v>436</v>
      </c>
      <c r="J11762">
        <v>0</v>
      </c>
      <c r="K11762" t="str">
        <f t="shared" si="2107"/>
        <v>813</v>
      </c>
      <c r="L11762">
        <v>366.24</v>
      </c>
    </row>
    <row r="11763" spans="1:12" x14ac:dyDescent="0.25">
      <c r="A11763" t="str">
        <f t="shared" si="2097"/>
        <v>89301000</v>
      </c>
      <c r="B11763" t="str">
        <f t="shared" si="2108"/>
        <v>06539000</v>
      </c>
      <c r="C11763" t="str">
        <f t="shared" si="2105"/>
        <v>06539003</v>
      </c>
      <c r="D11763">
        <v>89301171</v>
      </c>
      <c r="E11763" t="str">
        <f t="shared" si="2103"/>
        <v>9157254854</v>
      </c>
      <c r="F11763" s="1">
        <v>45164</v>
      </c>
      <c r="G11763" t="str">
        <f>"91167"</f>
        <v>91167</v>
      </c>
      <c r="H11763">
        <v>1</v>
      </c>
      <c r="I11763">
        <v>426</v>
      </c>
      <c r="J11763">
        <v>0</v>
      </c>
      <c r="K11763" t="str">
        <f t="shared" si="2107"/>
        <v>813</v>
      </c>
      <c r="L11763">
        <v>357.84</v>
      </c>
    </row>
    <row r="11764" spans="1:12" x14ac:dyDescent="0.25">
      <c r="A11764" t="str">
        <f t="shared" si="2097"/>
        <v>89301000</v>
      </c>
      <c r="B11764" t="str">
        <f t="shared" si="2108"/>
        <v>06539000</v>
      </c>
      <c r="C11764" t="str">
        <f t="shared" si="2105"/>
        <v>06539003</v>
      </c>
      <c r="D11764">
        <v>89301171</v>
      </c>
      <c r="E11764" t="str">
        <f t="shared" si="2103"/>
        <v>9157254854</v>
      </c>
      <c r="F11764" s="1">
        <v>45164</v>
      </c>
      <c r="G11764" t="str">
        <f>"91169"</f>
        <v>91169</v>
      </c>
      <c r="H11764">
        <v>1</v>
      </c>
      <c r="I11764">
        <v>426</v>
      </c>
      <c r="J11764">
        <v>0</v>
      </c>
      <c r="K11764" t="str">
        <f t="shared" si="2107"/>
        <v>813</v>
      </c>
      <c r="L11764">
        <v>357.84</v>
      </c>
    </row>
    <row r="11765" spans="1:12" x14ac:dyDescent="0.25">
      <c r="A11765" t="str">
        <f t="shared" si="2097"/>
        <v>89301000</v>
      </c>
      <c r="B11765" t="str">
        <f t="shared" si="2108"/>
        <v>06539000</v>
      </c>
      <c r="C11765" t="str">
        <f t="shared" si="2105"/>
        <v>06539003</v>
      </c>
      <c r="D11765">
        <v>89301171</v>
      </c>
      <c r="E11765" t="str">
        <f t="shared" si="2103"/>
        <v>9157254854</v>
      </c>
      <c r="F11765" s="1">
        <v>45168</v>
      </c>
      <c r="G11765" t="str">
        <f>"91475"</f>
        <v>91475</v>
      </c>
      <c r="H11765">
        <v>1</v>
      </c>
      <c r="I11765">
        <v>213</v>
      </c>
      <c r="J11765">
        <v>0</v>
      </c>
      <c r="K11765" t="str">
        <f t="shared" si="2107"/>
        <v>813</v>
      </c>
      <c r="L11765">
        <v>178.92</v>
      </c>
    </row>
    <row r="11766" spans="1:12" x14ac:dyDescent="0.25">
      <c r="A11766" t="str">
        <f t="shared" si="2097"/>
        <v>89301000</v>
      </c>
      <c r="B11766" t="str">
        <f t="shared" si="2108"/>
        <v>06539000</v>
      </c>
      <c r="C11766" t="str">
        <f t="shared" si="2105"/>
        <v>06539003</v>
      </c>
      <c r="D11766">
        <v>89301172</v>
      </c>
      <c r="E11766" t="str">
        <f>"9462075744"</f>
        <v>9462075744</v>
      </c>
      <c r="F11766" s="1">
        <v>45188</v>
      </c>
      <c r="G11766" t="str">
        <f>"91329"</f>
        <v>91329</v>
      </c>
      <c r="H11766">
        <v>2</v>
      </c>
      <c r="I11766">
        <v>436</v>
      </c>
      <c r="J11766">
        <v>0</v>
      </c>
      <c r="K11766" t="str">
        <f t="shared" si="2107"/>
        <v>813</v>
      </c>
      <c r="L11766">
        <v>366.24</v>
      </c>
    </row>
    <row r="11767" spans="1:12" x14ac:dyDescent="0.25">
      <c r="A11767" t="str">
        <f t="shared" si="2097"/>
        <v>89301000</v>
      </c>
      <c r="B11767" t="str">
        <f t="shared" si="2108"/>
        <v>06539000</v>
      </c>
      <c r="C11767" t="str">
        <f t="shared" si="2105"/>
        <v>06539003</v>
      </c>
      <c r="D11767">
        <v>89301172</v>
      </c>
      <c r="E11767" t="str">
        <f>"9462075744"</f>
        <v>9462075744</v>
      </c>
      <c r="F11767" s="1">
        <v>45188</v>
      </c>
      <c r="G11767" t="str">
        <f>"91329"</f>
        <v>91329</v>
      </c>
      <c r="H11767">
        <v>2</v>
      </c>
      <c r="I11767">
        <v>436</v>
      </c>
      <c r="J11767">
        <v>0</v>
      </c>
      <c r="K11767" t="str">
        <f t="shared" si="2107"/>
        <v>813</v>
      </c>
      <c r="L11767">
        <v>366.24</v>
      </c>
    </row>
    <row r="11768" spans="1:12" x14ac:dyDescent="0.25">
      <c r="A11768" t="str">
        <f t="shared" si="2097"/>
        <v>89301000</v>
      </c>
      <c r="B11768" t="str">
        <f t="shared" si="2108"/>
        <v>06539000</v>
      </c>
      <c r="C11768" t="str">
        <f t="shared" si="2105"/>
        <v>06539003</v>
      </c>
      <c r="D11768">
        <v>89301172</v>
      </c>
      <c r="E11768" t="str">
        <f>"9462075744"</f>
        <v>9462075744</v>
      </c>
      <c r="F11768" s="1">
        <v>45188</v>
      </c>
      <c r="G11768" t="str">
        <f>"91329"</f>
        <v>91329</v>
      </c>
      <c r="H11768">
        <v>2</v>
      </c>
      <c r="I11768">
        <v>436</v>
      </c>
      <c r="J11768">
        <v>0</v>
      </c>
      <c r="K11768" t="str">
        <f t="shared" si="2107"/>
        <v>813</v>
      </c>
      <c r="L11768">
        <v>366.24</v>
      </c>
    </row>
    <row r="11769" spans="1:12" x14ac:dyDescent="0.25">
      <c r="A11769" t="str">
        <f t="shared" si="2097"/>
        <v>89301000</v>
      </c>
      <c r="B11769" t="str">
        <f t="shared" si="2108"/>
        <v>06539000</v>
      </c>
      <c r="C11769" t="str">
        <f t="shared" si="2105"/>
        <v>06539003</v>
      </c>
      <c r="D11769">
        <v>89301172</v>
      </c>
      <c r="E11769" t="str">
        <f>"9462075744"</f>
        <v>9462075744</v>
      </c>
      <c r="F11769" s="1">
        <v>45188</v>
      </c>
      <c r="G11769" t="str">
        <f>"91329"</f>
        <v>91329</v>
      </c>
      <c r="H11769">
        <v>2</v>
      </c>
      <c r="I11769">
        <v>436</v>
      </c>
      <c r="J11769">
        <v>0</v>
      </c>
      <c r="K11769" t="str">
        <f t="shared" si="2107"/>
        <v>813</v>
      </c>
      <c r="L11769">
        <v>366.24</v>
      </c>
    </row>
    <row r="11770" spans="1:12" x14ac:dyDescent="0.25">
      <c r="A11770" t="str">
        <f t="shared" si="2097"/>
        <v>89301000</v>
      </c>
      <c r="B11770" t="str">
        <f t="shared" si="2108"/>
        <v>06539000</v>
      </c>
      <c r="C11770" t="str">
        <f t="shared" si="2105"/>
        <v>06539003</v>
      </c>
      <c r="D11770">
        <v>89301172</v>
      </c>
      <c r="E11770" t="str">
        <f>"9462075744"</f>
        <v>9462075744</v>
      </c>
      <c r="F11770" s="1">
        <v>45188</v>
      </c>
      <c r="G11770" t="str">
        <f>"91475"</f>
        <v>91475</v>
      </c>
      <c r="H11770">
        <v>1</v>
      </c>
      <c r="I11770">
        <v>213</v>
      </c>
      <c r="J11770">
        <v>0</v>
      </c>
      <c r="K11770" t="str">
        <f t="shared" si="2107"/>
        <v>813</v>
      </c>
      <c r="L11770">
        <v>178.92</v>
      </c>
    </row>
    <row r="11771" spans="1:12" x14ac:dyDescent="0.25">
      <c r="A11771" t="str">
        <f t="shared" si="2097"/>
        <v>89301000</v>
      </c>
      <c r="B11771" t="str">
        <f t="shared" si="2108"/>
        <v>06539000</v>
      </c>
      <c r="C11771" t="str">
        <f t="shared" si="2105"/>
        <v>06539003</v>
      </c>
      <c r="D11771">
        <v>89301172</v>
      </c>
      <c r="E11771" t="str">
        <f>"7656063514"</f>
        <v>7656063514</v>
      </c>
      <c r="F11771" s="1">
        <v>45195</v>
      </c>
      <c r="G11771" t="str">
        <f>"91329"</f>
        <v>91329</v>
      </c>
      <c r="H11771">
        <v>2</v>
      </c>
      <c r="I11771">
        <v>436</v>
      </c>
      <c r="J11771">
        <v>0</v>
      </c>
      <c r="K11771" t="str">
        <f t="shared" si="2107"/>
        <v>813</v>
      </c>
      <c r="L11771">
        <v>366.24</v>
      </c>
    </row>
    <row r="11772" spans="1:12" x14ac:dyDescent="0.25">
      <c r="A11772" t="str">
        <f t="shared" si="2097"/>
        <v>89301000</v>
      </c>
      <c r="B11772" t="str">
        <f t="shared" si="2108"/>
        <v>06539000</v>
      </c>
      <c r="C11772" t="str">
        <f t="shared" si="2105"/>
        <v>06539003</v>
      </c>
      <c r="D11772">
        <v>89301172</v>
      </c>
      <c r="E11772" t="str">
        <f>"7656063514"</f>
        <v>7656063514</v>
      </c>
      <c r="F11772" s="1">
        <v>45195</v>
      </c>
      <c r="G11772" t="str">
        <f>"91329"</f>
        <v>91329</v>
      </c>
      <c r="H11772">
        <v>2</v>
      </c>
      <c r="I11772">
        <v>436</v>
      </c>
      <c r="J11772">
        <v>0</v>
      </c>
      <c r="K11772" t="str">
        <f t="shared" si="2107"/>
        <v>813</v>
      </c>
      <c r="L11772">
        <v>366.24</v>
      </c>
    </row>
    <row r="11773" spans="1:12" x14ac:dyDescent="0.25">
      <c r="A11773" t="str">
        <f t="shared" si="2097"/>
        <v>89301000</v>
      </c>
      <c r="B11773" t="str">
        <f t="shared" si="2108"/>
        <v>06539000</v>
      </c>
      <c r="C11773" t="str">
        <f t="shared" si="2105"/>
        <v>06539003</v>
      </c>
      <c r="D11773">
        <v>89301172</v>
      </c>
      <c r="E11773" t="str">
        <f>"7656063514"</f>
        <v>7656063514</v>
      </c>
      <c r="F11773" s="1">
        <v>45195</v>
      </c>
      <c r="G11773" t="str">
        <f>"91329"</f>
        <v>91329</v>
      </c>
      <c r="H11773">
        <v>2</v>
      </c>
      <c r="I11773">
        <v>436</v>
      </c>
      <c r="J11773">
        <v>0</v>
      </c>
      <c r="K11773" t="str">
        <f t="shared" si="2107"/>
        <v>813</v>
      </c>
      <c r="L11773">
        <v>366.24</v>
      </c>
    </row>
    <row r="11774" spans="1:12" x14ac:dyDescent="0.25">
      <c r="A11774" t="str">
        <f t="shared" si="2097"/>
        <v>89301000</v>
      </c>
      <c r="B11774" t="str">
        <f t="shared" si="2108"/>
        <v>06539000</v>
      </c>
      <c r="C11774" t="str">
        <f t="shared" si="2105"/>
        <v>06539003</v>
      </c>
      <c r="D11774">
        <v>89301172</v>
      </c>
      <c r="E11774" t="str">
        <f>"7656063514"</f>
        <v>7656063514</v>
      </c>
      <c r="F11774" s="1">
        <v>45195</v>
      </c>
      <c r="G11774" t="str">
        <f>"91329"</f>
        <v>91329</v>
      </c>
      <c r="H11774">
        <v>2</v>
      </c>
      <c r="I11774">
        <v>436</v>
      </c>
      <c r="J11774">
        <v>0</v>
      </c>
      <c r="K11774" t="str">
        <f t="shared" si="2107"/>
        <v>813</v>
      </c>
      <c r="L11774">
        <v>366.24</v>
      </c>
    </row>
    <row r="11775" spans="1:12" x14ac:dyDescent="0.25">
      <c r="A11775" t="str">
        <f t="shared" si="2097"/>
        <v>89301000</v>
      </c>
      <c r="B11775" t="str">
        <f t="shared" si="2108"/>
        <v>06539000</v>
      </c>
      <c r="C11775" t="str">
        <f t="shared" si="2105"/>
        <v>06539003</v>
      </c>
      <c r="D11775">
        <v>89301172</v>
      </c>
      <c r="E11775" t="str">
        <f>"7656063514"</f>
        <v>7656063514</v>
      </c>
      <c r="F11775" s="1">
        <v>45195</v>
      </c>
      <c r="G11775" t="str">
        <f>"91475"</f>
        <v>91475</v>
      </c>
      <c r="H11775">
        <v>1</v>
      </c>
      <c r="I11775">
        <v>213</v>
      </c>
      <c r="J11775">
        <v>0</v>
      </c>
      <c r="K11775" t="str">
        <f t="shared" si="2107"/>
        <v>813</v>
      </c>
      <c r="L11775">
        <v>178.92</v>
      </c>
    </row>
    <row r="11776" spans="1:12" x14ac:dyDescent="0.25">
      <c r="A11776" t="str">
        <f t="shared" si="2097"/>
        <v>89301000</v>
      </c>
      <c r="B11776" t="str">
        <f>"86102000"</f>
        <v>86102000</v>
      </c>
      <c r="C11776" t="str">
        <f>"86102496"</f>
        <v>86102496</v>
      </c>
      <c r="D11776">
        <v>89301112</v>
      </c>
      <c r="E11776" t="str">
        <f>"7104034960"</f>
        <v>7104034960</v>
      </c>
      <c r="F11776" s="1">
        <v>45180</v>
      </c>
      <c r="G11776" t="str">
        <f>"89713"</f>
        <v>89713</v>
      </c>
      <c r="H11776">
        <v>1</v>
      </c>
      <c r="I11776">
        <v>5411</v>
      </c>
      <c r="J11776">
        <v>0</v>
      </c>
      <c r="K11776" t="str">
        <f>"809"</f>
        <v>809</v>
      </c>
      <c r="L11776">
        <v>3517.15</v>
      </c>
    </row>
    <row r="11777" spans="1:12" x14ac:dyDescent="0.25">
      <c r="A11777" t="str">
        <f t="shared" si="2097"/>
        <v>89301000</v>
      </c>
      <c r="B11777" t="str">
        <f t="shared" ref="B11777:B11808" si="2109">"95202000"</f>
        <v>95202000</v>
      </c>
      <c r="C11777" t="str">
        <f>"95202818"</f>
        <v>95202818</v>
      </c>
      <c r="D11777">
        <v>89301167</v>
      </c>
      <c r="E11777" t="str">
        <f>"5709166199"</f>
        <v>5709166199</v>
      </c>
      <c r="F11777" s="1">
        <v>45181</v>
      </c>
      <c r="G11777" t="str">
        <f>"96167"</f>
        <v>96167</v>
      </c>
      <c r="H11777">
        <v>1</v>
      </c>
      <c r="I11777">
        <v>67</v>
      </c>
      <c r="J11777">
        <v>0</v>
      </c>
      <c r="K11777" t="str">
        <f>"818"</f>
        <v>818</v>
      </c>
      <c r="L11777">
        <v>64.989999999999995</v>
      </c>
    </row>
    <row r="11778" spans="1:12" x14ac:dyDescent="0.25">
      <c r="A11778" t="str">
        <f t="shared" ref="A11778:A11841" si="2110">"89301000"</f>
        <v>89301000</v>
      </c>
      <c r="B11778" t="str">
        <f t="shared" si="2109"/>
        <v>95202000</v>
      </c>
      <c r="C11778" t="str">
        <f>"95202818"</f>
        <v>95202818</v>
      </c>
      <c r="D11778">
        <v>89301167</v>
      </c>
      <c r="E11778" t="str">
        <f>"521204004"</f>
        <v>521204004</v>
      </c>
      <c r="F11778" s="1">
        <v>45180</v>
      </c>
      <c r="G11778" t="str">
        <f>"96167"</f>
        <v>96167</v>
      </c>
      <c r="H11778">
        <v>1</v>
      </c>
      <c r="I11778">
        <v>67</v>
      </c>
      <c r="J11778">
        <v>0</v>
      </c>
      <c r="K11778" t="str">
        <f>"818"</f>
        <v>818</v>
      </c>
      <c r="L11778">
        <v>64.989999999999995</v>
      </c>
    </row>
    <row r="11779" spans="1:12" x14ac:dyDescent="0.25">
      <c r="A11779" t="str">
        <f t="shared" si="2110"/>
        <v>89301000</v>
      </c>
      <c r="B11779" t="str">
        <f t="shared" si="2109"/>
        <v>95202000</v>
      </c>
      <c r="C11779" t="str">
        <f>"95202818"</f>
        <v>95202818</v>
      </c>
      <c r="D11779">
        <v>89301167</v>
      </c>
      <c r="E11779" t="str">
        <f>"6109280386"</f>
        <v>6109280386</v>
      </c>
      <c r="F11779" s="1">
        <v>45173</v>
      </c>
      <c r="G11779" t="str">
        <f>"96167"</f>
        <v>96167</v>
      </c>
      <c r="H11779">
        <v>1</v>
      </c>
      <c r="I11779">
        <v>67</v>
      </c>
      <c r="J11779">
        <v>0</v>
      </c>
      <c r="K11779" t="str">
        <f>"818"</f>
        <v>818</v>
      </c>
      <c r="L11779">
        <v>64.989999999999995</v>
      </c>
    </row>
    <row r="11780" spans="1:12" x14ac:dyDescent="0.25">
      <c r="A11780" t="str">
        <f t="shared" si="2110"/>
        <v>89301000</v>
      </c>
      <c r="B11780" t="str">
        <f t="shared" si="2109"/>
        <v>95202000</v>
      </c>
      <c r="C11780" t="str">
        <f>"95202818"</f>
        <v>95202818</v>
      </c>
      <c r="D11780">
        <v>89301167</v>
      </c>
      <c r="E11780" t="str">
        <f>"6109280386"</f>
        <v>6109280386</v>
      </c>
      <c r="F11780" s="1">
        <v>45195</v>
      </c>
      <c r="G11780" t="str">
        <f>"96167"</f>
        <v>96167</v>
      </c>
      <c r="H11780">
        <v>1</v>
      </c>
      <c r="I11780">
        <v>67</v>
      </c>
      <c r="J11780">
        <v>0</v>
      </c>
      <c r="K11780" t="str">
        <f>"818"</f>
        <v>818</v>
      </c>
      <c r="L11780">
        <v>64.989999999999995</v>
      </c>
    </row>
    <row r="11781" spans="1:12" x14ac:dyDescent="0.25">
      <c r="A11781" t="str">
        <f t="shared" si="2110"/>
        <v>89301000</v>
      </c>
      <c r="B11781" t="str">
        <f t="shared" si="2109"/>
        <v>95202000</v>
      </c>
      <c r="C11781" t="str">
        <f>"95202818"</f>
        <v>95202818</v>
      </c>
      <c r="D11781">
        <v>89301167</v>
      </c>
      <c r="E11781" t="str">
        <f>"521204004"</f>
        <v>521204004</v>
      </c>
      <c r="F11781" s="1">
        <v>45198</v>
      </c>
      <c r="G11781" t="str">
        <f>"96167"</f>
        <v>96167</v>
      </c>
      <c r="H11781">
        <v>1</v>
      </c>
      <c r="I11781">
        <v>67</v>
      </c>
      <c r="J11781">
        <v>0</v>
      </c>
      <c r="K11781" t="str">
        <f>"818"</f>
        <v>818</v>
      </c>
      <c r="L11781">
        <v>64.989999999999995</v>
      </c>
    </row>
    <row r="11782" spans="1:12" x14ac:dyDescent="0.25">
      <c r="A11782" t="str">
        <f t="shared" si="2110"/>
        <v>89301000</v>
      </c>
      <c r="B11782" t="str">
        <f t="shared" si="2109"/>
        <v>95202000</v>
      </c>
      <c r="C11782" t="str">
        <f t="shared" ref="C11782:C11795" si="2111">"95202511"</f>
        <v>95202511</v>
      </c>
      <c r="D11782">
        <v>89301212</v>
      </c>
      <c r="E11782" t="str">
        <f>"7454188489"</f>
        <v>7454188489</v>
      </c>
      <c r="F11782" s="1">
        <v>45189</v>
      </c>
      <c r="G11782" t="str">
        <f>"89513"</f>
        <v>89513</v>
      </c>
      <c r="H11782">
        <v>1</v>
      </c>
      <c r="I11782">
        <v>378</v>
      </c>
      <c r="J11782">
        <v>0</v>
      </c>
      <c r="K11782" t="str">
        <f t="shared" ref="K11782:K11795" si="2112">"809"</f>
        <v>809</v>
      </c>
      <c r="L11782">
        <v>555.66</v>
      </c>
    </row>
    <row r="11783" spans="1:12" x14ac:dyDescent="0.25">
      <c r="A11783" t="str">
        <f t="shared" si="2110"/>
        <v>89301000</v>
      </c>
      <c r="B11783" t="str">
        <f t="shared" si="2109"/>
        <v>95202000</v>
      </c>
      <c r="C11783" t="str">
        <f t="shared" si="2111"/>
        <v>95202511</v>
      </c>
      <c r="D11783">
        <v>89301212</v>
      </c>
      <c r="E11783" t="str">
        <f>"7454188489"</f>
        <v>7454188489</v>
      </c>
      <c r="F11783" s="1">
        <v>45189</v>
      </c>
      <c r="G11783" t="str">
        <f>"89514"</f>
        <v>89514</v>
      </c>
      <c r="H11783">
        <v>1</v>
      </c>
      <c r="I11783">
        <v>378</v>
      </c>
      <c r="J11783">
        <v>0</v>
      </c>
      <c r="K11783" t="str">
        <f t="shared" si="2112"/>
        <v>809</v>
      </c>
      <c r="L11783">
        <v>555.66</v>
      </c>
    </row>
    <row r="11784" spans="1:12" x14ac:dyDescent="0.25">
      <c r="A11784" t="str">
        <f t="shared" si="2110"/>
        <v>89301000</v>
      </c>
      <c r="B11784" t="str">
        <f t="shared" si="2109"/>
        <v>95202000</v>
      </c>
      <c r="C11784" t="str">
        <f t="shared" si="2111"/>
        <v>95202511</v>
      </c>
      <c r="D11784">
        <v>89301212</v>
      </c>
      <c r="E11784" t="str">
        <f>"6360141634"</f>
        <v>6360141634</v>
      </c>
      <c r="F11784" s="1">
        <v>45194</v>
      </c>
      <c r="G11784" t="str">
        <f>"89513"</f>
        <v>89513</v>
      </c>
      <c r="H11784">
        <v>1</v>
      </c>
      <c r="I11784">
        <v>378</v>
      </c>
      <c r="J11784">
        <v>0</v>
      </c>
      <c r="K11784" t="str">
        <f t="shared" si="2112"/>
        <v>809</v>
      </c>
      <c r="L11784">
        <v>555.66</v>
      </c>
    </row>
    <row r="11785" spans="1:12" x14ac:dyDescent="0.25">
      <c r="A11785" t="str">
        <f t="shared" si="2110"/>
        <v>89301000</v>
      </c>
      <c r="B11785" t="str">
        <f t="shared" si="2109"/>
        <v>95202000</v>
      </c>
      <c r="C11785" t="str">
        <f t="shared" si="2111"/>
        <v>95202511</v>
      </c>
      <c r="D11785">
        <v>89301212</v>
      </c>
      <c r="E11785" t="str">
        <f>"6360141634"</f>
        <v>6360141634</v>
      </c>
      <c r="F11785" s="1">
        <v>45194</v>
      </c>
      <c r="G11785" t="str">
        <f>"89514"</f>
        <v>89514</v>
      </c>
      <c r="H11785">
        <v>1</v>
      </c>
      <c r="I11785">
        <v>378</v>
      </c>
      <c r="J11785">
        <v>0</v>
      </c>
      <c r="K11785" t="str">
        <f t="shared" si="2112"/>
        <v>809</v>
      </c>
      <c r="L11785">
        <v>555.66</v>
      </c>
    </row>
    <row r="11786" spans="1:12" x14ac:dyDescent="0.25">
      <c r="A11786" t="str">
        <f t="shared" si="2110"/>
        <v>89301000</v>
      </c>
      <c r="B11786" t="str">
        <f t="shared" si="2109"/>
        <v>95202000</v>
      </c>
      <c r="C11786" t="str">
        <f t="shared" si="2111"/>
        <v>95202511</v>
      </c>
      <c r="D11786">
        <v>89301212</v>
      </c>
      <c r="E11786" t="str">
        <f>"6701201386"</f>
        <v>6701201386</v>
      </c>
      <c r="F11786" s="1">
        <v>45180</v>
      </c>
      <c r="G11786" t="str">
        <f>"89611"</f>
        <v>89611</v>
      </c>
      <c r="H11786">
        <v>2</v>
      </c>
      <c r="I11786">
        <v>4524</v>
      </c>
      <c r="J11786">
        <v>0</v>
      </c>
      <c r="K11786" t="str">
        <f t="shared" si="2112"/>
        <v>809</v>
      </c>
      <c r="L11786">
        <v>2940.6</v>
      </c>
    </row>
    <row r="11787" spans="1:12" x14ac:dyDescent="0.25">
      <c r="A11787" t="str">
        <f t="shared" si="2110"/>
        <v>89301000</v>
      </c>
      <c r="B11787" t="str">
        <f t="shared" si="2109"/>
        <v>95202000</v>
      </c>
      <c r="C11787" t="str">
        <f t="shared" si="2111"/>
        <v>95202511</v>
      </c>
      <c r="D11787">
        <v>89301212</v>
      </c>
      <c r="E11787" t="str">
        <f>"6701201386"</f>
        <v>6701201386</v>
      </c>
      <c r="F11787" s="1">
        <v>45180</v>
      </c>
      <c r="G11787" t="str">
        <f>"0022077"</f>
        <v>0022077</v>
      </c>
      <c r="H11787">
        <v>0.5</v>
      </c>
      <c r="J11787">
        <v>1004.83</v>
      </c>
      <c r="K11787" t="str">
        <f t="shared" si="2112"/>
        <v>809</v>
      </c>
      <c r="L11787">
        <v>1004.83</v>
      </c>
    </row>
    <row r="11788" spans="1:12" x14ac:dyDescent="0.25">
      <c r="A11788" t="str">
        <f t="shared" si="2110"/>
        <v>89301000</v>
      </c>
      <c r="B11788" t="str">
        <f t="shared" si="2109"/>
        <v>95202000</v>
      </c>
      <c r="C11788" t="str">
        <f t="shared" si="2111"/>
        <v>95202511</v>
      </c>
      <c r="D11788">
        <v>89301212</v>
      </c>
      <c r="E11788" t="str">
        <f>"6701201386"</f>
        <v>6701201386</v>
      </c>
      <c r="F11788" s="1">
        <v>45180</v>
      </c>
      <c r="G11788" t="str">
        <f>"0234018"</f>
        <v>0234018</v>
      </c>
      <c r="H11788">
        <v>0.01</v>
      </c>
      <c r="J11788">
        <v>2.44</v>
      </c>
      <c r="K11788" t="str">
        <f t="shared" si="2112"/>
        <v>809</v>
      </c>
      <c r="L11788">
        <v>2.44</v>
      </c>
    </row>
    <row r="11789" spans="1:12" x14ac:dyDescent="0.25">
      <c r="A11789" t="str">
        <f t="shared" si="2110"/>
        <v>89301000</v>
      </c>
      <c r="B11789" t="str">
        <f t="shared" si="2109"/>
        <v>95202000</v>
      </c>
      <c r="C11789" t="str">
        <f t="shared" si="2111"/>
        <v>95202511</v>
      </c>
      <c r="D11789">
        <v>89301062</v>
      </c>
      <c r="E11789" t="str">
        <f t="shared" ref="E11789:E11794" si="2113">"465506148"</f>
        <v>465506148</v>
      </c>
      <c r="F11789" s="1">
        <v>45183</v>
      </c>
      <c r="G11789" t="str">
        <f>"89311"</f>
        <v>89311</v>
      </c>
      <c r="H11789">
        <v>1</v>
      </c>
      <c r="I11789">
        <v>970</v>
      </c>
      <c r="J11789">
        <v>0</v>
      </c>
      <c r="K11789" t="str">
        <f t="shared" si="2112"/>
        <v>809</v>
      </c>
      <c r="L11789">
        <v>1425.9</v>
      </c>
    </row>
    <row r="11790" spans="1:12" x14ac:dyDescent="0.25">
      <c r="A11790" t="str">
        <f t="shared" si="2110"/>
        <v>89301000</v>
      </c>
      <c r="B11790" t="str">
        <f t="shared" si="2109"/>
        <v>95202000</v>
      </c>
      <c r="C11790" t="str">
        <f t="shared" si="2111"/>
        <v>95202511</v>
      </c>
      <c r="D11790">
        <v>89301062</v>
      </c>
      <c r="E11790" t="str">
        <f t="shared" si="2113"/>
        <v>465506148</v>
      </c>
      <c r="F11790" s="1">
        <v>45183</v>
      </c>
      <c r="G11790" t="str">
        <f>"89617"</f>
        <v>89617</v>
      </c>
      <c r="H11790">
        <v>1</v>
      </c>
      <c r="I11790">
        <v>1342</v>
      </c>
      <c r="J11790">
        <v>0</v>
      </c>
      <c r="K11790" t="str">
        <f t="shared" si="2112"/>
        <v>809</v>
      </c>
      <c r="L11790">
        <v>872.3</v>
      </c>
    </row>
    <row r="11791" spans="1:12" x14ac:dyDescent="0.25">
      <c r="A11791" t="str">
        <f t="shared" si="2110"/>
        <v>89301000</v>
      </c>
      <c r="B11791" t="str">
        <f t="shared" si="2109"/>
        <v>95202000</v>
      </c>
      <c r="C11791" t="str">
        <f t="shared" si="2111"/>
        <v>95202511</v>
      </c>
      <c r="D11791">
        <v>89301062</v>
      </c>
      <c r="E11791" t="str">
        <f t="shared" si="2113"/>
        <v>465506148</v>
      </c>
      <c r="F11791" s="1">
        <v>45183</v>
      </c>
      <c r="G11791" t="str">
        <f>"0022077"</f>
        <v>0022077</v>
      </c>
      <c r="H11791">
        <v>0.01</v>
      </c>
      <c r="J11791">
        <v>20.100000000000001</v>
      </c>
      <c r="K11791" t="str">
        <f t="shared" si="2112"/>
        <v>809</v>
      </c>
      <c r="L11791">
        <v>20.100000000000001</v>
      </c>
    </row>
    <row r="11792" spans="1:12" x14ac:dyDescent="0.25">
      <c r="A11792" t="str">
        <f t="shared" si="2110"/>
        <v>89301000</v>
      </c>
      <c r="B11792" t="str">
        <f t="shared" si="2109"/>
        <v>95202000</v>
      </c>
      <c r="C11792" t="str">
        <f t="shared" si="2111"/>
        <v>95202511</v>
      </c>
      <c r="D11792">
        <v>89301062</v>
      </c>
      <c r="E11792" t="str">
        <f t="shared" si="2113"/>
        <v>465506148</v>
      </c>
      <c r="F11792" s="1">
        <v>45183</v>
      </c>
      <c r="G11792" t="str">
        <f>"0151447"</f>
        <v>0151447</v>
      </c>
      <c r="H11792">
        <v>1</v>
      </c>
      <c r="J11792">
        <v>348</v>
      </c>
      <c r="K11792" t="str">
        <f t="shared" si="2112"/>
        <v>809</v>
      </c>
      <c r="L11792">
        <v>348</v>
      </c>
    </row>
    <row r="11793" spans="1:12" x14ac:dyDescent="0.25">
      <c r="A11793" t="str">
        <f t="shared" si="2110"/>
        <v>89301000</v>
      </c>
      <c r="B11793" t="str">
        <f t="shared" si="2109"/>
        <v>95202000</v>
      </c>
      <c r="C11793" t="str">
        <f t="shared" si="2111"/>
        <v>95202511</v>
      </c>
      <c r="D11793">
        <v>89301062</v>
      </c>
      <c r="E11793" t="str">
        <f t="shared" si="2113"/>
        <v>465506148</v>
      </c>
      <c r="F11793" s="1">
        <v>45183</v>
      </c>
      <c r="G11793" t="str">
        <f>"0000502"</f>
        <v>0000502</v>
      </c>
      <c r="H11793">
        <v>0.1</v>
      </c>
      <c r="J11793">
        <v>6.97</v>
      </c>
      <c r="K11793" t="str">
        <f t="shared" si="2112"/>
        <v>809</v>
      </c>
      <c r="L11793">
        <v>6.97</v>
      </c>
    </row>
    <row r="11794" spans="1:12" x14ac:dyDescent="0.25">
      <c r="A11794" t="str">
        <f t="shared" si="2110"/>
        <v>89301000</v>
      </c>
      <c r="B11794" t="str">
        <f t="shared" si="2109"/>
        <v>95202000</v>
      </c>
      <c r="C11794" t="str">
        <f t="shared" si="2111"/>
        <v>95202511</v>
      </c>
      <c r="D11794">
        <v>89301062</v>
      </c>
      <c r="E11794" t="str">
        <f t="shared" si="2113"/>
        <v>465506148</v>
      </c>
      <c r="F11794" s="1">
        <v>45183</v>
      </c>
      <c r="G11794" t="str">
        <f>"0084090"</f>
        <v>0084090</v>
      </c>
      <c r="H11794">
        <v>0.1</v>
      </c>
      <c r="J11794">
        <v>8.52</v>
      </c>
      <c r="K11794" t="str">
        <f t="shared" si="2112"/>
        <v>809</v>
      </c>
      <c r="L11794">
        <v>8.52</v>
      </c>
    </row>
    <row r="11795" spans="1:12" x14ac:dyDescent="0.25">
      <c r="A11795" t="str">
        <f t="shared" si="2110"/>
        <v>89301000</v>
      </c>
      <c r="B11795" t="str">
        <f t="shared" si="2109"/>
        <v>95202000</v>
      </c>
      <c r="C11795" t="str">
        <f t="shared" si="2111"/>
        <v>95202511</v>
      </c>
      <c r="D11795">
        <v>89301061</v>
      </c>
      <c r="E11795" t="str">
        <f>"6708220805"</f>
        <v>6708220805</v>
      </c>
      <c r="F11795" s="1">
        <v>45188</v>
      </c>
      <c r="G11795" t="str">
        <f>"89615"</f>
        <v>89615</v>
      </c>
      <c r="H11795">
        <v>1</v>
      </c>
      <c r="I11795">
        <v>2199</v>
      </c>
      <c r="J11795">
        <v>0</v>
      </c>
      <c r="K11795" t="str">
        <f t="shared" si="2112"/>
        <v>809</v>
      </c>
      <c r="L11795">
        <v>1429.35</v>
      </c>
    </row>
    <row r="11796" spans="1:12" x14ac:dyDescent="0.25">
      <c r="A11796" t="str">
        <f t="shared" si="2110"/>
        <v>89301000</v>
      </c>
      <c r="B11796" t="str">
        <f t="shared" si="2109"/>
        <v>95202000</v>
      </c>
      <c r="C11796" t="str">
        <f t="shared" ref="C11796:C11827" si="2114">"95202096"</f>
        <v>95202096</v>
      </c>
      <c r="D11796">
        <v>89301167</v>
      </c>
      <c r="E11796" t="str">
        <f t="shared" ref="E11796:E11813" si="2115">"521204004"</f>
        <v>521204004</v>
      </c>
      <c r="F11796" s="1">
        <v>45180</v>
      </c>
      <c r="G11796" t="str">
        <f>"81329"</f>
        <v>81329</v>
      </c>
      <c r="H11796">
        <v>1</v>
      </c>
      <c r="I11796">
        <v>17</v>
      </c>
      <c r="J11796">
        <v>0</v>
      </c>
      <c r="K11796" t="str">
        <f t="shared" ref="K11796:K11827" si="2116">"801"</f>
        <v>801</v>
      </c>
      <c r="L11796">
        <v>14.28</v>
      </c>
    </row>
    <row r="11797" spans="1:12" x14ac:dyDescent="0.25">
      <c r="A11797" t="str">
        <f t="shared" si="2110"/>
        <v>89301000</v>
      </c>
      <c r="B11797" t="str">
        <f t="shared" si="2109"/>
        <v>95202000</v>
      </c>
      <c r="C11797" t="str">
        <f t="shared" si="2114"/>
        <v>95202096</v>
      </c>
      <c r="D11797">
        <v>89301167</v>
      </c>
      <c r="E11797" t="str">
        <f t="shared" si="2115"/>
        <v>521204004</v>
      </c>
      <c r="F11797" s="1">
        <v>45180</v>
      </c>
      <c r="G11797" t="str">
        <f>"81337"</f>
        <v>81337</v>
      </c>
      <c r="H11797">
        <v>1</v>
      </c>
      <c r="I11797">
        <v>20</v>
      </c>
      <c r="J11797">
        <v>0</v>
      </c>
      <c r="K11797" t="str">
        <f t="shared" si="2116"/>
        <v>801</v>
      </c>
      <c r="L11797">
        <v>16.8</v>
      </c>
    </row>
    <row r="11798" spans="1:12" x14ac:dyDescent="0.25">
      <c r="A11798" t="str">
        <f t="shared" si="2110"/>
        <v>89301000</v>
      </c>
      <c r="B11798" t="str">
        <f t="shared" si="2109"/>
        <v>95202000</v>
      </c>
      <c r="C11798" t="str">
        <f t="shared" si="2114"/>
        <v>95202096</v>
      </c>
      <c r="D11798">
        <v>89301167</v>
      </c>
      <c r="E11798" t="str">
        <f t="shared" si="2115"/>
        <v>521204004</v>
      </c>
      <c r="F11798" s="1">
        <v>45180</v>
      </c>
      <c r="G11798" t="str">
        <f>"81357"</f>
        <v>81357</v>
      </c>
      <c r="H11798">
        <v>1</v>
      </c>
      <c r="I11798">
        <v>20</v>
      </c>
      <c r="J11798">
        <v>0</v>
      </c>
      <c r="K11798" t="str">
        <f t="shared" si="2116"/>
        <v>801</v>
      </c>
      <c r="L11798">
        <v>16.8</v>
      </c>
    </row>
    <row r="11799" spans="1:12" x14ac:dyDescent="0.25">
      <c r="A11799" t="str">
        <f t="shared" si="2110"/>
        <v>89301000</v>
      </c>
      <c r="B11799" t="str">
        <f t="shared" si="2109"/>
        <v>95202000</v>
      </c>
      <c r="C11799" t="str">
        <f t="shared" si="2114"/>
        <v>95202096</v>
      </c>
      <c r="D11799">
        <v>89301167</v>
      </c>
      <c r="E11799" t="str">
        <f t="shared" si="2115"/>
        <v>521204004</v>
      </c>
      <c r="F11799" s="1">
        <v>45180</v>
      </c>
      <c r="G11799" t="str">
        <f>"81361"</f>
        <v>81361</v>
      </c>
      <c r="H11799">
        <v>1</v>
      </c>
      <c r="I11799">
        <v>17</v>
      </c>
      <c r="J11799">
        <v>0</v>
      </c>
      <c r="K11799" t="str">
        <f t="shared" si="2116"/>
        <v>801</v>
      </c>
      <c r="L11799">
        <v>14.28</v>
      </c>
    </row>
    <row r="11800" spans="1:12" x14ac:dyDescent="0.25">
      <c r="A11800" t="str">
        <f t="shared" si="2110"/>
        <v>89301000</v>
      </c>
      <c r="B11800" t="str">
        <f t="shared" si="2109"/>
        <v>95202000</v>
      </c>
      <c r="C11800" t="str">
        <f t="shared" si="2114"/>
        <v>95202096</v>
      </c>
      <c r="D11800">
        <v>89301167</v>
      </c>
      <c r="E11800" t="str">
        <f t="shared" si="2115"/>
        <v>521204004</v>
      </c>
      <c r="F11800" s="1">
        <v>45180</v>
      </c>
      <c r="G11800" t="str">
        <f>"81383"</f>
        <v>81383</v>
      </c>
      <c r="H11800">
        <v>1</v>
      </c>
      <c r="I11800">
        <v>24</v>
      </c>
      <c r="J11800">
        <v>0</v>
      </c>
      <c r="K11800" t="str">
        <f t="shared" si="2116"/>
        <v>801</v>
      </c>
      <c r="L11800">
        <v>20.16</v>
      </c>
    </row>
    <row r="11801" spans="1:12" x14ac:dyDescent="0.25">
      <c r="A11801" t="str">
        <f t="shared" si="2110"/>
        <v>89301000</v>
      </c>
      <c r="B11801" t="str">
        <f t="shared" si="2109"/>
        <v>95202000</v>
      </c>
      <c r="C11801" t="str">
        <f t="shared" si="2114"/>
        <v>95202096</v>
      </c>
      <c r="D11801">
        <v>89301167</v>
      </c>
      <c r="E11801" t="str">
        <f t="shared" si="2115"/>
        <v>521204004</v>
      </c>
      <c r="F11801" s="1">
        <v>45180</v>
      </c>
      <c r="G11801" t="str">
        <f>"81393"</f>
        <v>81393</v>
      </c>
      <c r="H11801">
        <v>1</v>
      </c>
      <c r="I11801">
        <v>24</v>
      </c>
      <c r="J11801">
        <v>0</v>
      </c>
      <c r="K11801" t="str">
        <f t="shared" si="2116"/>
        <v>801</v>
      </c>
      <c r="L11801">
        <v>20.16</v>
      </c>
    </row>
    <row r="11802" spans="1:12" x14ac:dyDescent="0.25">
      <c r="A11802" t="str">
        <f t="shared" si="2110"/>
        <v>89301000</v>
      </c>
      <c r="B11802" t="str">
        <f t="shared" si="2109"/>
        <v>95202000</v>
      </c>
      <c r="C11802" t="str">
        <f t="shared" si="2114"/>
        <v>95202096</v>
      </c>
      <c r="D11802">
        <v>89301167</v>
      </c>
      <c r="E11802" t="str">
        <f t="shared" si="2115"/>
        <v>521204004</v>
      </c>
      <c r="F11802" s="1">
        <v>45180</v>
      </c>
      <c r="G11802" t="str">
        <f>"81421"</f>
        <v>81421</v>
      </c>
      <c r="H11802">
        <v>1</v>
      </c>
      <c r="I11802">
        <v>19</v>
      </c>
      <c r="J11802">
        <v>0</v>
      </c>
      <c r="K11802" t="str">
        <f t="shared" si="2116"/>
        <v>801</v>
      </c>
      <c r="L11802">
        <v>15.96</v>
      </c>
    </row>
    <row r="11803" spans="1:12" x14ac:dyDescent="0.25">
      <c r="A11803" t="str">
        <f t="shared" si="2110"/>
        <v>89301000</v>
      </c>
      <c r="B11803" t="str">
        <f t="shared" si="2109"/>
        <v>95202000</v>
      </c>
      <c r="C11803" t="str">
        <f t="shared" si="2114"/>
        <v>95202096</v>
      </c>
      <c r="D11803">
        <v>89301167</v>
      </c>
      <c r="E11803" t="str">
        <f t="shared" si="2115"/>
        <v>521204004</v>
      </c>
      <c r="F11803" s="1">
        <v>45180</v>
      </c>
      <c r="G11803" t="str">
        <f>"81435"</f>
        <v>81435</v>
      </c>
      <c r="H11803">
        <v>1</v>
      </c>
      <c r="I11803">
        <v>22</v>
      </c>
      <c r="J11803">
        <v>0</v>
      </c>
      <c r="K11803" t="str">
        <f t="shared" si="2116"/>
        <v>801</v>
      </c>
      <c r="L11803">
        <v>18.48</v>
      </c>
    </row>
    <row r="11804" spans="1:12" x14ac:dyDescent="0.25">
      <c r="A11804" t="str">
        <f t="shared" si="2110"/>
        <v>89301000</v>
      </c>
      <c r="B11804" t="str">
        <f t="shared" si="2109"/>
        <v>95202000</v>
      </c>
      <c r="C11804" t="str">
        <f t="shared" si="2114"/>
        <v>95202096</v>
      </c>
      <c r="D11804">
        <v>89301167</v>
      </c>
      <c r="E11804" t="str">
        <f t="shared" si="2115"/>
        <v>521204004</v>
      </c>
      <c r="F11804" s="1">
        <v>45180</v>
      </c>
      <c r="G11804" t="str">
        <f>"81439"</f>
        <v>81439</v>
      </c>
      <c r="H11804">
        <v>1</v>
      </c>
      <c r="I11804">
        <v>16</v>
      </c>
      <c r="J11804">
        <v>0</v>
      </c>
      <c r="K11804" t="str">
        <f t="shared" si="2116"/>
        <v>801</v>
      </c>
      <c r="L11804">
        <v>13.44</v>
      </c>
    </row>
    <row r="11805" spans="1:12" x14ac:dyDescent="0.25">
      <c r="A11805" t="str">
        <f t="shared" si="2110"/>
        <v>89301000</v>
      </c>
      <c r="B11805" t="str">
        <f t="shared" si="2109"/>
        <v>95202000</v>
      </c>
      <c r="C11805" t="str">
        <f t="shared" si="2114"/>
        <v>95202096</v>
      </c>
      <c r="D11805">
        <v>89301167</v>
      </c>
      <c r="E11805" t="str">
        <f t="shared" si="2115"/>
        <v>521204004</v>
      </c>
      <c r="F11805" s="1">
        <v>45180</v>
      </c>
      <c r="G11805" t="str">
        <f>"81469"</f>
        <v>81469</v>
      </c>
      <c r="H11805">
        <v>1</v>
      </c>
      <c r="I11805">
        <v>16</v>
      </c>
      <c r="J11805">
        <v>0</v>
      </c>
      <c r="K11805" t="str">
        <f t="shared" si="2116"/>
        <v>801</v>
      </c>
      <c r="L11805">
        <v>13.44</v>
      </c>
    </row>
    <row r="11806" spans="1:12" x14ac:dyDescent="0.25">
      <c r="A11806" t="str">
        <f t="shared" si="2110"/>
        <v>89301000</v>
      </c>
      <c r="B11806" t="str">
        <f t="shared" si="2109"/>
        <v>95202000</v>
      </c>
      <c r="C11806" t="str">
        <f t="shared" si="2114"/>
        <v>95202096</v>
      </c>
      <c r="D11806">
        <v>89301167</v>
      </c>
      <c r="E11806" t="str">
        <f t="shared" si="2115"/>
        <v>521204004</v>
      </c>
      <c r="F11806" s="1">
        <v>45180</v>
      </c>
      <c r="G11806" t="str">
        <f>"81499"</f>
        <v>81499</v>
      </c>
      <c r="H11806">
        <v>1</v>
      </c>
      <c r="I11806">
        <v>18</v>
      </c>
      <c r="J11806">
        <v>0</v>
      </c>
      <c r="K11806" t="str">
        <f t="shared" si="2116"/>
        <v>801</v>
      </c>
      <c r="L11806">
        <v>15.12</v>
      </c>
    </row>
    <row r="11807" spans="1:12" x14ac:dyDescent="0.25">
      <c r="A11807" t="str">
        <f t="shared" si="2110"/>
        <v>89301000</v>
      </c>
      <c r="B11807" t="str">
        <f t="shared" si="2109"/>
        <v>95202000</v>
      </c>
      <c r="C11807" t="str">
        <f t="shared" si="2114"/>
        <v>95202096</v>
      </c>
      <c r="D11807">
        <v>89301167</v>
      </c>
      <c r="E11807" t="str">
        <f t="shared" si="2115"/>
        <v>521204004</v>
      </c>
      <c r="F11807" s="1">
        <v>45180</v>
      </c>
      <c r="G11807" t="str">
        <f>"81593"</f>
        <v>81593</v>
      </c>
      <c r="H11807">
        <v>1</v>
      </c>
      <c r="I11807">
        <v>22</v>
      </c>
      <c r="J11807">
        <v>0</v>
      </c>
      <c r="K11807" t="str">
        <f t="shared" si="2116"/>
        <v>801</v>
      </c>
      <c r="L11807">
        <v>18.48</v>
      </c>
    </row>
    <row r="11808" spans="1:12" x14ac:dyDescent="0.25">
      <c r="A11808" t="str">
        <f t="shared" si="2110"/>
        <v>89301000</v>
      </c>
      <c r="B11808" t="str">
        <f t="shared" si="2109"/>
        <v>95202000</v>
      </c>
      <c r="C11808" t="str">
        <f t="shared" si="2114"/>
        <v>95202096</v>
      </c>
      <c r="D11808">
        <v>89301167</v>
      </c>
      <c r="E11808" t="str">
        <f t="shared" si="2115"/>
        <v>521204004</v>
      </c>
      <c r="F11808" s="1">
        <v>45180</v>
      </c>
      <c r="G11808" t="str">
        <f>"81621"</f>
        <v>81621</v>
      </c>
      <c r="H11808">
        <v>1</v>
      </c>
      <c r="I11808">
        <v>19</v>
      </c>
      <c r="J11808">
        <v>0</v>
      </c>
      <c r="K11808" t="str">
        <f t="shared" si="2116"/>
        <v>801</v>
      </c>
      <c r="L11808">
        <v>15.96</v>
      </c>
    </row>
    <row r="11809" spans="1:12" x14ac:dyDescent="0.25">
      <c r="A11809" t="str">
        <f t="shared" si="2110"/>
        <v>89301000</v>
      </c>
      <c r="B11809" t="str">
        <f t="shared" ref="B11809:B11840" si="2117">"95202000"</f>
        <v>95202000</v>
      </c>
      <c r="C11809" t="str">
        <f t="shared" si="2114"/>
        <v>95202096</v>
      </c>
      <c r="D11809">
        <v>89301167</v>
      </c>
      <c r="E11809" t="str">
        <f t="shared" si="2115"/>
        <v>521204004</v>
      </c>
      <c r="F11809" s="1">
        <v>45180</v>
      </c>
      <c r="G11809" t="str">
        <f>"81625"</f>
        <v>81625</v>
      </c>
      <c r="H11809">
        <v>1</v>
      </c>
      <c r="I11809">
        <v>21</v>
      </c>
      <c r="J11809">
        <v>0</v>
      </c>
      <c r="K11809" t="str">
        <f t="shared" si="2116"/>
        <v>801</v>
      </c>
      <c r="L11809">
        <v>17.64</v>
      </c>
    </row>
    <row r="11810" spans="1:12" x14ac:dyDescent="0.25">
      <c r="A11810" t="str">
        <f t="shared" si="2110"/>
        <v>89301000</v>
      </c>
      <c r="B11810" t="str">
        <f t="shared" si="2117"/>
        <v>95202000</v>
      </c>
      <c r="C11810" t="str">
        <f t="shared" si="2114"/>
        <v>95202096</v>
      </c>
      <c r="D11810">
        <v>89301167</v>
      </c>
      <c r="E11810" t="str">
        <f t="shared" si="2115"/>
        <v>521204004</v>
      </c>
      <c r="F11810" s="1">
        <v>45180</v>
      </c>
      <c r="G11810" t="str">
        <f>"91153"</f>
        <v>91153</v>
      </c>
      <c r="H11810">
        <v>1</v>
      </c>
      <c r="I11810">
        <v>153</v>
      </c>
      <c r="J11810">
        <v>0</v>
      </c>
      <c r="K11810" t="str">
        <f t="shared" si="2116"/>
        <v>801</v>
      </c>
      <c r="L11810">
        <v>128.52000000000001</v>
      </c>
    </row>
    <row r="11811" spans="1:12" x14ac:dyDescent="0.25">
      <c r="A11811" t="str">
        <f t="shared" si="2110"/>
        <v>89301000</v>
      </c>
      <c r="B11811" t="str">
        <f t="shared" si="2117"/>
        <v>95202000</v>
      </c>
      <c r="C11811" t="str">
        <f t="shared" si="2114"/>
        <v>95202096</v>
      </c>
      <c r="D11811">
        <v>89301167</v>
      </c>
      <c r="E11811" t="str">
        <f t="shared" si="2115"/>
        <v>521204004</v>
      </c>
      <c r="F11811" s="1">
        <v>45180</v>
      </c>
      <c r="G11811" t="str">
        <f>"93189"</f>
        <v>93189</v>
      </c>
      <c r="H11811">
        <v>1</v>
      </c>
      <c r="I11811">
        <v>191</v>
      </c>
      <c r="J11811">
        <v>0</v>
      </c>
      <c r="K11811" t="str">
        <f t="shared" si="2116"/>
        <v>801</v>
      </c>
      <c r="L11811">
        <v>160.44</v>
      </c>
    </row>
    <row r="11812" spans="1:12" x14ac:dyDescent="0.25">
      <c r="A11812" t="str">
        <f t="shared" si="2110"/>
        <v>89301000</v>
      </c>
      <c r="B11812" t="str">
        <f t="shared" si="2117"/>
        <v>95202000</v>
      </c>
      <c r="C11812" t="str">
        <f t="shared" si="2114"/>
        <v>95202096</v>
      </c>
      <c r="D11812">
        <v>89301167</v>
      </c>
      <c r="E11812" t="str">
        <f t="shared" si="2115"/>
        <v>521204004</v>
      </c>
      <c r="F11812" s="1">
        <v>45180</v>
      </c>
      <c r="G11812" t="str">
        <f>"93195"</f>
        <v>93195</v>
      </c>
      <c r="H11812">
        <v>1</v>
      </c>
      <c r="I11812">
        <v>183</v>
      </c>
      <c r="J11812">
        <v>0</v>
      </c>
      <c r="K11812" t="str">
        <f t="shared" si="2116"/>
        <v>801</v>
      </c>
      <c r="L11812">
        <v>153.72</v>
      </c>
    </row>
    <row r="11813" spans="1:12" x14ac:dyDescent="0.25">
      <c r="A11813" t="str">
        <f t="shared" si="2110"/>
        <v>89301000</v>
      </c>
      <c r="B11813" t="str">
        <f t="shared" si="2117"/>
        <v>95202000</v>
      </c>
      <c r="C11813" t="str">
        <f t="shared" si="2114"/>
        <v>95202096</v>
      </c>
      <c r="D11813">
        <v>89301167</v>
      </c>
      <c r="E11813" t="str">
        <f t="shared" si="2115"/>
        <v>521204004</v>
      </c>
      <c r="F11813" s="1">
        <v>45180</v>
      </c>
      <c r="G11813" t="str">
        <f>"97111"</f>
        <v>97111</v>
      </c>
      <c r="H11813">
        <v>1</v>
      </c>
      <c r="I11813">
        <v>19</v>
      </c>
      <c r="J11813">
        <v>0</v>
      </c>
      <c r="K11813" t="str">
        <f t="shared" si="2116"/>
        <v>801</v>
      </c>
      <c r="L11813">
        <v>23.94</v>
      </c>
    </row>
    <row r="11814" spans="1:12" x14ac:dyDescent="0.25">
      <c r="A11814" t="str">
        <f t="shared" si="2110"/>
        <v>89301000</v>
      </c>
      <c r="B11814" t="str">
        <f t="shared" si="2117"/>
        <v>95202000</v>
      </c>
      <c r="C11814" t="str">
        <f t="shared" si="2114"/>
        <v>95202096</v>
      </c>
      <c r="D11814">
        <v>89301167</v>
      </c>
      <c r="E11814" t="str">
        <f t="shared" ref="E11814:E11834" si="2118">"6109280386"</f>
        <v>6109280386</v>
      </c>
      <c r="F11814" s="1">
        <v>45173</v>
      </c>
      <c r="G11814" t="str">
        <f>"81329"</f>
        <v>81329</v>
      </c>
      <c r="H11814">
        <v>1</v>
      </c>
      <c r="I11814">
        <v>17</v>
      </c>
      <c r="J11814">
        <v>0</v>
      </c>
      <c r="K11814" t="str">
        <f t="shared" si="2116"/>
        <v>801</v>
      </c>
      <c r="L11814">
        <v>14.28</v>
      </c>
    </row>
    <row r="11815" spans="1:12" x14ac:dyDescent="0.25">
      <c r="A11815" t="str">
        <f t="shared" si="2110"/>
        <v>89301000</v>
      </c>
      <c r="B11815" t="str">
        <f t="shared" si="2117"/>
        <v>95202000</v>
      </c>
      <c r="C11815" t="str">
        <f t="shared" si="2114"/>
        <v>95202096</v>
      </c>
      <c r="D11815">
        <v>89301167</v>
      </c>
      <c r="E11815" t="str">
        <f t="shared" si="2118"/>
        <v>6109280386</v>
      </c>
      <c r="F11815" s="1">
        <v>45173</v>
      </c>
      <c r="G11815" t="str">
        <f>"81337"</f>
        <v>81337</v>
      </c>
      <c r="H11815">
        <v>1</v>
      </c>
      <c r="I11815">
        <v>20</v>
      </c>
      <c r="J11815">
        <v>0</v>
      </c>
      <c r="K11815" t="str">
        <f t="shared" si="2116"/>
        <v>801</v>
      </c>
      <c r="L11815">
        <v>16.8</v>
      </c>
    </row>
    <row r="11816" spans="1:12" x14ac:dyDescent="0.25">
      <c r="A11816" t="str">
        <f t="shared" si="2110"/>
        <v>89301000</v>
      </c>
      <c r="B11816" t="str">
        <f t="shared" si="2117"/>
        <v>95202000</v>
      </c>
      <c r="C11816" t="str">
        <f t="shared" si="2114"/>
        <v>95202096</v>
      </c>
      <c r="D11816">
        <v>89301167</v>
      </c>
      <c r="E11816" t="str">
        <f t="shared" si="2118"/>
        <v>6109280386</v>
      </c>
      <c r="F11816" s="1">
        <v>45173</v>
      </c>
      <c r="G11816" t="str">
        <f>"81357"</f>
        <v>81357</v>
      </c>
      <c r="H11816">
        <v>1</v>
      </c>
      <c r="I11816">
        <v>20</v>
      </c>
      <c r="J11816">
        <v>0</v>
      </c>
      <c r="K11816" t="str">
        <f t="shared" si="2116"/>
        <v>801</v>
      </c>
      <c r="L11816">
        <v>16.8</v>
      </c>
    </row>
    <row r="11817" spans="1:12" x14ac:dyDescent="0.25">
      <c r="A11817" t="str">
        <f t="shared" si="2110"/>
        <v>89301000</v>
      </c>
      <c r="B11817" t="str">
        <f t="shared" si="2117"/>
        <v>95202000</v>
      </c>
      <c r="C11817" t="str">
        <f t="shared" si="2114"/>
        <v>95202096</v>
      </c>
      <c r="D11817">
        <v>89301167</v>
      </c>
      <c r="E11817" t="str">
        <f t="shared" si="2118"/>
        <v>6109280386</v>
      </c>
      <c r="F11817" s="1">
        <v>45173</v>
      </c>
      <c r="G11817" t="str">
        <f>"81365"</f>
        <v>81365</v>
      </c>
      <c r="H11817">
        <v>1</v>
      </c>
      <c r="I11817">
        <v>16</v>
      </c>
      <c r="J11817">
        <v>0</v>
      </c>
      <c r="K11817" t="str">
        <f t="shared" si="2116"/>
        <v>801</v>
      </c>
      <c r="L11817">
        <v>13.44</v>
      </c>
    </row>
    <row r="11818" spans="1:12" x14ac:dyDescent="0.25">
      <c r="A11818" t="str">
        <f t="shared" si="2110"/>
        <v>89301000</v>
      </c>
      <c r="B11818" t="str">
        <f t="shared" si="2117"/>
        <v>95202000</v>
      </c>
      <c r="C11818" t="str">
        <f t="shared" si="2114"/>
        <v>95202096</v>
      </c>
      <c r="D11818">
        <v>89301167</v>
      </c>
      <c r="E11818" t="str">
        <f t="shared" si="2118"/>
        <v>6109280386</v>
      </c>
      <c r="F11818" s="1">
        <v>45173</v>
      </c>
      <c r="G11818" t="str">
        <f>"81383"</f>
        <v>81383</v>
      </c>
      <c r="H11818">
        <v>1</v>
      </c>
      <c r="I11818">
        <v>24</v>
      </c>
      <c r="J11818">
        <v>0</v>
      </c>
      <c r="K11818" t="str">
        <f t="shared" si="2116"/>
        <v>801</v>
      </c>
      <c r="L11818">
        <v>20.16</v>
      </c>
    </row>
    <row r="11819" spans="1:12" x14ac:dyDescent="0.25">
      <c r="A11819" t="str">
        <f t="shared" si="2110"/>
        <v>89301000</v>
      </c>
      <c r="B11819" t="str">
        <f t="shared" si="2117"/>
        <v>95202000</v>
      </c>
      <c r="C11819" t="str">
        <f t="shared" si="2114"/>
        <v>95202096</v>
      </c>
      <c r="D11819">
        <v>89301167</v>
      </c>
      <c r="E11819" t="str">
        <f t="shared" si="2118"/>
        <v>6109280386</v>
      </c>
      <c r="F11819" s="1">
        <v>45173</v>
      </c>
      <c r="G11819" t="str">
        <f>"81393"</f>
        <v>81393</v>
      </c>
      <c r="H11819">
        <v>1</v>
      </c>
      <c r="I11819">
        <v>24</v>
      </c>
      <c r="J11819">
        <v>0</v>
      </c>
      <c r="K11819" t="str">
        <f t="shared" si="2116"/>
        <v>801</v>
      </c>
      <c r="L11819">
        <v>20.16</v>
      </c>
    </row>
    <row r="11820" spans="1:12" x14ac:dyDescent="0.25">
      <c r="A11820" t="str">
        <f t="shared" si="2110"/>
        <v>89301000</v>
      </c>
      <c r="B11820" t="str">
        <f t="shared" si="2117"/>
        <v>95202000</v>
      </c>
      <c r="C11820" t="str">
        <f t="shared" si="2114"/>
        <v>95202096</v>
      </c>
      <c r="D11820">
        <v>89301167</v>
      </c>
      <c r="E11820" t="str">
        <f t="shared" si="2118"/>
        <v>6109280386</v>
      </c>
      <c r="F11820" s="1">
        <v>45173</v>
      </c>
      <c r="G11820" t="str">
        <f>"81421"</f>
        <v>81421</v>
      </c>
      <c r="H11820">
        <v>1</v>
      </c>
      <c r="I11820">
        <v>19</v>
      </c>
      <c r="J11820">
        <v>0</v>
      </c>
      <c r="K11820" t="str">
        <f t="shared" si="2116"/>
        <v>801</v>
      </c>
      <c r="L11820">
        <v>15.96</v>
      </c>
    </row>
    <row r="11821" spans="1:12" x14ac:dyDescent="0.25">
      <c r="A11821" t="str">
        <f t="shared" si="2110"/>
        <v>89301000</v>
      </c>
      <c r="B11821" t="str">
        <f t="shared" si="2117"/>
        <v>95202000</v>
      </c>
      <c r="C11821" t="str">
        <f t="shared" si="2114"/>
        <v>95202096</v>
      </c>
      <c r="D11821">
        <v>89301167</v>
      </c>
      <c r="E11821" t="str">
        <f t="shared" si="2118"/>
        <v>6109280386</v>
      </c>
      <c r="F11821" s="1">
        <v>45173</v>
      </c>
      <c r="G11821" t="str">
        <f>"81435"</f>
        <v>81435</v>
      </c>
      <c r="H11821">
        <v>1</v>
      </c>
      <c r="I11821">
        <v>22</v>
      </c>
      <c r="J11821">
        <v>0</v>
      </c>
      <c r="K11821" t="str">
        <f t="shared" si="2116"/>
        <v>801</v>
      </c>
      <c r="L11821">
        <v>18.48</v>
      </c>
    </row>
    <row r="11822" spans="1:12" x14ac:dyDescent="0.25">
      <c r="A11822" t="str">
        <f t="shared" si="2110"/>
        <v>89301000</v>
      </c>
      <c r="B11822" t="str">
        <f t="shared" si="2117"/>
        <v>95202000</v>
      </c>
      <c r="C11822" t="str">
        <f t="shared" si="2114"/>
        <v>95202096</v>
      </c>
      <c r="D11822">
        <v>89301167</v>
      </c>
      <c r="E11822" t="str">
        <f t="shared" si="2118"/>
        <v>6109280386</v>
      </c>
      <c r="F11822" s="1">
        <v>45173</v>
      </c>
      <c r="G11822" t="str">
        <f>"81439"</f>
        <v>81439</v>
      </c>
      <c r="H11822">
        <v>1</v>
      </c>
      <c r="I11822">
        <v>16</v>
      </c>
      <c r="J11822">
        <v>0</v>
      </c>
      <c r="K11822" t="str">
        <f t="shared" si="2116"/>
        <v>801</v>
      </c>
      <c r="L11822">
        <v>13.44</v>
      </c>
    </row>
    <row r="11823" spans="1:12" x14ac:dyDescent="0.25">
      <c r="A11823" t="str">
        <f t="shared" si="2110"/>
        <v>89301000</v>
      </c>
      <c r="B11823" t="str">
        <f t="shared" si="2117"/>
        <v>95202000</v>
      </c>
      <c r="C11823" t="str">
        <f t="shared" si="2114"/>
        <v>95202096</v>
      </c>
      <c r="D11823">
        <v>89301167</v>
      </c>
      <c r="E11823" t="str">
        <f t="shared" si="2118"/>
        <v>6109280386</v>
      </c>
      <c r="F11823" s="1">
        <v>45173</v>
      </c>
      <c r="G11823" t="str">
        <f>"81469"</f>
        <v>81469</v>
      </c>
      <c r="H11823">
        <v>1</v>
      </c>
      <c r="I11823">
        <v>16</v>
      </c>
      <c r="J11823">
        <v>0</v>
      </c>
      <c r="K11823" t="str">
        <f t="shared" si="2116"/>
        <v>801</v>
      </c>
      <c r="L11823">
        <v>13.44</v>
      </c>
    </row>
    <row r="11824" spans="1:12" x14ac:dyDescent="0.25">
      <c r="A11824" t="str">
        <f t="shared" si="2110"/>
        <v>89301000</v>
      </c>
      <c r="B11824" t="str">
        <f t="shared" si="2117"/>
        <v>95202000</v>
      </c>
      <c r="C11824" t="str">
        <f t="shared" si="2114"/>
        <v>95202096</v>
      </c>
      <c r="D11824">
        <v>89301167</v>
      </c>
      <c r="E11824" t="str">
        <f t="shared" si="2118"/>
        <v>6109280386</v>
      </c>
      <c r="F11824" s="1">
        <v>45173</v>
      </c>
      <c r="G11824" t="str">
        <f>"81495"</f>
        <v>81495</v>
      </c>
      <c r="H11824">
        <v>1</v>
      </c>
      <c r="I11824">
        <v>32</v>
      </c>
      <c r="J11824">
        <v>0</v>
      </c>
      <c r="K11824" t="str">
        <f t="shared" si="2116"/>
        <v>801</v>
      </c>
      <c r="L11824">
        <v>26.88</v>
      </c>
    </row>
    <row r="11825" spans="1:12" x14ac:dyDescent="0.25">
      <c r="A11825" t="str">
        <f t="shared" si="2110"/>
        <v>89301000</v>
      </c>
      <c r="B11825" t="str">
        <f t="shared" si="2117"/>
        <v>95202000</v>
      </c>
      <c r="C11825" t="str">
        <f t="shared" si="2114"/>
        <v>95202096</v>
      </c>
      <c r="D11825">
        <v>89301167</v>
      </c>
      <c r="E11825" t="str">
        <f t="shared" si="2118"/>
        <v>6109280386</v>
      </c>
      <c r="F11825" s="1">
        <v>45173</v>
      </c>
      <c r="G11825" t="str">
        <f>"81499"</f>
        <v>81499</v>
      </c>
      <c r="H11825">
        <v>1</v>
      </c>
      <c r="I11825">
        <v>18</v>
      </c>
      <c r="J11825">
        <v>0</v>
      </c>
      <c r="K11825" t="str">
        <f t="shared" si="2116"/>
        <v>801</v>
      </c>
      <c r="L11825">
        <v>15.12</v>
      </c>
    </row>
    <row r="11826" spans="1:12" x14ac:dyDescent="0.25">
      <c r="A11826" t="str">
        <f t="shared" si="2110"/>
        <v>89301000</v>
      </c>
      <c r="B11826" t="str">
        <f t="shared" si="2117"/>
        <v>95202000</v>
      </c>
      <c r="C11826" t="str">
        <f t="shared" si="2114"/>
        <v>95202096</v>
      </c>
      <c r="D11826">
        <v>89301167</v>
      </c>
      <c r="E11826" t="str">
        <f t="shared" si="2118"/>
        <v>6109280386</v>
      </c>
      <c r="F11826" s="1">
        <v>45173</v>
      </c>
      <c r="G11826" t="str">
        <f>"81593"</f>
        <v>81593</v>
      </c>
      <c r="H11826">
        <v>1</v>
      </c>
      <c r="I11826">
        <v>22</v>
      </c>
      <c r="J11826">
        <v>0</v>
      </c>
      <c r="K11826" t="str">
        <f t="shared" si="2116"/>
        <v>801</v>
      </c>
      <c r="L11826">
        <v>18.48</v>
      </c>
    </row>
    <row r="11827" spans="1:12" x14ac:dyDescent="0.25">
      <c r="A11827" t="str">
        <f t="shared" si="2110"/>
        <v>89301000</v>
      </c>
      <c r="B11827" t="str">
        <f t="shared" si="2117"/>
        <v>95202000</v>
      </c>
      <c r="C11827" t="str">
        <f t="shared" si="2114"/>
        <v>95202096</v>
      </c>
      <c r="D11827">
        <v>89301167</v>
      </c>
      <c r="E11827" t="str">
        <f t="shared" si="2118"/>
        <v>6109280386</v>
      </c>
      <c r="F11827" s="1">
        <v>45173</v>
      </c>
      <c r="G11827" t="str">
        <f>"81621"</f>
        <v>81621</v>
      </c>
      <c r="H11827">
        <v>1</v>
      </c>
      <c r="I11827">
        <v>19</v>
      </c>
      <c r="J11827">
        <v>0</v>
      </c>
      <c r="K11827" t="str">
        <f t="shared" si="2116"/>
        <v>801</v>
      </c>
      <c r="L11827">
        <v>15.96</v>
      </c>
    </row>
    <row r="11828" spans="1:12" x14ac:dyDescent="0.25">
      <c r="A11828" t="str">
        <f t="shared" si="2110"/>
        <v>89301000</v>
      </c>
      <c r="B11828" t="str">
        <f t="shared" si="2117"/>
        <v>95202000</v>
      </c>
      <c r="C11828" t="str">
        <f t="shared" ref="C11828:C11859" si="2119">"95202096"</f>
        <v>95202096</v>
      </c>
      <c r="D11828">
        <v>89301167</v>
      </c>
      <c r="E11828" t="str">
        <f t="shared" si="2118"/>
        <v>6109280386</v>
      </c>
      <c r="F11828" s="1">
        <v>45173</v>
      </c>
      <c r="G11828" t="str">
        <f>"81625"</f>
        <v>81625</v>
      </c>
      <c r="H11828">
        <v>1</v>
      </c>
      <c r="I11828">
        <v>21</v>
      </c>
      <c r="J11828">
        <v>0</v>
      </c>
      <c r="K11828" t="str">
        <f t="shared" ref="K11828:K11859" si="2120">"801"</f>
        <v>801</v>
      </c>
      <c r="L11828">
        <v>17.64</v>
      </c>
    </row>
    <row r="11829" spans="1:12" x14ac:dyDescent="0.25">
      <c r="A11829" t="str">
        <f t="shared" si="2110"/>
        <v>89301000</v>
      </c>
      <c r="B11829" t="str">
        <f t="shared" si="2117"/>
        <v>95202000</v>
      </c>
      <c r="C11829" t="str">
        <f t="shared" si="2119"/>
        <v>95202096</v>
      </c>
      <c r="D11829">
        <v>89301167</v>
      </c>
      <c r="E11829" t="str">
        <f t="shared" si="2118"/>
        <v>6109280386</v>
      </c>
      <c r="F11829" s="1">
        <v>45173</v>
      </c>
      <c r="G11829" t="str">
        <f>"91153"</f>
        <v>91153</v>
      </c>
      <c r="H11829">
        <v>1</v>
      </c>
      <c r="I11829">
        <v>153</v>
      </c>
      <c r="J11829">
        <v>0</v>
      </c>
      <c r="K11829" t="str">
        <f t="shared" si="2120"/>
        <v>801</v>
      </c>
      <c r="L11829">
        <v>128.52000000000001</v>
      </c>
    </row>
    <row r="11830" spans="1:12" x14ac:dyDescent="0.25">
      <c r="A11830" t="str">
        <f t="shared" si="2110"/>
        <v>89301000</v>
      </c>
      <c r="B11830" t="str">
        <f t="shared" si="2117"/>
        <v>95202000</v>
      </c>
      <c r="C11830" t="str">
        <f t="shared" si="2119"/>
        <v>95202096</v>
      </c>
      <c r="D11830">
        <v>89301167</v>
      </c>
      <c r="E11830" t="str">
        <f t="shared" si="2118"/>
        <v>6109280386</v>
      </c>
      <c r="F11830" s="1">
        <v>45173</v>
      </c>
      <c r="G11830" t="str">
        <f>"93189"</f>
        <v>93189</v>
      </c>
      <c r="H11830">
        <v>1</v>
      </c>
      <c r="I11830">
        <v>191</v>
      </c>
      <c r="J11830">
        <v>0</v>
      </c>
      <c r="K11830" t="str">
        <f t="shared" si="2120"/>
        <v>801</v>
      </c>
      <c r="L11830">
        <v>160.44</v>
      </c>
    </row>
    <row r="11831" spans="1:12" x14ac:dyDescent="0.25">
      <c r="A11831" t="str">
        <f t="shared" si="2110"/>
        <v>89301000</v>
      </c>
      <c r="B11831" t="str">
        <f t="shared" si="2117"/>
        <v>95202000</v>
      </c>
      <c r="C11831" t="str">
        <f t="shared" si="2119"/>
        <v>95202096</v>
      </c>
      <c r="D11831">
        <v>89301167</v>
      </c>
      <c r="E11831" t="str">
        <f t="shared" si="2118"/>
        <v>6109280386</v>
      </c>
      <c r="F11831" s="1">
        <v>45173</v>
      </c>
      <c r="G11831" t="str">
        <f>"93195"</f>
        <v>93195</v>
      </c>
      <c r="H11831">
        <v>1</v>
      </c>
      <c r="I11831">
        <v>183</v>
      </c>
      <c r="J11831">
        <v>0</v>
      </c>
      <c r="K11831" t="str">
        <f t="shared" si="2120"/>
        <v>801</v>
      </c>
      <c r="L11831">
        <v>153.72</v>
      </c>
    </row>
    <row r="11832" spans="1:12" x14ac:dyDescent="0.25">
      <c r="A11832" t="str">
        <f t="shared" si="2110"/>
        <v>89301000</v>
      </c>
      <c r="B11832" t="str">
        <f t="shared" si="2117"/>
        <v>95202000</v>
      </c>
      <c r="C11832" t="str">
        <f t="shared" si="2119"/>
        <v>95202096</v>
      </c>
      <c r="D11832">
        <v>89301167</v>
      </c>
      <c r="E11832" t="str">
        <f t="shared" si="2118"/>
        <v>6109280386</v>
      </c>
      <c r="F11832" s="1">
        <v>45173</v>
      </c>
      <c r="G11832" t="str">
        <f>"93221"</f>
        <v>93221</v>
      </c>
      <c r="H11832">
        <v>1</v>
      </c>
      <c r="I11832">
        <v>190</v>
      </c>
      <c r="J11832">
        <v>0</v>
      </c>
      <c r="K11832" t="str">
        <f t="shared" si="2120"/>
        <v>801</v>
      </c>
      <c r="L11832">
        <v>159.6</v>
      </c>
    </row>
    <row r="11833" spans="1:12" x14ac:dyDescent="0.25">
      <c r="A11833" t="str">
        <f t="shared" si="2110"/>
        <v>89301000</v>
      </c>
      <c r="B11833" t="str">
        <f t="shared" si="2117"/>
        <v>95202000</v>
      </c>
      <c r="C11833" t="str">
        <f t="shared" si="2119"/>
        <v>95202096</v>
      </c>
      <c r="D11833">
        <v>89301167</v>
      </c>
      <c r="E11833" t="str">
        <f t="shared" si="2118"/>
        <v>6109280386</v>
      </c>
      <c r="F11833" s="1">
        <v>45173</v>
      </c>
      <c r="G11833" t="str">
        <f>"93245"</f>
        <v>93245</v>
      </c>
      <c r="H11833">
        <v>1</v>
      </c>
      <c r="I11833">
        <v>191</v>
      </c>
      <c r="J11833">
        <v>0</v>
      </c>
      <c r="K11833" t="str">
        <f t="shared" si="2120"/>
        <v>801</v>
      </c>
      <c r="L11833">
        <v>160.44</v>
      </c>
    </row>
    <row r="11834" spans="1:12" x14ac:dyDescent="0.25">
      <c r="A11834" t="str">
        <f t="shared" si="2110"/>
        <v>89301000</v>
      </c>
      <c r="B11834" t="str">
        <f t="shared" si="2117"/>
        <v>95202000</v>
      </c>
      <c r="C11834" t="str">
        <f t="shared" si="2119"/>
        <v>95202096</v>
      </c>
      <c r="D11834">
        <v>89301167</v>
      </c>
      <c r="E11834" t="str">
        <f t="shared" si="2118"/>
        <v>6109280386</v>
      </c>
      <c r="F11834" s="1">
        <v>45173</v>
      </c>
      <c r="G11834" t="str">
        <f>"97111"</f>
        <v>97111</v>
      </c>
      <c r="H11834">
        <v>1</v>
      </c>
      <c r="I11834">
        <v>19</v>
      </c>
      <c r="J11834">
        <v>0</v>
      </c>
      <c r="K11834" t="str">
        <f t="shared" si="2120"/>
        <v>801</v>
      </c>
      <c r="L11834">
        <v>23.94</v>
      </c>
    </row>
    <row r="11835" spans="1:12" x14ac:dyDescent="0.25">
      <c r="A11835" t="str">
        <f t="shared" si="2110"/>
        <v>89301000</v>
      </c>
      <c r="B11835" t="str">
        <f t="shared" si="2117"/>
        <v>95202000</v>
      </c>
      <c r="C11835" t="str">
        <f t="shared" si="2119"/>
        <v>95202096</v>
      </c>
      <c r="D11835">
        <v>89301167</v>
      </c>
      <c r="E11835" t="str">
        <f t="shared" ref="E11835:E11850" si="2121">"5709166199"</f>
        <v>5709166199</v>
      </c>
      <c r="F11835" s="1">
        <v>45181</v>
      </c>
      <c r="G11835" t="str">
        <f>"81337"</f>
        <v>81337</v>
      </c>
      <c r="H11835">
        <v>1</v>
      </c>
      <c r="I11835">
        <v>20</v>
      </c>
      <c r="J11835">
        <v>0</v>
      </c>
      <c r="K11835" t="str">
        <f t="shared" si="2120"/>
        <v>801</v>
      </c>
      <c r="L11835">
        <v>16.8</v>
      </c>
    </row>
    <row r="11836" spans="1:12" x14ac:dyDescent="0.25">
      <c r="A11836" t="str">
        <f t="shared" si="2110"/>
        <v>89301000</v>
      </c>
      <c r="B11836" t="str">
        <f t="shared" si="2117"/>
        <v>95202000</v>
      </c>
      <c r="C11836" t="str">
        <f t="shared" si="2119"/>
        <v>95202096</v>
      </c>
      <c r="D11836">
        <v>89301167</v>
      </c>
      <c r="E11836" t="str">
        <f t="shared" si="2121"/>
        <v>5709166199</v>
      </c>
      <c r="F11836" s="1">
        <v>45181</v>
      </c>
      <c r="G11836" t="str">
        <f>"81357"</f>
        <v>81357</v>
      </c>
      <c r="H11836">
        <v>1</v>
      </c>
      <c r="I11836">
        <v>20</v>
      </c>
      <c r="J11836">
        <v>0</v>
      </c>
      <c r="K11836" t="str">
        <f t="shared" si="2120"/>
        <v>801</v>
      </c>
      <c r="L11836">
        <v>16.8</v>
      </c>
    </row>
    <row r="11837" spans="1:12" x14ac:dyDescent="0.25">
      <c r="A11837" t="str">
        <f t="shared" si="2110"/>
        <v>89301000</v>
      </c>
      <c r="B11837" t="str">
        <f t="shared" si="2117"/>
        <v>95202000</v>
      </c>
      <c r="C11837" t="str">
        <f t="shared" si="2119"/>
        <v>95202096</v>
      </c>
      <c r="D11837">
        <v>89301167</v>
      </c>
      <c r="E11837" t="str">
        <f t="shared" si="2121"/>
        <v>5709166199</v>
      </c>
      <c r="F11837" s="1">
        <v>45181</v>
      </c>
      <c r="G11837" t="str">
        <f>"81361"</f>
        <v>81361</v>
      </c>
      <c r="H11837">
        <v>1</v>
      </c>
      <c r="I11837">
        <v>17</v>
      </c>
      <c r="J11837">
        <v>0</v>
      </c>
      <c r="K11837" t="str">
        <f t="shared" si="2120"/>
        <v>801</v>
      </c>
      <c r="L11837">
        <v>14.28</v>
      </c>
    </row>
    <row r="11838" spans="1:12" x14ac:dyDescent="0.25">
      <c r="A11838" t="str">
        <f t="shared" si="2110"/>
        <v>89301000</v>
      </c>
      <c r="B11838" t="str">
        <f t="shared" si="2117"/>
        <v>95202000</v>
      </c>
      <c r="C11838" t="str">
        <f t="shared" si="2119"/>
        <v>95202096</v>
      </c>
      <c r="D11838">
        <v>89301167</v>
      </c>
      <c r="E11838" t="str">
        <f t="shared" si="2121"/>
        <v>5709166199</v>
      </c>
      <c r="F11838" s="1">
        <v>45181</v>
      </c>
      <c r="G11838" t="str">
        <f>"81383"</f>
        <v>81383</v>
      </c>
      <c r="H11838">
        <v>1</v>
      </c>
      <c r="I11838">
        <v>24</v>
      </c>
      <c r="J11838">
        <v>0</v>
      </c>
      <c r="K11838" t="str">
        <f t="shared" si="2120"/>
        <v>801</v>
      </c>
      <c r="L11838">
        <v>20.16</v>
      </c>
    </row>
    <row r="11839" spans="1:12" x14ac:dyDescent="0.25">
      <c r="A11839" t="str">
        <f t="shared" si="2110"/>
        <v>89301000</v>
      </c>
      <c r="B11839" t="str">
        <f t="shared" si="2117"/>
        <v>95202000</v>
      </c>
      <c r="C11839" t="str">
        <f t="shared" si="2119"/>
        <v>95202096</v>
      </c>
      <c r="D11839">
        <v>89301167</v>
      </c>
      <c r="E11839" t="str">
        <f t="shared" si="2121"/>
        <v>5709166199</v>
      </c>
      <c r="F11839" s="1">
        <v>45181</v>
      </c>
      <c r="G11839" t="str">
        <f>"81393"</f>
        <v>81393</v>
      </c>
      <c r="H11839">
        <v>1</v>
      </c>
      <c r="I11839">
        <v>24</v>
      </c>
      <c r="J11839">
        <v>0</v>
      </c>
      <c r="K11839" t="str">
        <f t="shared" si="2120"/>
        <v>801</v>
      </c>
      <c r="L11839">
        <v>20.16</v>
      </c>
    </row>
    <row r="11840" spans="1:12" x14ac:dyDescent="0.25">
      <c r="A11840" t="str">
        <f t="shared" si="2110"/>
        <v>89301000</v>
      </c>
      <c r="B11840" t="str">
        <f t="shared" si="2117"/>
        <v>95202000</v>
      </c>
      <c r="C11840" t="str">
        <f t="shared" si="2119"/>
        <v>95202096</v>
      </c>
      <c r="D11840">
        <v>89301167</v>
      </c>
      <c r="E11840" t="str">
        <f t="shared" si="2121"/>
        <v>5709166199</v>
      </c>
      <c r="F11840" s="1">
        <v>45181</v>
      </c>
      <c r="G11840" t="str">
        <f>"81421"</f>
        <v>81421</v>
      </c>
      <c r="H11840">
        <v>1</v>
      </c>
      <c r="I11840">
        <v>19</v>
      </c>
      <c r="J11840">
        <v>0</v>
      </c>
      <c r="K11840" t="str">
        <f t="shared" si="2120"/>
        <v>801</v>
      </c>
      <c r="L11840">
        <v>15.96</v>
      </c>
    </row>
    <row r="11841" spans="1:12" x14ac:dyDescent="0.25">
      <c r="A11841" t="str">
        <f t="shared" si="2110"/>
        <v>89301000</v>
      </c>
      <c r="B11841" t="str">
        <f t="shared" ref="B11841:B11872" si="2122">"95202000"</f>
        <v>95202000</v>
      </c>
      <c r="C11841" t="str">
        <f t="shared" si="2119"/>
        <v>95202096</v>
      </c>
      <c r="D11841">
        <v>89301167</v>
      </c>
      <c r="E11841" t="str">
        <f t="shared" si="2121"/>
        <v>5709166199</v>
      </c>
      <c r="F11841" s="1">
        <v>45181</v>
      </c>
      <c r="G11841" t="str">
        <f>"81435"</f>
        <v>81435</v>
      </c>
      <c r="H11841">
        <v>1</v>
      </c>
      <c r="I11841">
        <v>22</v>
      </c>
      <c r="J11841">
        <v>0</v>
      </c>
      <c r="K11841" t="str">
        <f t="shared" si="2120"/>
        <v>801</v>
      </c>
      <c r="L11841">
        <v>18.48</v>
      </c>
    </row>
    <row r="11842" spans="1:12" x14ac:dyDescent="0.25">
      <c r="A11842" t="str">
        <f t="shared" ref="A11842:A11905" si="2123">"89301000"</f>
        <v>89301000</v>
      </c>
      <c r="B11842" t="str">
        <f t="shared" si="2122"/>
        <v>95202000</v>
      </c>
      <c r="C11842" t="str">
        <f t="shared" si="2119"/>
        <v>95202096</v>
      </c>
      <c r="D11842">
        <v>89301167</v>
      </c>
      <c r="E11842" t="str">
        <f t="shared" si="2121"/>
        <v>5709166199</v>
      </c>
      <c r="F11842" s="1">
        <v>45181</v>
      </c>
      <c r="G11842" t="str">
        <f>"81439"</f>
        <v>81439</v>
      </c>
      <c r="H11842">
        <v>1</v>
      </c>
      <c r="I11842">
        <v>16</v>
      </c>
      <c r="J11842">
        <v>0</v>
      </c>
      <c r="K11842" t="str">
        <f t="shared" si="2120"/>
        <v>801</v>
      </c>
      <c r="L11842">
        <v>13.44</v>
      </c>
    </row>
    <row r="11843" spans="1:12" x14ac:dyDescent="0.25">
      <c r="A11843" t="str">
        <f t="shared" si="2123"/>
        <v>89301000</v>
      </c>
      <c r="B11843" t="str">
        <f t="shared" si="2122"/>
        <v>95202000</v>
      </c>
      <c r="C11843" t="str">
        <f t="shared" si="2119"/>
        <v>95202096</v>
      </c>
      <c r="D11843">
        <v>89301167</v>
      </c>
      <c r="E11843" t="str">
        <f t="shared" si="2121"/>
        <v>5709166199</v>
      </c>
      <c r="F11843" s="1">
        <v>45181</v>
      </c>
      <c r="G11843" t="str">
        <f>"81469"</f>
        <v>81469</v>
      </c>
      <c r="H11843">
        <v>1</v>
      </c>
      <c r="I11843">
        <v>16</v>
      </c>
      <c r="J11843">
        <v>0</v>
      </c>
      <c r="K11843" t="str">
        <f t="shared" si="2120"/>
        <v>801</v>
      </c>
      <c r="L11843">
        <v>13.44</v>
      </c>
    </row>
    <row r="11844" spans="1:12" x14ac:dyDescent="0.25">
      <c r="A11844" t="str">
        <f t="shared" si="2123"/>
        <v>89301000</v>
      </c>
      <c r="B11844" t="str">
        <f t="shared" si="2122"/>
        <v>95202000</v>
      </c>
      <c r="C11844" t="str">
        <f t="shared" si="2119"/>
        <v>95202096</v>
      </c>
      <c r="D11844">
        <v>89301167</v>
      </c>
      <c r="E11844" t="str">
        <f t="shared" si="2121"/>
        <v>5709166199</v>
      </c>
      <c r="F11844" s="1">
        <v>45181</v>
      </c>
      <c r="G11844" t="str">
        <f>"81499"</f>
        <v>81499</v>
      </c>
      <c r="H11844">
        <v>1</v>
      </c>
      <c r="I11844">
        <v>18</v>
      </c>
      <c r="J11844">
        <v>0</v>
      </c>
      <c r="K11844" t="str">
        <f t="shared" si="2120"/>
        <v>801</v>
      </c>
      <c r="L11844">
        <v>15.12</v>
      </c>
    </row>
    <row r="11845" spans="1:12" x14ac:dyDescent="0.25">
      <c r="A11845" t="str">
        <f t="shared" si="2123"/>
        <v>89301000</v>
      </c>
      <c r="B11845" t="str">
        <f t="shared" si="2122"/>
        <v>95202000</v>
      </c>
      <c r="C11845" t="str">
        <f t="shared" si="2119"/>
        <v>95202096</v>
      </c>
      <c r="D11845">
        <v>89301167</v>
      </c>
      <c r="E11845" t="str">
        <f t="shared" si="2121"/>
        <v>5709166199</v>
      </c>
      <c r="F11845" s="1">
        <v>45181</v>
      </c>
      <c r="G11845" t="str">
        <f>"81593"</f>
        <v>81593</v>
      </c>
      <c r="H11845">
        <v>1</v>
      </c>
      <c r="I11845">
        <v>22</v>
      </c>
      <c r="J11845">
        <v>0</v>
      </c>
      <c r="K11845" t="str">
        <f t="shared" si="2120"/>
        <v>801</v>
      </c>
      <c r="L11845">
        <v>18.48</v>
      </c>
    </row>
    <row r="11846" spans="1:12" x14ac:dyDescent="0.25">
      <c r="A11846" t="str">
        <f t="shared" si="2123"/>
        <v>89301000</v>
      </c>
      <c r="B11846" t="str">
        <f t="shared" si="2122"/>
        <v>95202000</v>
      </c>
      <c r="C11846" t="str">
        <f t="shared" si="2119"/>
        <v>95202096</v>
      </c>
      <c r="D11846">
        <v>89301167</v>
      </c>
      <c r="E11846" t="str">
        <f t="shared" si="2121"/>
        <v>5709166199</v>
      </c>
      <c r="F11846" s="1">
        <v>45181</v>
      </c>
      <c r="G11846" t="str">
        <f>"81621"</f>
        <v>81621</v>
      </c>
      <c r="H11846">
        <v>1</v>
      </c>
      <c r="I11846">
        <v>19</v>
      </c>
      <c r="J11846">
        <v>0</v>
      </c>
      <c r="K11846" t="str">
        <f t="shared" si="2120"/>
        <v>801</v>
      </c>
      <c r="L11846">
        <v>15.96</v>
      </c>
    </row>
    <row r="11847" spans="1:12" x14ac:dyDescent="0.25">
      <c r="A11847" t="str">
        <f t="shared" si="2123"/>
        <v>89301000</v>
      </c>
      <c r="B11847" t="str">
        <f t="shared" si="2122"/>
        <v>95202000</v>
      </c>
      <c r="C11847" t="str">
        <f t="shared" si="2119"/>
        <v>95202096</v>
      </c>
      <c r="D11847">
        <v>89301167</v>
      </c>
      <c r="E11847" t="str">
        <f t="shared" si="2121"/>
        <v>5709166199</v>
      </c>
      <c r="F11847" s="1">
        <v>45181</v>
      </c>
      <c r="G11847" t="str">
        <f>"91153"</f>
        <v>91153</v>
      </c>
      <c r="H11847">
        <v>1</v>
      </c>
      <c r="I11847">
        <v>153</v>
      </c>
      <c r="J11847">
        <v>0</v>
      </c>
      <c r="K11847" t="str">
        <f t="shared" si="2120"/>
        <v>801</v>
      </c>
      <c r="L11847">
        <v>128.52000000000001</v>
      </c>
    </row>
    <row r="11848" spans="1:12" x14ac:dyDescent="0.25">
      <c r="A11848" t="str">
        <f t="shared" si="2123"/>
        <v>89301000</v>
      </c>
      <c r="B11848" t="str">
        <f t="shared" si="2122"/>
        <v>95202000</v>
      </c>
      <c r="C11848" t="str">
        <f t="shared" si="2119"/>
        <v>95202096</v>
      </c>
      <c r="D11848">
        <v>89301167</v>
      </c>
      <c r="E11848" t="str">
        <f t="shared" si="2121"/>
        <v>5709166199</v>
      </c>
      <c r="F11848" s="1">
        <v>45181</v>
      </c>
      <c r="G11848" t="str">
        <f>"93189"</f>
        <v>93189</v>
      </c>
      <c r="H11848">
        <v>1</v>
      </c>
      <c r="I11848">
        <v>191</v>
      </c>
      <c r="J11848">
        <v>0</v>
      </c>
      <c r="K11848" t="str">
        <f t="shared" si="2120"/>
        <v>801</v>
      </c>
      <c r="L11848">
        <v>160.44</v>
      </c>
    </row>
    <row r="11849" spans="1:12" x14ac:dyDescent="0.25">
      <c r="A11849" t="str">
        <f t="shared" si="2123"/>
        <v>89301000</v>
      </c>
      <c r="B11849" t="str">
        <f t="shared" si="2122"/>
        <v>95202000</v>
      </c>
      <c r="C11849" t="str">
        <f t="shared" si="2119"/>
        <v>95202096</v>
      </c>
      <c r="D11849">
        <v>89301167</v>
      </c>
      <c r="E11849" t="str">
        <f t="shared" si="2121"/>
        <v>5709166199</v>
      </c>
      <c r="F11849" s="1">
        <v>45181</v>
      </c>
      <c r="G11849" t="str">
        <f>"93195"</f>
        <v>93195</v>
      </c>
      <c r="H11849">
        <v>1</v>
      </c>
      <c r="I11849">
        <v>183</v>
      </c>
      <c r="J11849">
        <v>0</v>
      </c>
      <c r="K11849" t="str">
        <f t="shared" si="2120"/>
        <v>801</v>
      </c>
      <c r="L11849">
        <v>153.72</v>
      </c>
    </row>
    <row r="11850" spans="1:12" x14ac:dyDescent="0.25">
      <c r="A11850" t="str">
        <f t="shared" si="2123"/>
        <v>89301000</v>
      </c>
      <c r="B11850" t="str">
        <f t="shared" si="2122"/>
        <v>95202000</v>
      </c>
      <c r="C11850" t="str">
        <f t="shared" si="2119"/>
        <v>95202096</v>
      </c>
      <c r="D11850">
        <v>89301167</v>
      </c>
      <c r="E11850" t="str">
        <f t="shared" si="2121"/>
        <v>5709166199</v>
      </c>
      <c r="F11850" s="1">
        <v>45181</v>
      </c>
      <c r="G11850" t="str">
        <f>"97111"</f>
        <v>97111</v>
      </c>
      <c r="H11850">
        <v>1</v>
      </c>
      <c r="I11850">
        <v>19</v>
      </c>
      <c r="J11850">
        <v>0</v>
      </c>
      <c r="K11850" t="str">
        <f t="shared" si="2120"/>
        <v>801</v>
      </c>
      <c r="L11850">
        <v>23.94</v>
      </c>
    </row>
    <row r="11851" spans="1:12" x14ac:dyDescent="0.25">
      <c r="A11851" t="str">
        <f t="shared" si="2123"/>
        <v>89301000</v>
      </c>
      <c r="B11851" t="str">
        <f t="shared" si="2122"/>
        <v>95202000</v>
      </c>
      <c r="C11851" t="str">
        <f t="shared" si="2119"/>
        <v>95202096</v>
      </c>
      <c r="D11851">
        <v>89301167</v>
      </c>
      <c r="E11851" t="str">
        <f t="shared" ref="E11851:E11868" si="2124">"521204004"</f>
        <v>521204004</v>
      </c>
      <c r="F11851" s="1">
        <v>45198</v>
      </c>
      <c r="G11851" t="str">
        <f>"81329"</f>
        <v>81329</v>
      </c>
      <c r="H11851">
        <v>1</v>
      </c>
      <c r="I11851">
        <v>17</v>
      </c>
      <c r="J11851">
        <v>0</v>
      </c>
      <c r="K11851" t="str">
        <f t="shared" si="2120"/>
        <v>801</v>
      </c>
      <c r="L11851">
        <v>14.28</v>
      </c>
    </row>
    <row r="11852" spans="1:12" x14ac:dyDescent="0.25">
      <c r="A11852" t="str">
        <f t="shared" si="2123"/>
        <v>89301000</v>
      </c>
      <c r="B11852" t="str">
        <f t="shared" si="2122"/>
        <v>95202000</v>
      </c>
      <c r="C11852" t="str">
        <f t="shared" si="2119"/>
        <v>95202096</v>
      </c>
      <c r="D11852">
        <v>89301167</v>
      </c>
      <c r="E11852" t="str">
        <f t="shared" si="2124"/>
        <v>521204004</v>
      </c>
      <c r="F11852" s="1">
        <v>45198</v>
      </c>
      <c r="G11852" t="str">
        <f>"81337"</f>
        <v>81337</v>
      </c>
      <c r="H11852">
        <v>1</v>
      </c>
      <c r="I11852">
        <v>20</v>
      </c>
      <c r="J11852">
        <v>0</v>
      </c>
      <c r="K11852" t="str">
        <f t="shared" si="2120"/>
        <v>801</v>
      </c>
      <c r="L11852">
        <v>16.8</v>
      </c>
    </row>
    <row r="11853" spans="1:12" x14ac:dyDescent="0.25">
      <c r="A11853" t="str">
        <f t="shared" si="2123"/>
        <v>89301000</v>
      </c>
      <c r="B11853" t="str">
        <f t="shared" si="2122"/>
        <v>95202000</v>
      </c>
      <c r="C11853" t="str">
        <f t="shared" si="2119"/>
        <v>95202096</v>
      </c>
      <c r="D11853">
        <v>89301167</v>
      </c>
      <c r="E11853" t="str">
        <f t="shared" si="2124"/>
        <v>521204004</v>
      </c>
      <c r="F11853" s="1">
        <v>45198</v>
      </c>
      <c r="G11853" t="str">
        <f>"81357"</f>
        <v>81357</v>
      </c>
      <c r="H11853">
        <v>1</v>
      </c>
      <c r="I11853">
        <v>20</v>
      </c>
      <c r="J11853">
        <v>0</v>
      </c>
      <c r="K11853" t="str">
        <f t="shared" si="2120"/>
        <v>801</v>
      </c>
      <c r="L11853">
        <v>16.8</v>
      </c>
    </row>
    <row r="11854" spans="1:12" x14ac:dyDescent="0.25">
      <c r="A11854" t="str">
        <f t="shared" si="2123"/>
        <v>89301000</v>
      </c>
      <c r="B11854" t="str">
        <f t="shared" si="2122"/>
        <v>95202000</v>
      </c>
      <c r="C11854" t="str">
        <f t="shared" si="2119"/>
        <v>95202096</v>
      </c>
      <c r="D11854">
        <v>89301167</v>
      </c>
      <c r="E11854" t="str">
        <f t="shared" si="2124"/>
        <v>521204004</v>
      </c>
      <c r="F11854" s="1">
        <v>45198</v>
      </c>
      <c r="G11854" t="str">
        <f>"81361"</f>
        <v>81361</v>
      </c>
      <c r="H11854">
        <v>1</v>
      </c>
      <c r="I11854">
        <v>17</v>
      </c>
      <c r="J11854">
        <v>0</v>
      </c>
      <c r="K11854" t="str">
        <f t="shared" si="2120"/>
        <v>801</v>
      </c>
      <c r="L11854">
        <v>14.28</v>
      </c>
    </row>
    <row r="11855" spans="1:12" x14ac:dyDescent="0.25">
      <c r="A11855" t="str">
        <f t="shared" si="2123"/>
        <v>89301000</v>
      </c>
      <c r="B11855" t="str">
        <f t="shared" si="2122"/>
        <v>95202000</v>
      </c>
      <c r="C11855" t="str">
        <f t="shared" si="2119"/>
        <v>95202096</v>
      </c>
      <c r="D11855">
        <v>89301167</v>
      </c>
      <c r="E11855" t="str">
        <f t="shared" si="2124"/>
        <v>521204004</v>
      </c>
      <c r="F11855" s="1">
        <v>45198</v>
      </c>
      <c r="G11855" t="str">
        <f>"81365"</f>
        <v>81365</v>
      </c>
      <c r="H11855">
        <v>1</v>
      </c>
      <c r="I11855">
        <v>16</v>
      </c>
      <c r="J11855">
        <v>0</v>
      </c>
      <c r="K11855" t="str">
        <f t="shared" si="2120"/>
        <v>801</v>
      </c>
      <c r="L11855">
        <v>13.44</v>
      </c>
    </row>
    <row r="11856" spans="1:12" x14ac:dyDescent="0.25">
      <c r="A11856" t="str">
        <f t="shared" si="2123"/>
        <v>89301000</v>
      </c>
      <c r="B11856" t="str">
        <f t="shared" si="2122"/>
        <v>95202000</v>
      </c>
      <c r="C11856" t="str">
        <f t="shared" si="2119"/>
        <v>95202096</v>
      </c>
      <c r="D11856">
        <v>89301167</v>
      </c>
      <c r="E11856" t="str">
        <f t="shared" si="2124"/>
        <v>521204004</v>
      </c>
      <c r="F11856" s="1">
        <v>45198</v>
      </c>
      <c r="G11856" t="str">
        <f>"81383"</f>
        <v>81383</v>
      </c>
      <c r="H11856">
        <v>1</v>
      </c>
      <c r="I11856">
        <v>24</v>
      </c>
      <c r="J11856">
        <v>0</v>
      </c>
      <c r="K11856" t="str">
        <f t="shared" si="2120"/>
        <v>801</v>
      </c>
      <c r="L11856">
        <v>20.16</v>
      </c>
    </row>
    <row r="11857" spans="1:12" x14ac:dyDescent="0.25">
      <c r="A11857" t="str">
        <f t="shared" si="2123"/>
        <v>89301000</v>
      </c>
      <c r="B11857" t="str">
        <f t="shared" si="2122"/>
        <v>95202000</v>
      </c>
      <c r="C11857" t="str">
        <f t="shared" si="2119"/>
        <v>95202096</v>
      </c>
      <c r="D11857">
        <v>89301167</v>
      </c>
      <c r="E11857" t="str">
        <f t="shared" si="2124"/>
        <v>521204004</v>
      </c>
      <c r="F11857" s="1">
        <v>45198</v>
      </c>
      <c r="G11857" t="str">
        <f>"81393"</f>
        <v>81393</v>
      </c>
      <c r="H11857">
        <v>1</v>
      </c>
      <c r="I11857">
        <v>24</v>
      </c>
      <c r="J11857">
        <v>0</v>
      </c>
      <c r="K11857" t="str">
        <f t="shared" si="2120"/>
        <v>801</v>
      </c>
      <c r="L11857">
        <v>20.16</v>
      </c>
    </row>
    <row r="11858" spans="1:12" x14ac:dyDescent="0.25">
      <c r="A11858" t="str">
        <f t="shared" si="2123"/>
        <v>89301000</v>
      </c>
      <c r="B11858" t="str">
        <f t="shared" si="2122"/>
        <v>95202000</v>
      </c>
      <c r="C11858" t="str">
        <f t="shared" si="2119"/>
        <v>95202096</v>
      </c>
      <c r="D11858">
        <v>89301167</v>
      </c>
      <c r="E11858" t="str">
        <f t="shared" si="2124"/>
        <v>521204004</v>
      </c>
      <c r="F11858" s="1">
        <v>45198</v>
      </c>
      <c r="G11858" t="str">
        <f>"81421"</f>
        <v>81421</v>
      </c>
      <c r="H11858">
        <v>1</v>
      </c>
      <c r="I11858">
        <v>19</v>
      </c>
      <c r="J11858">
        <v>0</v>
      </c>
      <c r="K11858" t="str">
        <f t="shared" si="2120"/>
        <v>801</v>
      </c>
      <c r="L11858">
        <v>15.96</v>
      </c>
    </row>
    <row r="11859" spans="1:12" x14ac:dyDescent="0.25">
      <c r="A11859" t="str">
        <f t="shared" si="2123"/>
        <v>89301000</v>
      </c>
      <c r="B11859" t="str">
        <f t="shared" si="2122"/>
        <v>95202000</v>
      </c>
      <c r="C11859" t="str">
        <f t="shared" si="2119"/>
        <v>95202096</v>
      </c>
      <c r="D11859">
        <v>89301167</v>
      </c>
      <c r="E11859" t="str">
        <f t="shared" si="2124"/>
        <v>521204004</v>
      </c>
      <c r="F11859" s="1">
        <v>45198</v>
      </c>
      <c r="G11859" t="str">
        <f>"81435"</f>
        <v>81435</v>
      </c>
      <c r="H11859">
        <v>1</v>
      </c>
      <c r="I11859">
        <v>22</v>
      </c>
      <c r="J11859">
        <v>0</v>
      </c>
      <c r="K11859" t="str">
        <f t="shared" si="2120"/>
        <v>801</v>
      </c>
      <c r="L11859">
        <v>18.48</v>
      </c>
    </row>
    <row r="11860" spans="1:12" x14ac:dyDescent="0.25">
      <c r="A11860" t="str">
        <f t="shared" si="2123"/>
        <v>89301000</v>
      </c>
      <c r="B11860" t="str">
        <f t="shared" si="2122"/>
        <v>95202000</v>
      </c>
      <c r="C11860" t="str">
        <f t="shared" ref="C11860:C11887" si="2125">"95202096"</f>
        <v>95202096</v>
      </c>
      <c r="D11860">
        <v>89301167</v>
      </c>
      <c r="E11860" t="str">
        <f t="shared" si="2124"/>
        <v>521204004</v>
      </c>
      <c r="F11860" s="1">
        <v>45198</v>
      </c>
      <c r="G11860" t="str">
        <f>"81439"</f>
        <v>81439</v>
      </c>
      <c r="H11860">
        <v>1</v>
      </c>
      <c r="I11860">
        <v>16</v>
      </c>
      <c r="J11860">
        <v>0</v>
      </c>
      <c r="K11860" t="str">
        <f t="shared" ref="K11860:K11887" si="2126">"801"</f>
        <v>801</v>
      </c>
      <c r="L11860">
        <v>13.44</v>
      </c>
    </row>
    <row r="11861" spans="1:12" x14ac:dyDescent="0.25">
      <c r="A11861" t="str">
        <f t="shared" si="2123"/>
        <v>89301000</v>
      </c>
      <c r="B11861" t="str">
        <f t="shared" si="2122"/>
        <v>95202000</v>
      </c>
      <c r="C11861" t="str">
        <f t="shared" si="2125"/>
        <v>95202096</v>
      </c>
      <c r="D11861">
        <v>89301167</v>
      </c>
      <c r="E11861" t="str">
        <f t="shared" si="2124"/>
        <v>521204004</v>
      </c>
      <c r="F11861" s="1">
        <v>45198</v>
      </c>
      <c r="G11861" t="str">
        <f>"81469"</f>
        <v>81469</v>
      </c>
      <c r="H11861">
        <v>1</v>
      </c>
      <c r="I11861">
        <v>16</v>
      </c>
      <c r="J11861">
        <v>0</v>
      </c>
      <c r="K11861" t="str">
        <f t="shared" si="2126"/>
        <v>801</v>
      </c>
      <c r="L11861">
        <v>13.44</v>
      </c>
    </row>
    <row r="11862" spans="1:12" x14ac:dyDescent="0.25">
      <c r="A11862" t="str">
        <f t="shared" si="2123"/>
        <v>89301000</v>
      </c>
      <c r="B11862" t="str">
        <f t="shared" si="2122"/>
        <v>95202000</v>
      </c>
      <c r="C11862" t="str">
        <f t="shared" si="2125"/>
        <v>95202096</v>
      </c>
      <c r="D11862">
        <v>89301167</v>
      </c>
      <c r="E11862" t="str">
        <f t="shared" si="2124"/>
        <v>521204004</v>
      </c>
      <c r="F11862" s="1">
        <v>45198</v>
      </c>
      <c r="G11862" t="str">
        <f>"81499"</f>
        <v>81499</v>
      </c>
      <c r="H11862">
        <v>1</v>
      </c>
      <c r="I11862">
        <v>18</v>
      </c>
      <c r="J11862">
        <v>0</v>
      </c>
      <c r="K11862" t="str">
        <f t="shared" si="2126"/>
        <v>801</v>
      </c>
      <c r="L11862">
        <v>15.12</v>
      </c>
    </row>
    <row r="11863" spans="1:12" x14ac:dyDescent="0.25">
      <c r="A11863" t="str">
        <f t="shared" si="2123"/>
        <v>89301000</v>
      </c>
      <c r="B11863" t="str">
        <f t="shared" si="2122"/>
        <v>95202000</v>
      </c>
      <c r="C11863" t="str">
        <f t="shared" si="2125"/>
        <v>95202096</v>
      </c>
      <c r="D11863">
        <v>89301167</v>
      </c>
      <c r="E11863" t="str">
        <f t="shared" si="2124"/>
        <v>521204004</v>
      </c>
      <c r="F11863" s="1">
        <v>45198</v>
      </c>
      <c r="G11863" t="str">
        <f>"81593"</f>
        <v>81593</v>
      </c>
      <c r="H11863">
        <v>1</v>
      </c>
      <c r="I11863">
        <v>22</v>
      </c>
      <c r="J11863">
        <v>0</v>
      </c>
      <c r="K11863" t="str">
        <f t="shared" si="2126"/>
        <v>801</v>
      </c>
      <c r="L11863">
        <v>18.48</v>
      </c>
    </row>
    <row r="11864" spans="1:12" x14ac:dyDescent="0.25">
      <c r="A11864" t="str">
        <f t="shared" si="2123"/>
        <v>89301000</v>
      </c>
      <c r="B11864" t="str">
        <f t="shared" si="2122"/>
        <v>95202000</v>
      </c>
      <c r="C11864" t="str">
        <f t="shared" si="2125"/>
        <v>95202096</v>
      </c>
      <c r="D11864">
        <v>89301167</v>
      </c>
      <c r="E11864" t="str">
        <f t="shared" si="2124"/>
        <v>521204004</v>
      </c>
      <c r="F11864" s="1">
        <v>45198</v>
      </c>
      <c r="G11864" t="str">
        <f>"81621"</f>
        <v>81621</v>
      </c>
      <c r="H11864">
        <v>1</v>
      </c>
      <c r="I11864">
        <v>19</v>
      </c>
      <c r="J11864">
        <v>0</v>
      </c>
      <c r="K11864" t="str">
        <f t="shared" si="2126"/>
        <v>801</v>
      </c>
      <c r="L11864">
        <v>15.96</v>
      </c>
    </row>
    <row r="11865" spans="1:12" x14ac:dyDescent="0.25">
      <c r="A11865" t="str">
        <f t="shared" si="2123"/>
        <v>89301000</v>
      </c>
      <c r="B11865" t="str">
        <f t="shared" si="2122"/>
        <v>95202000</v>
      </c>
      <c r="C11865" t="str">
        <f t="shared" si="2125"/>
        <v>95202096</v>
      </c>
      <c r="D11865">
        <v>89301167</v>
      </c>
      <c r="E11865" t="str">
        <f t="shared" si="2124"/>
        <v>521204004</v>
      </c>
      <c r="F11865" s="1">
        <v>45198</v>
      </c>
      <c r="G11865" t="str">
        <f>"93189"</f>
        <v>93189</v>
      </c>
      <c r="H11865">
        <v>1</v>
      </c>
      <c r="I11865">
        <v>191</v>
      </c>
      <c r="J11865">
        <v>0</v>
      </c>
      <c r="K11865" t="str">
        <f t="shared" si="2126"/>
        <v>801</v>
      </c>
      <c r="L11865">
        <v>160.44</v>
      </c>
    </row>
    <row r="11866" spans="1:12" x14ac:dyDescent="0.25">
      <c r="A11866" t="str">
        <f t="shared" si="2123"/>
        <v>89301000</v>
      </c>
      <c r="B11866" t="str">
        <f t="shared" si="2122"/>
        <v>95202000</v>
      </c>
      <c r="C11866" t="str">
        <f t="shared" si="2125"/>
        <v>95202096</v>
      </c>
      <c r="D11866">
        <v>89301167</v>
      </c>
      <c r="E11866" t="str">
        <f t="shared" si="2124"/>
        <v>521204004</v>
      </c>
      <c r="F11866" s="1">
        <v>45198</v>
      </c>
      <c r="G11866" t="str">
        <f>"93195"</f>
        <v>93195</v>
      </c>
      <c r="H11866">
        <v>1</v>
      </c>
      <c r="I11866">
        <v>183</v>
      </c>
      <c r="J11866">
        <v>0</v>
      </c>
      <c r="K11866" t="str">
        <f t="shared" si="2126"/>
        <v>801</v>
      </c>
      <c r="L11866">
        <v>153.72</v>
      </c>
    </row>
    <row r="11867" spans="1:12" x14ac:dyDescent="0.25">
      <c r="A11867" t="str">
        <f t="shared" si="2123"/>
        <v>89301000</v>
      </c>
      <c r="B11867" t="str">
        <f t="shared" si="2122"/>
        <v>95202000</v>
      </c>
      <c r="C11867" t="str">
        <f t="shared" si="2125"/>
        <v>95202096</v>
      </c>
      <c r="D11867">
        <v>89301167</v>
      </c>
      <c r="E11867" t="str">
        <f t="shared" si="2124"/>
        <v>521204004</v>
      </c>
      <c r="F11867" s="1">
        <v>45198</v>
      </c>
      <c r="G11867" t="str">
        <f>"93245"</f>
        <v>93245</v>
      </c>
      <c r="H11867">
        <v>1</v>
      </c>
      <c r="I11867">
        <v>191</v>
      </c>
      <c r="J11867">
        <v>0</v>
      </c>
      <c r="K11867" t="str">
        <f t="shared" si="2126"/>
        <v>801</v>
      </c>
      <c r="L11867">
        <v>160.44</v>
      </c>
    </row>
    <row r="11868" spans="1:12" x14ac:dyDescent="0.25">
      <c r="A11868" t="str">
        <f t="shared" si="2123"/>
        <v>89301000</v>
      </c>
      <c r="B11868" t="str">
        <f t="shared" si="2122"/>
        <v>95202000</v>
      </c>
      <c r="C11868" t="str">
        <f t="shared" si="2125"/>
        <v>95202096</v>
      </c>
      <c r="D11868">
        <v>89301167</v>
      </c>
      <c r="E11868" t="str">
        <f t="shared" si="2124"/>
        <v>521204004</v>
      </c>
      <c r="F11868" s="1">
        <v>45198</v>
      </c>
      <c r="G11868" t="str">
        <f>"97111"</f>
        <v>97111</v>
      </c>
      <c r="H11868">
        <v>1</v>
      </c>
      <c r="I11868">
        <v>19</v>
      </c>
      <c r="J11868">
        <v>0</v>
      </c>
      <c r="K11868" t="str">
        <f t="shared" si="2126"/>
        <v>801</v>
      </c>
      <c r="L11868">
        <v>23.94</v>
      </c>
    </row>
    <row r="11869" spans="1:12" x14ac:dyDescent="0.25">
      <c r="A11869" t="str">
        <f t="shared" si="2123"/>
        <v>89301000</v>
      </c>
      <c r="B11869" t="str">
        <f t="shared" si="2122"/>
        <v>95202000</v>
      </c>
      <c r="C11869" t="str">
        <f t="shared" si="2125"/>
        <v>95202096</v>
      </c>
      <c r="D11869">
        <v>89301167</v>
      </c>
      <c r="E11869" t="str">
        <f t="shared" ref="E11869:E11887" si="2127">"6109280386"</f>
        <v>6109280386</v>
      </c>
      <c r="F11869" s="1">
        <v>45195</v>
      </c>
      <c r="G11869" t="str">
        <f>"81329"</f>
        <v>81329</v>
      </c>
      <c r="H11869">
        <v>1</v>
      </c>
      <c r="I11869">
        <v>17</v>
      </c>
      <c r="J11869">
        <v>0</v>
      </c>
      <c r="K11869" t="str">
        <f t="shared" si="2126"/>
        <v>801</v>
      </c>
      <c r="L11869">
        <v>14.28</v>
      </c>
    </row>
    <row r="11870" spans="1:12" x14ac:dyDescent="0.25">
      <c r="A11870" t="str">
        <f t="shared" si="2123"/>
        <v>89301000</v>
      </c>
      <c r="B11870" t="str">
        <f t="shared" si="2122"/>
        <v>95202000</v>
      </c>
      <c r="C11870" t="str">
        <f t="shared" si="2125"/>
        <v>95202096</v>
      </c>
      <c r="D11870">
        <v>89301167</v>
      </c>
      <c r="E11870" t="str">
        <f t="shared" si="2127"/>
        <v>6109280386</v>
      </c>
      <c r="F11870" s="1">
        <v>45195</v>
      </c>
      <c r="G11870" t="str">
        <f>"81337"</f>
        <v>81337</v>
      </c>
      <c r="H11870">
        <v>1</v>
      </c>
      <c r="I11870">
        <v>20</v>
      </c>
      <c r="J11870">
        <v>0</v>
      </c>
      <c r="K11870" t="str">
        <f t="shared" si="2126"/>
        <v>801</v>
      </c>
      <c r="L11870">
        <v>16.8</v>
      </c>
    </row>
    <row r="11871" spans="1:12" x14ac:dyDescent="0.25">
      <c r="A11871" t="str">
        <f t="shared" si="2123"/>
        <v>89301000</v>
      </c>
      <c r="B11871" t="str">
        <f t="shared" si="2122"/>
        <v>95202000</v>
      </c>
      <c r="C11871" t="str">
        <f t="shared" si="2125"/>
        <v>95202096</v>
      </c>
      <c r="D11871">
        <v>89301167</v>
      </c>
      <c r="E11871" t="str">
        <f t="shared" si="2127"/>
        <v>6109280386</v>
      </c>
      <c r="F11871" s="1">
        <v>45195</v>
      </c>
      <c r="G11871" t="str">
        <f>"81357"</f>
        <v>81357</v>
      </c>
      <c r="H11871">
        <v>1</v>
      </c>
      <c r="I11871">
        <v>20</v>
      </c>
      <c r="J11871">
        <v>0</v>
      </c>
      <c r="K11871" t="str">
        <f t="shared" si="2126"/>
        <v>801</v>
      </c>
      <c r="L11871">
        <v>16.8</v>
      </c>
    </row>
    <row r="11872" spans="1:12" x14ac:dyDescent="0.25">
      <c r="A11872" t="str">
        <f t="shared" si="2123"/>
        <v>89301000</v>
      </c>
      <c r="B11872" t="str">
        <f t="shared" si="2122"/>
        <v>95202000</v>
      </c>
      <c r="C11872" t="str">
        <f t="shared" si="2125"/>
        <v>95202096</v>
      </c>
      <c r="D11872">
        <v>89301167</v>
      </c>
      <c r="E11872" t="str">
        <f t="shared" si="2127"/>
        <v>6109280386</v>
      </c>
      <c r="F11872" s="1">
        <v>45195</v>
      </c>
      <c r="G11872" t="str">
        <f>"81361"</f>
        <v>81361</v>
      </c>
      <c r="H11872">
        <v>1</v>
      </c>
      <c r="I11872">
        <v>17</v>
      </c>
      <c r="J11872">
        <v>0</v>
      </c>
      <c r="K11872" t="str">
        <f t="shared" si="2126"/>
        <v>801</v>
      </c>
      <c r="L11872">
        <v>14.28</v>
      </c>
    </row>
    <row r="11873" spans="1:12" x14ac:dyDescent="0.25">
      <c r="A11873" t="str">
        <f t="shared" si="2123"/>
        <v>89301000</v>
      </c>
      <c r="B11873" t="str">
        <f t="shared" ref="B11873:B11887" si="2128">"95202000"</f>
        <v>95202000</v>
      </c>
      <c r="C11873" t="str">
        <f t="shared" si="2125"/>
        <v>95202096</v>
      </c>
      <c r="D11873">
        <v>89301167</v>
      </c>
      <c r="E11873" t="str">
        <f t="shared" si="2127"/>
        <v>6109280386</v>
      </c>
      <c r="F11873" s="1">
        <v>45195</v>
      </c>
      <c r="G11873" t="str">
        <f>"81365"</f>
        <v>81365</v>
      </c>
      <c r="H11873">
        <v>1</v>
      </c>
      <c r="I11873">
        <v>16</v>
      </c>
      <c r="J11873">
        <v>0</v>
      </c>
      <c r="K11873" t="str">
        <f t="shared" si="2126"/>
        <v>801</v>
      </c>
      <c r="L11873">
        <v>13.44</v>
      </c>
    </row>
    <row r="11874" spans="1:12" x14ac:dyDescent="0.25">
      <c r="A11874" t="str">
        <f t="shared" si="2123"/>
        <v>89301000</v>
      </c>
      <c r="B11874" t="str">
        <f t="shared" si="2128"/>
        <v>95202000</v>
      </c>
      <c r="C11874" t="str">
        <f t="shared" si="2125"/>
        <v>95202096</v>
      </c>
      <c r="D11874">
        <v>89301167</v>
      </c>
      <c r="E11874" t="str">
        <f t="shared" si="2127"/>
        <v>6109280386</v>
      </c>
      <c r="F11874" s="1">
        <v>45195</v>
      </c>
      <c r="G11874" t="str">
        <f>"81383"</f>
        <v>81383</v>
      </c>
      <c r="H11874">
        <v>1</v>
      </c>
      <c r="I11874">
        <v>24</v>
      </c>
      <c r="J11874">
        <v>0</v>
      </c>
      <c r="K11874" t="str">
        <f t="shared" si="2126"/>
        <v>801</v>
      </c>
      <c r="L11874">
        <v>20.16</v>
      </c>
    </row>
    <row r="11875" spans="1:12" x14ac:dyDescent="0.25">
      <c r="A11875" t="str">
        <f t="shared" si="2123"/>
        <v>89301000</v>
      </c>
      <c r="B11875" t="str">
        <f t="shared" si="2128"/>
        <v>95202000</v>
      </c>
      <c r="C11875" t="str">
        <f t="shared" si="2125"/>
        <v>95202096</v>
      </c>
      <c r="D11875">
        <v>89301167</v>
      </c>
      <c r="E11875" t="str">
        <f t="shared" si="2127"/>
        <v>6109280386</v>
      </c>
      <c r="F11875" s="1">
        <v>45195</v>
      </c>
      <c r="G11875" t="str">
        <f>"81393"</f>
        <v>81393</v>
      </c>
      <c r="H11875">
        <v>1</v>
      </c>
      <c r="I11875">
        <v>24</v>
      </c>
      <c r="J11875">
        <v>0</v>
      </c>
      <c r="K11875" t="str">
        <f t="shared" si="2126"/>
        <v>801</v>
      </c>
      <c r="L11875">
        <v>20.16</v>
      </c>
    </row>
    <row r="11876" spans="1:12" x14ac:dyDescent="0.25">
      <c r="A11876" t="str">
        <f t="shared" si="2123"/>
        <v>89301000</v>
      </c>
      <c r="B11876" t="str">
        <f t="shared" si="2128"/>
        <v>95202000</v>
      </c>
      <c r="C11876" t="str">
        <f t="shared" si="2125"/>
        <v>95202096</v>
      </c>
      <c r="D11876">
        <v>89301167</v>
      </c>
      <c r="E11876" t="str">
        <f t="shared" si="2127"/>
        <v>6109280386</v>
      </c>
      <c r="F11876" s="1">
        <v>45195</v>
      </c>
      <c r="G11876" t="str">
        <f>"81421"</f>
        <v>81421</v>
      </c>
      <c r="H11876">
        <v>1</v>
      </c>
      <c r="I11876">
        <v>19</v>
      </c>
      <c r="J11876">
        <v>0</v>
      </c>
      <c r="K11876" t="str">
        <f t="shared" si="2126"/>
        <v>801</v>
      </c>
      <c r="L11876">
        <v>15.96</v>
      </c>
    </row>
    <row r="11877" spans="1:12" x14ac:dyDescent="0.25">
      <c r="A11877" t="str">
        <f t="shared" si="2123"/>
        <v>89301000</v>
      </c>
      <c r="B11877" t="str">
        <f t="shared" si="2128"/>
        <v>95202000</v>
      </c>
      <c r="C11877" t="str">
        <f t="shared" si="2125"/>
        <v>95202096</v>
      </c>
      <c r="D11877">
        <v>89301167</v>
      </c>
      <c r="E11877" t="str">
        <f t="shared" si="2127"/>
        <v>6109280386</v>
      </c>
      <c r="F11877" s="1">
        <v>45195</v>
      </c>
      <c r="G11877" t="str">
        <f>"81435"</f>
        <v>81435</v>
      </c>
      <c r="H11877">
        <v>1</v>
      </c>
      <c r="I11877">
        <v>22</v>
      </c>
      <c r="J11877">
        <v>0</v>
      </c>
      <c r="K11877" t="str">
        <f t="shared" si="2126"/>
        <v>801</v>
      </c>
      <c r="L11877">
        <v>18.48</v>
      </c>
    </row>
    <row r="11878" spans="1:12" x14ac:dyDescent="0.25">
      <c r="A11878" t="str">
        <f t="shared" si="2123"/>
        <v>89301000</v>
      </c>
      <c r="B11878" t="str">
        <f t="shared" si="2128"/>
        <v>95202000</v>
      </c>
      <c r="C11878" t="str">
        <f t="shared" si="2125"/>
        <v>95202096</v>
      </c>
      <c r="D11878">
        <v>89301167</v>
      </c>
      <c r="E11878" t="str">
        <f t="shared" si="2127"/>
        <v>6109280386</v>
      </c>
      <c r="F11878" s="1">
        <v>45195</v>
      </c>
      <c r="G11878" t="str">
        <f>"81439"</f>
        <v>81439</v>
      </c>
      <c r="H11878">
        <v>1</v>
      </c>
      <c r="I11878">
        <v>16</v>
      </c>
      <c r="J11878">
        <v>0</v>
      </c>
      <c r="K11878" t="str">
        <f t="shared" si="2126"/>
        <v>801</v>
      </c>
      <c r="L11878">
        <v>13.44</v>
      </c>
    </row>
    <row r="11879" spans="1:12" x14ac:dyDescent="0.25">
      <c r="A11879" t="str">
        <f t="shared" si="2123"/>
        <v>89301000</v>
      </c>
      <c r="B11879" t="str">
        <f t="shared" si="2128"/>
        <v>95202000</v>
      </c>
      <c r="C11879" t="str">
        <f t="shared" si="2125"/>
        <v>95202096</v>
      </c>
      <c r="D11879">
        <v>89301167</v>
      </c>
      <c r="E11879" t="str">
        <f t="shared" si="2127"/>
        <v>6109280386</v>
      </c>
      <c r="F11879" s="1">
        <v>45195</v>
      </c>
      <c r="G11879" t="str">
        <f>"81465"</f>
        <v>81465</v>
      </c>
      <c r="H11879">
        <v>1</v>
      </c>
      <c r="I11879">
        <v>21</v>
      </c>
      <c r="J11879">
        <v>0</v>
      </c>
      <c r="K11879" t="str">
        <f t="shared" si="2126"/>
        <v>801</v>
      </c>
      <c r="L11879">
        <v>17.64</v>
      </c>
    </row>
    <row r="11880" spans="1:12" x14ac:dyDescent="0.25">
      <c r="A11880" t="str">
        <f t="shared" si="2123"/>
        <v>89301000</v>
      </c>
      <c r="B11880" t="str">
        <f t="shared" si="2128"/>
        <v>95202000</v>
      </c>
      <c r="C11880" t="str">
        <f t="shared" si="2125"/>
        <v>95202096</v>
      </c>
      <c r="D11880">
        <v>89301167</v>
      </c>
      <c r="E11880" t="str">
        <f t="shared" si="2127"/>
        <v>6109280386</v>
      </c>
      <c r="F11880" s="1">
        <v>45195</v>
      </c>
      <c r="G11880" t="str">
        <f>"81469"</f>
        <v>81469</v>
      </c>
      <c r="H11880">
        <v>1</v>
      </c>
      <c r="I11880">
        <v>16</v>
      </c>
      <c r="J11880">
        <v>0</v>
      </c>
      <c r="K11880" t="str">
        <f t="shared" si="2126"/>
        <v>801</v>
      </c>
      <c r="L11880">
        <v>13.44</v>
      </c>
    </row>
    <row r="11881" spans="1:12" x14ac:dyDescent="0.25">
      <c r="A11881" t="str">
        <f t="shared" si="2123"/>
        <v>89301000</v>
      </c>
      <c r="B11881" t="str">
        <f t="shared" si="2128"/>
        <v>95202000</v>
      </c>
      <c r="C11881" t="str">
        <f t="shared" si="2125"/>
        <v>95202096</v>
      </c>
      <c r="D11881">
        <v>89301167</v>
      </c>
      <c r="E11881" t="str">
        <f t="shared" si="2127"/>
        <v>6109280386</v>
      </c>
      <c r="F11881" s="1">
        <v>45195</v>
      </c>
      <c r="G11881" t="str">
        <f>"81499"</f>
        <v>81499</v>
      </c>
      <c r="H11881">
        <v>1</v>
      </c>
      <c r="I11881">
        <v>18</v>
      </c>
      <c r="J11881">
        <v>0</v>
      </c>
      <c r="K11881" t="str">
        <f t="shared" si="2126"/>
        <v>801</v>
      </c>
      <c r="L11881">
        <v>15.12</v>
      </c>
    </row>
    <row r="11882" spans="1:12" x14ac:dyDescent="0.25">
      <c r="A11882" t="str">
        <f t="shared" si="2123"/>
        <v>89301000</v>
      </c>
      <c r="B11882" t="str">
        <f t="shared" si="2128"/>
        <v>95202000</v>
      </c>
      <c r="C11882" t="str">
        <f t="shared" si="2125"/>
        <v>95202096</v>
      </c>
      <c r="D11882">
        <v>89301167</v>
      </c>
      <c r="E11882" t="str">
        <f t="shared" si="2127"/>
        <v>6109280386</v>
      </c>
      <c r="F11882" s="1">
        <v>45195</v>
      </c>
      <c r="G11882" t="str">
        <f>"81523"</f>
        <v>81523</v>
      </c>
      <c r="H11882">
        <v>1</v>
      </c>
      <c r="I11882">
        <v>23</v>
      </c>
      <c r="J11882">
        <v>0</v>
      </c>
      <c r="K11882" t="str">
        <f t="shared" si="2126"/>
        <v>801</v>
      </c>
      <c r="L11882">
        <v>19.32</v>
      </c>
    </row>
    <row r="11883" spans="1:12" x14ac:dyDescent="0.25">
      <c r="A11883" t="str">
        <f t="shared" si="2123"/>
        <v>89301000</v>
      </c>
      <c r="B11883" t="str">
        <f t="shared" si="2128"/>
        <v>95202000</v>
      </c>
      <c r="C11883" t="str">
        <f t="shared" si="2125"/>
        <v>95202096</v>
      </c>
      <c r="D11883">
        <v>89301167</v>
      </c>
      <c r="E11883" t="str">
        <f t="shared" si="2127"/>
        <v>6109280386</v>
      </c>
      <c r="F11883" s="1">
        <v>45195</v>
      </c>
      <c r="G11883" t="str">
        <f>"81593"</f>
        <v>81593</v>
      </c>
      <c r="H11883">
        <v>1</v>
      </c>
      <c r="I11883">
        <v>22</v>
      </c>
      <c r="J11883">
        <v>0</v>
      </c>
      <c r="K11883" t="str">
        <f t="shared" si="2126"/>
        <v>801</v>
      </c>
      <c r="L11883">
        <v>18.48</v>
      </c>
    </row>
    <row r="11884" spans="1:12" x14ac:dyDescent="0.25">
      <c r="A11884" t="str">
        <f t="shared" si="2123"/>
        <v>89301000</v>
      </c>
      <c r="B11884" t="str">
        <f t="shared" si="2128"/>
        <v>95202000</v>
      </c>
      <c r="C11884" t="str">
        <f t="shared" si="2125"/>
        <v>95202096</v>
      </c>
      <c r="D11884">
        <v>89301167</v>
      </c>
      <c r="E11884" t="str">
        <f t="shared" si="2127"/>
        <v>6109280386</v>
      </c>
      <c r="F11884" s="1">
        <v>45195</v>
      </c>
      <c r="G11884" t="str">
        <f>"81621"</f>
        <v>81621</v>
      </c>
      <c r="H11884">
        <v>1</v>
      </c>
      <c r="I11884">
        <v>19</v>
      </c>
      <c r="J11884">
        <v>0</v>
      </c>
      <c r="K11884" t="str">
        <f t="shared" si="2126"/>
        <v>801</v>
      </c>
      <c r="L11884">
        <v>15.96</v>
      </c>
    </row>
    <row r="11885" spans="1:12" x14ac:dyDescent="0.25">
      <c r="A11885" t="str">
        <f t="shared" si="2123"/>
        <v>89301000</v>
      </c>
      <c r="B11885" t="str">
        <f t="shared" si="2128"/>
        <v>95202000</v>
      </c>
      <c r="C11885" t="str">
        <f t="shared" si="2125"/>
        <v>95202096</v>
      </c>
      <c r="D11885">
        <v>89301167</v>
      </c>
      <c r="E11885" t="str">
        <f t="shared" si="2127"/>
        <v>6109280386</v>
      </c>
      <c r="F11885" s="1">
        <v>45195</v>
      </c>
      <c r="G11885" t="str">
        <f>"81625"</f>
        <v>81625</v>
      </c>
      <c r="H11885">
        <v>1</v>
      </c>
      <c r="I11885">
        <v>21</v>
      </c>
      <c r="J11885">
        <v>0</v>
      </c>
      <c r="K11885" t="str">
        <f t="shared" si="2126"/>
        <v>801</v>
      </c>
      <c r="L11885">
        <v>17.64</v>
      </c>
    </row>
    <row r="11886" spans="1:12" x14ac:dyDescent="0.25">
      <c r="A11886" t="str">
        <f t="shared" si="2123"/>
        <v>89301000</v>
      </c>
      <c r="B11886" t="str">
        <f t="shared" si="2128"/>
        <v>95202000</v>
      </c>
      <c r="C11886" t="str">
        <f t="shared" si="2125"/>
        <v>95202096</v>
      </c>
      <c r="D11886">
        <v>89301167</v>
      </c>
      <c r="E11886" t="str">
        <f t="shared" si="2127"/>
        <v>6109280386</v>
      </c>
      <c r="F11886" s="1">
        <v>45195</v>
      </c>
      <c r="G11886" t="str">
        <f>"91153"</f>
        <v>91153</v>
      </c>
      <c r="H11886">
        <v>1</v>
      </c>
      <c r="I11886">
        <v>153</v>
      </c>
      <c r="J11886">
        <v>0</v>
      </c>
      <c r="K11886" t="str">
        <f t="shared" si="2126"/>
        <v>801</v>
      </c>
      <c r="L11886">
        <v>128.52000000000001</v>
      </c>
    </row>
    <row r="11887" spans="1:12" x14ac:dyDescent="0.25">
      <c r="A11887" t="str">
        <f t="shared" si="2123"/>
        <v>89301000</v>
      </c>
      <c r="B11887" t="str">
        <f t="shared" si="2128"/>
        <v>95202000</v>
      </c>
      <c r="C11887" t="str">
        <f t="shared" si="2125"/>
        <v>95202096</v>
      </c>
      <c r="D11887">
        <v>89301167</v>
      </c>
      <c r="E11887" t="str">
        <f t="shared" si="2127"/>
        <v>6109280386</v>
      </c>
      <c r="F11887" s="1">
        <v>45195</v>
      </c>
      <c r="G11887" t="str">
        <f>"97111"</f>
        <v>97111</v>
      </c>
      <c r="H11887">
        <v>1</v>
      </c>
      <c r="I11887">
        <v>19</v>
      </c>
      <c r="J11887">
        <v>0</v>
      </c>
      <c r="K11887" t="str">
        <f t="shared" si="2126"/>
        <v>801</v>
      </c>
      <c r="L11887">
        <v>23.94</v>
      </c>
    </row>
    <row r="11888" spans="1:12" x14ac:dyDescent="0.25">
      <c r="A11888" t="str">
        <f t="shared" si="2123"/>
        <v>89301000</v>
      </c>
      <c r="B11888" t="str">
        <f>"87013000"</f>
        <v>87013000</v>
      </c>
      <c r="C11888" t="str">
        <f>"87013880"</f>
        <v>87013880</v>
      </c>
      <c r="D11888">
        <v>89301112</v>
      </c>
      <c r="E11888" t="str">
        <f>"7605245164"</f>
        <v>7605245164</v>
      </c>
      <c r="F11888" s="1">
        <v>45177</v>
      </c>
      <c r="G11888" t="str">
        <f>"89713"</f>
        <v>89713</v>
      </c>
      <c r="H11888">
        <v>1</v>
      </c>
      <c r="I11888">
        <v>5411</v>
      </c>
      <c r="J11888">
        <v>0</v>
      </c>
      <c r="K11888" t="str">
        <f>"810"</f>
        <v>810</v>
      </c>
      <c r="L11888">
        <v>3517.15</v>
      </c>
    </row>
    <row r="11889" spans="1:12" x14ac:dyDescent="0.25">
      <c r="A11889" t="str">
        <f t="shared" si="2123"/>
        <v>89301000</v>
      </c>
      <c r="B11889" t="str">
        <f>"87013000"</f>
        <v>87013000</v>
      </c>
      <c r="C11889" t="str">
        <f>"87013880"</f>
        <v>87013880</v>
      </c>
      <c r="D11889">
        <v>89301112</v>
      </c>
      <c r="E11889" t="str">
        <f>"7605245164"</f>
        <v>7605245164</v>
      </c>
      <c r="F11889" s="1">
        <v>45177</v>
      </c>
      <c r="G11889" t="str">
        <f>"89725"</f>
        <v>89725</v>
      </c>
      <c r="H11889">
        <v>1</v>
      </c>
      <c r="I11889">
        <v>2863</v>
      </c>
      <c r="J11889">
        <v>0</v>
      </c>
      <c r="K11889" t="str">
        <f>"810"</f>
        <v>810</v>
      </c>
      <c r="L11889">
        <v>1860.95</v>
      </c>
    </row>
    <row r="11890" spans="1:12" x14ac:dyDescent="0.25">
      <c r="A11890" t="str">
        <f t="shared" si="2123"/>
        <v>89301000</v>
      </c>
      <c r="B11890" t="str">
        <f>"77001000"</f>
        <v>77001000</v>
      </c>
      <c r="C11890" t="str">
        <f>"77001047"</f>
        <v>77001047</v>
      </c>
      <c r="D11890">
        <v>89301273</v>
      </c>
      <c r="E11890" t="str">
        <f>"7158175695"</f>
        <v>7158175695</v>
      </c>
      <c r="F11890" s="1">
        <v>45189</v>
      </c>
      <c r="G11890" t="str">
        <f>"89513"</f>
        <v>89513</v>
      </c>
      <c r="H11890">
        <v>1</v>
      </c>
      <c r="I11890">
        <v>378</v>
      </c>
      <c r="J11890">
        <v>0</v>
      </c>
      <c r="K11890" t="str">
        <f t="shared" ref="K11890:K11921" si="2129">"809"</f>
        <v>809</v>
      </c>
      <c r="L11890">
        <v>555.66</v>
      </c>
    </row>
    <row r="11891" spans="1:12" x14ac:dyDescent="0.25">
      <c r="A11891" t="str">
        <f t="shared" si="2123"/>
        <v>89301000</v>
      </c>
      <c r="B11891" t="str">
        <f>"77001000"</f>
        <v>77001000</v>
      </c>
      <c r="C11891" t="str">
        <f>"77001047"</f>
        <v>77001047</v>
      </c>
      <c r="D11891">
        <v>89301273</v>
      </c>
      <c r="E11891" t="str">
        <f>"7158175695"</f>
        <v>7158175695</v>
      </c>
      <c r="F11891" s="1">
        <v>45189</v>
      </c>
      <c r="G11891" t="str">
        <f>"89514"</f>
        <v>89514</v>
      </c>
      <c r="H11891">
        <v>1</v>
      </c>
      <c r="I11891">
        <v>378</v>
      </c>
      <c r="J11891">
        <v>0</v>
      </c>
      <c r="K11891" t="str">
        <f t="shared" si="2129"/>
        <v>809</v>
      </c>
      <c r="L11891">
        <v>555.66</v>
      </c>
    </row>
    <row r="11892" spans="1:12" x14ac:dyDescent="0.25">
      <c r="A11892" t="str">
        <f t="shared" si="2123"/>
        <v>89301000</v>
      </c>
      <c r="B11892" t="str">
        <f t="shared" ref="B11892:B11923" si="2130">"89383000"</f>
        <v>89383000</v>
      </c>
      <c r="C11892" t="str">
        <f t="shared" ref="C11892:C11923" si="2131">"89383002"</f>
        <v>89383002</v>
      </c>
      <c r="D11892">
        <v>89301212</v>
      </c>
      <c r="E11892" t="str">
        <f>"7555265366"</f>
        <v>7555265366</v>
      </c>
      <c r="F11892" s="1">
        <v>45170</v>
      </c>
      <c r="G11892" t="str">
        <f>"89512"</f>
        <v>89512</v>
      </c>
      <c r="H11892">
        <v>1</v>
      </c>
      <c r="I11892">
        <v>283</v>
      </c>
      <c r="J11892">
        <v>0</v>
      </c>
      <c r="K11892" t="str">
        <f t="shared" si="2129"/>
        <v>809</v>
      </c>
      <c r="L11892">
        <v>416.01</v>
      </c>
    </row>
    <row r="11893" spans="1:12" x14ac:dyDescent="0.25">
      <c r="A11893" t="str">
        <f t="shared" si="2123"/>
        <v>89301000</v>
      </c>
      <c r="B11893" t="str">
        <f t="shared" si="2130"/>
        <v>89383000</v>
      </c>
      <c r="C11893" t="str">
        <f t="shared" si="2131"/>
        <v>89383002</v>
      </c>
      <c r="D11893">
        <v>89301212</v>
      </c>
      <c r="E11893" t="str">
        <f>"7555265366"</f>
        <v>7555265366</v>
      </c>
      <c r="F11893" s="1">
        <v>45170</v>
      </c>
      <c r="G11893" t="str">
        <f>"89513"</f>
        <v>89513</v>
      </c>
      <c r="H11893">
        <v>1</v>
      </c>
      <c r="I11893">
        <v>378</v>
      </c>
      <c r="J11893">
        <v>0</v>
      </c>
      <c r="K11893" t="str">
        <f t="shared" si="2129"/>
        <v>809</v>
      </c>
      <c r="L11893">
        <v>555.66</v>
      </c>
    </row>
    <row r="11894" spans="1:12" x14ac:dyDescent="0.25">
      <c r="A11894" t="str">
        <f t="shared" si="2123"/>
        <v>89301000</v>
      </c>
      <c r="B11894" t="str">
        <f t="shared" si="2130"/>
        <v>89383000</v>
      </c>
      <c r="C11894" t="str">
        <f t="shared" si="2131"/>
        <v>89383002</v>
      </c>
      <c r="D11894">
        <v>89301212</v>
      </c>
      <c r="E11894" t="str">
        <f>"7555265366"</f>
        <v>7555265366</v>
      </c>
      <c r="F11894" s="1">
        <v>45170</v>
      </c>
      <c r="G11894" t="str">
        <f>"89514"</f>
        <v>89514</v>
      </c>
      <c r="H11894">
        <v>1</v>
      </c>
      <c r="I11894">
        <v>378</v>
      </c>
      <c r="J11894">
        <v>0</v>
      </c>
      <c r="K11894" t="str">
        <f t="shared" si="2129"/>
        <v>809</v>
      </c>
      <c r="L11894">
        <v>555.66</v>
      </c>
    </row>
    <row r="11895" spans="1:12" x14ac:dyDescent="0.25">
      <c r="A11895" t="str">
        <f t="shared" si="2123"/>
        <v>89301000</v>
      </c>
      <c r="B11895" t="str">
        <f t="shared" si="2130"/>
        <v>89383000</v>
      </c>
      <c r="C11895" t="str">
        <f t="shared" si="2131"/>
        <v>89383002</v>
      </c>
      <c r="D11895">
        <v>89301212</v>
      </c>
      <c r="E11895" t="str">
        <f>"7555265366"</f>
        <v>7555265366</v>
      </c>
      <c r="F11895" s="1">
        <v>45170</v>
      </c>
      <c r="G11895" t="str">
        <f>"89180"</f>
        <v>89180</v>
      </c>
      <c r="H11895">
        <v>2</v>
      </c>
      <c r="I11895">
        <v>762</v>
      </c>
      <c r="J11895">
        <v>0</v>
      </c>
      <c r="K11895" t="str">
        <f t="shared" si="2129"/>
        <v>809</v>
      </c>
      <c r="L11895">
        <v>1120.1400000000001</v>
      </c>
    </row>
    <row r="11896" spans="1:12" x14ac:dyDescent="0.25">
      <c r="A11896" t="str">
        <f t="shared" si="2123"/>
        <v>89301000</v>
      </c>
      <c r="B11896" t="str">
        <f t="shared" si="2130"/>
        <v>89383000</v>
      </c>
      <c r="C11896" t="str">
        <f t="shared" si="2131"/>
        <v>89383002</v>
      </c>
      <c r="D11896">
        <v>89301212</v>
      </c>
      <c r="E11896" t="str">
        <f>"6754060115"</f>
        <v>6754060115</v>
      </c>
      <c r="F11896" s="1">
        <v>45170</v>
      </c>
      <c r="G11896" t="str">
        <f>"89512"</f>
        <v>89512</v>
      </c>
      <c r="H11896">
        <v>1</v>
      </c>
      <c r="I11896">
        <v>283</v>
      </c>
      <c r="J11896">
        <v>0</v>
      </c>
      <c r="K11896" t="str">
        <f t="shared" si="2129"/>
        <v>809</v>
      </c>
      <c r="L11896">
        <v>416.01</v>
      </c>
    </row>
    <row r="11897" spans="1:12" x14ac:dyDescent="0.25">
      <c r="A11897" t="str">
        <f t="shared" si="2123"/>
        <v>89301000</v>
      </c>
      <c r="B11897" t="str">
        <f t="shared" si="2130"/>
        <v>89383000</v>
      </c>
      <c r="C11897" t="str">
        <f t="shared" si="2131"/>
        <v>89383002</v>
      </c>
      <c r="D11897">
        <v>89301212</v>
      </c>
      <c r="E11897" t="str">
        <f t="shared" ref="E11897:E11902" si="2132">"5555111650"</f>
        <v>5555111650</v>
      </c>
      <c r="F11897" s="1">
        <v>45174</v>
      </c>
      <c r="G11897" t="str">
        <f>"89313"</f>
        <v>89313</v>
      </c>
      <c r="H11897">
        <v>1</v>
      </c>
      <c r="I11897">
        <v>420</v>
      </c>
      <c r="J11897">
        <v>0</v>
      </c>
      <c r="K11897" t="str">
        <f t="shared" si="2129"/>
        <v>809</v>
      </c>
      <c r="L11897">
        <v>617.4</v>
      </c>
    </row>
    <row r="11898" spans="1:12" x14ac:dyDescent="0.25">
      <c r="A11898" t="str">
        <f t="shared" si="2123"/>
        <v>89301000</v>
      </c>
      <c r="B11898" t="str">
        <f t="shared" si="2130"/>
        <v>89383000</v>
      </c>
      <c r="C11898" t="str">
        <f t="shared" si="2131"/>
        <v>89383002</v>
      </c>
      <c r="D11898">
        <v>89301212</v>
      </c>
      <c r="E11898" t="str">
        <f t="shared" si="2132"/>
        <v>5555111650</v>
      </c>
      <c r="F11898" s="1">
        <v>45174</v>
      </c>
      <c r="G11898" t="str">
        <f>"09233"</f>
        <v>09233</v>
      </c>
      <c r="H11898">
        <v>1</v>
      </c>
      <c r="I11898">
        <v>102</v>
      </c>
      <c r="J11898">
        <v>0</v>
      </c>
      <c r="K11898" t="str">
        <f t="shared" si="2129"/>
        <v>809</v>
      </c>
      <c r="L11898">
        <v>149.94</v>
      </c>
    </row>
    <row r="11899" spans="1:12" x14ac:dyDescent="0.25">
      <c r="A11899" t="str">
        <f t="shared" si="2123"/>
        <v>89301000</v>
      </c>
      <c r="B11899" t="str">
        <f t="shared" si="2130"/>
        <v>89383000</v>
      </c>
      <c r="C11899" t="str">
        <f t="shared" si="2131"/>
        <v>89383002</v>
      </c>
      <c r="D11899">
        <v>89301212</v>
      </c>
      <c r="E11899" t="str">
        <f t="shared" si="2132"/>
        <v>5555111650</v>
      </c>
      <c r="F11899" s="1">
        <v>45174</v>
      </c>
      <c r="G11899" t="str">
        <f>"89512"</f>
        <v>89512</v>
      </c>
      <c r="H11899">
        <v>1</v>
      </c>
      <c r="I11899">
        <v>283</v>
      </c>
      <c r="J11899">
        <v>0</v>
      </c>
      <c r="K11899" t="str">
        <f t="shared" si="2129"/>
        <v>809</v>
      </c>
      <c r="L11899">
        <v>416.01</v>
      </c>
    </row>
    <row r="11900" spans="1:12" x14ac:dyDescent="0.25">
      <c r="A11900" t="str">
        <f t="shared" si="2123"/>
        <v>89301000</v>
      </c>
      <c r="B11900" t="str">
        <f t="shared" si="2130"/>
        <v>89383000</v>
      </c>
      <c r="C11900" t="str">
        <f t="shared" si="2131"/>
        <v>89383002</v>
      </c>
      <c r="D11900">
        <v>89301212</v>
      </c>
      <c r="E11900" t="str">
        <f t="shared" si="2132"/>
        <v>5555111650</v>
      </c>
      <c r="F11900" s="1">
        <v>45174</v>
      </c>
      <c r="G11900" t="str">
        <f>"89180"</f>
        <v>89180</v>
      </c>
      <c r="H11900">
        <v>1</v>
      </c>
      <c r="I11900">
        <v>381</v>
      </c>
      <c r="J11900">
        <v>0</v>
      </c>
      <c r="K11900" t="str">
        <f t="shared" si="2129"/>
        <v>809</v>
      </c>
      <c r="L11900">
        <v>560.07000000000005</v>
      </c>
    </row>
    <row r="11901" spans="1:12" x14ac:dyDescent="0.25">
      <c r="A11901" t="str">
        <f t="shared" si="2123"/>
        <v>89301000</v>
      </c>
      <c r="B11901" t="str">
        <f t="shared" si="2130"/>
        <v>89383000</v>
      </c>
      <c r="C11901" t="str">
        <f t="shared" si="2131"/>
        <v>89383002</v>
      </c>
      <c r="D11901">
        <v>89301212</v>
      </c>
      <c r="E11901" t="str">
        <f t="shared" si="2132"/>
        <v>5555111650</v>
      </c>
      <c r="F11901" s="1">
        <v>45174</v>
      </c>
      <c r="G11901" t="str">
        <f>"0093109"</f>
        <v>0093109</v>
      </c>
      <c r="H11901">
        <v>0.2</v>
      </c>
      <c r="J11901">
        <v>54.2</v>
      </c>
      <c r="K11901" t="str">
        <f t="shared" si="2129"/>
        <v>809</v>
      </c>
      <c r="L11901">
        <v>54.2</v>
      </c>
    </row>
    <row r="11902" spans="1:12" x14ac:dyDescent="0.25">
      <c r="A11902" t="str">
        <f t="shared" si="2123"/>
        <v>89301000</v>
      </c>
      <c r="B11902" t="str">
        <f t="shared" si="2130"/>
        <v>89383000</v>
      </c>
      <c r="C11902" t="str">
        <f t="shared" si="2131"/>
        <v>89383002</v>
      </c>
      <c r="D11902">
        <v>89301212</v>
      </c>
      <c r="E11902" t="str">
        <f t="shared" si="2132"/>
        <v>5555111650</v>
      </c>
      <c r="F11902" s="1">
        <v>45174</v>
      </c>
      <c r="G11902" t="str">
        <f>"0082502"</f>
        <v>0082502</v>
      </c>
      <c r="H11902">
        <v>3</v>
      </c>
      <c r="J11902">
        <v>6780.6</v>
      </c>
      <c r="K11902" t="str">
        <f t="shared" si="2129"/>
        <v>809</v>
      </c>
      <c r="L11902">
        <v>6780.6</v>
      </c>
    </row>
    <row r="11903" spans="1:12" x14ac:dyDescent="0.25">
      <c r="A11903" t="str">
        <f t="shared" si="2123"/>
        <v>89301000</v>
      </c>
      <c r="B11903" t="str">
        <f t="shared" si="2130"/>
        <v>89383000</v>
      </c>
      <c r="C11903" t="str">
        <f t="shared" si="2131"/>
        <v>89383002</v>
      </c>
      <c r="D11903">
        <v>89301212</v>
      </c>
      <c r="E11903" t="str">
        <f>"7852105679"</f>
        <v>7852105679</v>
      </c>
      <c r="F11903" s="1">
        <v>45175</v>
      </c>
      <c r="G11903" t="str">
        <f>"89180"</f>
        <v>89180</v>
      </c>
      <c r="H11903">
        <v>2</v>
      </c>
      <c r="I11903">
        <v>762</v>
      </c>
      <c r="J11903">
        <v>0</v>
      </c>
      <c r="K11903" t="str">
        <f t="shared" si="2129"/>
        <v>809</v>
      </c>
      <c r="L11903">
        <v>1120.1400000000001</v>
      </c>
    </row>
    <row r="11904" spans="1:12" x14ac:dyDescent="0.25">
      <c r="A11904" t="str">
        <f t="shared" si="2123"/>
        <v>89301000</v>
      </c>
      <c r="B11904" t="str">
        <f t="shared" si="2130"/>
        <v>89383000</v>
      </c>
      <c r="C11904" t="str">
        <f t="shared" si="2131"/>
        <v>89383002</v>
      </c>
      <c r="D11904">
        <v>89301212</v>
      </c>
      <c r="E11904" t="str">
        <f>"7852105679"</f>
        <v>7852105679</v>
      </c>
      <c r="F11904" s="1">
        <v>45175</v>
      </c>
      <c r="G11904" t="str">
        <f>"89512"</f>
        <v>89512</v>
      </c>
      <c r="H11904">
        <v>1</v>
      </c>
      <c r="I11904">
        <v>283</v>
      </c>
      <c r="J11904">
        <v>0</v>
      </c>
      <c r="K11904" t="str">
        <f t="shared" si="2129"/>
        <v>809</v>
      </c>
      <c r="L11904">
        <v>416.01</v>
      </c>
    </row>
    <row r="11905" spans="1:12" x14ac:dyDescent="0.25">
      <c r="A11905" t="str">
        <f t="shared" si="2123"/>
        <v>89301000</v>
      </c>
      <c r="B11905" t="str">
        <f t="shared" si="2130"/>
        <v>89383000</v>
      </c>
      <c r="C11905" t="str">
        <f t="shared" si="2131"/>
        <v>89383002</v>
      </c>
      <c r="D11905">
        <v>89301292</v>
      </c>
      <c r="E11905" t="str">
        <f>"6556151558"</f>
        <v>6556151558</v>
      </c>
      <c r="F11905" s="1">
        <v>45175</v>
      </c>
      <c r="G11905" t="str">
        <f>"89512"</f>
        <v>89512</v>
      </c>
      <c r="H11905">
        <v>1</v>
      </c>
      <c r="I11905">
        <v>283</v>
      </c>
      <c r="J11905">
        <v>0</v>
      </c>
      <c r="K11905" t="str">
        <f t="shared" si="2129"/>
        <v>809</v>
      </c>
      <c r="L11905">
        <v>416.01</v>
      </c>
    </row>
    <row r="11906" spans="1:12" x14ac:dyDescent="0.25">
      <c r="A11906" t="str">
        <f t="shared" ref="A11906:A11969" si="2133">"89301000"</f>
        <v>89301000</v>
      </c>
      <c r="B11906" t="str">
        <f t="shared" si="2130"/>
        <v>89383000</v>
      </c>
      <c r="C11906" t="str">
        <f t="shared" si="2131"/>
        <v>89383002</v>
      </c>
      <c r="D11906">
        <v>89301212</v>
      </c>
      <c r="E11906" t="str">
        <f>"5951271392"</f>
        <v>5951271392</v>
      </c>
      <c r="F11906" s="1">
        <v>45177</v>
      </c>
      <c r="G11906" t="str">
        <f>"89513"</f>
        <v>89513</v>
      </c>
      <c r="H11906">
        <v>1</v>
      </c>
      <c r="I11906">
        <v>378</v>
      </c>
      <c r="J11906">
        <v>0</v>
      </c>
      <c r="K11906" t="str">
        <f t="shared" si="2129"/>
        <v>809</v>
      </c>
      <c r="L11906">
        <v>555.66</v>
      </c>
    </row>
    <row r="11907" spans="1:12" x14ac:dyDescent="0.25">
      <c r="A11907" t="str">
        <f t="shared" si="2133"/>
        <v>89301000</v>
      </c>
      <c r="B11907" t="str">
        <f t="shared" si="2130"/>
        <v>89383000</v>
      </c>
      <c r="C11907" t="str">
        <f t="shared" si="2131"/>
        <v>89383002</v>
      </c>
      <c r="D11907">
        <v>89301212</v>
      </c>
      <c r="E11907" t="str">
        <f>"5951271392"</f>
        <v>5951271392</v>
      </c>
      <c r="F11907" s="1">
        <v>45177</v>
      </c>
      <c r="G11907" t="str">
        <f>"89514"</f>
        <v>89514</v>
      </c>
      <c r="H11907">
        <v>1</v>
      </c>
      <c r="I11907">
        <v>378</v>
      </c>
      <c r="J11907">
        <v>0</v>
      </c>
      <c r="K11907" t="str">
        <f t="shared" si="2129"/>
        <v>809</v>
      </c>
      <c r="L11907">
        <v>555.66</v>
      </c>
    </row>
    <row r="11908" spans="1:12" x14ac:dyDescent="0.25">
      <c r="A11908" t="str">
        <f t="shared" si="2133"/>
        <v>89301000</v>
      </c>
      <c r="B11908" t="str">
        <f t="shared" si="2130"/>
        <v>89383000</v>
      </c>
      <c r="C11908" t="str">
        <f t="shared" si="2131"/>
        <v>89383002</v>
      </c>
      <c r="D11908">
        <v>89301212</v>
      </c>
      <c r="E11908" t="str">
        <f>"7153264833"</f>
        <v>7153264833</v>
      </c>
      <c r="F11908" s="1">
        <v>45177</v>
      </c>
      <c r="G11908" t="str">
        <f>"89180"</f>
        <v>89180</v>
      </c>
      <c r="H11908">
        <v>2</v>
      </c>
      <c r="I11908">
        <v>762</v>
      </c>
      <c r="J11908">
        <v>0</v>
      </c>
      <c r="K11908" t="str">
        <f t="shared" si="2129"/>
        <v>809</v>
      </c>
      <c r="L11908">
        <v>1120.1400000000001</v>
      </c>
    </row>
    <row r="11909" spans="1:12" x14ac:dyDescent="0.25">
      <c r="A11909" t="str">
        <f t="shared" si="2133"/>
        <v>89301000</v>
      </c>
      <c r="B11909" t="str">
        <f t="shared" si="2130"/>
        <v>89383000</v>
      </c>
      <c r="C11909" t="str">
        <f t="shared" si="2131"/>
        <v>89383002</v>
      </c>
      <c r="D11909">
        <v>89301212</v>
      </c>
      <c r="E11909" t="str">
        <f>"7153264833"</f>
        <v>7153264833</v>
      </c>
      <c r="F11909" s="1">
        <v>45177</v>
      </c>
      <c r="G11909" t="str">
        <f>"89512"</f>
        <v>89512</v>
      </c>
      <c r="H11909">
        <v>1</v>
      </c>
      <c r="I11909">
        <v>283</v>
      </c>
      <c r="J11909">
        <v>0</v>
      </c>
      <c r="K11909" t="str">
        <f t="shared" si="2129"/>
        <v>809</v>
      </c>
      <c r="L11909">
        <v>416.01</v>
      </c>
    </row>
    <row r="11910" spans="1:12" x14ac:dyDescent="0.25">
      <c r="A11910" t="str">
        <f t="shared" si="2133"/>
        <v>89301000</v>
      </c>
      <c r="B11910" t="str">
        <f t="shared" si="2130"/>
        <v>89383000</v>
      </c>
      <c r="C11910" t="str">
        <f t="shared" si="2131"/>
        <v>89383002</v>
      </c>
      <c r="D11910">
        <v>89301212</v>
      </c>
      <c r="E11910" t="str">
        <f>"7153264833"</f>
        <v>7153264833</v>
      </c>
      <c r="F11910" s="1">
        <v>45177</v>
      </c>
      <c r="G11910" t="str">
        <f>"89513"</f>
        <v>89513</v>
      </c>
      <c r="H11910">
        <v>1</v>
      </c>
      <c r="I11910">
        <v>378</v>
      </c>
      <c r="J11910">
        <v>0</v>
      </c>
      <c r="K11910" t="str">
        <f t="shared" si="2129"/>
        <v>809</v>
      </c>
      <c r="L11910">
        <v>555.66</v>
      </c>
    </row>
    <row r="11911" spans="1:12" x14ac:dyDescent="0.25">
      <c r="A11911" t="str">
        <f t="shared" si="2133"/>
        <v>89301000</v>
      </c>
      <c r="B11911" t="str">
        <f t="shared" si="2130"/>
        <v>89383000</v>
      </c>
      <c r="C11911" t="str">
        <f t="shared" si="2131"/>
        <v>89383002</v>
      </c>
      <c r="D11911">
        <v>89301212</v>
      </c>
      <c r="E11911" t="str">
        <f>"7153264833"</f>
        <v>7153264833</v>
      </c>
      <c r="F11911" s="1">
        <v>45177</v>
      </c>
      <c r="G11911" t="str">
        <f>"89514"</f>
        <v>89514</v>
      </c>
      <c r="H11911">
        <v>1</v>
      </c>
      <c r="I11911">
        <v>378</v>
      </c>
      <c r="J11911">
        <v>0</v>
      </c>
      <c r="K11911" t="str">
        <f t="shared" si="2129"/>
        <v>809</v>
      </c>
      <c r="L11911">
        <v>555.66</v>
      </c>
    </row>
    <row r="11912" spans="1:12" x14ac:dyDescent="0.25">
      <c r="A11912" t="str">
        <f t="shared" si="2133"/>
        <v>89301000</v>
      </c>
      <c r="B11912" t="str">
        <f t="shared" si="2130"/>
        <v>89383000</v>
      </c>
      <c r="C11912" t="str">
        <f t="shared" si="2131"/>
        <v>89383002</v>
      </c>
      <c r="D11912">
        <v>89301045</v>
      </c>
      <c r="E11912" t="str">
        <f>"8551015792"</f>
        <v>8551015792</v>
      </c>
      <c r="F11912" s="1">
        <v>45180</v>
      </c>
      <c r="G11912" t="str">
        <f>"89512"</f>
        <v>89512</v>
      </c>
      <c r="H11912">
        <v>1</v>
      </c>
      <c r="I11912">
        <v>283</v>
      </c>
      <c r="J11912">
        <v>0</v>
      </c>
      <c r="K11912" t="str">
        <f t="shared" si="2129"/>
        <v>809</v>
      </c>
      <c r="L11912">
        <v>416.01</v>
      </c>
    </row>
    <row r="11913" spans="1:12" x14ac:dyDescent="0.25">
      <c r="A11913" t="str">
        <f t="shared" si="2133"/>
        <v>89301000</v>
      </c>
      <c r="B11913" t="str">
        <f t="shared" si="2130"/>
        <v>89383000</v>
      </c>
      <c r="C11913" t="str">
        <f t="shared" si="2131"/>
        <v>89383002</v>
      </c>
      <c r="D11913">
        <v>89301212</v>
      </c>
      <c r="E11913" t="str">
        <f>"7856075381"</f>
        <v>7856075381</v>
      </c>
      <c r="F11913" s="1">
        <v>45180</v>
      </c>
      <c r="G11913" t="str">
        <f>"89512"</f>
        <v>89512</v>
      </c>
      <c r="H11913">
        <v>1</v>
      </c>
      <c r="I11913">
        <v>283</v>
      </c>
      <c r="J11913">
        <v>0</v>
      </c>
      <c r="K11913" t="str">
        <f t="shared" si="2129"/>
        <v>809</v>
      </c>
      <c r="L11913">
        <v>416.01</v>
      </c>
    </row>
    <row r="11914" spans="1:12" x14ac:dyDescent="0.25">
      <c r="A11914" t="str">
        <f t="shared" si="2133"/>
        <v>89301000</v>
      </c>
      <c r="B11914" t="str">
        <f t="shared" si="2130"/>
        <v>89383000</v>
      </c>
      <c r="C11914" t="str">
        <f t="shared" si="2131"/>
        <v>89383002</v>
      </c>
      <c r="D11914">
        <v>89301212</v>
      </c>
      <c r="E11914" t="str">
        <f>"7856075381"</f>
        <v>7856075381</v>
      </c>
      <c r="F11914" s="1">
        <v>45180</v>
      </c>
      <c r="G11914" t="str">
        <f>"89311"</f>
        <v>89311</v>
      </c>
      <c r="H11914">
        <v>1</v>
      </c>
      <c r="I11914">
        <v>970</v>
      </c>
      <c r="J11914">
        <v>0</v>
      </c>
      <c r="K11914" t="str">
        <f t="shared" si="2129"/>
        <v>809</v>
      </c>
      <c r="L11914">
        <v>1425.9</v>
      </c>
    </row>
    <row r="11915" spans="1:12" x14ac:dyDescent="0.25">
      <c r="A11915" t="str">
        <f t="shared" si="2133"/>
        <v>89301000</v>
      </c>
      <c r="B11915" t="str">
        <f t="shared" si="2130"/>
        <v>89383000</v>
      </c>
      <c r="C11915" t="str">
        <f t="shared" si="2131"/>
        <v>89383002</v>
      </c>
      <c r="D11915">
        <v>89301212</v>
      </c>
      <c r="E11915" t="str">
        <f>"7356115371"</f>
        <v>7356115371</v>
      </c>
      <c r="F11915" s="1">
        <v>45183</v>
      </c>
      <c r="G11915" t="str">
        <f>"89513"</f>
        <v>89513</v>
      </c>
      <c r="H11915">
        <v>1</v>
      </c>
      <c r="I11915">
        <v>378</v>
      </c>
      <c r="J11915">
        <v>0</v>
      </c>
      <c r="K11915" t="str">
        <f t="shared" si="2129"/>
        <v>809</v>
      </c>
      <c r="L11915">
        <v>555.66</v>
      </c>
    </row>
    <row r="11916" spans="1:12" x14ac:dyDescent="0.25">
      <c r="A11916" t="str">
        <f t="shared" si="2133"/>
        <v>89301000</v>
      </c>
      <c r="B11916" t="str">
        <f t="shared" si="2130"/>
        <v>89383000</v>
      </c>
      <c r="C11916" t="str">
        <f t="shared" si="2131"/>
        <v>89383002</v>
      </c>
      <c r="D11916">
        <v>89301212</v>
      </c>
      <c r="E11916" t="str">
        <f>"7356115371"</f>
        <v>7356115371</v>
      </c>
      <c r="F11916" s="1">
        <v>45183</v>
      </c>
      <c r="G11916" t="str">
        <f>"89514"</f>
        <v>89514</v>
      </c>
      <c r="H11916">
        <v>1</v>
      </c>
      <c r="I11916">
        <v>378</v>
      </c>
      <c r="J11916">
        <v>0</v>
      </c>
      <c r="K11916" t="str">
        <f t="shared" si="2129"/>
        <v>809</v>
      </c>
      <c r="L11916">
        <v>555.66</v>
      </c>
    </row>
    <row r="11917" spans="1:12" x14ac:dyDescent="0.25">
      <c r="A11917" t="str">
        <f t="shared" si="2133"/>
        <v>89301000</v>
      </c>
      <c r="B11917" t="str">
        <f t="shared" si="2130"/>
        <v>89383000</v>
      </c>
      <c r="C11917" t="str">
        <f t="shared" si="2131"/>
        <v>89383002</v>
      </c>
      <c r="D11917">
        <v>89301212</v>
      </c>
      <c r="E11917" t="str">
        <f>"6351180297"</f>
        <v>6351180297</v>
      </c>
      <c r="F11917" s="1">
        <v>45184</v>
      </c>
      <c r="G11917" t="str">
        <f>"89180"</f>
        <v>89180</v>
      </c>
      <c r="H11917">
        <v>2</v>
      </c>
      <c r="I11917">
        <v>762</v>
      </c>
      <c r="J11917">
        <v>0</v>
      </c>
      <c r="K11917" t="str">
        <f t="shared" si="2129"/>
        <v>809</v>
      </c>
      <c r="L11917">
        <v>1120.1400000000001</v>
      </c>
    </row>
    <row r="11918" spans="1:12" x14ac:dyDescent="0.25">
      <c r="A11918" t="str">
        <f t="shared" si="2133"/>
        <v>89301000</v>
      </c>
      <c r="B11918" t="str">
        <f t="shared" si="2130"/>
        <v>89383000</v>
      </c>
      <c r="C11918" t="str">
        <f t="shared" si="2131"/>
        <v>89383002</v>
      </c>
      <c r="D11918">
        <v>89301212</v>
      </c>
      <c r="E11918" t="str">
        <f>"6351180297"</f>
        <v>6351180297</v>
      </c>
      <c r="F11918" s="1">
        <v>45184</v>
      </c>
      <c r="G11918" t="str">
        <f>"89512"</f>
        <v>89512</v>
      </c>
      <c r="H11918">
        <v>1</v>
      </c>
      <c r="I11918">
        <v>283</v>
      </c>
      <c r="J11918">
        <v>0</v>
      </c>
      <c r="K11918" t="str">
        <f t="shared" si="2129"/>
        <v>809</v>
      </c>
      <c r="L11918">
        <v>416.01</v>
      </c>
    </row>
    <row r="11919" spans="1:12" x14ac:dyDescent="0.25">
      <c r="A11919" t="str">
        <f t="shared" si="2133"/>
        <v>89301000</v>
      </c>
      <c r="B11919" t="str">
        <f t="shared" si="2130"/>
        <v>89383000</v>
      </c>
      <c r="C11919" t="str">
        <f t="shared" si="2131"/>
        <v>89383002</v>
      </c>
      <c r="D11919">
        <v>89301212</v>
      </c>
      <c r="E11919" t="str">
        <f>"6351180297"</f>
        <v>6351180297</v>
      </c>
      <c r="F11919" s="1">
        <v>45184</v>
      </c>
      <c r="G11919" t="str">
        <f>"89513"</f>
        <v>89513</v>
      </c>
      <c r="H11919">
        <v>1</v>
      </c>
      <c r="I11919">
        <v>378</v>
      </c>
      <c r="J11919">
        <v>0</v>
      </c>
      <c r="K11919" t="str">
        <f t="shared" si="2129"/>
        <v>809</v>
      </c>
      <c r="L11919">
        <v>555.66</v>
      </c>
    </row>
    <row r="11920" spans="1:12" x14ac:dyDescent="0.25">
      <c r="A11920" t="str">
        <f t="shared" si="2133"/>
        <v>89301000</v>
      </c>
      <c r="B11920" t="str">
        <f t="shared" si="2130"/>
        <v>89383000</v>
      </c>
      <c r="C11920" t="str">
        <f t="shared" si="2131"/>
        <v>89383002</v>
      </c>
      <c r="D11920">
        <v>89301212</v>
      </c>
      <c r="E11920" t="str">
        <f>"6351180297"</f>
        <v>6351180297</v>
      </c>
      <c r="F11920" s="1">
        <v>45184</v>
      </c>
      <c r="G11920" t="str">
        <f>"89514"</f>
        <v>89514</v>
      </c>
      <c r="H11920">
        <v>1</v>
      </c>
      <c r="I11920">
        <v>378</v>
      </c>
      <c r="J11920">
        <v>0</v>
      </c>
      <c r="K11920" t="str">
        <f t="shared" si="2129"/>
        <v>809</v>
      </c>
      <c r="L11920">
        <v>555.66</v>
      </c>
    </row>
    <row r="11921" spans="1:12" x14ac:dyDescent="0.25">
      <c r="A11921" t="str">
        <f t="shared" si="2133"/>
        <v>89301000</v>
      </c>
      <c r="B11921" t="str">
        <f t="shared" si="2130"/>
        <v>89383000</v>
      </c>
      <c r="C11921" t="str">
        <f t="shared" si="2131"/>
        <v>89383002</v>
      </c>
      <c r="D11921">
        <v>89301212</v>
      </c>
      <c r="E11921" t="str">
        <f>"7462194861"</f>
        <v>7462194861</v>
      </c>
      <c r="F11921" s="1">
        <v>45184</v>
      </c>
      <c r="G11921" t="str">
        <f>"89180"</f>
        <v>89180</v>
      </c>
      <c r="H11921">
        <v>1</v>
      </c>
      <c r="I11921">
        <v>381</v>
      </c>
      <c r="J11921">
        <v>0</v>
      </c>
      <c r="K11921" t="str">
        <f t="shared" si="2129"/>
        <v>809</v>
      </c>
      <c r="L11921">
        <v>560.07000000000005</v>
      </c>
    </row>
    <row r="11922" spans="1:12" x14ac:dyDescent="0.25">
      <c r="A11922" t="str">
        <f t="shared" si="2133"/>
        <v>89301000</v>
      </c>
      <c r="B11922" t="str">
        <f t="shared" si="2130"/>
        <v>89383000</v>
      </c>
      <c r="C11922" t="str">
        <f t="shared" si="2131"/>
        <v>89383002</v>
      </c>
      <c r="D11922">
        <v>89301212</v>
      </c>
      <c r="E11922" t="str">
        <f>"7462194861"</f>
        <v>7462194861</v>
      </c>
      <c r="F11922" s="1">
        <v>45184</v>
      </c>
      <c r="G11922" t="str">
        <f>"89512"</f>
        <v>89512</v>
      </c>
      <c r="H11922">
        <v>1</v>
      </c>
      <c r="I11922">
        <v>283</v>
      </c>
      <c r="J11922">
        <v>0</v>
      </c>
      <c r="K11922" t="str">
        <f t="shared" ref="K11922:K11953" si="2134">"809"</f>
        <v>809</v>
      </c>
      <c r="L11922">
        <v>416.01</v>
      </c>
    </row>
    <row r="11923" spans="1:12" x14ac:dyDescent="0.25">
      <c r="A11923" t="str">
        <f t="shared" si="2133"/>
        <v>89301000</v>
      </c>
      <c r="B11923" t="str">
        <f t="shared" si="2130"/>
        <v>89383000</v>
      </c>
      <c r="C11923" t="str">
        <f t="shared" si="2131"/>
        <v>89383002</v>
      </c>
      <c r="D11923">
        <v>89301212</v>
      </c>
      <c r="E11923" t="str">
        <f>"7160205184"</f>
        <v>7160205184</v>
      </c>
      <c r="F11923" s="1">
        <v>45188</v>
      </c>
      <c r="G11923" t="str">
        <f>"89180"</f>
        <v>89180</v>
      </c>
      <c r="H11923">
        <v>2</v>
      </c>
      <c r="I11923">
        <v>762</v>
      </c>
      <c r="J11923">
        <v>0</v>
      </c>
      <c r="K11923" t="str">
        <f t="shared" si="2134"/>
        <v>809</v>
      </c>
      <c r="L11923">
        <v>1120.1400000000001</v>
      </c>
    </row>
    <row r="11924" spans="1:12" x14ac:dyDescent="0.25">
      <c r="A11924" t="str">
        <f t="shared" si="2133"/>
        <v>89301000</v>
      </c>
      <c r="B11924" t="str">
        <f t="shared" ref="B11924:B11955" si="2135">"89383000"</f>
        <v>89383000</v>
      </c>
      <c r="C11924" t="str">
        <f t="shared" ref="C11924:C11955" si="2136">"89383002"</f>
        <v>89383002</v>
      </c>
      <c r="D11924">
        <v>89301212</v>
      </c>
      <c r="E11924" t="str">
        <f>"7160205184"</f>
        <v>7160205184</v>
      </c>
      <c r="F11924" s="1">
        <v>45188</v>
      </c>
      <c r="G11924" t="str">
        <f>"89512"</f>
        <v>89512</v>
      </c>
      <c r="H11924">
        <v>1</v>
      </c>
      <c r="I11924">
        <v>283</v>
      </c>
      <c r="J11924">
        <v>0</v>
      </c>
      <c r="K11924" t="str">
        <f t="shared" si="2134"/>
        <v>809</v>
      </c>
      <c r="L11924">
        <v>416.01</v>
      </c>
    </row>
    <row r="11925" spans="1:12" x14ac:dyDescent="0.25">
      <c r="A11925" t="str">
        <f t="shared" si="2133"/>
        <v>89301000</v>
      </c>
      <c r="B11925" t="str">
        <f t="shared" si="2135"/>
        <v>89383000</v>
      </c>
      <c r="C11925" t="str">
        <f t="shared" si="2136"/>
        <v>89383002</v>
      </c>
      <c r="D11925">
        <v>89301212</v>
      </c>
      <c r="E11925" t="str">
        <f>"7160205184"</f>
        <v>7160205184</v>
      </c>
      <c r="F11925" s="1">
        <v>45188</v>
      </c>
      <c r="G11925" t="str">
        <f>"89513"</f>
        <v>89513</v>
      </c>
      <c r="H11925">
        <v>1</v>
      </c>
      <c r="I11925">
        <v>378</v>
      </c>
      <c r="J11925">
        <v>0</v>
      </c>
      <c r="K11925" t="str">
        <f t="shared" si="2134"/>
        <v>809</v>
      </c>
      <c r="L11925">
        <v>555.66</v>
      </c>
    </row>
    <row r="11926" spans="1:12" x14ac:dyDescent="0.25">
      <c r="A11926" t="str">
        <f t="shared" si="2133"/>
        <v>89301000</v>
      </c>
      <c r="B11926" t="str">
        <f t="shared" si="2135"/>
        <v>89383000</v>
      </c>
      <c r="C11926" t="str">
        <f t="shared" si="2136"/>
        <v>89383002</v>
      </c>
      <c r="D11926">
        <v>89301212</v>
      </c>
      <c r="E11926" t="str">
        <f>"7160205184"</f>
        <v>7160205184</v>
      </c>
      <c r="F11926" s="1">
        <v>45188</v>
      </c>
      <c r="G11926" t="str">
        <f>"89514"</f>
        <v>89514</v>
      </c>
      <c r="H11926">
        <v>1</v>
      </c>
      <c r="I11926">
        <v>378</v>
      </c>
      <c r="J11926">
        <v>0</v>
      </c>
      <c r="K11926" t="str">
        <f t="shared" si="2134"/>
        <v>809</v>
      </c>
      <c r="L11926">
        <v>555.66</v>
      </c>
    </row>
    <row r="11927" spans="1:12" x14ac:dyDescent="0.25">
      <c r="A11927" t="str">
        <f t="shared" si="2133"/>
        <v>89301000</v>
      </c>
      <c r="B11927" t="str">
        <f t="shared" si="2135"/>
        <v>89383000</v>
      </c>
      <c r="C11927" t="str">
        <f t="shared" si="2136"/>
        <v>89383002</v>
      </c>
      <c r="D11927">
        <v>89301045</v>
      </c>
      <c r="E11927" t="str">
        <f>"7759145757"</f>
        <v>7759145757</v>
      </c>
      <c r="F11927" s="1">
        <v>45184</v>
      </c>
      <c r="G11927" t="str">
        <f>"89513"</f>
        <v>89513</v>
      </c>
      <c r="H11927">
        <v>1</v>
      </c>
      <c r="I11927">
        <v>378</v>
      </c>
      <c r="J11927">
        <v>0</v>
      </c>
      <c r="K11927" t="str">
        <f t="shared" si="2134"/>
        <v>809</v>
      </c>
      <c r="L11927">
        <v>555.66</v>
      </c>
    </row>
    <row r="11928" spans="1:12" x14ac:dyDescent="0.25">
      <c r="A11928" t="str">
        <f t="shared" si="2133"/>
        <v>89301000</v>
      </c>
      <c r="B11928" t="str">
        <f t="shared" si="2135"/>
        <v>89383000</v>
      </c>
      <c r="C11928" t="str">
        <f t="shared" si="2136"/>
        <v>89383002</v>
      </c>
      <c r="D11928">
        <v>89301045</v>
      </c>
      <c r="E11928" t="str">
        <f>"7759145757"</f>
        <v>7759145757</v>
      </c>
      <c r="F11928" s="1">
        <v>45184</v>
      </c>
      <c r="G11928" t="str">
        <f>"89514"</f>
        <v>89514</v>
      </c>
      <c r="H11928">
        <v>1</v>
      </c>
      <c r="I11928">
        <v>378</v>
      </c>
      <c r="J11928">
        <v>0</v>
      </c>
      <c r="K11928" t="str">
        <f t="shared" si="2134"/>
        <v>809</v>
      </c>
      <c r="L11928">
        <v>555.66</v>
      </c>
    </row>
    <row r="11929" spans="1:12" x14ac:dyDescent="0.25">
      <c r="A11929" t="str">
        <f t="shared" si="2133"/>
        <v>89301000</v>
      </c>
      <c r="B11929" t="str">
        <f t="shared" si="2135"/>
        <v>89383000</v>
      </c>
      <c r="C11929" t="str">
        <f t="shared" si="2136"/>
        <v>89383002</v>
      </c>
      <c r="D11929">
        <v>89301045</v>
      </c>
      <c r="E11929" t="str">
        <f>"7759145757"</f>
        <v>7759145757</v>
      </c>
      <c r="F11929" s="1">
        <v>45184</v>
      </c>
      <c r="G11929" t="str">
        <f>"89512"</f>
        <v>89512</v>
      </c>
      <c r="H11929">
        <v>1</v>
      </c>
      <c r="I11929">
        <v>283</v>
      </c>
      <c r="J11929">
        <v>0</v>
      </c>
      <c r="K11929" t="str">
        <f t="shared" si="2134"/>
        <v>809</v>
      </c>
      <c r="L11929">
        <v>416.01</v>
      </c>
    </row>
    <row r="11930" spans="1:12" x14ac:dyDescent="0.25">
      <c r="A11930" t="str">
        <f t="shared" si="2133"/>
        <v>89301000</v>
      </c>
      <c r="B11930" t="str">
        <f t="shared" si="2135"/>
        <v>89383000</v>
      </c>
      <c r="C11930" t="str">
        <f t="shared" si="2136"/>
        <v>89383002</v>
      </c>
      <c r="D11930">
        <v>89301292</v>
      </c>
      <c r="E11930" t="str">
        <f>"9207046156"</f>
        <v>9207046156</v>
      </c>
      <c r="F11930" s="1">
        <v>45184</v>
      </c>
      <c r="G11930" t="str">
        <f>"89512"</f>
        <v>89512</v>
      </c>
      <c r="H11930">
        <v>1</v>
      </c>
      <c r="I11930">
        <v>283</v>
      </c>
      <c r="J11930">
        <v>0</v>
      </c>
      <c r="K11930" t="str">
        <f t="shared" si="2134"/>
        <v>809</v>
      </c>
      <c r="L11930">
        <v>416.01</v>
      </c>
    </row>
    <row r="11931" spans="1:12" x14ac:dyDescent="0.25">
      <c r="A11931" t="str">
        <f t="shared" si="2133"/>
        <v>89301000</v>
      </c>
      <c r="B11931" t="str">
        <f t="shared" si="2135"/>
        <v>89383000</v>
      </c>
      <c r="C11931" t="str">
        <f t="shared" si="2136"/>
        <v>89383002</v>
      </c>
      <c r="D11931">
        <v>89301212</v>
      </c>
      <c r="E11931" t="str">
        <f>"6560291573"</f>
        <v>6560291573</v>
      </c>
      <c r="F11931" s="1">
        <v>45190</v>
      </c>
      <c r="G11931" t="str">
        <f>"89180"</f>
        <v>89180</v>
      </c>
      <c r="H11931">
        <v>2</v>
      </c>
      <c r="I11931">
        <v>762</v>
      </c>
      <c r="J11931">
        <v>0</v>
      </c>
      <c r="K11931" t="str">
        <f t="shared" si="2134"/>
        <v>809</v>
      </c>
      <c r="L11931">
        <v>1120.1400000000001</v>
      </c>
    </row>
    <row r="11932" spans="1:12" x14ac:dyDescent="0.25">
      <c r="A11932" t="str">
        <f t="shared" si="2133"/>
        <v>89301000</v>
      </c>
      <c r="B11932" t="str">
        <f t="shared" si="2135"/>
        <v>89383000</v>
      </c>
      <c r="C11932" t="str">
        <f t="shared" si="2136"/>
        <v>89383002</v>
      </c>
      <c r="D11932">
        <v>89301212</v>
      </c>
      <c r="E11932" t="str">
        <f>"6560291573"</f>
        <v>6560291573</v>
      </c>
      <c r="F11932" s="1">
        <v>45190</v>
      </c>
      <c r="G11932" t="str">
        <f>"89512"</f>
        <v>89512</v>
      </c>
      <c r="H11932">
        <v>1</v>
      </c>
      <c r="I11932">
        <v>283</v>
      </c>
      <c r="J11932">
        <v>0</v>
      </c>
      <c r="K11932" t="str">
        <f t="shared" si="2134"/>
        <v>809</v>
      </c>
      <c r="L11932">
        <v>416.01</v>
      </c>
    </row>
    <row r="11933" spans="1:12" x14ac:dyDescent="0.25">
      <c r="A11933" t="str">
        <f t="shared" si="2133"/>
        <v>89301000</v>
      </c>
      <c r="B11933" t="str">
        <f t="shared" si="2135"/>
        <v>89383000</v>
      </c>
      <c r="C11933" t="str">
        <f t="shared" si="2136"/>
        <v>89383002</v>
      </c>
      <c r="D11933">
        <v>89301212</v>
      </c>
      <c r="E11933" t="str">
        <f>"6560291573"</f>
        <v>6560291573</v>
      </c>
      <c r="F11933" s="1">
        <v>45190</v>
      </c>
      <c r="G11933" t="str">
        <f>"89513"</f>
        <v>89513</v>
      </c>
      <c r="H11933">
        <v>1</v>
      </c>
      <c r="I11933">
        <v>378</v>
      </c>
      <c r="J11933">
        <v>0</v>
      </c>
      <c r="K11933" t="str">
        <f t="shared" si="2134"/>
        <v>809</v>
      </c>
      <c r="L11933">
        <v>555.66</v>
      </c>
    </row>
    <row r="11934" spans="1:12" x14ac:dyDescent="0.25">
      <c r="A11934" t="str">
        <f t="shared" si="2133"/>
        <v>89301000</v>
      </c>
      <c r="B11934" t="str">
        <f t="shared" si="2135"/>
        <v>89383000</v>
      </c>
      <c r="C11934" t="str">
        <f t="shared" si="2136"/>
        <v>89383002</v>
      </c>
      <c r="D11934">
        <v>89301212</v>
      </c>
      <c r="E11934" t="str">
        <f>"6560291573"</f>
        <v>6560291573</v>
      </c>
      <c r="F11934" s="1">
        <v>45190</v>
      </c>
      <c r="G11934" t="str">
        <f>"89514"</f>
        <v>89514</v>
      </c>
      <c r="H11934">
        <v>1</v>
      </c>
      <c r="I11934">
        <v>378</v>
      </c>
      <c r="J11934">
        <v>0</v>
      </c>
      <c r="K11934" t="str">
        <f t="shared" si="2134"/>
        <v>809</v>
      </c>
      <c r="L11934">
        <v>555.66</v>
      </c>
    </row>
    <row r="11935" spans="1:12" x14ac:dyDescent="0.25">
      <c r="A11935" t="str">
        <f t="shared" si="2133"/>
        <v>89301000</v>
      </c>
      <c r="B11935" t="str">
        <f t="shared" si="2135"/>
        <v>89383000</v>
      </c>
      <c r="C11935" t="str">
        <f t="shared" si="2136"/>
        <v>89383002</v>
      </c>
      <c r="D11935">
        <v>89301212</v>
      </c>
      <c r="E11935" t="str">
        <f>"8061225755"</f>
        <v>8061225755</v>
      </c>
      <c r="F11935" s="1">
        <v>45190</v>
      </c>
      <c r="G11935" t="str">
        <f>"89512"</f>
        <v>89512</v>
      </c>
      <c r="H11935">
        <v>1</v>
      </c>
      <c r="I11935">
        <v>283</v>
      </c>
      <c r="J11935">
        <v>0</v>
      </c>
      <c r="K11935" t="str">
        <f t="shared" si="2134"/>
        <v>809</v>
      </c>
      <c r="L11935">
        <v>416.01</v>
      </c>
    </row>
    <row r="11936" spans="1:12" x14ac:dyDescent="0.25">
      <c r="A11936" t="str">
        <f t="shared" si="2133"/>
        <v>89301000</v>
      </c>
      <c r="B11936" t="str">
        <f t="shared" si="2135"/>
        <v>89383000</v>
      </c>
      <c r="C11936" t="str">
        <f t="shared" si="2136"/>
        <v>89383002</v>
      </c>
      <c r="D11936">
        <v>89301212</v>
      </c>
      <c r="E11936" t="str">
        <f>"8061225755"</f>
        <v>8061225755</v>
      </c>
      <c r="F11936" s="1">
        <v>45190</v>
      </c>
      <c r="G11936" t="str">
        <f>"89513"</f>
        <v>89513</v>
      </c>
      <c r="H11936">
        <v>1</v>
      </c>
      <c r="I11936">
        <v>378</v>
      </c>
      <c r="J11936">
        <v>0</v>
      </c>
      <c r="K11936" t="str">
        <f t="shared" si="2134"/>
        <v>809</v>
      </c>
      <c r="L11936">
        <v>555.66</v>
      </c>
    </row>
    <row r="11937" spans="1:12" x14ac:dyDescent="0.25">
      <c r="A11937" t="str">
        <f t="shared" si="2133"/>
        <v>89301000</v>
      </c>
      <c r="B11937" t="str">
        <f t="shared" si="2135"/>
        <v>89383000</v>
      </c>
      <c r="C11937" t="str">
        <f t="shared" si="2136"/>
        <v>89383002</v>
      </c>
      <c r="D11937">
        <v>89301212</v>
      </c>
      <c r="E11937" t="str">
        <f>"8061225755"</f>
        <v>8061225755</v>
      </c>
      <c r="F11937" s="1">
        <v>45190</v>
      </c>
      <c r="G11937" t="str">
        <f>"89514"</f>
        <v>89514</v>
      </c>
      <c r="H11937">
        <v>1</v>
      </c>
      <c r="I11937">
        <v>378</v>
      </c>
      <c r="J11937">
        <v>0</v>
      </c>
      <c r="K11937" t="str">
        <f t="shared" si="2134"/>
        <v>809</v>
      </c>
      <c r="L11937">
        <v>555.66</v>
      </c>
    </row>
    <row r="11938" spans="1:12" x14ac:dyDescent="0.25">
      <c r="A11938" t="str">
        <f t="shared" si="2133"/>
        <v>89301000</v>
      </c>
      <c r="B11938" t="str">
        <f t="shared" si="2135"/>
        <v>89383000</v>
      </c>
      <c r="C11938" t="str">
        <f t="shared" si="2136"/>
        <v>89383002</v>
      </c>
      <c r="D11938">
        <v>89301212</v>
      </c>
      <c r="E11938" t="str">
        <f>"6757081881"</f>
        <v>6757081881</v>
      </c>
      <c r="F11938" s="1">
        <v>45191</v>
      </c>
      <c r="G11938" t="str">
        <f>"89180"</f>
        <v>89180</v>
      </c>
      <c r="H11938">
        <v>2</v>
      </c>
      <c r="I11938">
        <v>762</v>
      </c>
      <c r="J11938">
        <v>0</v>
      </c>
      <c r="K11938" t="str">
        <f t="shared" si="2134"/>
        <v>809</v>
      </c>
      <c r="L11938">
        <v>1120.1400000000001</v>
      </c>
    </row>
    <row r="11939" spans="1:12" x14ac:dyDescent="0.25">
      <c r="A11939" t="str">
        <f t="shared" si="2133"/>
        <v>89301000</v>
      </c>
      <c r="B11939" t="str">
        <f t="shared" si="2135"/>
        <v>89383000</v>
      </c>
      <c r="C11939" t="str">
        <f t="shared" si="2136"/>
        <v>89383002</v>
      </c>
      <c r="D11939">
        <v>89301212</v>
      </c>
      <c r="E11939" t="str">
        <f>"6757081881"</f>
        <v>6757081881</v>
      </c>
      <c r="F11939" s="1">
        <v>45191</v>
      </c>
      <c r="G11939" t="str">
        <f>"89512"</f>
        <v>89512</v>
      </c>
      <c r="H11939">
        <v>1</v>
      </c>
      <c r="I11939">
        <v>283</v>
      </c>
      <c r="J11939">
        <v>0</v>
      </c>
      <c r="K11939" t="str">
        <f t="shared" si="2134"/>
        <v>809</v>
      </c>
      <c r="L11939">
        <v>416.01</v>
      </c>
    </row>
    <row r="11940" spans="1:12" x14ac:dyDescent="0.25">
      <c r="A11940" t="str">
        <f t="shared" si="2133"/>
        <v>89301000</v>
      </c>
      <c r="B11940" t="str">
        <f t="shared" si="2135"/>
        <v>89383000</v>
      </c>
      <c r="C11940" t="str">
        <f t="shared" si="2136"/>
        <v>89383002</v>
      </c>
      <c r="D11940">
        <v>89301212</v>
      </c>
      <c r="E11940" t="str">
        <f>"6757081881"</f>
        <v>6757081881</v>
      </c>
      <c r="F11940" s="1">
        <v>45191</v>
      </c>
      <c r="G11940" t="str">
        <f>"89513"</f>
        <v>89513</v>
      </c>
      <c r="H11940">
        <v>1</v>
      </c>
      <c r="I11940">
        <v>378</v>
      </c>
      <c r="J11940">
        <v>0</v>
      </c>
      <c r="K11940" t="str">
        <f t="shared" si="2134"/>
        <v>809</v>
      </c>
      <c r="L11940">
        <v>555.66</v>
      </c>
    </row>
    <row r="11941" spans="1:12" x14ac:dyDescent="0.25">
      <c r="A11941" t="str">
        <f t="shared" si="2133"/>
        <v>89301000</v>
      </c>
      <c r="B11941" t="str">
        <f t="shared" si="2135"/>
        <v>89383000</v>
      </c>
      <c r="C11941" t="str">
        <f t="shared" si="2136"/>
        <v>89383002</v>
      </c>
      <c r="D11941">
        <v>89301212</v>
      </c>
      <c r="E11941" t="str">
        <f>"6757081881"</f>
        <v>6757081881</v>
      </c>
      <c r="F11941" s="1">
        <v>45191</v>
      </c>
      <c r="G11941" t="str">
        <f>"89514"</f>
        <v>89514</v>
      </c>
      <c r="H11941">
        <v>1</v>
      </c>
      <c r="I11941">
        <v>378</v>
      </c>
      <c r="J11941">
        <v>0</v>
      </c>
      <c r="K11941" t="str">
        <f t="shared" si="2134"/>
        <v>809</v>
      </c>
      <c r="L11941">
        <v>555.66</v>
      </c>
    </row>
    <row r="11942" spans="1:12" x14ac:dyDescent="0.25">
      <c r="A11942" t="str">
        <f t="shared" si="2133"/>
        <v>89301000</v>
      </c>
      <c r="B11942" t="str">
        <f t="shared" si="2135"/>
        <v>89383000</v>
      </c>
      <c r="C11942" t="str">
        <f t="shared" si="2136"/>
        <v>89383002</v>
      </c>
      <c r="D11942">
        <v>89301212</v>
      </c>
      <c r="E11942" t="str">
        <f t="shared" ref="E11942:E11949" si="2137">"7358245411"</f>
        <v>7358245411</v>
      </c>
      <c r="F11942" s="1">
        <v>45190</v>
      </c>
      <c r="G11942" t="str">
        <f>"89313"</f>
        <v>89313</v>
      </c>
      <c r="H11942">
        <v>1</v>
      </c>
      <c r="I11942">
        <v>420</v>
      </c>
      <c r="J11942">
        <v>0</v>
      </c>
      <c r="K11942" t="str">
        <f t="shared" si="2134"/>
        <v>809</v>
      </c>
      <c r="L11942">
        <v>617.4</v>
      </c>
    </row>
    <row r="11943" spans="1:12" x14ac:dyDescent="0.25">
      <c r="A11943" t="str">
        <f t="shared" si="2133"/>
        <v>89301000</v>
      </c>
      <c r="B11943" t="str">
        <f t="shared" si="2135"/>
        <v>89383000</v>
      </c>
      <c r="C11943" t="str">
        <f t="shared" si="2136"/>
        <v>89383002</v>
      </c>
      <c r="D11943">
        <v>89301212</v>
      </c>
      <c r="E11943" t="str">
        <f t="shared" si="2137"/>
        <v>7358245411</v>
      </c>
      <c r="F11943" s="1">
        <v>45190</v>
      </c>
      <c r="G11943" t="str">
        <f>"09233"</f>
        <v>09233</v>
      </c>
      <c r="H11943">
        <v>1</v>
      </c>
      <c r="I11943">
        <v>102</v>
      </c>
      <c r="J11943">
        <v>0</v>
      </c>
      <c r="K11943" t="str">
        <f t="shared" si="2134"/>
        <v>809</v>
      </c>
      <c r="L11943">
        <v>149.94</v>
      </c>
    </row>
    <row r="11944" spans="1:12" x14ac:dyDescent="0.25">
      <c r="A11944" t="str">
        <f t="shared" si="2133"/>
        <v>89301000</v>
      </c>
      <c r="B11944" t="str">
        <f t="shared" si="2135"/>
        <v>89383000</v>
      </c>
      <c r="C11944" t="str">
        <f t="shared" si="2136"/>
        <v>89383002</v>
      </c>
      <c r="D11944">
        <v>89301212</v>
      </c>
      <c r="E11944" t="str">
        <f t="shared" si="2137"/>
        <v>7358245411</v>
      </c>
      <c r="F11944" s="1">
        <v>45190</v>
      </c>
      <c r="G11944" t="str">
        <f>"89515"</f>
        <v>89515</v>
      </c>
      <c r="H11944">
        <v>1</v>
      </c>
      <c r="I11944">
        <v>347</v>
      </c>
      <c r="J11944">
        <v>0</v>
      </c>
      <c r="K11944" t="str">
        <f t="shared" si="2134"/>
        <v>809</v>
      </c>
      <c r="L11944">
        <v>510.09</v>
      </c>
    </row>
    <row r="11945" spans="1:12" x14ac:dyDescent="0.25">
      <c r="A11945" t="str">
        <f t="shared" si="2133"/>
        <v>89301000</v>
      </c>
      <c r="B11945" t="str">
        <f t="shared" si="2135"/>
        <v>89383000</v>
      </c>
      <c r="C11945" t="str">
        <f t="shared" si="2136"/>
        <v>89383002</v>
      </c>
      <c r="D11945">
        <v>89301212</v>
      </c>
      <c r="E11945" t="str">
        <f t="shared" si="2137"/>
        <v>7358245411</v>
      </c>
      <c r="F11945" s="1">
        <v>45190</v>
      </c>
      <c r="G11945" t="str">
        <f>"89512"</f>
        <v>89512</v>
      </c>
      <c r="H11945">
        <v>1</v>
      </c>
      <c r="I11945">
        <v>283</v>
      </c>
      <c r="J11945">
        <v>0</v>
      </c>
      <c r="K11945" t="str">
        <f t="shared" si="2134"/>
        <v>809</v>
      </c>
      <c r="L11945">
        <v>416.01</v>
      </c>
    </row>
    <row r="11946" spans="1:12" x14ac:dyDescent="0.25">
      <c r="A11946" t="str">
        <f t="shared" si="2133"/>
        <v>89301000</v>
      </c>
      <c r="B11946" t="str">
        <f t="shared" si="2135"/>
        <v>89383000</v>
      </c>
      <c r="C11946" t="str">
        <f t="shared" si="2136"/>
        <v>89383002</v>
      </c>
      <c r="D11946">
        <v>89301212</v>
      </c>
      <c r="E11946" t="str">
        <f t="shared" si="2137"/>
        <v>7358245411</v>
      </c>
      <c r="F11946" s="1">
        <v>45190</v>
      </c>
      <c r="G11946" t="str">
        <f>"09572"</f>
        <v>09572</v>
      </c>
      <c r="H11946">
        <v>1</v>
      </c>
      <c r="I11946">
        <v>0</v>
      </c>
      <c r="J11946">
        <v>0</v>
      </c>
      <c r="K11946" t="str">
        <f t="shared" si="2134"/>
        <v>809</v>
      </c>
      <c r="L11946">
        <v>0</v>
      </c>
    </row>
    <row r="11947" spans="1:12" x14ac:dyDescent="0.25">
      <c r="A11947" t="str">
        <f t="shared" si="2133"/>
        <v>89301000</v>
      </c>
      <c r="B11947" t="str">
        <f t="shared" si="2135"/>
        <v>89383000</v>
      </c>
      <c r="C11947" t="str">
        <f t="shared" si="2136"/>
        <v>89383002</v>
      </c>
      <c r="D11947">
        <v>89301212</v>
      </c>
      <c r="E11947" t="str">
        <f t="shared" si="2137"/>
        <v>7358245411</v>
      </c>
      <c r="F11947" s="1">
        <v>45190</v>
      </c>
      <c r="G11947" t="str">
        <f>"0093109"</f>
        <v>0093109</v>
      </c>
      <c r="H11947">
        <v>0.2</v>
      </c>
      <c r="J11947">
        <v>54.2</v>
      </c>
      <c r="K11947" t="str">
        <f t="shared" si="2134"/>
        <v>809</v>
      </c>
      <c r="L11947">
        <v>54.2</v>
      </c>
    </row>
    <row r="11948" spans="1:12" x14ac:dyDescent="0.25">
      <c r="A11948" t="str">
        <f t="shared" si="2133"/>
        <v>89301000</v>
      </c>
      <c r="B11948" t="str">
        <f t="shared" si="2135"/>
        <v>89383000</v>
      </c>
      <c r="C11948" t="str">
        <f t="shared" si="2136"/>
        <v>89383002</v>
      </c>
      <c r="D11948">
        <v>89301212</v>
      </c>
      <c r="E11948" t="str">
        <f t="shared" si="2137"/>
        <v>7358245411</v>
      </c>
      <c r="F11948" s="1">
        <v>45190</v>
      </c>
      <c r="G11948" t="str">
        <f>"0142908"</f>
        <v>0142908</v>
      </c>
      <c r="H11948">
        <v>2</v>
      </c>
      <c r="J11948">
        <v>1820</v>
      </c>
      <c r="K11948" t="str">
        <f t="shared" si="2134"/>
        <v>809</v>
      </c>
      <c r="L11948">
        <v>1820</v>
      </c>
    </row>
    <row r="11949" spans="1:12" x14ac:dyDescent="0.25">
      <c r="A11949" t="str">
        <f t="shared" si="2133"/>
        <v>89301000</v>
      </c>
      <c r="B11949" t="str">
        <f t="shared" si="2135"/>
        <v>89383000</v>
      </c>
      <c r="C11949" t="str">
        <f t="shared" si="2136"/>
        <v>89383002</v>
      </c>
      <c r="D11949">
        <v>89301212</v>
      </c>
      <c r="E11949" t="str">
        <f t="shared" si="2137"/>
        <v>7358245411</v>
      </c>
      <c r="F11949" s="1">
        <v>45190</v>
      </c>
      <c r="G11949" t="str">
        <f>"0082502"</f>
        <v>0082502</v>
      </c>
      <c r="H11949">
        <v>1</v>
      </c>
      <c r="J11949">
        <v>2260.1999999999998</v>
      </c>
      <c r="K11949" t="str">
        <f t="shared" si="2134"/>
        <v>809</v>
      </c>
      <c r="L11949">
        <v>2260.1999999999998</v>
      </c>
    </row>
    <row r="11950" spans="1:12" x14ac:dyDescent="0.25">
      <c r="A11950" t="str">
        <f t="shared" si="2133"/>
        <v>89301000</v>
      </c>
      <c r="B11950" t="str">
        <f t="shared" si="2135"/>
        <v>89383000</v>
      </c>
      <c r="C11950" t="str">
        <f t="shared" si="2136"/>
        <v>89383002</v>
      </c>
      <c r="D11950">
        <v>89301045</v>
      </c>
      <c r="E11950" t="str">
        <f t="shared" ref="E11950:E11955" si="2138">"7462194861"</f>
        <v>7462194861</v>
      </c>
      <c r="F11950" s="1">
        <v>45194</v>
      </c>
      <c r="G11950" t="str">
        <f>"89313"</f>
        <v>89313</v>
      </c>
      <c r="H11950">
        <v>1</v>
      </c>
      <c r="I11950">
        <v>420</v>
      </c>
      <c r="J11950">
        <v>0</v>
      </c>
      <c r="K11950" t="str">
        <f t="shared" si="2134"/>
        <v>809</v>
      </c>
      <c r="L11950">
        <v>617.4</v>
      </c>
    </row>
    <row r="11951" spans="1:12" x14ac:dyDescent="0.25">
      <c r="A11951" t="str">
        <f t="shared" si="2133"/>
        <v>89301000</v>
      </c>
      <c r="B11951" t="str">
        <f t="shared" si="2135"/>
        <v>89383000</v>
      </c>
      <c r="C11951" t="str">
        <f t="shared" si="2136"/>
        <v>89383002</v>
      </c>
      <c r="D11951">
        <v>89301045</v>
      </c>
      <c r="E11951" t="str">
        <f t="shared" si="2138"/>
        <v>7462194861</v>
      </c>
      <c r="F11951" s="1">
        <v>45194</v>
      </c>
      <c r="G11951" t="str">
        <f>"09233"</f>
        <v>09233</v>
      </c>
      <c r="H11951">
        <v>1</v>
      </c>
      <c r="I11951">
        <v>102</v>
      </c>
      <c r="J11951">
        <v>0</v>
      </c>
      <c r="K11951" t="str">
        <f t="shared" si="2134"/>
        <v>809</v>
      </c>
      <c r="L11951">
        <v>149.94</v>
      </c>
    </row>
    <row r="11952" spans="1:12" x14ac:dyDescent="0.25">
      <c r="A11952" t="str">
        <f t="shared" si="2133"/>
        <v>89301000</v>
      </c>
      <c r="B11952" t="str">
        <f t="shared" si="2135"/>
        <v>89383000</v>
      </c>
      <c r="C11952" t="str">
        <f t="shared" si="2136"/>
        <v>89383002</v>
      </c>
      <c r="D11952">
        <v>89301045</v>
      </c>
      <c r="E11952" t="str">
        <f t="shared" si="2138"/>
        <v>7462194861</v>
      </c>
      <c r="F11952" s="1">
        <v>45194</v>
      </c>
      <c r="G11952" t="str">
        <f>"89512"</f>
        <v>89512</v>
      </c>
      <c r="H11952">
        <v>1</v>
      </c>
      <c r="I11952">
        <v>283</v>
      </c>
      <c r="J11952">
        <v>0</v>
      </c>
      <c r="K11952" t="str">
        <f t="shared" si="2134"/>
        <v>809</v>
      </c>
      <c r="L11952">
        <v>416.01</v>
      </c>
    </row>
    <row r="11953" spans="1:12" x14ac:dyDescent="0.25">
      <c r="A11953" t="str">
        <f t="shared" si="2133"/>
        <v>89301000</v>
      </c>
      <c r="B11953" t="str">
        <f t="shared" si="2135"/>
        <v>89383000</v>
      </c>
      <c r="C11953" t="str">
        <f t="shared" si="2136"/>
        <v>89383002</v>
      </c>
      <c r="D11953">
        <v>89301045</v>
      </c>
      <c r="E11953" t="str">
        <f t="shared" si="2138"/>
        <v>7462194861</v>
      </c>
      <c r="F11953" s="1">
        <v>45194</v>
      </c>
      <c r="G11953" t="str">
        <f>"89180"</f>
        <v>89180</v>
      </c>
      <c r="H11953">
        <v>1</v>
      </c>
      <c r="I11953">
        <v>381</v>
      </c>
      <c r="J11953">
        <v>0</v>
      </c>
      <c r="K11953" t="str">
        <f t="shared" si="2134"/>
        <v>809</v>
      </c>
      <c r="L11953">
        <v>560.07000000000005</v>
      </c>
    </row>
    <row r="11954" spans="1:12" x14ac:dyDescent="0.25">
      <c r="A11954" t="str">
        <f t="shared" si="2133"/>
        <v>89301000</v>
      </c>
      <c r="B11954" t="str">
        <f t="shared" si="2135"/>
        <v>89383000</v>
      </c>
      <c r="C11954" t="str">
        <f t="shared" si="2136"/>
        <v>89383002</v>
      </c>
      <c r="D11954">
        <v>89301045</v>
      </c>
      <c r="E11954" t="str">
        <f t="shared" si="2138"/>
        <v>7462194861</v>
      </c>
      <c r="F11954" s="1">
        <v>45194</v>
      </c>
      <c r="G11954" t="str">
        <f>"0093109"</f>
        <v>0093109</v>
      </c>
      <c r="H11954">
        <v>0.05</v>
      </c>
      <c r="J11954">
        <v>13.55</v>
      </c>
      <c r="K11954" t="str">
        <f t="shared" ref="K11954:K11968" si="2139">"809"</f>
        <v>809</v>
      </c>
      <c r="L11954">
        <v>13.55</v>
      </c>
    </row>
    <row r="11955" spans="1:12" x14ac:dyDescent="0.25">
      <c r="A11955" t="str">
        <f t="shared" si="2133"/>
        <v>89301000</v>
      </c>
      <c r="B11955" t="str">
        <f t="shared" si="2135"/>
        <v>89383000</v>
      </c>
      <c r="C11955" t="str">
        <f t="shared" si="2136"/>
        <v>89383002</v>
      </c>
      <c r="D11955">
        <v>89301045</v>
      </c>
      <c r="E11955" t="str">
        <f t="shared" si="2138"/>
        <v>7462194861</v>
      </c>
      <c r="F11955" s="1">
        <v>45194</v>
      </c>
      <c r="G11955" t="str">
        <f>"0142906"</f>
        <v>0142906</v>
      </c>
      <c r="H11955">
        <v>2</v>
      </c>
      <c r="J11955">
        <v>13980</v>
      </c>
      <c r="K11955" t="str">
        <f t="shared" si="2139"/>
        <v>809</v>
      </c>
      <c r="L11955">
        <v>13980</v>
      </c>
    </row>
    <row r="11956" spans="1:12" x14ac:dyDescent="0.25">
      <c r="A11956" t="str">
        <f t="shared" si="2133"/>
        <v>89301000</v>
      </c>
      <c r="B11956" t="str">
        <f t="shared" ref="B11956:B11968" si="2140">"89383000"</f>
        <v>89383000</v>
      </c>
      <c r="C11956" t="str">
        <f t="shared" ref="C11956:C11968" si="2141">"89383002"</f>
        <v>89383002</v>
      </c>
      <c r="D11956">
        <v>89301212</v>
      </c>
      <c r="E11956" t="str">
        <f>"7656205348"</f>
        <v>7656205348</v>
      </c>
      <c r="F11956" s="1">
        <v>45196</v>
      </c>
      <c r="G11956" t="str">
        <f>"89512"</f>
        <v>89512</v>
      </c>
      <c r="H11956">
        <v>1</v>
      </c>
      <c r="I11956">
        <v>283</v>
      </c>
      <c r="J11956">
        <v>0</v>
      </c>
      <c r="K11956" t="str">
        <f t="shared" si="2139"/>
        <v>809</v>
      </c>
      <c r="L11956">
        <v>416.01</v>
      </c>
    </row>
    <row r="11957" spans="1:12" x14ac:dyDescent="0.25">
      <c r="A11957" t="str">
        <f t="shared" si="2133"/>
        <v>89301000</v>
      </c>
      <c r="B11957" t="str">
        <f t="shared" si="2140"/>
        <v>89383000</v>
      </c>
      <c r="C11957" t="str">
        <f t="shared" si="2141"/>
        <v>89383002</v>
      </c>
      <c r="D11957">
        <v>89301212</v>
      </c>
      <c r="E11957" t="str">
        <f>"7656205348"</f>
        <v>7656205348</v>
      </c>
      <c r="F11957" s="1">
        <v>45196</v>
      </c>
      <c r="G11957" t="str">
        <f>"89513"</f>
        <v>89513</v>
      </c>
      <c r="H11957">
        <v>1</v>
      </c>
      <c r="I11957">
        <v>378</v>
      </c>
      <c r="J11957">
        <v>0</v>
      </c>
      <c r="K11957" t="str">
        <f t="shared" si="2139"/>
        <v>809</v>
      </c>
      <c r="L11957">
        <v>555.66</v>
      </c>
    </row>
    <row r="11958" spans="1:12" x14ac:dyDescent="0.25">
      <c r="A11958" t="str">
        <f t="shared" si="2133"/>
        <v>89301000</v>
      </c>
      <c r="B11958" t="str">
        <f t="shared" si="2140"/>
        <v>89383000</v>
      </c>
      <c r="C11958" t="str">
        <f t="shared" si="2141"/>
        <v>89383002</v>
      </c>
      <c r="D11958">
        <v>89301212</v>
      </c>
      <c r="E11958" t="str">
        <f>"7656205348"</f>
        <v>7656205348</v>
      </c>
      <c r="F11958" s="1">
        <v>45196</v>
      </c>
      <c r="G11958" t="str">
        <f>"89514"</f>
        <v>89514</v>
      </c>
      <c r="H11958">
        <v>1</v>
      </c>
      <c r="I11958">
        <v>378</v>
      </c>
      <c r="J11958">
        <v>0</v>
      </c>
      <c r="K11958" t="str">
        <f t="shared" si="2139"/>
        <v>809</v>
      </c>
      <c r="L11958">
        <v>555.66</v>
      </c>
    </row>
    <row r="11959" spans="1:12" x14ac:dyDescent="0.25">
      <c r="A11959" t="str">
        <f t="shared" si="2133"/>
        <v>89301000</v>
      </c>
      <c r="B11959" t="str">
        <f t="shared" si="2140"/>
        <v>89383000</v>
      </c>
      <c r="C11959" t="str">
        <f t="shared" si="2141"/>
        <v>89383002</v>
      </c>
      <c r="D11959">
        <v>89301042</v>
      </c>
      <c r="E11959" t="str">
        <f>"8054205302"</f>
        <v>8054205302</v>
      </c>
      <c r="F11959" s="1">
        <v>45198</v>
      </c>
      <c r="G11959" t="str">
        <f>"89180"</f>
        <v>89180</v>
      </c>
      <c r="H11959">
        <v>1</v>
      </c>
      <c r="I11959">
        <v>381</v>
      </c>
      <c r="J11959">
        <v>0</v>
      </c>
      <c r="K11959" t="str">
        <f t="shared" si="2139"/>
        <v>809</v>
      </c>
      <c r="L11959">
        <v>560.07000000000005</v>
      </c>
    </row>
    <row r="11960" spans="1:12" x14ac:dyDescent="0.25">
      <c r="A11960" t="str">
        <f t="shared" si="2133"/>
        <v>89301000</v>
      </c>
      <c r="B11960" t="str">
        <f t="shared" si="2140"/>
        <v>89383000</v>
      </c>
      <c r="C11960" t="str">
        <f t="shared" si="2141"/>
        <v>89383002</v>
      </c>
      <c r="D11960">
        <v>89301042</v>
      </c>
      <c r="E11960" t="str">
        <f>"8054205302"</f>
        <v>8054205302</v>
      </c>
      <c r="F11960" s="1">
        <v>45198</v>
      </c>
      <c r="G11960" t="str">
        <f>"89512"</f>
        <v>89512</v>
      </c>
      <c r="H11960">
        <v>1</v>
      </c>
      <c r="I11960">
        <v>283</v>
      </c>
      <c r="J11960">
        <v>0</v>
      </c>
      <c r="K11960" t="str">
        <f t="shared" si="2139"/>
        <v>809</v>
      </c>
      <c r="L11960">
        <v>416.01</v>
      </c>
    </row>
    <row r="11961" spans="1:12" x14ac:dyDescent="0.25">
      <c r="A11961" t="str">
        <f t="shared" si="2133"/>
        <v>89301000</v>
      </c>
      <c r="B11961" t="str">
        <f t="shared" si="2140"/>
        <v>89383000</v>
      </c>
      <c r="C11961" t="str">
        <f t="shared" si="2141"/>
        <v>89383002</v>
      </c>
      <c r="D11961">
        <v>89301042</v>
      </c>
      <c r="E11961" t="str">
        <f>"8054205302"</f>
        <v>8054205302</v>
      </c>
      <c r="F11961" s="1">
        <v>45198</v>
      </c>
      <c r="G11961" t="str">
        <f>"89513"</f>
        <v>89513</v>
      </c>
      <c r="H11961">
        <v>1</v>
      </c>
      <c r="I11961">
        <v>378</v>
      </c>
      <c r="J11961">
        <v>0</v>
      </c>
      <c r="K11961" t="str">
        <f t="shared" si="2139"/>
        <v>809</v>
      </c>
      <c r="L11961">
        <v>555.66</v>
      </c>
    </row>
    <row r="11962" spans="1:12" x14ac:dyDescent="0.25">
      <c r="A11962" t="str">
        <f t="shared" si="2133"/>
        <v>89301000</v>
      </c>
      <c r="B11962" t="str">
        <f t="shared" si="2140"/>
        <v>89383000</v>
      </c>
      <c r="C11962" t="str">
        <f t="shared" si="2141"/>
        <v>89383002</v>
      </c>
      <c r="D11962">
        <v>89301042</v>
      </c>
      <c r="E11962" t="str">
        <f>"8054205302"</f>
        <v>8054205302</v>
      </c>
      <c r="F11962" s="1">
        <v>45198</v>
      </c>
      <c r="G11962" t="str">
        <f>"89514"</f>
        <v>89514</v>
      </c>
      <c r="H11962">
        <v>1</v>
      </c>
      <c r="I11962">
        <v>378</v>
      </c>
      <c r="J11962">
        <v>0</v>
      </c>
      <c r="K11962" t="str">
        <f t="shared" si="2139"/>
        <v>809</v>
      </c>
      <c r="L11962">
        <v>555.66</v>
      </c>
    </row>
    <row r="11963" spans="1:12" x14ac:dyDescent="0.25">
      <c r="A11963" t="str">
        <f t="shared" si="2133"/>
        <v>89301000</v>
      </c>
      <c r="B11963" t="str">
        <f t="shared" si="2140"/>
        <v>89383000</v>
      </c>
      <c r="C11963" t="str">
        <f t="shared" si="2141"/>
        <v>89383002</v>
      </c>
      <c r="D11963">
        <v>89301212</v>
      </c>
      <c r="E11963" t="str">
        <f>"6062271435"</f>
        <v>6062271435</v>
      </c>
      <c r="F11963" s="1">
        <v>45198</v>
      </c>
      <c r="G11963" t="str">
        <f>"89180"</f>
        <v>89180</v>
      </c>
      <c r="H11963">
        <v>2</v>
      </c>
      <c r="I11963">
        <v>762</v>
      </c>
      <c r="J11963">
        <v>0</v>
      </c>
      <c r="K11963" t="str">
        <f t="shared" si="2139"/>
        <v>809</v>
      </c>
      <c r="L11963">
        <v>1120.1400000000001</v>
      </c>
    </row>
    <row r="11964" spans="1:12" x14ac:dyDescent="0.25">
      <c r="A11964" t="str">
        <f t="shared" si="2133"/>
        <v>89301000</v>
      </c>
      <c r="B11964" t="str">
        <f t="shared" si="2140"/>
        <v>89383000</v>
      </c>
      <c r="C11964" t="str">
        <f t="shared" si="2141"/>
        <v>89383002</v>
      </c>
      <c r="D11964">
        <v>89301212</v>
      </c>
      <c r="E11964" t="str">
        <f>"6062271435"</f>
        <v>6062271435</v>
      </c>
      <c r="F11964" s="1">
        <v>45198</v>
      </c>
      <c r="G11964" t="str">
        <f>"89512"</f>
        <v>89512</v>
      </c>
      <c r="H11964">
        <v>1</v>
      </c>
      <c r="I11964">
        <v>283</v>
      </c>
      <c r="J11964">
        <v>0</v>
      </c>
      <c r="K11964" t="str">
        <f t="shared" si="2139"/>
        <v>809</v>
      </c>
      <c r="L11964">
        <v>416.01</v>
      </c>
    </row>
    <row r="11965" spans="1:12" x14ac:dyDescent="0.25">
      <c r="A11965" t="str">
        <f t="shared" si="2133"/>
        <v>89301000</v>
      </c>
      <c r="B11965" t="str">
        <f t="shared" si="2140"/>
        <v>89383000</v>
      </c>
      <c r="C11965" t="str">
        <f t="shared" si="2141"/>
        <v>89383002</v>
      </c>
      <c r="D11965">
        <v>89301212</v>
      </c>
      <c r="E11965" t="str">
        <f>"6062271435"</f>
        <v>6062271435</v>
      </c>
      <c r="F11965" s="1">
        <v>45198</v>
      </c>
      <c r="G11965" t="str">
        <f>"89513"</f>
        <v>89513</v>
      </c>
      <c r="H11965">
        <v>1</v>
      </c>
      <c r="I11965">
        <v>378</v>
      </c>
      <c r="J11965">
        <v>0</v>
      </c>
      <c r="K11965" t="str">
        <f t="shared" si="2139"/>
        <v>809</v>
      </c>
      <c r="L11965">
        <v>555.66</v>
      </c>
    </row>
    <row r="11966" spans="1:12" x14ac:dyDescent="0.25">
      <c r="A11966" t="str">
        <f t="shared" si="2133"/>
        <v>89301000</v>
      </c>
      <c r="B11966" t="str">
        <f t="shared" si="2140"/>
        <v>89383000</v>
      </c>
      <c r="C11966" t="str">
        <f t="shared" si="2141"/>
        <v>89383002</v>
      </c>
      <c r="D11966">
        <v>89301212</v>
      </c>
      <c r="E11966" t="str">
        <f>"6062271435"</f>
        <v>6062271435</v>
      </c>
      <c r="F11966" s="1">
        <v>45198</v>
      </c>
      <c r="G11966" t="str">
        <f>"89514"</f>
        <v>89514</v>
      </c>
      <c r="H11966">
        <v>1</v>
      </c>
      <c r="I11966">
        <v>378</v>
      </c>
      <c r="J11966">
        <v>0</v>
      </c>
      <c r="K11966" t="str">
        <f t="shared" si="2139"/>
        <v>809</v>
      </c>
      <c r="L11966">
        <v>555.66</v>
      </c>
    </row>
    <row r="11967" spans="1:12" x14ac:dyDescent="0.25">
      <c r="A11967" t="str">
        <f t="shared" si="2133"/>
        <v>89301000</v>
      </c>
      <c r="B11967" t="str">
        <f t="shared" si="2140"/>
        <v>89383000</v>
      </c>
      <c r="C11967" t="str">
        <f t="shared" si="2141"/>
        <v>89383002</v>
      </c>
      <c r="D11967">
        <v>89301212</v>
      </c>
      <c r="E11967" t="str">
        <f>"6252051575"</f>
        <v>6252051575</v>
      </c>
      <c r="F11967" s="1">
        <v>45198</v>
      </c>
      <c r="G11967" t="str">
        <f>"89513"</f>
        <v>89513</v>
      </c>
      <c r="H11967">
        <v>1</v>
      </c>
      <c r="I11967">
        <v>378</v>
      </c>
      <c r="J11967">
        <v>0</v>
      </c>
      <c r="K11967" t="str">
        <f t="shared" si="2139"/>
        <v>809</v>
      </c>
      <c r="L11967">
        <v>555.66</v>
      </c>
    </row>
    <row r="11968" spans="1:12" x14ac:dyDescent="0.25">
      <c r="A11968" t="str">
        <f t="shared" si="2133"/>
        <v>89301000</v>
      </c>
      <c r="B11968" t="str">
        <f t="shared" si="2140"/>
        <v>89383000</v>
      </c>
      <c r="C11968" t="str">
        <f t="shared" si="2141"/>
        <v>89383002</v>
      </c>
      <c r="D11968">
        <v>89301212</v>
      </c>
      <c r="E11968" t="str">
        <f>"6252051575"</f>
        <v>6252051575</v>
      </c>
      <c r="F11968" s="1">
        <v>45198</v>
      </c>
      <c r="G11968" t="str">
        <f>"89514"</f>
        <v>89514</v>
      </c>
      <c r="H11968">
        <v>1</v>
      </c>
      <c r="I11968">
        <v>378</v>
      </c>
      <c r="J11968">
        <v>0</v>
      </c>
      <c r="K11968" t="str">
        <f t="shared" si="2139"/>
        <v>809</v>
      </c>
      <c r="L11968">
        <v>555.66</v>
      </c>
    </row>
    <row r="11969" spans="1:12" x14ac:dyDescent="0.25">
      <c r="A11969" t="str">
        <f t="shared" si="2133"/>
        <v>89301000</v>
      </c>
      <c r="B11969" t="str">
        <f>"89670000"</f>
        <v>89670000</v>
      </c>
      <c r="C11969" t="str">
        <f>"89670001"</f>
        <v>89670001</v>
      </c>
      <c r="D11969">
        <v>89301101</v>
      </c>
      <c r="E11969" t="str">
        <f>"1407251725"</f>
        <v>1407251725</v>
      </c>
      <c r="F11969" s="1">
        <v>45181</v>
      </c>
      <c r="G11969" t="str">
        <f>"82097"</f>
        <v>82097</v>
      </c>
      <c r="H11969">
        <v>1</v>
      </c>
      <c r="I11969">
        <v>381</v>
      </c>
      <c r="J11969">
        <v>0</v>
      </c>
      <c r="K11969" t="str">
        <f>"802"</f>
        <v>802</v>
      </c>
      <c r="L11969">
        <v>369.57</v>
      </c>
    </row>
    <row r="11970" spans="1:12" x14ac:dyDescent="0.25">
      <c r="A11970" t="str">
        <f t="shared" ref="A11970:A12033" si="2142">"89301000"</f>
        <v>89301000</v>
      </c>
      <c r="B11970" t="str">
        <f>"89670000"</f>
        <v>89670000</v>
      </c>
      <c r="C11970" t="str">
        <f>"89670001"</f>
        <v>89670001</v>
      </c>
      <c r="D11970">
        <v>89301101</v>
      </c>
      <c r="E11970" t="str">
        <f>"1407251725"</f>
        <v>1407251725</v>
      </c>
      <c r="F11970" s="1">
        <v>45181</v>
      </c>
      <c r="G11970" t="str">
        <f>"82097"</f>
        <v>82097</v>
      </c>
      <c r="H11970">
        <v>1</v>
      </c>
      <c r="I11970">
        <v>381</v>
      </c>
      <c r="J11970">
        <v>0</v>
      </c>
      <c r="K11970" t="str">
        <f>"802"</f>
        <v>802</v>
      </c>
      <c r="L11970">
        <v>369.57</v>
      </c>
    </row>
    <row r="11971" spans="1:12" x14ac:dyDescent="0.25">
      <c r="A11971" t="str">
        <f t="shared" si="2142"/>
        <v>89301000</v>
      </c>
      <c r="B11971" t="str">
        <f>"89670000"</f>
        <v>89670000</v>
      </c>
      <c r="C11971" t="str">
        <f>"89670001"</f>
        <v>89670001</v>
      </c>
      <c r="D11971">
        <v>89301101</v>
      </c>
      <c r="E11971" t="str">
        <f>"1407251725"</f>
        <v>1407251725</v>
      </c>
      <c r="F11971" s="1">
        <v>45184</v>
      </c>
      <c r="G11971" t="str">
        <f>"82087"</f>
        <v>82087</v>
      </c>
      <c r="H11971">
        <v>2</v>
      </c>
      <c r="I11971">
        <v>106</v>
      </c>
      <c r="J11971">
        <v>0</v>
      </c>
      <c r="K11971" t="str">
        <f>"802"</f>
        <v>802</v>
      </c>
      <c r="L11971">
        <v>102.82</v>
      </c>
    </row>
    <row r="11972" spans="1:12" x14ac:dyDescent="0.25">
      <c r="A11972" t="str">
        <f t="shared" si="2142"/>
        <v>89301000</v>
      </c>
      <c r="B11972" t="str">
        <f>"89670000"</f>
        <v>89670000</v>
      </c>
      <c r="C11972" t="str">
        <f>"89670001"</f>
        <v>89670001</v>
      </c>
      <c r="D11972">
        <v>89301101</v>
      </c>
      <c r="E11972" t="str">
        <f>"1407251725"</f>
        <v>1407251725</v>
      </c>
      <c r="F11972" s="1">
        <v>45185</v>
      </c>
      <c r="G11972" t="str">
        <f>"82087"</f>
        <v>82087</v>
      </c>
      <c r="H11972">
        <v>2</v>
      </c>
      <c r="I11972">
        <v>106</v>
      </c>
      <c r="J11972">
        <v>0</v>
      </c>
      <c r="K11972" t="str">
        <f>"802"</f>
        <v>802</v>
      </c>
      <c r="L11972">
        <v>102.82</v>
      </c>
    </row>
    <row r="11973" spans="1:12" x14ac:dyDescent="0.25">
      <c r="A11973" t="str">
        <f t="shared" si="2142"/>
        <v>89301000</v>
      </c>
      <c r="B11973" t="str">
        <f t="shared" ref="B11973:B12013" si="2143">"89895000"</f>
        <v>89895000</v>
      </c>
      <c r="C11973" t="str">
        <f t="shared" ref="C11973:C12013" si="2144">"89895002"</f>
        <v>89895002</v>
      </c>
      <c r="D11973">
        <v>89301212</v>
      </c>
      <c r="E11973" t="str">
        <f>"425214491"</f>
        <v>425214491</v>
      </c>
      <c r="F11973" s="1">
        <v>45174</v>
      </c>
      <c r="G11973" t="str">
        <f>"89180"</f>
        <v>89180</v>
      </c>
      <c r="H11973">
        <v>2</v>
      </c>
      <c r="I11973">
        <v>762</v>
      </c>
      <c r="J11973">
        <v>0</v>
      </c>
      <c r="K11973" t="str">
        <f t="shared" ref="K11973:K12013" si="2145">"809"</f>
        <v>809</v>
      </c>
      <c r="L11973">
        <v>1120.1400000000001</v>
      </c>
    </row>
    <row r="11974" spans="1:12" x14ac:dyDescent="0.25">
      <c r="A11974" t="str">
        <f t="shared" si="2142"/>
        <v>89301000</v>
      </c>
      <c r="B11974" t="str">
        <f t="shared" si="2143"/>
        <v>89895000</v>
      </c>
      <c r="C11974" t="str">
        <f t="shared" si="2144"/>
        <v>89895002</v>
      </c>
      <c r="D11974">
        <v>89301212</v>
      </c>
      <c r="E11974" t="str">
        <f>"425214491"</f>
        <v>425214491</v>
      </c>
      <c r="F11974" s="1">
        <v>45174</v>
      </c>
      <c r="G11974" t="str">
        <f>"89513"</f>
        <v>89513</v>
      </c>
      <c r="H11974">
        <v>1</v>
      </c>
      <c r="I11974">
        <v>378</v>
      </c>
      <c r="J11974">
        <v>0</v>
      </c>
      <c r="K11974" t="str">
        <f t="shared" si="2145"/>
        <v>809</v>
      </c>
      <c r="L11974">
        <v>555.66</v>
      </c>
    </row>
    <row r="11975" spans="1:12" x14ac:dyDescent="0.25">
      <c r="A11975" t="str">
        <f t="shared" si="2142"/>
        <v>89301000</v>
      </c>
      <c r="B11975" t="str">
        <f t="shared" si="2143"/>
        <v>89895000</v>
      </c>
      <c r="C11975" t="str">
        <f t="shared" si="2144"/>
        <v>89895002</v>
      </c>
      <c r="D11975">
        <v>89301212</v>
      </c>
      <c r="E11975" t="str">
        <f>"425214491"</f>
        <v>425214491</v>
      </c>
      <c r="F11975" s="1">
        <v>45174</v>
      </c>
      <c r="G11975" t="str">
        <f>"89514"</f>
        <v>89514</v>
      </c>
      <c r="H11975">
        <v>1</v>
      </c>
      <c r="I11975">
        <v>378</v>
      </c>
      <c r="J11975">
        <v>0</v>
      </c>
      <c r="K11975" t="str">
        <f t="shared" si="2145"/>
        <v>809</v>
      </c>
      <c r="L11975">
        <v>555.66</v>
      </c>
    </row>
    <row r="11976" spans="1:12" x14ac:dyDescent="0.25">
      <c r="A11976" t="str">
        <f t="shared" si="2142"/>
        <v>89301000</v>
      </c>
      <c r="B11976" t="str">
        <f t="shared" si="2143"/>
        <v>89895000</v>
      </c>
      <c r="C11976" t="str">
        <f t="shared" si="2144"/>
        <v>89895002</v>
      </c>
      <c r="D11976">
        <v>89301212</v>
      </c>
      <c r="E11976" t="str">
        <f>"475217407"</f>
        <v>475217407</v>
      </c>
      <c r="F11976" s="1">
        <v>45173</v>
      </c>
      <c r="G11976" t="str">
        <f>"89180"</f>
        <v>89180</v>
      </c>
      <c r="H11976">
        <v>2</v>
      </c>
      <c r="I11976">
        <v>762</v>
      </c>
      <c r="J11976">
        <v>0</v>
      </c>
      <c r="K11976" t="str">
        <f t="shared" si="2145"/>
        <v>809</v>
      </c>
      <c r="L11976">
        <v>1120.1400000000001</v>
      </c>
    </row>
    <row r="11977" spans="1:12" x14ac:dyDescent="0.25">
      <c r="A11977" t="str">
        <f t="shared" si="2142"/>
        <v>89301000</v>
      </c>
      <c r="B11977" t="str">
        <f t="shared" si="2143"/>
        <v>89895000</v>
      </c>
      <c r="C11977" t="str">
        <f t="shared" si="2144"/>
        <v>89895002</v>
      </c>
      <c r="D11977">
        <v>89301212</v>
      </c>
      <c r="E11977" t="str">
        <f>"475419412"</f>
        <v>475419412</v>
      </c>
      <c r="F11977" s="1">
        <v>45174</v>
      </c>
      <c r="G11977" t="str">
        <f>"89180"</f>
        <v>89180</v>
      </c>
      <c r="H11977">
        <v>2</v>
      </c>
      <c r="I11977">
        <v>762</v>
      </c>
      <c r="J11977">
        <v>0</v>
      </c>
      <c r="K11977" t="str">
        <f t="shared" si="2145"/>
        <v>809</v>
      </c>
      <c r="L11977">
        <v>1120.1400000000001</v>
      </c>
    </row>
    <row r="11978" spans="1:12" x14ac:dyDescent="0.25">
      <c r="A11978" t="str">
        <f t="shared" si="2142"/>
        <v>89301000</v>
      </c>
      <c r="B11978" t="str">
        <f t="shared" si="2143"/>
        <v>89895000</v>
      </c>
      <c r="C11978" t="str">
        <f t="shared" si="2144"/>
        <v>89895002</v>
      </c>
      <c r="D11978">
        <v>89301212</v>
      </c>
      <c r="E11978" t="str">
        <f>"485308405"</f>
        <v>485308405</v>
      </c>
      <c r="F11978" s="1">
        <v>45191</v>
      </c>
      <c r="G11978" t="str">
        <f>"89180"</f>
        <v>89180</v>
      </c>
      <c r="H11978">
        <v>2</v>
      </c>
      <c r="I11978">
        <v>762</v>
      </c>
      <c r="J11978">
        <v>0</v>
      </c>
      <c r="K11978" t="str">
        <f t="shared" si="2145"/>
        <v>809</v>
      </c>
      <c r="L11978">
        <v>1120.1400000000001</v>
      </c>
    </row>
    <row r="11979" spans="1:12" x14ac:dyDescent="0.25">
      <c r="A11979" t="str">
        <f t="shared" si="2142"/>
        <v>89301000</v>
      </c>
      <c r="B11979" t="str">
        <f t="shared" si="2143"/>
        <v>89895000</v>
      </c>
      <c r="C11979" t="str">
        <f t="shared" si="2144"/>
        <v>89895002</v>
      </c>
      <c r="D11979">
        <v>89301212</v>
      </c>
      <c r="E11979" t="str">
        <f>"535703124"</f>
        <v>535703124</v>
      </c>
      <c r="F11979" s="1">
        <v>45187</v>
      </c>
      <c r="G11979" t="str">
        <f>"89512"</f>
        <v>89512</v>
      </c>
      <c r="H11979">
        <v>1</v>
      </c>
      <c r="I11979">
        <v>283</v>
      </c>
      <c r="J11979">
        <v>0</v>
      </c>
      <c r="K11979" t="str">
        <f t="shared" si="2145"/>
        <v>809</v>
      </c>
      <c r="L11979">
        <v>416.01</v>
      </c>
    </row>
    <row r="11980" spans="1:12" x14ac:dyDescent="0.25">
      <c r="A11980" t="str">
        <f t="shared" si="2142"/>
        <v>89301000</v>
      </c>
      <c r="B11980" t="str">
        <f t="shared" si="2143"/>
        <v>89895000</v>
      </c>
      <c r="C11980" t="str">
        <f t="shared" si="2144"/>
        <v>89895002</v>
      </c>
      <c r="D11980">
        <v>89301212</v>
      </c>
      <c r="E11980" t="str">
        <f>"5762211851"</f>
        <v>5762211851</v>
      </c>
      <c r="F11980" s="1">
        <v>45184</v>
      </c>
      <c r="G11980" t="str">
        <f>"89180"</f>
        <v>89180</v>
      </c>
      <c r="H11980">
        <v>2</v>
      </c>
      <c r="I11980">
        <v>762</v>
      </c>
      <c r="J11980">
        <v>0</v>
      </c>
      <c r="K11980" t="str">
        <f t="shared" si="2145"/>
        <v>809</v>
      </c>
      <c r="L11980">
        <v>1120.1400000000001</v>
      </c>
    </row>
    <row r="11981" spans="1:12" x14ac:dyDescent="0.25">
      <c r="A11981" t="str">
        <f t="shared" si="2142"/>
        <v>89301000</v>
      </c>
      <c r="B11981" t="str">
        <f t="shared" si="2143"/>
        <v>89895000</v>
      </c>
      <c r="C11981" t="str">
        <f t="shared" si="2144"/>
        <v>89895002</v>
      </c>
      <c r="D11981">
        <v>89301212</v>
      </c>
      <c r="E11981" t="str">
        <f>"5762211851"</f>
        <v>5762211851</v>
      </c>
      <c r="F11981" s="1">
        <v>45184</v>
      </c>
      <c r="G11981" t="str">
        <f>"89513"</f>
        <v>89513</v>
      </c>
      <c r="H11981">
        <v>1</v>
      </c>
      <c r="I11981">
        <v>378</v>
      </c>
      <c r="J11981">
        <v>0</v>
      </c>
      <c r="K11981" t="str">
        <f t="shared" si="2145"/>
        <v>809</v>
      </c>
      <c r="L11981">
        <v>555.66</v>
      </c>
    </row>
    <row r="11982" spans="1:12" x14ac:dyDescent="0.25">
      <c r="A11982" t="str">
        <f t="shared" si="2142"/>
        <v>89301000</v>
      </c>
      <c r="B11982" t="str">
        <f t="shared" si="2143"/>
        <v>89895000</v>
      </c>
      <c r="C11982" t="str">
        <f t="shared" si="2144"/>
        <v>89895002</v>
      </c>
      <c r="D11982">
        <v>89301212</v>
      </c>
      <c r="E11982" t="str">
        <f>"5762211851"</f>
        <v>5762211851</v>
      </c>
      <c r="F11982" s="1">
        <v>45184</v>
      </c>
      <c r="G11982" t="str">
        <f>"89514"</f>
        <v>89514</v>
      </c>
      <c r="H11982">
        <v>1</v>
      </c>
      <c r="I11982">
        <v>378</v>
      </c>
      <c r="J11982">
        <v>0</v>
      </c>
      <c r="K11982" t="str">
        <f t="shared" si="2145"/>
        <v>809</v>
      </c>
      <c r="L11982">
        <v>555.66</v>
      </c>
    </row>
    <row r="11983" spans="1:12" x14ac:dyDescent="0.25">
      <c r="A11983" t="str">
        <f t="shared" si="2142"/>
        <v>89301000</v>
      </c>
      <c r="B11983" t="str">
        <f t="shared" si="2143"/>
        <v>89895000</v>
      </c>
      <c r="C11983" t="str">
        <f t="shared" si="2144"/>
        <v>89895002</v>
      </c>
      <c r="D11983">
        <v>89301212</v>
      </c>
      <c r="E11983" t="str">
        <f>"5762211851"</f>
        <v>5762211851</v>
      </c>
      <c r="F11983" s="1">
        <v>45184</v>
      </c>
      <c r="G11983" t="str">
        <f>"09511"</f>
        <v>09511</v>
      </c>
      <c r="H11983">
        <v>1</v>
      </c>
      <c r="I11983">
        <v>45</v>
      </c>
      <c r="J11983">
        <v>0</v>
      </c>
      <c r="K11983" t="str">
        <f t="shared" si="2145"/>
        <v>809</v>
      </c>
      <c r="L11983">
        <v>66.150000000000006</v>
      </c>
    </row>
    <row r="11984" spans="1:12" x14ac:dyDescent="0.25">
      <c r="A11984" t="str">
        <f t="shared" si="2142"/>
        <v>89301000</v>
      </c>
      <c r="B11984" t="str">
        <f t="shared" si="2143"/>
        <v>89895000</v>
      </c>
      <c r="C11984" t="str">
        <f t="shared" si="2144"/>
        <v>89895002</v>
      </c>
      <c r="D11984">
        <v>89301212</v>
      </c>
      <c r="E11984" t="str">
        <f t="shared" ref="E11984:E11989" si="2146">"5852192104"</f>
        <v>5852192104</v>
      </c>
      <c r="F11984" s="1">
        <v>45174</v>
      </c>
      <c r="G11984" t="str">
        <f>"09233"</f>
        <v>09233</v>
      </c>
      <c r="H11984">
        <v>1</v>
      </c>
      <c r="I11984">
        <v>102</v>
      </c>
      <c r="J11984">
        <v>0</v>
      </c>
      <c r="K11984" t="str">
        <f t="shared" si="2145"/>
        <v>809</v>
      </c>
      <c r="L11984">
        <v>149.94</v>
      </c>
    </row>
    <row r="11985" spans="1:12" x14ac:dyDescent="0.25">
      <c r="A11985" t="str">
        <f t="shared" si="2142"/>
        <v>89301000</v>
      </c>
      <c r="B11985" t="str">
        <f t="shared" si="2143"/>
        <v>89895000</v>
      </c>
      <c r="C11985" t="str">
        <f t="shared" si="2144"/>
        <v>89895002</v>
      </c>
      <c r="D11985">
        <v>89301212</v>
      </c>
      <c r="E11985" t="str">
        <f t="shared" si="2146"/>
        <v>5852192104</v>
      </c>
      <c r="F11985" s="1">
        <v>45174</v>
      </c>
      <c r="G11985" t="str">
        <f>"89180"</f>
        <v>89180</v>
      </c>
      <c r="H11985">
        <v>1</v>
      </c>
      <c r="I11985">
        <v>381</v>
      </c>
      <c r="J11985">
        <v>0</v>
      </c>
      <c r="K11985" t="str">
        <f t="shared" si="2145"/>
        <v>809</v>
      </c>
      <c r="L11985">
        <v>560.07000000000005</v>
      </c>
    </row>
    <row r="11986" spans="1:12" x14ac:dyDescent="0.25">
      <c r="A11986" t="str">
        <f t="shared" si="2142"/>
        <v>89301000</v>
      </c>
      <c r="B11986" t="str">
        <f t="shared" si="2143"/>
        <v>89895000</v>
      </c>
      <c r="C11986" t="str">
        <f t="shared" si="2144"/>
        <v>89895002</v>
      </c>
      <c r="D11986">
        <v>89301212</v>
      </c>
      <c r="E11986" t="str">
        <f t="shared" si="2146"/>
        <v>5852192104</v>
      </c>
      <c r="F11986" s="1">
        <v>45174</v>
      </c>
      <c r="G11986" t="str">
        <f>"89335"</f>
        <v>89335</v>
      </c>
      <c r="H11986">
        <v>1</v>
      </c>
      <c r="I11986">
        <v>185</v>
      </c>
      <c r="J11986">
        <v>0</v>
      </c>
      <c r="K11986" t="str">
        <f t="shared" si="2145"/>
        <v>809</v>
      </c>
      <c r="L11986">
        <v>271.95</v>
      </c>
    </row>
    <row r="11987" spans="1:12" x14ac:dyDescent="0.25">
      <c r="A11987" t="str">
        <f t="shared" si="2142"/>
        <v>89301000</v>
      </c>
      <c r="B11987" t="str">
        <f t="shared" si="2143"/>
        <v>89895000</v>
      </c>
      <c r="C11987" t="str">
        <f t="shared" si="2144"/>
        <v>89895002</v>
      </c>
      <c r="D11987">
        <v>89301212</v>
      </c>
      <c r="E11987" t="str">
        <f t="shared" si="2146"/>
        <v>5852192104</v>
      </c>
      <c r="F11987" s="1">
        <v>45174</v>
      </c>
      <c r="G11987" t="str">
        <f>"89512"</f>
        <v>89512</v>
      </c>
      <c r="H11987">
        <v>1</v>
      </c>
      <c r="I11987">
        <v>283</v>
      </c>
      <c r="J11987">
        <v>0</v>
      </c>
      <c r="K11987" t="str">
        <f t="shared" si="2145"/>
        <v>809</v>
      </c>
      <c r="L11987">
        <v>416.01</v>
      </c>
    </row>
    <row r="11988" spans="1:12" x14ac:dyDescent="0.25">
      <c r="A11988" t="str">
        <f t="shared" si="2142"/>
        <v>89301000</v>
      </c>
      <c r="B11988" t="str">
        <f t="shared" si="2143"/>
        <v>89895000</v>
      </c>
      <c r="C11988" t="str">
        <f t="shared" si="2144"/>
        <v>89895002</v>
      </c>
      <c r="D11988">
        <v>89301212</v>
      </c>
      <c r="E11988" t="str">
        <f t="shared" si="2146"/>
        <v>5852192104</v>
      </c>
      <c r="F11988" s="1">
        <v>45174</v>
      </c>
      <c r="G11988" t="str">
        <f>"0142906"</f>
        <v>0142906</v>
      </c>
      <c r="H11988">
        <v>1</v>
      </c>
      <c r="J11988">
        <v>6990</v>
      </c>
      <c r="K11988" t="str">
        <f t="shared" si="2145"/>
        <v>809</v>
      </c>
      <c r="L11988">
        <v>6990</v>
      </c>
    </row>
    <row r="11989" spans="1:12" x14ac:dyDescent="0.25">
      <c r="A11989" t="str">
        <f t="shared" si="2142"/>
        <v>89301000</v>
      </c>
      <c r="B11989" t="str">
        <f t="shared" si="2143"/>
        <v>89895000</v>
      </c>
      <c r="C11989" t="str">
        <f t="shared" si="2144"/>
        <v>89895002</v>
      </c>
      <c r="D11989">
        <v>89301212</v>
      </c>
      <c r="E11989" t="str">
        <f t="shared" si="2146"/>
        <v>5852192104</v>
      </c>
      <c r="F11989" s="1">
        <v>45174</v>
      </c>
      <c r="G11989" t="str">
        <f>"0093109"</f>
        <v>0093109</v>
      </c>
      <c r="H11989">
        <v>0.1</v>
      </c>
      <c r="J11989">
        <v>26.08</v>
      </c>
      <c r="K11989" t="str">
        <f t="shared" si="2145"/>
        <v>809</v>
      </c>
      <c r="L11989">
        <v>26.08</v>
      </c>
    </row>
    <row r="11990" spans="1:12" x14ac:dyDescent="0.25">
      <c r="A11990" t="str">
        <f t="shared" si="2142"/>
        <v>89301000</v>
      </c>
      <c r="B11990" t="str">
        <f t="shared" si="2143"/>
        <v>89895000</v>
      </c>
      <c r="C11990" t="str">
        <f t="shared" si="2144"/>
        <v>89895002</v>
      </c>
      <c r="D11990">
        <v>89301212</v>
      </c>
      <c r="E11990" t="str">
        <f>"6257230485"</f>
        <v>6257230485</v>
      </c>
      <c r="F11990" s="1">
        <v>45180</v>
      </c>
      <c r="G11990" t="str">
        <f>"89514"</f>
        <v>89514</v>
      </c>
      <c r="H11990">
        <v>1</v>
      </c>
      <c r="I11990">
        <v>378</v>
      </c>
      <c r="J11990">
        <v>0</v>
      </c>
      <c r="K11990" t="str">
        <f t="shared" si="2145"/>
        <v>809</v>
      </c>
      <c r="L11990">
        <v>555.66</v>
      </c>
    </row>
    <row r="11991" spans="1:12" x14ac:dyDescent="0.25">
      <c r="A11991" t="str">
        <f t="shared" si="2142"/>
        <v>89301000</v>
      </c>
      <c r="B11991" t="str">
        <f t="shared" si="2143"/>
        <v>89895000</v>
      </c>
      <c r="C11991" t="str">
        <f t="shared" si="2144"/>
        <v>89895002</v>
      </c>
      <c r="D11991">
        <v>89301212</v>
      </c>
      <c r="E11991" t="str">
        <f>"6257230485"</f>
        <v>6257230485</v>
      </c>
      <c r="F11991" s="1">
        <v>45180</v>
      </c>
      <c r="G11991" t="str">
        <f>"89513"</f>
        <v>89513</v>
      </c>
      <c r="H11991">
        <v>1</v>
      </c>
      <c r="I11991">
        <v>378</v>
      </c>
      <c r="J11991">
        <v>0</v>
      </c>
      <c r="K11991" t="str">
        <f t="shared" si="2145"/>
        <v>809</v>
      </c>
      <c r="L11991">
        <v>555.66</v>
      </c>
    </row>
    <row r="11992" spans="1:12" x14ac:dyDescent="0.25">
      <c r="A11992" t="str">
        <f t="shared" si="2142"/>
        <v>89301000</v>
      </c>
      <c r="B11992" t="str">
        <f t="shared" si="2143"/>
        <v>89895000</v>
      </c>
      <c r="C11992" t="str">
        <f t="shared" si="2144"/>
        <v>89895002</v>
      </c>
      <c r="D11992">
        <v>89301212</v>
      </c>
      <c r="E11992" t="str">
        <f>"6460271763"</f>
        <v>6460271763</v>
      </c>
      <c r="F11992" s="1">
        <v>45175</v>
      </c>
      <c r="G11992" t="str">
        <f>"89180"</f>
        <v>89180</v>
      </c>
      <c r="H11992">
        <v>2</v>
      </c>
      <c r="I11992">
        <v>762</v>
      </c>
      <c r="J11992">
        <v>0</v>
      </c>
      <c r="K11992" t="str">
        <f t="shared" si="2145"/>
        <v>809</v>
      </c>
      <c r="L11992">
        <v>1120.1400000000001</v>
      </c>
    </row>
    <row r="11993" spans="1:12" x14ac:dyDescent="0.25">
      <c r="A11993" t="str">
        <f t="shared" si="2142"/>
        <v>89301000</v>
      </c>
      <c r="B11993" t="str">
        <f t="shared" si="2143"/>
        <v>89895000</v>
      </c>
      <c r="C11993" t="str">
        <f t="shared" si="2144"/>
        <v>89895002</v>
      </c>
      <c r="D11993">
        <v>89301212</v>
      </c>
      <c r="E11993" t="str">
        <f>"6460271763"</f>
        <v>6460271763</v>
      </c>
      <c r="F11993" s="1">
        <v>45175</v>
      </c>
      <c r="G11993" t="str">
        <f>"89513"</f>
        <v>89513</v>
      </c>
      <c r="H11993">
        <v>1</v>
      </c>
      <c r="I11993">
        <v>378</v>
      </c>
      <c r="J11993">
        <v>0</v>
      </c>
      <c r="K11993" t="str">
        <f t="shared" si="2145"/>
        <v>809</v>
      </c>
      <c r="L11993">
        <v>555.66</v>
      </c>
    </row>
    <row r="11994" spans="1:12" x14ac:dyDescent="0.25">
      <c r="A11994" t="str">
        <f t="shared" si="2142"/>
        <v>89301000</v>
      </c>
      <c r="B11994" t="str">
        <f t="shared" si="2143"/>
        <v>89895000</v>
      </c>
      <c r="C11994" t="str">
        <f t="shared" si="2144"/>
        <v>89895002</v>
      </c>
      <c r="D11994">
        <v>89301212</v>
      </c>
      <c r="E11994" t="str">
        <f>"6460271763"</f>
        <v>6460271763</v>
      </c>
      <c r="F11994" s="1">
        <v>45175</v>
      </c>
      <c r="G11994" t="str">
        <f>"89514"</f>
        <v>89514</v>
      </c>
      <c r="H11994">
        <v>1</v>
      </c>
      <c r="I11994">
        <v>378</v>
      </c>
      <c r="J11994">
        <v>0</v>
      </c>
      <c r="K11994" t="str">
        <f t="shared" si="2145"/>
        <v>809</v>
      </c>
      <c r="L11994">
        <v>555.66</v>
      </c>
    </row>
    <row r="11995" spans="1:12" x14ac:dyDescent="0.25">
      <c r="A11995" t="str">
        <f t="shared" si="2142"/>
        <v>89301000</v>
      </c>
      <c r="B11995" t="str">
        <f t="shared" si="2143"/>
        <v>89895000</v>
      </c>
      <c r="C11995" t="str">
        <f t="shared" si="2144"/>
        <v>89895002</v>
      </c>
      <c r="D11995">
        <v>89301212</v>
      </c>
      <c r="E11995" t="str">
        <f t="shared" ref="E11995:E12001" si="2147">"6557101265"</f>
        <v>6557101265</v>
      </c>
      <c r="F11995" s="1">
        <v>45187</v>
      </c>
      <c r="G11995" t="str">
        <f>"89313"</f>
        <v>89313</v>
      </c>
      <c r="H11995">
        <v>1</v>
      </c>
      <c r="I11995">
        <v>420</v>
      </c>
      <c r="J11995">
        <v>0</v>
      </c>
      <c r="K11995" t="str">
        <f t="shared" si="2145"/>
        <v>809</v>
      </c>
      <c r="L11995">
        <v>617.4</v>
      </c>
    </row>
    <row r="11996" spans="1:12" x14ac:dyDescent="0.25">
      <c r="A11996" t="str">
        <f t="shared" si="2142"/>
        <v>89301000</v>
      </c>
      <c r="B11996" t="str">
        <f t="shared" si="2143"/>
        <v>89895000</v>
      </c>
      <c r="C11996" t="str">
        <f t="shared" si="2144"/>
        <v>89895002</v>
      </c>
      <c r="D11996">
        <v>89301212</v>
      </c>
      <c r="E11996" t="str">
        <f t="shared" si="2147"/>
        <v>6557101265</v>
      </c>
      <c r="F11996" s="1">
        <v>45187</v>
      </c>
      <c r="G11996" t="str">
        <f>"89512"</f>
        <v>89512</v>
      </c>
      <c r="H11996">
        <v>1</v>
      </c>
      <c r="I11996">
        <v>283</v>
      </c>
      <c r="J11996">
        <v>0</v>
      </c>
      <c r="K11996" t="str">
        <f t="shared" si="2145"/>
        <v>809</v>
      </c>
      <c r="L11996">
        <v>416.01</v>
      </c>
    </row>
    <row r="11997" spans="1:12" x14ac:dyDescent="0.25">
      <c r="A11997" t="str">
        <f t="shared" si="2142"/>
        <v>89301000</v>
      </c>
      <c r="B11997" t="str">
        <f t="shared" si="2143"/>
        <v>89895000</v>
      </c>
      <c r="C11997" t="str">
        <f t="shared" si="2144"/>
        <v>89895002</v>
      </c>
      <c r="D11997">
        <v>89301212</v>
      </c>
      <c r="E11997" t="str">
        <f t="shared" si="2147"/>
        <v>6557101265</v>
      </c>
      <c r="F11997" s="1">
        <v>45187</v>
      </c>
      <c r="G11997" t="str">
        <f>"0000502"</f>
        <v>0000502</v>
      </c>
      <c r="H11997">
        <v>0.1</v>
      </c>
      <c r="J11997">
        <v>6.97</v>
      </c>
      <c r="K11997" t="str">
        <f t="shared" si="2145"/>
        <v>809</v>
      </c>
      <c r="L11997">
        <v>6.97</v>
      </c>
    </row>
    <row r="11998" spans="1:12" x14ac:dyDescent="0.25">
      <c r="A11998" t="str">
        <f t="shared" si="2142"/>
        <v>89301000</v>
      </c>
      <c r="B11998" t="str">
        <f t="shared" si="2143"/>
        <v>89895000</v>
      </c>
      <c r="C11998" t="str">
        <f t="shared" si="2144"/>
        <v>89895002</v>
      </c>
      <c r="D11998">
        <v>89301212</v>
      </c>
      <c r="E11998" t="str">
        <f t="shared" si="2147"/>
        <v>6557101265</v>
      </c>
      <c r="F11998" s="1">
        <v>45187</v>
      </c>
      <c r="G11998" t="str">
        <f>"0082409"</f>
        <v>0082409</v>
      </c>
      <c r="H11998">
        <v>1</v>
      </c>
      <c r="J11998">
        <v>702</v>
      </c>
      <c r="K11998" t="str">
        <f t="shared" si="2145"/>
        <v>809</v>
      </c>
      <c r="L11998">
        <v>702</v>
      </c>
    </row>
    <row r="11999" spans="1:12" x14ac:dyDescent="0.25">
      <c r="A11999" t="str">
        <f t="shared" si="2142"/>
        <v>89301000</v>
      </c>
      <c r="B11999" t="str">
        <f t="shared" si="2143"/>
        <v>89895000</v>
      </c>
      <c r="C11999" t="str">
        <f t="shared" si="2144"/>
        <v>89895002</v>
      </c>
      <c r="D11999">
        <v>89301212</v>
      </c>
      <c r="E11999" t="str">
        <f t="shared" si="2147"/>
        <v>6557101265</v>
      </c>
      <c r="F11999" s="1">
        <v>45198</v>
      </c>
      <c r="G11999" t="str">
        <f>"89513"</f>
        <v>89513</v>
      </c>
      <c r="H11999">
        <v>1</v>
      </c>
      <c r="I11999">
        <v>378</v>
      </c>
      <c r="J11999">
        <v>0</v>
      </c>
      <c r="K11999" t="str">
        <f t="shared" si="2145"/>
        <v>809</v>
      </c>
      <c r="L11999">
        <v>555.66</v>
      </c>
    </row>
    <row r="12000" spans="1:12" x14ac:dyDescent="0.25">
      <c r="A12000" t="str">
        <f t="shared" si="2142"/>
        <v>89301000</v>
      </c>
      <c r="B12000" t="str">
        <f t="shared" si="2143"/>
        <v>89895000</v>
      </c>
      <c r="C12000" t="str">
        <f t="shared" si="2144"/>
        <v>89895002</v>
      </c>
      <c r="D12000">
        <v>89301212</v>
      </c>
      <c r="E12000" t="str">
        <f t="shared" si="2147"/>
        <v>6557101265</v>
      </c>
      <c r="F12000" s="1">
        <v>45198</v>
      </c>
      <c r="G12000" t="str">
        <f>"89514"</f>
        <v>89514</v>
      </c>
      <c r="H12000">
        <v>1</v>
      </c>
      <c r="I12000">
        <v>378</v>
      </c>
      <c r="J12000">
        <v>0</v>
      </c>
      <c r="K12000" t="str">
        <f t="shared" si="2145"/>
        <v>809</v>
      </c>
      <c r="L12000">
        <v>555.66</v>
      </c>
    </row>
    <row r="12001" spans="1:12" x14ac:dyDescent="0.25">
      <c r="A12001" t="str">
        <f t="shared" si="2142"/>
        <v>89301000</v>
      </c>
      <c r="B12001" t="str">
        <f t="shared" si="2143"/>
        <v>89895000</v>
      </c>
      <c r="C12001" t="str">
        <f t="shared" si="2144"/>
        <v>89895002</v>
      </c>
      <c r="D12001">
        <v>89301212</v>
      </c>
      <c r="E12001" t="str">
        <f t="shared" si="2147"/>
        <v>6557101265</v>
      </c>
      <c r="F12001" s="1">
        <v>45198</v>
      </c>
      <c r="G12001" t="str">
        <f>"09511"</f>
        <v>09511</v>
      </c>
      <c r="H12001">
        <v>1</v>
      </c>
      <c r="I12001">
        <v>45</v>
      </c>
      <c r="J12001">
        <v>0</v>
      </c>
      <c r="K12001" t="str">
        <f t="shared" si="2145"/>
        <v>809</v>
      </c>
      <c r="L12001">
        <v>66.150000000000006</v>
      </c>
    </row>
    <row r="12002" spans="1:12" x14ac:dyDescent="0.25">
      <c r="A12002" t="str">
        <f t="shared" si="2142"/>
        <v>89301000</v>
      </c>
      <c r="B12002" t="str">
        <f t="shared" si="2143"/>
        <v>89895000</v>
      </c>
      <c r="C12002" t="str">
        <f t="shared" si="2144"/>
        <v>89895002</v>
      </c>
      <c r="D12002">
        <v>89301212</v>
      </c>
      <c r="E12002" t="str">
        <f>"7155225341"</f>
        <v>7155225341</v>
      </c>
      <c r="F12002" s="1">
        <v>45180</v>
      </c>
      <c r="G12002" t="str">
        <f>"89180"</f>
        <v>89180</v>
      </c>
      <c r="H12002">
        <v>2</v>
      </c>
      <c r="I12002">
        <v>762</v>
      </c>
      <c r="J12002">
        <v>0</v>
      </c>
      <c r="K12002" t="str">
        <f t="shared" si="2145"/>
        <v>809</v>
      </c>
      <c r="L12002">
        <v>1120.1400000000001</v>
      </c>
    </row>
    <row r="12003" spans="1:12" x14ac:dyDescent="0.25">
      <c r="A12003" t="str">
        <f t="shared" si="2142"/>
        <v>89301000</v>
      </c>
      <c r="B12003" t="str">
        <f t="shared" si="2143"/>
        <v>89895000</v>
      </c>
      <c r="C12003" t="str">
        <f t="shared" si="2144"/>
        <v>89895002</v>
      </c>
      <c r="D12003">
        <v>89301212</v>
      </c>
      <c r="E12003" t="str">
        <f>"7155225341"</f>
        <v>7155225341</v>
      </c>
      <c r="F12003" s="1">
        <v>45180</v>
      </c>
      <c r="G12003" t="str">
        <f>"89512"</f>
        <v>89512</v>
      </c>
      <c r="H12003">
        <v>1</v>
      </c>
      <c r="I12003">
        <v>283</v>
      </c>
      <c r="J12003">
        <v>0</v>
      </c>
      <c r="K12003" t="str">
        <f t="shared" si="2145"/>
        <v>809</v>
      </c>
      <c r="L12003">
        <v>416.01</v>
      </c>
    </row>
    <row r="12004" spans="1:12" x14ac:dyDescent="0.25">
      <c r="A12004" t="str">
        <f t="shared" si="2142"/>
        <v>89301000</v>
      </c>
      <c r="B12004" t="str">
        <f t="shared" si="2143"/>
        <v>89895000</v>
      </c>
      <c r="C12004" t="str">
        <f t="shared" si="2144"/>
        <v>89895002</v>
      </c>
      <c r="D12004">
        <v>89301212</v>
      </c>
      <c r="E12004" t="str">
        <f>"7353295312"</f>
        <v>7353295312</v>
      </c>
      <c r="F12004" s="1">
        <v>45188</v>
      </c>
      <c r="G12004" t="str">
        <f>"89180"</f>
        <v>89180</v>
      </c>
      <c r="H12004">
        <v>2</v>
      </c>
      <c r="I12004">
        <v>762</v>
      </c>
      <c r="J12004">
        <v>0</v>
      </c>
      <c r="K12004" t="str">
        <f t="shared" si="2145"/>
        <v>809</v>
      </c>
      <c r="L12004">
        <v>1120.1400000000001</v>
      </c>
    </row>
    <row r="12005" spans="1:12" x14ac:dyDescent="0.25">
      <c r="A12005" t="str">
        <f t="shared" si="2142"/>
        <v>89301000</v>
      </c>
      <c r="B12005" t="str">
        <f t="shared" si="2143"/>
        <v>89895000</v>
      </c>
      <c r="C12005" t="str">
        <f t="shared" si="2144"/>
        <v>89895002</v>
      </c>
      <c r="D12005">
        <v>89301212</v>
      </c>
      <c r="E12005" t="str">
        <f>"7353295312"</f>
        <v>7353295312</v>
      </c>
      <c r="F12005" s="1">
        <v>45188</v>
      </c>
      <c r="G12005" t="str">
        <f>"89514"</f>
        <v>89514</v>
      </c>
      <c r="H12005">
        <v>1</v>
      </c>
      <c r="I12005">
        <v>378</v>
      </c>
      <c r="J12005">
        <v>0</v>
      </c>
      <c r="K12005" t="str">
        <f t="shared" si="2145"/>
        <v>809</v>
      </c>
      <c r="L12005">
        <v>555.66</v>
      </c>
    </row>
    <row r="12006" spans="1:12" x14ac:dyDescent="0.25">
      <c r="A12006" t="str">
        <f t="shared" si="2142"/>
        <v>89301000</v>
      </c>
      <c r="B12006" t="str">
        <f t="shared" si="2143"/>
        <v>89895000</v>
      </c>
      <c r="C12006" t="str">
        <f t="shared" si="2144"/>
        <v>89895002</v>
      </c>
      <c r="D12006">
        <v>89301212</v>
      </c>
      <c r="E12006" t="str">
        <f>"7353295312"</f>
        <v>7353295312</v>
      </c>
      <c r="F12006" s="1">
        <v>45188</v>
      </c>
      <c r="G12006" t="str">
        <f>"89513"</f>
        <v>89513</v>
      </c>
      <c r="H12006">
        <v>1</v>
      </c>
      <c r="I12006">
        <v>378</v>
      </c>
      <c r="J12006">
        <v>0</v>
      </c>
      <c r="K12006" t="str">
        <f t="shared" si="2145"/>
        <v>809</v>
      </c>
      <c r="L12006">
        <v>555.66</v>
      </c>
    </row>
    <row r="12007" spans="1:12" x14ac:dyDescent="0.25">
      <c r="A12007" t="str">
        <f t="shared" si="2142"/>
        <v>89301000</v>
      </c>
      <c r="B12007" t="str">
        <f t="shared" si="2143"/>
        <v>89895000</v>
      </c>
      <c r="C12007" t="str">
        <f t="shared" si="2144"/>
        <v>89895002</v>
      </c>
      <c r="D12007">
        <v>89301212</v>
      </c>
      <c r="E12007" t="str">
        <f>"7353295312"</f>
        <v>7353295312</v>
      </c>
      <c r="F12007" s="1">
        <v>45188</v>
      </c>
      <c r="G12007" t="str">
        <f>"89512"</f>
        <v>89512</v>
      </c>
      <c r="H12007">
        <v>1</v>
      </c>
      <c r="I12007">
        <v>283</v>
      </c>
      <c r="J12007">
        <v>0</v>
      </c>
      <c r="K12007" t="str">
        <f t="shared" si="2145"/>
        <v>809</v>
      </c>
      <c r="L12007">
        <v>416.01</v>
      </c>
    </row>
    <row r="12008" spans="1:12" x14ac:dyDescent="0.25">
      <c r="A12008" t="str">
        <f t="shared" si="2142"/>
        <v>89301000</v>
      </c>
      <c r="B12008" t="str">
        <f t="shared" si="2143"/>
        <v>89895000</v>
      </c>
      <c r="C12008" t="str">
        <f t="shared" si="2144"/>
        <v>89895002</v>
      </c>
      <c r="D12008">
        <v>89301212</v>
      </c>
      <c r="E12008" t="str">
        <f>"7852275332"</f>
        <v>7852275332</v>
      </c>
      <c r="F12008" s="1">
        <v>45170</v>
      </c>
      <c r="G12008" t="str">
        <f>"89513"</f>
        <v>89513</v>
      </c>
      <c r="H12008">
        <v>1</v>
      </c>
      <c r="I12008">
        <v>378</v>
      </c>
      <c r="J12008">
        <v>0</v>
      </c>
      <c r="K12008" t="str">
        <f t="shared" si="2145"/>
        <v>809</v>
      </c>
      <c r="L12008">
        <v>555.66</v>
      </c>
    </row>
    <row r="12009" spans="1:12" x14ac:dyDescent="0.25">
      <c r="A12009" t="str">
        <f t="shared" si="2142"/>
        <v>89301000</v>
      </c>
      <c r="B12009" t="str">
        <f t="shared" si="2143"/>
        <v>89895000</v>
      </c>
      <c r="C12009" t="str">
        <f t="shared" si="2144"/>
        <v>89895002</v>
      </c>
      <c r="D12009">
        <v>89301212</v>
      </c>
      <c r="E12009" t="str">
        <f>"7852275332"</f>
        <v>7852275332</v>
      </c>
      <c r="F12009" s="1">
        <v>45170</v>
      </c>
      <c r="G12009" t="str">
        <f>"89514"</f>
        <v>89514</v>
      </c>
      <c r="H12009">
        <v>1</v>
      </c>
      <c r="I12009">
        <v>378</v>
      </c>
      <c r="J12009">
        <v>0</v>
      </c>
      <c r="K12009" t="str">
        <f t="shared" si="2145"/>
        <v>809</v>
      </c>
      <c r="L12009">
        <v>555.66</v>
      </c>
    </row>
    <row r="12010" spans="1:12" x14ac:dyDescent="0.25">
      <c r="A12010" t="str">
        <f t="shared" si="2142"/>
        <v>89301000</v>
      </c>
      <c r="B12010" t="str">
        <f t="shared" si="2143"/>
        <v>89895000</v>
      </c>
      <c r="C12010" t="str">
        <f t="shared" si="2144"/>
        <v>89895002</v>
      </c>
      <c r="D12010">
        <v>89301212</v>
      </c>
      <c r="E12010" t="str">
        <f>"8353305334"</f>
        <v>8353305334</v>
      </c>
      <c r="F12010" s="1">
        <v>45190</v>
      </c>
      <c r="G12010" t="str">
        <f>"89180"</f>
        <v>89180</v>
      </c>
      <c r="H12010">
        <v>2</v>
      </c>
      <c r="I12010">
        <v>762</v>
      </c>
      <c r="J12010">
        <v>0</v>
      </c>
      <c r="K12010" t="str">
        <f t="shared" si="2145"/>
        <v>809</v>
      </c>
      <c r="L12010">
        <v>1120.1400000000001</v>
      </c>
    </row>
    <row r="12011" spans="1:12" x14ac:dyDescent="0.25">
      <c r="A12011" t="str">
        <f t="shared" si="2142"/>
        <v>89301000</v>
      </c>
      <c r="B12011" t="str">
        <f t="shared" si="2143"/>
        <v>89895000</v>
      </c>
      <c r="C12011" t="str">
        <f t="shared" si="2144"/>
        <v>89895002</v>
      </c>
      <c r="D12011">
        <v>89301212</v>
      </c>
      <c r="E12011" t="str">
        <f>"8353305334"</f>
        <v>8353305334</v>
      </c>
      <c r="F12011" s="1">
        <v>45190</v>
      </c>
      <c r="G12011" t="str">
        <f>"89514"</f>
        <v>89514</v>
      </c>
      <c r="H12011">
        <v>1</v>
      </c>
      <c r="I12011">
        <v>378</v>
      </c>
      <c r="J12011">
        <v>0</v>
      </c>
      <c r="K12011" t="str">
        <f t="shared" si="2145"/>
        <v>809</v>
      </c>
      <c r="L12011">
        <v>555.66</v>
      </c>
    </row>
    <row r="12012" spans="1:12" x14ac:dyDescent="0.25">
      <c r="A12012" t="str">
        <f t="shared" si="2142"/>
        <v>89301000</v>
      </c>
      <c r="B12012" t="str">
        <f t="shared" si="2143"/>
        <v>89895000</v>
      </c>
      <c r="C12012" t="str">
        <f t="shared" si="2144"/>
        <v>89895002</v>
      </c>
      <c r="D12012">
        <v>89301212</v>
      </c>
      <c r="E12012" t="str">
        <f>"8353305334"</f>
        <v>8353305334</v>
      </c>
      <c r="F12012" s="1">
        <v>45190</v>
      </c>
      <c r="G12012" t="str">
        <f>"89513"</f>
        <v>89513</v>
      </c>
      <c r="H12012">
        <v>1</v>
      </c>
      <c r="I12012">
        <v>378</v>
      </c>
      <c r="J12012">
        <v>0</v>
      </c>
      <c r="K12012" t="str">
        <f t="shared" si="2145"/>
        <v>809</v>
      </c>
      <c r="L12012">
        <v>555.66</v>
      </c>
    </row>
    <row r="12013" spans="1:12" x14ac:dyDescent="0.25">
      <c r="A12013" t="str">
        <f t="shared" si="2142"/>
        <v>89301000</v>
      </c>
      <c r="B12013" t="str">
        <f t="shared" si="2143"/>
        <v>89895000</v>
      </c>
      <c r="C12013" t="str">
        <f t="shared" si="2144"/>
        <v>89895002</v>
      </c>
      <c r="D12013">
        <v>89301212</v>
      </c>
      <c r="E12013" t="str">
        <f>"8353305334"</f>
        <v>8353305334</v>
      </c>
      <c r="F12013" s="1">
        <v>45190</v>
      </c>
      <c r="G12013" t="str">
        <f>"89512"</f>
        <v>89512</v>
      </c>
      <c r="H12013">
        <v>1</v>
      </c>
      <c r="I12013">
        <v>283</v>
      </c>
      <c r="J12013">
        <v>0</v>
      </c>
      <c r="K12013" t="str">
        <f t="shared" si="2145"/>
        <v>809</v>
      </c>
      <c r="L12013">
        <v>416.01</v>
      </c>
    </row>
    <row r="12014" spans="1:12" x14ac:dyDescent="0.25">
      <c r="A12014" t="str">
        <f t="shared" si="2142"/>
        <v>89301000</v>
      </c>
      <c r="B12014" t="str">
        <f t="shared" ref="B12014:B12044" si="2148">"91009000"</f>
        <v>91009000</v>
      </c>
      <c r="C12014" t="str">
        <f>"91009132"</f>
        <v>91009132</v>
      </c>
      <c r="D12014">
        <v>89301212</v>
      </c>
      <c r="E12014" t="str">
        <f>"8556125776"</f>
        <v>8556125776</v>
      </c>
      <c r="F12014" s="1">
        <v>45160</v>
      </c>
      <c r="G12014" t="str">
        <f>"99111"</f>
        <v>99111</v>
      </c>
      <c r="H12014">
        <v>1</v>
      </c>
      <c r="I12014">
        <v>213</v>
      </c>
      <c r="J12014">
        <v>0</v>
      </c>
      <c r="K12014" t="str">
        <f>"812"</f>
        <v>812</v>
      </c>
      <c r="L12014">
        <v>178.92</v>
      </c>
    </row>
    <row r="12015" spans="1:12" x14ac:dyDescent="0.25">
      <c r="A12015" t="str">
        <f t="shared" si="2142"/>
        <v>89301000</v>
      </c>
      <c r="B12015" t="str">
        <f t="shared" si="2148"/>
        <v>91009000</v>
      </c>
      <c r="C12015" t="str">
        <f t="shared" ref="C12015:C12024" si="2149">"91009581"</f>
        <v>91009581</v>
      </c>
      <c r="D12015">
        <v>89301167</v>
      </c>
      <c r="E12015" t="str">
        <f t="shared" ref="E12015:E12021" si="2150">"7506255636"</f>
        <v>7506255636</v>
      </c>
      <c r="F12015" s="1">
        <v>45195</v>
      </c>
      <c r="G12015" t="str">
        <f>"81337"</f>
        <v>81337</v>
      </c>
      <c r="H12015">
        <v>1</v>
      </c>
      <c r="I12015">
        <v>20</v>
      </c>
      <c r="J12015">
        <v>0</v>
      </c>
      <c r="K12015" t="str">
        <f t="shared" ref="K12015:K12024" si="2151">"801"</f>
        <v>801</v>
      </c>
      <c r="L12015">
        <v>16.8</v>
      </c>
    </row>
    <row r="12016" spans="1:12" x14ac:dyDescent="0.25">
      <c r="A12016" t="str">
        <f t="shared" si="2142"/>
        <v>89301000</v>
      </c>
      <c r="B12016" t="str">
        <f t="shared" si="2148"/>
        <v>91009000</v>
      </c>
      <c r="C12016" t="str">
        <f t="shared" si="2149"/>
        <v>91009581</v>
      </c>
      <c r="D12016">
        <v>89301167</v>
      </c>
      <c r="E12016" t="str">
        <f t="shared" si="2150"/>
        <v>7506255636</v>
      </c>
      <c r="F12016" s="1">
        <v>45195</v>
      </c>
      <c r="G12016" t="str">
        <f>"81357"</f>
        <v>81357</v>
      </c>
      <c r="H12016">
        <v>1</v>
      </c>
      <c r="I12016">
        <v>20</v>
      </c>
      <c r="J12016">
        <v>0</v>
      </c>
      <c r="K12016" t="str">
        <f t="shared" si="2151"/>
        <v>801</v>
      </c>
      <c r="L12016">
        <v>16.8</v>
      </c>
    </row>
    <row r="12017" spans="1:12" x14ac:dyDescent="0.25">
      <c r="A12017" t="str">
        <f t="shared" si="2142"/>
        <v>89301000</v>
      </c>
      <c r="B12017" t="str">
        <f t="shared" si="2148"/>
        <v>91009000</v>
      </c>
      <c r="C12017" t="str">
        <f t="shared" si="2149"/>
        <v>91009581</v>
      </c>
      <c r="D12017">
        <v>89301167</v>
      </c>
      <c r="E12017" t="str">
        <f t="shared" si="2150"/>
        <v>7506255636</v>
      </c>
      <c r="F12017" s="1">
        <v>45195</v>
      </c>
      <c r="G12017" t="str">
        <f>"81361"</f>
        <v>81361</v>
      </c>
      <c r="H12017">
        <v>1</v>
      </c>
      <c r="I12017">
        <v>17</v>
      </c>
      <c r="J12017">
        <v>0</v>
      </c>
      <c r="K12017" t="str">
        <f t="shared" si="2151"/>
        <v>801</v>
      </c>
      <c r="L12017">
        <v>14.28</v>
      </c>
    </row>
    <row r="12018" spans="1:12" x14ac:dyDescent="0.25">
      <c r="A12018" t="str">
        <f t="shared" si="2142"/>
        <v>89301000</v>
      </c>
      <c r="B12018" t="str">
        <f t="shared" si="2148"/>
        <v>91009000</v>
      </c>
      <c r="C12018" t="str">
        <f t="shared" si="2149"/>
        <v>91009581</v>
      </c>
      <c r="D12018">
        <v>89301167</v>
      </c>
      <c r="E12018" t="str">
        <f t="shared" si="2150"/>
        <v>7506255636</v>
      </c>
      <c r="F12018" s="1">
        <v>45195</v>
      </c>
      <c r="G12018" t="str">
        <f>"81435"</f>
        <v>81435</v>
      </c>
      <c r="H12018">
        <v>1</v>
      </c>
      <c r="I12018">
        <v>22</v>
      </c>
      <c r="J12018">
        <v>0</v>
      </c>
      <c r="K12018" t="str">
        <f t="shared" si="2151"/>
        <v>801</v>
      </c>
      <c r="L12018">
        <v>18.48</v>
      </c>
    </row>
    <row r="12019" spans="1:12" x14ac:dyDescent="0.25">
      <c r="A12019" t="str">
        <f t="shared" si="2142"/>
        <v>89301000</v>
      </c>
      <c r="B12019" t="str">
        <f t="shared" si="2148"/>
        <v>91009000</v>
      </c>
      <c r="C12019" t="str">
        <f t="shared" si="2149"/>
        <v>91009581</v>
      </c>
      <c r="D12019">
        <v>89301167</v>
      </c>
      <c r="E12019" t="str">
        <f t="shared" si="2150"/>
        <v>7506255636</v>
      </c>
      <c r="F12019" s="1">
        <v>45195</v>
      </c>
      <c r="G12019" t="str">
        <f>"81499"</f>
        <v>81499</v>
      </c>
      <c r="H12019">
        <v>1</v>
      </c>
      <c r="I12019">
        <v>18</v>
      </c>
      <c r="J12019">
        <v>0</v>
      </c>
      <c r="K12019" t="str">
        <f t="shared" si="2151"/>
        <v>801</v>
      </c>
      <c r="L12019">
        <v>15.12</v>
      </c>
    </row>
    <row r="12020" spans="1:12" x14ac:dyDescent="0.25">
      <c r="A12020" t="str">
        <f t="shared" si="2142"/>
        <v>89301000</v>
      </c>
      <c r="B12020" t="str">
        <f t="shared" si="2148"/>
        <v>91009000</v>
      </c>
      <c r="C12020" t="str">
        <f t="shared" si="2149"/>
        <v>91009581</v>
      </c>
      <c r="D12020">
        <v>89301167</v>
      </c>
      <c r="E12020" t="str">
        <f t="shared" si="2150"/>
        <v>7506255636</v>
      </c>
      <c r="F12020" s="1">
        <v>45195</v>
      </c>
      <c r="G12020" t="str">
        <f>"81621"</f>
        <v>81621</v>
      </c>
      <c r="H12020">
        <v>1</v>
      </c>
      <c r="I12020">
        <v>19</v>
      </c>
      <c r="J12020">
        <v>0</v>
      </c>
      <c r="K12020" t="str">
        <f t="shared" si="2151"/>
        <v>801</v>
      </c>
      <c r="L12020">
        <v>15.96</v>
      </c>
    </row>
    <row r="12021" spans="1:12" x14ac:dyDescent="0.25">
      <c r="A12021" t="str">
        <f t="shared" si="2142"/>
        <v>89301000</v>
      </c>
      <c r="B12021" t="str">
        <f t="shared" si="2148"/>
        <v>91009000</v>
      </c>
      <c r="C12021" t="str">
        <f t="shared" si="2149"/>
        <v>91009581</v>
      </c>
      <c r="D12021">
        <v>89301167</v>
      </c>
      <c r="E12021" t="str">
        <f t="shared" si="2150"/>
        <v>7506255636</v>
      </c>
      <c r="F12021" s="1">
        <v>45195</v>
      </c>
      <c r="G12021" t="str">
        <f>"97111"</f>
        <v>97111</v>
      </c>
      <c r="H12021">
        <v>1</v>
      </c>
      <c r="I12021">
        <v>19</v>
      </c>
      <c r="J12021">
        <v>0</v>
      </c>
      <c r="K12021" t="str">
        <f t="shared" si="2151"/>
        <v>801</v>
      </c>
      <c r="L12021">
        <v>23.94</v>
      </c>
    </row>
    <row r="12022" spans="1:12" x14ac:dyDescent="0.25">
      <c r="A12022" t="str">
        <f t="shared" si="2142"/>
        <v>89301000</v>
      </c>
      <c r="B12022" t="str">
        <f t="shared" si="2148"/>
        <v>91009000</v>
      </c>
      <c r="C12022" t="str">
        <f t="shared" si="2149"/>
        <v>91009581</v>
      </c>
      <c r="D12022">
        <v>89301167</v>
      </c>
      <c r="E12022" t="str">
        <f>"530220073"</f>
        <v>530220073</v>
      </c>
      <c r="F12022" s="1">
        <v>45198</v>
      </c>
      <c r="G12022" t="str">
        <f>"81383"</f>
        <v>81383</v>
      </c>
      <c r="H12022">
        <v>1</v>
      </c>
      <c r="I12022">
        <v>24</v>
      </c>
      <c r="J12022">
        <v>0</v>
      </c>
      <c r="K12022" t="str">
        <f t="shared" si="2151"/>
        <v>801</v>
      </c>
      <c r="L12022">
        <v>20.16</v>
      </c>
    </row>
    <row r="12023" spans="1:12" x14ac:dyDescent="0.25">
      <c r="A12023" t="str">
        <f t="shared" si="2142"/>
        <v>89301000</v>
      </c>
      <c r="B12023" t="str">
        <f t="shared" si="2148"/>
        <v>91009000</v>
      </c>
      <c r="C12023" t="str">
        <f t="shared" si="2149"/>
        <v>91009581</v>
      </c>
      <c r="D12023">
        <v>89301167</v>
      </c>
      <c r="E12023" t="str">
        <f>"530220073"</f>
        <v>530220073</v>
      </c>
      <c r="F12023" s="1">
        <v>45198</v>
      </c>
      <c r="G12023" t="str">
        <f>"97111"</f>
        <v>97111</v>
      </c>
      <c r="H12023">
        <v>1</v>
      </c>
      <c r="I12023">
        <v>19</v>
      </c>
      <c r="J12023">
        <v>0</v>
      </c>
      <c r="K12023" t="str">
        <f t="shared" si="2151"/>
        <v>801</v>
      </c>
      <c r="L12023">
        <v>23.94</v>
      </c>
    </row>
    <row r="12024" spans="1:12" x14ac:dyDescent="0.25">
      <c r="A12024" t="str">
        <f t="shared" si="2142"/>
        <v>89301000</v>
      </c>
      <c r="B12024" t="str">
        <f t="shared" si="2148"/>
        <v>91009000</v>
      </c>
      <c r="C12024" t="str">
        <f t="shared" si="2149"/>
        <v>91009581</v>
      </c>
      <c r="D12024">
        <v>89301212</v>
      </c>
      <c r="E12024" t="str">
        <f>"8556125776"</f>
        <v>8556125776</v>
      </c>
      <c r="F12024" s="1">
        <v>45188</v>
      </c>
      <c r="G12024" t="str">
        <f>"97111"</f>
        <v>97111</v>
      </c>
      <c r="H12024">
        <v>1</v>
      </c>
      <c r="I12024">
        <v>19</v>
      </c>
      <c r="J12024">
        <v>0</v>
      </c>
      <c r="K12024" t="str">
        <f t="shared" si="2151"/>
        <v>801</v>
      </c>
      <c r="L12024">
        <v>23.94</v>
      </c>
    </row>
    <row r="12025" spans="1:12" x14ac:dyDescent="0.25">
      <c r="A12025" t="str">
        <f t="shared" si="2142"/>
        <v>89301000</v>
      </c>
      <c r="B12025" t="str">
        <f t="shared" si="2148"/>
        <v>91009000</v>
      </c>
      <c r="C12025" t="str">
        <f t="shared" ref="C12025:C12030" si="2152">"91009522"</f>
        <v>91009522</v>
      </c>
      <c r="D12025">
        <v>89301282</v>
      </c>
      <c r="E12025" t="str">
        <f>"1710211250"</f>
        <v>1710211250</v>
      </c>
      <c r="F12025" s="1">
        <v>45191</v>
      </c>
      <c r="G12025" t="str">
        <f>"94948"</f>
        <v>94948</v>
      </c>
      <c r="H12025">
        <v>2</v>
      </c>
      <c r="I12025">
        <v>0</v>
      </c>
      <c r="J12025">
        <v>0</v>
      </c>
      <c r="K12025" t="str">
        <f t="shared" ref="K12025:K12030" si="2153">"816"</f>
        <v>816</v>
      </c>
      <c r="L12025">
        <v>0</v>
      </c>
    </row>
    <row r="12026" spans="1:12" x14ac:dyDescent="0.25">
      <c r="A12026" t="str">
        <f t="shared" si="2142"/>
        <v>89301000</v>
      </c>
      <c r="B12026" t="str">
        <f t="shared" si="2148"/>
        <v>91009000</v>
      </c>
      <c r="C12026" t="str">
        <f t="shared" si="2152"/>
        <v>91009522</v>
      </c>
      <c r="D12026">
        <v>89301282</v>
      </c>
      <c r="E12026" t="str">
        <f>"1710211250"</f>
        <v>1710211250</v>
      </c>
      <c r="F12026" s="1">
        <v>45191</v>
      </c>
      <c r="G12026" t="str">
        <f>"94982"</f>
        <v>94982</v>
      </c>
      <c r="H12026">
        <v>1</v>
      </c>
      <c r="I12026">
        <v>0</v>
      </c>
      <c r="J12026">
        <v>27500</v>
      </c>
      <c r="K12026" t="str">
        <f t="shared" si="2153"/>
        <v>816</v>
      </c>
      <c r="L12026">
        <v>27500</v>
      </c>
    </row>
    <row r="12027" spans="1:12" x14ac:dyDescent="0.25">
      <c r="A12027" t="str">
        <f t="shared" si="2142"/>
        <v>89301000</v>
      </c>
      <c r="B12027" t="str">
        <f t="shared" si="2148"/>
        <v>91009000</v>
      </c>
      <c r="C12027" t="str">
        <f t="shared" si="2152"/>
        <v>91009522</v>
      </c>
      <c r="D12027">
        <v>89301282</v>
      </c>
      <c r="E12027" t="str">
        <f>"1710211250"</f>
        <v>1710211250</v>
      </c>
      <c r="F12027" s="1">
        <v>45191</v>
      </c>
      <c r="G12027" t="str">
        <f>"94996"</f>
        <v>94996</v>
      </c>
      <c r="H12027">
        <v>1</v>
      </c>
      <c r="I12027">
        <v>0</v>
      </c>
      <c r="J12027">
        <v>0</v>
      </c>
      <c r="K12027" t="str">
        <f t="shared" si="2153"/>
        <v>816</v>
      </c>
      <c r="L12027">
        <v>0</v>
      </c>
    </row>
    <row r="12028" spans="1:12" x14ac:dyDescent="0.25">
      <c r="A12028" t="str">
        <f t="shared" si="2142"/>
        <v>89301000</v>
      </c>
      <c r="B12028" t="str">
        <f t="shared" si="2148"/>
        <v>91009000</v>
      </c>
      <c r="C12028" t="str">
        <f t="shared" si="2152"/>
        <v>91009522</v>
      </c>
      <c r="D12028">
        <v>89301282</v>
      </c>
      <c r="E12028" t="str">
        <f>"1307140153"</f>
        <v>1307140153</v>
      </c>
      <c r="F12028" s="1">
        <v>45170</v>
      </c>
      <c r="G12028" t="str">
        <f>"94948"</f>
        <v>94948</v>
      </c>
      <c r="H12028">
        <v>2</v>
      </c>
      <c r="I12028">
        <v>0</v>
      </c>
      <c r="J12028">
        <v>0</v>
      </c>
      <c r="K12028" t="str">
        <f t="shared" si="2153"/>
        <v>816</v>
      </c>
      <c r="L12028">
        <v>0</v>
      </c>
    </row>
    <row r="12029" spans="1:12" x14ac:dyDescent="0.25">
      <c r="A12029" t="str">
        <f t="shared" si="2142"/>
        <v>89301000</v>
      </c>
      <c r="B12029" t="str">
        <f t="shared" si="2148"/>
        <v>91009000</v>
      </c>
      <c r="C12029" t="str">
        <f t="shared" si="2152"/>
        <v>91009522</v>
      </c>
      <c r="D12029">
        <v>89301282</v>
      </c>
      <c r="E12029" t="str">
        <f>"1307140153"</f>
        <v>1307140153</v>
      </c>
      <c r="F12029" s="1">
        <v>45170</v>
      </c>
      <c r="G12029" t="str">
        <f>"94982"</f>
        <v>94982</v>
      </c>
      <c r="H12029">
        <v>1</v>
      </c>
      <c r="I12029">
        <v>0</v>
      </c>
      <c r="J12029">
        <v>27500</v>
      </c>
      <c r="K12029" t="str">
        <f t="shared" si="2153"/>
        <v>816</v>
      </c>
      <c r="L12029">
        <v>27500</v>
      </c>
    </row>
    <row r="12030" spans="1:12" x14ac:dyDescent="0.25">
      <c r="A12030" t="str">
        <f t="shared" si="2142"/>
        <v>89301000</v>
      </c>
      <c r="B12030" t="str">
        <f t="shared" si="2148"/>
        <v>91009000</v>
      </c>
      <c r="C12030" t="str">
        <f t="shared" si="2152"/>
        <v>91009522</v>
      </c>
      <c r="D12030">
        <v>89301282</v>
      </c>
      <c r="E12030" t="str">
        <f>"1307140153"</f>
        <v>1307140153</v>
      </c>
      <c r="F12030" s="1">
        <v>45170</v>
      </c>
      <c r="G12030" t="str">
        <f>"94996"</f>
        <v>94996</v>
      </c>
      <c r="H12030">
        <v>1</v>
      </c>
      <c r="I12030">
        <v>0</v>
      </c>
      <c r="J12030">
        <v>0</v>
      </c>
      <c r="K12030" t="str">
        <f t="shared" si="2153"/>
        <v>816</v>
      </c>
      <c r="L12030">
        <v>0</v>
      </c>
    </row>
    <row r="12031" spans="1:12" x14ac:dyDescent="0.25">
      <c r="A12031" t="str">
        <f t="shared" si="2142"/>
        <v>89301000</v>
      </c>
      <c r="B12031" t="str">
        <f t="shared" si="2148"/>
        <v>91009000</v>
      </c>
      <c r="C12031" t="str">
        <f t="shared" ref="C12031:C12038" si="2154">"91009132"</f>
        <v>91009132</v>
      </c>
      <c r="D12031">
        <v>89301212</v>
      </c>
      <c r="E12031" t="str">
        <f>"8556125776"</f>
        <v>8556125776</v>
      </c>
      <c r="F12031" s="1">
        <v>45188</v>
      </c>
      <c r="G12031" t="str">
        <f>"92157"</f>
        <v>92157</v>
      </c>
      <c r="H12031">
        <v>1</v>
      </c>
      <c r="I12031">
        <v>1778</v>
      </c>
      <c r="J12031">
        <v>0</v>
      </c>
      <c r="K12031" t="str">
        <f t="shared" ref="K12031:K12038" si="2155">"812"</f>
        <v>812</v>
      </c>
      <c r="L12031">
        <v>1493.52</v>
      </c>
    </row>
    <row r="12032" spans="1:12" x14ac:dyDescent="0.25">
      <c r="A12032" t="str">
        <f t="shared" si="2142"/>
        <v>89301000</v>
      </c>
      <c r="B12032" t="str">
        <f t="shared" si="2148"/>
        <v>91009000</v>
      </c>
      <c r="C12032" t="str">
        <f t="shared" si="2154"/>
        <v>91009132</v>
      </c>
      <c r="D12032">
        <v>89301212</v>
      </c>
      <c r="E12032" t="str">
        <f>"8556125776"</f>
        <v>8556125776</v>
      </c>
      <c r="F12032" s="1">
        <v>45188</v>
      </c>
      <c r="G12032" t="str">
        <f>"99111"</f>
        <v>99111</v>
      </c>
      <c r="H12032">
        <v>1</v>
      </c>
      <c r="I12032">
        <v>213</v>
      </c>
      <c r="J12032">
        <v>0</v>
      </c>
      <c r="K12032" t="str">
        <f t="shared" si="2155"/>
        <v>812</v>
      </c>
      <c r="L12032">
        <v>178.92</v>
      </c>
    </row>
    <row r="12033" spans="1:12" x14ac:dyDescent="0.25">
      <c r="A12033" t="str">
        <f t="shared" si="2142"/>
        <v>89301000</v>
      </c>
      <c r="B12033" t="str">
        <f t="shared" si="2148"/>
        <v>91009000</v>
      </c>
      <c r="C12033" t="str">
        <f t="shared" si="2154"/>
        <v>91009132</v>
      </c>
      <c r="D12033">
        <v>89301167</v>
      </c>
      <c r="E12033" t="str">
        <f t="shared" ref="E12033:E12038" si="2156">"7506255636"</f>
        <v>7506255636</v>
      </c>
      <c r="F12033" s="1">
        <v>45194</v>
      </c>
      <c r="G12033" t="str">
        <f>"92157"</f>
        <v>92157</v>
      </c>
      <c r="H12033">
        <v>1</v>
      </c>
      <c r="I12033">
        <v>1778</v>
      </c>
      <c r="J12033">
        <v>0</v>
      </c>
      <c r="K12033" t="str">
        <f t="shared" si="2155"/>
        <v>812</v>
      </c>
      <c r="L12033">
        <v>1493.52</v>
      </c>
    </row>
    <row r="12034" spans="1:12" x14ac:dyDescent="0.25">
      <c r="A12034" t="str">
        <f t="shared" ref="A12034:A12097" si="2157">"89301000"</f>
        <v>89301000</v>
      </c>
      <c r="B12034" t="str">
        <f t="shared" si="2148"/>
        <v>91009000</v>
      </c>
      <c r="C12034" t="str">
        <f t="shared" si="2154"/>
        <v>91009132</v>
      </c>
      <c r="D12034">
        <v>89301167</v>
      </c>
      <c r="E12034" t="str">
        <f t="shared" si="2156"/>
        <v>7506255636</v>
      </c>
      <c r="F12034" s="1">
        <v>45194</v>
      </c>
      <c r="G12034" t="str">
        <f>"99111"</f>
        <v>99111</v>
      </c>
      <c r="H12034">
        <v>1</v>
      </c>
      <c r="I12034">
        <v>213</v>
      </c>
      <c r="J12034">
        <v>0</v>
      </c>
      <c r="K12034" t="str">
        <f t="shared" si="2155"/>
        <v>812</v>
      </c>
      <c r="L12034">
        <v>178.92</v>
      </c>
    </row>
    <row r="12035" spans="1:12" x14ac:dyDescent="0.25">
      <c r="A12035" t="str">
        <f t="shared" si="2157"/>
        <v>89301000</v>
      </c>
      <c r="B12035" t="str">
        <f t="shared" si="2148"/>
        <v>91009000</v>
      </c>
      <c r="C12035" t="str">
        <f t="shared" si="2154"/>
        <v>91009132</v>
      </c>
      <c r="D12035">
        <v>89301167</v>
      </c>
      <c r="E12035" t="str">
        <f t="shared" si="2156"/>
        <v>7506255636</v>
      </c>
      <c r="F12035" s="1">
        <v>45180</v>
      </c>
      <c r="G12035" t="str">
        <f>"92157"</f>
        <v>92157</v>
      </c>
      <c r="H12035">
        <v>1</v>
      </c>
      <c r="I12035">
        <v>1778</v>
      </c>
      <c r="J12035">
        <v>0</v>
      </c>
      <c r="K12035" t="str">
        <f t="shared" si="2155"/>
        <v>812</v>
      </c>
      <c r="L12035">
        <v>1493.52</v>
      </c>
    </row>
    <row r="12036" spans="1:12" x14ac:dyDescent="0.25">
      <c r="A12036" t="str">
        <f t="shared" si="2157"/>
        <v>89301000</v>
      </c>
      <c r="B12036" t="str">
        <f t="shared" si="2148"/>
        <v>91009000</v>
      </c>
      <c r="C12036" t="str">
        <f t="shared" si="2154"/>
        <v>91009132</v>
      </c>
      <c r="D12036">
        <v>89301167</v>
      </c>
      <c r="E12036" t="str">
        <f t="shared" si="2156"/>
        <v>7506255636</v>
      </c>
      <c r="F12036" s="1">
        <v>45180</v>
      </c>
      <c r="G12036" t="str">
        <f>"99111"</f>
        <v>99111</v>
      </c>
      <c r="H12036">
        <v>1</v>
      </c>
      <c r="I12036">
        <v>213</v>
      </c>
      <c r="J12036">
        <v>0</v>
      </c>
      <c r="K12036" t="str">
        <f t="shared" si="2155"/>
        <v>812</v>
      </c>
      <c r="L12036">
        <v>178.92</v>
      </c>
    </row>
    <row r="12037" spans="1:12" x14ac:dyDescent="0.25">
      <c r="A12037" t="str">
        <f t="shared" si="2157"/>
        <v>89301000</v>
      </c>
      <c r="B12037" t="str">
        <f t="shared" si="2148"/>
        <v>91009000</v>
      </c>
      <c r="C12037" t="str">
        <f t="shared" si="2154"/>
        <v>91009132</v>
      </c>
      <c r="D12037">
        <v>89301167</v>
      </c>
      <c r="E12037" t="str">
        <f t="shared" si="2156"/>
        <v>7506255636</v>
      </c>
      <c r="F12037" s="1">
        <v>45187</v>
      </c>
      <c r="G12037" t="str">
        <f>"92157"</f>
        <v>92157</v>
      </c>
      <c r="H12037">
        <v>1</v>
      </c>
      <c r="I12037">
        <v>1778</v>
      </c>
      <c r="J12037">
        <v>0</v>
      </c>
      <c r="K12037" t="str">
        <f t="shared" si="2155"/>
        <v>812</v>
      </c>
      <c r="L12037">
        <v>1493.52</v>
      </c>
    </row>
    <row r="12038" spans="1:12" x14ac:dyDescent="0.25">
      <c r="A12038" t="str">
        <f t="shared" si="2157"/>
        <v>89301000</v>
      </c>
      <c r="B12038" t="str">
        <f t="shared" si="2148"/>
        <v>91009000</v>
      </c>
      <c r="C12038" t="str">
        <f t="shared" si="2154"/>
        <v>91009132</v>
      </c>
      <c r="D12038">
        <v>89301167</v>
      </c>
      <c r="E12038" t="str">
        <f t="shared" si="2156"/>
        <v>7506255636</v>
      </c>
      <c r="F12038" s="1">
        <v>45187</v>
      </c>
      <c r="G12038" t="str">
        <f>"99111"</f>
        <v>99111</v>
      </c>
      <c r="H12038">
        <v>1</v>
      </c>
      <c r="I12038">
        <v>213</v>
      </c>
      <c r="J12038">
        <v>0</v>
      </c>
      <c r="K12038" t="str">
        <f t="shared" si="2155"/>
        <v>812</v>
      </c>
      <c r="L12038">
        <v>178.92</v>
      </c>
    </row>
    <row r="12039" spans="1:12" x14ac:dyDescent="0.25">
      <c r="A12039" t="str">
        <f t="shared" si="2157"/>
        <v>89301000</v>
      </c>
      <c r="B12039" t="str">
        <f t="shared" si="2148"/>
        <v>91009000</v>
      </c>
      <c r="C12039" t="str">
        <f>"91009561"</f>
        <v>91009561</v>
      </c>
      <c r="D12039">
        <v>89301167</v>
      </c>
      <c r="E12039" t="str">
        <f>"5562200743"</f>
        <v>5562200743</v>
      </c>
      <c r="F12039" s="1">
        <v>45189</v>
      </c>
      <c r="G12039" t="str">
        <f>"51881"</f>
        <v>51881</v>
      </c>
      <c r="H12039">
        <v>1</v>
      </c>
      <c r="I12039">
        <v>142</v>
      </c>
      <c r="J12039">
        <v>0</v>
      </c>
      <c r="K12039" t="str">
        <f>"807"</f>
        <v>807</v>
      </c>
      <c r="L12039">
        <v>178.92</v>
      </c>
    </row>
    <row r="12040" spans="1:12" x14ac:dyDescent="0.25">
      <c r="A12040" t="str">
        <f t="shared" si="2157"/>
        <v>89301000</v>
      </c>
      <c r="B12040" t="str">
        <f t="shared" si="2148"/>
        <v>91009000</v>
      </c>
      <c r="C12040" t="str">
        <f>"91009552"</f>
        <v>91009552</v>
      </c>
      <c r="D12040">
        <v>89301167</v>
      </c>
      <c r="E12040" t="str">
        <f>"7506255636"</f>
        <v>7506255636</v>
      </c>
      <c r="F12040" s="1">
        <v>45195</v>
      </c>
      <c r="G12040" t="str">
        <f>"96167"</f>
        <v>96167</v>
      </c>
      <c r="H12040">
        <v>1</v>
      </c>
      <c r="I12040">
        <v>67</v>
      </c>
      <c r="J12040">
        <v>0</v>
      </c>
      <c r="K12040" t="str">
        <f>"818"</f>
        <v>818</v>
      </c>
      <c r="L12040">
        <v>64.989999999999995</v>
      </c>
    </row>
    <row r="12041" spans="1:12" x14ac:dyDescent="0.25">
      <c r="A12041" t="str">
        <f t="shared" si="2157"/>
        <v>89301000</v>
      </c>
      <c r="B12041" t="str">
        <f t="shared" si="2148"/>
        <v>91009000</v>
      </c>
      <c r="C12041" t="str">
        <f>"91009605"</f>
        <v>91009605</v>
      </c>
      <c r="D12041">
        <v>89301109</v>
      </c>
      <c r="E12041" t="str">
        <f>"1204190240"</f>
        <v>1204190240</v>
      </c>
      <c r="F12041" s="1">
        <v>45188</v>
      </c>
      <c r="G12041" t="str">
        <f>"91431"</f>
        <v>91431</v>
      </c>
      <c r="H12041">
        <v>1</v>
      </c>
      <c r="I12041">
        <v>543</v>
      </c>
      <c r="J12041">
        <v>0</v>
      </c>
      <c r="K12041" t="str">
        <f>"818"</f>
        <v>818</v>
      </c>
      <c r="L12041">
        <v>526.71</v>
      </c>
    </row>
    <row r="12042" spans="1:12" x14ac:dyDescent="0.25">
      <c r="A12042" t="str">
        <f t="shared" si="2157"/>
        <v>89301000</v>
      </c>
      <c r="B12042" t="str">
        <f t="shared" si="2148"/>
        <v>91009000</v>
      </c>
      <c r="C12042" t="str">
        <f>"91009605"</f>
        <v>91009605</v>
      </c>
      <c r="D12042">
        <v>89301109</v>
      </c>
      <c r="E12042" t="str">
        <f>"1204190240"</f>
        <v>1204190240</v>
      </c>
      <c r="F12042" s="1">
        <v>45190</v>
      </c>
      <c r="G12042" t="str">
        <f>"22122"</f>
        <v>22122</v>
      </c>
      <c r="H12042">
        <v>1</v>
      </c>
      <c r="I12042">
        <v>588</v>
      </c>
      <c r="J12042">
        <v>0</v>
      </c>
      <c r="K12042" t="str">
        <f>"818"</f>
        <v>818</v>
      </c>
      <c r="L12042">
        <v>570.36</v>
      </c>
    </row>
    <row r="12043" spans="1:12" x14ac:dyDescent="0.25">
      <c r="A12043" t="str">
        <f t="shared" si="2157"/>
        <v>89301000</v>
      </c>
      <c r="B12043" t="str">
        <f t="shared" si="2148"/>
        <v>91009000</v>
      </c>
      <c r="C12043" t="str">
        <f>"91009605"</f>
        <v>91009605</v>
      </c>
      <c r="D12043">
        <v>89301109</v>
      </c>
      <c r="E12043" t="str">
        <f>"1204190240"</f>
        <v>1204190240</v>
      </c>
      <c r="F12043" s="1">
        <v>45190</v>
      </c>
      <c r="G12043" t="str">
        <f>"22123"</f>
        <v>22123</v>
      </c>
      <c r="H12043">
        <v>1</v>
      </c>
      <c r="I12043">
        <v>334</v>
      </c>
      <c r="J12043">
        <v>0</v>
      </c>
      <c r="K12043" t="str">
        <f>"818"</f>
        <v>818</v>
      </c>
      <c r="L12043">
        <v>323.98</v>
      </c>
    </row>
    <row r="12044" spans="1:12" x14ac:dyDescent="0.25">
      <c r="A12044" t="str">
        <f t="shared" si="2157"/>
        <v>89301000</v>
      </c>
      <c r="B12044" t="str">
        <f t="shared" si="2148"/>
        <v>91009000</v>
      </c>
      <c r="C12044" t="str">
        <f>"91009605"</f>
        <v>91009605</v>
      </c>
      <c r="D12044">
        <v>89301109</v>
      </c>
      <c r="E12044" t="str">
        <f>"1204190240"</f>
        <v>1204190240</v>
      </c>
      <c r="F12044" s="1">
        <v>45190</v>
      </c>
      <c r="G12044" t="str">
        <f>"22127"</f>
        <v>22127</v>
      </c>
      <c r="H12044">
        <v>1</v>
      </c>
      <c r="I12044">
        <v>340</v>
      </c>
      <c r="J12044">
        <v>0</v>
      </c>
      <c r="K12044" t="str">
        <f>"818"</f>
        <v>818</v>
      </c>
      <c r="L12044">
        <v>329.8</v>
      </c>
    </row>
    <row r="12045" spans="1:12" x14ac:dyDescent="0.25">
      <c r="A12045" t="str">
        <f t="shared" si="2157"/>
        <v>89301000</v>
      </c>
      <c r="B12045" t="str">
        <f t="shared" ref="B12045:B12050" si="2158">"72932000"</f>
        <v>72932000</v>
      </c>
      <c r="C12045" t="str">
        <f t="shared" ref="C12045:C12050" si="2159">"72932050"</f>
        <v>72932050</v>
      </c>
      <c r="D12045">
        <v>89301032</v>
      </c>
      <c r="E12045" t="str">
        <f>"9262224851"</f>
        <v>9262224851</v>
      </c>
      <c r="F12045" s="1">
        <v>45169</v>
      </c>
      <c r="G12045" t="str">
        <f>"94225"</f>
        <v>94225</v>
      </c>
      <c r="H12045">
        <v>1</v>
      </c>
      <c r="I12045">
        <v>1208</v>
      </c>
      <c r="J12045">
        <v>0</v>
      </c>
      <c r="K12045" t="str">
        <f t="shared" ref="K12045:K12050" si="2160">"816"</f>
        <v>816</v>
      </c>
      <c r="L12045">
        <v>1087.2</v>
      </c>
    </row>
    <row r="12046" spans="1:12" x14ac:dyDescent="0.25">
      <c r="A12046" t="str">
        <f t="shared" si="2157"/>
        <v>89301000</v>
      </c>
      <c r="B12046" t="str">
        <f t="shared" si="2158"/>
        <v>72932000</v>
      </c>
      <c r="C12046" t="str">
        <f t="shared" si="2159"/>
        <v>72932050</v>
      </c>
      <c r="D12046">
        <v>89301032</v>
      </c>
      <c r="E12046" t="str">
        <f>"5451201657"</f>
        <v>5451201657</v>
      </c>
      <c r="F12046" s="1">
        <v>45188</v>
      </c>
      <c r="G12046" t="str">
        <f>"94225"</f>
        <v>94225</v>
      </c>
      <c r="H12046">
        <v>1</v>
      </c>
      <c r="I12046">
        <v>1208</v>
      </c>
      <c r="J12046">
        <v>0</v>
      </c>
      <c r="K12046" t="str">
        <f t="shared" si="2160"/>
        <v>816</v>
      </c>
      <c r="L12046">
        <v>1087.2</v>
      </c>
    </row>
    <row r="12047" spans="1:12" x14ac:dyDescent="0.25">
      <c r="A12047" t="str">
        <f t="shared" si="2157"/>
        <v>89301000</v>
      </c>
      <c r="B12047" t="str">
        <f t="shared" si="2158"/>
        <v>72932000</v>
      </c>
      <c r="C12047" t="str">
        <f t="shared" si="2159"/>
        <v>72932050</v>
      </c>
      <c r="D12047">
        <v>89301032</v>
      </c>
      <c r="E12047" t="str">
        <f>"5451201657"</f>
        <v>5451201657</v>
      </c>
      <c r="F12047" s="1">
        <v>45188</v>
      </c>
      <c r="G12047" t="str">
        <f>"94956"</f>
        <v>94956</v>
      </c>
      <c r="H12047">
        <v>1</v>
      </c>
      <c r="I12047">
        <v>0</v>
      </c>
      <c r="J12047">
        <v>976</v>
      </c>
      <c r="K12047" t="str">
        <f t="shared" si="2160"/>
        <v>816</v>
      </c>
      <c r="L12047">
        <v>976</v>
      </c>
    </row>
    <row r="12048" spans="1:12" x14ac:dyDescent="0.25">
      <c r="A12048" t="str">
        <f t="shared" si="2157"/>
        <v>89301000</v>
      </c>
      <c r="B12048" t="str">
        <f t="shared" si="2158"/>
        <v>72932000</v>
      </c>
      <c r="C12048" t="str">
        <f t="shared" si="2159"/>
        <v>72932050</v>
      </c>
      <c r="D12048">
        <v>89301032</v>
      </c>
      <c r="E12048" t="str">
        <f>"6951225325"</f>
        <v>6951225325</v>
      </c>
      <c r="F12048" s="1">
        <v>45188</v>
      </c>
      <c r="G12048" t="str">
        <f>"94225"</f>
        <v>94225</v>
      </c>
      <c r="H12048">
        <v>1</v>
      </c>
      <c r="I12048">
        <v>1208</v>
      </c>
      <c r="J12048">
        <v>0</v>
      </c>
      <c r="K12048" t="str">
        <f t="shared" si="2160"/>
        <v>816</v>
      </c>
      <c r="L12048">
        <v>1087.2</v>
      </c>
    </row>
    <row r="12049" spans="1:12" x14ac:dyDescent="0.25">
      <c r="A12049" t="str">
        <f t="shared" si="2157"/>
        <v>89301000</v>
      </c>
      <c r="B12049" t="str">
        <f t="shared" si="2158"/>
        <v>72932000</v>
      </c>
      <c r="C12049" t="str">
        <f t="shared" si="2159"/>
        <v>72932050</v>
      </c>
      <c r="D12049">
        <v>89301032</v>
      </c>
      <c r="E12049" t="str">
        <f>"6951225325"</f>
        <v>6951225325</v>
      </c>
      <c r="F12049" s="1">
        <v>45188</v>
      </c>
      <c r="G12049" t="str">
        <f>"94956"</f>
        <v>94956</v>
      </c>
      <c r="H12049">
        <v>1</v>
      </c>
      <c r="I12049">
        <v>0</v>
      </c>
      <c r="J12049">
        <v>976</v>
      </c>
      <c r="K12049" t="str">
        <f t="shared" si="2160"/>
        <v>816</v>
      </c>
      <c r="L12049">
        <v>976</v>
      </c>
    </row>
    <row r="12050" spans="1:12" x14ac:dyDescent="0.25">
      <c r="A12050" t="str">
        <f t="shared" si="2157"/>
        <v>89301000</v>
      </c>
      <c r="B12050" t="str">
        <f t="shared" si="2158"/>
        <v>72932000</v>
      </c>
      <c r="C12050" t="str">
        <f t="shared" si="2159"/>
        <v>72932050</v>
      </c>
      <c r="D12050">
        <v>89301034</v>
      </c>
      <c r="E12050" t="str">
        <f>"9262224851"</f>
        <v>9262224851</v>
      </c>
      <c r="F12050" s="1">
        <v>45175</v>
      </c>
      <c r="G12050" t="str">
        <f>"94221"</f>
        <v>94221</v>
      </c>
      <c r="H12050">
        <v>1</v>
      </c>
      <c r="I12050">
        <v>2467</v>
      </c>
      <c r="J12050">
        <v>0</v>
      </c>
      <c r="K12050" t="str">
        <f t="shared" si="2160"/>
        <v>816</v>
      </c>
      <c r="L12050">
        <v>2220.3000000000002</v>
      </c>
    </row>
    <row r="12051" spans="1:12" x14ac:dyDescent="0.25">
      <c r="A12051" t="str">
        <f t="shared" si="2157"/>
        <v>89301000</v>
      </c>
      <c r="B12051" t="str">
        <f t="shared" ref="B12051:B12082" si="2161">"78006000"</f>
        <v>78006000</v>
      </c>
      <c r="C12051" t="str">
        <f>"78006831"</f>
        <v>78006831</v>
      </c>
      <c r="D12051">
        <v>89301212</v>
      </c>
      <c r="E12051" t="str">
        <f>"6160121671"</f>
        <v>6160121671</v>
      </c>
      <c r="F12051" s="1">
        <v>45182</v>
      </c>
      <c r="G12051" t="str">
        <f>"89131"</f>
        <v>89131</v>
      </c>
      <c r="H12051">
        <v>1</v>
      </c>
      <c r="I12051">
        <v>190</v>
      </c>
      <c r="J12051">
        <v>0</v>
      </c>
      <c r="K12051" t="str">
        <f t="shared" ref="K12051:K12060" si="2162">"809"</f>
        <v>809</v>
      </c>
      <c r="L12051">
        <v>279.3</v>
      </c>
    </row>
    <row r="12052" spans="1:12" x14ac:dyDescent="0.25">
      <c r="A12052" t="str">
        <f t="shared" si="2157"/>
        <v>89301000</v>
      </c>
      <c r="B12052" t="str">
        <f t="shared" si="2161"/>
        <v>78006000</v>
      </c>
      <c r="C12052" t="str">
        <f>"78006831"</f>
        <v>78006831</v>
      </c>
      <c r="D12052">
        <v>89301212</v>
      </c>
      <c r="E12052" t="str">
        <f>"380925429"</f>
        <v>380925429</v>
      </c>
      <c r="F12052" s="1">
        <v>45191</v>
      </c>
      <c r="G12052" t="str">
        <f>"89131"</f>
        <v>89131</v>
      </c>
      <c r="H12052">
        <v>1</v>
      </c>
      <c r="I12052">
        <v>190</v>
      </c>
      <c r="J12052">
        <v>0</v>
      </c>
      <c r="K12052" t="str">
        <f t="shared" si="2162"/>
        <v>809</v>
      </c>
      <c r="L12052">
        <v>279.3</v>
      </c>
    </row>
    <row r="12053" spans="1:12" x14ac:dyDescent="0.25">
      <c r="A12053" t="str">
        <f t="shared" si="2157"/>
        <v>89301000</v>
      </c>
      <c r="B12053" t="str">
        <f t="shared" si="2161"/>
        <v>78006000</v>
      </c>
      <c r="C12053" t="str">
        <f t="shared" ref="C12053:C12060" si="2163">"78006231"</f>
        <v>78006231</v>
      </c>
      <c r="D12053">
        <v>89301212</v>
      </c>
      <c r="E12053" t="str">
        <f>"5853150347"</f>
        <v>5853150347</v>
      </c>
      <c r="F12053" s="1">
        <v>45183</v>
      </c>
      <c r="G12053" t="str">
        <f>"89513"</f>
        <v>89513</v>
      </c>
      <c r="H12053">
        <v>1</v>
      </c>
      <c r="I12053">
        <v>378</v>
      </c>
      <c r="J12053">
        <v>0</v>
      </c>
      <c r="K12053" t="str">
        <f t="shared" si="2162"/>
        <v>809</v>
      </c>
      <c r="L12053">
        <v>555.66</v>
      </c>
    </row>
    <row r="12054" spans="1:12" x14ac:dyDescent="0.25">
      <c r="A12054" t="str">
        <f t="shared" si="2157"/>
        <v>89301000</v>
      </c>
      <c r="B12054" t="str">
        <f t="shared" si="2161"/>
        <v>78006000</v>
      </c>
      <c r="C12054" t="str">
        <f t="shared" si="2163"/>
        <v>78006231</v>
      </c>
      <c r="D12054">
        <v>89301212</v>
      </c>
      <c r="E12054" t="str">
        <f>"5853150347"</f>
        <v>5853150347</v>
      </c>
      <c r="F12054" s="1">
        <v>45183</v>
      </c>
      <c r="G12054" t="str">
        <f>"89514"</f>
        <v>89514</v>
      </c>
      <c r="H12054">
        <v>1</v>
      </c>
      <c r="I12054">
        <v>378</v>
      </c>
      <c r="J12054">
        <v>0</v>
      </c>
      <c r="K12054" t="str">
        <f t="shared" si="2162"/>
        <v>809</v>
      </c>
      <c r="L12054">
        <v>555.66</v>
      </c>
    </row>
    <row r="12055" spans="1:12" x14ac:dyDescent="0.25">
      <c r="A12055" t="str">
        <f t="shared" si="2157"/>
        <v>89301000</v>
      </c>
      <c r="B12055" t="str">
        <f t="shared" si="2161"/>
        <v>78006000</v>
      </c>
      <c r="C12055" t="str">
        <f t="shared" si="2163"/>
        <v>78006231</v>
      </c>
      <c r="D12055">
        <v>89301215</v>
      </c>
      <c r="E12055" t="str">
        <f>"485106414"</f>
        <v>485106414</v>
      </c>
      <c r="F12055" s="1">
        <v>45189</v>
      </c>
      <c r="G12055" t="str">
        <f>"89513"</f>
        <v>89513</v>
      </c>
      <c r="H12055">
        <v>1</v>
      </c>
      <c r="I12055">
        <v>378</v>
      </c>
      <c r="J12055">
        <v>0</v>
      </c>
      <c r="K12055" t="str">
        <f t="shared" si="2162"/>
        <v>809</v>
      </c>
      <c r="L12055">
        <v>555.66</v>
      </c>
    </row>
    <row r="12056" spans="1:12" x14ac:dyDescent="0.25">
      <c r="A12056" t="str">
        <f t="shared" si="2157"/>
        <v>89301000</v>
      </c>
      <c r="B12056" t="str">
        <f t="shared" si="2161"/>
        <v>78006000</v>
      </c>
      <c r="C12056" t="str">
        <f t="shared" si="2163"/>
        <v>78006231</v>
      </c>
      <c r="D12056">
        <v>89301215</v>
      </c>
      <c r="E12056" t="str">
        <f>"485106414"</f>
        <v>485106414</v>
      </c>
      <c r="F12056" s="1">
        <v>45189</v>
      </c>
      <c r="G12056" t="str">
        <f>"89514"</f>
        <v>89514</v>
      </c>
      <c r="H12056">
        <v>1</v>
      </c>
      <c r="I12056">
        <v>378</v>
      </c>
      <c r="J12056">
        <v>0</v>
      </c>
      <c r="K12056" t="str">
        <f t="shared" si="2162"/>
        <v>809</v>
      </c>
      <c r="L12056">
        <v>555.66</v>
      </c>
    </row>
    <row r="12057" spans="1:12" x14ac:dyDescent="0.25">
      <c r="A12057" t="str">
        <f t="shared" si="2157"/>
        <v>89301000</v>
      </c>
      <c r="B12057" t="str">
        <f t="shared" si="2161"/>
        <v>78006000</v>
      </c>
      <c r="C12057" t="str">
        <f t="shared" si="2163"/>
        <v>78006231</v>
      </c>
      <c r="D12057">
        <v>89301212</v>
      </c>
      <c r="E12057" t="str">
        <f>"6151081178"</f>
        <v>6151081178</v>
      </c>
      <c r="F12057" s="1">
        <v>45189</v>
      </c>
      <c r="G12057" t="str">
        <f>"89513"</f>
        <v>89513</v>
      </c>
      <c r="H12057">
        <v>1</v>
      </c>
      <c r="I12057">
        <v>378</v>
      </c>
      <c r="J12057">
        <v>0</v>
      </c>
      <c r="K12057" t="str">
        <f t="shared" si="2162"/>
        <v>809</v>
      </c>
      <c r="L12057">
        <v>555.66</v>
      </c>
    </row>
    <row r="12058" spans="1:12" x14ac:dyDescent="0.25">
      <c r="A12058" t="str">
        <f t="shared" si="2157"/>
        <v>89301000</v>
      </c>
      <c r="B12058" t="str">
        <f t="shared" si="2161"/>
        <v>78006000</v>
      </c>
      <c r="C12058" t="str">
        <f t="shared" si="2163"/>
        <v>78006231</v>
      </c>
      <c r="D12058">
        <v>89301212</v>
      </c>
      <c r="E12058" t="str">
        <f>"6151081178"</f>
        <v>6151081178</v>
      </c>
      <c r="F12058" s="1">
        <v>45189</v>
      </c>
      <c r="G12058" t="str">
        <f>"89514"</f>
        <v>89514</v>
      </c>
      <c r="H12058">
        <v>1</v>
      </c>
      <c r="I12058">
        <v>378</v>
      </c>
      <c r="J12058">
        <v>0</v>
      </c>
      <c r="K12058" t="str">
        <f t="shared" si="2162"/>
        <v>809</v>
      </c>
      <c r="L12058">
        <v>555.66</v>
      </c>
    </row>
    <row r="12059" spans="1:12" x14ac:dyDescent="0.25">
      <c r="A12059" t="str">
        <f t="shared" si="2157"/>
        <v>89301000</v>
      </c>
      <c r="B12059" t="str">
        <f t="shared" si="2161"/>
        <v>78006000</v>
      </c>
      <c r="C12059" t="str">
        <f t="shared" si="2163"/>
        <v>78006231</v>
      </c>
      <c r="D12059">
        <v>89301212</v>
      </c>
      <c r="E12059" t="str">
        <f>"530902116"</f>
        <v>530902116</v>
      </c>
      <c r="F12059" s="1">
        <v>45195</v>
      </c>
      <c r="G12059" t="str">
        <f>"89513"</f>
        <v>89513</v>
      </c>
      <c r="H12059">
        <v>1</v>
      </c>
      <c r="I12059">
        <v>378</v>
      </c>
      <c r="J12059">
        <v>0</v>
      </c>
      <c r="K12059" t="str">
        <f t="shared" si="2162"/>
        <v>809</v>
      </c>
      <c r="L12059">
        <v>555.66</v>
      </c>
    </row>
    <row r="12060" spans="1:12" x14ac:dyDescent="0.25">
      <c r="A12060" t="str">
        <f t="shared" si="2157"/>
        <v>89301000</v>
      </c>
      <c r="B12060" t="str">
        <f t="shared" si="2161"/>
        <v>78006000</v>
      </c>
      <c r="C12060" t="str">
        <f t="shared" si="2163"/>
        <v>78006231</v>
      </c>
      <c r="D12060">
        <v>89301212</v>
      </c>
      <c r="E12060" t="str">
        <f>"530902116"</f>
        <v>530902116</v>
      </c>
      <c r="F12060" s="1">
        <v>45195</v>
      </c>
      <c r="G12060" t="str">
        <f>"89514"</f>
        <v>89514</v>
      </c>
      <c r="H12060">
        <v>1</v>
      </c>
      <c r="I12060">
        <v>378</v>
      </c>
      <c r="J12060">
        <v>0</v>
      </c>
      <c r="K12060" t="str">
        <f t="shared" si="2162"/>
        <v>809</v>
      </c>
      <c r="L12060">
        <v>555.66</v>
      </c>
    </row>
    <row r="12061" spans="1:12" x14ac:dyDescent="0.25">
      <c r="A12061" t="str">
        <f t="shared" si="2157"/>
        <v>89301000</v>
      </c>
      <c r="B12061" t="str">
        <f t="shared" si="2161"/>
        <v>78006000</v>
      </c>
      <c r="C12061" t="str">
        <f t="shared" ref="C12061:C12071" si="2164">"78006207"</f>
        <v>78006207</v>
      </c>
      <c r="D12061">
        <v>89301167</v>
      </c>
      <c r="E12061" t="str">
        <f>"5854210813"</f>
        <v>5854210813</v>
      </c>
      <c r="F12061" s="1">
        <v>45187</v>
      </c>
      <c r="G12061" t="str">
        <f>"91153"</f>
        <v>91153</v>
      </c>
      <c r="H12061">
        <v>1</v>
      </c>
      <c r="I12061">
        <v>153</v>
      </c>
      <c r="J12061">
        <v>0</v>
      </c>
      <c r="K12061" t="str">
        <f t="shared" ref="K12061:K12071" si="2165">"813"</f>
        <v>813</v>
      </c>
      <c r="L12061">
        <v>128.52000000000001</v>
      </c>
    </row>
    <row r="12062" spans="1:12" x14ac:dyDescent="0.25">
      <c r="A12062" t="str">
        <f t="shared" si="2157"/>
        <v>89301000</v>
      </c>
      <c r="B12062" t="str">
        <f t="shared" si="2161"/>
        <v>78006000</v>
      </c>
      <c r="C12062" t="str">
        <f t="shared" si="2164"/>
        <v>78006207</v>
      </c>
      <c r="D12062">
        <v>89301171</v>
      </c>
      <c r="E12062" t="str">
        <f>"5960111795"</f>
        <v>5960111795</v>
      </c>
      <c r="F12062" s="1">
        <v>45196</v>
      </c>
      <c r="G12062" t="str">
        <f t="shared" ref="G12062:G12071" si="2166">"91197"</f>
        <v>91197</v>
      </c>
      <c r="H12062">
        <v>6</v>
      </c>
      <c r="I12062">
        <v>6288</v>
      </c>
      <c r="J12062">
        <v>0</v>
      </c>
      <c r="K12062" t="str">
        <f t="shared" si="2165"/>
        <v>813</v>
      </c>
      <c r="L12062">
        <v>5281.92</v>
      </c>
    </row>
    <row r="12063" spans="1:12" x14ac:dyDescent="0.25">
      <c r="A12063" t="str">
        <f t="shared" si="2157"/>
        <v>89301000</v>
      </c>
      <c r="B12063" t="str">
        <f t="shared" si="2161"/>
        <v>78006000</v>
      </c>
      <c r="C12063" t="str">
        <f t="shared" si="2164"/>
        <v>78006207</v>
      </c>
      <c r="D12063">
        <v>89301171</v>
      </c>
      <c r="E12063" t="str">
        <f>"6762230145"</f>
        <v>6762230145</v>
      </c>
      <c r="F12063" s="1">
        <v>45196</v>
      </c>
      <c r="G12063" t="str">
        <f t="shared" si="2166"/>
        <v>91197</v>
      </c>
      <c r="H12063">
        <v>6</v>
      </c>
      <c r="I12063">
        <v>6288</v>
      </c>
      <c r="J12063">
        <v>0</v>
      </c>
      <c r="K12063" t="str">
        <f t="shared" si="2165"/>
        <v>813</v>
      </c>
      <c r="L12063">
        <v>5281.92</v>
      </c>
    </row>
    <row r="12064" spans="1:12" x14ac:dyDescent="0.25">
      <c r="A12064" t="str">
        <f t="shared" si="2157"/>
        <v>89301000</v>
      </c>
      <c r="B12064" t="str">
        <f t="shared" si="2161"/>
        <v>78006000</v>
      </c>
      <c r="C12064" t="str">
        <f t="shared" si="2164"/>
        <v>78006207</v>
      </c>
      <c r="D12064">
        <v>89301171</v>
      </c>
      <c r="E12064" t="str">
        <f>"7209115342"</f>
        <v>7209115342</v>
      </c>
      <c r="F12064" s="1">
        <v>45196</v>
      </c>
      <c r="G12064" t="str">
        <f t="shared" si="2166"/>
        <v>91197</v>
      </c>
      <c r="H12064">
        <v>6</v>
      </c>
      <c r="I12064">
        <v>6288</v>
      </c>
      <c r="J12064">
        <v>0</v>
      </c>
      <c r="K12064" t="str">
        <f t="shared" si="2165"/>
        <v>813</v>
      </c>
      <c r="L12064">
        <v>5281.92</v>
      </c>
    </row>
    <row r="12065" spans="1:12" x14ac:dyDescent="0.25">
      <c r="A12065" t="str">
        <f t="shared" si="2157"/>
        <v>89301000</v>
      </c>
      <c r="B12065" t="str">
        <f t="shared" si="2161"/>
        <v>78006000</v>
      </c>
      <c r="C12065" t="str">
        <f t="shared" si="2164"/>
        <v>78006207</v>
      </c>
      <c r="D12065">
        <v>89301171</v>
      </c>
      <c r="E12065" t="str">
        <f>"9157254854"</f>
        <v>9157254854</v>
      </c>
      <c r="F12065" s="1">
        <v>45176</v>
      </c>
      <c r="G12065" t="str">
        <f t="shared" si="2166"/>
        <v>91197</v>
      </c>
      <c r="H12065">
        <v>6</v>
      </c>
      <c r="I12065">
        <v>6288</v>
      </c>
      <c r="J12065">
        <v>0</v>
      </c>
      <c r="K12065" t="str">
        <f t="shared" si="2165"/>
        <v>813</v>
      </c>
      <c r="L12065">
        <v>5281.92</v>
      </c>
    </row>
    <row r="12066" spans="1:12" x14ac:dyDescent="0.25">
      <c r="A12066" t="str">
        <f t="shared" si="2157"/>
        <v>89301000</v>
      </c>
      <c r="B12066" t="str">
        <f t="shared" si="2161"/>
        <v>78006000</v>
      </c>
      <c r="C12066" t="str">
        <f t="shared" si="2164"/>
        <v>78006207</v>
      </c>
      <c r="D12066">
        <v>89301171</v>
      </c>
      <c r="E12066" t="str">
        <f>"9260085703"</f>
        <v>9260085703</v>
      </c>
      <c r="F12066" s="1">
        <v>45176</v>
      </c>
      <c r="G12066" t="str">
        <f t="shared" si="2166"/>
        <v>91197</v>
      </c>
      <c r="H12066">
        <v>6</v>
      </c>
      <c r="I12066">
        <v>6288</v>
      </c>
      <c r="J12066">
        <v>0</v>
      </c>
      <c r="K12066" t="str">
        <f t="shared" si="2165"/>
        <v>813</v>
      </c>
      <c r="L12066">
        <v>5281.92</v>
      </c>
    </row>
    <row r="12067" spans="1:12" x14ac:dyDescent="0.25">
      <c r="A12067" t="str">
        <f t="shared" si="2157"/>
        <v>89301000</v>
      </c>
      <c r="B12067" t="str">
        <f t="shared" si="2161"/>
        <v>78006000</v>
      </c>
      <c r="C12067" t="str">
        <f t="shared" si="2164"/>
        <v>78006207</v>
      </c>
      <c r="D12067">
        <v>89301171</v>
      </c>
      <c r="E12067" t="str">
        <f>"8701144936"</f>
        <v>8701144936</v>
      </c>
      <c r="F12067" s="1">
        <v>45176</v>
      </c>
      <c r="G12067" t="str">
        <f t="shared" si="2166"/>
        <v>91197</v>
      </c>
      <c r="H12067">
        <v>6</v>
      </c>
      <c r="I12067">
        <v>6288</v>
      </c>
      <c r="J12067">
        <v>0</v>
      </c>
      <c r="K12067" t="str">
        <f t="shared" si="2165"/>
        <v>813</v>
      </c>
      <c r="L12067">
        <v>5281.92</v>
      </c>
    </row>
    <row r="12068" spans="1:12" x14ac:dyDescent="0.25">
      <c r="A12068" t="str">
        <f t="shared" si="2157"/>
        <v>89301000</v>
      </c>
      <c r="B12068" t="str">
        <f t="shared" si="2161"/>
        <v>78006000</v>
      </c>
      <c r="C12068" t="str">
        <f t="shared" si="2164"/>
        <v>78006207</v>
      </c>
      <c r="D12068">
        <v>89301171</v>
      </c>
      <c r="E12068" t="str">
        <f>"7056184938"</f>
        <v>7056184938</v>
      </c>
      <c r="F12068" s="1">
        <v>45196</v>
      </c>
      <c r="G12068" t="str">
        <f t="shared" si="2166"/>
        <v>91197</v>
      </c>
      <c r="H12068">
        <v>6</v>
      </c>
      <c r="I12068">
        <v>6288</v>
      </c>
      <c r="J12068">
        <v>0</v>
      </c>
      <c r="K12068" t="str">
        <f t="shared" si="2165"/>
        <v>813</v>
      </c>
      <c r="L12068">
        <v>5281.92</v>
      </c>
    </row>
    <row r="12069" spans="1:12" x14ac:dyDescent="0.25">
      <c r="A12069" t="str">
        <f t="shared" si="2157"/>
        <v>89301000</v>
      </c>
      <c r="B12069" t="str">
        <f t="shared" si="2161"/>
        <v>78006000</v>
      </c>
      <c r="C12069" t="str">
        <f t="shared" si="2164"/>
        <v>78006207</v>
      </c>
      <c r="D12069">
        <v>89301171</v>
      </c>
      <c r="E12069" t="str">
        <f>"440725164"</f>
        <v>440725164</v>
      </c>
      <c r="F12069" s="1">
        <v>45196</v>
      </c>
      <c r="G12069" t="str">
        <f t="shared" si="2166"/>
        <v>91197</v>
      </c>
      <c r="H12069">
        <v>6</v>
      </c>
      <c r="I12069">
        <v>6288</v>
      </c>
      <c r="J12069">
        <v>0</v>
      </c>
      <c r="K12069" t="str">
        <f t="shared" si="2165"/>
        <v>813</v>
      </c>
      <c r="L12069">
        <v>5281.92</v>
      </c>
    </row>
    <row r="12070" spans="1:12" x14ac:dyDescent="0.25">
      <c r="A12070" t="str">
        <f t="shared" si="2157"/>
        <v>89301000</v>
      </c>
      <c r="B12070" t="str">
        <f t="shared" si="2161"/>
        <v>78006000</v>
      </c>
      <c r="C12070" t="str">
        <f t="shared" si="2164"/>
        <v>78006207</v>
      </c>
      <c r="D12070">
        <v>89301171</v>
      </c>
      <c r="E12070" t="str">
        <f>"475315208"</f>
        <v>475315208</v>
      </c>
      <c r="F12070" s="1">
        <v>45196</v>
      </c>
      <c r="G12070" t="str">
        <f t="shared" si="2166"/>
        <v>91197</v>
      </c>
      <c r="H12070">
        <v>6</v>
      </c>
      <c r="I12070">
        <v>6288</v>
      </c>
      <c r="J12070">
        <v>0</v>
      </c>
      <c r="K12070" t="str">
        <f t="shared" si="2165"/>
        <v>813</v>
      </c>
      <c r="L12070">
        <v>5281.92</v>
      </c>
    </row>
    <row r="12071" spans="1:12" x14ac:dyDescent="0.25">
      <c r="A12071" t="str">
        <f t="shared" si="2157"/>
        <v>89301000</v>
      </c>
      <c r="B12071" t="str">
        <f t="shared" si="2161"/>
        <v>78006000</v>
      </c>
      <c r="C12071" t="str">
        <f t="shared" si="2164"/>
        <v>78006207</v>
      </c>
      <c r="D12071">
        <v>89301171</v>
      </c>
      <c r="E12071" t="str">
        <f>"0508283226"</f>
        <v>0508283226</v>
      </c>
      <c r="F12071" s="1">
        <v>45196</v>
      </c>
      <c r="G12071" t="str">
        <f t="shared" si="2166"/>
        <v>91197</v>
      </c>
      <c r="H12071">
        <v>6</v>
      </c>
      <c r="I12071">
        <v>6288</v>
      </c>
      <c r="J12071">
        <v>0</v>
      </c>
      <c r="K12071" t="str">
        <f t="shared" si="2165"/>
        <v>813</v>
      </c>
      <c r="L12071">
        <v>5281.92</v>
      </c>
    </row>
    <row r="12072" spans="1:12" x14ac:dyDescent="0.25">
      <c r="A12072" t="str">
        <f t="shared" si="2157"/>
        <v>89301000</v>
      </c>
      <c r="B12072" t="str">
        <f t="shared" si="2161"/>
        <v>78006000</v>
      </c>
      <c r="C12072" t="str">
        <f>"78006231"</f>
        <v>78006231</v>
      </c>
      <c r="D12072">
        <v>89301212</v>
      </c>
      <c r="E12072" t="str">
        <f>"470909402"</f>
        <v>470909402</v>
      </c>
      <c r="F12072" s="1">
        <v>45184</v>
      </c>
      <c r="G12072" t="str">
        <f>"89617"</f>
        <v>89617</v>
      </c>
      <c r="H12072">
        <v>1</v>
      </c>
      <c r="I12072">
        <v>1342</v>
      </c>
      <c r="J12072">
        <v>0</v>
      </c>
      <c r="K12072" t="str">
        <f>"809"</f>
        <v>809</v>
      </c>
      <c r="L12072">
        <v>872.3</v>
      </c>
    </row>
    <row r="12073" spans="1:12" x14ac:dyDescent="0.25">
      <c r="A12073" t="str">
        <f t="shared" si="2157"/>
        <v>89301000</v>
      </c>
      <c r="B12073" t="str">
        <f t="shared" si="2161"/>
        <v>78006000</v>
      </c>
      <c r="C12073" t="str">
        <f>"78006231"</f>
        <v>78006231</v>
      </c>
      <c r="D12073">
        <v>89301212</v>
      </c>
      <c r="E12073" t="str">
        <f>"470909402"</f>
        <v>470909402</v>
      </c>
      <c r="F12073" s="1">
        <v>45184</v>
      </c>
      <c r="G12073" t="str">
        <f>"0022075"</f>
        <v>0022075</v>
      </c>
      <c r="H12073">
        <v>1</v>
      </c>
      <c r="J12073">
        <v>1004.83</v>
      </c>
      <c r="K12073" t="str">
        <f>"809"</f>
        <v>809</v>
      </c>
      <c r="L12073">
        <v>1004.83</v>
      </c>
    </row>
    <row r="12074" spans="1:12" x14ac:dyDescent="0.25">
      <c r="A12074" t="str">
        <f t="shared" si="2157"/>
        <v>89301000</v>
      </c>
      <c r="B12074" t="str">
        <f t="shared" si="2161"/>
        <v>78006000</v>
      </c>
      <c r="C12074" t="str">
        <f>"78006231"</f>
        <v>78006231</v>
      </c>
      <c r="D12074">
        <v>89301212</v>
      </c>
      <c r="E12074" t="str">
        <f>"470909402"</f>
        <v>470909402</v>
      </c>
      <c r="F12074" s="1">
        <v>45184</v>
      </c>
      <c r="G12074" t="str">
        <f>"0059496"</f>
        <v>0059496</v>
      </c>
      <c r="H12074">
        <v>0.5</v>
      </c>
      <c r="J12074">
        <v>127.38</v>
      </c>
      <c r="K12074" t="str">
        <f>"809"</f>
        <v>809</v>
      </c>
      <c r="L12074">
        <v>127.38</v>
      </c>
    </row>
    <row r="12075" spans="1:12" x14ac:dyDescent="0.25">
      <c r="A12075" t="str">
        <f t="shared" si="2157"/>
        <v>89301000</v>
      </c>
      <c r="B12075" t="str">
        <f t="shared" si="2161"/>
        <v>78006000</v>
      </c>
      <c r="C12075" t="str">
        <f>"78006205"</f>
        <v>78006205</v>
      </c>
      <c r="D12075">
        <v>89301167</v>
      </c>
      <c r="E12075" t="str">
        <f>"5854210813"</f>
        <v>5854210813</v>
      </c>
      <c r="F12075" s="1">
        <v>45187</v>
      </c>
      <c r="G12075" t="str">
        <f>"96167"</f>
        <v>96167</v>
      </c>
      <c r="H12075">
        <v>1</v>
      </c>
      <c r="I12075">
        <v>67</v>
      </c>
      <c r="J12075">
        <v>0</v>
      </c>
      <c r="K12075" t="str">
        <f>"818"</f>
        <v>818</v>
      </c>
      <c r="L12075">
        <v>64.989999999999995</v>
      </c>
    </row>
    <row r="12076" spans="1:12" x14ac:dyDescent="0.25">
      <c r="A12076" t="str">
        <f t="shared" si="2157"/>
        <v>89301000</v>
      </c>
      <c r="B12076" t="str">
        <f t="shared" si="2161"/>
        <v>78006000</v>
      </c>
      <c r="C12076" t="str">
        <f>"78006231"</f>
        <v>78006231</v>
      </c>
      <c r="D12076">
        <v>89301212</v>
      </c>
      <c r="E12076" t="str">
        <f>"470909402"</f>
        <v>470909402</v>
      </c>
      <c r="F12076" s="1">
        <v>45184</v>
      </c>
      <c r="G12076" t="str">
        <f>"89131"</f>
        <v>89131</v>
      </c>
      <c r="H12076">
        <v>1</v>
      </c>
      <c r="I12076">
        <v>190</v>
      </c>
      <c r="J12076">
        <v>0</v>
      </c>
      <c r="K12076" t="str">
        <f>"809"</f>
        <v>809</v>
      </c>
      <c r="L12076">
        <v>279.3</v>
      </c>
    </row>
    <row r="12077" spans="1:12" x14ac:dyDescent="0.25">
      <c r="A12077" t="str">
        <f t="shared" si="2157"/>
        <v>89301000</v>
      </c>
      <c r="B12077" t="str">
        <f t="shared" si="2161"/>
        <v>78006000</v>
      </c>
      <c r="C12077" t="str">
        <f>"78006831"</f>
        <v>78006831</v>
      </c>
      <c r="D12077">
        <v>89301212</v>
      </c>
      <c r="E12077" t="str">
        <f>"485511456"</f>
        <v>485511456</v>
      </c>
      <c r="F12077" s="1">
        <v>45170</v>
      </c>
      <c r="G12077" t="str">
        <f>"89513"</f>
        <v>89513</v>
      </c>
      <c r="H12077">
        <v>1</v>
      </c>
      <c r="I12077">
        <v>378</v>
      </c>
      <c r="J12077">
        <v>0</v>
      </c>
      <c r="K12077" t="str">
        <f>"809"</f>
        <v>809</v>
      </c>
      <c r="L12077">
        <v>555.66</v>
      </c>
    </row>
    <row r="12078" spans="1:12" x14ac:dyDescent="0.25">
      <c r="A12078" t="str">
        <f t="shared" si="2157"/>
        <v>89301000</v>
      </c>
      <c r="B12078" t="str">
        <f t="shared" si="2161"/>
        <v>78006000</v>
      </c>
      <c r="C12078" t="str">
        <f>"78006831"</f>
        <v>78006831</v>
      </c>
      <c r="D12078">
        <v>89301212</v>
      </c>
      <c r="E12078" t="str">
        <f>"485511456"</f>
        <v>485511456</v>
      </c>
      <c r="F12078" s="1">
        <v>45170</v>
      </c>
      <c r="G12078" t="str">
        <f>"89514"</f>
        <v>89514</v>
      </c>
      <c r="H12078">
        <v>1</v>
      </c>
      <c r="I12078">
        <v>378</v>
      </c>
      <c r="J12078">
        <v>0</v>
      </c>
      <c r="K12078" t="str">
        <f>"809"</f>
        <v>809</v>
      </c>
      <c r="L12078">
        <v>555.66</v>
      </c>
    </row>
    <row r="12079" spans="1:12" x14ac:dyDescent="0.25">
      <c r="A12079" t="str">
        <f t="shared" si="2157"/>
        <v>89301000</v>
      </c>
      <c r="B12079" t="str">
        <f t="shared" si="2161"/>
        <v>78006000</v>
      </c>
      <c r="C12079" t="str">
        <f>"78006831"</f>
        <v>78006831</v>
      </c>
      <c r="D12079">
        <v>89301212</v>
      </c>
      <c r="E12079" t="str">
        <f>"380925429"</f>
        <v>380925429</v>
      </c>
      <c r="F12079" s="1">
        <v>45191</v>
      </c>
      <c r="G12079" t="str">
        <f>"89513"</f>
        <v>89513</v>
      </c>
      <c r="H12079">
        <v>1</v>
      </c>
      <c r="I12079">
        <v>378</v>
      </c>
      <c r="J12079">
        <v>0</v>
      </c>
      <c r="K12079" t="str">
        <f>"809"</f>
        <v>809</v>
      </c>
      <c r="L12079">
        <v>555.66</v>
      </c>
    </row>
    <row r="12080" spans="1:12" x14ac:dyDescent="0.25">
      <c r="A12080" t="str">
        <f t="shared" si="2157"/>
        <v>89301000</v>
      </c>
      <c r="B12080" t="str">
        <f t="shared" si="2161"/>
        <v>78006000</v>
      </c>
      <c r="C12080" t="str">
        <f>"78006831"</f>
        <v>78006831</v>
      </c>
      <c r="D12080">
        <v>89301212</v>
      </c>
      <c r="E12080" t="str">
        <f>"380925429"</f>
        <v>380925429</v>
      </c>
      <c r="F12080" s="1">
        <v>45191</v>
      </c>
      <c r="G12080" t="str">
        <f>"89514"</f>
        <v>89514</v>
      </c>
      <c r="H12080">
        <v>1</v>
      </c>
      <c r="I12080">
        <v>378</v>
      </c>
      <c r="J12080">
        <v>0</v>
      </c>
      <c r="K12080" t="str">
        <f>"809"</f>
        <v>809</v>
      </c>
      <c r="L12080">
        <v>555.66</v>
      </c>
    </row>
    <row r="12081" spans="1:12" x14ac:dyDescent="0.25">
      <c r="A12081" t="str">
        <f t="shared" si="2157"/>
        <v>89301000</v>
      </c>
      <c r="B12081" t="str">
        <f t="shared" si="2161"/>
        <v>78006000</v>
      </c>
      <c r="C12081" t="str">
        <f>"78006233"</f>
        <v>78006233</v>
      </c>
      <c r="D12081">
        <v>89301062</v>
      </c>
      <c r="E12081" t="str">
        <f>"7801025375"</f>
        <v>7801025375</v>
      </c>
      <c r="F12081" s="1">
        <v>45190</v>
      </c>
      <c r="G12081" t="str">
        <f>"89713"</f>
        <v>89713</v>
      </c>
      <c r="H12081">
        <v>1</v>
      </c>
      <c r="I12081">
        <v>5411</v>
      </c>
      <c r="J12081">
        <v>0</v>
      </c>
      <c r="K12081" t="str">
        <f>"810"</f>
        <v>810</v>
      </c>
      <c r="L12081">
        <v>3517.15</v>
      </c>
    </row>
    <row r="12082" spans="1:12" x14ac:dyDescent="0.25">
      <c r="A12082" t="str">
        <f t="shared" si="2157"/>
        <v>89301000</v>
      </c>
      <c r="B12082" t="str">
        <f t="shared" si="2161"/>
        <v>78006000</v>
      </c>
      <c r="C12082" t="str">
        <f>"78006233"</f>
        <v>78006233</v>
      </c>
      <c r="D12082">
        <v>89301062</v>
      </c>
      <c r="E12082" t="str">
        <f>"7801025375"</f>
        <v>7801025375</v>
      </c>
      <c r="F12082" s="1">
        <v>45190</v>
      </c>
      <c r="G12082" t="str">
        <f>"89725"</f>
        <v>89725</v>
      </c>
      <c r="H12082">
        <v>1</v>
      </c>
      <c r="I12082">
        <v>2863</v>
      </c>
      <c r="J12082">
        <v>0</v>
      </c>
      <c r="K12082" t="str">
        <f>"810"</f>
        <v>810</v>
      </c>
      <c r="L12082">
        <v>1860.95</v>
      </c>
    </row>
    <row r="12083" spans="1:12" x14ac:dyDescent="0.25">
      <c r="A12083" t="str">
        <f t="shared" si="2157"/>
        <v>89301000</v>
      </c>
      <c r="B12083" t="str">
        <f t="shared" ref="B12083:B12118" si="2167">"78006000"</f>
        <v>78006000</v>
      </c>
      <c r="C12083" t="str">
        <f>"78006532"</f>
        <v>78006532</v>
      </c>
      <c r="D12083">
        <v>89301172</v>
      </c>
      <c r="E12083" t="str">
        <f>"8654176135"</f>
        <v>8654176135</v>
      </c>
      <c r="F12083" s="1">
        <v>45183</v>
      </c>
      <c r="G12083" t="str">
        <f>"89713"</f>
        <v>89713</v>
      </c>
      <c r="H12083">
        <v>2</v>
      </c>
      <c r="I12083">
        <v>10822</v>
      </c>
      <c r="J12083">
        <v>0</v>
      </c>
      <c r="K12083" t="str">
        <f>"810"</f>
        <v>810</v>
      </c>
      <c r="L12083">
        <v>7034.3</v>
      </c>
    </row>
    <row r="12084" spans="1:12" x14ac:dyDescent="0.25">
      <c r="A12084" t="str">
        <f t="shared" si="2157"/>
        <v>89301000</v>
      </c>
      <c r="B12084" t="str">
        <f t="shared" si="2167"/>
        <v>78006000</v>
      </c>
      <c r="C12084" t="str">
        <f>"78006532"</f>
        <v>78006532</v>
      </c>
      <c r="D12084">
        <v>89301172</v>
      </c>
      <c r="E12084" t="str">
        <f>"8654176135"</f>
        <v>8654176135</v>
      </c>
      <c r="F12084" s="1">
        <v>45183</v>
      </c>
      <c r="G12084" t="str">
        <f>"89725"</f>
        <v>89725</v>
      </c>
      <c r="H12084">
        <v>1</v>
      </c>
      <c r="I12084">
        <v>2863</v>
      </c>
      <c r="J12084">
        <v>0</v>
      </c>
      <c r="K12084" t="str">
        <f>"810"</f>
        <v>810</v>
      </c>
      <c r="L12084">
        <v>1860.95</v>
      </c>
    </row>
    <row r="12085" spans="1:12" x14ac:dyDescent="0.25">
      <c r="A12085" t="str">
        <f t="shared" si="2157"/>
        <v>89301000</v>
      </c>
      <c r="B12085" t="str">
        <f t="shared" si="2167"/>
        <v>78006000</v>
      </c>
      <c r="C12085" t="str">
        <f t="shared" ref="C12085:C12112" si="2168">"78006201"</f>
        <v>78006201</v>
      </c>
      <c r="D12085">
        <v>89301167</v>
      </c>
      <c r="E12085" t="str">
        <f t="shared" ref="E12085:E12091" si="2169">"5854210813"</f>
        <v>5854210813</v>
      </c>
      <c r="F12085" s="1">
        <v>45187</v>
      </c>
      <c r="G12085" t="str">
        <f>"81249"</f>
        <v>81249</v>
      </c>
      <c r="H12085">
        <v>1</v>
      </c>
      <c r="I12085">
        <v>334</v>
      </c>
      <c r="J12085">
        <v>0</v>
      </c>
      <c r="K12085" t="str">
        <f t="shared" ref="K12085:K12112" si="2170">"801"</f>
        <v>801</v>
      </c>
      <c r="L12085">
        <v>280.56</v>
      </c>
    </row>
    <row r="12086" spans="1:12" x14ac:dyDescent="0.25">
      <c r="A12086" t="str">
        <f t="shared" si="2157"/>
        <v>89301000</v>
      </c>
      <c r="B12086" t="str">
        <f t="shared" si="2167"/>
        <v>78006000</v>
      </c>
      <c r="C12086" t="str">
        <f t="shared" si="2168"/>
        <v>78006201</v>
      </c>
      <c r="D12086">
        <v>89301167</v>
      </c>
      <c r="E12086" t="str">
        <f t="shared" si="2169"/>
        <v>5854210813</v>
      </c>
      <c r="F12086" s="1">
        <v>45187</v>
      </c>
      <c r="G12086" t="str">
        <f>"81329"</f>
        <v>81329</v>
      </c>
      <c r="H12086">
        <v>1</v>
      </c>
      <c r="I12086">
        <v>17</v>
      </c>
      <c r="J12086">
        <v>0</v>
      </c>
      <c r="K12086" t="str">
        <f t="shared" si="2170"/>
        <v>801</v>
      </c>
      <c r="L12086">
        <v>14.28</v>
      </c>
    </row>
    <row r="12087" spans="1:12" x14ac:dyDescent="0.25">
      <c r="A12087" t="str">
        <f t="shared" si="2157"/>
        <v>89301000</v>
      </c>
      <c r="B12087" t="str">
        <f t="shared" si="2167"/>
        <v>78006000</v>
      </c>
      <c r="C12087" t="str">
        <f t="shared" si="2168"/>
        <v>78006201</v>
      </c>
      <c r="D12087">
        <v>89301167</v>
      </c>
      <c r="E12087" t="str">
        <f t="shared" si="2169"/>
        <v>5854210813</v>
      </c>
      <c r="F12087" s="1">
        <v>45187</v>
      </c>
      <c r="G12087" t="str">
        <f>"81383"</f>
        <v>81383</v>
      </c>
      <c r="H12087">
        <v>1</v>
      </c>
      <c r="I12087">
        <v>24</v>
      </c>
      <c r="J12087">
        <v>0</v>
      </c>
      <c r="K12087" t="str">
        <f t="shared" si="2170"/>
        <v>801</v>
      </c>
      <c r="L12087">
        <v>20.16</v>
      </c>
    </row>
    <row r="12088" spans="1:12" x14ac:dyDescent="0.25">
      <c r="A12088" t="str">
        <f t="shared" si="2157"/>
        <v>89301000</v>
      </c>
      <c r="B12088" t="str">
        <f t="shared" si="2167"/>
        <v>78006000</v>
      </c>
      <c r="C12088" t="str">
        <f t="shared" si="2168"/>
        <v>78006201</v>
      </c>
      <c r="D12088">
        <v>89301167</v>
      </c>
      <c r="E12088" t="str">
        <f t="shared" si="2169"/>
        <v>5854210813</v>
      </c>
      <c r="F12088" s="1">
        <v>45187</v>
      </c>
      <c r="G12088" t="str">
        <f>"81625"</f>
        <v>81625</v>
      </c>
      <c r="H12088">
        <v>1</v>
      </c>
      <c r="I12088">
        <v>21</v>
      </c>
      <c r="J12088">
        <v>0</v>
      </c>
      <c r="K12088" t="str">
        <f t="shared" si="2170"/>
        <v>801</v>
      </c>
      <c r="L12088">
        <v>17.64</v>
      </c>
    </row>
    <row r="12089" spans="1:12" x14ac:dyDescent="0.25">
      <c r="A12089" t="str">
        <f t="shared" si="2157"/>
        <v>89301000</v>
      </c>
      <c r="B12089" t="str">
        <f t="shared" si="2167"/>
        <v>78006000</v>
      </c>
      <c r="C12089" t="str">
        <f t="shared" si="2168"/>
        <v>78006201</v>
      </c>
      <c r="D12089">
        <v>89301167</v>
      </c>
      <c r="E12089" t="str">
        <f t="shared" si="2169"/>
        <v>5854210813</v>
      </c>
      <c r="F12089" s="1">
        <v>45187</v>
      </c>
      <c r="G12089" t="str">
        <f>"93189"</f>
        <v>93189</v>
      </c>
      <c r="H12089">
        <v>1</v>
      </c>
      <c r="I12089">
        <v>191</v>
      </c>
      <c r="J12089">
        <v>0</v>
      </c>
      <c r="K12089" t="str">
        <f t="shared" si="2170"/>
        <v>801</v>
      </c>
      <c r="L12089">
        <v>160.44</v>
      </c>
    </row>
    <row r="12090" spans="1:12" x14ac:dyDescent="0.25">
      <c r="A12090" t="str">
        <f t="shared" si="2157"/>
        <v>89301000</v>
      </c>
      <c r="B12090" t="str">
        <f t="shared" si="2167"/>
        <v>78006000</v>
      </c>
      <c r="C12090" t="str">
        <f t="shared" si="2168"/>
        <v>78006201</v>
      </c>
      <c r="D12090">
        <v>89301167</v>
      </c>
      <c r="E12090" t="str">
        <f t="shared" si="2169"/>
        <v>5854210813</v>
      </c>
      <c r="F12090" s="1">
        <v>45187</v>
      </c>
      <c r="G12090" t="str">
        <f>"93195"</f>
        <v>93195</v>
      </c>
      <c r="H12090">
        <v>1</v>
      </c>
      <c r="I12090">
        <v>183</v>
      </c>
      <c r="J12090">
        <v>0</v>
      </c>
      <c r="K12090" t="str">
        <f t="shared" si="2170"/>
        <v>801</v>
      </c>
      <c r="L12090">
        <v>153.72</v>
      </c>
    </row>
    <row r="12091" spans="1:12" x14ac:dyDescent="0.25">
      <c r="A12091" t="str">
        <f t="shared" si="2157"/>
        <v>89301000</v>
      </c>
      <c r="B12091" t="str">
        <f t="shared" si="2167"/>
        <v>78006000</v>
      </c>
      <c r="C12091" t="str">
        <f t="shared" si="2168"/>
        <v>78006201</v>
      </c>
      <c r="D12091">
        <v>89301167</v>
      </c>
      <c r="E12091" t="str">
        <f t="shared" si="2169"/>
        <v>5854210813</v>
      </c>
      <c r="F12091" s="1">
        <v>45187</v>
      </c>
      <c r="G12091" t="str">
        <f>"97111"</f>
        <v>97111</v>
      </c>
      <c r="H12091">
        <v>1</v>
      </c>
      <c r="I12091">
        <v>19</v>
      </c>
      <c r="J12091">
        <v>0</v>
      </c>
      <c r="K12091" t="str">
        <f t="shared" si="2170"/>
        <v>801</v>
      </c>
      <c r="L12091">
        <v>23.94</v>
      </c>
    </row>
    <row r="12092" spans="1:12" x14ac:dyDescent="0.25">
      <c r="A12092" t="str">
        <f t="shared" si="2157"/>
        <v>89301000</v>
      </c>
      <c r="B12092" t="str">
        <f t="shared" si="2167"/>
        <v>78006000</v>
      </c>
      <c r="C12092" t="str">
        <f t="shared" si="2168"/>
        <v>78006201</v>
      </c>
      <c r="D12092">
        <v>89301171</v>
      </c>
      <c r="E12092" t="str">
        <f>"6762230145"</f>
        <v>6762230145</v>
      </c>
      <c r="F12092" s="1">
        <v>45180</v>
      </c>
      <c r="G12092" t="str">
        <f t="shared" ref="G12092:G12098" si="2171">"81703"</f>
        <v>81703</v>
      </c>
      <c r="H12092">
        <v>2</v>
      </c>
      <c r="I12092">
        <v>556</v>
      </c>
      <c r="J12092">
        <v>0</v>
      </c>
      <c r="K12092" t="str">
        <f t="shared" si="2170"/>
        <v>801</v>
      </c>
      <c r="L12092">
        <v>467.04</v>
      </c>
    </row>
    <row r="12093" spans="1:12" x14ac:dyDescent="0.25">
      <c r="A12093" t="str">
        <f t="shared" si="2157"/>
        <v>89301000</v>
      </c>
      <c r="B12093" t="str">
        <f t="shared" si="2167"/>
        <v>78006000</v>
      </c>
      <c r="C12093" t="str">
        <f t="shared" si="2168"/>
        <v>78006201</v>
      </c>
      <c r="D12093">
        <v>89301171</v>
      </c>
      <c r="E12093" t="str">
        <f>"7209115342"</f>
        <v>7209115342</v>
      </c>
      <c r="F12093" s="1">
        <v>45180</v>
      </c>
      <c r="G12093" t="str">
        <f t="shared" si="2171"/>
        <v>81703</v>
      </c>
      <c r="H12093">
        <v>2</v>
      </c>
      <c r="I12093">
        <v>556</v>
      </c>
      <c r="J12093">
        <v>0</v>
      </c>
      <c r="K12093" t="str">
        <f t="shared" si="2170"/>
        <v>801</v>
      </c>
      <c r="L12093">
        <v>467.04</v>
      </c>
    </row>
    <row r="12094" spans="1:12" x14ac:dyDescent="0.25">
      <c r="A12094" t="str">
        <f t="shared" si="2157"/>
        <v>89301000</v>
      </c>
      <c r="B12094" t="str">
        <f t="shared" si="2167"/>
        <v>78006000</v>
      </c>
      <c r="C12094" t="str">
        <f t="shared" si="2168"/>
        <v>78006201</v>
      </c>
      <c r="D12094">
        <v>89301171</v>
      </c>
      <c r="E12094" t="str">
        <f>"7056184938"</f>
        <v>7056184938</v>
      </c>
      <c r="F12094" s="1">
        <v>45180</v>
      </c>
      <c r="G12094" t="str">
        <f t="shared" si="2171"/>
        <v>81703</v>
      </c>
      <c r="H12094">
        <v>2</v>
      </c>
      <c r="I12094">
        <v>556</v>
      </c>
      <c r="J12094">
        <v>0</v>
      </c>
      <c r="K12094" t="str">
        <f t="shared" si="2170"/>
        <v>801</v>
      </c>
      <c r="L12094">
        <v>467.04</v>
      </c>
    </row>
    <row r="12095" spans="1:12" x14ac:dyDescent="0.25">
      <c r="A12095" t="str">
        <f t="shared" si="2157"/>
        <v>89301000</v>
      </c>
      <c r="B12095" t="str">
        <f t="shared" si="2167"/>
        <v>78006000</v>
      </c>
      <c r="C12095" t="str">
        <f t="shared" si="2168"/>
        <v>78006201</v>
      </c>
      <c r="D12095">
        <v>89301171</v>
      </c>
      <c r="E12095" t="str">
        <f>"475315208"</f>
        <v>475315208</v>
      </c>
      <c r="F12095" s="1">
        <v>45187</v>
      </c>
      <c r="G12095" t="str">
        <f t="shared" si="2171"/>
        <v>81703</v>
      </c>
      <c r="H12095">
        <v>2</v>
      </c>
      <c r="I12095">
        <v>556</v>
      </c>
      <c r="J12095">
        <v>0</v>
      </c>
      <c r="K12095" t="str">
        <f t="shared" si="2170"/>
        <v>801</v>
      </c>
      <c r="L12095">
        <v>467.04</v>
      </c>
    </row>
    <row r="12096" spans="1:12" x14ac:dyDescent="0.25">
      <c r="A12096" t="str">
        <f t="shared" si="2157"/>
        <v>89301000</v>
      </c>
      <c r="B12096" t="str">
        <f t="shared" si="2167"/>
        <v>78006000</v>
      </c>
      <c r="C12096" t="str">
        <f t="shared" si="2168"/>
        <v>78006201</v>
      </c>
      <c r="D12096">
        <v>89301171</v>
      </c>
      <c r="E12096" t="str">
        <f>"440725164"</f>
        <v>440725164</v>
      </c>
      <c r="F12096" s="1">
        <v>45187</v>
      </c>
      <c r="G12096" t="str">
        <f t="shared" si="2171"/>
        <v>81703</v>
      </c>
      <c r="H12096">
        <v>2</v>
      </c>
      <c r="I12096">
        <v>556</v>
      </c>
      <c r="J12096">
        <v>0</v>
      </c>
      <c r="K12096" t="str">
        <f t="shared" si="2170"/>
        <v>801</v>
      </c>
      <c r="L12096">
        <v>467.04</v>
      </c>
    </row>
    <row r="12097" spans="1:12" x14ac:dyDescent="0.25">
      <c r="A12097" t="str">
        <f t="shared" si="2157"/>
        <v>89301000</v>
      </c>
      <c r="B12097" t="str">
        <f t="shared" si="2167"/>
        <v>78006000</v>
      </c>
      <c r="C12097" t="str">
        <f t="shared" si="2168"/>
        <v>78006201</v>
      </c>
      <c r="D12097">
        <v>89301171</v>
      </c>
      <c r="E12097" t="str">
        <f>"0508283226"</f>
        <v>0508283226</v>
      </c>
      <c r="F12097" s="1">
        <v>45187</v>
      </c>
      <c r="G12097" t="str">
        <f t="shared" si="2171"/>
        <v>81703</v>
      </c>
      <c r="H12097">
        <v>2</v>
      </c>
      <c r="I12097">
        <v>556</v>
      </c>
      <c r="J12097">
        <v>0</v>
      </c>
      <c r="K12097" t="str">
        <f t="shared" si="2170"/>
        <v>801</v>
      </c>
      <c r="L12097">
        <v>467.04</v>
      </c>
    </row>
    <row r="12098" spans="1:12" x14ac:dyDescent="0.25">
      <c r="A12098" t="str">
        <f t="shared" ref="A12098:A12161" si="2172">"89301000"</f>
        <v>89301000</v>
      </c>
      <c r="B12098" t="str">
        <f t="shared" si="2167"/>
        <v>78006000</v>
      </c>
      <c r="C12098" t="str">
        <f t="shared" si="2168"/>
        <v>78006201</v>
      </c>
      <c r="D12098">
        <v>89301171</v>
      </c>
      <c r="E12098" t="str">
        <f>"7102155698"</f>
        <v>7102155698</v>
      </c>
      <c r="F12098" s="1">
        <v>45194</v>
      </c>
      <c r="G12098" t="str">
        <f t="shared" si="2171"/>
        <v>81703</v>
      </c>
      <c r="H12098">
        <v>2</v>
      </c>
      <c r="I12098">
        <v>556</v>
      </c>
      <c r="J12098">
        <v>0</v>
      </c>
      <c r="K12098" t="str">
        <f t="shared" si="2170"/>
        <v>801</v>
      </c>
      <c r="L12098">
        <v>467.04</v>
      </c>
    </row>
    <row r="12099" spans="1:12" x14ac:dyDescent="0.25">
      <c r="A12099" t="str">
        <f t="shared" si="2172"/>
        <v>89301000</v>
      </c>
      <c r="B12099" t="str">
        <f t="shared" si="2167"/>
        <v>78006000</v>
      </c>
      <c r="C12099" t="str">
        <f t="shared" si="2168"/>
        <v>78006201</v>
      </c>
      <c r="D12099">
        <v>89301082</v>
      </c>
      <c r="E12099" t="str">
        <f>"8660165822"</f>
        <v>8660165822</v>
      </c>
      <c r="F12099" s="1">
        <v>45196</v>
      </c>
      <c r="G12099" t="str">
        <f>"81707"</f>
        <v>81707</v>
      </c>
      <c r="H12099">
        <v>1</v>
      </c>
      <c r="I12099">
        <v>394</v>
      </c>
      <c r="J12099">
        <v>0</v>
      </c>
      <c r="K12099" t="str">
        <f t="shared" si="2170"/>
        <v>801</v>
      </c>
      <c r="L12099">
        <v>330.96</v>
      </c>
    </row>
    <row r="12100" spans="1:12" x14ac:dyDescent="0.25">
      <c r="A12100" t="str">
        <f t="shared" si="2172"/>
        <v>89301000</v>
      </c>
      <c r="B12100" t="str">
        <f t="shared" si="2167"/>
        <v>78006000</v>
      </c>
      <c r="C12100" t="str">
        <f t="shared" si="2168"/>
        <v>78006201</v>
      </c>
      <c r="D12100">
        <v>89301082</v>
      </c>
      <c r="E12100" t="str">
        <f>"8660165822"</f>
        <v>8660165822</v>
      </c>
      <c r="F12100" s="1">
        <v>45196</v>
      </c>
      <c r="G12100" t="str">
        <f>"97111"</f>
        <v>97111</v>
      </c>
      <c r="H12100">
        <v>1</v>
      </c>
      <c r="I12100">
        <v>19</v>
      </c>
      <c r="J12100">
        <v>0</v>
      </c>
      <c r="K12100" t="str">
        <f t="shared" si="2170"/>
        <v>801</v>
      </c>
      <c r="L12100">
        <v>23.94</v>
      </c>
    </row>
    <row r="12101" spans="1:12" x14ac:dyDescent="0.25">
      <c r="A12101" t="str">
        <f t="shared" si="2172"/>
        <v>89301000</v>
      </c>
      <c r="B12101" t="str">
        <f t="shared" si="2167"/>
        <v>78006000</v>
      </c>
      <c r="C12101" t="str">
        <f t="shared" si="2168"/>
        <v>78006201</v>
      </c>
      <c r="D12101">
        <v>89301167</v>
      </c>
      <c r="E12101" t="str">
        <f t="shared" ref="E12101:E12112" si="2173">"5854210813"</f>
        <v>5854210813</v>
      </c>
      <c r="F12101" s="1">
        <v>45187</v>
      </c>
      <c r="G12101" t="str">
        <f>"81337"</f>
        <v>81337</v>
      </c>
      <c r="H12101">
        <v>1</v>
      </c>
      <c r="I12101">
        <v>20</v>
      </c>
      <c r="J12101">
        <v>0</v>
      </c>
      <c r="K12101" t="str">
        <f t="shared" si="2170"/>
        <v>801</v>
      </c>
      <c r="L12101">
        <v>16.8</v>
      </c>
    </row>
    <row r="12102" spans="1:12" x14ac:dyDescent="0.25">
      <c r="A12102" t="str">
        <f t="shared" si="2172"/>
        <v>89301000</v>
      </c>
      <c r="B12102" t="str">
        <f t="shared" si="2167"/>
        <v>78006000</v>
      </c>
      <c r="C12102" t="str">
        <f t="shared" si="2168"/>
        <v>78006201</v>
      </c>
      <c r="D12102">
        <v>89301167</v>
      </c>
      <c r="E12102" t="str">
        <f t="shared" si="2173"/>
        <v>5854210813</v>
      </c>
      <c r="F12102" s="1">
        <v>45187</v>
      </c>
      <c r="G12102" t="str">
        <f>"81357"</f>
        <v>81357</v>
      </c>
      <c r="H12102">
        <v>1</v>
      </c>
      <c r="I12102">
        <v>20</v>
      </c>
      <c r="J12102">
        <v>0</v>
      </c>
      <c r="K12102" t="str">
        <f t="shared" si="2170"/>
        <v>801</v>
      </c>
      <c r="L12102">
        <v>16.8</v>
      </c>
    </row>
    <row r="12103" spans="1:12" x14ac:dyDescent="0.25">
      <c r="A12103" t="str">
        <f t="shared" si="2172"/>
        <v>89301000</v>
      </c>
      <c r="B12103" t="str">
        <f t="shared" si="2167"/>
        <v>78006000</v>
      </c>
      <c r="C12103" t="str">
        <f t="shared" si="2168"/>
        <v>78006201</v>
      </c>
      <c r="D12103">
        <v>89301167</v>
      </c>
      <c r="E12103" t="str">
        <f t="shared" si="2173"/>
        <v>5854210813</v>
      </c>
      <c r="F12103" s="1">
        <v>45187</v>
      </c>
      <c r="G12103" t="str">
        <f>"81361"</f>
        <v>81361</v>
      </c>
      <c r="H12103">
        <v>1</v>
      </c>
      <c r="I12103">
        <v>17</v>
      </c>
      <c r="J12103">
        <v>0</v>
      </c>
      <c r="K12103" t="str">
        <f t="shared" si="2170"/>
        <v>801</v>
      </c>
      <c r="L12103">
        <v>14.28</v>
      </c>
    </row>
    <row r="12104" spans="1:12" x14ac:dyDescent="0.25">
      <c r="A12104" t="str">
        <f t="shared" si="2172"/>
        <v>89301000</v>
      </c>
      <c r="B12104" t="str">
        <f t="shared" si="2167"/>
        <v>78006000</v>
      </c>
      <c r="C12104" t="str">
        <f t="shared" si="2168"/>
        <v>78006201</v>
      </c>
      <c r="D12104">
        <v>89301167</v>
      </c>
      <c r="E12104" t="str">
        <f t="shared" si="2173"/>
        <v>5854210813</v>
      </c>
      <c r="F12104" s="1">
        <v>45187</v>
      </c>
      <c r="G12104" t="str">
        <f>"81365"</f>
        <v>81365</v>
      </c>
      <c r="H12104">
        <v>1</v>
      </c>
      <c r="I12104">
        <v>16</v>
      </c>
      <c r="J12104">
        <v>0</v>
      </c>
      <c r="K12104" t="str">
        <f t="shared" si="2170"/>
        <v>801</v>
      </c>
      <c r="L12104">
        <v>13.44</v>
      </c>
    </row>
    <row r="12105" spans="1:12" x14ac:dyDescent="0.25">
      <c r="A12105" t="str">
        <f t="shared" si="2172"/>
        <v>89301000</v>
      </c>
      <c r="B12105" t="str">
        <f t="shared" si="2167"/>
        <v>78006000</v>
      </c>
      <c r="C12105" t="str">
        <f t="shared" si="2168"/>
        <v>78006201</v>
      </c>
      <c r="D12105">
        <v>89301167</v>
      </c>
      <c r="E12105" t="str">
        <f t="shared" si="2173"/>
        <v>5854210813</v>
      </c>
      <c r="F12105" s="1">
        <v>45187</v>
      </c>
      <c r="G12105" t="str">
        <f>"81393"</f>
        <v>81393</v>
      </c>
      <c r="H12105">
        <v>1</v>
      </c>
      <c r="I12105">
        <v>24</v>
      </c>
      <c r="J12105">
        <v>0</v>
      </c>
      <c r="K12105" t="str">
        <f t="shared" si="2170"/>
        <v>801</v>
      </c>
      <c r="L12105">
        <v>20.16</v>
      </c>
    </row>
    <row r="12106" spans="1:12" x14ac:dyDescent="0.25">
      <c r="A12106" t="str">
        <f t="shared" si="2172"/>
        <v>89301000</v>
      </c>
      <c r="B12106" t="str">
        <f t="shared" si="2167"/>
        <v>78006000</v>
      </c>
      <c r="C12106" t="str">
        <f t="shared" si="2168"/>
        <v>78006201</v>
      </c>
      <c r="D12106">
        <v>89301167</v>
      </c>
      <c r="E12106" t="str">
        <f t="shared" si="2173"/>
        <v>5854210813</v>
      </c>
      <c r="F12106" s="1">
        <v>45187</v>
      </c>
      <c r="G12106" t="str">
        <f>"81421"</f>
        <v>81421</v>
      </c>
      <c r="H12106">
        <v>1</v>
      </c>
      <c r="I12106">
        <v>19</v>
      </c>
      <c r="J12106">
        <v>0</v>
      </c>
      <c r="K12106" t="str">
        <f t="shared" si="2170"/>
        <v>801</v>
      </c>
      <c r="L12106">
        <v>15.96</v>
      </c>
    </row>
    <row r="12107" spans="1:12" x14ac:dyDescent="0.25">
      <c r="A12107" t="str">
        <f t="shared" si="2172"/>
        <v>89301000</v>
      </c>
      <c r="B12107" t="str">
        <f t="shared" si="2167"/>
        <v>78006000</v>
      </c>
      <c r="C12107" t="str">
        <f t="shared" si="2168"/>
        <v>78006201</v>
      </c>
      <c r="D12107">
        <v>89301167</v>
      </c>
      <c r="E12107" t="str">
        <f t="shared" si="2173"/>
        <v>5854210813</v>
      </c>
      <c r="F12107" s="1">
        <v>45187</v>
      </c>
      <c r="G12107" t="str">
        <f>"81435"</f>
        <v>81435</v>
      </c>
      <c r="H12107">
        <v>1</v>
      </c>
      <c r="I12107">
        <v>22</v>
      </c>
      <c r="J12107">
        <v>0</v>
      </c>
      <c r="K12107" t="str">
        <f t="shared" si="2170"/>
        <v>801</v>
      </c>
      <c r="L12107">
        <v>18.48</v>
      </c>
    </row>
    <row r="12108" spans="1:12" x14ac:dyDescent="0.25">
      <c r="A12108" t="str">
        <f t="shared" si="2172"/>
        <v>89301000</v>
      </c>
      <c r="B12108" t="str">
        <f t="shared" si="2167"/>
        <v>78006000</v>
      </c>
      <c r="C12108" t="str">
        <f t="shared" si="2168"/>
        <v>78006201</v>
      </c>
      <c r="D12108">
        <v>89301167</v>
      </c>
      <c r="E12108" t="str">
        <f t="shared" si="2173"/>
        <v>5854210813</v>
      </c>
      <c r="F12108" s="1">
        <v>45187</v>
      </c>
      <c r="G12108" t="str">
        <f>"81439"</f>
        <v>81439</v>
      </c>
      <c r="H12108">
        <v>1</v>
      </c>
      <c r="I12108">
        <v>16</v>
      </c>
      <c r="J12108">
        <v>0</v>
      </c>
      <c r="K12108" t="str">
        <f t="shared" si="2170"/>
        <v>801</v>
      </c>
      <c r="L12108">
        <v>13.44</v>
      </c>
    </row>
    <row r="12109" spans="1:12" x14ac:dyDescent="0.25">
      <c r="A12109" t="str">
        <f t="shared" si="2172"/>
        <v>89301000</v>
      </c>
      <c r="B12109" t="str">
        <f t="shared" si="2167"/>
        <v>78006000</v>
      </c>
      <c r="C12109" t="str">
        <f t="shared" si="2168"/>
        <v>78006201</v>
      </c>
      <c r="D12109">
        <v>89301167</v>
      </c>
      <c r="E12109" t="str">
        <f t="shared" si="2173"/>
        <v>5854210813</v>
      </c>
      <c r="F12109" s="1">
        <v>45187</v>
      </c>
      <c r="G12109" t="str">
        <f>"81469"</f>
        <v>81469</v>
      </c>
      <c r="H12109">
        <v>1</v>
      </c>
      <c r="I12109">
        <v>16</v>
      </c>
      <c r="J12109">
        <v>0</v>
      </c>
      <c r="K12109" t="str">
        <f t="shared" si="2170"/>
        <v>801</v>
      </c>
      <c r="L12109">
        <v>13.44</v>
      </c>
    </row>
    <row r="12110" spans="1:12" x14ac:dyDescent="0.25">
      <c r="A12110" t="str">
        <f t="shared" si="2172"/>
        <v>89301000</v>
      </c>
      <c r="B12110" t="str">
        <f t="shared" si="2167"/>
        <v>78006000</v>
      </c>
      <c r="C12110" t="str">
        <f t="shared" si="2168"/>
        <v>78006201</v>
      </c>
      <c r="D12110">
        <v>89301167</v>
      </c>
      <c r="E12110" t="str">
        <f t="shared" si="2173"/>
        <v>5854210813</v>
      </c>
      <c r="F12110" s="1">
        <v>45187</v>
      </c>
      <c r="G12110" t="str">
        <f>"81499"</f>
        <v>81499</v>
      </c>
      <c r="H12110">
        <v>1</v>
      </c>
      <c r="I12110">
        <v>18</v>
      </c>
      <c r="J12110">
        <v>0</v>
      </c>
      <c r="K12110" t="str">
        <f t="shared" si="2170"/>
        <v>801</v>
      </c>
      <c r="L12110">
        <v>15.12</v>
      </c>
    </row>
    <row r="12111" spans="1:12" x14ac:dyDescent="0.25">
      <c r="A12111" t="str">
        <f t="shared" si="2172"/>
        <v>89301000</v>
      </c>
      <c r="B12111" t="str">
        <f t="shared" si="2167"/>
        <v>78006000</v>
      </c>
      <c r="C12111" t="str">
        <f t="shared" si="2168"/>
        <v>78006201</v>
      </c>
      <c r="D12111">
        <v>89301167</v>
      </c>
      <c r="E12111" t="str">
        <f t="shared" si="2173"/>
        <v>5854210813</v>
      </c>
      <c r="F12111" s="1">
        <v>45187</v>
      </c>
      <c r="G12111" t="str">
        <f>"81593"</f>
        <v>81593</v>
      </c>
      <c r="H12111">
        <v>1</v>
      </c>
      <c r="I12111">
        <v>22</v>
      </c>
      <c r="J12111">
        <v>0</v>
      </c>
      <c r="K12111" t="str">
        <f t="shared" si="2170"/>
        <v>801</v>
      </c>
      <c r="L12111">
        <v>18.48</v>
      </c>
    </row>
    <row r="12112" spans="1:12" x14ac:dyDescent="0.25">
      <c r="A12112" t="str">
        <f t="shared" si="2172"/>
        <v>89301000</v>
      </c>
      <c r="B12112" t="str">
        <f t="shared" si="2167"/>
        <v>78006000</v>
      </c>
      <c r="C12112" t="str">
        <f t="shared" si="2168"/>
        <v>78006201</v>
      </c>
      <c r="D12112">
        <v>89301167</v>
      </c>
      <c r="E12112" t="str">
        <f t="shared" si="2173"/>
        <v>5854210813</v>
      </c>
      <c r="F12112" s="1">
        <v>45187</v>
      </c>
      <c r="G12112" t="str">
        <f>"81621"</f>
        <v>81621</v>
      </c>
      <c r="H12112">
        <v>1</v>
      </c>
      <c r="I12112">
        <v>19</v>
      </c>
      <c r="J12112">
        <v>0</v>
      </c>
      <c r="K12112" t="str">
        <f t="shared" si="2170"/>
        <v>801</v>
      </c>
      <c r="L12112">
        <v>15.96</v>
      </c>
    </row>
    <row r="12113" spans="1:12" x14ac:dyDescent="0.25">
      <c r="A12113" t="str">
        <f t="shared" si="2172"/>
        <v>89301000</v>
      </c>
      <c r="B12113" t="str">
        <f t="shared" si="2167"/>
        <v>78006000</v>
      </c>
      <c r="C12113" t="str">
        <f t="shared" ref="C12113:C12118" si="2174">"78006832"</f>
        <v>78006832</v>
      </c>
      <c r="D12113">
        <v>89301112</v>
      </c>
      <c r="E12113" t="str">
        <f>"7857125320"</f>
        <v>7857125320</v>
      </c>
      <c r="F12113" s="1">
        <v>45174</v>
      </c>
      <c r="G12113" t="str">
        <f>"89713"</f>
        <v>89713</v>
      </c>
      <c r="H12113">
        <v>1</v>
      </c>
      <c r="I12113">
        <v>5411</v>
      </c>
      <c r="J12113">
        <v>0</v>
      </c>
      <c r="K12113" t="str">
        <f t="shared" ref="K12113:K12118" si="2175">"810"</f>
        <v>810</v>
      </c>
      <c r="L12113">
        <v>3517.15</v>
      </c>
    </row>
    <row r="12114" spans="1:12" x14ac:dyDescent="0.25">
      <c r="A12114" t="str">
        <f t="shared" si="2172"/>
        <v>89301000</v>
      </c>
      <c r="B12114" t="str">
        <f t="shared" si="2167"/>
        <v>78006000</v>
      </c>
      <c r="C12114" t="str">
        <f t="shared" si="2174"/>
        <v>78006832</v>
      </c>
      <c r="D12114">
        <v>89301312</v>
      </c>
      <c r="E12114" t="str">
        <f>"8904195718"</f>
        <v>8904195718</v>
      </c>
      <c r="F12114" s="1">
        <v>45184</v>
      </c>
      <c r="G12114" t="str">
        <f>"89713"</f>
        <v>89713</v>
      </c>
      <c r="H12114">
        <v>1</v>
      </c>
      <c r="I12114">
        <v>5411</v>
      </c>
      <c r="J12114">
        <v>0</v>
      </c>
      <c r="K12114" t="str">
        <f t="shared" si="2175"/>
        <v>810</v>
      </c>
      <c r="L12114">
        <v>3517.15</v>
      </c>
    </row>
    <row r="12115" spans="1:12" x14ac:dyDescent="0.25">
      <c r="A12115" t="str">
        <f t="shared" si="2172"/>
        <v>89301000</v>
      </c>
      <c r="B12115" t="str">
        <f t="shared" si="2167"/>
        <v>78006000</v>
      </c>
      <c r="C12115" t="str">
        <f t="shared" si="2174"/>
        <v>78006832</v>
      </c>
      <c r="D12115">
        <v>89301112</v>
      </c>
      <c r="E12115" t="str">
        <f>"6557152030"</f>
        <v>6557152030</v>
      </c>
      <c r="F12115" s="1">
        <v>45188</v>
      </c>
      <c r="G12115" t="str">
        <f>"89713"</f>
        <v>89713</v>
      </c>
      <c r="H12115">
        <v>1</v>
      </c>
      <c r="I12115">
        <v>5411</v>
      </c>
      <c r="J12115">
        <v>0</v>
      </c>
      <c r="K12115" t="str">
        <f t="shared" si="2175"/>
        <v>810</v>
      </c>
      <c r="L12115">
        <v>3517.15</v>
      </c>
    </row>
    <row r="12116" spans="1:12" x14ac:dyDescent="0.25">
      <c r="A12116" t="str">
        <f t="shared" si="2172"/>
        <v>89301000</v>
      </c>
      <c r="B12116" t="str">
        <f t="shared" si="2167"/>
        <v>78006000</v>
      </c>
      <c r="C12116" t="str">
        <f t="shared" si="2174"/>
        <v>78006832</v>
      </c>
      <c r="D12116">
        <v>89301062</v>
      </c>
      <c r="E12116" t="str">
        <f>"6354191283"</f>
        <v>6354191283</v>
      </c>
      <c r="F12116" s="1">
        <v>45191</v>
      </c>
      <c r="G12116" t="str">
        <f>"89713"</f>
        <v>89713</v>
      </c>
      <c r="H12116">
        <v>1</v>
      </c>
      <c r="I12116">
        <v>5411</v>
      </c>
      <c r="J12116">
        <v>0</v>
      </c>
      <c r="K12116" t="str">
        <f t="shared" si="2175"/>
        <v>810</v>
      </c>
      <c r="L12116">
        <v>3517.15</v>
      </c>
    </row>
    <row r="12117" spans="1:12" x14ac:dyDescent="0.25">
      <c r="A12117" t="str">
        <f t="shared" si="2172"/>
        <v>89301000</v>
      </c>
      <c r="B12117" t="str">
        <f t="shared" si="2167"/>
        <v>78006000</v>
      </c>
      <c r="C12117" t="str">
        <f t="shared" si="2174"/>
        <v>78006832</v>
      </c>
      <c r="D12117">
        <v>89301062</v>
      </c>
      <c r="E12117" t="str">
        <f>"6354191283"</f>
        <v>6354191283</v>
      </c>
      <c r="F12117" s="1">
        <v>45191</v>
      </c>
      <c r="G12117" t="str">
        <f>"89725"</f>
        <v>89725</v>
      </c>
      <c r="H12117">
        <v>1</v>
      </c>
      <c r="I12117">
        <v>2863</v>
      </c>
      <c r="J12117">
        <v>0</v>
      </c>
      <c r="K12117" t="str">
        <f t="shared" si="2175"/>
        <v>810</v>
      </c>
      <c r="L12117">
        <v>1860.95</v>
      </c>
    </row>
    <row r="12118" spans="1:12" x14ac:dyDescent="0.25">
      <c r="A12118" t="str">
        <f t="shared" si="2172"/>
        <v>89301000</v>
      </c>
      <c r="B12118" t="str">
        <f t="shared" si="2167"/>
        <v>78006000</v>
      </c>
      <c r="C12118" t="str">
        <f t="shared" si="2174"/>
        <v>78006832</v>
      </c>
      <c r="D12118">
        <v>89301112</v>
      </c>
      <c r="E12118" t="str">
        <f>"6307240456"</f>
        <v>6307240456</v>
      </c>
      <c r="F12118" s="1">
        <v>45191</v>
      </c>
      <c r="G12118" t="str">
        <f>"89713"</f>
        <v>89713</v>
      </c>
      <c r="H12118">
        <v>1</v>
      </c>
      <c r="I12118">
        <v>5411</v>
      </c>
      <c r="J12118">
        <v>0</v>
      </c>
      <c r="K12118" t="str">
        <f t="shared" si="2175"/>
        <v>810</v>
      </c>
      <c r="L12118">
        <v>3517.15</v>
      </c>
    </row>
    <row r="12119" spans="1:12" x14ac:dyDescent="0.25">
      <c r="A12119" t="str">
        <f t="shared" si="2172"/>
        <v>89301000</v>
      </c>
      <c r="B12119" t="str">
        <f t="shared" ref="B12119:B12148" si="2176">"02004000"</f>
        <v>02004000</v>
      </c>
      <c r="C12119" t="str">
        <f>"02004561"</f>
        <v>02004561</v>
      </c>
      <c r="D12119">
        <v>89301702</v>
      </c>
      <c r="E12119" t="str">
        <f>"1057280620"</f>
        <v>1057280620</v>
      </c>
      <c r="F12119" s="1">
        <v>45086</v>
      </c>
      <c r="G12119" t="str">
        <f>"81655"</f>
        <v>81655</v>
      </c>
      <c r="H12119">
        <v>2</v>
      </c>
      <c r="I12119">
        <v>1146</v>
      </c>
      <c r="J12119">
        <v>0</v>
      </c>
      <c r="K12119" t="str">
        <f>"801"</f>
        <v>801</v>
      </c>
      <c r="L12119">
        <v>962.64</v>
      </c>
    </row>
    <row r="12120" spans="1:12" x14ac:dyDescent="0.25">
      <c r="A12120" t="str">
        <f t="shared" si="2172"/>
        <v>89301000</v>
      </c>
      <c r="B12120" t="str">
        <f t="shared" si="2176"/>
        <v>02004000</v>
      </c>
      <c r="C12120" t="str">
        <f>"02004153"</f>
        <v>02004153</v>
      </c>
      <c r="D12120">
        <v>89301282</v>
      </c>
      <c r="E12120" t="str">
        <f>"2051171430"</f>
        <v>2051171430</v>
      </c>
      <c r="F12120" s="1">
        <v>45191</v>
      </c>
      <c r="G12120" t="str">
        <f>"94982"</f>
        <v>94982</v>
      </c>
      <c r="H12120">
        <v>1</v>
      </c>
      <c r="I12120">
        <v>0</v>
      </c>
      <c r="J12120">
        <v>27500</v>
      </c>
      <c r="K12120" t="str">
        <f>"816"</f>
        <v>816</v>
      </c>
      <c r="L12120">
        <v>27500</v>
      </c>
    </row>
    <row r="12121" spans="1:12" x14ac:dyDescent="0.25">
      <c r="A12121" t="str">
        <f t="shared" si="2172"/>
        <v>89301000</v>
      </c>
      <c r="B12121" t="str">
        <f t="shared" si="2176"/>
        <v>02004000</v>
      </c>
      <c r="C12121" t="str">
        <f>"02004153"</f>
        <v>02004153</v>
      </c>
      <c r="D12121">
        <v>89301282</v>
      </c>
      <c r="E12121" t="str">
        <f>"2051171430"</f>
        <v>2051171430</v>
      </c>
      <c r="F12121" s="1">
        <v>45191</v>
      </c>
      <c r="G12121" t="str">
        <f>"94996"</f>
        <v>94996</v>
      </c>
      <c r="H12121">
        <v>1</v>
      </c>
      <c r="I12121">
        <v>0</v>
      </c>
      <c r="J12121">
        <v>0</v>
      </c>
      <c r="K12121" t="str">
        <f>"816"</f>
        <v>816</v>
      </c>
      <c r="L12121">
        <v>0</v>
      </c>
    </row>
    <row r="12122" spans="1:12" x14ac:dyDescent="0.25">
      <c r="A12122" t="str">
        <f t="shared" si="2172"/>
        <v>89301000</v>
      </c>
      <c r="B12122" t="str">
        <f t="shared" si="2176"/>
        <v>02004000</v>
      </c>
      <c r="C12122" t="str">
        <f>"02004556"</f>
        <v>02004556</v>
      </c>
      <c r="D12122">
        <v>89301702</v>
      </c>
      <c r="E12122" t="str">
        <f>"0658303239"</f>
        <v>0658303239</v>
      </c>
      <c r="F12122" s="1">
        <v>45181</v>
      </c>
      <c r="G12122" t="str">
        <f>"91249"</f>
        <v>91249</v>
      </c>
      <c r="H12122">
        <v>1</v>
      </c>
      <c r="I12122">
        <v>1495</v>
      </c>
      <c r="J12122">
        <v>0</v>
      </c>
      <c r="K12122" t="str">
        <f>"813"</f>
        <v>813</v>
      </c>
      <c r="L12122">
        <v>1255.8</v>
      </c>
    </row>
    <row r="12123" spans="1:12" x14ac:dyDescent="0.25">
      <c r="A12123" t="str">
        <f t="shared" si="2172"/>
        <v>89301000</v>
      </c>
      <c r="B12123" t="str">
        <f t="shared" si="2176"/>
        <v>02004000</v>
      </c>
      <c r="C12123" t="str">
        <f>"02004556"</f>
        <v>02004556</v>
      </c>
      <c r="D12123">
        <v>89301702</v>
      </c>
      <c r="E12123" t="str">
        <f>"0658303239"</f>
        <v>0658303239</v>
      </c>
      <c r="F12123" s="1">
        <v>45181</v>
      </c>
      <c r="G12123" t="str">
        <f>"91251"</f>
        <v>91251</v>
      </c>
      <c r="H12123">
        <v>1</v>
      </c>
      <c r="I12123">
        <v>1495</v>
      </c>
      <c r="J12123">
        <v>0</v>
      </c>
      <c r="K12123" t="str">
        <f>"813"</f>
        <v>813</v>
      </c>
      <c r="L12123">
        <v>1255.8</v>
      </c>
    </row>
    <row r="12124" spans="1:12" x14ac:dyDescent="0.25">
      <c r="A12124" t="str">
        <f t="shared" si="2172"/>
        <v>89301000</v>
      </c>
      <c r="B12124" t="str">
        <f t="shared" si="2176"/>
        <v>02004000</v>
      </c>
      <c r="C12124" t="str">
        <f>"02004153"</f>
        <v>02004153</v>
      </c>
      <c r="D12124">
        <v>89301282</v>
      </c>
      <c r="E12124" t="str">
        <f>"0862313254"</f>
        <v>0862313254</v>
      </c>
      <c r="F12124" s="1">
        <v>45152</v>
      </c>
      <c r="G12124" t="str">
        <f>"94221"</f>
        <v>94221</v>
      </c>
      <c r="H12124">
        <v>9</v>
      </c>
      <c r="I12124">
        <v>22203</v>
      </c>
      <c r="J12124">
        <v>0</v>
      </c>
      <c r="K12124" t="str">
        <f>"816"</f>
        <v>816</v>
      </c>
      <c r="L12124">
        <v>19982.7</v>
      </c>
    </row>
    <row r="12125" spans="1:12" x14ac:dyDescent="0.25">
      <c r="A12125" t="str">
        <f t="shared" si="2172"/>
        <v>89301000</v>
      </c>
      <c r="B12125" t="str">
        <f t="shared" si="2176"/>
        <v>02004000</v>
      </c>
      <c r="C12125" t="str">
        <f>"02004153"</f>
        <v>02004153</v>
      </c>
      <c r="D12125">
        <v>89301282</v>
      </c>
      <c r="E12125" t="str">
        <f>"0862313254"</f>
        <v>0862313254</v>
      </c>
      <c r="F12125" s="1">
        <v>45152</v>
      </c>
      <c r="G12125" t="str">
        <f>"94221"</f>
        <v>94221</v>
      </c>
      <c r="H12125">
        <v>3</v>
      </c>
      <c r="I12125">
        <v>7401</v>
      </c>
      <c r="J12125">
        <v>0</v>
      </c>
      <c r="K12125" t="str">
        <f>"816"</f>
        <v>816</v>
      </c>
      <c r="L12125">
        <v>6660.9</v>
      </c>
    </row>
    <row r="12126" spans="1:12" x14ac:dyDescent="0.25">
      <c r="A12126" t="str">
        <f t="shared" si="2172"/>
        <v>89301000</v>
      </c>
      <c r="B12126" t="str">
        <f t="shared" si="2176"/>
        <v>02004000</v>
      </c>
      <c r="C12126" t="str">
        <f>"02004561"</f>
        <v>02004561</v>
      </c>
      <c r="D12126">
        <v>89301702</v>
      </c>
      <c r="E12126" t="str">
        <f>"0959295271"</f>
        <v>0959295271</v>
      </c>
      <c r="F12126" s="1">
        <v>45148</v>
      </c>
      <c r="G12126" t="str">
        <f>"81655"</f>
        <v>81655</v>
      </c>
      <c r="H12126">
        <v>2</v>
      </c>
      <c r="I12126">
        <v>1146</v>
      </c>
      <c r="J12126">
        <v>0</v>
      </c>
      <c r="K12126" t="str">
        <f>"801"</f>
        <v>801</v>
      </c>
      <c r="L12126">
        <v>962.64</v>
      </c>
    </row>
    <row r="12127" spans="1:12" x14ac:dyDescent="0.25">
      <c r="A12127" t="str">
        <f t="shared" si="2172"/>
        <v>89301000</v>
      </c>
      <c r="B12127" t="str">
        <f t="shared" si="2176"/>
        <v>02004000</v>
      </c>
      <c r="C12127" t="str">
        <f t="shared" ref="C12127:C12148" si="2177">"02004556"</f>
        <v>02004556</v>
      </c>
      <c r="D12127">
        <v>89301702</v>
      </c>
      <c r="E12127" t="str">
        <f>"1311050246"</f>
        <v>1311050246</v>
      </c>
      <c r="F12127" s="1">
        <v>45167</v>
      </c>
      <c r="G12127" t="str">
        <f>"91249"</f>
        <v>91249</v>
      </c>
      <c r="H12127">
        <v>1</v>
      </c>
      <c r="I12127">
        <v>1495</v>
      </c>
      <c r="J12127">
        <v>0</v>
      </c>
      <c r="K12127" t="str">
        <f t="shared" ref="K12127:K12148" si="2178">"813"</f>
        <v>813</v>
      </c>
      <c r="L12127">
        <v>1255.8</v>
      </c>
    </row>
    <row r="12128" spans="1:12" x14ac:dyDescent="0.25">
      <c r="A12128" t="str">
        <f t="shared" si="2172"/>
        <v>89301000</v>
      </c>
      <c r="B12128" t="str">
        <f t="shared" si="2176"/>
        <v>02004000</v>
      </c>
      <c r="C12128" t="str">
        <f t="shared" si="2177"/>
        <v>02004556</v>
      </c>
      <c r="D12128">
        <v>89301702</v>
      </c>
      <c r="E12128" t="str">
        <f>"1311050246"</f>
        <v>1311050246</v>
      </c>
      <c r="F12128" s="1">
        <v>45167</v>
      </c>
      <c r="G12128" t="str">
        <f>"91251"</f>
        <v>91251</v>
      </c>
      <c r="H12128">
        <v>1</v>
      </c>
      <c r="I12128">
        <v>1495</v>
      </c>
      <c r="J12128">
        <v>0</v>
      </c>
      <c r="K12128" t="str">
        <f t="shared" si="2178"/>
        <v>813</v>
      </c>
      <c r="L12128">
        <v>1255.8</v>
      </c>
    </row>
    <row r="12129" spans="1:12" x14ac:dyDescent="0.25">
      <c r="A12129" t="str">
        <f t="shared" si="2172"/>
        <v>89301000</v>
      </c>
      <c r="B12129" t="str">
        <f t="shared" si="2176"/>
        <v>02004000</v>
      </c>
      <c r="C12129" t="str">
        <f t="shared" si="2177"/>
        <v>02004556</v>
      </c>
      <c r="D12129">
        <v>89301702</v>
      </c>
      <c r="E12129" t="str">
        <f>"0959263250"</f>
        <v>0959263250</v>
      </c>
      <c r="F12129" s="1">
        <v>45167</v>
      </c>
      <c r="G12129" t="str">
        <f>"91249"</f>
        <v>91249</v>
      </c>
      <c r="H12129">
        <v>1</v>
      </c>
      <c r="I12129">
        <v>1495</v>
      </c>
      <c r="J12129">
        <v>0</v>
      </c>
      <c r="K12129" t="str">
        <f t="shared" si="2178"/>
        <v>813</v>
      </c>
      <c r="L12129">
        <v>1255.8</v>
      </c>
    </row>
    <row r="12130" spans="1:12" x14ac:dyDescent="0.25">
      <c r="A12130" t="str">
        <f t="shared" si="2172"/>
        <v>89301000</v>
      </c>
      <c r="B12130" t="str">
        <f t="shared" si="2176"/>
        <v>02004000</v>
      </c>
      <c r="C12130" t="str">
        <f t="shared" si="2177"/>
        <v>02004556</v>
      </c>
      <c r="D12130">
        <v>89301702</v>
      </c>
      <c r="E12130" t="str">
        <f>"0959263250"</f>
        <v>0959263250</v>
      </c>
      <c r="F12130" s="1">
        <v>45167</v>
      </c>
      <c r="G12130" t="str">
        <f>"91251"</f>
        <v>91251</v>
      </c>
      <c r="H12130">
        <v>1</v>
      </c>
      <c r="I12130">
        <v>1495</v>
      </c>
      <c r="J12130">
        <v>0</v>
      </c>
      <c r="K12130" t="str">
        <f t="shared" si="2178"/>
        <v>813</v>
      </c>
      <c r="L12130">
        <v>1255.8</v>
      </c>
    </row>
    <row r="12131" spans="1:12" x14ac:dyDescent="0.25">
      <c r="A12131" t="str">
        <f t="shared" si="2172"/>
        <v>89301000</v>
      </c>
      <c r="B12131" t="str">
        <f t="shared" si="2176"/>
        <v>02004000</v>
      </c>
      <c r="C12131" t="str">
        <f t="shared" si="2177"/>
        <v>02004556</v>
      </c>
      <c r="D12131">
        <v>89301702</v>
      </c>
      <c r="E12131" t="str">
        <f>"0859053261"</f>
        <v>0859053261</v>
      </c>
      <c r="F12131" s="1">
        <v>45162</v>
      </c>
      <c r="G12131" t="str">
        <f>"91249"</f>
        <v>91249</v>
      </c>
      <c r="H12131">
        <v>1</v>
      </c>
      <c r="I12131">
        <v>1495</v>
      </c>
      <c r="J12131">
        <v>0</v>
      </c>
      <c r="K12131" t="str">
        <f t="shared" si="2178"/>
        <v>813</v>
      </c>
      <c r="L12131">
        <v>1255.8</v>
      </c>
    </row>
    <row r="12132" spans="1:12" x14ac:dyDescent="0.25">
      <c r="A12132" t="str">
        <f t="shared" si="2172"/>
        <v>89301000</v>
      </c>
      <c r="B12132" t="str">
        <f t="shared" si="2176"/>
        <v>02004000</v>
      </c>
      <c r="C12132" t="str">
        <f t="shared" si="2177"/>
        <v>02004556</v>
      </c>
      <c r="D12132">
        <v>89301702</v>
      </c>
      <c r="E12132" t="str">
        <f>"0859053261"</f>
        <v>0859053261</v>
      </c>
      <c r="F12132" s="1">
        <v>45162</v>
      </c>
      <c r="G12132" t="str">
        <f>"91251"</f>
        <v>91251</v>
      </c>
      <c r="H12132">
        <v>1</v>
      </c>
      <c r="I12132">
        <v>1495</v>
      </c>
      <c r="J12132">
        <v>0</v>
      </c>
      <c r="K12132" t="str">
        <f t="shared" si="2178"/>
        <v>813</v>
      </c>
      <c r="L12132">
        <v>1255.8</v>
      </c>
    </row>
    <row r="12133" spans="1:12" x14ac:dyDescent="0.25">
      <c r="A12133" t="str">
        <f t="shared" si="2172"/>
        <v>89301000</v>
      </c>
      <c r="B12133" t="str">
        <f t="shared" si="2176"/>
        <v>02004000</v>
      </c>
      <c r="C12133" t="str">
        <f t="shared" si="2177"/>
        <v>02004556</v>
      </c>
      <c r="D12133">
        <v>89301702</v>
      </c>
      <c r="E12133" t="str">
        <f>"1754070054"</f>
        <v>1754070054</v>
      </c>
      <c r="F12133" s="1">
        <v>45156</v>
      </c>
      <c r="G12133" t="str">
        <f>"91249"</f>
        <v>91249</v>
      </c>
      <c r="H12133">
        <v>1</v>
      </c>
      <c r="I12133">
        <v>1495</v>
      </c>
      <c r="J12133">
        <v>0</v>
      </c>
      <c r="K12133" t="str">
        <f t="shared" si="2178"/>
        <v>813</v>
      </c>
      <c r="L12133">
        <v>1255.8</v>
      </c>
    </row>
    <row r="12134" spans="1:12" x14ac:dyDescent="0.25">
      <c r="A12134" t="str">
        <f t="shared" si="2172"/>
        <v>89301000</v>
      </c>
      <c r="B12134" t="str">
        <f t="shared" si="2176"/>
        <v>02004000</v>
      </c>
      <c r="C12134" t="str">
        <f t="shared" si="2177"/>
        <v>02004556</v>
      </c>
      <c r="D12134">
        <v>89301702</v>
      </c>
      <c r="E12134" t="str">
        <f>"1754070054"</f>
        <v>1754070054</v>
      </c>
      <c r="F12134" s="1">
        <v>45156</v>
      </c>
      <c r="G12134" t="str">
        <f>"91251"</f>
        <v>91251</v>
      </c>
      <c r="H12134">
        <v>1</v>
      </c>
      <c r="I12134">
        <v>1495</v>
      </c>
      <c r="J12134">
        <v>0</v>
      </c>
      <c r="K12134" t="str">
        <f t="shared" si="2178"/>
        <v>813</v>
      </c>
      <c r="L12134">
        <v>1255.8</v>
      </c>
    </row>
    <row r="12135" spans="1:12" x14ac:dyDescent="0.25">
      <c r="A12135" t="str">
        <f t="shared" si="2172"/>
        <v>89301000</v>
      </c>
      <c r="B12135" t="str">
        <f t="shared" si="2176"/>
        <v>02004000</v>
      </c>
      <c r="C12135" t="str">
        <f t="shared" si="2177"/>
        <v>02004556</v>
      </c>
      <c r="D12135">
        <v>89301028</v>
      </c>
      <c r="E12135" t="str">
        <f>"9407154856"</f>
        <v>9407154856</v>
      </c>
      <c r="F12135" s="1">
        <v>45155</v>
      </c>
      <c r="G12135" t="str">
        <f>"91249"</f>
        <v>91249</v>
      </c>
      <c r="H12135">
        <v>1</v>
      </c>
      <c r="I12135">
        <v>1495</v>
      </c>
      <c r="J12135">
        <v>0</v>
      </c>
      <c r="K12135" t="str">
        <f t="shared" si="2178"/>
        <v>813</v>
      </c>
      <c r="L12135">
        <v>1255.8</v>
      </c>
    </row>
    <row r="12136" spans="1:12" x14ac:dyDescent="0.25">
      <c r="A12136" t="str">
        <f t="shared" si="2172"/>
        <v>89301000</v>
      </c>
      <c r="B12136" t="str">
        <f t="shared" si="2176"/>
        <v>02004000</v>
      </c>
      <c r="C12136" t="str">
        <f t="shared" si="2177"/>
        <v>02004556</v>
      </c>
      <c r="D12136">
        <v>89301028</v>
      </c>
      <c r="E12136" t="str">
        <f>"9407154856"</f>
        <v>9407154856</v>
      </c>
      <c r="F12136" s="1">
        <v>45155</v>
      </c>
      <c r="G12136" t="str">
        <f>"91251"</f>
        <v>91251</v>
      </c>
      <c r="H12136">
        <v>1</v>
      </c>
      <c r="I12136">
        <v>1495</v>
      </c>
      <c r="J12136">
        <v>0</v>
      </c>
      <c r="K12136" t="str">
        <f t="shared" si="2178"/>
        <v>813</v>
      </c>
      <c r="L12136">
        <v>1255.8</v>
      </c>
    </row>
    <row r="12137" spans="1:12" x14ac:dyDescent="0.25">
      <c r="A12137" t="str">
        <f t="shared" si="2172"/>
        <v>89301000</v>
      </c>
      <c r="B12137" t="str">
        <f t="shared" si="2176"/>
        <v>02004000</v>
      </c>
      <c r="C12137" t="str">
        <f t="shared" si="2177"/>
        <v>02004556</v>
      </c>
      <c r="D12137">
        <v>89301702</v>
      </c>
      <c r="E12137" t="str">
        <f>"0909103272"</f>
        <v>0909103272</v>
      </c>
      <c r="F12137" s="1">
        <v>45160</v>
      </c>
      <c r="G12137" t="str">
        <f>"91249"</f>
        <v>91249</v>
      </c>
      <c r="H12137">
        <v>1</v>
      </c>
      <c r="I12137">
        <v>1495</v>
      </c>
      <c r="J12137">
        <v>0</v>
      </c>
      <c r="K12137" t="str">
        <f t="shared" si="2178"/>
        <v>813</v>
      </c>
      <c r="L12137">
        <v>1255.8</v>
      </c>
    </row>
    <row r="12138" spans="1:12" x14ac:dyDescent="0.25">
      <c r="A12138" t="str">
        <f t="shared" si="2172"/>
        <v>89301000</v>
      </c>
      <c r="B12138" t="str">
        <f t="shared" si="2176"/>
        <v>02004000</v>
      </c>
      <c r="C12138" t="str">
        <f t="shared" si="2177"/>
        <v>02004556</v>
      </c>
      <c r="D12138">
        <v>89301702</v>
      </c>
      <c r="E12138" t="str">
        <f>"0909103272"</f>
        <v>0909103272</v>
      </c>
      <c r="F12138" s="1">
        <v>45160</v>
      </c>
      <c r="G12138" t="str">
        <f>"91251"</f>
        <v>91251</v>
      </c>
      <c r="H12138">
        <v>1</v>
      </c>
      <c r="I12138">
        <v>1495</v>
      </c>
      <c r="J12138">
        <v>0</v>
      </c>
      <c r="K12138" t="str">
        <f t="shared" si="2178"/>
        <v>813</v>
      </c>
      <c r="L12138">
        <v>1255.8</v>
      </c>
    </row>
    <row r="12139" spans="1:12" x14ac:dyDescent="0.25">
      <c r="A12139" t="str">
        <f t="shared" si="2172"/>
        <v>89301000</v>
      </c>
      <c r="B12139" t="str">
        <f t="shared" si="2176"/>
        <v>02004000</v>
      </c>
      <c r="C12139" t="str">
        <f t="shared" si="2177"/>
        <v>02004556</v>
      </c>
      <c r="D12139">
        <v>89301028</v>
      </c>
      <c r="E12139" t="str">
        <f>"7005104623"</f>
        <v>7005104623</v>
      </c>
      <c r="F12139" s="1">
        <v>45162</v>
      </c>
      <c r="G12139" t="str">
        <f>"91249"</f>
        <v>91249</v>
      </c>
      <c r="H12139">
        <v>1</v>
      </c>
      <c r="I12139">
        <v>1495</v>
      </c>
      <c r="J12139">
        <v>0</v>
      </c>
      <c r="K12139" t="str">
        <f t="shared" si="2178"/>
        <v>813</v>
      </c>
      <c r="L12139">
        <v>1255.8</v>
      </c>
    </row>
    <row r="12140" spans="1:12" x14ac:dyDescent="0.25">
      <c r="A12140" t="str">
        <f t="shared" si="2172"/>
        <v>89301000</v>
      </c>
      <c r="B12140" t="str">
        <f t="shared" si="2176"/>
        <v>02004000</v>
      </c>
      <c r="C12140" t="str">
        <f t="shared" si="2177"/>
        <v>02004556</v>
      </c>
      <c r="D12140">
        <v>89301028</v>
      </c>
      <c r="E12140" t="str">
        <f>"7005104623"</f>
        <v>7005104623</v>
      </c>
      <c r="F12140" s="1">
        <v>45162</v>
      </c>
      <c r="G12140" t="str">
        <f>"91251"</f>
        <v>91251</v>
      </c>
      <c r="H12140">
        <v>1</v>
      </c>
      <c r="I12140">
        <v>1495</v>
      </c>
      <c r="J12140">
        <v>0</v>
      </c>
      <c r="K12140" t="str">
        <f t="shared" si="2178"/>
        <v>813</v>
      </c>
      <c r="L12140">
        <v>1255.8</v>
      </c>
    </row>
    <row r="12141" spans="1:12" x14ac:dyDescent="0.25">
      <c r="A12141" t="str">
        <f t="shared" si="2172"/>
        <v>89301000</v>
      </c>
      <c r="B12141" t="str">
        <f t="shared" si="2176"/>
        <v>02004000</v>
      </c>
      <c r="C12141" t="str">
        <f t="shared" si="2177"/>
        <v>02004556</v>
      </c>
      <c r="D12141">
        <v>89301102</v>
      </c>
      <c r="E12141" t="str">
        <f>"0859053261"</f>
        <v>0859053261</v>
      </c>
      <c r="F12141" s="1">
        <v>45190</v>
      </c>
      <c r="G12141" t="str">
        <f>"91249"</f>
        <v>91249</v>
      </c>
      <c r="H12141">
        <v>1</v>
      </c>
      <c r="I12141">
        <v>1495</v>
      </c>
      <c r="J12141">
        <v>0</v>
      </c>
      <c r="K12141" t="str">
        <f t="shared" si="2178"/>
        <v>813</v>
      </c>
      <c r="L12141">
        <v>1255.8</v>
      </c>
    </row>
    <row r="12142" spans="1:12" x14ac:dyDescent="0.25">
      <c r="A12142" t="str">
        <f t="shared" si="2172"/>
        <v>89301000</v>
      </c>
      <c r="B12142" t="str">
        <f t="shared" si="2176"/>
        <v>02004000</v>
      </c>
      <c r="C12142" t="str">
        <f t="shared" si="2177"/>
        <v>02004556</v>
      </c>
      <c r="D12142">
        <v>89301102</v>
      </c>
      <c r="E12142" t="str">
        <f>"0859053261"</f>
        <v>0859053261</v>
      </c>
      <c r="F12142" s="1">
        <v>45190</v>
      </c>
      <c r="G12142" t="str">
        <f>"91251"</f>
        <v>91251</v>
      </c>
      <c r="H12142">
        <v>1</v>
      </c>
      <c r="I12142">
        <v>1495</v>
      </c>
      <c r="J12142">
        <v>0</v>
      </c>
      <c r="K12142" t="str">
        <f t="shared" si="2178"/>
        <v>813</v>
      </c>
      <c r="L12142">
        <v>1255.8</v>
      </c>
    </row>
    <row r="12143" spans="1:12" x14ac:dyDescent="0.25">
      <c r="A12143" t="str">
        <f t="shared" si="2172"/>
        <v>89301000</v>
      </c>
      <c r="B12143" t="str">
        <f t="shared" si="2176"/>
        <v>02004000</v>
      </c>
      <c r="C12143" t="str">
        <f t="shared" si="2177"/>
        <v>02004556</v>
      </c>
      <c r="D12143">
        <v>89301102</v>
      </c>
      <c r="E12143" t="str">
        <f>"0554043248"</f>
        <v>0554043248</v>
      </c>
      <c r="F12143" s="1">
        <v>45170</v>
      </c>
      <c r="G12143" t="str">
        <f>"91249"</f>
        <v>91249</v>
      </c>
      <c r="H12143">
        <v>1</v>
      </c>
      <c r="I12143">
        <v>1495</v>
      </c>
      <c r="J12143">
        <v>0</v>
      </c>
      <c r="K12143" t="str">
        <f t="shared" si="2178"/>
        <v>813</v>
      </c>
      <c r="L12143">
        <v>1255.8</v>
      </c>
    </row>
    <row r="12144" spans="1:12" x14ac:dyDescent="0.25">
      <c r="A12144" t="str">
        <f t="shared" si="2172"/>
        <v>89301000</v>
      </c>
      <c r="B12144" t="str">
        <f t="shared" si="2176"/>
        <v>02004000</v>
      </c>
      <c r="C12144" t="str">
        <f t="shared" si="2177"/>
        <v>02004556</v>
      </c>
      <c r="D12144">
        <v>89301102</v>
      </c>
      <c r="E12144" t="str">
        <f>"0554043248"</f>
        <v>0554043248</v>
      </c>
      <c r="F12144" s="1">
        <v>45170</v>
      </c>
      <c r="G12144" t="str">
        <f>"91251"</f>
        <v>91251</v>
      </c>
      <c r="H12144">
        <v>1</v>
      </c>
      <c r="I12144">
        <v>1495</v>
      </c>
      <c r="J12144">
        <v>0</v>
      </c>
      <c r="K12144" t="str">
        <f t="shared" si="2178"/>
        <v>813</v>
      </c>
      <c r="L12144">
        <v>1255.8</v>
      </c>
    </row>
    <row r="12145" spans="1:12" x14ac:dyDescent="0.25">
      <c r="A12145" t="str">
        <f t="shared" si="2172"/>
        <v>89301000</v>
      </c>
      <c r="B12145" t="str">
        <f t="shared" si="2176"/>
        <v>02004000</v>
      </c>
      <c r="C12145" t="str">
        <f t="shared" si="2177"/>
        <v>02004556</v>
      </c>
      <c r="D12145">
        <v>89301102</v>
      </c>
      <c r="E12145" t="str">
        <f>"0706231383"</f>
        <v>0706231383</v>
      </c>
      <c r="F12145" s="1">
        <v>45183</v>
      </c>
      <c r="G12145" t="str">
        <f>"91249"</f>
        <v>91249</v>
      </c>
      <c r="H12145">
        <v>1</v>
      </c>
      <c r="I12145">
        <v>1495</v>
      </c>
      <c r="J12145">
        <v>0</v>
      </c>
      <c r="K12145" t="str">
        <f t="shared" si="2178"/>
        <v>813</v>
      </c>
      <c r="L12145">
        <v>1255.8</v>
      </c>
    </row>
    <row r="12146" spans="1:12" x14ac:dyDescent="0.25">
      <c r="A12146" t="str">
        <f t="shared" si="2172"/>
        <v>89301000</v>
      </c>
      <c r="B12146" t="str">
        <f t="shared" si="2176"/>
        <v>02004000</v>
      </c>
      <c r="C12146" t="str">
        <f t="shared" si="2177"/>
        <v>02004556</v>
      </c>
      <c r="D12146">
        <v>89301102</v>
      </c>
      <c r="E12146" t="str">
        <f>"0706231383"</f>
        <v>0706231383</v>
      </c>
      <c r="F12146" s="1">
        <v>45183</v>
      </c>
      <c r="G12146" t="str">
        <f>"91251"</f>
        <v>91251</v>
      </c>
      <c r="H12146">
        <v>1</v>
      </c>
      <c r="I12146">
        <v>1495</v>
      </c>
      <c r="J12146">
        <v>0</v>
      </c>
      <c r="K12146" t="str">
        <f t="shared" si="2178"/>
        <v>813</v>
      </c>
      <c r="L12146">
        <v>1255.8</v>
      </c>
    </row>
    <row r="12147" spans="1:12" x14ac:dyDescent="0.25">
      <c r="A12147" t="str">
        <f t="shared" si="2172"/>
        <v>89301000</v>
      </c>
      <c r="B12147" t="str">
        <f t="shared" si="2176"/>
        <v>02004000</v>
      </c>
      <c r="C12147" t="str">
        <f t="shared" si="2177"/>
        <v>02004556</v>
      </c>
      <c r="D12147">
        <v>89301102</v>
      </c>
      <c r="E12147" t="str">
        <f>"0410225343"</f>
        <v>0410225343</v>
      </c>
      <c r="F12147" s="1">
        <v>45180</v>
      </c>
      <c r="G12147" t="str">
        <f>"91249"</f>
        <v>91249</v>
      </c>
      <c r="H12147">
        <v>1</v>
      </c>
      <c r="I12147">
        <v>1495</v>
      </c>
      <c r="J12147">
        <v>0</v>
      </c>
      <c r="K12147" t="str">
        <f t="shared" si="2178"/>
        <v>813</v>
      </c>
      <c r="L12147">
        <v>1255.8</v>
      </c>
    </row>
    <row r="12148" spans="1:12" x14ac:dyDescent="0.25">
      <c r="A12148" t="str">
        <f t="shared" si="2172"/>
        <v>89301000</v>
      </c>
      <c r="B12148" t="str">
        <f t="shared" si="2176"/>
        <v>02004000</v>
      </c>
      <c r="C12148" t="str">
        <f t="shared" si="2177"/>
        <v>02004556</v>
      </c>
      <c r="D12148">
        <v>89301102</v>
      </c>
      <c r="E12148" t="str">
        <f>"0410225343"</f>
        <v>0410225343</v>
      </c>
      <c r="F12148" s="1">
        <v>45180</v>
      </c>
      <c r="G12148" t="str">
        <f>"91251"</f>
        <v>91251</v>
      </c>
      <c r="H12148">
        <v>1</v>
      </c>
      <c r="I12148">
        <v>1495</v>
      </c>
      <c r="J12148">
        <v>0</v>
      </c>
      <c r="K12148" t="str">
        <f t="shared" si="2178"/>
        <v>813</v>
      </c>
      <c r="L12148">
        <v>1255.8</v>
      </c>
    </row>
    <row r="12149" spans="1:12" x14ac:dyDescent="0.25">
      <c r="A12149" t="str">
        <f t="shared" si="2172"/>
        <v>89301000</v>
      </c>
      <c r="B12149" t="str">
        <f>"06223000"</f>
        <v>06223000</v>
      </c>
      <c r="C12149" t="str">
        <f>"06223043"</f>
        <v>06223043</v>
      </c>
      <c r="D12149">
        <v>89301122</v>
      </c>
      <c r="E12149" t="str">
        <f>"5406180736"</f>
        <v>5406180736</v>
      </c>
      <c r="F12149" s="1">
        <v>45174</v>
      </c>
      <c r="G12149" t="str">
        <f>"81485"</f>
        <v>81485</v>
      </c>
      <c r="H12149">
        <v>1</v>
      </c>
      <c r="I12149">
        <v>461</v>
      </c>
      <c r="J12149">
        <v>0</v>
      </c>
      <c r="K12149" t="str">
        <f>"801"</f>
        <v>801</v>
      </c>
      <c r="L12149">
        <v>387.24</v>
      </c>
    </row>
    <row r="12150" spans="1:12" x14ac:dyDescent="0.25">
      <c r="A12150" t="str">
        <f t="shared" si="2172"/>
        <v>89301000</v>
      </c>
      <c r="B12150" t="str">
        <f>"06223000"</f>
        <v>06223000</v>
      </c>
      <c r="C12150" t="str">
        <f>"06223043"</f>
        <v>06223043</v>
      </c>
      <c r="D12150">
        <v>89301122</v>
      </c>
      <c r="E12150" t="str">
        <f>"525407029"</f>
        <v>525407029</v>
      </c>
      <c r="F12150" s="1">
        <v>45174</v>
      </c>
      <c r="G12150" t="str">
        <f>"81485"</f>
        <v>81485</v>
      </c>
      <c r="H12150">
        <v>1</v>
      </c>
      <c r="I12150">
        <v>461</v>
      </c>
      <c r="J12150">
        <v>0</v>
      </c>
      <c r="K12150" t="str">
        <f>"801"</f>
        <v>801</v>
      </c>
      <c r="L12150">
        <v>387.24</v>
      </c>
    </row>
    <row r="12151" spans="1:12" x14ac:dyDescent="0.25">
      <c r="A12151" t="str">
        <f t="shared" si="2172"/>
        <v>89301000</v>
      </c>
      <c r="B12151" t="str">
        <f>"06223000"</f>
        <v>06223000</v>
      </c>
      <c r="C12151" t="str">
        <f>"06223043"</f>
        <v>06223043</v>
      </c>
      <c r="D12151">
        <v>89301122</v>
      </c>
      <c r="E12151" t="str">
        <f>"6012301757"</f>
        <v>6012301757</v>
      </c>
      <c r="F12151" s="1">
        <v>45183</v>
      </c>
      <c r="G12151" t="str">
        <f>"81485"</f>
        <v>81485</v>
      </c>
      <c r="H12151">
        <v>1</v>
      </c>
      <c r="I12151">
        <v>461</v>
      </c>
      <c r="J12151">
        <v>0</v>
      </c>
      <c r="K12151" t="str">
        <f>"801"</f>
        <v>801</v>
      </c>
      <c r="L12151">
        <v>387.24</v>
      </c>
    </row>
    <row r="12152" spans="1:12" x14ac:dyDescent="0.25">
      <c r="A12152" t="str">
        <f t="shared" si="2172"/>
        <v>89301000</v>
      </c>
      <c r="B12152" t="str">
        <f>"06223000"</f>
        <v>06223000</v>
      </c>
      <c r="C12152" t="str">
        <f>"06223043"</f>
        <v>06223043</v>
      </c>
      <c r="D12152">
        <v>89301122</v>
      </c>
      <c r="E12152" t="str">
        <f>"6306241766"</f>
        <v>6306241766</v>
      </c>
      <c r="F12152" s="1">
        <v>45174</v>
      </c>
      <c r="G12152" t="str">
        <f>"81485"</f>
        <v>81485</v>
      </c>
      <c r="H12152">
        <v>1</v>
      </c>
      <c r="I12152">
        <v>461</v>
      </c>
      <c r="J12152">
        <v>0</v>
      </c>
      <c r="K12152" t="str">
        <f>"801"</f>
        <v>801</v>
      </c>
      <c r="L12152">
        <v>387.24</v>
      </c>
    </row>
    <row r="12153" spans="1:12" x14ac:dyDescent="0.25">
      <c r="A12153" t="str">
        <f t="shared" si="2172"/>
        <v>89301000</v>
      </c>
      <c r="B12153" t="str">
        <f>"06223000"</f>
        <v>06223000</v>
      </c>
      <c r="C12153" t="str">
        <f>"06223043"</f>
        <v>06223043</v>
      </c>
      <c r="D12153">
        <v>89301122</v>
      </c>
      <c r="E12153" t="str">
        <f>"6207261346"</f>
        <v>6207261346</v>
      </c>
      <c r="F12153" s="1">
        <v>45174</v>
      </c>
      <c r="G12153" t="str">
        <f>"81485"</f>
        <v>81485</v>
      </c>
      <c r="H12153">
        <v>1</v>
      </c>
      <c r="I12153">
        <v>461</v>
      </c>
      <c r="J12153">
        <v>0</v>
      </c>
      <c r="K12153" t="str">
        <f>"801"</f>
        <v>801</v>
      </c>
      <c r="L12153">
        <v>387.24</v>
      </c>
    </row>
    <row r="12154" spans="1:12" x14ac:dyDescent="0.25">
      <c r="A12154" t="str">
        <f t="shared" si="2172"/>
        <v>89301000</v>
      </c>
      <c r="B12154" t="str">
        <f>"92002000"</f>
        <v>92002000</v>
      </c>
      <c r="C12154" t="str">
        <f>"92002175"</f>
        <v>92002175</v>
      </c>
      <c r="D12154">
        <v>89301212</v>
      </c>
      <c r="E12154" t="str">
        <f>"6952055374"</f>
        <v>6952055374</v>
      </c>
      <c r="F12154" s="1">
        <v>45176</v>
      </c>
      <c r="G12154" t="str">
        <f>"89180"</f>
        <v>89180</v>
      </c>
      <c r="H12154">
        <v>2</v>
      </c>
      <c r="I12154">
        <v>762</v>
      </c>
      <c r="J12154">
        <v>0</v>
      </c>
      <c r="K12154" t="str">
        <f>"809"</f>
        <v>809</v>
      </c>
      <c r="L12154">
        <v>1120.1400000000001</v>
      </c>
    </row>
    <row r="12155" spans="1:12" x14ac:dyDescent="0.25">
      <c r="A12155" t="str">
        <f t="shared" si="2172"/>
        <v>89301000</v>
      </c>
      <c r="B12155" t="str">
        <f>"05002000"</f>
        <v>05002000</v>
      </c>
      <c r="C12155" t="str">
        <f>"05002397"</f>
        <v>05002397</v>
      </c>
      <c r="D12155">
        <v>89301109</v>
      </c>
      <c r="E12155" t="str">
        <f>"2109170943"</f>
        <v>2109170943</v>
      </c>
      <c r="F12155" s="1">
        <v>45191</v>
      </c>
      <c r="G12155" t="str">
        <f>"94225"</f>
        <v>94225</v>
      </c>
      <c r="H12155">
        <v>1</v>
      </c>
      <c r="I12155">
        <v>1208</v>
      </c>
      <c r="J12155">
        <v>0</v>
      </c>
      <c r="K12155" t="str">
        <f>"818"</f>
        <v>818</v>
      </c>
      <c r="L12155">
        <v>1171.76</v>
      </c>
    </row>
    <row r="12156" spans="1:12" x14ac:dyDescent="0.25">
      <c r="A12156" t="str">
        <f t="shared" si="2172"/>
        <v>89301000</v>
      </c>
      <c r="B12156" t="str">
        <f>"05002000"</f>
        <v>05002000</v>
      </c>
      <c r="C12156" t="str">
        <f>"05002397"</f>
        <v>05002397</v>
      </c>
      <c r="D12156">
        <v>89301109</v>
      </c>
      <c r="E12156" t="str">
        <f>"2109170943"</f>
        <v>2109170943</v>
      </c>
      <c r="F12156" s="1">
        <v>45191</v>
      </c>
      <c r="G12156" t="str">
        <f>"94337"</f>
        <v>94337</v>
      </c>
      <c r="H12156">
        <v>2</v>
      </c>
      <c r="I12156">
        <v>17998</v>
      </c>
      <c r="J12156">
        <v>0</v>
      </c>
      <c r="K12156" t="str">
        <f>"818"</f>
        <v>818</v>
      </c>
      <c r="L12156">
        <v>17458.060000000001</v>
      </c>
    </row>
    <row r="12157" spans="1:12" x14ac:dyDescent="0.25">
      <c r="A12157" t="str">
        <f t="shared" si="2172"/>
        <v>89301000</v>
      </c>
      <c r="B12157" t="str">
        <f>"05002000"</f>
        <v>05002000</v>
      </c>
      <c r="C12157" t="str">
        <f>"05002141"</f>
        <v>05002141</v>
      </c>
      <c r="D12157">
        <v>89301282</v>
      </c>
      <c r="E12157" t="str">
        <f>"5711162105"</f>
        <v>5711162105</v>
      </c>
      <c r="F12157" s="1">
        <v>45181</v>
      </c>
      <c r="G12157" t="str">
        <f>"94351"</f>
        <v>94351</v>
      </c>
      <c r="H12157">
        <v>2</v>
      </c>
      <c r="I12157">
        <v>3460</v>
      </c>
      <c r="J12157">
        <v>0</v>
      </c>
      <c r="K12157" t="str">
        <f>"816"</f>
        <v>816</v>
      </c>
      <c r="L12157">
        <v>3114</v>
      </c>
    </row>
    <row r="12158" spans="1:12" x14ac:dyDescent="0.25">
      <c r="A12158" t="str">
        <f t="shared" si="2172"/>
        <v>89301000</v>
      </c>
      <c r="B12158" t="str">
        <f>"05002000"</f>
        <v>05002000</v>
      </c>
      <c r="C12158" t="str">
        <f>"05002141"</f>
        <v>05002141</v>
      </c>
      <c r="D12158">
        <v>89301282</v>
      </c>
      <c r="E12158" t="str">
        <f>"6009070837"</f>
        <v>6009070837</v>
      </c>
      <c r="F12158" s="1">
        <v>45191</v>
      </c>
      <c r="G12158" t="str">
        <f>"94221"</f>
        <v>94221</v>
      </c>
      <c r="H12158">
        <v>1</v>
      </c>
      <c r="I12158">
        <v>2467</v>
      </c>
      <c r="J12158">
        <v>0</v>
      </c>
      <c r="K12158" t="str">
        <f>"816"</f>
        <v>816</v>
      </c>
      <c r="L12158">
        <v>2220.3000000000002</v>
      </c>
    </row>
    <row r="12159" spans="1:12" x14ac:dyDescent="0.25">
      <c r="A12159" t="str">
        <f t="shared" si="2172"/>
        <v>89301000</v>
      </c>
      <c r="B12159" t="str">
        <f>"75002000"</f>
        <v>75002000</v>
      </c>
      <c r="C12159" t="str">
        <f>"75002810"</f>
        <v>75002810</v>
      </c>
      <c r="D12159">
        <v>89301292</v>
      </c>
      <c r="E12159" t="str">
        <f>"530808199"</f>
        <v>530808199</v>
      </c>
      <c r="F12159" s="1">
        <v>45198</v>
      </c>
      <c r="G12159" t="str">
        <f>"89713"</f>
        <v>89713</v>
      </c>
      <c r="H12159">
        <v>1</v>
      </c>
      <c r="I12159">
        <v>5411</v>
      </c>
      <c r="J12159">
        <v>0</v>
      </c>
      <c r="K12159" t="str">
        <f>"810"</f>
        <v>810</v>
      </c>
      <c r="L12159">
        <v>3517.15</v>
      </c>
    </row>
    <row r="12160" spans="1:12" x14ac:dyDescent="0.25">
      <c r="A12160" t="str">
        <f t="shared" si="2172"/>
        <v>89301000</v>
      </c>
      <c r="B12160" t="str">
        <f>"75002000"</f>
        <v>75002000</v>
      </c>
      <c r="C12160" t="str">
        <f>"75002810"</f>
        <v>75002810</v>
      </c>
      <c r="D12160">
        <v>89301292</v>
      </c>
      <c r="E12160" t="str">
        <f>"530808199"</f>
        <v>530808199</v>
      </c>
      <c r="F12160" s="1">
        <v>45198</v>
      </c>
      <c r="G12160" t="str">
        <f>"89725"</f>
        <v>89725</v>
      </c>
      <c r="H12160">
        <v>1</v>
      </c>
      <c r="I12160">
        <v>2863</v>
      </c>
      <c r="J12160">
        <v>0</v>
      </c>
      <c r="K12160" t="str">
        <f>"810"</f>
        <v>810</v>
      </c>
      <c r="L12160">
        <v>1860.95</v>
      </c>
    </row>
    <row r="12161" spans="1:12" x14ac:dyDescent="0.25">
      <c r="A12161" t="str">
        <f t="shared" si="2172"/>
        <v>89301000</v>
      </c>
      <c r="B12161" t="str">
        <f>"07200000"</f>
        <v>07200000</v>
      </c>
      <c r="C12161" t="str">
        <f>"07200001"</f>
        <v>07200001</v>
      </c>
      <c r="D12161">
        <v>89301282</v>
      </c>
      <c r="E12161" t="str">
        <f>"8662065775"</f>
        <v>8662065775</v>
      </c>
      <c r="F12161" s="1">
        <v>45152</v>
      </c>
      <c r="G12161" t="str">
        <f>"94994"</f>
        <v>94994</v>
      </c>
      <c r="H12161">
        <v>1</v>
      </c>
      <c r="I12161">
        <v>0</v>
      </c>
      <c r="J12161">
        <v>13500</v>
      </c>
      <c r="K12161" t="str">
        <f>"816"</f>
        <v>816</v>
      </c>
      <c r="L12161">
        <v>13500</v>
      </c>
    </row>
    <row r="12162" spans="1:12" x14ac:dyDescent="0.25">
      <c r="A12162" t="str">
        <f t="shared" ref="A12162:A12225" si="2179">"89301000"</f>
        <v>89301000</v>
      </c>
      <c r="B12162" t="str">
        <f>"93699000"</f>
        <v>93699000</v>
      </c>
      <c r="C12162" t="str">
        <f>"93699001"</f>
        <v>93699001</v>
      </c>
      <c r="D12162">
        <v>89301322</v>
      </c>
      <c r="E12162" t="str">
        <f>"536001050"</f>
        <v>536001050</v>
      </c>
      <c r="F12162" s="1">
        <v>45230</v>
      </c>
      <c r="G12162" t="str">
        <f>"89131"</f>
        <v>89131</v>
      </c>
      <c r="H12162">
        <v>2</v>
      </c>
      <c r="I12162">
        <v>380</v>
      </c>
      <c r="J12162">
        <v>0</v>
      </c>
      <c r="K12162" t="str">
        <f t="shared" ref="K12162:K12193" si="2180">"809"</f>
        <v>809</v>
      </c>
      <c r="L12162">
        <v>558.6</v>
      </c>
    </row>
    <row r="12163" spans="1:12" x14ac:dyDescent="0.25">
      <c r="A12163" t="str">
        <f t="shared" si="2179"/>
        <v>89301000</v>
      </c>
      <c r="B12163" t="str">
        <f>"86106000"</f>
        <v>86106000</v>
      </c>
      <c r="C12163" t="str">
        <f>"86106664"</f>
        <v>86106664</v>
      </c>
      <c r="D12163">
        <v>89301112</v>
      </c>
      <c r="E12163" t="str">
        <f>"0256215388"</f>
        <v>0256215388</v>
      </c>
      <c r="F12163" s="1">
        <v>45223</v>
      </c>
      <c r="G12163" t="str">
        <f>"89615"</f>
        <v>89615</v>
      </c>
      <c r="H12163">
        <v>1</v>
      </c>
      <c r="I12163">
        <v>2199</v>
      </c>
      <c r="J12163">
        <v>0</v>
      </c>
      <c r="K12163" t="str">
        <f t="shared" si="2180"/>
        <v>809</v>
      </c>
      <c r="L12163">
        <v>1429.35</v>
      </c>
    </row>
    <row r="12164" spans="1:12" x14ac:dyDescent="0.25">
      <c r="A12164" t="str">
        <f t="shared" si="2179"/>
        <v>89301000</v>
      </c>
      <c r="B12164" t="str">
        <f t="shared" ref="B12164:B12195" si="2181">"78915000"</f>
        <v>78915000</v>
      </c>
      <c r="C12164" t="str">
        <f t="shared" ref="C12164:C12195" si="2182">"78915001"</f>
        <v>78915001</v>
      </c>
      <c r="D12164">
        <v>89301014</v>
      </c>
      <c r="E12164" t="str">
        <f>"0110046145"</f>
        <v>0110046145</v>
      </c>
      <c r="F12164" s="1">
        <v>45206</v>
      </c>
      <c r="G12164" t="str">
        <f>"09569"</f>
        <v>09569</v>
      </c>
      <c r="H12164">
        <v>1</v>
      </c>
      <c r="I12164">
        <v>0</v>
      </c>
      <c r="J12164">
        <v>0</v>
      </c>
      <c r="K12164" t="str">
        <f t="shared" si="2180"/>
        <v>809</v>
      </c>
      <c r="L12164">
        <v>0</v>
      </c>
    </row>
    <row r="12165" spans="1:12" x14ac:dyDescent="0.25">
      <c r="A12165" t="str">
        <f t="shared" si="2179"/>
        <v>89301000</v>
      </c>
      <c r="B12165" t="str">
        <f t="shared" si="2181"/>
        <v>78915000</v>
      </c>
      <c r="C12165" t="str">
        <f t="shared" si="2182"/>
        <v>78915001</v>
      </c>
      <c r="D12165">
        <v>89301014</v>
      </c>
      <c r="E12165" t="str">
        <f>"0110046145"</f>
        <v>0110046145</v>
      </c>
      <c r="F12165" s="1">
        <v>45206</v>
      </c>
      <c r="G12165" t="str">
        <f>"89713"</f>
        <v>89713</v>
      </c>
      <c r="H12165">
        <v>1</v>
      </c>
      <c r="I12165">
        <v>5411</v>
      </c>
      <c r="J12165">
        <v>0</v>
      </c>
      <c r="K12165" t="str">
        <f t="shared" si="2180"/>
        <v>809</v>
      </c>
      <c r="L12165">
        <v>3517.15</v>
      </c>
    </row>
    <row r="12166" spans="1:12" x14ac:dyDescent="0.25">
      <c r="A12166" t="str">
        <f t="shared" si="2179"/>
        <v>89301000</v>
      </c>
      <c r="B12166" t="str">
        <f t="shared" si="2181"/>
        <v>78915000</v>
      </c>
      <c r="C12166" t="str">
        <f t="shared" si="2182"/>
        <v>78915001</v>
      </c>
      <c r="D12166">
        <v>89301172</v>
      </c>
      <c r="E12166" t="str">
        <f>"0253185372"</f>
        <v>0253185372</v>
      </c>
      <c r="F12166" s="1">
        <v>45215</v>
      </c>
      <c r="G12166" t="str">
        <f>"89713"</f>
        <v>89713</v>
      </c>
      <c r="H12166">
        <v>1</v>
      </c>
      <c r="I12166">
        <v>5411</v>
      </c>
      <c r="J12166">
        <v>0</v>
      </c>
      <c r="K12166" t="str">
        <f t="shared" si="2180"/>
        <v>809</v>
      </c>
      <c r="L12166">
        <v>3517.15</v>
      </c>
    </row>
    <row r="12167" spans="1:12" x14ac:dyDescent="0.25">
      <c r="A12167" t="str">
        <f t="shared" si="2179"/>
        <v>89301000</v>
      </c>
      <c r="B12167" t="str">
        <f t="shared" si="2181"/>
        <v>78915000</v>
      </c>
      <c r="C12167" t="str">
        <f t="shared" si="2182"/>
        <v>78915001</v>
      </c>
      <c r="D12167">
        <v>89301172</v>
      </c>
      <c r="E12167" t="str">
        <f>"0253185372"</f>
        <v>0253185372</v>
      </c>
      <c r="F12167" s="1">
        <v>45215</v>
      </c>
      <c r="G12167" t="str">
        <f>"89725"</f>
        <v>89725</v>
      </c>
      <c r="H12167">
        <v>1</v>
      </c>
      <c r="I12167">
        <v>2863</v>
      </c>
      <c r="J12167">
        <v>0</v>
      </c>
      <c r="K12167" t="str">
        <f t="shared" si="2180"/>
        <v>809</v>
      </c>
      <c r="L12167">
        <v>1860.95</v>
      </c>
    </row>
    <row r="12168" spans="1:12" x14ac:dyDescent="0.25">
      <c r="A12168" t="str">
        <f t="shared" si="2179"/>
        <v>89301000</v>
      </c>
      <c r="B12168" t="str">
        <f t="shared" si="2181"/>
        <v>78915000</v>
      </c>
      <c r="C12168" t="str">
        <f t="shared" si="2182"/>
        <v>78915001</v>
      </c>
      <c r="D12168">
        <v>89301112</v>
      </c>
      <c r="E12168" t="str">
        <f>"0851186072"</f>
        <v>0851186072</v>
      </c>
      <c r="F12168" s="1">
        <v>45203</v>
      </c>
      <c r="G12168" t="str">
        <f>"09569"</f>
        <v>09569</v>
      </c>
      <c r="H12168">
        <v>1</v>
      </c>
      <c r="I12168">
        <v>0</v>
      </c>
      <c r="J12168">
        <v>0</v>
      </c>
      <c r="K12168" t="str">
        <f t="shared" si="2180"/>
        <v>809</v>
      </c>
      <c r="L12168">
        <v>0</v>
      </c>
    </row>
    <row r="12169" spans="1:12" x14ac:dyDescent="0.25">
      <c r="A12169" t="str">
        <f t="shared" si="2179"/>
        <v>89301000</v>
      </c>
      <c r="B12169" t="str">
        <f t="shared" si="2181"/>
        <v>78915000</v>
      </c>
      <c r="C12169" t="str">
        <f t="shared" si="2182"/>
        <v>78915001</v>
      </c>
      <c r="D12169">
        <v>89301112</v>
      </c>
      <c r="E12169" t="str">
        <f>"0851186072"</f>
        <v>0851186072</v>
      </c>
      <c r="F12169" s="1">
        <v>45203</v>
      </c>
      <c r="G12169" t="str">
        <f>"89713"</f>
        <v>89713</v>
      </c>
      <c r="H12169">
        <v>1</v>
      </c>
      <c r="I12169">
        <v>5411</v>
      </c>
      <c r="J12169">
        <v>0</v>
      </c>
      <c r="K12169" t="str">
        <f t="shared" si="2180"/>
        <v>809</v>
      </c>
      <c r="L12169">
        <v>3517.15</v>
      </c>
    </row>
    <row r="12170" spans="1:12" x14ac:dyDescent="0.25">
      <c r="A12170" t="str">
        <f t="shared" si="2179"/>
        <v>89301000</v>
      </c>
      <c r="B12170" t="str">
        <f t="shared" si="2181"/>
        <v>78915000</v>
      </c>
      <c r="C12170" t="str">
        <f t="shared" si="2182"/>
        <v>78915001</v>
      </c>
      <c r="D12170">
        <v>89301062</v>
      </c>
      <c r="E12170" t="str">
        <f>"485404406"</f>
        <v>485404406</v>
      </c>
      <c r="F12170" s="1">
        <v>45201</v>
      </c>
      <c r="G12170" t="str">
        <f>"89713"</f>
        <v>89713</v>
      </c>
      <c r="H12170">
        <v>1</v>
      </c>
      <c r="I12170">
        <v>5411</v>
      </c>
      <c r="J12170">
        <v>0</v>
      </c>
      <c r="K12170" t="str">
        <f t="shared" si="2180"/>
        <v>809</v>
      </c>
      <c r="L12170">
        <v>3517.15</v>
      </c>
    </row>
    <row r="12171" spans="1:12" x14ac:dyDescent="0.25">
      <c r="A12171" t="str">
        <f t="shared" si="2179"/>
        <v>89301000</v>
      </c>
      <c r="B12171" t="str">
        <f t="shared" si="2181"/>
        <v>78915000</v>
      </c>
      <c r="C12171" t="str">
        <f t="shared" si="2182"/>
        <v>78915001</v>
      </c>
      <c r="D12171">
        <v>89301062</v>
      </c>
      <c r="E12171" t="str">
        <f>"485404406"</f>
        <v>485404406</v>
      </c>
      <c r="F12171" s="1">
        <v>45201</v>
      </c>
      <c r="G12171" t="str">
        <f>"89725"</f>
        <v>89725</v>
      </c>
      <c r="H12171">
        <v>1</v>
      </c>
      <c r="I12171">
        <v>2863</v>
      </c>
      <c r="J12171">
        <v>0</v>
      </c>
      <c r="K12171" t="str">
        <f t="shared" si="2180"/>
        <v>809</v>
      </c>
      <c r="L12171">
        <v>1860.95</v>
      </c>
    </row>
    <row r="12172" spans="1:12" x14ac:dyDescent="0.25">
      <c r="A12172" t="str">
        <f t="shared" si="2179"/>
        <v>89301000</v>
      </c>
      <c r="B12172" t="str">
        <f t="shared" si="2181"/>
        <v>78915000</v>
      </c>
      <c r="C12172" t="str">
        <f t="shared" si="2182"/>
        <v>78915001</v>
      </c>
      <c r="D12172">
        <v>89301062</v>
      </c>
      <c r="E12172" t="str">
        <f>"500224216"</f>
        <v>500224216</v>
      </c>
      <c r="F12172" s="1">
        <v>45215</v>
      </c>
      <c r="G12172" t="str">
        <f>"89713"</f>
        <v>89713</v>
      </c>
      <c r="H12172">
        <v>1</v>
      </c>
      <c r="I12172">
        <v>5411</v>
      </c>
      <c r="J12172">
        <v>0</v>
      </c>
      <c r="K12172" t="str">
        <f t="shared" si="2180"/>
        <v>809</v>
      </c>
      <c r="L12172">
        <v>3517.15</v>
      </c>
    </row>
    <row r="12173" spans="1:12" x14ac:dyDescent="0.25">
      <c r="A12173" t="str">
        <f t="shared" si="2179"/>
        <v>89301000</v>
      </c>
      <c r="B12173" t="str">
        <f t="shared" si="2181"/>
        <v>78915000</v>
      </c>
      <c r="C12173" t="str">
        <f t="shared" si="2182"/>
        <v>78915001</v>
      </c>
      <c r="D12173">
        <v>89301062</v>
      </c>
      <c r="E12173" t="str">
        <f>"500224216"</f>
        <v>500224216</v>
      </c>
      <c r="F12173" s="1">
        <v>45215</v>
      </c>
      <c r="G12173" t="str">
        <f>"89725"</f>
        <v>89725</v>
      </c>
      <c r="H12173">
        <v>1</v>
      </c>
      <c r="I12173">
        <v>2863</v>
      </c>
      <c r="J12173">
        <v>0</v>
      </c>
      <c r="K12173" t="str">
        <f t="shared" si="2180"/>
        <v>809</v>
      </c>
      <c r="L12173">
        <v>1860.95</v>
      </c>
    </row>
    <row r="12174" spans="1:12" x14ac:dyDescent="0.25">
      <c r="A12174" t="str">
        <f t="shared" si="2179"/>
        <v>89301000</v>
      </c>
      <c r="B12174" t="str">
        <f t="shared" si="2181"/>
        <v>78915000</v>
      </c>
      <c r="C12174" t="str">
        <f t="shared" si="2182"/>
        <v>78915001</v>
      </c>
      <c r="D12174">
        <v>89301062</v>
      </c>
      <c r="E12174" t="str">
        <f>"500820125"</f>
        <v>500820125</v>
      </c>
      <c r="F12174" s="1">
        <v>45201</v>
      </c>
      <c r="G12174" t="str">
        <f>"89713"</f>
        <v>89713</v>
      </c>
      <c r="H12174">
        <v>1</v>
      </c>
      <c r="I12174">
        <v>5411</v>
      </c>
      <c r="J12174">
        <v>0</v>
      </c>
      <c r="K12174" t="str">
        <f t="shared" si="2180"/>
        <v>809</v>
      </c>
      <c r="L12174">
        <v>3517.15</v>
      </c>
    </row>
    <row r="12175" spans="1:12" x14ac:dyDescent="0.25">
      <c r="A12175" t="str">
        <f t="shared" si="2179"/>
        <v>89301000</v>
      </c>
      <c r="B12175" t="str">
        <f t="shared" si="2181"/>
        <v>78915000</v>
      </c>
      <c r="C12175" t="str">
        <f t="shared" si="2182"/>
        <v>78915001</v>
      </c>
      <c r="D12175">
        <v>89301062</v>
      </c>
      <c r="E12175" t="str">
        <f>"500820125"</f>
        <v>500820125</v>
      </c>
      <c r="F12175" s="1">
        <v>45201</v>
      </c>
      <c r="G12175" t="str">
        <f>"89725"</f>
        <v>89725</v>
      </c>
      <c r="H12175">
        <v>1</v>
      </c>
      <c r="I12175">
        <v>2863</v>
      </c>
      <c r="J12175">
        <v>0</v>
      </c>
      <c r="K12175" t="str">
        <f t="shared" si="2180"/>
        <v>809</v>
      </c>
      <c r="L12175">
        <v>1860.95</v>
      </c>
    </row>
    <row r="12176" spans="1:12" x14ac:dyDescent="0.25">
      <c r="A12176" t="str">
        <f t="shared" si="2179"/>
        <v>89301000</v>
      </c>
      <c r="B12176" t="str">
        <f t="shared" si="2181"/>
        <v>78915000</v>
      </c>
      <c r="C12176" t="str">
        <f t="shared" si="2182"/>
        <v>78915001</v>
      </c>
      <c r="D12176">
        <v>89301215</v>
      </c>
      <c r="E12176" t="str">
        <f>"535421153"</f>
        <v>535421153</v>
      </c>
      <c r="F12176" s="1">
        <v>45224</v>
      </c>
      <c r="G12176" t="str">
        <f>"89715"</f>
        <v>89715</v>
      </c>
      <c r="H12176">
        <v>1</v>
      </c>
      <c r="I12176">
        <v>5523</v>
      </c>
      <c r="J12176">
        <v>0</v>
      </c>
      <c r="K12176" t="str">
        <f t="shared" si="2180"/>
        <v>809</v>
      </c>
      <c r="L12176">
        <v>3589.95</v>
      </c>
    </row>
    <row r="12177" spans="1:12" x14ac:dyDescent="0.25">
      <c r="A12177" t="str">
        <f t="shared" si="2179"/>
        <v>89301000</v>
      </c>
      <c r="B12177" t="str">
        <f t="shared" si="2181"/>
        <v>78915000</v>
      </c>
      <c r="C12177" t="str">
        <f t="shared" si="2182"/>
        <v>78915001</v>
      </c>
      <c r="D12177">
        <v>89301215</v>
      </c>
      <c r="E12177" t="str">
        <f>"535421153"</f>
        <v>535421153</v>
      </c>
      <c r="F12177" s="1">
        <v>45224</v>
      </c>
      <c r="G12177" t="str">
        <f>"89725"</f>
        <v>89725</v>
      </c>
      <c r="H12177">
        <v>1</v>
      </c>
      <c r="I12177">
        <v>2863</v>
      </c>
      <c r="J12177">
        <v>0</v>
      </c>
      <c r="K12177" t="str">
        <f t="shared" si="2180"/>
        <v>809</v>
      </c>
      <c r="L12177">
        <v>1860.95</v>
      </c>
    </row>
    <row r="12178" spans="1:12" x14ac:dyDescent="0.25">
      <c r="A12178" t="str">
        <f t="shared" si="2179"/>
        <v>89301000</v>
      </c>
      <c r="B12178" t="str">
        <f t="shared" si="2181"/>
        <v>78915000</v>
      </c>
      <c r="C12178" t="str">
        <f t="shared" si="2182"/>
        <v>78915001</v>
      </c>
      <c r="D12178">
        <v>89301215</v>
      </c>
      <c r="E12178" t="str">
        <f>"535421153"</f>
        <v>535421153</v>
      </c>
      <c r="F12178" s="1">
        <v>45224</v>
      </c>
      <c r="G12178" t="str">
        <f>"0207733"</f>
        <v>0207733</v>
      </c>
      <c r="H12178">
        <v>1</v>
      </c>
      <c r="J12178">
        <v>2590.5300000000002</v>
      </c>
      <c r="K12178" t="str">
        <f t="shared" si="2180"/>
        <v>809</v>
      </c>
      <c r="L12178">
        <v>2590.5300000000002</v>
      </c>
    </row>
    <row r="12179" spans="1:12" x14ac:dyDescent="0.25">
      <c r="A12179" t="str">
        <f t="shared" si="2179"/>
        <v>89301000</v>
      </c>
      <c r="B12179" t="str">
        <f t="shared" si="2181"/>
        <v>78915000</v>
      </c>
      <c r="C12179" t="str">
        <f t="shared" si="2182"/>
        <v>78915001</v>
      </c>
      <c r="D12179">
        <v>89301312</v>
      </c>
      <c r="E12179" t="str">
        <f>"536124263"</f>
        <v>536124263</v>
      </c>
      <c r="F12179" s="1">
        <v>45225</v>
      </c>
      <c r="G12179" t="str">
        <f>"09569"</f>
        <v>09569</v>
      </c>
      <c r="H12179">
        <v>1</v>
      </c>
      <c r="I12179">
        <v>0</v>
      </c>
      <c r="J12179">
        <v>0</v>
      </c>
      <c r="K12179" t="str">
        <f t="shared" si="2180"/>
        <v>809</v>
      </c>
      <c r="L12179">
        <v>0</v>
      </c>
    </row>
    <row r="12180" spans="1:12" x14ac:dyDescent="0.25">
      <c r="A12180" t="str">
        <f t="shared" si="2179"/>
        <v>89301000</v>
      </c>
      <c r="B12180" t="str">
        <f t="shared" si="2181"/>
        <v>78915000</v>
      </c>
      <c r="C12180" t="str">
        <f t="shared" si="2182"/>
        <v>78915001</v>
      </c>
      <c r="D12180">
        <v>89301312</v>
      </c>
      <c r="E12180" t="str">
        <f>"536124263"</f>
        <v>536124263</v>
      </c>
      <c r="F12180" s="1">
        <v>45225</v>
      </c>
      <c r="G12180" t="str">
        <f>"89713"</f>
        <v>89713</v>
      </c>
      <c r="H12180">
        <v>1</v>
      </c>
      <c r="I12180">
        <v>5411</v>
      </c>
      <c r="J12180">
        <v>0</v>
      </c>
      <c r="K12180" t="str">
        <f t="shared" si="2180"/>
        <v>809</v>
      </c>
      <c r="L12180">
        <v>3517.15</v>
      </c>
    </row>
    <row r="12181" spans="1:12" x14ac:dyDescent="0.25">
      <c r="A12181" t="str">
        <f t="shared" si="2179"/>
        <v>89301000</v>
      </c>
      <c r="B12181" t="str">
        <f t="shared" si="2181"/>
        <v>78915000</v>
      </c>
      <c r="C12181" t="str">
        <f t="shared" si="2182"/>
        <v>78915001</v>
      </c>
      <c r="D12181">
        <v>89301112</v>
      </c>
      <c r="E12181" t="str">
        <f>"5654230395"</f>
        <v>5654230395</v>
      </c>
      <c r="F12181" s="1">
        <v>45218</v>
      </c>
      <c r="G12181" t="str">
        <f>"09567"</f>
        <v>09567</v>
      </c>
      <c r="H12181">
        <v>1</v>
      </c>
      <c r="I12181">
        <v>0</v>
      </c>
      <c r="J12181">
        <v>0</v>
      </c>
      <c r="K12181" t="str">
        <f t="shared" si="2180"/>
        <v>809</v>
      </c>
      <c r="L12181">
        <v>0</v>
      </c>
    </row>
    <row r="12182" spans="1:12" x14ac:dyDescent="0.25">
      <c r="A12182" t="str">
        <f t="shared" si="2179"/>
        <v>89301000</v>
      </c>
      <c r="B12182" t="str">
        <f t="shared" si="2181"/>
        <v>78915000</v>
      </c>
      <c r="C12182" t="str">
        <f t="shared" si="2182"/>
        <v>78915001</v>
      </c>
      <c r="D12182">
        <v>89301112</v>
      </c>
      <c r="E12182" t="str">
        <f>"5654230395"</f>
        <v>5654230395</v>
      </c>
      <c r="F12182" s="1">
        <v>45218</v>
      </c>
      <c r="G12182" t="str">
        <f>"89713"</f>
        <v>89713</v>
      </c>
      <c r="H12182">
        <v>1</v>
      </c>
      <c r="I12182">
        <v>5411</v>
      </c>
      <c r="J12182">
        <v>0</v>
      </c>
      <c r="K12182" t="str">
        <f t="shared" si="2180"/>
        <v>809</v>
      </c>
      <c r="L12182">
        <v>3517.15</v>
      </c>
    </row>
    <row r="12183" spans="1:12" x14ac:dyDescent="0.25">
      <c r="A12183" t="str">
        <f t="shared" si="2179"/>
        <v>89301000</v>
      </c>
      <c r="B12183" t="str">
        <f t="shared" si="2181"/>
        <v>78915000</v>
      </c>
      <c r="C12183" t="str">
        <f t="shared" si="2182"/>
        <v>78915001</v>
      </c>
      <c r="D12183">
        <v>89301042</v>
      </c>
      <c r="E12183" t="str">
        <f>"5705111588"</f>
        <v>5705111588</v>
      </c>
      <c r="F12183" s="1">
        <v>45219</v>
      </c>
      <c r="G12183" t="str">
        <f>"09567"</f>
        <v>09567</v>
      </c>
      <c r="H12183">
        <v>1</v>
      </c>
      <c r="I12183">
        <v>0</v>
      </c>
      <c r="J12183">
        <v>0</v>
      </c>
      <c r="K12183" t="str">
        <f t="shared" si="2180"/>
        <v>809</v>
      </c>
      <c r="L12183">
        <v>0</v>
      </c>
    </row>
    <row r="12184" spans="1:12" x14ac:dyDescent="0.25">
      <c r="A12184" t="str">
        <f t="shared" si="2179"/>
        <v>89301000</v>
      </c>
      <c r="B12184" t="str">
        <f t="shared" si="2181"/>
        <v>78915000</v>
      </c>
      <c r="C12184" t="str">
        <f t="shared" si="2182"/>
        <v>78915001</v>
      </c>
      <c r="D12184">
        <v>89301042</v>
      </c>
      <c r="E12184" t="str">
        <f>"5705111588"</f>
        <v>5705111588</v>
      </c>
      <c r="F12184" s="1">
        <v>45219</v>
      </c>
      <c r="G12184" t="str">
        <f>"09569"</f>
        <v>09569</v>
      </c>
      <c r="H12184">
        <v>1</v>
      </c>
      <c r="I12184">
        <v>0</v>
      </c>
      <c r="J12184">
        <v>0</v>
      </c>
      <c r="K12184" t="str">
        <f t="shared" si="2180"/>
        <v>809</v>
      </c>
      <c r="L12184">
        <v>0</v>
      </c>
    </row>
    <row r="12185" spans="1:12" x14ac:dyDescent="0.25">
      <c r="A12185" t="str">
        <f t="shared" si="2179"/>
        <v>89301000</v>
      </c>
      <c r="B12185" t="str">
        <f t="shared" si="2181"/>
        <v>78915000</v>
      </c>
      <c r="C12185" t="str">
        <f t="shared" si="2182"/>
        <v>78915001</v>
      </c>
      <c r="D12185">
        <v>89301042</v>
      </c>
      <c r="E12185" t="str">
        <f>"5705111588"</f>
        <v>5705111588</v>
      </c>
      <c r="F12185" s="1">
        <v>45219</v>
      </c>
      <c r="G12185" t="str">
        <f>"89713"</f>
        <v>89713</v>
      </c>
      <c r="H12185">
        <v>2</v>
      </c>
      <c r="I12185">
        <v>10822</v>
      </c>
      <c r="J12185">
        <v>0</v>
      </c>
      <c r="K12185" t="str">
        <f t="shared" si="2180"/>
        <v>809</v>
      </c>
      <c r="L12185">
        <v>7034.3</v>
      </c>
    </row>
    <row r="12186" spans="1:12" x14ac:dyDescent="0.25">
      <c r="A12186" t="str">
        <f t="shared" si="2179"/>
        <v>89301000</v>
      </c>
      <c r="B12186" t="str">
        <f t="shared" si="2181"/>
        <v>78915000</v>
      </c>
      <c r="C12186" t="str">
        <f t="shared" si="2182"/>
        <v>78915001</v>
      </c>
      <c r="D12186">
        <v>89301062</v>
      </c>
      <c r="E12186" t="str">
        <f>"5758081340"</f>
        <v>5758081340</v>
      </c>
      <c r="F12186" s="1">
        <v>45226</v>
      </c>
      <c r="G12186" t="str">
        <f>"89713"</f>
        <v>89713</v>
      </c>
      <c r="H12186">
        <v>1</v>
      </c>
      <c r="I12186">
        <v>5411</v>
      </c>
      <c r="J12186">
        <v>0</v>
      </c>
      <c r="K12186" t="str">
        <f t="shared" si="2180"/>
        <v>809</v>
      </c>
      <c r="L12186">
        <v>3517.15</v>
      </c>
    </row>
    <row r="12187" spans="1:12" x14ac:dyDescent="0.25">
      <c r="A12187" t="str">
        <f t="shared" si="2179"/>
        <v>89301000</v>
      </c>
      <c r="B12187" t="str">
        <f t="shared" si="2181"/>
        <v>78915000</v>
      </c>
      <c r="C12187" t="str">
        <f t="shared" si="2182"/>
        <v>78915001</v>
      </c>
      <c r="D12187">
        <v>89301062</v>
      </c>
      <c r="E12187" t="str">
        <f>"5758081340"</f>
        <v>5758081340</v>
      </c>
      <c r="F12187" s="1">
        <v>45226</v>
      </c>
      <c r="G12187" t="str">
        <f>"89725"</f>
        <v>89725</v>
      </c>
      <c r="H12187">
        <v>1</v>
      </c>
      <c r="I12187">
        <v>2863</v>
      </c>
      <c r="J12187">
        <v>0</v>
      </c>
      <c r="K12187" t="str">
        <f t="shared" si="2180"/>
        <v>809</v>
      </c>
      <c r="L12187">
        <v>1860.95</v>
      </c>
    </row>
    <row r="12188" spans="1:12" x14ac:dyDescent="0.25">
      <c r="A12188" t="str">
        <f t="shared" si="2179"/>
        <v>89301000</v>
      </c>
      <c r="B12188" t="str">
        <f t="shared" si="2181"/>
        <v>78915000</v>
      </c>
      <c r="C12188" t="str">
        <f t="shared" si="2182"/>
        <v>78915001</v>
      </c>
      <c r="D12188">
        <v>89301112</v>
      </c>
      <c r="E12188" t="str">
        <f>"5852021395"</f>
        <v>5852021395</v>
      </c>
      <c r="F12188" s="1">
        <v>45204</v>
      </c>
      <c r="G12188" t="str">
        <f>"09569"</f>
        <v>09569</v>
      </c>
      <c r="H12188">
        <v>1</v>
      </c>
      <c r="I12188">
        <v>0</v>
      </c>
      <c r="J12188">
        <v>0</v>
      </c>
      <c r="K12188" t="str">
        <f t="shared" si="2180"/>
        <v>809</v>
      </c>
      <c r="L12188">
        <v>0</v>
      </c>
    </row>
    <row r="12189" spans="1:12" x14ac:dyDescent="0.25">
      <c r="A12189" t="str">
        <f t="shared" si="2179"/>
        <v>89301000</v>
      </c>
      <c r="B12189" t="str">
        <f t="shared" si="2181"/>
        <v>78915000</v>
      </c>
      <c r="C12189" t="str">
        <f t="shared" si="2182"/>
        <v>78915001</v>
      </c>
      <c r="D12189">
        <v>89301112</v>
      </c>
      <c r="E12189" t="str">
        <f>"5852021395"</f>
        <v>5852021395</v>
      </c>
      <c r="F12189" s="1">
        <v>45204</v>
      </c>
      <c r="G12189" t="str">
        <f>"89713"</f>
        <v>89713</v>
      </c>
      <c r="H12189">
        <v>1</v>
      </c>
      <c r="I12189">
        <v>5411</v>
      </c>
      <c r="J12189">
        <v>0</v>
      </c>
      <c r="K12189" t="str">
        <f t="shared" si="2180"/>
        <v>809</v>
      </c>
      <c r="L12189">
        <v>3517.15</v>
      </c>
    </row>
    <row r="12190" spans="1:12" x14ac:dyDescent="0.25">
      <c r="A12190" t="str">
        <f t="shared" si="2179"/>
        <v>89301000</v>
      </c>
      <c r="B12190" t="str">
        <f t="shared" si="2181"/>
        <v>78915000</v>
      </c>
      <c r="C12190" t="str">
        <f t="shared" si="2182"/>
        <v>78915001</v>
      </c>
      <c r="D12190">
        <v>89301022</v>
      </c>
      <c r="E12190" t="str">
        <f>"6159250207"</f>
        <v>6159250207</v>
      </c>
      <c r="F12190" s="1">
        <v>45211</v>
      </c>
      <c r="G12190" t="str">
        <f>"89715"</f>
        <v>89715</v>
      </c>
      <c r="H12190">
        <v>1</v>
      </c>
      <c r="I12190">
        <v>5523</v>
      </c>
      <c r="J12190">
        <v>0</v>
      </c>
      <c r="K12190" t="str">
        <f t="shared" si="2180"/>
        <v>809</v>
      </c>
      <c r="L12190">
        <v>3589.95</v>
      </c>
    </row>
    <row r="12191" spans="1:12" x14ac:dyDescent="0.25">
      <c r="A12191" t="str">
        <f t="shared" si="2179"/>
        <v>89301000</v>
      </c>
      <c r="B12191" t="str">
        <f t="shared" si="2181"/>
        <v>78915000</v>
      </c>
      <c r="C12191" t="str">
        <f t="shared" si="2182"/>
        <v>78915001</v>
      </c>
      <c r="D12191">
        <v>89301022</v>
      </c>
      <c r="E12191" t="str">
        <f>"6159250207"</f>
        <v>6159250207</v>
      </c>
      <c r="F12191" s="1">
        <v>45211</v>
      </c>
      <c r="G12191" t="str">
        <f>"89725"</f>
        <v>89725</v>
      </c>
      <c r="H12191">
        <v>1</v>
      </c>
      <c r="I12191">
        <v>2863</v>
      </c>
      <c r="J12191">
        <v>0</v>
      </c>
      <c r="K12191" t="str">
        <f t="shared" si="2180"/>
        <v>809</v>
      </c>
      <c r="L12191">
        <v>1860.95</v>
      </c>
    </row>
    <row r="12192" spans="1:12" x14ac:dyDescent="0.25">
      <c r="A12192" t="str">
        <f t="shared" si="2179"/>
        <v>89301000</v>
      </c>
      <c r="B12192" t="str">
        <f t="shared" si="2181"/>
        <v>78915000</v>
      </c>
      <c r="C12192" t="str">
        <f t="shared" si="2182"/>
        <v>78915001</v>
      </c>
      <c r="D12192">
        <v>89301022</v>
      </c>
      <c r="E12192" t="str">
        <f>"6159250207"</f>
        <v>6159250207</v>
      </c>
      <c r="F12192" s="1">
        <v>45211</v>
      </c>
      <c r="G12192" t="str">
        <f>"0207733"</f>
        <v>0207733</v>
      </c>
      <c r="H12192">
        <v>1</v>
      </c>
      <c r="J12192">
        <v>2590.5300000000002</v>
      </c>
      <c r="K12192" t="str">
        <f t="shared" si="2180"/>
        <v>809</v>
      </c>
      <c r="L12192">
        <v>2590.5300000000002</v>
      </c>
    </row>
    <row r="12193" spans="1:12" x14ac:dyDescent="0.25">
      <c r="A12193" t="str">
        <f t="shared" si="2179"/>
        <v>89301000</v>
      </c>
      <c r="B12193" t="str">
        <f t="shared" si="2181"/>
        <v>78915000</v>
      </c>
      <c r="C12193" t="str">
        <f t="shared" si="2182"/>
        <v>78915001</v>
      </c>
      <c r="D12193">
        <v>89301262</v>
      </c>
      <c r="E12193" t="str">
        <f>"6255210148"</f>
        <v>6255210148</v>
      </c>
      <c r="F12193" s="1">
        <v>45213</v>
      </c>
      <c r="G12193" t="str">
        <f>"89713"</f>
        <v>89713</v>
      </c>
      <c r="H12193">
        <v>1</v>
      </c>
      <c r="I12193">
        <v>5411</v>
      </c>
      <c r="J12193">
        <v>0</v>
      </c>
      <c r="K12193" t="str">
        <f t="shared" si="2180"/>
        <v>809</v>
      </c>
      <c r="L12193">
        <v>3517.15</v>
      </c>
    </row>
    <row r="12194" spans="1:12" x14ac:dyDescent="0.25">
      <c r="A12194" t="str">
        <f t="shared" si="2179"/>
        <v>89301000</v>
      </c>
      <c r="B12194" t="str">
        <f t="shared" si="2181"/>
        <v>78915000</v>
      </c>
      <c r="C12194" t="str">
        <f t="shared" si="2182"/>
        <v>78915001</v>
      </c>
      <c r="D12194">
        <v>89301262</v>
      </c>
      <c r="E12194" t="str">
        <f>"6255210148"</f>
        <v>6255210148</v>
      </c>
      <c r="F12194" s="1">
        <v>45213</v>
      </c>
      <c r="G12194" t="str">
        <f>"89725"</f>
        <v>89725</v>
      </c>
      <c r="H12194">
        <v>1</v>
      </c>
      <c r="I12194">
        <v>2863</v>
      </c>
      <c r="J12194">
        <v>0</v>
      </c>
      <c r="K12194" t="str">
        <f t="shared" ref="K12194:K12225" si="2183">"809"</f>
        <v>809</v>
      </c>
      <c r="L12194">
        <v>1860.95</v>
      </c>
    </row>
    <row r="12195" spans="1:12" x14ac:dyDescent="0.25">
      <c r="A12195" t="str">
        <f t="shared" si="2179"/>
        <v>89301000</v>
      </c>
      <c r="B12195" t="str">
        <f t="shared" si="2181"/>
        <v>78915000</v>
      </c>
      <c r="C12195" t="str">
        <f t="shared" si="2182"/>
        <v>78915001</v>
      </c>
      <c r="D12195">
        <v>89301062</v>
      </c>
      <c r="E12195" t="str">
        <f>"6611250910"</f>
        <v>6611250910</v>
      </c>
      <c r="F12195" s="1">
        <v>45216</v>
      </c>
      <c r="G12195" t="str">
        <f>"89713"</f>
        <v>89713</v>
      </c>
      <c r="H12195">
        <v>1</v>
      </c>
      <c r="I12195">
        <v>5411</v>
      </c>
      <c r="J12195">
        <v>0</v>
      </c>
      <c r="K12195" t="str">
        <f t="shared" si="2183"/>
        <v>809</v>
      </c>
      <c r="L12195">
        <v>3517.15</v>
      </c>
    </row>
    <row r="12196" spans="1:12" x14ac:dyDescent="0.25">
      <c r="A12196" t="str">
        <f t="shared" si="2179"/>
        <v>89301000</v>
      </c>
      <c r="B12196" t="str">
        <f t="shared" ref="B12196:B12227" si="2184">"78915000"</f>
        <v>78915000</v>
      </c>
      <c r="C12196" t="str">
        <f t="shared" ref="C12196:C12227" si="2185">"78915001"</f>
        <v>78915001</v>
      </c>
      <c r="D12196">
        <v>89301062</v>
      </c>
      <c r="E12196" t="str">
        <f>"6611250910"</f>
        <v>6611250910</v>
      </c>
      <c r="F12196" s="1">
        <v>45216</v>
      </c>
      <c r="G12196" t="str">
        <f>"89725"</f>
        <v>89725</v>
      </c>
      <c r="H12196">
        <v>1</v>
      </c>
      <c r="I12196">
        <v>2863</v>
      </c>
      <c r="J12196">
        <v>0</v>
      </c>
      <c r="K12196" t="str">
        <f t="shared" si="2183"/>
        <v>809</v>
      </c>
      <c r="L12196">
        <v>1860.95</v>
      </c>
    </row>
    <row r="12197" spans="1:12" x14ac:dyDescent="0.25">
      <c r="A12197" t="str">
        <f t="shared" si="2179"/>
        <v>89301000</v>
      </c>
      <c r="B12197" t="str">
        <f t="shared" si="2184"/>
        <v>78915000</v>
      </c>
      <c r="C12197" t="str">
        <f t="shared" si="2185"/>
        <v>78915001</v>
      </c>
      <c r="D12197">
        <v>89301045</v>
      </c>
      <c r="E12197" t="str">
        <f>"6656151535"</f>
        <v>6656151535</v>
      </c>
      <c r="F12197" s="1">
        <v>45224</v>
      </c>
      <c r="G12197" t="str">
        <f>"89715"</f>
        <v>89715</v>
      </c>
      <c r="H12197">
        <v>1</v>
      </c>
      <c r="I12197">
        <v>5523</v>
      </c>
      <c r="J12197">
        <v>0</v>
      </c>
      <c r="K12197" t="str">
        <f t="shared" si="2183"/>
        <v>809</v>
      </c>
      <c r="L12197">
        <v>3589.95</v>
      </c>
    </row>
    <row r="12198" spans="1:12" x14ac:dyDescent="0.25">
      <c r="A12198" t="str">
        <f t="shared" si="2179"/>
        <v>89301000</v>
      </c>
      <c r="B12198" t="str">
        <f t="shared" si="2184"/>
        <v>78915000</v>
      </c>
      <c r="C12198" t="str">
        <f t="shared" si="2185"/>
        <v>78915001</v>
      </c>
      <c r="D12198">
        <v>89301045</v>
      </c>
      <c r="E12198" t="str">
        <f>"6656151535"</f>
        <v>6656151535</v>
      </c>
      <c r="F12198" s="1">
        <v>45224</v>
      </c>
      <c r="G12198" t="str">
        <f>"89725"</f>
        <v>89725</v>
      </c>
      <c r="H12198">
        <v>1</v>
      </c>
      <c r="I12198">
        <v>2863</v>
      </c>
      <c r="J12198">
        <v>0</v>
      </c>
      <c r="K12198" t="str">
        <f t="shared" si="2183"/>
        <v>809</v>
      </c>
      <c r="L12198">
        <v>1860.95</v>
      </c>
    </row>
    <row r="12199" spans="1:12" x14ac:dyDescent="0.25">
      <c r="A12199" t="str">
        <f t="shared" si="2179"/>
        <v>89301000</v>
      </c>
      <c r="B12199" t="str">
        <f t="shared" si="2184"/>
        <v>78915000</v>
      </c>
      <c r="C12199" t="str">
        <f t="shared" si="2185"/>
        <v>78915001</v>
      </c>
      <c r="D12199">
        <v>89301045</v>
      </c>
      <c r="E12199" t="str">
        <f>"6656151535"</f>
        <v>6656151535</v>
      </c>
      <c r="F12199" s="1">
        <v>45224</v>
      </c>
      <c r="G12199" t="str">
        <f>"0207733"</f>
        <v>0207733</v>
      </c>
      <c r="H12199">
        <v>1</v>
      </c>
      <c r="J12199">
        <v>2590.5300000000002</v>
      </c>
      <c r="K12199" t="str">
        <f t="shared" si="2183"/>
        <v>809</v>
      </c>
      <c r="L12199">
        <v>2590.5300000000002</v>
      </c>
    </row>
    <row r="12200" spans="1:12" x14ac:dyDescent="0.25">
      <c r="A12200" t="str">
        <f t="shared" si="2179"/>
        <v>89301000</v>
      </c>
      <c r="B12200" t="str">
        <f t="shared" si="2184"/>
        <v>78915000</v>
      </c>
      <c r="C12200" t="str">
        <f t="shared" si="2185"/>
        <v>78915001</v>
      </c>
      <c r="D12200">
        <v>89301062</v>
      </c>
      <c r="E12200" t="str">
        <f>"7151154263"</f>
        <v>7151154263</v>
      </c>
      <c r="F12200" s="1">
        <v>45208</v>
      </c>
      <c r="G12200" t="str">
        <f>"89713"</f>
        <v>89713</v>
      </c>
      <c r="H12200">
        <v>1</v>
      </c>
      <c r="I12200">
        <v>5411</v>
      </c>
      <c r="J12200">
        <v>0</v>
      </c>
      <c r="K12200" t="str">
        <f t="shared" si="2183"/>
        <v>809</v>
      </c>
      <c r="L12200">
        <v>3517.15</v>
      </c>
    </row>
    <row r="12201" spans="1:12" x14ac:dyDescent="0.25">
      <c r="A12201" t="str">
        <f t="shared" si="2179"/>
        <v>89301000</v>
      </c>
      <c r="B12201" t="str">
        <f t="shared" si="2184"/>
        <v>78915000</v>
      </c>
      <c r="C12201" t="str">
        <f t="shared" si="2185"/>
        <v>78915001</v>
      </c>
      <c r="D12201">
        <v>89301062</v>
      </c>
      <c r="E12201" t="str">
        <f>"7151154263"</f>
        <v>7151154263</v>
      </c>
      <c r="F12201" s="1">
        <v>45208</v>
      </c>
      <c r="G12201" t="str">
        <f>"89725"</f>
        <v>89725</v>
      </c>
      <c r="H12201">
        <v>1</v>
      </c>
      <c r="I12201">
        <v>2863</v>
      </c>
      <c r="J12201">
        <v>0</v>
      </c>
      <c r="K12201" t="str">
        <f t="shared" si="2183"/>
        <v>809</v>
      </c>
      <c r="L12201">
        <v>1860.95</v>
      </c>
    </row>
    <row r="12202" spans="1:12" x14ac:dyDescent="0.25">
      <c r="A12202" t="str">
        <f t="shared" si="2179"/>
        <v>89301000</v>
      </c>
      <c r="B12202" t="str">
        <f t="shared" si="2184"/>
        <v>78915000</v>
      </c>
      <c r="C12202" t="str">
        <f t="shared" si="2185"/>
        <v>78915001</v>
      </c>
      <c r="D12202">
        <v>89301062</v>
      </c>
      <c r="E12202" t="str">
        <f>"7151154263"</f>
        <v>7151154263</v>
      </c>
      <c r="F12202" s="1">
        <v>45208</v>
      </c>
      <c r="G12202" t="str">
        <f>"0054255"</f>
        <v>0054255</v>
      </c>
      <c r="H12202">
        <v>1</v>
      </c>
      <c r="J12202">
        <v>1686.92</v>
      </c>
      <c r="K12202" t="str">
        <f t="shared" si="2183"/>
        <v>809</v>
      </c>
      <c r="L12202">
        <v>1686.92</v>
      </c>
    </row>
    <row r="12203" spans="1:12" x14ac:dyDescent="0.25">
      <c r="A12203" t="str">
        <f t="shared" si="2179"/>
        <v>89301000</v>
      </c>
      <c r="B12203" t="str">
        <f t="shared" si="2184"/>
        <v>78915000</v>
      </c>
      <c r="C12203" t="str">
        <f t="shared" si="2185"/>
        <v>78915001</v>
      </c>
      <c r="D12203">
        <v>89301022</v>
      </c>
      <c r="E12203" t="str">
        <f>"7157294881"</f>
        <v>7157294881</v>
      </c>
      <c r="F12203" s="1">
        <v>45204</v>
      </c>
      <c r="G12203" t="str">
        <f>"89715"</f>
        <v>89715</v>
      </c>
      <c r="H12203">
        <v>1</v>
      </c>
      <c r="I12203">
        <v>5523</v>
      </c>
      <c r="J12203">
        <v>0</v>
      </c>
      <c r="K12203" t="str">
        <f t="shared" si="2183"/>
        <v>809</v>
      </c>
      <c r="L12203">
        <v>3589.95</v>
      </c>
    </row>
    <row r="12204" spans="1:12" x14ac:dyDescent="0.25">
      <c r="A12204" t="str">
        <f t="shared" si="2179"/>
        <v>89301000</v>
      </c>
      <c r="B12204" t="str">
        <f t="shared" si="2184"/>
        <v>78915000</v>
      </c>
      <c r="C12204" t="str">
        <f t="shared" si="2185"/>
        <v>78915001</v>
      </c>
      <c r="D12204">
        <v>89301022</v>
      </c>
      <c r="E12204" t="str">
        <f>"7157294881"</f>
        <v>7157294881</v>
      </c>
      <c r="F12204" s="1">
        <v>45204</v>
      </c>
      <c r="G12204" t="str">
        <f>"89725"</f>
        <v>89725</v>
      </c>
      <c r="H12204">
        <v>1</v>
      </c>
      <c r="I12204">
        <v>2863</v>
      </c>
      <c r="J12204">
        <v>0</v>
      </c>
      <c r="K12204" t="str">
        <f t="shared" si="2183"/>
        <v>809</v>
      </c>
      <c r="L12204">
        <v>1860.95</v>
      </c>
    </row>
    <row r="12205" spans="1:12" x14ac:dyDescent="0.25">
      <c r="A12205" t="str">
        <f t="shared" si="2179"/>
        <v>89301000</v>
      </c>
      <c r="B12205" t="str">
        <f t="shared" si="2184"/>
        <v>78915000</v>
      </c>
      <c r="C12205" t="str">
        <f t="shared" si="2185"/>
        <v>78915001</v>
      </c>
      <c r="D12205">
        <v>89301022</v>
      </c>
      <c r="E12205" t="str">
        <f>"7157294881"</f>
        <v>7157294881</v>
      </c>
      <c r="F12205" s="1">
        <v>45204</v>
      </c>
      <c r="G12205" t="str">
        <f>"0207733"</f>
        <v>0207733</v>
      </c>
      <c r="H12205">
        <v>0.8</v>
      </c>
      <c r="J12205">
        <v>2072.42</v>
      </c>
      <c r="K12205" t="str">
        <f t="shared" si="2183"/>
        <v>809</v>
      </c>
      <c r="L12205">
        <v>2072.42</v>
      </c>
    </row>
    <row r="12206" spans="1:12" x14ac:dyDescent="0.25">
      <c r="A12206" t="str">
        <f t="shared" si="2179"/>
        <v>89301000</v>
      </c>
      <c r="B12206" t="str">
        <f t="shared" si="2184"/>
        <v>78915000</v>
      </c>
      <c r="C12206" t="str">
        <f t="shared" si="2185"/>
        <v>78915001</v>
      </c>
      <c r="D12206">
        <v>89301172</v>
      </c>
      <c r="E12206" t="str">
        <f>"7258163528"</f>
        <v>7258163528</v>
      </c>
      <c r="F12206" s="1">
        <v>45201</v>
      </c>
      <c r="G12206" t="str">
        <f>"89713"</f>
        <v>89713</v>
      </c>
      <c r="H12206">
        <v>1</v>
      </c>
      <c r="I12206">
        <v>5411</v>
      </c>
      <c r="J12206">
        <v>0</v>
      </c>
      <c r="K12206" t="str">
        <f t="shared" si="2183"/>
        <v>809</v>
      </c>
      <c r="L12206">
        <v>3517.15</v>
      </c>
    </row>
    <row r="12207" spans="1:12" x14ac:dyDescent="0.25">
      <c r="A12207" t="str">
        <f t="shared" si="2179"/>
        <v>89301000</v>
      </c>
      <c r="B12207" t="str">
        <f t="shared" si="2184"/>
        <v>78915000</v>
      </c>
      <c r="C12207" t="str">
        <f t="shared" si="2185"/>
        <v>78915001</v>
      </c>
      <c r="D12207">
        <v>89301172</v>
      </c>
      <c r="E12207" t="str">
        <f>"7258163528"</f>
        <v>7258163528</v>
      </c>
      <c r="F12207" s="1">
        <v>45201</v>
      </c>
      <c r="G12207" t="str">
        <f>"89725"</f>
        <v>89725</v>
      </c>
      <c r="H12207">
        <v>1</v>
      </c>
      <c r="I12207">
        <v>2863</v>
      </c>
      <c r="J12207">
        <v>0</v>
      </c>
      <c r="K12207" t="str">
        <f t="shared" si="2183"/>
        <v>809</v>
      </c>
      <c r="L12207">
        <v>1860.95</v>
      </c>
    </row>
    <row r="12208" spans="1:12" x14ac:dyDescent="0.25">
      <c r="A12208" t="str">
        <f t="shared" si="2179"/>
        <v>89301000</v>
      </c>
      <c r="B12208" t="str">
        <f t="shared" si="2184"/>
        <v>78915000</v>
      </c>
      <c r="C12208" t="str">
        <f t="shared" si="2185"/>
        <v>78915001</v>
      </c>
      <c r="D12208">
        <v>89301045</v>
      </c>
      <c r="E12208" t="str">
        <f>"7356275344"</f>
        <v>7356275344</v>
      </c>
      <c r="F12208" s="1">
        <v>45203</v>
      </c>
      <c r="G12208" t="str">
        <f>"89715"</f>
        <v>89715</v>
      </c>
      <c r="H12208">
        <v>1</v>
      </c>
      <c r="I12208">
        <v>5523</v>
      </c>
      <c r="J12208">
        <v>0</v>
      </c>
      <c r="K12208" t="str">
        <f t="shared" si="2183"/>
        <v>809</v>
      </c>
      <c r="L12208">
        <v>3589.95</v>
      </c>
    </row>
    <row r="12209" spans="1:12" x14ac:dyDescent="0.25">
      <c r="A12209" t="str">
        <f t="shared" si="2179"/>
        <v>89301000</v>
      </c>
      <c r="B12209" t="str">
        <f t="shared" si="2184"/>
        <v>78915000</v>
      </c>
      <c r="C12209" t="str">
        <f t="shared" si="2185"/>
        <v>78915001</v>
      </c>
      <c r="D12209">
        <v>89301045</v>
      </c>
      <c r="E12209" t="str">
        <f>"7356275344"</f>
        <v>7356275344</v>
      </c>
      <c r="F12209" s="1">
        <v>45203</v>
      </c>
      <c r="G12209" t="str">
        <f>"89725"</f>
        <v>89725</v>
      </c>
      <c r="H12209">
        <v>1</v>
      </c>
      <c r="I12209">
        <v>2863</v>
      </c>
      <c r="J12209">
        <v>0</v>
      </c>
      <c r="K12209" t="str">
        <f t="shared" si="2183"/>
        <v>809</v>
      </c>
      <c r="L12209">
        <v>1860.95</v>
      </c>
    </row>
    <row r="12210" spans="1:12" x14ac:dyDescent="0.25">
      <c r="A12210" t="str">
        <f t="shared" si="2179"/>
        <v>89301000</v>
      </c>
      <c r="B12210" t="str">
        <f t="shared" si="2184"/>
        <v>78915000</v>
      </c>
      <c r="C12210" t="str">
        <f t="shared" si="2185"/>
        <v>78915001</v>
      </c>
      <c r="D12210">
        <v>89301045</v>
      </c>
      <c r="E12210" t="str">
        <f>"7356275344"</f>
        <v>7356275344</v>
      </c>
      <c r="F12210" s="1">
        <v>45203</v>
      </c>
      <c r="G12210" t="str">
        <f>"0207733"</f>
        <v>0207733</v>
      </c>
      <c r="H12210">
        <v>1</v>
      </c>
      <c r="J12210">
        <v>2590.5300000000002</v>
      </c>
      <c r="K12210" t="str">
        <f t="shared" si="2183"/>
        <v>809</v>
      </c>
      <c r="L12210">
        <v>2590.5300000000002</v>
      </c>
    </row>
    <row r="12211" spans="1:12" x14ac:dyDescent="0.25">
      <c r="A12211" t="str">
        <f t="shared" si="2179"/>
        <v>89301000</v>
      </c>
      <c r="B12211" t="str">
        <f t="shared" si="2184"/>
        <v>78915000</v>
      </c>
      <c r="C12211" t="str">
        <f t="shared" si="2185"/>
        <v>78915001</v>
      </c>
      <c r="D12211">
        <v>89301062</v>
      </c>
      <c r="E12211" t="str">
        <f t="shared" ref="E12211:E12216" si="2186">"7402215359"</f>
        <v>7402215359</v>
      </c>
      <c r="F12211" s="1">
        <v>45205</v>
      </c>
      <c r="G12211" t="str">
        <f>"89713"</f>
        <v>89713</v>
      </c>
      <c r="H12211">
        <v>2</v>
      </c>
      <c r="I12211">
        <v>10822</v>
      </c>
      <c r="J12211">
        <v>0</v>
      </c>
      <c r="K12211" t="str">
        <f t="shared" si="2183"/>
        <v>809</v>
      </c>
      <c r="L12211">
        <v>7034.3</v>
      </c>
    </row>
    <row r="12212" spans="1:12" x14ac:dyDescent="0.25">
      <c r="A12212" t="str">
        <f t="shared" si="2179"/>
        <v>89301000</v>
      </c>
      <c r="B12212" t="str">
        <f t="shared" si="2184"/>
        <v>78915000</v>
      </c>
      <c r="C12212" t="str">
        <f t="shared" si="2185"/>
        <v>78915001</v>
      </c>
      <c r="D12212">
        <v>89301062</v>
      </c>
      <c r="E12212" t="str">
        <f t="shared" si="2186"/>
        <v>7402215359</v>
      </c>
      <c r="F12212" s="1">
        <v>45205</v>
      </c>
      <c r="G12212" t="str">
        <f>"89725"</f>
        <v>89725</v>
      </c>
      <c r="H12212">
        <v>1</v>
      </c>
      <c r="I12212">
        <v>2863</v>
      </c>
      <c r="J12212">
        <v>0</v>
      </c>
      <c r="K12212" t="str">
        <f t="shared" si="2183"/>
        <v>809</v>
      </c>
      <c r="L12212">
        <v>1860.95</v>
      </c>
    </row>
    <row r="12213" spans="1:12" x14ac:dyDescent="0.25">
      <c r="A12213" t="str">
        <f t="shared" si="2179"/>
        <v>89301000</v>
      </c>
      <c r="B12213" t="str">
        <f t="shared" si="2184"/>
        <v>78915000</v>
      </c>
      <c r="C12213" t="str">
        <f t="shared" si="2185"/>
        <v>78915001</v>
      </c>
      <c r="D12213">
        <v>89301062</v>
      </c>
      <c r="E12213" t="str">
        <f t="shared" si="2186"/>
        <v>7402215359</v>
      </c>
      <c r="F12213" s="1">
        <v>45211</v>
      </c>
      <c r="G12213" t="str">
        <f>"89713"</f>
        <v>89713</v>
      </c>
      <c r="H12213">
        <v>1</v>
      </c>
      <c r="I12213">
        <v>5411</v>
      </c>
      <c r="J12213">
        <v>0</v>
      </c>
      <c r="K12213" t="str">
        <f t="shared" si="2183"/>
        <v>809</v>
      </c>
      <c r="L12213">
        <v>3517.15</v>
      </c>
    </row>
    <row r="12214" spans="1:12" x14ac:dyDescent="0.25">
      <c r="A12214" t="str">
        <f t="shared" si="2179"/>
        <v>89301000</v>
      </c>
      <c r="B12214" t="str">
        <f t="shared" si="2184"/>
        <v>78915000</v>
      </c>
      <c r="C12214" t="str">
        <f t="shared" si="2185"/>
        <v>78915001</v>
      </c>
      <c r="D12214">
        <v>89301062</v>
      </c>
      <c r="E12214" t="str">
        <f t="shared" si="2186"/>
        <v>7402215359</v>
      </c>
      <c r="F12214" s="1">
        <v>45211</v>
      </c>
      <c r="G12214" t="str">
        <f>"89725"</f>
        <v>89725</v>
      </c>
      <c r="H12214">
        <v>1</v>
      </c>
      <c r="I12214">
        <v>2863</v>
      </c>
      <c r="J12214">
        <v>0</v>
      </c>
      <c r="K12214" t="str">
        <f t="shared" si="2183"/>
        <v>809</v>
      </c>
      <c r="L12214">
        <v>1860.95</v>
      </c>
    </row>
    <row r="12215" spans="1:12" x14ac:dyDescent="0.25">
      <c r="A12215" t="str">
        <f t="shared" si="2179"/>
        <v>89301000</v>
      </c>
      <c r="B12215" t="str">
        <f t="shared" si="2184"/>
        <v>78915000</v>
      </c>
      <c r="C12215" t="str">
        <f t="shared" si="2185"/>
        <v>78915001</v>
      </c>
      <c r="D12215">
        <v>89301112</v>
      </c>
      <c r="E12215" t="str">
        <f t="shared" si="2186"/>
        <v>7402215359</v>
      </c>
      <c r="F12215" s="1">
        <v>45226</v>
      </c>
      <c r="G12215" t="str">
        <f>"09569"</f>
        <v>09569</v>
      </c>
      <c r="H12215">
        <v>1</v>
      </c>
      <c r="I12215">
        <v>0</v>
      </c>
      <c r="J12215">
        <v>0</v>
      </c>
      <c r="K12215" t="str">
        <f t="shared" si="2183"/>
        <v>809</v>
      </c>
      <c r="L12215">
        <v>0</v>
      </c>
    </row>
    <row r="12216" spans="1:12" x14ac:dyDescent="0.25">
      <c r="A12216" t="str">
        <f t="shared" si="2179"/>
        <v>89301000</v>
      </c>
      <c r="B12216" t="str">
        <f t="shared" si="2184"/>
        <v>78915000</v>
      </c>
      <c r="C12216" t="str">
        <f t="shared" si="2185"/>
        <v>78915001</v>
      </c>
      <c r="D12216">
        <v>89301112</v>
      </c>
      <c r="E12216" t="str">
        <f t="shared" si="2186"/>
        <v>7402215359</v>
      </c>
      <c r="F12216" s="1">
        <v>45226</v>
      </c>
      <c r="G12216" t="str">
        <f>"89713"</f>
        <v>89713</v>
      </c>
      <c r="H12216">
        <v>1</v>
      </c>
      <c r="I12216">
        <v>5411</v>
      </c>
      <c r="J12216">
        <v>0</v>
      </c>
      <c r="K12216" t="str">
        <f t="shared" si="2183"/>
        <v>809</v>
      </c>
      <c r="L12216">
        <v>3517.15</v>
      </c>
    </row>
    <row r="12217" spans="1:12" x14ac:dyDescent="0.25">
      <c r="A12217" t="str">
        <f t="shared" si="2179"/>
        <v>89301000</v>
      </c>
      <c r="B12217" t="str">
        <f t="shared" si="2184"/>
        <v>78915000</v>
      </c>
      <c r="C12217" t="str">
        <f t="shared" si="2185"/>
        <v>78915001</v>
      </c>
      <c r="D12217">
        <v>89301062</v>
      </c>
      <c r="E12217" t="str">
        <f>"7505034504"</f>
        <v>7505034504</v>
      </c>
      <c r="F12217" s="1">
        <v>45215</v>
      </c>
      <c r="G12217" t="str">
        <f>"89713"</f>
        <v>89713</v>
      </c>
      <c r="H12217">
        <v>1</v>
      </c>
      <c r="I12217">
        <v>5411</v>
      </c>
      <c r="J12217">
        <v>0</v>
      </c>
      <c r="K12217" t="str">
        <f t="shared" si="2183"/>
        <v>809</v>
      </c>
      <c r="L12217">
        <v>3517.15</v>
      </c>
    </row>
    <row r="12218" spans="1:12" x14ac:dyDescent="0.25">
      <c r="A12218" t="str">
        <f t="shared" si="2179"/>
        <v>89301000</v>
      </c>
      <c r="B12218" t="str">
        <f t="shared" si="2184"/>
        <v>78915000</v>
      </c>
      <c r="C12218" t="str">
        <f t="shared" si="2185"/>
        <v>78915001</v>
      </c>
      <c r="D12218">
        <v>89301062</v>
      </c>
      <c r="E12218" t="str">
        <f>"7505034504"</f>
        <v>7505034504</v>
      </c>
      <c r="F12218" s="1">
        <v>45215</v>
      </c>
      <c r="G12218" t="str">
        <f>"89725"</f>
        <v>89725</v>
      </c>
      <c r="H12218">
        <v>1</v>
      </c>
      <c r="I12218">
        <v>2863</v>
      </c>
      <c r="J12218">
        <v>0</v>
      </c>
      <c r="K12218" t="str">
        <f t="shared" si="2183"/>
        <v>809</v>
      </c>
      <c r="L12218">
        <v>1860.95</v>
      </c>
    </row>
    <row r="12219" spans="1:12" x14ac:dyDescent="0.25">
      <c r="A12219" t="str">
        <f t="shared" si="2179"/>
        <v>89301000</v>
      </c>
      <c r="B12219" t="str">
        <f t="shared" si="2184"/>
        <v>78915000</v>
      </c>
      <c r="C12219" t="str">
        <f t="shared" si="2185"/>
        <v>78915001</v>
      </c>
      <c r="D12219">
        <v>89301606</v>
      </c>
      <c r="E12219" t="str">
        <f>"7557135817"</f>
        <v>7557135817</v>
      </c>
      <c r="F12219" s="1">
        <v>45202</v>
      </c>
      <c r="G12219" t="str">
        <f>"89713"</f>
        <v>89713</v>
      </c>
      <c r="H12219">
        <v>1</v>
      </c>
      <c r="I12219">
        <v>5411</v>
      </c>
      <c r="J12219">
        <v>0</v>
      </c>
      <c r="K12219" t="str">
        <f t="shared" si="2183"/>
        <v>809</v>
      </c>
      <c r="L12219">
        <v>3517.15</v>
      </c>
    </row>
    <row r="12220" spans="1:12" x14ac:dyDescent="0.25">
      <c r="A12220" t="str">
        <f t="shared" si="2179"/>
        <v>89301000</v>
      </c>
      <c r="B12220" t="str">
        <f t="shared" si="2184"/>
        <v>78915000</v>
      </c>
      <c r="C12220" t="str">
        <f t="shared" si="2185"/>
        <v>78915001</v>
      </c>
      <c r="D12220">
        <v>89301606</v>
      </c>
      <c r="E12220" t="str">
        <f>"7557135817"</f>
        <v>7557135817</v>
      </c>
      <c r="F12220" s="1">
        <v>45202</v>
      </c>
      <c r="G12220" t="str">
        <f>"89725"</f>
        <v>89725</v>
      </c>
      <c r="H12220">
        <v>1</v>
      </c>
      <c r="I12220">
        <v>2863</v>
      </c>
      <c r="J12220">
        <v>0</v>
      </c>
      <c r="K12220" t="str">
        <f t="shared" si="2183"/>
        <v>809</v>
      </c>
      <c r="L12220">
        <v>1860.95</v>
      </c>
    </row>
    <row r="12221" spans="1:12" x14ac:dyDescent="0.25">
      <c r="A12221" t="str">
        <f t="shared" si="2179"/>
        <v>89301000</v>
      </c>
      <c r="B12221" t="str">
        <f t="shared" si="2184"/>
        <v>78915000</v>
      </c>
      <c r="C12221" t="str">
        <f t="shared" si="2185"/>
        <v>78915001</v>
      </c>
      <c r="D12221">
        <v>89301172</v>
      </c>
      <c r="E12221" t="str">
        <f>"7561225331"</f>
        <v>7561225331</v>
      </c>
      <c r="F12221" s="1">
        <v>45216</v>
      </c>
      <c r="G12221" t="str">
        <f>"89713"</f>
        <v>89713</v>
      </c>
      <c r="H12221">
        <v>2</v>
      </c>
      <c r="I12221">
        <v>10822</v>
      </c>
      <c r="J12221">
        <v>0</v>
      </c>
      <c r="K12221" t="str">
        <f t="shared" si="2183"/>
        <v>809</v>
      </c>
      <c r="L12221">
        <v>7034.3</v>
      </c>
    </row>
    <row r="12222" spans="1:12" x14ac:dyDescent="0.25">
      <c r="A12222" t="str">
        <f t="shared" si="2179"/>
        <v>89301000</v>
      </c>
      <c r="B12222" t="str">
        <f t="shared" si="2184"/>
        <v>78915000</v>
      </c>
      <c r="C12222" t="str">
        <f t="shared" si="2185"/>
        <v>78915001</v>
      </c>
      <c r="D12222">
        <v>89301172</v>
      </c>
      <c r="E12222" t="str">
        <f>"7561225331"</f>
        <v>7561225331</v>
      </c>
      <c r="F12222" s="1">
        <v>45216</v>
      </c>
      <c r="G12222" t="str">
        <f>"89725"</f>
        <v>89725</v>
      </c>
      <c r="H12222">
        <v>1</v>
      </c>
      <c r="I12222">
        <v>2863</v>
      </c>
      <c r="J12222">
        <v>0</v>
      </c>
      <c r="K12222" t="str">
        <f t="shared" si="2183"/>
        <v>809</v>
      </c>
      <c r="L12222">
        <v>1860.95</v>
      </c>
    </row>
    <row r="12223" spans="1:12" x14ac:dyDescent="0.25">
      <c r="A12223" t="str">
        <f t="shared" si="2179"/>
        <v>89301000</v>
      </c>
      <c r="B12223" t="str">
        <f t="shared" si="2184"/>
        <v>78915000</v>
      </c>
      <c r="C12223" t="str">
        <f t="shared" si="2185"/>
        <v>78915001</v>
      </c>
      <c r="D12223">
        <v>89301312</v>
      </c>
      <c r="E12223" t="str">
        <f>"7803075390"</f>
        <v>7803075390</v>
      </c>
      <c r="F12223" s="1">
        <v>45212</v>
      </c>
      <c r="G12223" t="str">
        <f>"09569"</f>
        <v>09569</v>
      </c>
      <c r="H12223">
        <v>1</v>
      </c>
      <c r="I12223">
        <v>0</v>
      </c>
      <c r="J12223">
        <v>0</v>
      </c>
      <c r="K12223" t="str">
        <f t="shared" si="2183"/>
        <v>809</v>
      </c>
      <c r="L12223">
        <v>0</v>
      </c>
    </row>
    <row r="12224" spans="1:12" x14ac:dyDescent="0.25">
      <c r="A12224" t="str">
        <f t="shared" si="2179"/>
        <v>89301000</v>
      </c>
      <c r="B12224" t="str">
        <f t="shared" si="2184"/>
        <v>78915000</v>
      </c>
      <c r="C12224" t="str">
        <f t="shared" si="2185"/>
        <v>78915001</v>
      </c>
      <c r="D12224">
        <v>89301312</v>
      </c>
      <c r="E12224" t="str">
        <f>"7803075390"</f>
        <v>7803075390</v>
      </c>
      <c r="F12224" s="1">
        <v>45212</v>
      </c>
      <c r="G12224" t="str">
        <f>"89713"</f>
        <v>89713</v>
      </c>
      <c r="H12224">
        <v>1</v>
      </c>
      <c r="I12224">
        <v>5411</v>
      </c>
      <c r="J12224">
        <v>0</v>
      </c>
      <c r="K12224" t="str">
        <f t="shared" si="2183"/>
        <v>809</v>
      </c>
      <c r="L12224">
        <v>3517.15</v>
      </c>
    </row>
    <row r="12225" spans="1:12" x14ac:dyDescent="0.25">
      <c r="A12225" t="str">
        <f t="shared" si="2179"/>
        <v>89301000</v>
      </c>
      <c r="B12225" t="str">
        <f t="shared" si="2184"/>
        <v>78915000</v>
      </c>
      <c r="C12225" t="str">
        <f t="shared" si="2185"/>
        <v>78915001</v>
      </c>
      <c r="D12225">
        <v>89301112</v>
      </c>
      <c r="E12225" t="str">
        <f>"7909275330"</f>
        <v>7909275330</v>
      </c>
      <c r="F12225" s="1">
        <v>45217</v>
      </c>
      <c r="G12225" t="str">
        <f>"09567"</f>
        <v>09567</v>
      </c>
      <c r="H12225">
        <v>1</v>
      </c>
      <c r="I12225">
        <v>0</v>
      </c>
      <c r="J12225">
        <v>0</v>
      </c>
      <c r="K12225" t="str">
        <f t="shared" si="2183"/>
        <v>809</v>
      </c>
      <c r="L12225">
        <v>0</v>
      </c>
    </row>
    <row r="12226" spans="1:12" x14ac:dyDescent="0.25">
      <c r="A12226" t="str">
        <f t="shared" ref="A12226:A12289" si="2187">"89301000"</f>
        <v>89301000</v>
      </c>
      <c r="B12226" t="str">
        <f t="shared" si="2184"/>
        <v>78915000</v>
      </c>
      <c r="C12226" t="str">
        <f t="shared" si="2185"/>
        <v>78915001</v>
      </c>
      <c r="D12226">
        <v>89301112</v>
      </c>
      <c r="E12226" t="str">
        <f>"7909275330"</f>
        <v>7909275330</v>
      </c>
      <c r="F12226" s="1">
        <v>45217</v>
      </c>
      <c r="G12226" t="str">
        <f>"89713"</f>
        <v>89713</v>
      </c>
      <c r="H12226">
        <v>1</v>
      </c>
      <c r="I12226">
        <v>5411</v>
      </c>
      <c r="J12226">
        <v>0</v>
      </c>
      <c r="K12226" t="str">
        <f t="shared" ref="K12226:K12239" si="2188">"809"</f>
        <v>809</v>
      </c>
      <c r="L12226">
        <v>3517.15</v>
      </c>
    </row>
    <row r="12227" spans="1:12" x14ac:dyDescent="0.25">
      <c r="A12227" t="str">
        <f t="shared" si="2187"/>
        <v>89301000</v>
      </c>
      <c r="B12227" t="str">
        <f t="shared" si="2184"/>
        <v>78915000</v>
      </c>
      <c r="C12227" t="str">
        <f t="shared" si="2185"/>
        <v>78915001</v>
      </c>
      <c r="D12227">
        <v>89301172</v>
      </c>
      <c r="E12227" t="str">
        <f>"8555284914"</f>
        <v>8555284914</v>
      </c>
      <c r="F12227" s="1">
        <v>45209</v>
      </c>
      <c r="G12227" t="str">
        <f>"89713"</f>
        <v>89713</v>
      </c>
      <c r="H12227">
        <v>1</v>
      </c>
      <c r="I12227">
        <v>5411</v>
      </c>
      <c r="J12227">
        <v>0</v>
      </c>
      <c r="K12227" t="str">
        <f t="shared" si="2188"/>
        <v>809</v>
      </c>
      <c r="L12227">
        <v>3517.15</v>
      </c>
    </row>
    <row r="12228" spans="1:12" x14ac:dyDescent="0.25">
      <c r="A12228" t="str">
        <f t="shared" si="2187"/>
        <v>89301000</v>
      </c>
      <c r="B12228" t="str">
        <f t="shared" ref="B12228:B12239" si="2189">"78915000"</f>
        <v>78915000</v>
      </c>
      <c r="C12228" t="str">
        <f t="shared" ref="C12228:C12239" si="2190">"78915001"</f>
        <v>78915001</v>
      </c>
      <c r="D12228">
        <v>89301172</v>
      </c>
      <c r="E12228" t="str">
        <f>"8555284914"</f>
        <v>8555284914</v>
      </c>
      <c r="F12228" s="1">
        <v>45209</v>
      </c>
      <c r="G12228" t="str">
        <f>"89723"</f>
        <v>89723</v>
      </c>
      <c r="H12228">
        <v>1</v>
      </c>
      <c r="I12228">
        <v>5940</v>
      </c>
      <c r="J12228">
        <v>0</v>
      </c>
      <c r="K12228" t="str">
        <f t="shared" si="2188"/>
        <v>809</v>
      </c>
      <c r="L12228">
        <v>3861</v>
      </c>
    </row>
    <row r="12229" spans="1:12" x14ac:dyDescent="0.25">
      <c r="A12229" t="str">
        <f t="shared" si="2187"/>
        <v>89301000</v>
      </c>
      <c r="B12229" t="str">
        <f t="shared" si="2189"/>
        <v>78915000</v>
      </c>
      <c r="C12229" t="str">
        <f t="shared" si="2190"/>
        <v>78915001</v>
      </c>
      <c r="D12229">
        <v>89301172</v>
      </c>
      <c r="E12229" t="str">
        <f>"8555284914"</f>
        <v>8555284914</v>
      </c>
      <c r="F12229" s="1">
        <v>45209</v>
      </c>
      <c r="G12229" t="str">
        <f>"89725"</f>
        <v>89725</v>
      </c>
      <c r="H12229">
        <v>1</v>
      </c>
      <c r="I12229">
        <v>2863</v>
      </c>
      <c r="J12229">
        <v>0</v>
      </c>
      <c r="K12229" t="str">
        <f t="shared" si="2188"/>
        <v>809</v>
      </c>
      <c r="L12229">
        <v>1860.95</v>
      </c>
    </row>
    <row r="12230" spans="1:12" x14ac:dyDescent="0.25">
      <c r="A12230" t="str">
        <f t="shared" si="2187"/>
        <v>89301000</v>
      </c>
      <c r="B12230" t="str">
        <f t="shared" si="2189"/>
        <v>78915000</v>
      </c>
      <c r="C12230" t="str">
        <f t="shared" si="2190"/>
        <v>78915001</v>
      </c>
      <c r="D12230">
        <v>89301292</v>
      </c>
      <c r="E12230" t="str">
        <f>"8952175749"</f>
        <v>8952175749</v>
      </c>
      <c r="F12230" s="1">
        <v>45217</v>
      </c>
      <c r="G12230" t="str">
        <f>"89715"</f>
        <v>89715</v>
      </c>
      <c r="H12230">
        <v>1</v>
      </c>
      <c r="I12230">
        <v>5523</v>
      </c>
      <c r="J12230">
        <v>0</v>
      </c>
      <c r="K12230" t="str">
        <f t="shared" si="2188"/>
        <v>809</v>
      </c>
      <c r="L12230">
        <v>3589.95</v>
      </c>
    </row>
    <row r="12231" spans="1:12" x14ac:dyDescent="0.25">
      <c r="A12231" t="str">
        <f t="shared" si="2187"/>
        <v>89301000</v>
      </c>
      <c r="B12231" t="str">
        <f t="shared" si="2189"/>
        <v>78915000</v>
      </c>
      <c r="C12231" t="str">
        <f t="shared" si="2190"/>
        <v>78915001</v>
      </c>
      <c r="D12231">
        <v>89301292</v>
      </c>
      <c r="E12231" t="str">
        <f>"8952175749"</f>
        <v>8952175749</v>
      </c>
      <c r="F12231" s="1">
        <v>45217</v>
      </c>
      <c r="G12231" t="str">
        <f>"89725"</f>
        <v>89725</v>
      </c>
      <c r="H12231">
        <v>1</v>
      </c>
      <c r="I12231">
        <v>2863</v>
      </c>
      <c r="J12231">
        <v>0</v>
      </c>
      <c r="K12231" t="str">
        <f t="shared" si="2188"/>
        <v>809</v>
      </c>
      <c r="L12231">
        <v>1860.95</v>
      </c>
    </row>
    <row r="12232" spans="1:12" x14ac:dyDescent="0.25">
      <c r="A12232" t="str">
        <f t="shared" si="2187"/>
        <v>89301000</v>
      </c>
      <c r="B12232" t="str">
        <f t="shared" si="2189"/>
        <v>78915000</v>
      </c>
      <c r="C12232" t="str">
        <f t="shared" si="2190"/>
        <v>78915001</v>
      </c>
      <c r="D12232">
        <v>89301292</v>
      </c>
      <c r="E12232" t="str">
        <f>"8952175749"</f>
        <v>8952175749</v>
      </c>
      <c r="F12232" s="1">
        <v>45217</v>
      </c>
      <c r="G12232" t="str">
        <f>"0207733"</f>
        <v>0207733</v>
      </c>
      <c r="H12232">
        <v>1</v>
      </c>
      <c r="J12232">
        <v>2590.5300000000002</v>
      </c>
      <c r="K12232" t="str">
        <f t="shared" si="2188"/>
        <v>809</v>
      </c>
      <c r="L12232">
        <v>2590.5300000000002</v>
      </c>
    </row>
    <row r="12233" spans="1:12" x14ac:dyDescent="0.25">
      <c r="A12233" t="str">
        <f t="shared" si="2187"/>
        <v>89301000</v>
      </c>
      <c r="B12233" t="str">
        <f t="shared" si="2189"/>
        <v>78915000</v>
      </c>
      <c r="C12233" t="str">
        <f t="shared" si="2190"/>
        <v>78915001</v>
      </c>
      <c r="D12233">
        <v>89301172</v>
      </c>
      <c r="E12233" t="str">
        <f>"8958185104"</f>
        <v>8958185104</v>
      </c>
      <c r="F12233" s="1">
        <v>45206</v>
      </c>
      <c r="G12233" t="str">
        <f>"89713"</f>
        <v>89713</v>
      </c>
      <c r="H12233">
        <v>2</v>
      </c>
      <c r="I12233">
        <v>10822</v>
      </c>
      <c r="J12233">
        <v>0</v>
      </c>
      <c r="K12233" t="str">
        <f t="shared" si="2188"/>
        <v>809</v>
      </c>
      <c r="L12233">
        <v>7034.3</v>
      </c>
    </row>
    <row r="12234" spans="1:12" x14ac:dyDescent="0.25">
      <c r="A12234" t="str">
        <f t="shared" si="2187"/>
        <v>89301000</v>
      </c>
      <c r="B12234" t="str">
        <f t="shared" si="2189"/>
        <v>78915000</v>
      </c>
      <c r="C12234" t="str">
        <f t="shared" si="2190"/>
        <v>78915001</v>
      </c>
      <c r="D12234">
        <v>89301172</v>
      </c>
      <c r="E12234" t="str">
        <f>"8958185104"</f>
        <v>8958185104</v>
      </c>
      <c r="F12234" s="1">
        <v>45206</v>
      </c>
      <c r="G12234" t="str">
        <f>"89725"</f>
        <v>89725</v>
      </c>
      <c r="H12234">
        <v>1</v>
      </c>
      <c r="I12234">
        <v>2863</v>
      </c>
      <c r="J12234">
        <v>0</v>
      </c>
      <c r="K12234" t="str">
        <f t="shared" si="2188"/>
        <v>809</v>
      </c>
      <c r="L12234">
        <v>1860.95</v>
      </c>
    </row>
    <row r="12235" spans="1:12" x14ac:dyDescent="0.25">
      <c r="A12235" t="str">
        <f t="shared" si="2187"/>
        <v>89301000</v>
      </c>
      <c r="B12235" t="str">
        <f t="shared" si="2189"/>
        <v>78915000</v>
      </c>
      <c r="C12235" t="str">
        <f t="shared" si="2190"/>
        <v>78915001</v>
      </c>
      <c r="D12235">
        <v>89301172</v>
      </c>
      <c r="E12235" t="str">
        <f>"8958185104"</f>
        <v>8958185104</v>
      </c>
      <c r="F12235" s="1">
        <v>45206</v>
      </c>
      <c r="G12235" t="str">
        <f>"0054255"</f>
        <v>0054255</v>
      </c>
      <c r="H12235">
        <v>1</v>
      </c>
      <c r="J12235">
        <v>1686.92</v>
      </c>
      <c r="K12235" t="str">
        <f t="shared" si="2188"/>
        <v>809</v>
      </c>
      <c r="L12235">
        <v>1686.92</v>
      </c>
    </row>
    <row r="12236" spans="1:12" x14ac:dyDescent="0.25">
      <c r="A12236" t="str">
        <f t="shared" si="2187"/>
        <v>89301000</v>
      </c>
      <c r="B12236" t="str">
        <f t="shared" si="2189"/>
        <v>78915000</v>
      </c>
      <c r="C12236" t="str">
        <f t="shared" si="2190"/>
        <v>78915001</v>
      </c>
      <c r="D12236">
        <v>89301606</v>
      </c>
      <c r="E12236" t="str">
        <f>"9253074842"</f>
        <v>9253074842</v>
      </c>
      <c r="F12236" s="1">
        <v>45226</v>
      </c>
      <c r="G12236" t="str">
        <f>"89713"</f>
        <v>89713</v>
      </c>
      <c r="H12236">
        <v>1</v>
      </c>
      <c r="I12236">
        <v>5411</v>
      </c>
      <c r="J12236">
        <v>0</v>
      </c>
      <c r="K12236" t="str">
        <f t="shared" si="2188"/>
        <v>809</v>
      </c>
      <c r="L12236">
        <v>3517.15</v>
      </c>
    </row>
    <row r="12237" spans="1:12" x14ac:dyDescent="0.25">
      <c r="A12237" t="str">
        <f t="shared" si="2187"/>
        <v>89301000</v>
      </c>
      <c r="B12237" t="str">
        <f t="shared" si="2189"/>
        <v>78915000</v>
      </c>
      <c r="C12237" t="str">
        <f t="shared" si="2190"/>
        <v>78915001</v>
      </c>
      <c r="D12237">
        <v>89301606</v>
      </c>
      <c r="E12237" t="str">
        <f>"9253074842"</f>
        <v>9253074842</v>
      </c>
      <c r="F12237" s="1">
        <v>45226</v>
      </c>
      <c r="G12237" t="str">
        <f>"89723"</f>
        <v>89723</v>
      </c>
      <c r="H12237">
        <v>1</v>
      </c>
      <c r="I12237">
        <v>5940</v>
      </c>
      <c r="J12237">
        <v>0</v>
      </c>
      <c r="K12237" t="str">
        <f t="shared" si="2188"/>
        <v>809</v>
      </c>
      <c r="L12237">
        <v>3861</v>
      </c>
    </row>
    <row r="12238" spans="1:12" x14ac:dyDescent="0.25">
      <c r="A12238" t="str">
        <f t="shared" si="2187"/>
        <v>89301000</v>
      </c>
      <c r="B12238" t="str">
        <f t="shared" si="2189"/>
        <v>78915000</v>
      </c>
      <c r="C12238" t="str">
        <f t="shared" si="2190"/>
        <v>78915001</v>
      </c>
      <c r="D12238">
        <v>89301606</v>
      </c>
      <c r="E12238" t="str">
        <f>"9253074842"</f>
        <v>9253074842</v>
      </c>
      <c r="F12238" s="1">
        <v>45226</v>
      </c>
      <c r="G12238" t="str">
        <f>"89725"</f>
        <v>89725</v>
      </c>
      <c r="H12238">
        <v>1</v>
      </c>
      <c r="I12238">
        <v>2863</v>
      </c>
      <c r="J12238">
        <v>0</v>
      </c>
      <c r="K12238" t="str">
        <f t="shared" si="2188"/>
        <v>809</v>
      </c>
      <c r="L12238">
        <v>1860.95</v>
      </c>
    </row>
    <row r="12239" spans="1:12" x14ac:dyDescent="0.25">
      <c r="A12239" t="str">
        <f t="shared" si="2187"/>
        <v>89301000</v>
      </c>
      <c r="B12239" t="str">
        <f t="shared" si="2189"/>
        <v>78915000</v>
      </c>
      <c r="C12239" t="str">
        <f t="shared" si="2190"/>
        <v>78915001</v>
      </c>
      <c r="D12239">
        <v>89301022</v>
      </c>
      <c r="E12239" t="str">
        <f>"9755214876"</f>
        <v>9755214876</v>
      </c>
      <c r="F12239" s="1">
        <v>45201</v>
      </c>
      <c r="G12239" t="str">
        <f>"89713"</f>
        <v>89713</v>
      </c>
      <c r="H12239">
        <v>1</v>
      </c>
      <c r="I12239">
        <v>5411</v>
      </c>
      <c r="J12239">
        <v>0</v>
      </c>
      <c r="K12239" t="str">
        <f t="shared" si="2188"/>
        <v>809</v>
      </c>
      <c r="L12239">
        <v>3517.15</v>
      </c>
    </row>
    <row r="12240" spans="1:12" x14ac:dyDescent="0.25">
      <c r="A12240" t="str">
        <f t="shared" si="2187"/>
        <v>89301000</v>
      </c>
      <c r="B12240" t="str">
        <f t="shared" ref="B12240:B12271" si="2191">"93501000"</f>
        <v>93501000</v>
      </c>
      <c r="C12240" t="str">
        <f t="shared" ref="C12240:C12271" si="2192">"93501001"</f>
        <v>93501001</v>
      </c>
      <c r="D12240">
        <v>89301167</v>
      </c>
      <c r="E12240" t="str">
        <f t="shared" ref="E12240:E12261" si="2193">"470127462"</f>
        <v>470127462</v>
      </c>
      <c r="F12240" s="1">
        <v>45224</v>
      </c>
      <c r="G12240" t="str">
        <f>"09119"</f>
        <v>09119</v>
      </c>
      <c r="H12240">
        <v>1</v>
      </c>
      <c r="I12240">
        <v>43</v>
      </c>
      <c r="J12240">
        <v>0</v>
      </c>
      <c r="K12240" t="str">
        <f t="shared" ref="K12240:K12271" si="2194">"801"</f>
        <v>801</v>
      </c>
      <c r="L12240">
        <v>54.18</v>
      </c>
    </row>
    <row r="12241" spans="1:12" x14ac:dyDescent="0.25">
      <c r="A12241" t="str">
        <f t="shared" si="2187"/>
        <v>89301000</v>
      </c>
      <c r="B12241" t="str">
        <f t="shared" si="2191"/>
        <v>93501000</v>
      </c>
      <c r="C12241" t="str">
        <f t="shared" si="2192"/>
        <v>93501001</v>
      </c>
      <c r="D12241">
        <v>89301167</v>
      </c>
      <c r="E12241" t="str">
        <f t="shared" si="2193"/>
        <v>470127462</v>
      </c>
      <c r="F12241" s="1">
        <v>45224</v>
      </c>
      <c r="G12241" t="str">
        <f>"81329"</f>
        <v>81329</v>
      </c>
      <c r="H12241">
        <v>1</v>
      </c>
      <c r="I12241">
        <v>17</v>
      </c>
      <c r="J12241">
        <v>0</v>
      </c>
      <c r="K12241" t="str">
        <f t="shared" si="2194"/>
        <v>801</v>
      </c>
      <c r="L12241">
        <v>14.28</v>
      </c>
    </row>
    <row r="12242" spans="1:12" x14ac:dyDescent="0.25">
      <c r="A12242" t="str">
        <f t="shared" si="2187"/>
        <v>89301000</v>
      </c>
      <c r="B12242" t="str">
        <f t="shared" si="2191"/>
        <v>93501000</v>
      </c>
      <c r="C12242" t="str">
        <f t="shared" si="2192"/>
        <v>93501001</v>
      </c>
      <c r="D12242">
        <v>89301167</v>
      </c>
      <c r="E12242" t="str">
        <f t="shared" si="2193"/>
        <v>470127462</v>
      </c>
      <c r="F12242" s="1">
        <v>45224</v>
      </c>
      <c r="G12242" t="str">
        <f>"81337"</f>
        <v>81337</v>
      </c>
      <c r="H12242">
        <v>1</v>
      </c>
      <c r="I12242">
        <v>20</v>
      </c>
      <c r="J12242">
        <v>0</v>
      </c>
      <c r="K12242" t="str">
        <f t="shared" si="2194"/>
        <v>801</v>
      </c>
      <c r="L12242">
        <v>16.8</v>
      </c>
    </row>
    <row r="12243" spans="1:12" x14ac:dyDescent="0.25">
      <c r="A12243" t="str">
        <f t="shared" si="2187"/>
        <v>89301000</v>
      </c>
      <c r="B12243" t="str">
        <f t="shared" si="2191"/>
        <v>93501000</v>
      </c>
      <c r="C12243" t="str">
        <f t="shared" si="2192"/>
        <v>93501001</v>
      </c>
      <c r="D12243">
        <v>89301167</v>
      </c>
      <c r="E12243" t="str">
        <f t="shared" si="2193"/>
        <v>470127462</v>
      </c>
      <c r="F12243" s="1">
        <v>45224</v>
      </c>
      <c r="G12243" t="str">
        <f>"81357"</f>
        <v>81357</v>
      </c>
      <c r="H12243">
        <v>1</v>
      </c>
      <c r="I12243">
        <v>20</v>
      </c>
      <c r="J12243">
        <v>0</v>
      </c>
      <c r="K12243" t="str">
        <f t="shared" si="2194"/>
        <v>801</v>
      </c>
      <c r="L12243">
        <v>16.8</v>
      </c>
    </row>
    <row r="12244" spans="1:12" x14ac:dyDescent="0.25">
      <c r="A12244" t="str">
        <f t="shared" si="2187"/>
        <v>89301000</v>
      </c>
      <c r="B12244" t="str">
        <f t="shared" si="2191"/>
        <v>93501000</v>
      </c>
      <c r="C12244" t="str">
        <f t="shared" si="2192"/>
        <v>93501001</v>
      </c>
      <c r="D12244">
        <v>89301167</v>
      </c>
      <c r="E12244" t="str">
        <f t="shared" si="2193"/>
        <v>470127462</v>
      </c>
      <c r="F12244" s="1">
        <v>45224</v>
      </c>
      <c r="G12244" t="str">
        <f>"81361"</f>
        <v>81361</v>
      </c>
      <c r="H12244">
        <v>1</v>
      </c>
      <c r="I12244">
        <v>17</v>
      </c>
      <c r="J12244">
        <v>0</v>
      </c>
      <c r="K12244" t="str">
        <f t="shared" si="2194"/>
        <v>801</v>
      </c>
      <c r="L12244">
        <v>14.28</v>
      </c>
    </row>
    <row r="12245" spans="1:12" x14ac:dyDescent="0.25">
      <c r="A12245" t="str">
        <f t="shared" si="2187"/>
        <v>89301000</v>
      </c>
      <c r="B12245" t="str">
        <f t="shared" si="2191"/>
        <v>93501000</v>
      </c>
      <c r="C12245" t="str">
        <f t="shared" si="2192"/>
        <v>93501001</v>
      </c>
      <c r="D12245">
        <v>89301167</v>
      </c>
      <c r="E12245" t="str">
        <f t="shared" si="2193"/>
        <v>470127462</v>
      </c>
      <c r="F12245" s="1">
        <v>45224</v>
      </c>
      <c r="G12245" t="str">
        <f>"81365"</f>
        <v>81365</v>
      </c>
      <c r="H12245">
        <v>1</v>
      </c>
      <c r="I12245">
        <v>16</v>
      </c>
      <c r="J12245">
        <v>0</v>
      </c>
      <c r="K12245" t="str">
        <f t="shared" si="2194"/>
        <v>801</v>
      </c>
      <c r="L12245">
        <v>13.44</v>
      </c>
    </row>
    <row r="12246" spans="1:12" x14ac:dyDescent="0.25">
      <c r="A12246" t="str">
        <f t="shared" si="2187"/>
        <v>89301000</v>
      </c>
      <c r="B12246" t="str">
        <f t="shared" si="2191"/>
        <v>93501000</v>
      </c>
      <c r="C12246" t="str">
        <f t="shared" si="2192"/>
        <v>93501001</v>
      </c>
      <c r="D12246">
        <v>89301167</v>
      </c>
      <c r="E12246" t="str">
        <f t="shared" si="2193"/>
        <v>470127462</v>
      </c>
      <c r="F12246" s="1">
        <v>45224</v>
      </c>
      <c r="G12246" t="str">
        <f>"81383"</f>
        <v>81383</v>
      </c>
      <c r="H12246">
        <v>1</v>
      </c>
      <c r="I12246">
        <v>24</v>
      </c>
      <c r="J12246">
        <v>0</v>
      </c>
      <c r="K12246" t="str">
        <f t="shared" si="2194"/>
        <v>801</v>
      </c>
      <c r="L12246">
        <v>20.16</v>
      </c>
    </row>
    <row r="12247" spans="1:12" x14ac:dyDescent="0.25">
      <c r="A12247" t="str">
        <f t="shared" si="2187"/>
        <v>89301000</v>
      </c>
      <c r="B12247" t="str">
        <f t="shared" si="2191"/>
        <v>93501000</v>
      </c>
      <c r="C12247" t="str">
        <f t="shared" si="2192"/>
        <v>93501001</v>
      </c>
      <c r="D12247">
        <v>89301167</v>
      </c>
      <c r="E12247" t="str">
        <f t="shared" si="2193"/>
        <v>470127462</v>
      </c>
      <c r="F12247" s="1">
        <v>45224</v>
      </c>
      <c r="G12247" t="str">
        <f>"81393"</f>
        <v>81393</v>
      </c>
      <c r="H12247">
        <v>1</v>
      </c>
      <c r="I12247">
        <v>24</v>
      </c>
      <c r="J12247">
        <v>0</v>
      </c>
      <c r="K12247" t="str">
        <f t="shared" si="2194"/>
        <v>801</v>
      </c>
      <c r="L12247">
        <v>20.16</v>
      </c>
    </row>
    <row r="12248" spans="1:12" x14ac:dyDescent="0.25">
      <c r="A12248" t="str">
        <f t="shared" si="2187"/>
        <v>89301000</v>
      </c>
      <c r="B12248" t="str">
        <f t="shared" si="2191"/>
        <v>93501000</v>
      </c>
      <c r="C12248" t="str">
        <f t="shared" si="2192"/>
        <v>93501001</v>
      </c>
      <c r="D12248">
        <v>89301167</v>
      </c>
      <c r="E12248" t="str">
        <f t="shared" si="2193"/>
        <v>470127462</v>
      </c>
      <c r="F12248" s="1">
        <v>45224</v>
      </c>
      <c r="G12248" t="str">
        <f>"81421"</f>
        <v>81421</v>
      </c>
      <c r="H12248">
        <v>1</v>
      </c>
      <c r="I12248">
        <v>19</v>
      </c>
      <c r="J12248">
        <v>0</v>
      </c>
      <c r="K12248" t="str">
        <f t="shared" si="2194"/>
        <v>801</v>
      </c>
      <c r="L12248">
        <v>15.96</v>
      </c>
    </row>
    <row r="12249" spans="1:12" x14ac:dyDescent="0.25">
      <c r="A12249" t="str">
        <f t="shared" si="2187"/>
        <v>89301000</v>
      </c>
      <c r="B12249" t="str">
        <f t="shared" si="2191"/>
        <v>93501000</v>
      </c>
      <c r="C12249" t="str">
        <f t="shared" si="2192"/>
        <v>93501001</v>
      </c>
      <c r="D12249">
        <v>89301167</v>
      </c>
      <c r="E12249" t="str">
        <f t="shared" si="2193"/>
        <v>470127462</v>
      </c>
      <c r="F12249" s="1">
        <v>45224</v>
      </c>
      <c r="G12249" t="str">
        <f>"81435"</f>
        <v>81435</v>
      </c>
      <c r="H12249">
        <v>1</v>
      </c>
      <c r="I12249">
        <v>22</v>
      </c>
      <c r="J12249">
        <v>0</v>
      </c>
      <c r="K12249" t="str">
        <f t="shared" si="2194"/>
        <v>801</v>
      </c>
      <c r="L12249">
        <v>18.48</v>
      </c>
    </row>
    <row r="12250" spans="1:12" x14ac:dyDescent="0.25">
      <c r="A12250" t="str">
        <f t="shared" si="2187"/>
        <v>89301000</v>
      </c>
      <c r="B12250" t="str">
        <f t="shared" si="2191"/>
        <v>93501000</v>
      </c>
      <c r="C12250" t="str">
        <f t="shared" si="2192"/>
        <v>93501001</v>
      </c>
      <c r="D12250">
        <v>89301167</v>
      </c>
      <c r="E12250" t="str">
        <f t="shared" si="2193"/>
        <v>470127462</v>
      </c>
      <c r="F12250" s="1">
        <v>45224</v>
      </c>
      <c r="G12250" t="str">
        <f>"81439"</f>
        <v>81439</v>
      </c>
      <c r="H12250">
        <v>1</v>
      </c>
      <c r="I12250">
        <v>16</v>
      </c>
      <c r="J12250">
        <v>0</v>
      </c>
      <c r="K12250" t="str">
        <f t="shared" si="2194"/>
        <v>801</v>
      </c>
      <c r="L12250">
        <v>13.44</v>
      </c>
    </row>
    <row r="12251" spans="1:12" x14ac:dyDescent="0.25">
      <c r="A12251" t="str">
        <f t="shared" si="2187"/>
        <v>89301000</v>
      </c>
      <c r="B12251" t="str">
        <f t="shared" si="2191"/>
        <v>93501000</v>
      </c>
      <c r="C12251" t="str">
        <f t="shared" si="2192"/>
        <v>93501001</v>
      </c>
      <c r="D12251">
        <v>89301167</v>
      </c>
      <c r="E12251" t="str">
        <f t="shared" si="2193"/>
        <v>470127462</v>
      </c>
      <c r="F12251" s="1">
        <v>45224</v>
      </c>
      <c r="G12251" t="str">
        <f>"81469"</f>
        <v>81469</v>
      </c>
      <c r="H12251">
        <v>1</v>
      </c>
      <c r="I12251">
        <v>16</v>
      </c>
      <c r="J12251">
        <v>0</v>
      </c>
      <c r="K12251" t="str">
        <f t="shared" si="2194"/>
        <v>801</v>
      </c>
      <c r="L12251">
        <v>13.44</v>
      </c>
    </row>
    <row r="12252" spans="1:12" x14ac:dyDescent="0.25">
      <c r="A12252" t="str">
        <f t="shared" si="2187"/>
        <v>89301000</v>
      </c>
      <c r="B12252" t="str">
        <f t="shared" si="2191"/>
        <v>93501000</v>
      </c>
      <c r="C12252" t="str">
        <f t="shared" si="2192"/>
        <v>93501001</v>
      </c>
      <c r="D12252">
        <v>89301167</v>
      </c>
      <c r="E12252" t="str">
        <f t="shared" si="2193"/>
        <v>470127462</v>
      </c>
      <c r="F12252" s="1">
        <v>45224</v>
      </c>
      <c r="G12252" t="str">
        <f>"81499"</f>
        <v>81499</v>
      </c>
      <c r="H12252">
        <v>1</v>
      </c>
      <c r="I12252">
        <v>18</v>
      </c>
      <c r="J12252">
        <v>0</v>
      </c>
      <c r="K12252" t="str">
        <f t="shared" si="2194"/>
        <v>801</v>
      </c>
      <c r="L12252">
        <v>15.12</v>
      </c>
    </row>
    <row r="12253" spans="1:12" x14ac:dyDescent="0.25">
      <c r="A12253" t="str">
        <f t="shared" si="2187"/>
        <v>89301000</v>
      </c>
      <c r="B12253" t="str">
        <f t="shared" si="2191"/>
        <v>93501000</v>
      </c>
      <c r="C12253" t="str">
        <f t="shared" si="2192"/>
        <v>93501001</v>
      </c>
      <c r="D12253">
        <v>89301167</v>
      </c>
      <c r="E12253" t="str">
        <f t="shared" si="2193"/>
        <v>470127462</v>
      </c>
      <c r="F12253" s="1">
        <v>45224</v>
      </c>
      <c r="G12253" t="str">
        <f>"81523"</f>
        <v>81523</v>
      </c>
      <c r="H12253">
        <v>1</v>
      </c>
      <c r="I12253">
        <v>23</v>
      </c>
      <c r="J12253">
        <v>0</v>
      </c>
      <c r="K12253" t="str">
        <f t="shared" si="2194"/>
        <v>801</v>
      </c>
      <c r="L12253">
        <v>19.32</v>
      </c>
    </row>
    <row r="12254" spans="1:12" x14ac:dyDescent="0.25">
      <c r="A12254" t="str">
        <f t="shared" si="2187"/>
        <v>89301000</v>
      </c>
      <c r="B12254" t="str">
        <f t="shared" si="2191"/>
        <v>93501000</v>
      </c>
      <c r="C12254" t="str">
        <f t="shared" si="2192"/>
        <v>93501001</v>
      </c>
      <c r="D12254">
        <v>89301167</v>
      </c>
      <c r="E12254" t="str">
        <f t="shared" si="2193"/>
        <v>470127462</v>
      </c>
      <c r="F12254" s="1">
        <v>45224</v>
      </c>
      <c r="G12254" t="str">
        <f>"81593"</f>
        <v>81593</v>
      </c>
      <c r="H12254">
        <v>1</v>
      </c>
      <c r="I12254">
        <v>22</v>
      </c>
      <c r="J12254">
        <v>0</v>
      </c>
      <c r="K12254" t="str">
        <f t="shared" si="2194"/>
        <v>801</v>
      </c>
      <c r="L12254">
        <v>18.48</v>
      </c>
    </row>
    <row r="12255" spans="1:12" x14ac:dyDescent="0.25">
      <c r="A12255" t="str">
        <f t="shared" si="2187"/>
        <v>89301000</v>
      </c>
      <c r="B12255" t="str">
        <f t="shared" si="2191"/>
        <v>93501000</v>
      </c>
      <c r="C12255" t="str">
        <f t="shared" si="2192"/>
        <v>93501001</v>
      </c>
      <c r="D12255">
        <v>89301167</v>
      </c>
      <c r="E12255" t="str">
        <f t="shared" si="2193"/>
        <v>470127462</v>
      </c>
      <c r="F12255" s="1">
        <v>45224</v>
      </c>
      <c r="G12255" t="str">
        <f>"81621"</f>
        <v>81621</v>
      </c>
      <c r="H12255">
        <v>1</v>
      </c>
      <c r="I12255">
        <v>19</v>
      </c>
      <c r="J12255">
        <v>0</v>
      </c>
      <c r="K12255" t="str">
        <f t="shared" si="2194"/>
        <v>801</v>
      </c>
      <c r="L12255">
        <v>15.96</v>
      </c>
    </row>
    <row r="12256" spans="1:12" x14ac:dyDescent="0.25">
      <c r="A12256" t="str">
        <f t="shared" si="2187"/>
        <v>89301000</v>
      </c>
      <c r="B12256" t="str">
        <f t="shared" si="2191"/>
        <v>93501000</v>
      </c>
      <c r="C12256" t="str">
        <f t="shared" si="2192"/>
        <v>93501001</v>
      </c>
      <c r="D12256">
        <v>89301167</v>
      </c>
      <c r="E12256" t="str">
        <f t="shared" si="2193"/>
        <v>470127462</v>
      </c>
      <c r="F12256" s="1">
        <v>45224</v>
      </c>
      <c r="G12256" t="str">
        <f>"81625"</f>
        <v>81625</v>
      </c>
      <c r="H12256">
        <v>1</v>
      </c>
      <c r="I12256">
        <v>21</v>
      </c>
      <c r="J12256">
        <v>0</v>
      </c>
      <c r="K12256" t="str">
        <f t="shared" si="2194"/>
        <v>801</v>
      </c>
      <c r="L12256">
        <v>17.64</v>
      </c>
    </row>
    <row r="12257" spans="1:12" x14ac:dyDescent="0.25">
      <c r="A12257" t="str">
        <f t="shared" si="2187"/>
        <v>89301000</v>
      </c>
      <c r="B12257" t="str">
        <f t="shared" si="2191"/>
        <v>93501000</v>
      </c>
      <c r="C12257" t="str">
        <f t="shared" si="2192"/>
        <v>93501001</v>
      </c>
      <c r="D12257">
        <v>89301167</v>
      </c>
      <c r="E12257" t="str">
        <f t="shared" si="2193"/>
        <v>470127462</v>
      </c>
      <c r="F12257" s="1">
        <v>45224</v>
      </c>
      <c r="G12257" t="str">
        <f>"81731"</f>
        <v>81731</v>
      </c>
      <c r="H12257">
        <v>1</v>
      </c>
      <c r="I12257">
        <v>861</v>
      </c>
      <c r="J12257">
        <v>0</v>
      </c>
      <c r="K12257" t="str">
        <f t="shared" si="2194"/>
        <v>801</v>
      </c>
      <c r="L12257">
        <v>723.24</v>
      </c>
    </row>
    <row r="12258" spans="1:12" x14ac:dyDescent="0.25">
      <c r="A12258" t="str">
        <f t="shared" si="2187"/>
        <v>89301000</v>
      </c>
      <c r="B12258" t="str">
        <f t="shared" si="2191"/>
        <v>93501000</v>
      </c>
      <c r="C12258" t="str">
        <f t="shared" si="2192"/>
        <v>93501001</v>
      </c>
      <c r="D12258">
        <v>89301167</v>
      </c>
      <c r="E12258" t="str">
        <f t="shared" si="2193"/>
        <v>470127462</v>
      </c>
      <c r="F12258" s="1">
        <v>45224</v>
      </c>
      <c r="G12258" t="str">
        <f>"91153"</f>
        <v>91153</v>
      </c>
      <c r="H12258">
        <v>1</v>
      </c>
      <c r="I12258">
        <v>153</v>
      </c>
      <c r="J12258">
        <v>0</v>
      </c>
      <c r="K12258" t="str">
        <f t="shared" si="2194"/>
        <v>801</v>
      </c>
      <c r="L12258">
        <v>128.52000000000001</v>
      </c>
    </row>
    <row r="12259" spans="1:12" x14ac:dyDescent="0.25">
      <c r="A12259" t="str">
        <f t="shared" si="2187"/>
        <v>89301000</v>
      </c>
      <c r="B12259" t="str">
        <f t="shared" si="2191"/>
        <v>93501000</v>
      </c>
      <c r="C12259" t="str">
        <f t="shared" si="2192"/>
        <v>93501001</v>
      </c>
      <c r="D12259">
        <v>89301167</v>
      </c>
      <c r="E12259" t="str">
        <f t="shared" si="2193"/>
        <v>470127462</v>
      </c>
      <c r="F12259" s="1">
        <v>45224</v>
      </c>
      <c r="G12259" t="str">
        <f>"93189"</f>
        <v>93189</v>
      </c>
      <c r="H12259">
        <v>1</v>
      </c>
      <c r="I12259">
        <v>191</v>
      </c>
      <c r="J12259">
        <v>0</v>
      </c>
      <c r="K12259" t="str">
        <f t="shared" si="2194"/>
        <v>801</v>
      </c>
      <c r="L12259">
        <v>160.44</v>
      </c>
    </row>
    <row r="12260" spans="1:12" x14ac:dyDescent="0.25">
      <c r="A12260" t="str">
        <f t="shared" si="2187"/>
        <v>89301000</v>
      </c>
      <c r="B12260" t="str">
        <f t="shared" si="2191"/>
        <v>93501000</v>
      </c>
      <c r="C12260" t="str">
        <f t="shared" si="2192"/>
        <v>93501001</v>
      </c>
      <c r="D12260">
        <v>89301167</v>
      </c>
      <c r="E12260" t="str">
        <f t="shared" si="2193"/>
        <v>470127462</v>
      </c>
      <c r="F12260" s="1">
        <v>45224</v>
      </c>
      <c r="G12260" t="str">
        <f>"93195"</f>
        <v>93195</v>
      </c>
      <c r="H12260">
        <v>1</v>
      </c>
      <c r="I12260">
        <v>183</v>
      </c>
      <c r="J12260">
        <v>0</v>
      </c>
      <c r="K12260" t="str">
        <f t="shared" si="2194"/>
        <v>801</v>
      </c>
      <c r="L12260">
        <v>153.72</v>
      </c>
    </row>
    <row r="12261" spans="1:12" x14ac:dyDescent="0.25">
      <c r="A12261" t="str">
        <f t="shared" si="2187"/>
        <v>89301000</v>
      </c>
      <c r="B12261" t="str">
        <f t="shared" si="2191"/>
        <v>93501000</v>
      </c>
      <c r="C12261" t="str">
        <f t="shared" si="2192"/>
        <v>93501001</v>
      </c>
      <c r="D12261">
        <v>89301167</v>
      </c>
      <c r="E12261" t="str">
        <f t="shared" si="2193"/>
        <v>470127462</v>
      </c>
      <c r="F12261" s="1">
        <v>45224</v>
      </c>
      <c r="G12261" t="str">
        <f>"97111"</f>
        <v>97111</v>
      </c>
      <c r="H12261">
        <v>1</v>
      </c>
      <c r="I12261">
        <v>19</v>
      </c>
      <c r="J12261">
        <v>0</v>
      </c>
      <c r="K12261" t="str">
        <f t="shared" si="2194"/>
        <v>801</v>
      </c>
      <c r="L12261">
        <v>23.94</v>
      </c>
    </row>
    <row r="12262" spans="1:12" x14ac:dyDescent="0.25">
      <c r="A12262" t="str">
        <f t="shared" si="2187"/>
        <v>89301000</v>
      </c>
      <c r="B12262" t="str">
        <f t="shared" si="2191"/>
        <v>93501000</v>
      </c>
      <c r="C12262" t="str">
        <f t="shared" si="2192"/>
        <v>93501001</v>
      </c>
      <c r="D12262">
        <v>89301167</v>
      </c>
      <c r="E12262" t="str">
        <f t="shared" ref="E12262:E12279" si="2195">"420102444"</f>
        <v>420102444</v>
      </c>
      <c r="F12262" s="1">
        <v>45211</v>
      </c>
      <c r="G12262" t="str">
        <f>"09119"</f>
        <v>09119</v>
      </c>
      <c r="H12262">
        <v>1</v>
      </c>
      <c r="I12262">
        <v>43</v>
      </c>
      <c r="J12262">
        <v>0</v>
      </c>
      <c r="K12262" t="str">
        <f t="shared" si="2194"/>
        <v>801</v>
      </c>
      <c r="L12262">
        <v>54.18</v>
      </c>
    </row>
    <row r="12263" spans="1:12" x14ac:dyDescent="0.25">
      <c r="A12263" t="str">
        <f t="shared" si="2187"/>
        <v>89301000</v>
      </c>
      <c r="B12263" t="str">
        <f t="shared" si="2191"/>
        <v>93501000</v>
      </c>
      <c r="C12263" t="str">
        <f t="shared" si="2192"/>
        <v>93501001</v>
      </c>
      <c r="D12263">
        <v>89301167</v>
      </c>
      <c r="E12263" t="str">
        <f t="shared" si="2195"/>
        <v>420102444</v>
      </c>
      <c r="F12263" s="1">
        <v>45211</v>
      </c>
      <c r="G12263" t="str">
        <f>"81329"</f>
        <v>81329</v>
      </c>
      <c r="H12263">
        <v>1</v>
      </c>
      <c r="I12263">
        <v>17</v>
      </c>
      <c r="J12263">
        <v>0</v>
      </c>
      <c r="K12263" t="str">
        <f t="shared" si="2194"/>
        <v>801</v>
      </c>
      <c r="L12263">
        <v>14.28</v>
      </c>
    </row>
    <row r="12264" spans="1:12" x14ac:dyDescent="0.25">
      <c r="A12264" t="str">
        <f t="shared" si="2187"/>
        <v>89301000</v>
      </c>
      <c r="B12264" t="str">
        <f t="shared" si="2191"/>
        <v>93501000</v>
      </c>
      <c r="C12264" t="str">
        <f t="shared" si="2192"/>
        <v>93501001</v>
      </c>
      <c r="D12264">
        <v>89301167</v>
      </c>
      <c r="E12264" t="str">
        <f t="shared" si="2195"/>
        <v>420102444</v>
      </c>
      <c r="F12264" s="1">
        <v>45211</v>
      </c>
      <c r="G12264" t="str">
        <f>"81337"</f>
        <v>81337</v>
      </c>
      <c r="H12264">
        <v>1</v>
      </c>
      <c r="I12264">
        <v>20</v>
      </c>
      <c r="J12264">
        <v>0</v>
      </c>
      <c r="K12264" t="str">
        <f t="shared" si="2194"/>
        <v>801</v>
      </c>
      <c r="L12264">
        <v>16.8</v>
      </c>
    </row>
    <row r="12265" spans="1:12" x14ac:dyDescent="0.25">
      <c r="A12265" t="str">
        <f t="shared" si="2187"/>
        <v>89301000</v>
      </c>
      <c r="B12265" t="str">
        <f t="shared" si="2191"/>
        <v>93501000</v>
      </c>
      <c r="C12265" t="str">
        <f t="shared" si="2192"/>
        <v>93501001</v>
      </c>
      <c r="D12265">
        <v>89301167</v>
      </c>
      <c r="E12265" t="str">
        <f t="shared" si="2195"/>
        <v>420102444</v>
      </c>
      <c r="F12265" s="1">
        <v>45211</v>
      </c>
      <c r="G12265" t="str">
        <f>"81357"</f>
        <v>81357</v>
      </c>
      <c r="H12265">
        <v>1</v>
      </c>
      <c r="I12265">
        <v>20</v>
      </c>
      <c r="J12265">
        <v>0</v>
      </c>
      <c r="K12265" t="str">
        <f t="shared" si="2194"/>
        <v>801</v>
      </c>
      <c r="L12265">
        <v>16.8</v>
      </c>
    </row>
    <row r="12266" spans="1:12" x14ac:dyDescent="0.25">
      <c r="A12266" t="str">
        <f t="shared" si="2187"/>
        <v>89301000</v>
      </c>
      <c r="B12266" t="str">
        <f t="shared" si="2191"/>
        <v>93501000</v>
      </c>
      <c r="C12266" t="str">
        <f t="shared" si="2192"/>
        <v>93501001</v>
      </c>
      <c r="D12266">
        <v>89301167</v>
      </c>
      <c r="E12266" t="str">
        <f t="shared" si="2195"/>
        <v>420102444</v>
      </c>
      <c r="F12266" s="1">
        <v>45211</v>
      </c>
      <c r="G12266" t="str">
        <f>"81361"</f>
        <v>81361</v>
      </c>
      <c r="H12266">
        <v>1</v>
      </c>
      <c r="I12266">
        <v>17</v>
      </c>
      <c r="J12266">
        <v>0</v>
      </c>
      <c r="K12266" t="str">
        <f t="shared" si="2194"/>
        <v>801</v>
      </c>
      <c r="L12266">
        <v>14.28</v>
      </c>
    </row>
    <row r="12267" spans="1:12" x14ac:dyDescent="0.25">
      <c r="A12267" t="str">
        <f t="shared" si="2187"/>
        <v>89301000</v>
      </c>
      <c r="B12267" t="str">
        <f t="shared" si="2191"/>
        <v>93501000</v>
      </c>
      <c r="C12267" t="str">
        <f t="shared" si="2192"/>
        <v>93501001</v>
      </c>
      <c r="D12267">
        <v>89301167</v>
      </c>
      <c r="E12267" t="str">
        <f t="shared" si="2195"/>
        <v>420102444</v>
      </c>
      <c r="F12267" s="1">
        <v>45211</v>
      </c>
      <c r="G12267" t="str">
        <f>"81365"</f>
        <v>81365</v>
      </c>
      <c r="H12267">
        <v>1</v>
      </c>
      <c r="I12267">
        <v>16</v>
      </c>
      <c r="J12267">
        <v>0</v>
      </c>
      <c r="K12267" t="str">
        <f t="shared" si="2194"/>
        <v>801</v>
      </c>
      <c r="L12267">
        <v>13.44</v>
      </c>
    </row>
    <row r="12268" spans="1:12" x14ac:dyDescent="0.25">
      <c r="A12268" t="str">
        <f t="shared" si="2187"/>
        <v>89301000</v>
      </c>
      <c r="B12268" t="str">
        <f t="shared" si="2191"/>
        <v>93501000</v>
      </c>
      <c r="C12268" t="str">
        <f t="shared" si="2192"/>
        <v>93501001</v>
      </c>
      <c r="D12268">
        <v>89301167</v>
      </c>
      <c r="E12268" t="str">
        <f t="shared" si="2195"/>
        <v>420102444</v>
      </c>
      <c r="F12268" s="1">
        <v>45211</v>
      </c>
      <c r="G12268" t="str">
        <f>"81383"</f>
        <v>81383</v>
      </c>
      <c r="H12268">
        <v>1</v>
      </c>
      <c r="I12268">
        <v>24</v>
      </c>
      <c r="J12268">
        <v>0</v>
      </c>
      <c r="K12268" t="str">
        <f t="shared" si="2194"/>
        <v>801</v>
      </c>
      <c r="L12268">
        <v>20.16</v>
      </c>
    </row>
    <row r="12269" spans="1:12" x14ac:dyDescent="0.25">
      <c r="A12269" t="str">
        <f t="shared" si="2187"/>
        <v>89301000</v>
      </c>
      <c r="B12269" t="str">
        <f t="shared" si="2191"/>
        <v>93501000</v>
      </c>
      <c r="C12269" t="str">
        <f t="shared" si="2192"/>
        <v>93501001</v>
      </c>
      <c r="D12269">
        <v>89301167</v>
      </c>
      <c r="E12269" t="str">
        <f t="shared" si="2195"/>
        <v>420102444</v>
      </c>
      <c r="F12269" s="1">
        <v>45211</v>
      </c>
      <c r="G12269" t="str">
        <f>"81393"</f>
        <v>81393</v>
      </c>
      <c r="H12269">
        <v>1</v>
      </c>
      <c r="I12269">
        <v>24</v>
      </c>
      <c r="J12269">
        <v>0</v>
      </c>
      <c r="K12269" t="str">
        <f t="shared" si="2194"/>
        <v>801</v>
      </c>
      <c r="L12269">
        <v>20.16</v>
      </c>
    </row>
    <row r="12270" spans="1:12" x14ac:dyDescent="0.25">
      <c r="A12270" t="str">
        <f t="shared" si="2187"/>
        <v>89301000</v>
      </c>
      <c r="B12270" t="str">
        <f t="shared" si="2191"/>
        <v>93501000</v>
      </c>
      <c r="C12270" t="str">
        <f t="shared" si="2192"/>
        <v>93501001</v>
      </c>
      <c r="D12270">
        <v>89301167</v>
      </c>
      <c r="E12270" t="str">
        <f t="shared" si="2195"/>
        <v>420102444</v>
      </c>
      <c r="F12270" s="1">
        <v>45211</v>
      </c>
      <c r="G12270" t="str">
        <f>"81421"</f>
        <v>81421</v>
      </c>
      <c r="H12270">
        <v>1</v>
      </c>
      <c r="I12270">
        <v>19</v>
      </c>
      <c r="J12270">
        <v>0</v>
      </c>
      <c r="K12270" t="str">
        <f t="shared" si="2194"/>
        <v>801</v>
      </c>
      <c r="L12270">
        <v>15.96</v>
      </c>
    </row>
    <row r="12271" spans="1:12" x14ac:dyDescent="0.25">
      <c r="A12271" t="str">
        <f t="shared" si="2187"/>
        <v>89301000</v>
      </c>
      <c r="B12271" t="str">
        <f t="shared" si="2191"/>
        <v>93501000</v>
      </c>
      <c r="C12271" t="str">
        <f t="shared" si="2192"/>
        <v>93501001</v>
      </c>
      <c r="D12271">
        <v>89301167</v>
      </c>
      <c r="E12271" t="str">
        <f t="shared" si="2195"/>
        <v>420102444</v>
      </c>
      <c r="F12271" s="1">
        <v>45211</v>
      </c>
      <c r="G12271" t="str">
        <f>"81435"</f>
        <v>81435</v>
      </c>
      <c r="H12271">
        <v>1</v>
      </c>
      <c r="I12271">
        <v>22</v>
      </c>
      <c r="J12271">
        <v>0</v>
      </c>
      <c r="K12271" t="str">
        <f t="shared" si="2194"/>
        <v>801</v>
      </c>
      <c r="L12271">
        <v>18.48</v>
      </c>
    </row>
    <row r="12272" spans="1:12" x14ac:dyDescent="0.25">
      <c r="A12272" t="str">
        <f t="shared" si="2187"/>
        <v>89301000</v>
      </c>
      <c r="B12272" t="str">
        <f t="shared" ref="B12272:B12303" si="2196">"93501000"</f>
        <v>93501000</v>
      </c>
      <c r="C12272" t="str">
        <f t="shared" ref="C12272:C12303" si="2197">"93501001"</f>
        <v>93501001</v>
      </c>
      <c r="D12272">
        <v>89301167</v>
      </c>
      <c r="E12272" t="str">
        <f t="shared" si="2195"/>
        <v>420102444</v>
      </c>
      <c r="F12272" s="1">
        <v>45211</v>
      </c>
      <c r="G12272" t="str">
        <f>"81439"</f>
        <v>81439</v>
      </c>
      <c r="H12272">
        <v>1</v>
      </c>
      <c r="I12272">
        <v>16</v>
      </c>
      <c r="J12272">
        <v>0</v>
      </c>
      <c r="K12272" t="str">
        <f t="shared" ref="K12272:K12303" si="2198">"801"</f>
        <v>801</v>
      </c>
      <c r="L12272">
        <v>13.44</v>
      </c>
    </row>
    <row r="12273" spans="1:12" x14ac:dyDescent="0.25">
      <c r="A12273" t="str">
        <f t="shared" si="2187"/>
        <v>89301000</v>
      </c>
      <c r="B12273" t="str">
        <f t="shared" si="2196"/>
        <v>93501000</v>
      </c>
      <c r="C12273" t="str">
        <f t="shared" si="2197"/>
        <v>93501001</v>
      </c>
      <c r="D12273">
        <v>89301167</v>
      </c>
      <c r="E12273" t="str">
        <f t="shared" si="2195"/>
        <v>420102444</v>
      </c>
      <c r="F12273" s="1">
        <v>45211</v>
      </c>
      <c r="G12273" t="str">
        <f>"81469"</f>
        <v>81469</v>
      </c>
      <c r="H12273">
        <v>1</v>
      </c>
      <c r="I12273">
        <v>16</v>
      </c>
      <c r="J12273">
        <v>0</v>
      </c>
      <c r="K12273" t="str">
        <f t="shared" si="2198"/>
        <v>801</v>
      </c>
      <c r="L12273">
        <v>13.44</v>
      </c>
    </row>
    <row r="12274" spans="1:12" x14ac:dyDescent="0.25">
      <c r="A12274" t="str">
        <f t="shared" si="2187"/>
        <v>89301000</v>
      </c>
      <c r="B12274" t="str">
        <f t="shared" si="2196"/>
        <v>93501000</v>
      </c>
      <c r="C12274" t="str">
        <f t="shared" si="2197"/>
        <v>93501001</v>
      </c>
      <c r="D12274">
        <v>89301167</v>
      </c>
      <c r="E12274" t="str">
        <f t="shared" si="2195"/>
        <v>420102444</v>
      </c>
      <c r="F12274" s="1">
        <v>45211</v>
      </c>
      <c r="G12274" t="str">
        <f>"81499"</f>
        <v>81499</v>
      </c>
      <c r="H12274">
        <v>1</v>
      </c>
      <c r="I12274">
        <v>18</v>
      </c>
      <c r="J12274">
        <v>0</v>
      </c>
      <c r="K12274" t="str">
        <f t="shared" si="2198"/>
        <v>801</v>
      </c>
      <c r="L12274">
        <v>15.12</v>
      </c>
    </row>
    <row r="12275" spans="1:12" x14ac:dyDescent="0.25">
      <c r="A12275" t="str">
        <f t="shared" si="2187"/>
        <v>89301000</v>
      </c>
      <c r="B12275" t="str">
        <f t="shared" si="2196"/>
        <v>93501000</v>
      </c>
      <c r="C12275" t="str">
        <f t="shared" si="2197"/>
        <v>93501001</v>
      </c>
      <c r="D12275">
        <v>89301167</v>
      </c>
      <c r="E12275" t="str">
        <f t="shared" si="2195"/>
        <v>420102444</v>
      </c>
      <c r="F12275" s="1">
        <v>45211</v>
      </c>
      <c r="G12275" t="str">
        <f>"81593"</f>
        <v>81593</v>
      </c>
      <c r="H12275">
        <v>1</v>
      </c>
      <c r="I12275">
        <v>22</v>
      </c>
      <c r="J12275">
        <v>0</v>
      </c>
      <c r="K12275" t="str">
        <f t="shared" si="2198"/>
        <v>801</v>
      </c>
      <c r="L12275">
        <v>18.48</v>
      </c>
    </row>
    <row r="12276" spans="1:12" x14ac:dyDescent="0.25">
      <c r="A12276" t="str">
        <f t="shared" si="2187"/>
        <v>89301000</v>
      </c>
      <c r="B12276" t="str">
        <f t="shared" si="2196"/>
        <v>93501000</v>
      </c>
      <c r="C12276" t="str">
        <f t="shared" si="2197"/>
        <v>93501001</v>
      </c>
      <c r="D12276">
        <v>89301167</v>
      </c>
      <c r="E12276" t="str">
        <f t="shared" si="2195"/>
        <v>420102444</v>
      </c>
      <c r="F12276" s="1">
        <v>45211</v>
      </c>
      <c r="G12276" t="str">
        <f>"81621"</f>
        <v>81621</v>
      </c>
      <c r="H12276">
        <v>1</v>
      </c>
      <c r="I12276">
        <v>19</v>
      </c>
      <c r="J12276">
        <v>0</v>
      </c>
      <c r="K12276" t="str">
        <f t="shared" si="2198"/>
        <v>801</v>
      </c>
      <c r="L12276">
        <v>15.96</v>
      </c>
    </row>
    <row r="12277" spans="1:12" x14ac:dyDescent="0.25">
      <c r="A12277" t="str">
        <f t="shared" si="2187"/>
        <v>89301000</v>
      </c>
      <c r="B12277" t="str">
        <f t="shared" si="2196"/>
        <v>93501000</v>
      </c>
      <c r="C12277" t="str">
        <f t="shared" si="2197"/>
        <v>93501001</v>
      </c>
      <c r="D12277">
        <v>89301167</v>
      </c>
      <c r="E12277" t="str">
        <f t="shared" si="2195"/>
        <v>420102444</v>
      </c>
      <c r="F12277" s="1">
        <v>45211</v>
      </c>
      <c r="G12277" t="str">
        <f>"81625"</f>
        <v>81625</v>
      </c>
      <c r="H12277">
        <v>1</v>
      </c>
      <c r="I12277">
        <v>21</v>
      </c>
      <c r="J12277">
        <v>0</v>
      </c>
      <c r="K12277" t="str">
        <f t="shared" si="2198"/>
        <v>801</v>
      </c>
      <c r="L12277">
        <v>17.64</v>
      </c>
    </row>
    <row r="12278" spans="1:12" x14ac:dyDescent="0.25">
      <c r="A12278" t="str">
        <f t="shared" si="2187"/>
        <v>89301000</v>
      </c>
      <c r="B12278" t="str">
        <f t="shared" si="2196"/>
        <v>93501000</v>
      </c>
      <c r="C12278" t="str">
        <f t="shared" si="2197"/>
        <v>93501001</v>
      </c>
      <c r="D12278">
        <v>89301167</v>
      </c>
      <c r="E12278" t="str">
        <f t="shared" si="2195"/>
        <v>420102444</v>
      </c>
      <c r="F12278" s="1">
        <v>45211</v>
      </c>
      <c r="G12278" t="str">
        <f>"91153"</f>
        <v>91153</v>
      </c>
      <c r="H12278">
        <v>1</v>
      </c>
      <c r="I12278">
        <v>153</v>
      </c>
      <c r="J12278">
        <v>0</v>
      </c>
      <c r="K12278" t="str">
        <f t="shared" si="2198"/>
        <v>801</v>
      </c>
      <c r="L12278">
        <v>128.52000000000001</v>
      </c>
    </row>
    <row r="12279" spans="1:12" x14ac:dyDescent="0.25">
      <c r="A12279" t="str">
        <f t="shared" si="2187"/>
        <v>89301000</v>
      </c>
      <c r="B12279" t="str">
        <f t="shared" si="2196"/>
        <v>93501000</v>
      </c>
      <c r="C12279" t="str">
        <f t="shared" si="2197"/>
        <v>93501001</v>
      </c>
      <c r="D12279">
        <v>89301167</v>
      </c>
      <c r="E12279" t="str">
        <f t="shared" si="2195"/>
        <v>420102444</v>
      </c>
      <c r="F12279" s="1">
        <v>45211</v>
      </c>
      <c r="G12279" t="str">
        <f>"97111"</f>
        <v>97111</v>
      </c>
      <c r="H12279">
        <v>1</v>
      </c>
      <c r="I12279">
        <v>19</v>
      </c>
      <c r="J12279">
        <v>0</v>
      </c>
      <c r="K12279" t="str">
        <f t="shared" si="2198"/>
        <v>801</v>
      </c>
      <c r="L12279">
        <v>23.94</v>
      </c>
    </row>
    <row r="12280" spans="1:12" x14ac:dyDescent="0.25">
      <c r="A12280" t="str">
        <f t="shared" si="2187"/>
        <v>89301000</v>
      </c>
      <c r="B12280" t="str">
        <f t="shared" si="2196"/>
        <v>93501000</v>
      </c>
      <c r="C12280" t="str">
        <f t="shared" si="2197"/>
        <v>93501001</v>
      </c>
      <c r="D12280">
        <v>89301167</v>
      </c>
      <c r="E12280" t="str">
        <f t="shared" ref="E12280:E12299" si="2199">"470127462"</f>
        <v>470127462</v>
      </c>
      <c r="F12280" s="1">
        <v>45203</v>
      </c>
      <c r="G12280" t="str">
        <f>"09119"</f>
        <v>09119</v>
      </c>
      <c r="H12280">
        <v>1</v>
      </c>
      <c r="I12280">
        <v>43</v>
      </c>
      <c r="J12280">
        <v>0</v>
      </c>
      <c r="K12280" t="str">
        <f t="shared" si="2198"/>
        <v>801</v>
      </c>
      <c r="L12280">
        <v>54.18</v>
      </c>
    </row>
    <row r="12281" spans="1:12" x14ac:dyDescent="0.25">
      <c r="A12281" t="str">
        <f t="shared" si="2187"/>
        <v>89301000</v>
      </c>
      <c r="B12281" t="str">
        <f t="shared" si="2196"/>
        <v>93501000</v>
      </c>
      <c r="C12281" t="str">
        <f t="shared" si="2197"/>
        <v>93501001</v>
      </c>
      <c r="D12281">
        <v>89301167</v>
      </c>
      <c r="E12281" t="str">
        <f t="shared" si="2199"/>
        <v>470127462</v>
      </c>
      <c r="F12281" s="1">
        <v>45203</v>
      </c>
      <c r="G12281" t="str">
        <f>"81329"</f>
        <v>81329</v>
      </c>
      <c r="H12281">
        <v>1</v>
      </c>
      <c r="I12281">
        <v>17</v>
      </c>
      <c r="J12281">
        <v>0</v>
      </c>
      <c r="K12281" t="str">
        <f t="shared" si="2198"/>
        <v>801</v>
      </c>
      <c r="L12281">
        <v>14.28</v>
      </c>
    </row>
    <row r="12282" spans="1:12" x14ac:dyDescent="0.25">
      <c r="A12282" t="str">
        <f t="shared" si="2187"/>
        <v>89301000</v>
      </c>
      <c r="B12282" t="str">
        <f t="shared" si="2196"/>
        <v>93501000</v>
      </c>
      <c r="C12282" t="str">
        <f t="shared" si="2197"/>
        <v>93501001</v>
      </c>
      <c r="D12282">
        <v>89301167</v>
      </c>
      <c r="E12282" t="str">
        <f t="shared" si="2199"/>
        <v>470127462</v>
      </c>
      <c r="F12282" s="1">
        <v>45203</v>
      </c>
      <c r="G12282" t="str">
        <f>"81337"</f>
        <v>81337</v>
      </c>
      <c r="H12282">
        <v>1</v>
      </c>
      <c r="I12282">
        <v>20</v>
      </c>
      <c r="J12282">
        <v>0</v>
      </c>
      <c r="K12282" t="str">
        <f t="shared" si="2198"/>
        <v>801</v>
      </c>
      <c r="L12282">
        <v>16.8</v>
      </c>
    </row>
    <row r="12283" spans="1:12" x14ac:dyDescent="0.25">
      <c r="A12283" t="str">
        <f t="shared" si="2187"/>
        <v>89301000</v>
      </c>
      <c r="B12283" t="str">
        <f t="shared" si="2196"/>
        <v>93501000</v>
      </c>
      <c r="C12283" t="str">
        <f t="shared" si="2197"/>
        <v>93501001</v>
      </c>
      <c r="D12283">
        <v>89301167</v>
      </c>
      <c r="E12283" t="str">
        <f t="shared" si="2199"/>
        <v>470127462</v>
      </c>
      <c r="F12283" s="1">
        <v>45203</v>
      </c>
      <c r="G12283" t="str">
        <f>"81357"</f>
        <v>81357</v>
      </c>
      <c r="H12283">
        <v>1</v>
      </c>
      <c r="I12283">
        <v>20</v>
      </c>
      <c r="J12283">
        <v>0</v>
      </c>
      <c r="K12283" t="str">
        <f t="shared" si="2198"/>
        <v>801</v>
      </c>
      <c r="L12283">
        <v>16.8</v>
      </c>
    </row>
    <row r="12284" spans="1:12" x14ac:dyDescent="0.25">
      <c r="A12284" t="str">
        <f t="shared" si="2187"/>
        <v>89301000</v>
      </c>
      <c r="B12284" t="str">
        <f t="shared" si="2196"/>
        <v>93501000</v>
      </c>
      <c r="C12284" t="str">
        <f t="shared" si="2197"/>
        <v>93501001</v>
      </c>
      <c r="D12284">
        <v>89301167</v>
      </c>
      <c r="E12284" t="str">
        <f t="shared" si="2199"/>
        <v>470127462</v>
      </c>
      <c r="F12284" s="1">
        <v>45203</v>
      </c>
      <c r="G12284" t="str">
        <f>"81361"</f>
        <v>81361</v>
      </c>
      <c r="H12284">
        <v>1</v>
      </c>
      <c r="I12284">
        <v>17</v>
      </c>
      <c r="J12284">
        <v>0</v>
      </c>
      <c r="K12284" t="str">
        <f t="shared" si="2198"/>
        <v>801</v>
      </c>
      <c r="L12284">
        <v>14.28</v>
      </c>
    </row>
    <row r="12285" spans="1:12" x14ac:dyDescent="0.25">
      <c r="A12285" t="str">
        <f t="shared" si="2187"/>
        <v>89301000</v>
      </c>
      <c r="B12285" t="str">
        <f t="shared" si="2196"/>
        <v>93501000</v>
      </c>
      <c r="C12285" t="str">
        <f t="shared" si="2197"/>
        <v>93501001</v>
      </c>
      <c r="D12285">
        <v>89301167</v>
      </c>
      <c r="E12285" t="str">
        <f t="shared" si="2199"/>
        <v>470127462</v>
      </c>
      <c r="F12285" s="1">
        <v>45203</v>
      </c>
      <c r="G12285" t="str">
        <f>"81365"</f>
        <v>81365</v>
      </c>
      <c r="H12285">
        <v>1</v>
      </c>
      <c r="I12285">
        <v>16</v>
      </c>
      <c r="J12285">
        <v>0</v>
      </c>
      <c r="K12285" t="str">
        <f t="shared" si="2198"/>
        <v>801</v>
      </c>
      <c r="L12285">
        <v>13.44</v>
      </c>
    </row>
    <row r="12286" spans="1:12" x14ac:dyDescent="0.25">
      <c r="A12286" t="str">
        <f t="shared" si="2187"/>
        <v>89301000</v>
      </c>
      <c r="B12286" t="str">
        <f t="shared" si="2196"/>
        <v>93501000</v>
      </c>
      <c r="C12286" t="str">
        <f t="shared" si="2197"/>
        <v>93501001</v>
      </c>
      <c r="D12286">
        <v>89301167</v>
      </c>
      <c r="E12286" t="str">
        <f t="shared" si="2199"/>
        <v>470127462</v>
      </c>
      <c r="F12286" s="1">
        <v>45203</v>
      </c>
      <c r="G12286" t="str">
        <f>"81383"</f>
        <v>81383</v>
      </c>
      <c r="H12286">
        <v>1</v>
      </c>
      <c r="I12286">
        <v>24</v>
      </c>
      <c r="J12286">
        <v>0</v>
      </c>
      <c r="K12286" t="str">
        <f t="shared" si="2198"/>
        <v>801</v>
      </c>
      <c r="L12286">
        <v>20.16</v>
      </c>
    </row>
    <row r="12287" spans="1:12" x14ac:dyDescent="0.25">
      <c r="A12287" t="str">
        <f t="shared" si="2187"/>
        <v>89301000</v>
      </c>
      <c r="B12287" t="str">
        <f t="shared" si="2196"/>
        <v>93501000</v>
      </c>
      <c r="C12287" t="str">
        <f t="shared" si="2197"/>
        <v>93501001</v>
      </c>
      <c r="D12287">
        <v>89301167</v>
      </c>
      <c r="E12287" t="str">
        <f t="shared" si="2199"/>
        <v>470127462</v>
      </c>
      <c r="F12287" s="1">
        <v>45203</v>
      </c>
      <c r="G12287" t="str">
        <f>"81393"</f>
        <v>81393</v>
      </c>
      <c r="H12287">
        <v>1</v>
      </c>
      <c r="I12287">
        <v>24</v>
      </c>
      <c r="J12287">
        <v>0</v>
      </c>
      <c r="K12287" t="str">
        <f t="shared" si="2198"/>
        <v>801</v>
      </c>
      <c r="L12287">
        <v>20.16</v>
      </c>
    </row>
    <row r="12288" spans="1:12" x14ac:dyDescent="0.25">
      <c r="A12288" t="str">
        <f t="shared" si="2187"/>
        <v>89301000</v>
      </c>
      <c r="B12288" t="str">
        <f t="shared" si="2196"/>
        <v>93501000</v>
      </c>
      <c r="C12288" t="str">
        <f t="shared" si="2197"/>
        <v>93501001</v>
      </c>
      <c r="D12288">
        <v>89301167</v>
      </c>
      <c r="E12288" t="str">
        <f t="shared" si="2199"/>
        <v>470127462</v>
      </c>
      <c r="F12288" s="1">
        <v>45203</v>
      </c>
      <c r="G12288" t="str">
        <f>"81421"</f>
        <v>81421</v>
      </c>
      <c r="H12288">
        <v>1</v>
      </c>
      <c r="I12288">
        <v>19</v>
      </c>
      <c r="J12288">
        <v>0</v>
      </c>
      <c r="K12288" t="str">
        <f t="shared" si="2198"/>
        <v>801</v>
      </c>
      <c r="L12288">
        <v>15.96</v>
      </c>
    </row>
    <row r="12289" spans="1:12" x14ac:dyDescent="0.25">
      <c r="A12289" t="str">
        <f t="shared" si="2187"/>
        <v>89301000</v>
      </c>
      <c r="B12289" t="str">
        <f t="shared" si="2196"/>
        <v>93501000</v>
      </c>
      <c r="C12289" t="str">
        <f t="shared" si="2197"/>
        <v>93501001</v>
      </c>
      <c r="D12289">
        <v>89301167</v>
      </c>
      <c r="E12289" t="str">
        <f t="shared" si="2199"/>
        <v>470127462</v>
      </c>
      <c r="F12289" s="1">
        <v>45203</v>
      </c>
      <c r="G12289" t="str">
        <f>"81435"</f>
        <v>81435</v>
      </c>
      <c r="H12289">
        <v>1</v>
      </c>
      <c r="I12289">
        <v>22</v>
      </c>
      <c r="J12289">
        <v>0</v>
      </c>
      <c r="K12289" t="str">
        <f t="shared" si="2198"/>
        <v>801</v>
      </c>
      <c r="L12289">
        <v>18.48</v>
      </c>
    </row>
    <row r="12290" spans="1:12" x14ac:dyDescent="0.25">
      <c r="A12290" t="str">
        <f t="shared" ref="A12290:A12353" si="2200">"89301000"</f>
        <v>89301000</v>
      </c>
      <c r="B12290" t="str">
        <f t="shared" si="2196"/>
        <v>93501000</v>
      </c>
      <c r="C12290" t="str">
        <f t="shared" si="2197"/>
        <v>93501001</v>
      </c>
      <c r="D12290">
        <v>89301167</v>
      </c>
      <c r="E12290" t="str">
        <f t="shared" si="2199"/>
        <v>470127462</v>
      </c>
      <c r="F12290" s="1">
        <v>45203</v>
      </c>
      <c r="G12290" t="str">
        <f>"81469"</f>
        <v>81469</v>
      </c>
      <c r="H12290">
        <v>1</v>
      </c>
      <c r="I12290">
        <v>16</v>
      </c>
      <c r="J12290">
        <v>0</v>
      </c>
      <c r="K12290" t="str">
        <f t="shared" si="2198"/>
        <v>801</v>
      </c>
      <c r="L12290">
        <v>13.44</v>
      </c>
    </row>
    <row r="12291" spans="1:12" x14ac:dyDescent="0.25">
      <c r="A12291" t="str">
        <f t="shared" si="2200"/>
        <v>89301000</v>
      </c>
      <c r="B12291" t="str">
        <f t="shared" si="2196"/>
        <v>93501000</v>
      </c>
      <c r="C12291" t="str">
        <f t="shared" si="2197"/>
        <v>93501001</v>
      </c>
      <c r="D12291">
        <v>89301167</v>
      </c>
      <c r="E12291" t="str">
        <f t="shared" si="2199"/>
        <v>470127462</v>
      </c>
      <c r="F12291" s="1">
        <v>45203</v>
      </c>
      <c r="G12291" t="str">
        <f>"81499"</f>
        <v>81499</v>
      </c>
      <c r="H12291">
        <v>1</v>
      </c>
      <c r="I12291">
        <v>18</v>
      </c>
      <c r="J12291">
        <v>0</v>
      </c>
      <c r="K12291" t="str">
        <f t="shared" si="2198"/>
        <v>801</v>
      </c>
      <c r="L12291">
        <v>15.12</v>
      </c>
    </row>
    <row r="12292" spans="1:12" x14ac:dyDescent="0.25">
      <c r="A12292" t="str">
        <f t="shared" si="2200"/>
        <v>89301000</v>
      </c>
      <c r="B12292" t="str">
        <f t="shared" si="2196"/>
        <v>93501000</v>
      </c>
      <c r="C12292" t="str">
        <f t="shared" si="2197"/>
        <v>93501001</v>
      </c>
      <c r="D12292">
        <v>89301167</v>
      </c>
      <c r="E12292" t="str">
        <f t="shared" si="2199"/>
        <v>470127462</v>
      </c>
      <c r="F12292" s="1">
        <v>45203</v>
      </c>
      <c r="G12292" t="str">
        <f>"81593"</f>
        <v>81593</v>
      </c>
      <c r="H12292">
        <v>1</v>
      </c>
      <c r="I12292">
        <v>22</v>
      </c>
      <c r="J12292">
        <v>0</v>
      </c>
      <c r="K12292" t="str">
        <f t="shared" si="2198"/>
        <v>801</v>
      </c>
      <c r="L12292">
        <v>18.48</v>
      </c>
    </row>
    <row r="12293" spans="1:12" x14ac:dyDescent="0.25">
      <c r="A12293" t="str">
        <f t="shared" si="2200"/>
        <v>89301000</v>
      </c>
      <c r="B12293" t="str">
        <f t="shared" si="2196"/>
        <v>93501000</v>
      </c>
      <c r="C12293" t="str">
        <f t="shared" si="2197"/>
        <v>93501001</v>
      </c>
      <c r="D12293">
        <v>89301167</v>
      </c>
      <c r="E12293" t="str">
        <f t="shared" si="2199"/>
        <v>470127462</v>
      </c>
      <c r="F12293" s="1">
        <v>45203</v>
      </c>
      <c r="G12293" t="str">
        <f>"81621"</f>
        <v>81621</v>
      </c>
      <c r="H12293">
        <v>1</v>
      </c>
      <c r="I12293">
        <v>19</v>
      </c>
      <c r="J12293">
        <v>0</v>
      </c>
      <c r="K12293" t="str">
        <f t="shared" si="2198"/>
        <v>801</v>
      </c>
      <c r="L12293">
        <v>15.96</v>
      </c>
    </row>
    <row r="12294" spans="1:12" x14ac:dyDescent="0.25">
      <c r="A12294" t="str">
        <f t="shared" si="2200"/>
        <v>89301000</v>
      </c>
      <c r="B12294" t="str">
        <f t="shared" si="2196"/>
        <v>93501000</v>
      </c>
      <c r="C12294" t="str">
        <f t="shared" si="2197"/>
        <v>93501001</v>
      </c>
      <c r="D12294">
        <v>89301167</v>
      </c>
      <c r="E12294" t="str">
        <f t="shared" si="2199"/>
        <v>470127462</v>
      </c>
      <c r="F12294" s="1">
        <v>45203</v>
      </c>
      <c r="G12294" t="str">
        <f>"81625"</f>
        <v>81625</v>
      </c>
      <c r="H12294">
        <v>1</v>
      </c>
      <c r="I12294">
        <v>21</v>
      </c>
      <c r="J12294">
        <v>0</v>
      </c>
      <c r="K12294" t="str">
        <f t="shared" si="2198"/>
        <v>801</v>
      </c>
      <c r="L12294">
        <v>17.64</v>
      </c>
    </row>
    <row r="12295" spans="1:12" x14ac:dyDescent="0.25">
      <c r="A12295" t="str">
        <f t="shared" si="2200"/>
        <v>89301000</v>
      </c>
      <c r="B12295" t="str">
        <f t="shared" si="2196"/>
        <v>93501000</v>
      </c>
      <c r="C12295" t="str">
        <f t="shared" si="2197"/>
        <v>93501001</v>
      </c>
      <c r="D12295">
        <v>89301167</v>
      </c>
      <c r="E12295" t="str">
        <f t="shared" si="2199"/>
        <v>470127462</v>
      </c>
      <c r="F12295" s="1">
        <v>45203</v>
      </c>
      <c r="G12295" t="str">
        <f>"81731"</f>
        <v>81731</v>
      </c>
      <c r="H12295">
        <v>1</v>
      </c>
      <c r="I12295">
        <v>861</v>
      </c>
      <c r="J12295">
        <v>0</v>
      </c>
      <c r="K12295" t="str">
        <f t="shared" si="2198"/>
        <v>801</v>
      </c>
      <c r="L12295">
        <v>723.24</v>
      </c>
    </row>
    <row r="12296" spans="1:12" x14ac:dyDescent="0.25">
      <c r="A12296" t="str">
        <f t="shared" si="2200"/>
        <v>89301000</v>
      </c>
      <c r="B12296" t="str">
        <f t="shared" si="2196"/>
        <v>93501000</v>
      </c>
      <c r="C12296" t="str">
        <f t="shared" si="2197"/>
        <v>93501001</v>
      </c>
      <c r="D12296">
        <v>89301167</v>
      </c>
      <c r="E12296" t="str">
        <f t="shared" si="2199"/>
        <v>470127462</v>
      </c>
      <c r="F12296" s="1">
        <v>45203</v>
      </c>
      <c r="G12296" t="str">
        <f>"91153"</f>
        <v>91153</v>
      </c>
      <c r="H12296">
        <v>1</v>
      </c>
      <c r="I12296">
        <v>153</v>
      </c>
      <c r="J12296">
        <v>0</v>
      </c>
      <c r="K12296" t="str">
        <f t="shared" si="2198"/>
        <v>801</v>
      </c>
      <c r="L12296">
        <v>128.52000000000001</v>
      </c>
    </row>
    <row r="12297" spans="1:12" x14ac:dyDescent="0.25">
      <c r="A12297" t="str">
        <f t="shared" si="2200"/>
        <v>89301000</v>
      </c>
      <c r="B12297" t="str">
        <f t="shared" si="2196"/>
        <v>93501000</v>
      </c>
      <c r="C12297" t="str">
        <f t="shared" si="2197"/>
        <v>93501001</v>
      </c>
      <c r="D12297">
        <v>89301167</v>
      </c>
      <c r="E12297" t="str">
        <f t="shared" si="2199"/>
        <v>470127462</v>
      </c>
      <c r="F12297" s="1">
        <v>45203</v>
      </c>
      <c r="G12297" t="str">
        <f>"93189"</f>
        <v>93189</v>
      </c>
      <c r="H12297">
        <v>1</v>
      </c>
      <c r="I12297">
        <v>191</v>
      </c>
      <c r="J12297">
        <v>0</v>
      </c>
      <c r="K12297" t="str">
        <f t="shared" si="2198"/>
        <v>801</v>
      </c>
      <c r="L12297">
        <v>160.44</v>
      </c>
    </row>
    <row r="12298" spans="1:12" x14ac:dyDescent="0.25">
      <c r="A12298" t="str">
        <f t="shared" si="2200"/>
        <v>89301000</v>
      </c>
      <c r="B12298" t="str">
        <f t="shared" si="2196"/>
        <v>93501000</v>
      </c>
      <c r="C12298" t="str">
        <f t="shared" si="2197"/>
        <v>93501001</v>
      </c>
      <c r="D12298">
        <v>89301167</v>
      </c>
      <c r="E12298" t="str">
        <f t="shared" si="2199"/>
        <v>470127462</v>
      </c>
      <c r="F12298" s="1">
        <v>45203</v>
      </c>
      <c r="G12298" t="str">
        <f>"93195"</f>
        <v>93195</v>
      </c>
      <c r="H12298">
        <v>1</v>
      </c>
      <c r="I12298">
        <v>183</v>
      </c>
      <c r="J12298">
        <v>0</v>
      </c>
      <c r="K12298" t="str">
        <f t="shared" si="2198"/>
        <v>801</v>
      </c>
      <c r="L12298">
        <v>153.72</v>
      </c>
    </row>
    <row r="12299" spans="1:12" x14ac:dyDescent="0.25">
      <c r="A12299" t="str">
        <f t="shared" si="2200"/>
        <v>89301000</v>
      </c>
      <c r="B12299" t="str">
        <f t="shared" si="2196"/>
        <v>93501000</v>
      </c>
      <c r="C12299" t="str">
        <f t="shared" si="2197"/>
        <v>93501001</v>
      </c>
      <c r="D12299">
        <v>89301167</v>
      </c>
      <c r="E12299" t="str">
        <f t="shared" si="2199"/>
        <v>470127462</v>
      </c>
      <c r="F12299" s="1">
        <v>45203</v>
      </c>
      <c r="G12299" t="str">
        <f>"97111"</f>
        <v>97111</v>
      </c>
      <c r="H12299">
        <v>1</v>
      </c>
      <c r="I12299">
        <v>19</v>
      </c>
      <c r="J12299">
        <v>0</v>
      </c>
      <c r="K12299" t="str">
        <f t="shared" si="2198"/>
        <v>801</v>
      </c>
      <c r="L12299">
        <v>23.94</v>
      </c>
    </row>
    <row r="12300" spans="1:12" x14ac:dyDescent="0.25">
      <c r="A12300" t="str">
        <f t="shared" si="2200"/>
        <v>89301000</v>
      </c>
      <c r="B12300" t="str">
        <f t="shared" si="2196"/>
        <v>93501000</v>
      </c>
      <c r="C12300" t="str">
        <f t="shared" si="2197"/>
        <v>93501001</v>
      </c>
      <c r="D12300">
        <v>89301167</v>
      </c>
      <c r="E12300" t="str">
        <f t="shared" ref="E12300:E12317" si="2201">"6003120068"</f>
        <v>6003120068</v>
      </c>
      <c r="F12300" s="1">
        <v>45225</v>
      </c>
      <c r="G12300" t="str">
        <f>"09119"</f>
        <v>09119</v>
      </c>
      <c r="H12300">
        <v>1</v>
      </c>
      <c r="I12300">
        <v>43</v>
      </c>
      <c r="J12300">
        <v>0</v>
      </c>
      <c r="K12300" t="str">
        <f t="shared" si="2198"/>
        <v>801</v>
      </c>
      <c r="L12300">
        <v>54.18</v>
      </c>
    </row>
    <row r="12301" spans="1:12" x14ac:dyDescent="0.25">
      <c r="A12301" t="str">
        <f t="shared" si="2200"/>
        <v>89301000</v>
      </c>
      <c r="B12301" t="str">
        <f t="shared" si="2196"/>
        <v>93501000</v>
      </c>
      <c r="C12301" t="str">
        <f t="shared" si="2197"/>
        <v>93501001</v>
      </c>
      <c r="D12301">
        <v>89301167</v>
      </c>
      <c r="E12301" t="str">
        <f t="shared" si="2201"/>
        <v>6003120068</v>
      </c>
      <c r="F12301" s="1">
        <v>45225</v>
      </c>
      <c r="G12301" t="str">
        <f>"81329"</f>
        <v>81329</v>
      </c>
      <c r="H12301">
        <v>1</v>
      </c>
      <c r="I12301">
        <v>17</v>
      </c>
      <c r="J12301">
        <v>0</v>
      </c>
      <c r="K12301" t="str">
        <f t="shared" si="2198"/>
        <v>801</v>
      </c>
      <c r="L12301">
        <v>14.28</v>
      </c>
    </row>
    <row r="12302" spans="1:12" x14ac:dyDescent="0.25">
      <c r="A12302" t="str">
        <f t="shared" si="2200"/>
        <v>89301000</v>
      </c>
      <c r="B12302" t="str">
        <f t="shared" si="2196"/>
        <v>93501000</v>
      </c>
      <c r="C12302" t="str">
        <f t="shared" si="2197"/>
        <v>93501001</v>
      </c>
      <c r="D12302">
        <v>89301167</v>
      </c>
      <c r="E12302" t="str">
        <f t="shared" si="2201"/>
        <v>6003120068</v>
      </c>
      <c r="F12302" s="1">
        <v>45225</v>
      </c>
      <c r="G12302" t="str">
        <f>"81337"</f>
        <v>81337</v>
      </c>
      <c r="H12302">
        <v>1</v>
      </c>
      <c r="I12302">
        <v>20</v>
      </c>
      <c r="J12302">
        <v>0</v>
      </c>
      <c r="K12302" t="str">
        <f t="shared" si="2198"/>
        <v>801</v>
      </c>
      <c r="L12302">
        <v>16.8</v>
      </c>
    </row>
    <row r="12303" spans="1:12" x14ac:dyDescent="0.25">
      <c r="A12303" t="str">
        <f t="shared" si="2200"/>
        <v>89301000</v>
      </c>
      <c r="B12303" t="str">
        <f t="shared" si="2196"/>
        <v>93501000</v>
      </c>
      <c r="C12303" t="str">
        <f t="shared" si="2197"/>
        <v>93501001</v>
      </c>
      <c r="D12303">
        <v>89301167</v>
      </c>
      <c r="E12303" t="str">
        <f t="shared" si="2201"/>
        <v>6003120068</v>
      </c>
      <c r="F12303" s="1">
        <v>45225</v>
      </c>
      <c r="G12303" t="str">
        <f>"81357"</f>
        <v>81357</v>
      </c>
      <c r="H12303">
        <v>1</v>
      </c>
      <c r="I12303">
        <v>20</v>
      </c>
      <c r="J12303">
        <v>0</v>
      </c>
      <c r="K12303" t="str">
        <f t="shared" si="2198"/>
        <v>801</v>
      </c>
      <c r="L12303">
        <v>16.8</v>
      </c>
    </row>
    <row r="12304" spans="1:12" x14ac:dyDescent="0.25">
      <c r="A12304" t="str">
        <f t="shared" si="2200"/>
        <v>89301000</v>
      </c>
      <c r="B12304" t="str">
        <f t="shared" ref="B12304:B12330" si="2202">"93501000"</f>
        <v>93501000</v>
      </c>
      <c r="C12304" t="str">
        <f t="shared" ref="C12304:C12317" si="2203">"93501001"</f>
        <v>93501001</v>
      </c>
      <c r="D12304">
        <v>89301167</v>
      </c>
      <c r="E12304" t="str">
        <f t="shared" si="2201"/>
        <v>6003120068</v>
      </c>
      <c r="F12304" s="1">
        <v>45225</v>
      </c>
      <c r="G12304" t="str">
        <f>"81365"</f>
        <v>81365</v>
      </c>
      <c r="H12304">
        <v>1</v>
      </c>
      <c r="I12304">
        <v>16</v>
      </c>
      <c r="J12304">
        <v>0</v>
      </c>
      <c r="K12304" t="str">
        <f t="shared" ref="K12304:K12320" si="2204">"801"</f>
        <v>801</v>
      </c>
      <c r="L12304">
        <v>13.44</v>
      </c>
    </row>
    <row r="12305" spans="1:12" x14ac:dyDescent="0.25">
      <c r="A12305" t="str">
        <f t="shared" si="2200"/>
        <v>89301000</v>
      </c>
      <c r="B12305" t="str">
        <f t="shared" si="2202"/>
        <v>93501000</v>
      </c>
      <c r="C12305" t="str">
        <f t="shared" si="2203"/>
        <v>93501001</v>
      </c>
      <c r="D12305">
        <v>89301167</v>
      </c>
      <c r="E12305" t="str">
        <f t="shared" si="2201"/>
        <v>6003120068</v>
      </c>
      <c r="F12305" s="1">
        <v>45225</v>
      </c>
      <c r="G12305" t="str">
        <f>"81383"</f>
        <v>81383</v>
      </c>
      <c r="H12305">
        <v>1</v>
      </c>
      <c r="I12305">
        <v>24</v>
      </c>
      <c r="J12305">
        <v>0</v>
      </c>
      <c r="K12305" t="str">
        <f t="shared" si="2204"/>
        <v>801</v>
      </c>
      <c r="L12305">
        <v>20.16</v>
      </c>
    </row>
    <row r="12306" spans="1:12" x14ac:dyDescent="0.25">
      <c r="A12306" t="str">
        <f t="shared" si="2200"/>
        <v>89301000</v>
      </c>
      <c r="B12306" t="str">
        <f t="shared" si="2202"/>
        <v>93501000</v>
      </c>
      <c r="C12306" t="str">
        <f t="shared" si="2203"/>
        <v>93501001</v>
      </c>
      <c r="D12306">
        <v>89301167</v>
      </c>
      <c r="E12306" t="str">
        <f t="shared" si="2201"/>
        <v>6003120068</v>
      </c>
      <c r="F12306" s="1">
        <v>45225</v>
      </c>
      <c r="G12306" t="str">
        <f>"81393"</f>
        <v>81393</v>
      </c>
      <c r="H12306">
        <v>1</v>
      </c>
      <c r="I12306">
        <v>24</v>
      </c>
      <c r="J12306">
        <v>0</v>
      </c>
      <c r="K12306" t="str">
        <f t="shared" si="2204"/>
        <v>801</v>
      </c>
      <c r="L12306">
        <v>20.16</v>
      </c>
    </row>
    <row r="12307" spans="1:12" x14ac:dyDescent="0.25">
      <c r="A12307" t="str">
        <f t="shared" si="2200"/>
        <v>89301000</v>
      </c>
      <c r="B12307" t="str">
        <f t="shared" si="2202"/>
        <v>93501000</v>
      </c>
      <c r="C12307" t="str">
        <f t="shared" si="2203"/>
        <v>93501001</v>
      </c>
      <c r="D12307">
        <v>89301167</v>
      </c>
      <c r="E12307" t="str">
        <f t="shared" si="2201"/>
        <v>6003120068</v>
      </c>
      <c r="F12307" s="1">
        <v>45225</v>
      </c>
      <c r="G12307" t="str">
        <f>"81421"</f>
        <v>81421</v>
      </c>
      <c r="H12307">
        <v>1</v>
      </c>
      <c r="I12307">
        <v>19</v>
      </c>
      <c r="J12307">
        <v>0</v>
      </c>
      <c r="K12307" t="str">
        <f t="shared" si="2204"/>
        <v>801</v>
      </c>
      <c r="L12307">
        <v>15.96</v>
      </c>
    </row>
    <row r="12308" spans="1:12" x14ac:dyDescent="0.25">
      <c r="A12308" t="str">
        <f t="shared" si="2200"/>
        <v>89301000</v>
      </c>
      <c r="B12308" t="str">
        <f t="shared" si="2202"/>
        <v>93501000</v>
      </c>
      <c r="C12308" t="str">
        <f t="shared" si="2203"/>
        <v>93501001</v>
      </c>
      <c r="D12308">
        <v>89301167</v>
      </c>
      <c r="E12308" t="str">
        <f t="shared" si="2201"/>
        <v>6003120068</v>
      </c>
      <c r="F12308" s="1">
        <v>45225</v>
      </c>
      <c r="G12308" t="str">
        <f>"81435"</f>
        <v>81435</v>
      </c>
      <c r="H12308">
        <v>1</v>
      </c>
      <c r="I12308">
        <v>22</v>
      </c>
      <c r="J12308">
        <v>0</v>
      </c>
      <c r="K12308" t="str">
        <f t="shared" si="2204"/>
        <v>801</v>
      </c>
      <c r="L12308">
        <v>18.48</v>
      </c>
    </row>
    <row r="12309" spans="1:12" x14ac:dyDescent="0.25">
      <c r="A12309" t="str">
        <f t="shared" si="2200"/>
        <v>89301000</v>
      </c>
      <c r="B12309" t="str">
        <f t="shared" si="2202"/>
        <v>93501000</v>
      </c>
      <c r="C12309" t="str">
        <f t="shared" si="2203"/>
        <v>93501001</v>
      </c>
      <c r="D12309">
        <v>89301167</v>
      </c>
      <c r="E12309" t="str">
        <f t="shared" si="2201"/>
        <v>6003120068</v>
      </c>
      <c r="F12309" s="1">
        <v>45225</v>
      </c>
      <c r="G12309" t="str">
        <f>"81439"</f>
        <v>81439</v>
      </c>
      <c r="H12309">
        <v>1</v>
      </c>
      <c r="I12309">
        <v>16</v>
      </c>
      <c r="J12309">
        <v>0</v>
      </c>
      <c r="K12309" t="str">
        <f t="shared" si="2204"/>
        <v>801</v>
      </c>
      <c r="L12309">
        <v>13.44</v>
      </c>
    </row>
    <row r="12310" spans="1:12" x14ac:dyDescent="0.25">
      <c r="A12310" t="str">
        <f t="shared" si="2200"/>
        <v>89301000</v>
      </c>
      <c r="B12310" t="str">
        <f t="shared" si="2202"/>
        <v>93501000</v>
      </c>
      <c r="C12310" t="str">
        <f t="shared" si="2203"/>
        <v>93501001</v>
      </c>
      <c r="D12310">
        <v>89301167</v>
      </c>
      <c r="E12310" t="str">
        <f t="shared" si="2201"/>
        <v>6003120068</v>
      </c>
      <c r="F12310" s="1">
        <v>45225</v>
      </c>
      <c r="G12310" t="str">
        <f>"81469"</f>
        <v>81469</v>
      </c>
      <c r="H12310">
        <v>1</v>
      </c>
      <c r="I12310">
        <v>16</v>
      </c>
      <c r="J12310">
        <v>0</v>
      </c>
      <c r="K12310" t="str">
        <f t="shared" si="2204"/>
        <v>801</v>
      </c>
      <c r="L12310">
        <v>13.44</v>
      </c>
    </row>
    <row r="12311" spans="1:12" x14ac:dyDescent="0.25">
      <c r="A12311" t="str">
        <f t="shared" si="2200"/>
        <v>89301000</v>
      </c>
      <c r="B12311" t="str">
        <f t="shared" si="2202"/>
        <v>93501000</v>
      </c>
      <c r="C12311" t="str">
        <f t="shared" si="2203"/>
        <v>93501001</v>
      </c>
      <c r="D12311">
        <v>89301167</v>
      </c>
      <c r="E12311" t="str">
        <f t="shared" si="2201"/>
        <v>6003120068</v>
      </c>
      <c r="F12311" s="1">
        <v>45225</v>
      </c>
      <c r="G12311" t="str">
        <f>"81499"</f>
        <v>81499</v>
      </c>
      <c r="H12311">
        <v>1</v>
      </c>
      <c r="I12311">
        <v>18</v>
      </c>
      <c r="J12311">
        <v>0</v>
      </c>
      <c r="K12311" t="str">
        <f t="shared" si="2204"/>
        <v>801</v>
      </c>
      <c r="L12311">
        <v>15.12</v>
      </c>
    </row>
    <row r="12312" spans="1:12" x14ac:dyDescent="0.25">
      <c r="A12312" t="str">
        <f t="shared" si="2200"/>
        <v>89301000</v>
      </c>
      <c r="B12312" t="str">
        <f t="shared" si="2202"/>
        <v>93501000</v>
      </c>
      <c r="C12312" t="str">
        <f t="shared" si="2203"/>
        <v>93501001</v>
      </c>
      <c r="D12312">
        <v>89301167</v>
      </c>
      <c r="E12312" t="str">
        <f t="shared" si="2201"/>
        <v>6003120068</v>
      </c>
      <c r="F12312" s="1">
        <v>45225</v>
      </c>
      <c r="G12312" t="str">
        <f>"81593"</f>
        <v>81593</v>
      </c>
      <c r="H12312">
        <v>1</v>
      </c>
      <c r="I12312">
        <v>22</v>
      </c>
      <c r="J12312">
        <v>0</v>
      </c>
      <c r="K12312" t="str">
        <f t="shared" si="2204"/>
        <v>801</v>
      </c>
      <c r="L12312">
        <v>18.48</v>
      </c>
    </row>
    <row r="12313" spans="1:12" x14ac:dyDescent="0.25">
      <c r="A12313" t="str">
        <f t="shared" si="2200"/>
        <v>89301000</v>
      </c>
      <c r="B12313" t="str">
        <f t="shared" si="2202"/>
        <v>93501000</v>
      </c>
      <c r="C12313" t="str">
        <f t="shared" si="2203"/>
        <v>93501001</v>
      </c>
      <c r="D12313">
        <v>89301167</v>
      </c>
      <c r="E12313" t="str">
        <f t="shared" si="2201"/>
        <v>6003120068</v>
      </c>
      <c r="F12313" s="1">
        <v>45225</v>
      </c>
      <c r="G12313" t="str">
        <f>"81621"</f>
        <v>81621</v>
      </c>
      <c r="H12313">
        <v>1</v>
      </c>
      <c r="I12313">
        <v>19</v>
      </c>
      <c r="J12313">
        <v>0</v>
      </c>
      <c r="K12313" t="str">
        <f t="shared" si="2204"/>
        <v>801</v>
      </c>
      <c r="L12313">
        <v>15.96</v>
      </c>
    </row>
    <row r="12314" spans="1:12" x14ac:dyDescent="0.25">
      <c r="A12314" t="str">
        <f t="shared" si="2200"/>
        <v>89301000</v>
      </c>
      <c r="B12314" t="str">
        <f t="shared" si="2202"/>
        <v>93501000</v>
      </c>
      <c r="C12314" t="str">
        <f t="shared" si="2203"/>
        <v>93501001</v>
      </c>
      <c r="D12314">
        <v>89301167</v>
      </c>
      <c r="E12314" t="str">
        <f t="shared" si="2201"/>
        <v>6003120068</v>
      </c>
      <c r="F12314" s="1">
        <v>45225</v>
      </c>
      <c r="G12314" t="str">
        <f>"91153"</f>
        <v>91153</v>
      </c>
      <c r="H12314">
        <v>1</v>
      </c>
      <c r="I12314">
        <v>153</v>
      </c>
      <c r="J12314">
        <v>0</v>
      </c>
      <c r="K12314" t="str">
        <f t="shared" si="2204"/>
        <v>801</v>
      </c>
      <c r="L12314">
        <v>128.52000000000001</v>
      </c>
    </row>
    <row r="12315" spans="1:12" x14ac:dyDescent="0.25">
      <c r="A12315" t="str">
        <f t="shared" si="2200"/>
        <v>89301000</v>
      </c>
      <c r="B12315" t="str">
        <f t="shared" si="2202"/>
        <v>93501000</v>
      </c>
      <c r="C12315" t="str">
        <f t="shared" si="2203"/>
        <v>93501001</v>
      </c>
      <c r="D12315">
        <v>89301167</v>
      </c>
      <c r="E12315" t="str">
        <f t="shared" si="2201"/>
        <v>6003120068</v>
      </c>
      <c r="F12315" s="1">
        <v>45225</v>
      </c>
      <c r="G12315" t="str">
        <f>"93189"</f>
        <v>93189</v>
      </c>
      <c r="H12315">
        <v>1</v>
      </c>
      <c r="I12315">
        <v>191</v>
      </c>
      <c r="J12315">
        <v>0</v>
      </c>
      <c r="K12315" t="str">
        <f t="shared" si="2204"/>
        <v>801</v>
      </c>
      <c r="L12315">
        <v>160.44</v>
      </c>
    </row>
    <row r="12316" spans="1:12" x14ac:dyDescent="0.25">
      <c r="A12316" t="str">
        <f t="shared" si="2200"/>
        <v>89301000</v>
      </c>
      <c r="B12316" t="str">
        <f t="shared" si="2202"/>
        <v>93501000</v>
      </c>
      <c r="C12316" t="str">
        <f t="shared" si="2203"/>
        <v>93501001</v>
      </c>
      <c r="D12316">
        <v>89301167</v>
      </c>
      <c r="E12316" t="str">
        <f t="shared" si="2201"/>
        <v>6003120068</v>
      </c>
      <c r="F12316" s="1">
        <v>45225</v>
      </c>
      <c r="G12316" t="str">
        <f>"93195"</f>
        <v>93195</v>
      </c>
      <c r="H12316">
        <v>1</v>
      </c>
      <c r="I12316">
        <v>183</v>
      </c>
      <c r="J12316">
        <v>0</v>
      </c>
      <c r="K12316" t="str">
        <f t="shared" si="2204"/>
        <v>801</v>
      </c>
      <c r="L12316">
        <v>153.72</v>
      </c>
    </row>
    <row r="12317" spans="1:12" x14ac:dyDescent="0.25">
      <c r="A12317" t="str">
        <f t="shared" si="2200"/>
        <v>89301000</v>
      </c>
      <c r="B12317" t="str">
        <f t="shared" si="2202"/>
        <v>93501000</v>
      </c>
      <c r="C12317" t="str">
        <f t="shared" si="2203"/>
        <v>93501001</v>
      </c>
      <c r="D12317">
        <v>89301167</v>
      </c>
      <c r="E12317" t="str">
        <f t="shared" si="2201"/>
        <v>6003120068</v>
      </c>
      <c r="F12317" s="1">
        <v>45225</v>
      </c>
      <c r="G12317" t="str">
        <f>"97111"</f>
        <v>97111</v>
      </c>
      <c r="H12317">
        <v>1</v>
      </c>
      <c r="I12317">
        <v>19</v>
      </c>
      <c r="J12317">
        <v>0</v>
      </c>
      <c r="K12317" t="str">
        <f t="shared" si="2204"/>
        <v>801</v>
      </c>
      <c r="L12317">
        <v>23.94</v>
      </c>
    </row>
    <row r="12318" spans="1:12" x14ac:dyDescent="0.25">
      <c r="A12318" t="str">
        <f t="shared" si="2200"/>
        <v>89301000</v>
      </c>
      <c r="B12318" t="str">
        <f t="shared" si="2202"/>
        <v>93501000</v>
      </c>
      <c r="C12318" t="str">
        <f>"93501003"</f>
        <v>93501003</v>
      </c>
      <c r="D12318">
        <v>89301082</v>
      </c>
      <c r="E12318" t="str">
        <f>"8655286211"</f>
        <v>8655286211</v>
      </c>
      <c r="F12318" s="1">
        <v>45222</v>
      </c>
      <c r="G12318" t="str">
        <f>"09119"</f>
        <v>09119</v>
      </c>
      <c r="H12318">
        <v>1</v>
      </c>
      <c r="I12318">
        <v>43</v>
      </c>
      <c r="J12318">
        <v>0</v>
      </c>
      <c r="K12318" t="str">
        <f t="shared" si="2204"/>
        <v>801</v>
      </c>
      <c r="L12318">
        <v>54.18</v>
      </c>
    </row>
    <row r="12319" spans="1:12" x14ac:dyDescent="0.25">
      <c r="A12319" t="str">
        <f t="shared" si="2200"/>
        <v>89301000</v>
      </c>
      <c r="B12319" t="str">
        <f t="shared" si="2202"/>
        <v>93501000</v>
      </c>
      <c r="C12319" t="str">
        <f>"93501001"</f>
        <v>93501001</v>
      </c>
      <c r="D12319">
        <v>89301082</v>
      </c>
      <c r="E12319" t="str">
        <f>"8655286211"</f>
        <v>8655286211</v>
      </c>
      <c r="F12319" s="1">
        <v>45222</v>
      </c>
      <c r="G12319" t="str">
        <f>"93159"</f>
        <v>93159</v>
      </c>
      <c r="H12319">
        <v>1</v>
      </c>
      <c r="I12319">
        <v>197</v>
      </c>
      <c r="J12319">
        <v>0</v>
      </c>
      <c r="K12319" t="str">
        <f t="shared" si="2204"/>
        <v>801</v>
      </c>
      <c r="L12319">
        <v>165.48</v>
      </c>
    </row>
    <row r="12320" spans="1:12" x14ac:dyDescent="0.25">
      <c r="A12320" t="str">
        <f t="shared" si="2200"/>
        <v>89301000</v>
      </c>
      <c r="B12320" t="str">
        <f t="shared" si="2202"/>
        <v>93501000</v>
      </c>
      <c r="C12320" t="str">
        <f>"93501001"</f>
        <v>93501001</v>
      </c>
      <c r="D12320">
        <v>89301082</v>
      </c>
      <c r="E12320" t="str">
        <f>"8655286211"</f>
        <v>8655286211</v>
      </c>
      <c r="F12320" s="1">
        <v>45222</v>
      </c>
      <c r="G12320" t="str">
        <f>"97111"</f>
        <v>97111</v>
      </c>
      <c r="H12320">
        <v>1</v>
      </c>
      <c r="I12320">
        <v>19</v>
      </c>
      <c r="J12320">
        <v>0</v>
      </c>
      <c r="K12320" t="str">
        <f t="shared" si="2204"/>
        <v>801</v>
      </c>
      <c r="L12320">
        <v>23.94</v>
      </c>
    </row>
    <row r="12321" spans="1:12" x14ac:dyDescent="0.25">
      <c r="A12321" t="str">
        <f t="shared" si="2200"/>
        <v>89301000</v>
      </c>
      <c r="B12321" t="str">
        <f t="shared" si="2202"/>
        <v>93501000</v>
      </c>
      <c r="C12321" t="str">
        <f t="shared" ref="C12321:C12330" si="2205">"93501005"</f>
        <v>93501005</v>
      </c>
      <c r="D12321">
        <v>89301167</v>
      </c>
      <c r="E12321" t="str">
        <f t="shared" ref="E12321:E12328" si="2206">"470127462"</f>
        <v>470127462</v>
      </c>
      <c r="F12321" s="1">
        <v>45203</v>
      </c>
      <c r="G12321" t="str">
        <f>"96167"</f>
        <v>96167</v>
      </c>
      <c r="H12321">
        <v>1</v>
      </c>
      <c r="I12321">
        <v>67</v>
      </c>
      <c r="J12321">
        <v>0</v>
      </c>
      <c r="K12321" t="str">
        <f t="shared" ref="K12321:K12330" si="2207">"818"</f>
        <v>818</v>
      </c>
      <c r="L12321">
        <v>64.989999999999995</v>
      </c>
    </row>
    <row r="12322" spans="1:12" x14ac:dyDescent="0.25">
      <c r="A12322" t="str">
        <f t="shared" si="2200"/>
        <v>89301000</v>
      </c>
      <c r="B12322" t="str">
        <f t="shared" si="2202"/>
        <v>93501000</v>
      </c>
      <c r="C12322" t="str">
        <f t="shared" si="2205"/>
        <v>93501005</v>
      </c>
      <c r="D12322">
        <v>89301167</v>
      </c>
      <c r="E12322" t="str">
        <f t="shared" si="2206"/>
        <v>470127462</v>
      </c>
      <c r="F12322" s="1">
        <v>45203</v>
      </c>
      <c r="G12322" t="str">
        <f>"96315"</f>
        <v>96315</v>
      </c>
      <c r="H12322">
        <v>1</v>
      </c>
      <c r="I12322">
        <v>30</v>
      </c>
      <c r="J12322">
        <v>0</v>
      </c>
      <c r="K12322" t="str">
        <f t="shared" si="2207"/>
        <v>818</v>
      </c>
      <c r="L12322">
        <v>29.1</v>
      </c>
    </row>
    <row r="12323" spans="1:12" x14ac:dyDescent="0.25">
      <c r="A12323" t="str">
        <f t="shared" si="2200"/>
        <v>89301000</v>
      </c>
      <c r="B12323" t="str">
        <f t="shared" si="2202"/>
        <v>93501000</v>
      </c>
      <c r="C12323" t="str">
        <f t="shared" si="2205"/>
        <v>93501005</v>
      </c>
      <c r="D12323">
        <v>89301167</v>
      </c>
      <c r="E12323" t="str">
        <f t="shared" si="2206"/>
        <v>470127462</v>
      </c>
      <c r="F12323" s="1">
        <v>45203</v>
      </c>
      <c r="G12323" t="str">
        <f>"96711"</f>
        <v>96711</v>
      </c>
      <c r="H12323">
        <v>1</v>
      </c>
      <c r="I12323">
        <v>28</v>
      </c>
      <c r="J12323">
        <v>0</v>
      </c>
      <c r="K12323" t="str">
        <f t="shared" si="2207"/>
        <v>818</v>
      </c>
      <c r="L12323">
        <v>27.16</v>
      </c>
    </row>
    <row r="12324" spans="1:12" x14ac:dyDescent="0.25">
      <c r="A12324" t="str">
        <f t="shared" si="2200"/>
        <v>89301000</v>
      </c>
      <c r="B12324" t="str">
        <f t="shared" si="2202"/>
        <v>93501000</v>
      </c>
      <c r="C12324" t="str">
        <f t="shared" si="2205"/>
        <v>93501005</v>
      </c>
      <c r="D12324">
        <v>89301167</v>
      </c>
      <c r="E12324" t="str">
        <f t="shared" si="2206"/>
        <v>470127462</v>
      </c>
      <c r="F12324" s="1">
        <v>45203</v>
      </c>
      <c r="G12324" t="str">
        <f>"96713"</f>
        <v>96713</v>
      </c>
      <c r="H12324">
        <v>1</v>
      </c>
      <c r="I12324">
        <v>14</v>
      </c>
      <c r="J12324">
        <v>0</v>
      </c>
      <c r="K12324" t="str">
        <f t="shared" si="2207"/>
        <v>818</v>
      </c>
      <c r="L12324">
        <v>13.58</v>
      </c>
    </row>
    <row r="12325" spans="1:12" x14ac:dyDescent="0.25">
      <c r="A12325" t="str">
        <f t="shared" si="2200"/>
        <v>89301000</v>
      </c>
      <c r="B12325" t="str">
        <f t="shared" si="2202"/>
        <v>93501000</v>
      </c>
      <c r="C12325" t="str">
        <f t="shared" si="2205"/>
        <v>93501005</v>
      </c>
      <c r="D12325">
        <v>89301167</v>
      </c>
      <c r="E12325" t="str">
        <f t="shared" si="2206"/>
        <v>470127462</v>
      </c>
      <c r="F12325" s="1">
        <v>45224</v>
      </c>
      <c r="G12325" t="str">
        <f>"96167"</f>
        <v>96167</v>
      </c>
      <c r="H12325">
        <v>1</v>
      </c>
      <c r="I12325">
        <v>67</v>
      </c>
      <c r="J12325">
        <v>0</v>
      </c>
      <c r="K12325" t="str">
        <f t="shared" si="2207"/>
        <v>818</v>
      </c>
      <c r="L12325">
        <v>64.989999999999995</v>
      </c>
    </row>
    <row r="12326" spans="1:12" x14ac:dyDescent="0.25">
      <c r="A12326" t="str">
        <f t="shared" si="2200"/>
        <v>89301000</v>
      </c>
      <c r="B12326" t="str">
        <f t="shared" si="2202"/>
        <v>93501000</v>
      </c>
      <c r="C12326" t="str">
        <f t="shared" si="2205"/>
        <v>93501005</v>
      </c>
      <c r="D12326">
        <v>89301167</v>
      </c>
      <c r="E12326" t="str">
        <f t="shared" si="2206"/>
        <v>470127462</v>
      </c>
      <c r="F12326" s="1">
        <v>45224</v>
      </c>
      <c r="G12326" t="str">
        <f>"96315"</f>
        <v>96315</v>
      </c>
      <c r="H12326">
        <v>1</v>
      </c>
      <c r="I12326">
        <v>30</v>
      </c>
      <c r="J12326">
        <v>0</v>
      </c>
      <c r="K12326" t="str">
        <f t="shared" si="2207"/>
        <v>818</v>
      </c>
      <c r="L12326">
        <v>29.1</v>
      </c>
    </row>
    <row r="12327" spans="1:12" x14ac:dyDescent="0.25">
      <c r="A12327" t="str">
        <f t="shared" si="2200"/>
        <v>89301000</v>
      </c>
      <c r="B12327" t="str">
        <f t="shared" si="2202"/>
        <v>93501000</v>
      </c>
      <c r="C12327" t="str">
        <f t="shared" si="2205"/>
        <v>93501005</v>
      </c>
      <c r="D12327">
        <v>89301167</v>
      </c>
      <c r="E12327" t="str">
        <f t="shared" si="2206"/>
        <v>470127462</v>
      </c>
      <c r="F12327" s="1">
        <v>45224</v>
      </c>
      <c r="G12327" t="str">
        <f>"96711"</f>
        <v>96711</v>
      </c>
      <c r="H12327">
        <v>1</v>
      </c>
      <c r="I12327">
        <v>28</v>
      </c>
      <c r="J12327">
        <v>0</v>
      </c>
      <c r="K12327" t="str">
        <f t="shared" si="2207"/>
        <v>818</v>
      </c>
      <c r="L12327">
        <v>27.16</v>
      </c>
    </row>
    <row r="12328" spans="1:12" x14ac:dyDescent="0.25">
      <c r="A12328" t="str">
        <f t="shared" si="2200"/>
        <v>89301000</v>
      </c>
      <c r="B12328" t="str">
        <f t="shared" si="2202"/>
        <v>93501000</v>
      </c>
      <c r="C12328" t="str">
        <f t="shared" si="2205"/>
        <v>93501005</v>
      </c>
      <c r="D12328">
        <v>89301167</v>
      </c>
      <c r="E12328" t="str">
        <f t="shared" si="2206"/>
        <v>470127462</v>
      </c>
      <c r="F12328" s="1">
        <v>45224</v>
      </c>
      <c r="G12328" t="str">
        <f>"96713"</f>
        <v>96713</v>
      </c>
      <c r="H12328">
        <v>1</v>
      </c>
      <c r="I12328">
        <v>14</v>
      </c>
      <c r="J12328">
        <v>0</v>
      </c>
      <c r="K12328" t="str">
        <f t="shared" si="2207"/>
        <v>818</v>
      </c>
      <c r="L12328">
        <v>13.58</v>
      </c>
    </row>
    <row r="12329" spans="1:12" x14ac:dyDescent="0.25">
      <c r="A12329" t="str">
        <f t="shared" si="2200"/>
        <v>89301000</v>
      </c>
      <c r="B12329" t="str">
        <f t="shared" si="2202"/>
        <v>93501000</v>
      </c>
      <c r="C12329" t="str">
        <f t="shared" si="2205"/>
        <v>93501005</v>
      </c>
      <c r="D12329">
        <v>89301167</v>
      </c>
      <c r="E12329" t="str">
        <f>"420102444"</f>
        <v>420102444</v>
      </c>
      <c r="F12329" s="1">
        <v>45211</v>
      </c>
      <c r="G12329" t="str">
        <f>"96167"</f>
        <v>96167</v>
      </c>
      <c r="H12329">
        <v>1</v>
      </c>
      <c r="I12329">
        <v>67</v>
      </c>
      <c r="J12329">
        <v>0</v>
      </c>
      <c r="K12329" t="str">
        <f t="shared" si="2207"/>
        <v>818</v>
      </c>
      <c r="L12329">
        <v>64.989999999999995</v>
      </c>
    </row>
    <row r="12330" spans="1:12" x14ac:dyDescent="0.25">
      <c r="A12330" t="str">
        <f t="shared" si="2200"/>
        <v>89301000</v>
      </c>
      <c r="B12330" t="str">
        <f t="shared" si="2202"/>
        <v>93501000</v>
      </c>
      <c r="C12330" t="str">
        <f t="shared" si="2205"/>
        <v>93501005</v>
      </c>
      <c r="D12330">
        <v>89301167</v>
      </c>
      <c r="E12330" t="str">
        <f>"6003120068"</f>
        <v>6003120068</v>
      </c>
      <c r="F12330" s="1">
        <v>45225</v>
      </c>
      <c r="G12330" t="str">
        <f>"96167"</f>
        <v>96167</v>
      </c>
      <c r="H12330">
        <v>1</v>
      </c>
      <c r="I12330">
        <v>67</v>
      </c>
      <c r="J12330">
        <v>0</v>
      </c>
      <c r="K12330" t="str">
        <f t="shared" si="2207"/>
        <v>818</v>
      </c>
      <c r="L12330">
        <v>64.989999999999995</v>
      </c>
    </row>
    <row r="12331" spans="1:12" x14ac:dyDescent="0.25">
      <c r="A12331" t="str">
        <f t="shared" si="2200"/>
        <v>89301000</v>
      </c>
      <c r="B12331" t="str">
        <f t="shared" ref="B12331:C12339" si="2208">"89345401"</f>
        <v>89345401</v>
      </c>
      <c r="C12331" t="str">
        <f t="shared" si="2208"/>
        <v>89345401</v>
      </c>
      <c r="D12331">
        <v>89301212</v>
      </c>
      <c r="E12331" t="str">
        <f>"405713420"</f>
        <v>405713420</v>
      </c>
      <c r="F12331" s="1">
        <v>45215</v>
      </c>
      <c r="G12331" t="str">
        <f>"89513"</f>
        <v>89513</v>
      </c>
      <c r="H12331">
        <v>1</v>
      </c>
      <c r="I12331">
        <v>378</v>
      </c>
      <c r="J12331">
        <v>0</v>
      </c>
      <c r="K12331" t="str">
        <f t="shared" ref="K12331:K12362" si="2209">"809"</f>
        <v>809</v>
      </c>
      <c r="L12331">
        <v>555.66</v>
      </c>
    </row>
    <row r="12332" spans="1:12" x14ac:dyDescent="0.25">
      <c r="A12332" t="str">
        <f t="shared" si="2200"/>
        <v>89301000</v>
      </c>
      <c r="B12332" t="str">
        <f t="shared" si="2208"/>
        <v>89345401</v>
      </c>
      <c r="C12332" t="str">
        <f t="shared" si="2208"/>
        <v>89345401</v>
      </c>
      <c r="D12332">
        <v>89301212</v>
      </c>
      <c r="E12332" t="str">
        <f>"405713420"</f>
        <v>405713420</v>
      </c>
      <c r="F12332" s="1">
        <v>45215</v>
      </c>
      <c r="G12332" t="str">
        <f>"89514"</f>
        <v>89514</v>
      </c>
      <c r="H12332">
        <v>1</v>
      </c>
      <c r="I12332">
        <v>378</v>
      </c>
      <c r="J12332">
        <v>0</v>
      </c>
      <c r="K12332" t="str">
        <f t="shared" si="2209"/>
        <v>809</v>
      </c>
      <c r="L12332">
        <v>555.66</v>
      </c>
    </row>
    <row r="12333" spans="1:12" x14ac:dyDescent="0.25">
      <c r="A12333" t="str">
        <f t="shared" si="2200"/>
        <v>89301000</v>
      </c>
      <c r="B12333" t="str">
        <f t="shared" si="2208"/>
        <v>89345401</v>
      </c>
      <c r="C12333" t="str">
        <f t="shared" si="2208"/>
        <v>89345401</v>
      </c>
      <c r="D12333">
        <v>89301034</v>
      </c>
      <c r="E12333" t="str">
        <f>"7455105339"</f>
        <v>7455105339</v>
      </c>
      <c r="F12333" s="1">
        <v>45224</v>
      </c>
      <c r="G12333" t="str">
        <f>"89513"</f>
        <v>89513</v>
      </c>
      <c r="H12333">
        <v>1</v>
      </c>
      <c r="I12333">
        <v>378</v>
      </c>
      <c r="J12333">
        <v>0</v>
      </c>
      <c r="K12333" t="str">
        <f t="shared" si="2209"/>
        <v>809</v>
      </c>
      <c r="L12333">
        <v>555.66</v>
      </c>
    </row>
    <row r="12334" spans="1:12" x14ac:dyDescent="0.25">
      <c r="A12334" t="str">
        <f t="shared" si="2200"/>
        <v>89301000</v>
      </c>
      <c r="B12334" t="str">
        <f t="shared" si="2208"/>
        <v>89345401</v>
      </c>
      <c r="C12334" t="str">
        <f t="shared" si="2208"/>
        <v>89345401</v>
      </c>
      <c r="D12334">
        <v>89301034</v>
      </c>
      <c r="E12334" t="str">
        <f>"7455105339"</f>
        <v>7455105339</v>
      </c>
      <c r="F12334" s="1">
        <v>45224</v>
      </c>
      <c r="G12334" t="str">
        <f>"89514"</f>
        <v>89514</v>
      </c>
      <c r="H12334">
        <v>1</v>
      </c>
      <c r="I12334">
        <v>378</v>
      </c>
      <c r="J12334">
        <v>0</v>
      </c>
      <c r="K12334" t="str">
        <f t="shared" si="2209"/>
        <v>809</v>
      </c>
      <c r="L12334">
        <v>555.66</v>
      </c>
    </row>
    <row r="12335" spans="1:12" x14ac:dyDescent="0.25">
      <c r="A12335" t="str">
        <f t="shared" si="2200"/>
        <v>89301000</v>
      </c>
      <c r="B12335" t="str">
        <f t="shared" si="2208"/>
        <v>89345401</v>
      </c>
      <c r="C12335" t="str">
        <f t="shared" si="2208"/>
        <v>89345401</v>
      </c>
      <c r="D12335">
        <v>89301082</v>
      </c>
      <c r="E12335" t="str">
        <f>"9857055571"</f>
        <v>9857055571</v>
      </c>
      <c r="F12335" s="1">
        <v>45226</v>
      </c>
      <c r="G12335" t="str">
        <f>"89513"</f>
        <v>89513</v>
      </c>
      <c r="H12335">
        <v>1</v>
      </c>
      <c r="I12335">
        <v>378</v>
      </c>
      <c r="J12335">
        <v>0</v>
      </c>
      <c r="K12335" t="str">
        <f t="shared" si="2209"/>
        <v>809</v>
      </c>
      <c r="L12335">
        <v>555.66</v>
      </c>
    </row>
    <row r="12336" spans="1:12" x14ac:dyDescent="0.25">
      <c r="A12336" t="str">
        <f t="shared" si="2200"/>
        <v>89301000</v>
      </c>
      <c r="B12336" t="str">
        <f t="shared" si="2208"/>
        <v>89345401</v>
      </c>
      <c r="C12336" t="str">
        <f t="shared" si="2208"/>
        <v>89345401</v>
      </c>
      <c r="D12336">
        <v>89301082</v>
      </c>
      <c r="E12336" t="str">
        <f>"9857055571"</f>
        <v>9857055571</v>
      </c>
      <c r="F12336" s="1">
        <v>45226</v>
      </c>
      <c r="G12336" t="str">
        <f>"89514"</f>
        <v>89514</v>
      </c>
      <c r="H12336">
        <v>1</v>
      </c>
      <c r="I12336">
        <v>378</v>
      </c>
      <c r="J12336">
        <v>0</v>
      </c>
      <c r="K12336" t="str">
        <f t="shared" si="2209"/>
        <v>809</v>
      </c>
      <c r="L12336">
        <v>555.66</v>
      </c>
    </row>
    <row r="12337" spans="1:12" x14ac:dyDescent="0.25">
      <c r="A12337" t="str">
        <f t="shared" si="2200"/>
        <v>89301000</v>
      </c>
      <c r="B12337" t="str">
        <f t="shared" si="2208"/>
        <v>89345401</v>
      </c>
      <c r="C12337" t="str">
        <f t="shared" si="2208"/>
        <v>89345401</v>
      </c>
      <c r="D12337">
        <v>89301274</v>
      </c>
      <c r="E12337" t="str">
        <f>"7112245316"</f>
        <v>7112245316</v>
      </c>
      <c r="F12337" s="1">
        <v>45212</v>
      </c>
      <c r="G12337" t="str">
        <f>"89513"</f>
        <v>89513</v>
      </c>
      <c r="H12337">
        <v>1</v>
      </c>
      <c r="I12337">
        <v>378</v>
      </c>
      <c r="J12337">
        <v>0</v>
      </c>
      <c r="K12337" t="str">
        <f t="shared" si="2209"/>
        <v>809</v>
      </c>
      <c r="L12337">
        <v>555.66</v>
      </c>
    </row>
    <row r="12338" spans="1:12" x14ac:dyDescent="0.25">
      <c r="A12338" t="str">
        <f t="shared" si="2200"/>
        <v>89301000</v>
      </c>
      <c r="B12338" t="str">
        <f t="shared" si="2208"/>
        <v>89345401</v>
      </c>
      <c r="C12338" t="str">
        <f t="shared" si="2208"/>
        <v>89345401</v>
      </c>
      <c r="D12338">
        <v>89301274</v>
      </c>
      <c r="E12338" t="str">
        <f>"7112245316"</f>
        <v>7112245316</v>
      </c>
      <c r="F12338" s="1">
        <v>45212</v>
      </c>
      <c r="G12338" t="str">
        <f>"89514"</f>
        <v>89514</v>
      </c>
      <c r="H12338">
        <v>1</v>
      </c>
      <c r="I12338">
        <v>378</v>
      </c>
      <c r="J12338">
        <v>0</v>
      </c>
      <c r="K12338" t="str">
        <f t="shared" si="2209"/>
        <v>809</v>
      </c>
      <c r="L12338">
        <v>555.66</v>
      </c>
    </row>
    <row r="12339" spans="1:12" x14ac:dyDescent="0.25">
      <c r="A12339" t="str">
        <f t="shared" si="2200"/>
        <v>89301000</v>
      </c>
      <c r="B12339" t="str">
        <f t="shared" si="2208"/>
        <v>89345401</v>
      </c>
      <c r="C12339" t="str">
        <f t="shared" si="2208"/>
        <v>89345401</v>
      </c>
      <c r="D12339">
        <v>89301212</v>
      </c>
      <c r="E12339" t="str">
        <f>"6062261293"</f>
        <v>6062261293</v>
      </c>
      <c r="F12339" s="1">
        <v>45226</v>
      </c>
      <c r="G12339" t="str">
        <f>"89513"</f>
        <v>89513</v>
      </c>
      <c r="H12339">
        <v>1</v>
      </c>
      <c r="I12339">
        <v>378</v>
      </c>
      <c r="J12339">
        <v>0</v>
      </c>
      <c r="K12339" t="str">
        <f t="shared" si="2209"/>
        <v>809</v>
      </c>
      <c r="L12339">
        <v>555.66</v>
      </c>
    </row>
    <row r="12340" spans="1:12" x14ac:dyDescent="0.25">
      <c r="A12340" t="str">
        <f t="shared" si="2200"/>
        <v>89301000</v>
      </c>
      <c r="B12340" t="str">
        <f t="shared" ref="B12340:B12346" si="2210">"78610000"</f>
        <v>78610000</v>
      </c>
      <c r="C12340" t="str">
        <f t="shared" ref="C12340:C12346" si="2211">"78610001"</f>
        <v>78610001</v>
      </c>
      <c r="D12340">
        <v>89301056</v>
      </c>
      <c r="E12340" t="str">
        <f>"500322182"</f>
        <v>500322182</v>
      </c>
      <c r="F12340" s="1">
        <v>45202</v>
      </c>
      <c r="G12340" t="str">
        <f t="shared" ref="G12340:G12346" si="2212">"89517"</f>
        <v>89517</v>
      </c>
      <c r="H12340">
        <v>1</v>
      </c>
      <c r="I12340">
        <v>994</v>
      </c>
      <c r="J12340">
        <v>0</v>
      </c>
      <c r="K12340" t="str">
        <f t="shared" si="2209"/>
        <v>809</v>
      </c>
      <c r="L12340">
        <v>1461.18</v>
      </c>
    </row>
    <row r="12341" spans="1:12" x14ac:dyDescent="0.25">
      <c r="A12341" t="str">
        <f t="shared" si="2200"/>
        <v>89301000</v>
      </c>
      <c r="B12341" t="str">
        <f t="shared" si="2210"/>
        <v>78610000</v>
      </c>
      <c r="C12341" t="str">
        <f t="shared" si="2211"/>
        <v>78610001</v>
      </c>
      <c r="D12341">
        <v>89301056</v>
      </c>
      <c r="E12341" t="str">
        <f>"500322182"</f>
        <v>500322182</v>
      </c>
      <c r="F12341" s="1">
        <v>45224</v>
      </c>
      <c r="G12341" t="str">
        <f t="shared" si="2212"/>
        <v>89517</v>
      </c>
      <c r="H12341">
        <v>1</v>
      </c>
      <c r="I12341">
        <v>994</v>
      </c>
      <c r="J12341">
        <v>0</v>
      </c>
      <c r="K12341" t="str">
        <f t="shared" si="2209"/>
        <v>809</v>
      </c>
      <c r="L12341">
        <v>1461.18</v>
      </c>
    </row>
    <row r="12342" spans="1:12" x14ac:dyDescent="0.25">
      <c r="A12342" t="str">
        <f t="shared" si="2200"/>
        <v>89301000</v>
      </c>
      <c r="B12342" t="str">
        <f t="shared" si="2210"/>
        <v>78610000</v>
      </c>
      <c r="C12342" t="str">
        <f t="shared" si="2211"/>
        <v>78610001</v>
      </c>
      <c r="D12342">
        <v>89301055</v>
      </c>
      <c r="E12342" t="str">
        <f>"521116055"</f>
        <v>521116055</v>
      </c>
      <c r="F12342" s="1">
        <v>45209</v>
      </c>
      <c r="G12342" t="str">
        <f t="shared" si="2212"/>
        <v>89517</v>
      </c>
      <c r="H12342">
        <v>1</v>
      </c>
      <c r="I12342">
        <v>994</v>
      </c>
      <c r="J12342">
        <v>0</v>
      </c>
      <c r="K12342" t="str">
        <f t="shared" si="2209"/>
        <v>809</v>
      </c>
      <c r="L12342">
        <v>1461.18</v>
      </c>
    </row>
    <row r="12343" spans="1:12" x14ac:dyDescent="0.25">
      <c r="A12343" t="str">
        <f t="shared" si="2200"/>
        <v>89301000</v>
      </c>
      <c r="B12343" t="str">
        <f t="shared" si="2210"/>
        <v>78610000</v>
      </c>
      <c r="C12343" t="str">
        <f t="shared" si="2211"/>
        <v>78610001</v>
      </c>
      <c r="D12343">
        <v>89301055</v>
      </c>
      <c r="E12343" t="str">
        <f>"6702030049"</f>
        <v>6702030049</v>
      </c>
      <c r="F12343" s="1">
        <v>45217</v>
      </c>
      <c r="G12343" t="str">
        <f t="shared" si="2212"/>
        <v>89517</v>
      </c>
      <c r="H12343">
        <v>1</v>
      </c>
      <c r="I12343">
        <v>994</v>
      </c>
      <c r="J12343">
        <v>0</v>
      </c>
      <c r="K12343" t="str">
        <f t="shared" si="2209"/>
        <v>809</v>
      </c>
      <c r="L12343">
        <v>1461.18</v>
      </c>
    </row>
    <row r="12344" spans="1:12" x14ac:dyDescent="0.25">
      <c r="A12344" t="str">
        <f t="shared" si="2200"/>
        <v>89301000</v>
      </c>
      <c r="B12344" t="str">
        <f t="shared" si="2210"/>
        <v>78610000</v>
      </c>
      <c r="C12344" t="str">
        <f t="shared" si="2211"/>
        <v>78610001</v>
      </c>
      <c r="D12344">
        <v>89301055</v>
      </c>
      <c r="E12344" t="str">
        <f>"7154165315"</f>
        <v>7154165315</v>
      </c>
      <c r="F12344" s="1">
        <v>45203</v>
      </c>
      <c r="G12344" t="str">
        <f t="shared" si="2212"/>
        <v>89517</v>
      </c>
      <c r="H12344">
        <v>1</v>
      </c>
      <c r="I12344">
        <v>994</v>
      </c>
      <c r="J12344">
        <v>0</v>
      </c>
      <c r="K12344" t="str">
        <f t="shared" si="2209"/>
        <v>809</v>
      </c>
      <c r="L12344">
        <v>1461.18</v>
      </c>
    </row>
    <row r="12345" spans="1:12" x14ac:dyDescent="0.25">
      <c r="A12345" t="str">
        <f t="shared" si="2200"/>
        <v>89301000</v>
      </c>
      <c r="B12345" t="str">
        <f t="shared" si="2210"/>
        <v>78610000</v>
      </c>
      <c r="C12345" t="str">
        <f t="shared" si="2211"/>
        <v>78610001</v>
      </c>
      <c r="D12345">
        <v>89301055</v>
      </c>
      <c r="E12345" t="str">
        <f>"7459055351"</f>
        <v>7459055351</v>
      </c>
      <c r="F12345" s="1">
        <v>45209</v>
      </c>
      <c r="G12345" t="str">
        <f t="shared" si="2212"/>
        <v>89517</v>
      </c>
      <c r="H12345">
        <v>1</v>
      </c>
      <c r="I12345">
        <v>994</v>
      </c>
      <c r="J12345">
        <v>0</v>
      </c>
      <c r="K12345" t="str">
        <f t="shared" si="2209"/>
        <v>809</v>
      </c>
      <c r="L12345">
        <v>1461.18</v>
      </c>
    </row>
    <row r="12346" spans="1:12" x14ac:dyDescent="0.25">
      <c r="A12346" t="str">
        <f t="shared" si="2200"/>
        <v>89301000</v>
      </c>
      <c r="B12346" t="str">
        <f t="shared" si="2210"/>
        <v>78610000</v>
      </c>
      <c r="C12346" t="str">
        <f t="shared" si="2211"/>
        <v>78610001</v>
      </c>
      <c r="D12346">
        <v>89301055</v>
      </c>
      <c r="E12346" t="str">
        <f>"8062295813"</f>
        <v>8062295813</v>
      </c>
      <c r="F12346" s="1">
        <v>45209</v>
      </c>
      <c r="G12346" t="str">
        <f t="shared" si="2212"/>
        <v>89517</v>
      </c>
      <c r="H12346">
        <v>1</v>
      </c>
      <c r="I12346">
        <v>994</v>
      </c>
      <c r="J12346">
        <v>0</v>
      </c>
      <c r="K12346" t="str">
        <f t="shared" si="2209"/>
        <v>809</v>
      </c>
      <c r="L12346">
        <v>1461.18</v>
      </c>
    </row>
    <row r="12347" spans="1:12" x14ac:dyDescent="0.25">
      <c r="A12347" t="str">
        <f t="shared" si="2200"/>
        <v>89301000</v>
      </c>
      <c r="B12347" t="str">
        <f t="shared" ref="B12347:B12378" si="2213">"78051000"</f>
        <v>78051000</v>
      </c>
      <c r="C12347" t="str">
        <f t="shared" ref="C12347:C12378" si="2214">"78051004"</f>
        <v>78051004</v>
      </c>
      <c r="D12347">
        <v>89301062</v>
      </c>
      <c r="E12347" t="str">
        <f>"5509281822"</f>
        <v>5509281822</v>
      </c>
      <c r="F12347" s="1">
        <v>45202</v>
      </c>
      <c r="G12347" t="str">
        <f>"89311"</f>
        <v>89311</v>
      </c>
      <c r="H12347">
        <v>1</v>
      </c>
      <c r="I12347">
        <v>970</v>
      </c>
      <c r="J12347">
        <v>0</v>
      </c>
      <c r="K12347" t="str">
        <f t="shared" si="2209"/>
        <v>809</v>
      </c>
      <c r="L12347">
        <v>1425.9</v>
      </c>
    </row>
    <row r="12348" spans="1:12" x14ac:dyDescent="0.25">
      <c r="A12348" t="str">
        <f t="shared" si="2200"/>
        <v>89301000</v>
      </c>
      <c r="B12348" t="str">
        <f t="shared" si="2213"/>
        <v>78051000</v>
      </c>
      <c r="C12348" t="str">
        <f t="shared" si="2214"/>
        <v>78051004</v>
      </c>
      <c r="D12348">
        <v>89301062</v>
      </c>
      <c r="E12348" t="str">
        <f>"5509281822"</f>
        <v>5509281822</v>
      </c>
      <c r="F12348" s="1">
        <v>45202</v>
      </c>
      <c r="G12348" t="str">
        <f>"0090044"</f>
        <v>0090044</v>
      </c>
      <c r="H12348">
        <v>1</v>
      </c>
      <c r="J12348">
        <v>16.8</v>
      </c>
      <c r="K12348" t="str">
        <f t="shared" si="2209"/>
        <v>809</v>
      </c>
      <c r="L12348">
        <v>16.8</v>
      </c>
    </row>
    <row r="12349" spans="1:12" x14ac:dyDescent="0.25">
      <c r="A12349" t="str">
        <f t="shared" si="2200"/>
        <v>89301000</v>
      </c>
      <c r="B12349" t="str">
        <f t="shared" si="2213"/>
        <v>78051000</v>
      </c>
      <c r="C12349" t="str">
        <f t="shared" si="2214"/>
        <v>78051004</v>
      </c>
      <c r="D12349">
        <v>89301062</v>
      </c>
      <c r="E12349" t="str">
        <f>"5509281822"</f>
        <v>5509281822</v>
      </c>
      <c r="F12349" s="1">
        <v>45202</v>
      </c>
      <c r="G12349" t="str">
        <f>"0225891"</f>
        <v>0225891</v>
      </c>
      <c r="H12349">
        <v>0.2</v>
      </c>
      <c r="J12349">
        <v>44.65</v>
      </c>
      <c r="K12349" t="str">
        <f t="shared" si="2209"/>
        <v>809</v>
      </c>
      <c r="L12349">
        <v>44.65</v>
      </c>
    </row>
    <row r="12350" spans="1:12" x14ac:dyDescent="0.25">
      <c r="A12350" t="str">
        <f t="shared" si="2200"/>
        <v>89301000</v>
      </c>
      <c r="B12350" t="str">
        <f t="shared" si="2213"/>
        <v>78051000</v>
      </c>
      <c r="C12350" t="str">
        <f t="shared" si="2214"/>
        <v>78051004</v>
      </c>
      <c r="D12350">
        <v>89301062</v>
      </c>
      <c r="E12350" t="str">
        <f>"5509281822"</f>
        <v>5509281822</v>
      </c>
      <c r="F12350" s="1">
        <v>45202</v>
      </c>
      <c r="G12350" t="str">
        <f>"0096251"</f>
        <v>0096251</v>
      </c>
      <c r="H12350">
        <v>0.17</v>
      </c>
      <c r="J12350">
        <v>198.83</v>
      </c>
      <c r="K12350" t="str">
        <f t="shared" si="2209"/>
        <v>809</v>
      </c>
      <c r="L12350">
        <v>198.83</v>
      </c>
    </row>
    <row r="12351" spans="1:12" x14ac:dyDescent="0.25">
      <c r="A12351" t="str">
        <f t="shared" si="2200"/>
        <v>89301000</v>
      </c>
      <c r="B12351" t="str">
        <f t="shared" si="2213"/>
        <v>78051000</v>
      </c>
      <c r="C12351" t="str">
        <f t="shared" si="2214"/>
        <v>78051004</v>
      </c>
      <c r="D12351">
        <v>89301062</v>
      </c>
      <c r="E12351" t="str">
        <f>"5509281822"</f>
        <v>5509281822</v>
      </c>
      <c r="F12351" s="1">
        <v>45202</v>
      </c>
      <c r="G12351" t="str">
        <f>"0098943"</f>
        <v>0098943</v>
      </c>
      <c r="H12351">
        <v>1</v>
      </c>
      <c r="J12351">
        <v>293.81</v>
      </c>
      <c r="K12351" t="str">
        <f t="shared" si="2209"/>
        <v>809</v>
      </c>
      <c r="L12351">
        <v>293.81</v>
      </c>
    </row>
    <row r="12352" spans="1:12" x14ac:dyDescent="0.25">
      <c r="A12352" t="str">
        <f t="shared" si="2200"/>
        <v>89301000</v>
      </c>
      <c r="B12352" t="str">
        <f t="shared" si="2213"/>
        <v>78051000</v>
      </c>
      <c r="C12352" t="str">
        <f t="shared" si="2214"/>
        <v>78051004</v>
      </c>
      <c r="D12352">
        <v>89301062</v>
      </c>
      <c r="E12352" t="str">
        <f>"6404243120"</f>
        <v>6404243120</v>
      </c>
      <c r="F12352" s="1">
        <v>45202</v>
      </c>
      <c r="G12352" t="str">
        <f>"89311"</f>
        <v>89311</v>
      </c>
      <c r="H12352">
        <v>1</v>
      </c>
      <c r="I12352">
        <v>970</v>
      </c>
      <c r="J12352">
        <v>0</v>
      </c>
      <c r="K12352" t="str">
        <f t="shared" si="2209"/>
        <v>809</v>
      </c>
      <c r="L12352">
        <v>1425.9</v>
      </c>
    </row>
    <row r="12353" spans="1:12" x14ac:dyDescent="0.25">
      <c r="A12353" t="str">
        <f t="shared" si="2200"/>
        <v>89301000</v>
      </c>
      <c r="B12353" t="str">
        <f t="shared" si="2213"/>
        <v>78051000</v>
      </c>
      <c r="C12353" t="str">
        <f t="shared" si="2214"/>
        <v>78051004</v>
      </c>
      <c r="D12353">
        <v>89301062</v>
      </c>
      <c r="E12353" t="str">
        <f>"6404243120"</f>
        <v>6404243120</v>
      </c>
      <c r="F12353" s="1">
        <v>45202</v>
      </c>
      <c r="G12353" t="str">
        <f>"0090044"</f>
        <v>0090044</v>
      </c>
      <c r="H12353">
        <v>1</v>
      </c>
      <c r="J12353">
        <v>16.8</v>
      </c>
      <c r="K12353" t="str">
        <f t="shared" si="2209"/>
        <v>809</v>
      </c>
      <c r="L12353">
        <v>16.8</v>
      </c>
    </row>
    <row r="12354" spans="1:12" x14ac:dyDescent="0.25">
      <c r="A12354" t="str">
        <f t="shared" ref="A12354:A12417" si="2215">"89301000"</f>
        <v>89301000</v>
      </c>
      <c r="B12354" t="str">
        <f t="shared" si="2213"/>
        <v>78051000</v>
      </c>
      <c r="C12354" t="str">
        <f t="shared" si="2214"/>
        <v>78051004</v>
      </c>
      <c r="D12354">
        <v>89301062</v>
      </c>
      <c r="E12354" t="str">
        <f>"6404243120"</f>
        <v>6404243120</v>
      </c>
      <c r="F12354" s="1">
        <v>45202</v>
      </c>
      <c r="G12354" t="str">
        <f>"0225891"</f>
        <v>0225891</v>
      </c>
      <c r="H12354">
        <v>0.2</v>
      </c>
      <c r="J12354">
        <v>44.65</v>
      </c>
      <c r="K12354" t="str">
        <f t="shared" si="2209"/>
        <v>809</v>
      </c>
      <c r="L12354">
        <v>44.65</v>
      </c>
    </row>
    <row r="12355" spans="1:12" x14ac:dyDescent="0.25">
      <c r="A12355" t="str">
        <f t="shared" si="2215"/>
        <v>89301000</v>
      </c>
      <c r="B12355" t="str">
        <f t="shared" si="2213"/>
        <v>78051000</v>
      </c>
      <c r="C12355" t="str">
        <f t="shared" si="2214"/>
        <v>78051004</v>
      </c>
      <c r="D12355">
        <v>89301062</v>
      </c>
      <c r="E12355" t="str">
        <f>"6404243120"</f>
        <v>6404243120</v>
      </c>
      <c r="F12355" s="1">
        <v>45202</v>
      </c>
      <c r="G12355" t="str">
        <f>"0096251"</f>
        <v>0096251</v>
      </c>
      <c r="H12355">
        <v>0.17</v>
      </c>
      <c r="J12355">
        <v>198.83</v>
      </c>
      <c r="K12355" t="str">
        <f t="shared" si="2209"/>
        <v>809</v>
      </c>
      <c r="L12355">
        <v>198.83</v>
      </c>
    </row>
    <row r="12356" spans="1:12" x14ac:dyDescent="0.25">
      <c r="A12356" t="str">
        <f t="shared" si="2215"/>
        <v>89301000</v>
      </c>
      <c r="B12356" t="str">
        <f t="shared" si="2213"/>
        <v>78051000</v>
      </c>
      <c r="C12356" t="str">
        <f t="shared" si="2214"/>
        <v>78051004</v>
      </c>
      <c r="D12356">
        <v>89301062</v>
      </c>
      <c r="E12356" t="str">
        <f>"6404243120"</f>
        <v>6404243120</v>
      </c>
      <c r="F12356" s="1">
        <v>45202</v>
      </c>
      <c r="G12356" t="str">
        <f>"0098943"</f>
        <v>0098943</v>
      </c>
      <c r="H12356">
        <v>1</v>
      </c>
      <c r="J12356">
        <v>293.81</v>
      </c>
      <c r="K12356" t="str">
        <f t="shared" si="2209"/>
        <v>809</v>
      </c>
      <c r="L12356">
        <v>293.81</v>
      </c>
    </row>
    <row r="12357" spans="1:12" x14ac:dyDescent="0.25">
      <c r="A12357" t="str">
        <f t="shared" si="2215"/>
        <v>89301000</v>
      </c>
      <c r="B12357" t="str">
        <f t="shared" si="2213"/>
        <v>78051000</v>
      </c>
      <c r="C12357" t="str">
        <f t="shared" si="2214"/>
        <v>78051004</v>
      </c>
      <c r="D12357">
        <v>89301062</v>
      </c>
      <c r="E12357" t="str">
        <f>"7057295817"</f>
        <v>7057295817</v>
      </c>
      <c r="F12357" s="1">
        <v>45202</v>
      </c>
      <c r="G12357" t="str">
        <f>"89311"</f>
        <v>89311</v>
      </c>
      <c r="H12357">
        <v>1</v>
      </c>
      <c r="I12357">
        <v>970</v>
      </c>
      <c r="J12357">
        <v>0</v>
      </c>
      <c r="K12357" t="str">
        <f t="shared" si="2209"/>
        <v>809</v>
      </c>
      <c r="L12357">
        <v>1425.9</v>
      </c>
    </row>
    <row r="12358" spans="1:12" x14ac:dyDescent="0.25">
      <c r="A12358" t="str">
        <f t="shared" si="2215"/>
        <v>89301000</v>
      </c>
      <c r="B12358" t="str">
        <f t="shared" si="2213"/>
        <v>78051000</v>
      </c>
      <c r="C12358" t="str">
        <f t="shared" si="2214"/>
        <v>78051004</v>
      </c>
      <c r="D12358">
        <v>89301062</v>
      </c>
      <c r="E12358" t="str">
        <f>"7057295817"</f>
        <v>7057295817</v>
      </c>
      <c r="F12358" s="1">
        <v>45202</v>
      </c>
      <c r="G12358" t="str">
        <f>"0090044"</f>
        <v>0090044</v>
      </c>
      <c r="H12358">
        <v>1</v>
      </c>
      <c r="J12358">
        <v>16.8</v>
      </c>
      <c r="K12358" t="str">
        <f t="shared" si="2209"/>
        <v>809</v>
      </c>
      <c r="L12358">
        <v>16.8</v>
      </c>
    </row>
    <row r="12359" spans="1:12" x14ac:dyDescent="0.25">
      <c r="A12359" t="str">
        <f t="shared" si="2215"/>
        <v>89301000</v>
      </c>
      <c r="B12359" t="str">
        <f t="shared" si="2213"/>
        <v>78051000</v>
      </c>
      <c r="C12359" t="str">
        <f t="shared" si="2214"/>
        <v>78051004</v>
      </c>
      <c r="D12359">
        <v>89301062</v>
      </c>
      <c r="E12359" t="str">
        <f>"7057295817"</f>
        <v>7057295817</v>
      </c>
      <c r="F12359" s="1">
        <v>45202</v>
      </c>
      <c r="G12359" t="str">
        <f>"0225891"</f>
        <v>0225891</v>
      </c>
      <c r="H12359">
        <v>0.2</v>
      </c>
      <c r="J12359">
        <v>44.65</v>
      </c>
      <c r="K12359" t="str">
        <f t="shared" si="2209"/>
        <v>809</v>
      </c>
      <c r="L12359">
        <v>44.65</v>
      </c>
    </row>
    <row r="12360" spans="1:12" x14ac:dyDescent="0.25">
      <c r="A12360" t="str">
        <f t="shared" si="2215"/>
        <v>89301000</v>
      </c>
      <c r="B12360" t="str">
        <f t="shared" si="2213"/>
        <v>78051000</v>
      </c>
      <c r="C12360" t="str">
        <f t="shared" si="2214"/>
        <v>78051004</v>
      </c>
      <c r="D12360">
        <v>89301062</v>
      </c>
      <c r="E12360" t="str">
        <f>"7057295817"</f>
        <v>7057295817</v>
      </c>
      <c r="F12360" s="1">
        <v>45202</v>
      </c>
      <c r="G12360" t="str">
        <f>"0096251"</f>
        <v>0096251</v>
      </c>
      <c r="H12360">
        <v>0.17</v>
      </c>
      <c r="J12360">
        <v>198.83</v>
      </c>
      <c r="K12360" t="str">
        <f t="shared" si="2209"/>
        <v>809</v>
      </c>
      <c r="L12360">
        <v>198.83</v>
      </c>
    </row>
    <row r="12361" spans="1:12" x14ac:dyDescent="0.25">
      <c r="A12361" t="str">
        <f t="shared" si="2215"/>
        <v>89301000</v>
      </c>
      <c r="B12361" t="str">
        <f t="shared" si="2213"/>
        <v>78051000</v>
      </c>
      <c r="C12361" t="str">
        <f t="shared" si="2214"/>
        <v>78051004</v>
      </c>
      <c r="D12361">
        <v>89301062</v>
      </c>
      <c r="E12361" t="str">
        <f>"7057295817"</f>
        <v>7057295817</v>
      </c>
      <c r="F12361" s="1">
        <v>45202</v>
      </c>
      <c r="G12361" t="str">
        <f>"0098943"</f>
        <v>0098943</v>
      </c>
      <c r="H12361">
        <v>1</v>
      </c>
      <c r="J12361">
        <v>293.81</v>
      </c>
      <c r="K12361" t="str">
        <f t="shared" si="2209"/>
        <v>809</v>
      </c>
      <c r="L12361">
        <v>293.81</v>
      </c>
    </row>
    <row r="12362" spans="1:12" x14ac:dyDescent="0.25">
      <c r="A12362" t="str">
        <f t="shared" si="2215"/>
        <v>89301000</v>
      </c>
      <c r="B12362" t="str">
        <f t="shared" si="2213"/>
        <v>78051000</v>
      </c>
      <c r="C12362" t="str">
        <f t="shared" si="2214"/>
        <v>78051004</v>
      </c>
      <c r="D12362">
        <v>89301062</v>
      </c>
      <c r="E12362" t="str">
        <f>"8658286010"</f>
        <v>8658286010</v>
      </c>
      <c r="F12362" s="1">
        <v>45210</v>
      </c>
      <c r="G12362" t="str">
        <f>"89311"</f>
        <v>89311</v>
      </c>
      <c r="H12362">
        <v>1</v>
      </c>
      <c r="I12362">
        <v>970</v>
      </c>
      <c r="J12362">
        <v>0</v>
      </c>
      <c r="K12362" t="str">
        <f t="shared" si="2209"/>
        <v>809</v>
      </c>
      <c r="L12362">
        <v>1425.9</v>
      </c>
    </row>
    <row r="12363" spans="1:12" x14ac:dyDescent="0.25">
      <c r="A12363" t="str">
        <f t="shared" si="2215"/>
        <v>89301000</v>
      </c>
      <c r="B12363" t="str">
        <f t="shared" si="2213"/>
        <v>78051000</v>
      </c>
      <c r="C12363" t="str">
        <f t="shared" si="2214"/>
        <v>78051004</v>
      </c>
      <c r="D12363">
        <v>89301062</v>
      </c>
      <c r="E12363" t="str">
        <f>"8658286010"</f>
        <v>8658286010</v>
      </c>
      <c r="F12363" s="1">
        <v>45210</v>
      </c>
      <c r="G12363" t="str">
        <f>"0090044"</f>
        <v>0090044</v>
      </c>
      <c r="H12363">
        <v>1</v>
      </c>
      <c r="J12363">
        <v>16.8</v>
      </c>
      <c r="K12363" t="str">
        <f t="shared" ref="K12363:K12394" si="2216">"809"</f>
        <v>809</v>
      </c>
      <c r="L12363">
        <v>16.8</v>
      </c>
    </row>
    <row r="12364" spans="1:12" x14ac:dyDescent="0.25">
      <c r="A12364" t="str">
        <f t="shared" si="2215"/>
        <v>89301000</v>
      </c>
      <c r="B12364" t="str">
        <f t="shared" si="2213"/>
        <v>78051000</v>
      </c>
      <c r="C12364" t="str">
        <f t="shared" si="2214"/>
        <v>78051004</v>
      </c>
      <c r="D12364">
        <v>89301062</v>
      </c>
      <c r="E12364" t="str">
        <f>"8658286010"</f>
        <v>8658286010</v>
      </c>
      <c r="F12364" s="1">
        <v>45210</v>
      </c>
      <c r="G12364" t="str">
        <f>"0225891"</f>
        <v>0225891</v>
      </c>
      <c r="H12364">
        <v>0.2</v>
      </c>
      <c r="J12364">
        <v>44.65</v>
      </c>
      <c r="K12364" t="str">
        <f t="shared" si="2216"/>
        <v>809</v>
      </c>
      <c r="L12364">
        <v>44.65</v>
      </c>
    </row>
    <row r="12365" spans="1:12" x14ac:dyDescent="0.25">
      <c r="A12365" t="str">
        <f t="shared" si="2215"/>
        <v>89301000</v>
      </c>
      <c r="B12365" t="str">
        <f t="shared" si="2213"/>
        <v>78051000</v>
      </c>
      <c r="C12365" t="str">
        <f t="shared" si="2214"/>
        <v>78051004</v>
      </c>
      <c r="D12365">
        <v>89301062</v>
      </c>
      <c r="E12365" t="str">
        <f>"8658286010"</f>
        <v>8658286010</v>
      </c>
      <c r="F12365" s="1">
        <v>45210</v>
      </c>
      <c r="G12365" t="str">
        <f>"0096251"</f>
        <v>0096251</v>
      </c>
      <c r="H12365">
        <v>0.17</v>
      </c>
      <c r="J12365">
        <v>198.83</v>
      </c>
      <c r="K12365" t="str">
        <f t="shared" si="2216"/>
        <v>809</v>
      </c>
      <c r="L12365">
        <v>198.83</v>
      </c>
    </row>
    <row r="12366" spans="1:12" x14ac:dyDescent="0.25">
      <c r="A12366" t="str">
        <f t="shared" si="2215"/>
        <v>89301000</v>
      </c>
      <c r="B12366" t="str">
        <f t="shared" si="2213"/>
        <v>78051000</v>
      </c>
      <c r="C12366" t="str">
        <f t="shared" si="2214"/>
        <v>78051004</v>
      </c>
      <c r="D12366">
        <v>89301062</v>
      </c>
      <c r="E12366" t="str">
        <f>"8658286010"</f>
        <v>8658286010</v>
      </c>
      <c r="F12366" s="1">
        <v>45210</v>
      </c>
      <c r="G12366" t="str">
        <f>"0098943"</f>
        <v>0098943</v>
      </c>
      <c r="H12366">
        <v>1</v>
      </c>
      <c r="J12366">
        <v>293.81</v>
      </c>
      <c r="K12366" t="str">
        <f t="shared" si="2216"/>
        <v>809</v>
      </c>
      <c r="L12366">
        <v>293.81</v>
      </c>
    </row>
    <row r="12367" spans="1:12" x14ac:dyDescent="0.25">
      <c r="A12367" t="str">
        <f t="shared" si="2215"/>
        <v>89301000</v>
      </c>
      <c r="B12367" t="str">
        <f t="shared" si="2213"/>
        <v>78051000</v>
      </c>
      <c r="C12367" t="str">
        <f t="shared" si="2214"/>
        <v>78051004</v>
      </c>
      <c r="D12367">
        <v>89301062</v>
      </c>
      <c r="E12367" t="str">
        <f>"5553202303"</f>
        <v>5553202303</v>
      </c>
      <c r="F12367" s="1">
        <v>45216</v>
      </c>
      <c r="G12367" t="str">
        <f>"89311"</f>
        <v>89311</v>
      </c>
      <c r="H12367">
        <v>1</v>
      </c>
      <c r="I12367">
        <v>970</v>
      </c>
      <c r="J12367">
        <v>0</v>
      </c>
      <c r="K12367" t="str">
        <f t="shared" si="2216"/>
        <v>809</v>
      </c>
      <c r="L12367">
        <v>1425.9</v>
      </c>
    </row>
    <row r="12368" spans="1:12" x14ac:dyDescent="0.25">
      <c r="A12368" t="str">
        <f t="shared" si="2215"/>
        <v>89301000</v>
      </c>
      <c r="B12368" t="str">
        <f t="shared" si="2213"/>
        <v>78051000</v>
      </c>
      <c r="C12368" t="str">
        <f t="shared" si="2214"/>
        <v>78051004</v>
      </c>
      <c r="D12368">
        <v>89301062</v>
      </c>
      <c r="E12368" t="str">
        <f>"5553202303"</f>
        <v>5553202303</v>
      </c>
      <c r="F12368" s="1">
        <v>45216</v>
      </c>
      <c r="G12368" t="str">
        <f>"0090044"</f>
        <v>0090044</v>
      </c>
      <c r="H12368">
        <v>1</v>
      </c>
      <c r="J12368">
        <v>16.8</v>
      </c>
      <c r="K12368" t="str">
        <f t="shared" si="2216"/>
        <v>809</v>
      </c>
      <c r="L12368">
        <v>16.8</v>
      </c>
    </row>
    <row r="12369" spans="1:12" x14ac:dyDescent="0.25">
      <c r="A12369" t="str">
        <f t="shared" si="2215"/>
        <v>89301000</v>
      </c>
      <c r="B12369" t="str">
        <f t="shared" si="2213"/>
        <v>78051000</v>
      </c>
      <c r="C12369" t="str">
        <f t="shared" si="2214"/>
        <v>78051004</v>
      </c>
      <c r="D12369">
        <v>89301062</v>
      </c>
      <c r="E12369" t="str">
        <f>"5553202303"</f>
        <v>5553202303</v>
      </c>
      <c r="F12369" s="1">
        <v>45216</v>
      </c>
      <c r="G12369" t="str">
        <f>"0225891"</f>
        <v>0225891</v>
      </c>
      <c r="H12369">
        <v>0.2</v>
      </c>
      <c r="J12369">
        <v>44.65</v>
      </c>
      <c r="K12369" t="str">
        <f t="shared" si="2216"/>
        <v>809</v>
      </c>
      <c r="L12369">
        <v>44.65</v>
      </c>
    </row>
    <row r="12370" spans="1:12" x14ac:dyDescent="0.25">
      <c r="A12370" t="str">
        <f t="shared" si="2215"/>
        <v>89301000</v>
      </c>
      <c r="B12370" t="str">
        <f t="shared" si="2213"/>
        <v>78051000</v>
      </c>
      <c r="C12370" t="str">
        <f t="shared" si="2214"/>
        <v>78051004</v>
      </c>
      <c r="D12370">
        <v>89301062</v>
      </c>
      <c r="E12370" t="str">
        <f>"5553202303"</f>
        <v>5553202303</v>
      </c>
      <c r="F12370" s="1">
        <v>45216</v>
      </c>
      <c r="G12370" t="str">
        <f>"0096251"</f>
        <v>0096251</v>
      </c>
      <c r="H12370">
        <v>0.17</v>
      </c>
      <c r="J12370">
        <v>198.83</v>
      </c>
      <c r="K12370" t="str">
        <f t="shared" si="2216"/>
        <v>809</v>
      </c>
      <c r="L12370">
        <v>198.83</v>
      </c>
    </row>
    <row r="12371" spans="1:12" x14ac:dyDescent="0.25">
      <c r="A12371" t="str">
        <f t="shared" si="2215"/>
        <v>89301000</v>
      </c>
      <c r="B12371" t="str">
        <f t="shared" si="2213"/>
        <v>78051000</v>
      </c>
      <c r="C12371" t="str">
        <f t="shared" si="2214"/>
        <v>78051004</v>
      </c>
      <c r="D12371">
        <v>89301062</v>
      </c>
      <c r="E12371" t="str">
        <f>"5553202303"</f>
        <v>5553202303</v>
      </c>
      <c r="F12371" s="1">
        <v>45216</v>
      </c>
      <c r="G12371" t="str">
        <f>"0098943"</f>
        <v>0098943</v>
      </c>
      <c r="H12371">
        <v>1</v>
      </c>
      <c r="J12371">
        <v>293.81</v>
      </c>
      <c r="K12371" t="str">
        <f t="shared" si="2216"/>
        <v>809</v>
      </c>
      <c r="L12371">
        <v>293.81</v>
      </c>
    </row>
    <row r="12372" spans="1:12" x14ac:dyDescent="0.25">
      <c r="A12372" t="str">
        <f t="shared" si="2215"/>
        <v>89301000</v>
      </c>
      <c r="B12372" t="str">
        <f t="shared" si="2213"/>
        <v>78051000</v>
      </c>
      <c r="C12372" t="str">
        <f t="shared" si="2214"/>
        <v>78051004</v>
      </c>
      <c r="D12372">
        <v>89301062</v>
      </c>
      <c r="E12372" t="str">
        <f>"7610145356"</f>
        <v>7610145356</v>
      </c>
      <c r="F12372" s="1">
        <v>45216</v>
      </c>
      <c r="G12372" t="str">
        <f>"89311"</f>
        <v>89311</v>
      </c>
      <c r="H12372">
        <v>1</v>
      </c>
      <c r="I12372">
        <v>970</v>
      </c>
      <c r="J12372">
        <v>0</v>
      </c>
      <c r="K12372" t="str">
        <f t="shared" si="2216"/>
        <v>809</v>
      </c>
      <c r="L12372">
        <v>1425.9</v>
      </c>
    </row>
    <row r="12373" spans="1:12" x14ac:dyDescent="0.25">
      <c r="A12373" t="str">
        <f t="shared" si="2215"/>
        <v>89301000</v>
      </c>
      <c r="B12373" t="str">
        <f t="shared" si="2213"/>
        <v>78051000</v>
      </c>
      <c r="C12373" t="str">
        <f t="shared" si="2214"/>
        <v>78051004</v>
      </c>
      <c r="D12373">
        <v>89301062</v>
      </c>
      <c r="E12373" t="str">
        <f>"7610145356"</f>
        <v>7610145356</v>
      </c>
      <c r="F12373" s="1">
        <v>45216</v>
      </c>
      <c r="G12373" t="str">
        <f>"0090044"</f>
        <v>0090044</v>
      </c>
      <c r="H12373">
        <v>1</v>
      </c>
      <c r="J12373">
        <v>16.8</v>
      </c>
      <c r="K12373" t="str">
        <f t="shared" si="2216"/>
        <v>809</v>
      </c>
      <c r="L12373">
        <v>16.8</v>
      </c>
    </row>
    <row r="12374" spans="1:12" x14ac:dyDescent="0.25">
      <c r="A12374" t="str">
        <f t="shared" si="2215"/>
        <v>89301000</v>
      </c>
      <c r="B12374" t="str">
        <f t="shared" si="2213"/>
        <v>78051000</v>
      </c>
      <c r="C12374" t="str">
        <f t="shared" si="2214"/>
        <v>78051004</v>
      </c>
      <c r="D12374">
        <v>89301062</v>
      </c>
      <c r="E12374" t="str">
        <f>"7610145356"</f>
        <v>7610145356</v>
      </c>
      <c r="F12374" s="1">
        <v>45216</v>
      </c>
      <c r="G12374" t="str">
        <f>"0225891"</f>
        <v>0225891</v>
      </c>
      <c r="H12374">
        <v>0.2</v>
      </c>
      <c r="J12374">
        <v>44.65</v>
      </c>
      <c r="K12374" t="str">
        <f t="shared" si="2216"/>
        <v>809</v>
      </c>
      <c r="L12374">
        <v>44.65</v>
      </c>
    </row>
    <row r="12375" spans="1:12" x14ac:dyDescent="0.25">
      <c r="A12375" t="str">
        <f t="shared" si="2215"/>
        <v>89301000</v>
      </c>
      <c r="B12375" t="str">
        <f t="shared" si="2213"/>
        <v>78051000</v>
      </c>
      <c r="C12375" t="str">
        <f t="shared" si="2214"/>
        <v>78051004</v>
      </c>
      <c r="D12375">
        <v>89301062</v>
      </c>
      <c r="E12375" t="str">
        <f>"7610145356"</f>
        <v>7610145356</v>
      </c>
      <c r="F12375" s="1">
        <v>45216</v>
      </c>
      <c r="G12375" t="str">
        <f>"0096251"</f>
        <v>0096251</v>
      </c>
      <c r="H12375">
        <v>0.17</v>
      </c>
      <c r="J12375">
        <v>198.83</v>
      </c>
      <c r="K12375" t="str">
        <f t="shared" si="2216"/>
        <v>809</v>
      </c>
      <c r="L12375">
        <v>198.83</v>
      </c>
    </row>
    <row r="12376" spans="1:12" x14ac:dyDescent="0.25">
      <c r="A12376" t="str">
        <f t="shared" si="2215"/>
        <v>89301000</v>
      </c>
      <c r="B12376" t="str">
        <f t="shared" si="2213"/>
        <v>78051000</v>
      </c>
      <c r="C12376" t="str">
        <f t="shared" si="2214"/>
        <v>78051004</v>
      </c>
      <c r="D12376">
        <v>89301062</v>
      </c>
      <c r="E12376" t="str">
        <f>"7610145356"</f>
        <v>7610145356</v>
      </c>
      <c r="F12376" s="1">
        <v>45216</v>
      </c>
      <c r="G12376" t="str">
        <f>"0098943"</f>
        <v>0098943</v>
      </c>
      <c r="H12376">
        <v>1</v>
      </c>
      <c r="J12376">
        <v>293.81</v>
      </c>
      <c r="K12376" t="str">
        <f t="shared" si="2216"/>
        <v>809</v>
      </c>
      <c r="L12376">
        <v>293.81</v>
      </c>
    </row>
    <row r="12377" spans="1:12" x14ac:dyDescent="0.25">
      <c r="A12377" t="str">
        <f t="shared" si="2215"/>
        <v>89301000</v>
      </c>
      <c r="B12377" t="str">
        <f t="shared" si="2213"/>
        <v>78051000</v>
      </c>
      <c r="C12377" t="str">
        <f t="shared" si="2214"/>
        <v>78051004</v>
      </c>
      <c r="D12377">
        <v>89301062</v>
      </c>
      <c r="E12377" t="str">
        <f>"7459115356"</f>
        <v>7459115356</v>
      </c>
      <c r="F12377" s="1">
        <v>45216</v>
      </c>
      <c r="G12377" t="str">
        <f>"89311"</f>
        <v>89311</v>
      </c>
      <c r="H12377">
        <v>1</v>
      </c>
      <c r="I12377">
        <v>970</v>
      </c>
      <c r="J12377">
        <v>0</v>
      </c>
      <c r="K12377" t="str">
        <f t="shared" si="2216"/>
        <v>809</v>
      </c>
      <c r="L12377">
        <v>1425.9</v>
      </c>
    </row>
    <row r="12378" spans="1:12" x14ac:dyDescent="0.25">
      <c r="A12378" t="str">
        <f t="shared" si="2215"/>
        <v>89301000</v>
      </c>
      <c r="B12378" t="str">
        <f t="shared" si="2213"/>
        <v>78051000</v>
      </c>
      <c r="C12378" t="str">
        <f t="shared" si="2214"/>
        <v>78051004</v>
      </c>
      <c r="D12378">
        <v>89301062</v>
      </c>
      <c r="E12378" t="str">
        <f>"7459115356"</f>
        <v>7459115356</v>
      </c>
      <c r="F12378" s="1">
        <v>45216</v>
      </c>
      <c r="G12378" t="str">
        <f>"0090044"</f>
        <v>0090044</v>
      </c>
      <c r="H12378">
        <v>1</v>
      </c>
      <c r="J12378">
        <v>16.8</v>
      </c>
      <c r="K12378" t="str">
        <f t="shared" si="2216"/>
        <v>809</v>
      </c>
      <c r="L12378">
        <v>16.8</v>
      </c>
    </row>
    <row r="12379" spans="1:12" x14ac:dyDescent="0.25">
      <c r="A12379" t="str">
        <f t="shared" si="2215"/>
        <v>89301000</v>
      </c>
      <c r="B12379" t="str">
        <f t="shared" ref="B12379:B12410" si="2217">"78051000"</f>
        <v>78051000</v>
      </c>
      <c r="C12379" t="str">
        <f t="shared" ref="C12379:C12410" si="2218">"78051004"</f>
        <v>78051004</v>
      </c>
      <c r="D12379">
        <v>89301062</v>
      </c>
      <c r="E12379" t="str">
        <f>"7459115356"</f>
        <v>7459115356</v>
      </c>
      <c r="F12379" s="1">
        <v>45216</v>
      </c>
      <c r="G12379" t="str">
        <f>"0225891"</f>
        <v>0225891</v>
      </c>
      <c r="H12379">
        <v>0.2</v>
      </c>
      <c r="J12379">
        <v>44.65</v>
      </c>
      <c r="K12379" t="str">
        <f t="shared" si="2216"/>
        <v>809</v>
      </c>
      <c r="L12379">
        <v>44.65</v>
      </c>
    </row>
    <row r="12380" spans="1:12" x14ac:dyDescent="0.25">
      <c r="A12380" t="str">
        <f t="shared" si="2215"/>
        <v>89301000</v>
      </c>
      <c r="B12380" t="str">
        <f t="shared" si="2217"/>
        <v>78051000</v>
      </c>
      <c r="C12380" t="str">
        <f t="shared" si="2218"/>
        <v>78051004</v>
      </c>
      <c r="D12380">
        <v>89301062</v>
      </c>
      <c r="E12380" t="str">
        <f>"7459115356"</f>
        <v>7459115356</v>
      </c>
      <c r="F12380" s="1">
        <v>45216</v>
      </c>
      <c r="G12380" t="str">
        <f>"0096251"</f>
        <v>0096251</v>
      </c>
      <c r="H12380">
        <v>0.17</v>
      </c>
      <c r="J12380">
        <v>198.83</v>
      </c>
      <c r="K12380" t="str">
        <f t="shared" si="2216"/>
        <v>809</v>
      </c>
      <c r="L12380">
        <v>198.83</v>
      </c>
    </row>
    <row r="12381" spans="1:12" x14ac:dyDescent="0.25">
      <c r="A12381" t="str">
        <f t="shared" si="2215"/>
        <v>89301000</v>
      </c>
      <c r="B12381" t="str">
        <f t="shared" si="2217"/>
        <v>78051000</v>
      </c>
      <c r="C12381" t="str">
        <f t="shared" si="2218"/>
        <v>78051004</v>
      </c>
      <c r="D12381">
        <v>89301062</v>
      </c>
      <c r="E12381" t="str">
        <f>"7459115356"</f>
        <v>7459115356</v>
      </c>
      <c r="F12381" s="1">
        <v>45216</v>
      </c>
      <c r="G12381" t="str">
        <f>"0098943"</f>
        <v>0098943</v>
      </c>
      <c r="H12381">
        <v>1</v>
      </c>
      <c r="J12381">
        <v>293.81</v>
      </c>
      <c r="K12381" t="str">
        <f t="shared" si="2216"/>
        <v>809</v>
      </c>
      <c r="L12381">
        <v>293.81</v>
      </c>
    </row>
    <row r="12382" spans="1:12" x14ac:dyDescent="0.25">
      <c r="A12382" t="str">
        <f t="shared" si="2215"/>
        <v>89301000</v>
      </c>
      <c r="B12382" t="str">
        <f t="shared" si="2217"/>
        <v>78051000</v>
      </c>
      <c r="C12382" t="str">
        <f t="shared" si="2218"/>
        <v>78051004</v>
      </c>
      <c r="D12382">
        <v>89301062</v>
      </c>
      <c r="E12382" t="str">
        <f>"485404406"</f>
        <v>485404406</v>
      </c>
      <c r="F12382" s="1">
        <v>45216</v>
      </c>
      <c r="G12382" t="str">
        <f>"89311"</f>
        <v>89311</v>
      </c>
      <c r="H12382">
        <v>1</v>
      </c>
      <c r="I12382">
        <v>970</v>
      </c>
      <c r="J12382">
        <v>0</v>
      </c>
      <c r="K12382" t="str">
        <f t="shared" si="2216"/>
        <v>809</v>
      </c>
      <c r="L12382">
        <v>1425.9</v>
      </c>
    </row>
    <row r="12383" spans="1:12" x14ac:dyDescent="0.25">
      <c r="A12383" t="str">
        <f t="shared" si="2215"/>
        <v>89301000</v>
      </c>
      <c r="B12383" t="str">
        <f t="shared" si="2217"/>
        <v>78051000</v>
      </c>
      <c r="C12383" t="str">
        <f t="shared" si="2218"/>
        <v>78051004</v>
      </c>
      <c r="D12383">
        <v>89301062</v>
      </c>
      <c r="E12383" t="str">
        <f>"485404406"</f>
        <v>485404406</v>
      </c>
      <c r="F12383" s="1">
        <v>45216</v>
      </c>
      <c r="G12383" t="str">
        <f>"0090044"</f>
        <v>0090044</v>
      </c>
      <c r="H12383">
        <v>1</v>
      </c>
      <c r="J12383">
        <v>16.8</v>
      </c>
      <c r="K12383" t="str">
        <f t="shared" si="2216"/>
        <v>809</v>
      </c>
      <c r="L12383">
        <v>16.8</v>
      </c>
    </row>
    <row r="12384" spans="1:12" x14ac:dyDescent="0.25">
      <c r="A12384" t="str">
        <f t="shared" si="2215"/>
        <v>89301000</v>
      </c>
      <c r="B12384" t="str">
        <f t="shared" si="2217"/>
        <v>78051000</v>
      </c>
      <c r="C12384" t="str">
        <f t="shared" si="2218"/>
        <v>78051004</v>
      </c>
      <c r="D12384">
        <v>89301062</v>
      </c>
      <c r="E12384" t="str">
        <f>"485404406"</f>
        <v>485404406</v>
      </c>
      <c r="F12384" s="1">
        <v>45216</v>
      </c>
      <c r="G12384" t="str">
        <f>"0225891"</f>
        <v>0225891</v>
      </c>
      <c r="H12384">
        <v>0.2</v>
      </c>
      <c r="J12384">
        <v>44.65</v>
      </c>
      <c r="K12384" t="str">
        <f t="shared" si="2216"/>
        <v>809</v>
      </c>
      <c r="L12384">
        <v>44.65</v>
      </c>
    </row>
    <row r="12385" spans="1:12" x14ac:dyDescent="0.25">
      <c r="A12385" t="str">
        <f t="shared" si="2215"/>
        <v>89301000</v>
      </c>
      <c r="B12385" t="str">
        <f t="shared" si="2217"/>
        <v>78051000</v>
      </c>
      <c r="C12385" t="str">
        <f t="shared" si="2218"/>
        <v>78051004</v>
      </c>
      <c r="D12385">
        <v>89301062</v>
      </c>
      <c r="E12385" t="str">
        <f>"485404406"</f>
        <v>485404406</v>
      </c>
      <c r="F12385" s="1">
        <v>45216</v>
      </c>
      <c r="G12385" t="str">
        <f>"0096251"</f>
        <v>0096251</v>
      </c>
      <c r="H12385">
        <v>0.17</v>
      </c>
      <c r="J12385">
        <v>198.83</v>
      </c>
      <c r="K12385" t="str">
        <f t="shared" si="2216"/>
        <v>809</v>
      </c>
      <c r="L12385">
        <v>198.83</v>
      </c>
    </row>
    <row r="12386" spans="1:12" x14ac:dyDescent="0.25">
      <c r="A12386" t="str">
        <f t="shared" si="2215"/>
        <v>89301000</v>
      </c>
      <c r="B12386" t="str">
        <f t="shared" si="2217"/>
        <v>78051000</v>
      </c>
      <c r="C12386" t="str">
        <f t="shared" si="2218"/>
        <v>78051004</v>
      </c>
      <c r="D12386">
        <v>89301062</v>
      </c>
      <c r="E12386" t="str">
        <f>"485404406"</f>
        <v>485404406</v>
      </c>
      <c r="F12386" s="1">
        <v>45216</v>
      </c>
      <c r="G12386" t="str">
        <f>"0098943"</f>
        <v>0098943</v>
      </c>
      <c r="H12386">
        <v>1</v>
      </c>
      <c r="J12386">
        <v>293.81</v>
      </c>
      <c r="K12386" t="str">
        <f t="shared" si="2216"/>
        <v>809</v>
      </c>
      <c r="L12386">
        <v>293.81</v>
      </c>
    </row>
    <row r="12387" spans="1:12" x14ac:dyDescent="0.25">
      <c r="A12387" t="str">
        <f t="shared" si="2215"/>
        <v>89301000</v>
      </c>
      <c r="B12387" t="str">
        <f t="shared" si="2217"/>
        <v>78051000</v>
      </c>
      <c r="C12387" t="str">
        <f t="shared" si="2218"/>
        <v>78051004</v>
      </c>
      <c r="D12387">
        <v>89301037</v>
      </c>
      <c r="E12387" t="str">
        <f>"6152250907"</f>
        <v>6152250907</v>
      </c>
      <c r="F12387" s="1">
        <v>45223</v>
      </c>
      <c r="G12387" t="str">
        <f>"89312"</f>
        <v>89312</v>
      </c>
      <c r="H12387">
        <v>3</v>
      </c>
      <c r="I12387">
        <v>936</v>
      </c>
      <c r="J12387">
        <v>0</v>
      </c>
      <c r="K12387" t="str">
        <f t="shared" si="2216"/>
        <v>809</v>
      </c>
      <c r="L12387">
        <v>1020.24</v>
      </c>
    </row>
    <row r="12388" spans="1:12" x14ac:dyDescent="0.25">
      <c r="A12388" t="str">
        <f t="shared" si="2215"/>
        <v>89301000</v>
      </c>
      <c r="B12388" t="str">
        <f t="shared" si="2217"/>
        <v>78051000</v>
      </c>
      <c r="C12388" t="str">
        <f t="shared" si="2218"/>
        <v>78051004</v>
      </c>
      <c r="D12388">
        <v>89301062</v>
      </c>
      <c r="E12388" t="str">
        <f>"526125237"</f>
        <v>526125237</v>
      </c>
      <c r="F12388" s="1">
        <v>45224</v>
      </c>
      <c r="G12388" t="str">
        <f>"89311"</f>
        <v>89311</v>
      </c>
      <c r="H12388">
        <v>1</v>
      </c>
      <c r="I12388">
        <v>970</v>
      </c>
      <c r="J12388">
        <v>0</v>
      </c>
      <c r="K12388" t="str">
        <f t="shared" si="2216"/>
        <v>809</v>
      </c>
      <c r="L12388">
        <v>1425.9</v>
      </c>
    </row>
    <row r="12389" spans="1:12" x14ac:dyDescent="0.25">
      <c r="A12389" t="str">
        <f t="shared" si="2215"/>
        <v>89301000</v>
      </c>
      <c r="B12389" t="str">
        <f t="shared" si="2217"/>
        <v>78051000</v>
      </c>
      <c r="C12389" t="str">
        <f t="shared" si="2218"/>
        <v>78051004</v>
      </c>
      <c r="D12389">
        <v>89301062</v>
      </c>
      <c r="E12389" t="str">
        <f>"526125237"</f>
        <v>526125237</v>
      </c>
      <c r="F12389" s="1">
        <v>45224</v>
      </c>
      <c r="G12389" t="str">
        <f>"0090044"</f>
        <v>0090044</v>
      </c>
      <c r="H12389">
        <v>1</v>
      </c>
      <c r="J12389">
        <v>16.8</v>
      </c>
      <c r="K12389" t="str">
        <f t="shared" si="2216"/>
        <v>809</v>
      </c>
      <c r="L12389">
        <v>16.8</v>
      </c>
    </row>
    <row r="12390" spans="1:12" x14ac:dyDescent="0.25">
      <c r="A12390" t="str">
        <f t="shared" si="2215"/>
        <v>89301000</v>
      </c>
      <c r="B12390" t="str">
        <f t="shared" si="2217"/>
        <v>78051000</v>
      </c>
      <c r="C12390" t="str">
        <f t="shared" si="2218"/>
        <v>78051004</v>
      </c>
      <c r="D12390">
        <v>89301062</v>
      </c>
      <c r="E12390" t="str">
        <f>"526125237"</f>
        <v>526125237</v>
      </c>
      <c r="F12390" s="1">
        <v>45224</v>
      </c>
      <c r="G12390" t="str">
        <f>"0225891"</f>
        <v>0225891</v>
      </c>
      <c r="H12390">
        <v>0.2</v>
      </c>
      <c r="J12390">
        <v>44.65</v>
      </c>
      <c r="K12390" t="str">
        <f t="shared" si="2216"/>
        <v>809</v>
      </c>
      <c r="L12390">
        <v>44.65</v>
      </c>
    </row>
    <row r="12391" spans="1:12" x14ac:dyDescent="0.25">
      <c r="A12391" t="str">
        <f t="shared" si="2215"/>
        <v>89301000</v>
      </c>
      <c r="B12391" t="str">
        <f t="shared" si="2217"/>
        <v>78051000</v>
      </c>
      <c r="C12391" t="str">
        <f t="shared" si="2218"/>
        <v>78051004</v>
      </c>
      <c r="D12391">
        <v>89301062</v>
      </c>
      <c r="E12391" t="str">
        <f>"526125237"</f>
        <v>526125237</v>
      </c>
      <c r="F12391" s="1">
        <v>45224</v>
      </c>
      <c r="G12391" t="str">
        <f>"0096251"</f>
        <v>0096251</v>
      </c>
      <c r="H12391">
        <v>0.17</v>
      </c>
      <c r="J12391">
        <v>198.83</v>
      </c>
      <c r="K12391" t="str">
        <f t="shared" si="2216"/>
        <v>809</v>
      </c>
      <c r="L12391">
        <v>198.83</v>
      </c>
    </row>
    <row r="12392" spans="1:12" x14ac:dyDescent="0.25">
      <c r="A12392" t="str">
        <f t="shared" si="2215"/>
        <v>89301000</v>
      </c>
      <c r="B12392" t="str">
        <f t="shared" si="2217"/>
        <v>78051000</v>
      </c>
      <c r="C12392" t="str">
        <f t="shared" si="2218"/>
        <v>78051004</v>
      </c>
      <c r="D12392">
        <v>89301062</v>
      </c>
      <c r="E12392" t="str">
        <f>"526125237"</f>
        <v>526125237</v>
      </c>
      <c r="F12392" s="1">
        <v>45224</v>
      </c>
      <c r="G12392" t="str">
        <f>"0098943"</f>
        <v>0098943</v>
      </c>
      <c r="H12392">
        <v>1</v>
      </c>
      <c r="J12392">
        <v>293.81</v>
      </c>
      <c r="K12392" t="str">
        <f t="shared" si="2216"/>
        <v>809</v>
      </c>
      <c r="L12392">
        <v>293.81</v>
      </c>
    </row>
    <row r="12393" spans="1:12" x14ac:dyDescent="0.25">
      <c r="A12393" t="str">
        <f t="shared" si="2215"/>
        <v>89301000</v>
      </c>
      <c r="B12393" t="str">
        <f t="shared" si="2217"/>
        <v>78051000</v>
      </c>
      <c r="C12393" t="str">
        <f t="shared" si="2218"/>
        <v>78051004</v>
      </c>
      <c r="D12393">
        <v>89301062</v>
      </c>
      <c r="E12393" t="str">
        <f>"500718153"</f>
        <v>500718153</v>
      </c>
      <c r="F12393" s="1">
        <v>45224</v>
      </c>
      <c r="G12393" t="str">
        <f>"89311"</f>
        <v>89311</v>
      </c>
      <c r="H12393">
        <v>1</v>
      </c>
      <c r="I12393">
        <v>970</v>
      </c>
      <c r="J12393">
        <v>0</v>
      </c>
      <c r="K12393" t="str">
        <f t="shared" si="2216"/>
        <v>809</v>
      </c>
      <c r="L12393">
        <v>1425.9</v>
      </c>
    </row>
    <row r="12394" spans="1:12" x14ac:dyDescent="0.25">
      <c r="A12394" t="str">
        <f t="shared" si="2215"/>
        <v>89301000</v>
      </c>
      <c r="B12394" t="str">
        <f t="shared" si="2217"/>
        <v>78051000</v>
      </c>
      <c r="C12394" t="str">
        <f t="shared" si="2218"/>
        <v>78051004</v>
      </c>
      <c r="D12394">
        <v>89301062</v>
      </c>
      <c r="E12394" t="str">
        <f>"500718153"</f>
        <v>500718153</v>
      </c>
      <c r="F12394" s="1">
        <v>45224</v>
      </c>
      <c r="G12394" t="str">
        <f>"0090044"</f>
        <v>0090044</v>
      </c>
      <c r="H12394">
        <v>1</v>
      </c>
      <c r="J12394">
        <v>16.8</v>
      </c>
      <c r="K12394" t="str">
        <f t="shared" si="2216"/>
        <v>809</v>
      </c>
      <c r="L12394">
        <v>16.8</v>
      </c>
    </row>
    <row r="12395" spans="1:12" x14ac:dyDescent="0.25">
      <c r="A12395" t="str">
        <f t="shared" si="2215"/>
        <v>89301000</v>
      </c>
      <c r="B12395" t="str">
        <f t="shared" si="2217"/>
        <v>78051000</v>
      </c>
      <c r="C12395" t="str">
        <f t="shared" si="2218"/>
        <v>78051004</v>
      </c>
      <c r="D12395">
        <v>89301062</v>
      </c>
      <c r="E12395" t="str">
        <f>"500718153"</f>
        <v>500718153</v>
      </c>
      <c r="F12395" s="1">
        <v>45224</v>
      </c>
      <c r="G12395" t="str">
        <f>"0225891"</f>
        <v>0225891</v>
      </c>
      <c r="H12395">
        <v>0.2</v>
      </c>
      <c r="J12395">
        <v>44.65</v>
      </c>
      <c r="K12395" t="str">
        <f t="shared" ref="K12395:K12422" si="2219">"809"</f>
        <v>809</v>
      </c>
      <c r="L12395">
        <v>44.65</v>
      </c>
    </row>
    <row r="12396" spans="1:12" x14ac:dyDescent="0.25">
      <c r="A12396" t="str">
        <f t="shared" si="2215"/>
        <v>89301000</v>
      </c>
      <c r="B12396" t="str">
        <f t="shared" si="2217"/>
        <v>78051000</v>
      </c>
      <c r="C12396" t="str">
        <f t="shared" si="2218"/>
        <v>78051004</v>
      </c>
      <c r="D12396">
        <v>89301062</v>
      </c>
      <c r="E12396" t="str">
        <f>"500718153"</f>
        <v>500718153</v>
      </c>
      <c r="F12396" s="1">
        <v>45224</v>
      </c>
      <c r="G12396" t="str">
        <f>"0096251"</f>
        <v>0096251</v>
      </c>
      <c r="H12396">
        <v>0.17</v>
      </c>
      <c r="J12396">
        <v>198.83</v>
      </c>
      <c r="K12396" t="str">
        <f t="shared" si="2219"/>
        <v>809</v>
      </c>
      <c r="L12396">
        <v>198.83</v>
      </c>
    </row>
    <row r="12397" spans="1:12" x14ac:dyDescent="0.25">
      <c r="A12397" t="str">
        <f t="shared" si="2215"/>
        <v>89301000</v>
      </c>
      <c r="B12397" t="str">
        <f t="shared" si="2217"/>
        <v>78051000</v>
      </c>
      <c r="C12397" t="str">
        <f t="shared" si="2218"/>
        <v>78051004</v>
      </c>
      <c r="D12397">
        <v>89301062</v>
      </c>
      <c r="E12397" t="str">
        <f>"500718153"</f>
        <v>500718153</v>
      </c>
      <c r="F12397" s="1">
        <v>45224</v>
      </c>
      <c r="G12397" t="str">
        <f>"0098943"</f>
        <v>0098943</v>
      </c>
      <c r="H12397">
        <v>1</v>
      </c>
      <c r="J12397">
        <v>293.81</v>
      </c>
      <c r="K12397" t="str">
        <f t="shared" si="2219"/>
        <v>809</v>
      </c>
      <c r="L12397">
        <v>293.81</v>
      </c>
    </row>
    <row r="12398" spans="1:12" x14ac:dyDescent="0.25">
      <c r="A12398" t="str">
        <f t="shared" si="2215"/>
        <v>89301000</v>
      </c>
      <c r="B12398" t="str">
        <f t="shared" si="2217"/>
        <v>78051000</v>
      </c>
      <c r="C12398" t="str">
        <f t="shared" si="2218"/>
        <v>78051004</v>
      </c>
      <c r="D12398">
        <v>89301062</v>
      </c>
      <c r="E12398" t="str">
        <f>"7204175682"</f>
        <v>7204175682</v>
      </c>
      <c r="F12398" s="1">
        <v>45224</v>
      </c>
      <c r="G12398" t="str">
        <f>"89311"</f>
        <v>89311</v>
      </c>
      <c r="H12398">
        <v>1</v>
      </c>
      <c r="I12398">
        <v>970</v>
      </c>
      <c r="J12398">
        <v>0</v>
      </c>
      <c r="K12398" t="str">
        <f t="shared" si="2219"/>
        <v>809</v>
      </c>
      <c r="L12398">
        <v>1425.9</v>
      </c>
    </row>
    <row r="12399" spans="1:12" x14ac:dyDescent="0.25">
      <c r="A12399" t="str">
        <f t="shared" si="2215"/>
        <v>89301000</v>
      </c>
      <c r="B12399" t="str">
        <f t="shared" si="2217"/>
        <v>78051000</v>
      </c>
      <c r="C12399" t="str">
        <f t="shared" si="2218"/>
        <v>78051004</v>
      </c>
      <c r="D12399">
        <v>89301062</v>
      </c>
      <c r="E12399" t="str">
        <f>"7204175682"</f>
        <v>7204175682</v>
      </c>
      <c r="F12399" s="1">
        <v>45224</v>
      </c>
      <c r="G12399" t="str">
        <f>"0090044"</f>
        <v>0090044</v>
      </c>
      <c r="H12399">
        <v>1</v>
      </c>
      <c r="J12399">
        <v>16.8</v>
      </c>
      <c r="K12399" t="str">
        <f t="shared" si="2219"/>
        <v>809</v>
      </c>
      <c r="L12399">
        <v>16.8</v>
      </c>
    </row>
    <row r="12400" spans="1:12" x14ac:dyDescent="0.25">
      <c r="A12400" t="str">
        <f t="shared" si="2215"/>
        <v>89301000</v>
      </c>
      <c r="B12400" t="str">
        <f t="shared" si="2217"/>
        <v>78051000</v>
      </c>
      <c r="C12400" t="str">
        <f t="shared" si="2218"/>
        <v>78051004</v>
      </c>
      <c r="D12400">
        <v>89301062</v>
      </c>
      <c r="E12400" t="str">
        <f>"7204175682"</f>
        <v>7204175682</v>
      </c>
      <c r="F12400" s="1">
        <v>45224</v>
      </c>
      <c r="G12400" t="str">
        <f>"0225891"</f>
        <v>0225891</v>
      </c>
      <c r="H12400">
        <v>0.2</v>
      </c>
      <c r="J12400">
        <v>44.65</v>
      </c>
      <c r="K12400" t="str">
        <f t="shared" si="2219"/>
        <v>809</v>
      </c>
      <c r="L12400">
        <v>44.65</v>
      </c>
    </row>
    <row r="12401" spans="1:12" x14ac:dyDescent="0.25">
      <c r="A12401" t="str">
        <f t="shared" si="2215"/>
        <v>89301000</v>
      </c>
      <c r="B12401" t="str">
        <f t="shared" si="2217"/>
        <v>78051000</v>
      </c>
      <c r="C12401" t="str">
        <f t="shared" si="2218"/>
        <v>78051004</v>
      </c>
      <c r="D12401">
        <v>89301062</v>
      </c>
      <c r="E12401" t="str">
        <f>"7204175682"</f>
        <v>7204175682</v>
      </c>
      <c r="F12401" s="1">
        <v>45224</v>
      </c>
      <c r="G12401" t="str">
        <f>"0096251"</f>
        <v>0096251</v>
      </c>
      <c r="H12401">
        <v>0.17</v>
      </c>
      <c r="J12401">
        <v>198.83</v>
      </c>
      <c r="K12401" t="str">
        <f t="shared" si="2219"/>
        <v>809</v>
      </c>
      <c r="L12401">
        <v>198.83</v>
      </c>
    </row>
    <row r="12402" spans="1:12" x14ac:dyDescent="0.25">
      <c r="A12402" t="str">
        <f t="shared" si="2215"/>
        <v>89301000</v>
      </c>
      <c r="B12402" t="str">
        <f t="shared" si="2217"/>
        <v>78051000</v>
      </c>
      <c r="C12402" t="str">
        <f t="shared" si="2218"/>
        <v>78051004</v>
      </c>
      <c r="D12402">
        <v>89301062</v>
      </c>
      <c r="E12402" t="str">
        <f>"7204175682"</f>
        <v>7204175682</v>
      </c>
      <c r="F12402" s="1">
        <v>45224</v>
      </c>
      <c r="G12402" t="str">
        <f>"0098943"</f>
        <v>0098943</v>
      </c>
      <c r="H12402">
        <v>1</v>
      </c>
      <c r="J12402">
        <v>293.81</v>
      </c>
      <c r="K12402" t="str">
        <f t="shared" si="2219"/>
        <v>809</v>
      </c>
      <c r="L12402">
        <v>293.81</v>
      </c>
    </row>
    <row r="12403" spans="1:12" x14ac:dyDescent="0.25">
      <c r="A12403" t="str">
        <f t="shared" si="2215"/>
        <v>89301000</v>
      </c>
      <c r="B12403" t="str">
        <f t="shared" si="2217"/>
        <v>78051000</v>
      </c>
      <c r="C12403" t="str">
        <f t="shared" si="2218"/>
        <v>78051004</v>
      </c>
      <c r="D12403">
        <v>89301062</v>
      </c>
      <c r="E12403" t="str">
        <f>"470206405"</f>
        <v>470206405</v>
      </c>
      <c r="F12403" s="1">
        <v>45224</v>
      </c>
      <c r="G12403" t="str">
        <f>"89311"</f>
        <v>89311</v>
      </c>
      <c r="H12403">
        <v>1</v>
      </c>
      <c r="I12403">
        <v>970</v>
      </c>
      <c r="J12403">
        <v>0</v>
      </c>
      <c r="K12403" t="str">
        <f t="shared" si="2219"/>
        <v>809</v>
      </c>
      <c r="L12403">
        <v>1425.9</v>
      </c>
    </row>
    <row r="12404" spans="1:12" x14ac:dyDescent="0.25">
      <c r="A12404" t="str">
        <f t="shared" si="2215"/>
        <v>89301000</v>
      </c>
      <c r="B12404" t="str">
        <f t="shared" si="2217"/>
        <v>78051000</v>
      </c>
      <c r="C12404" t="str">
        <f t="shared" si="2218"/>
        <v>78051004</v>
      </c>
      <c r="D12404">
        <v>89301062</v>
      </c>
      <c r="E12404" t="str">
        <f>"470206405"</f>
        <v>470206405</v>
      </c>
      <c r="F12404" s="1">
        <v>45224</v>
      </c>
      <c r="G12404" t="str">
        <f>"0090044"</f>
        <v>0090044</v>
      </c>
      <c r="H12404">
        <v>1</v>
      </c>
      <c r="J12404">
        <v>16.8</v>
      </c>
      <c r="K12404" t="str">
        <f t="shared" si="2219"/>
        <v>809</v>
      </c>
      <c r="L12404">
        <v>16.8</v>
      </c>
    </row>
    <row r="12405" spans="1:12" x14ac:dyDescent="0.25">
      <c r="A12405" t="str">
        <f t="shared" si="2215"/>
        <v>89301000</v>
      </c>
      <c r="B12405" t="str">
        <f t="shared" si="2217"/>
        <v>78051000</v>
      </c>
      <c r="C12405" t="str">
        <f t="shared" si="2218"/>
        <v>78051004</v>
      </c>
      <c r="D12405">
        <v>89301062</v>
      </c>
      <c r="E12405" t="str">
        <f>"470206405"</f>
        <v>470206405</v>
      </c>
      <c r="F12405" s="1">
        <v>45224</v>
      </c>
      <c r="G12405" t="str">
        <f>"0225891"</f>
        <v>0225891</v>
      </c>
      <c r="H12405">
        <v>0.2</v>
      </c>
      <c r="J12405">
        <v>44.65</v>
      </c>
      <c r="K12405" t="str">
        <f t="shared" si="2219"/>
        <v>809</v>
      </c>
      <c r="L12405">
        <v>44.65</v>
      </c>
    </row>
    <row r="12406" spans="1:12" x14ac:dyDescent="0.25">
      <c r="A12406" t="str">
        <f t="shared" si="2215"/>
        <v>89301000</v>
      </c>
      <c r="B12406" t="str">
        <f t="shared" si="2217"/>
        <v>78051000</v>
      </c>
      <c r="C12406" t="str">
        <f t="shared" si="2218"/>
        <v>78051004</v>
      </c>
      <c r="D12406">
        <v>89301062</v>
      </c>
      <c r="E12406" t="str">
        <f>"470206405"</f>
        <v>470206405</v>
      </c>
      <c r="F12406" s="1">
        <v>45224</v>
      </c>
      <c r="G12406" t="str">
        <f>"0096251"</f>
        <v>0096251</v>
      </c>
      <c r="H12406">
        <v>0.17</v>
      </c>
      <c r="J12406">
        <v>198.83</v>
      </c>
      <c r="K12406" t="str">
        <f t="shared" si="2219"/>
        <v>809</v>
      </c>
      <c r="L12406">
        <v>198.83</v>
      </c>
    </row>
    <row r="12407" spans="1:12" x14ac:dyDescent="0.25">
      <c r="A12407" t="str">
        <f t="shared" si="2215"/>
        <v>89301000</v>
      </c>
      <c r="B12407" t="str">
        <f t="shared" si="2217"/>
        <v>78051000</v>
      </c>
      <c r="C12407" t="str">
        <f t="shared" si="2218"/>
        <v>78051004</v>
      </c>
      <c r="D12407">
        <v>89301062</v>
      </c>
      <c r="E12407" t="str">
        <f>"470206405"</f>
        <v>470206405</v>
      </c>
      <c r="F12407" s="1">
        <v>45224</v>
      </c>
      <c r="G12407" t="str">
        <f>"0098943"</f>
        <v>0098943</v>
      </c>
      <c r="H12407">
        <v>1</v>
      </c>
      <c r="J12407">
        <v>293.81</v>
      </c>
      <c r="K12407" t="str">
        <f t="shared" si="2219"/>
        <v>809</v>
      </c>
      <c r="L12407">
        <v>293.81</v>
      </c>
    </row>
    <row r="12408" spans="1:12" x14ac:dyDescent="0.25">
      <c r="A12408" t="str">
        <f t="shared" si="2215"/>
        <v>89301000</v>
      </c>
      <c r="B12408" t="str">
        <f t="shared" si="2217"/>
        <v>78051000</v>
      </c>
      <c r="C12408" t="str">
        <f t="shared" si="2218"/>
        <v>78051004</v>
      </c>
      <c r="D12408">
        <v>89301062</v>
      </c>
      <c r="E12408" t="str">
        <f>"7651045776"</f>
        <v>7651045776</v>
      </c>
      <c r="F12408" s="1">
        <v>45224</v>
      </c>
      <c r="G12408" t="str">
        <f>"89311"</f>
        <v>89311</v>
      </c>
      <c r="H12408">
        <v>1</v>
      </c>
      <c r="I12408">
        <v>970</v>
      </c>
      <c r="J12408">
        <v>0</v>
      </c>
      <c r="K12408" t="str">
        <f t="shared" si="2219"/>
        <v>809</v>
      </c>
      <c r="L12408">
        <v>1425.9</v>
      </c>
    </row>
    <row r="12409" spans="1:12" x14ac:dyDescent="0.25">
      <c r="A12409" t="str">
        <f t="shared" si="2215"/>
        <v>89301000</v>
      </c>
      <c r="B12409" t="str">
        <f t="shared" si="2217"/>
        <v>78051000</v>
      </c>
      <c r="C12409" t="str">
        <f t="shared" si="2218"/>
        <v>78051004</v>
      </c>
      <c r="D12409">
        <v>89301062</v>
      </c>
      <c r="E12409" t="str">
        <f>"7651045776"</f>
        <v>7651045776</v>
      </c>
      <c r="F12409" s="1">
        <v>45224</v>
      </c>
      <c r="G12409" t="str">
        <f>"0090044"</f>
        <v>0090044</v>
      </c>
      <c r="H12409">
        <v>1</v>
      </c>
      <c r="J12409">
        <v>16.8</v>
      </c>
      <c r="K12409" t="str">
        <f t="shared" si="2219"/>
        <v>809</v>
      </c>
      <c r="L12409">
        <v>16.8</v>
      </c>
    </row>
    <row r="12410" spans="1:12" x14ac:dyDescent="0.25">
      <c r="A12410" t="str">
        <f t="shared" si="2215"/>
        <v>89301000</v>
      </c>
      <c r="B12410" t="str">
        <f t="shared" si="2217"/>
        <v>78051000</v>
      </c>
      <c r="C12410" t="str">
        <f t="shared" si="2218"/>
        <v>78051004</v>
      </c>
      <c r="D12410">
        <v>89301062</v>
      </c>
      <c r="E12410" t="str">
        <f>"7651045776"</f>
        <v>7651045776</v>
      </c>
      <c r="F12410" s="1">
        <v>45224</v>
      </c>
      <c r="G12410" t="str">
        <f>"0225891"</f>
        <v>0225891</v>
      </c>
      <c r="H12410">
        <v>0.2</v>
      </c>
      <c r="J12410">
        <v>44.65</v>
      </c>
      <c r="K12410" t="str">
        <f t="shared" si="2219"/>
        <v>809</v>
      </c>
      <c r="L12410">
        <v>44.65</v>
      </c>
    </row>
    <row r="12411" spans="1:12" x14ac:dyDescent="0.25">
      <c r="A12411" t="str">
        <f t="shared" si="2215"/>
        <v>89301000</v>
      </c>
      <c r="B12411" t="str">
        <f t="shared" ref="B12411:B12437" si="2220">"78051000"</f>
        <v>78051000</v>
      </c>
      <c r="C12411" t="str">
        <f t="shared" ref="C12411:C12422" si="2221">"78051004"</f>
        <v>78051004</v>
      </c>
      <c r="D12411">
        <v>89301062</v>
      </c>
      <c r="E12411" t="str">
        <f>"7651045776"</f>
        <v>7651045776</v>
      </c>
      <c r="F12411" s="1">
        <v>45224</v>
      </c>
      <c r="G12411" t="str">
        <f>"0096251"</f>
        <v>0096251</v>
      </c>
      <c r="H12411">
        <v>0.17</v>
      </c>
      <c r="J12411">
        <v>198.83</v>
      </c>
      <c r="K12411" t="str">
        <f t="shared" si="2219"/>
        <v>809</v>
      </c>
      <c r="L12411">
        <v>198.83</v>
      </c>
    </row>
    <row r="12412" spans="1:12" x14ac:dyDescent="0.25">
      <c r="A12412" t="str">
        <f t="shared" si="2215"/>
        <v>89301000</v>
      </c>
      <c r="B12412" t="str">
        <f t="shared" si="2220"/>
        <v>78051000</v>
      </c>
      <c r="C12412" t="str">
        <f t="shared" si="2221"/>
        <v>78051004</v>
      </c>
      <c r="D12412">
        <v>89301062</v>
      </c>
      <c r="E12412" t="str">
        <f>"7651045776"</f>
        <v>7651045776</v>
      </c>
      <c r="F12412" s="1">
        <v>45224</v>
      </c>
      <c r="G12412" t="str">
        <f>"0098943"</f>
        <v>0098943</v>
      </c>
      <c r="H12412">
        <v>1</v>
      </c>
      <c r="J12412">
        <v>293.81</v>
      </c>
      <c r="K12412" t="str">
        <f t="shared" si="2219"/>
        <v>809</v>
      </c>
      <c r="L12412">
        <v>293.81</v>
      </c>
    </row>
    <row r="12413" spans="1:12" x14ac:dyDescent="0.25">
      <c r="A12413" t="str">
        <f t="shared" si="2215"/>
        <v>89301000</v>
      </c>
      <c r="B12413" t="str">
        <f t="shared" si="2220"/>
        <v>78051000</v>
      </c>
      <c r="C12413" t="str">
        <f t="shared" si="2221"/>
        <v>78051004</v>
      </c>
      <c r="D12413">
        <v>89301062</v>
      </c>
      <c r="E12413" t="str">
        <f>"525403018"</f>
        <v>525403018</v>
      </c>
      <c r="F12413" s="1">
        <v>45230</v>
      </c>
      <c r="G12413" t="str">
        <f>"89311"</f>
        <v>89311</v>
      </c>
      <c r="H12413">
        <v>1</v>
      </c>
      <c r="I12413">
        <v>970</v>
      </c>
      <c r="J12413">
        <v>0</v>
      </c>
      <c r="K12413" t="str">
        <f t="shared" si="2219"/>
        <v>809</v>
      </c>
      <c r="L12413">
        <v>1425.9</v>
      </c>
    </row>
    <row r="12414" spans="1:12" x14ac:dyDescent="0.25">
      <c r="A12414" t="str">
        <f t="shared" si="2215"/>
        <v>89301000</v>
      </c>
      <c r="B12414" t="str">
        <f t="shared" si="2220"/>
        <v>78051000</v>
      </c>
      <c r="C12414" t="str">
        <f t="shared" si="2221"/>
        <v>78051004</v>
      </c>
      <c r="D12414">
        <v>89301062</v>
      </c>
      <c r="E12414" t="str">
        <f>"525403018"</f>
        <v>525403018</v>
      </c>
      <c r="F12414" s="1">
        <v>45230</v>
      </c>
      <c r="G12414" t="str">
        <f>"0090044"</f>
        <v>0090044</v>
      </c>
      <c r="H12414">
        <v>1</v>
      </c>
      <c r="J12414">
        <v>16.8</v>
      </c>
      <c r="K12414" t="str">
        <f t="shared" si="2219"/>
        <v>809</v>
      </c>
      <c r="L12414">
        <v>16.8</v>
      </c>
    </row>
    <row r="12415" spans="1:12" x14ac:dyDescent="0.25">
      <c r="A12415" t="str">
        <f t="shared" si="2215"/>
        <v>89301000</v>
      </c>
      <c r="B12415" t="str">
        <f t="shared" si="2220"/>
        <v>78051000</v>
      </c>
      <c r="C12415" t="str">
        <f t="shared" si="2221"/>
        <v>78051004</v>
      </c>
      <c r="D12415">
        <v>89301062</v>
      </c>
      <c r="E12415" t="str">
        <f>"525403018"</f>
        <v>525403018</v>
      </c>
      <c r="F12415" s="1">
        <v>45230</v>
      </c>
      <c r="G12415" t="str">
        <f>"0225891"</f>
        <v>0225891</v>
      </c>
      <c r="H12415">
        <v>0.2</v>
      </c>
      <c r="J12415">
        <v>44.65</v>
      </c>
      <c r="K12415" t="str">
        <f t="shared" si="2219"/>
        <v>809</v>
      </c>
      <c r="L12415">
        <v>44.65</v>
      </c>
    </row>
    <row r="12416" spans="1:12" x14ac:dyDescent="0.25">
      <c r="A12416" t="str">
        <f t="shared" si="2215"/>
        <v>89301000</v>
      </c>
      <c r="B12416" t="str">
        <f t="shared" si="2220"/>
        <v>78051000</v>
      </c>
      <c r="C12416" t="str">
        <f t="shared" si="2221"/>
        <v>78051004</v>
      </c>
      <c r="D12416">
        <v>89301062</v>
      </c>
      <c r="E12416" t="str">
        <f>"525403018"</f>
        <v>525403018</v>
      </c>
      <c r="F12416" s="1">
        <v>45230</v>
      </c>
      <c r="G12416" t="str">
        <f>"0096251"</f>
        <v>0096251</v>
      </c>
      <c r="H12416">
        <v>0.17</v>
      </c>
      <c r="J12416">
        <v>198.83</v>
      </c>
      <c r="K12416" t="str">
        <f t="shared" si="2219"/>
        <v>809</v>
      </c>
      <c r="L12416">
        <v>198.83</v>
      </c>
    </row>
    <row r="12417" spans="1:12" x14ac:dyDescent="0.25">
      <c r="A12417" t="str">
        <f t="shared" si="2215"/>
        <v>89301000</v>
      </c>
      <c r="B12417" t="str">
        <f t="shared" si="2220"/>
        <v>78051000</v>
      </c>
      <c r="C12417" t="str">
        <f t="shared" si="2221"/>
        <v>78051004</v>
      </c>
      <c r="D12417">
        <v>89301062</v>
      </c>
      <c r="E12417" t="str">
        <f>"525403018"</f>
        <v>525403018</v>
      </c>
      <c r="F12417" s="1">
        <v>45230</v>
      </c>
      <c r="G12417" t="str">
        <f>"0098943"</f>
        <v>0098943</v>
      </c>
      <c r="H12417">
        <v>1</v>
      </c>
      <c r="J12417">
        <v>293.81</v>
      </c>
      <c r="K12417" t="str">
        <f t="shared" si="2219"/>
        <v>809</v>
      </c>
      <c r="L12417">
        <v>293.81</v>
      </c>
    </row>
    <row r="12418" spans="1:12" x14ac:dyDescent="0.25">
      <c r="A12418" t="str">
        <f t="shared" ref="A12418:A12481" si="2222">"89301000"</f>
        <v>89301000</v>
      </c>
      <c r="B12418" t="str">
        <f t="shared" si="2220"/>
        <v>78051000</v>
      </c>
      <c r="C12418" t="str">
        <f t="shared" si="2221"/>
        <v>78051004</v>
      </c>
      <c r="D12418">
        <v>89301062</v>
      </c>
      <c r="E12418" t="str">
        <f>"7505034504"</f>
        <v>7505034504</v>
      </c>
      <c r="F12418" s="1">
        <v>45224</v>
      </c>
      <c r="G12418" t="str">
        <f>"89311"</f>
        <v>89311</v>
      </c>
      <c r="H12418">
        <v>1</v>
      </c>
      <c r="I12418">
        <v>970</v>
      </c>
      <c r="J12418">
        <v>0</v>
      </c>
      <c r="K12418" t="str">
        <f t="shared" si="2219"/>
        <v>809</v>
      </c>
      <c r="L12418">
        <v>1425.9</v>
      </c>
    </row>
    <row r="12419" spans="1:12" x14ac:dyDescent="0.25">
      <c r="A12419" t="str">
        <f t="shared" si="2222"/>
        <v>89301000</v>
      </c>
      <c r="B12419" t="str">
        <f t="shared" si="2220"/>
        <v>78051000</v>
      </c>
      <c r="C12419" t="str">
        <f t="shared" si="2221"/>
        <v>78051004</v>
      </c>
      <c r="D12419">
        <v>89301062</v>
      </c>
      <c r="E12419" t="str">
        <f>"7505034504"</f>
        <v>7505034504</v>
      </c>
      <c r="F12419" s="1">
        <v>45224</v>
      </c>
      <c r="G12419" t="str">
        <f>"0090044"</f>
        <v>0090044</v>
      </c>
      <c r="H12419">
        <v>1</v>
      </c>
      <c r="J12419">
        <v>16.8</v>
      </c>
      <c r="K12419" t="str">
        <f t="shared" si="2219"/>
        <v>809</v>
      </c>
      <c r="L12419">
        <v>16.8</v>
      </c>
    </row>
    <row r="12420" spans="1:12" x14ac:dyDescent="0.25">
      <c r="A12420" t="str">
        <f t="shared" si="2222"/>
        <v>89301000</v>
      </c>
      <c r="B12420" t="str">
        <f t="shared" si="2220"/>
        <v>78051000</v>
      </c>
      <c r="C12420" t="str">
        <f t="shared" si="2221"/>
        <v>78051004</v>
      </c>
      <c r="D12420">
        <v>89301062</v>
      </c>
      <c r="E12420" t="str">
        <f>"7505034504"</f>
        <v>7505034504</v>
      </c>
      <c r="F12420" s="1">
        <v>45224</v>
      </c>
      <c r="G12420" t="str">
        <f>"0225891"</f>
        <v>0225891</v>
      </c>
      <c r="H12420">
        <v>0.2</v>
      </c>
      <c r="J12420">
        <v>44.65</v>
      </c>
      <c r="K12420" t="str">
        <f t="shared" si="2219"/>
        <v>809</v>
      </c>
      <c r="L12420">
        <v>44.65</v>
      </c>
    </row>
    <row r="12421" spans="1:12" x14ac:dyDescent="0.25">
      <c r="A12421" t="str">
        <f t="shared" si="2222"/>
        <v>89301000</v>
      </c>
      <c r="B12421" t="str">
        <f t="shared" si="2220"/>
        <v>78051000</v>
      </c>
      <c r="C12421" t="str">
        <f t="shared" si="2221"/>
        <v>78051004</v>
      </c>
      <c r="D12421">
        <v>89301062</v>
      </c>
      <c r="E12421" t="str">
        <f>"7505034504"</f>
        <v>7505034504</v>
      </c>
      <c r="F12421" s="1">
        <v>45224</v>
      </c>
      <c r="G12421" t="str">
        <f>"0096251"</f>
        <v>0096251</v>
      </c>
      <c r="H12421">
        <v>0.17</v>
      </c>
      <c r="J12421">
        <v>198.83</v>
      </c>
      <c r="K12421" t="str">
        <f t="shared" si="2219"/>
        <v>809</v>
      </c>
      <c r="L12421">
        <v>198.83</v>
      </c>
    </row>
    <row r="12422" spans="1:12" x14ac:dyDescent="0.25">
      <c r="A12422" t="str">
        <f t="shared" si="2222"/>
        <v>89301000</v>
      </c>
      <c r="B12422" t="str">
        <f t="shared" si="2220"/>
        <v>78051000</v>
      </c>
      <c r="C12422" t="str">
        <f t="shared" si="2221"/>
        <v>78051004</v>
      </c>
      <c r="D12422">
        <v>89301062</v>
      </c>
      <c r="E12422" t="str">
        <f>"7505034504"</f>
        <v>7505034504</v>
      </c>
      <c r="F12422" s="1">
        <v>45224</v>
      </c>
      <c r="G12422" t="str">
        <f>"0098943"</f>
        <v>0098943</v>
      </c>
      <c r="H12422">
        <v>1</v>
      </c>
      <c r="J12422">
        <v>293.81</v>
      </c>
      <c r="K12422" t="str">
        <f t="shared" si="2219"/>
        <v>809</v>
      </c>
      <c r="L12422">
        <v>293.81</v>
      </c>
    </row>
    <row r="12423" spans="1:12" x14ac:dyDescent="0.25">
      <c r="A12423" t="str">
        <f t="shared" si="2222"/>
        <v>89301000</v>
      </c>
      <c r="B12423" t="str">
        <f t="shared" si="2220"/>
        <v>78051000</v>
      </c>
      <c r="C12423" t="str">
        <f t="shared" ref="C12423:C12437" si="2223">"78051017"</f>
        <v>78051017</v>
      </c>
      <c r="D12423">
        <v>89301062</v>
      </c>
      <c r="E12423" t="str">
        <f>"5509281822"</f>
        <v>5509281822</v>
      </c>
      <c r="F12423" s="1">
        <v>45202</v>
      </c>
      <c r="G12423" t="str">
        <f t="shared" ref="G12423:G12437" si="2224">"89615"</f>
        <v>89615</v>
      </c>
      <c r="H12423">
        <v>1</v>
      </c>
      <c r="I12423">
        <v>2199</v>
      </c>
      <c r="J12423">
        <v>0</v>
      </c>
      <c r="K12423" t="str">
        <f t="shared" ref="K12423:K12437" si="2225">"810"</f>
        <v>810</v>
      </c>
      <c r="L12423">
        <v>1429.35</v>
      </c>
    </row>
    <row r="12424" spans="1:12" x14ac:dyDescent="0.25">
      <c r="A12424" t="str">
        <f t="shared" si="2222"/>
        <v>89301000</v>
      </c>
      <c r="B12424" t="str">
        <f t="shared" si="2220"/>
        <v>78051000</v>
      </c>
      <c r="C12424" t="str">
        <f t="shared" si="2223"/>
        <v>78051017</v>
      </c>
      <c r="D12424">
        <v>89301062</v>
      </c>
      <c r="E12424" t="str">
        <f>"6404243120"</f>
        <v>6404243120</v>
      </c>
      <c r="F12424" s="1">
        <v>45202</v>
      </c>
      <c r="G12424" t="str">
        <f t="shared" si="2224"/>
        <v>89615</v>
      </c>
      <c r="H12424">
        <v>1</v>
      </c>
      <c r="I12424">
        <v>2199</v>
      </c>
      <c r="J12424">
        <v>0</v>
      </c>
      <c r="K12424" t="str">
        <f t="shared" si="2225"/>
        <v>810</v>
      </c>
      <c r="L12424">
        <v>1429.35</v>
      </c>
    </row>
    <row r="12425" spans="1:12" x14ac:dyDescent="0.25">
      <c r="A12425" t="str">
        <f t="shared" si="2222"/>
        <v>89301000</v>
      </c>
      <c r="B12425" t="str">
        <f t="shared" si="2220"/>
        <v>78051000</v>
      </c>
      <c r="C12425" t="str">
        <f t="shared" si="2223"/>
        <v>78051017</v>
      </c>
      <c r="D12425">
        <v>89301062</v>
      </c>
      <c r="E12425" t="str">
        <f>"7057295817"</f>
        <v>7057295817</v>
      </c>
      <c r="F12425" s="1">
        <v>45202</v>
      </c>
      <c r="G12425" t="str">
        <f t="shared" si="2224"/>
        <v>89615</v>
      </c>
      <c r="H12425">
        <v>1</v>
      </c>
      <c r="I12425">
        <v>2199</v>
      </c>
      <c r="J12425">
        <v>0</v>
      </c>
      <c r="K12425" t="str">
        <f t="shared" si="2225"/>
        <v>810</v>
      </c>
      <c r="L12425">
        <v>1429.35</v>
      </c>
    </row>
    <row r="12426" spans="1:12" x14ac:dyDescent="0.25">
      <c r="A12426" t="str">
        <f t="shared" si="2222"/>
        <v>89301000</v>
      </c>
      <c r="B12426" t="str">
        <f t="shared" si="2220"/>
        <v>78051000</v>
      </c>
      <c r="C12426" t="str">
        <f t="shared" si="2223"/>
        <v>78051017</v>
      </c>
      <c r="D12426">
        <v>89301062</v>
      </c>
      <c r="E12426" t="str">
        <f>"8658286010"</f>
        <v>8658286010</v>
      </c>
      <c r="F12426" s="1">
        <v>45210</v>
      </c>
      <c r="G12426" t="str">
        <f t="shared" si="2224"/>
        <v>89615</v>
      </c>
      <c r="H12426">
        <v>1</v>
      </c>
      <c r="I12426">
        <v>2199</v>
      </c>
      <c r="J12426">
        <v>0</v>
      </c>
      <c r="K12426" t="str">
        <f t="shared" si="2225"/>
        <v>810</v>
      </c>
      <c r="L12426">
        <v>1429.35</v>
      </c>
    </row>
    <row r="12427" spans="1:12" x14ac:dyDescent="0.25">
      <c r="A12427" t="str">
        <f t="shared" si="2222"/>
        <v>89301000</v>
      </c>
      <c r="B12427" t="str">
        <f t="shared" si="2220"/>
        <v>78051000</v>
      </c>
      <c r="C12427" t="str">
        <f t="shared" si="2223"/>
        <v>78051017</v>
      </c>
      <c r="D12427">
        <v>89301062</v>
      </c>
      <c r="E12427" t="str">
        <f>"5553202303"</f>
        <v>5553202303</v>
      </c>
      <c r="F12427" s="1">
        <v>45216</v>
      </c>
      <c r="G12427" t="str">
        <f t="shared" si="2224"/>
        <v>89615</v>
      </c>
      <c r="H12427">
        <v>1</v>
      </c>
      <c r="I12427">
        <v>2199</v>
      </c>
      <c r="J12427">
        <v>0</v>
      </c>
      <c r="K12427" t="str">
        <f t="shared" si="2225"/>
        <v>810</v>
      </c>
      <c r="L12427">
        <v>1429.35</v>
      </c>
    </row>
    <row r="12428" spans="1:12" x14ac:dyDescent="0.25">
      <c r="A12428" t="str">
        <f t="shared" si="2222"/>
        <v>89301000</v>
      </c>
      <c r="B12428" t="str">
        <f t="shared" si="2220"/>
        <v>78051000</v>
      </c>
      <c r="C12428" t="str">
        <f t="shared" si="2223"/>
        <v>78051017</v>
      </c>
      <c r="D12428">
        <v>89301062</v>
      </c>
      <c r="E12428" t="str">
        <f>"7610145356"</f>
        <v>7610145356</v>
      </c>
      <c r="F12428" s="1">
        <v>45216</v>
      </c>
      <c r="G12428" t="str">
        <f t="shared" si="2224"/>
        <v>89615</v>
      </c>
      <c r="H12428">
        <v>1</v>
      </c>
      <c r="I12428">
        <v>2199</v>
      </c>
      <c r="J12428">
        <v>0</v>
      </c>
      <c r="K12428" t="str">
        <f t="shared" si="2225"/>
        <v>810</v>
      </c>
      <c r="L12428">
        <v>1429.35</v>
      </c>
    </row>
    <row r="12429" spans="1:12" x14ac:dyDescent="0.25">
      <c r="A12429" t="str">
        <f t="shared" si="2222"/>
        <v>89301000</v>
      </c>
      <c r="B12429" t="str">
        <f t="shared" si="2220"/>
        <v>78051000</v>
      </c>
      <c r="C12429" t="str">
        <f t="shared" si="2223"/>
        <v>78051017</v>
      </c>
      <c r="D12429">
        <v>89301062</v>
      </c>
      <c r="E12429" t="str">
        <f>"7459115356"</f>
        <v>7459115356</v>
      </c>
      <c r="F12429" s="1">
        <v>45216</v>
      </c>
      <c r="G12429" t="str">
        <f t="shared" si="2224"/>
        <v>89615</v>
      </c>
      <c r="H12429">
        <v>1</v>
      </c>
      <c r="I12429">
        <v>2199</v>
      </c>
      <c r="J12429">
        <v>0</v>
      </c>
      <c r="K12429" t="str">
        <f t="shared" si="2225"/>
        <v>810</v>
      </c>
      <c r="L12429">
        <v>1429.35</v>
      </c>
    </row>
    <row r="12430" spans="1:12" x14ac:dyDescent="0.25">
      <c r="A12430" t="str">
        <f t="shared" si="2222"/>
        <v>89301000</v>
      </c>
      <c r="B12430" t="str">
        <f t="shared" si="2220"/>
        <v>78051000</v>
      </c>
      <c r="C12430" t="str">
        <f t="shared" si="2223"/>
        <v>78051017</v>
      </c>
      <c r="D12430">
        <v>89301062</v>
      </c>
      <c r="E12430" t="str">
        <f>"485404406"</f>
        <v>485404406</v>
      </c>
      <c r="F12430" s="1">
        <v>45216</v>
      </c>
      <c r="G12430" t="str">
        <f t="shared" si="2224"/>
        <v>89615</v>
      </c>
      <c r="H12430">
        <v>1</v>
      </c>
      <c r="I12430">
        <v>2199</v>
      </c>
      <c r="J12430">
        <v>0</v>
      </c>
      <c r="K12430" t="str">
        <f t="shared" si="2225"/>
        <v>810</v>
      </c>
      <c r="L12430">
        <v>1429.35</v>
      </c>
    </row>
    <row r="12431" spans="1:12" x14ac:dyDescent="0.25">
      <c r="A12431" t="str">
        <f t="shared" si="2222"/>
        <v>89301000</v>
      </c>
      <c r="B12431" t="str">
        <f t="shared" si="2220"/>
        <v>78051000</v>
      </c>
      <c r="C12431" t="str">
        <f t="shared" si="2223"/>
        <v>78051017</v>
      </c>
      <c r="D12431">
        <v>89301062</v>
      </c>
      <c r="E12431" t="str">
        <f>"526125237"</f>
        <v>526125237</v>
      </c>
      <c r="F12431" s="1">
        <v>45224</v>
      </c>
      <c r="G12431" t="str">
        <f t="shared" si="2224"/>
        <v>89615</v>
      </c>
      <c r="H12431">
        <v>1</v>
      </c>
      <c r="I12431">
        <v>2199</v>
      </c>
      <c r="J12431">
        <v>0</v>
      </c>
      <c r="K12431" t="str">
        <f t="shared" si="2225"/>
        <v>810</v>
      </c>
      <c r="L12431">
        <v>1429.35</v>
      </c>
    </row>
    <row r="12432" spans="1:12" x14ac:dyDescent="0.25">
      <c r="A12432" t="str">
        <f t="shared" si="2222"/>
        <v>89301000</v>
      </c>
      <c r="B12432" t="str">
        <f t="shared" si="2220"/>
        <v>78051000</v>
      </c>
      <c r="C12432" t="str">
        <f t="shared" si="2223"/>
        <v>78051017</v>
      </c>
      <c r="D12432">
        <v>89301062</v>
      </c>
      <c r="E12432" t="str">
        <f>"500718153"</f>
        <v>500718153</v>
      </c>
      <c r="F12432" s="1">
        <v>45224</v>
      </c>
      <c r="G12432" t="str">
        <f t="shared" si="2224"/>
        <v>89615</v>
      </c>
      <c r="H12432">
        <v>1</v>
      </c>
      <c r="I12432">
        <v>2199</v>
      </c>
      <c r="J12432">
        <v>0</v>
      </c>
      <c r="K12432" t="str">
        <f t="shared" si="2225"/>
        <v>810</v>
      </c>
      <c r="L12432">
        <v>1429.35</v>
      </c>
    </row>
    <row r="12433" spans="1:12" x14ac:dyDescent="0.25">
      <c r="A12433" t="str">
        <f t="shared" si="2222"/>
        <v>89301000</v>
      </c>
      <c r="B12433" t="str">
        <f t="shared" si="2220"/>
        <v>78051000</v>
      </c>
      <c r="C12433" t="str">
        <f t="shared" si="2223"/>
        <v>78051017</v>
      </c>
      <c r="D12433">
        <v>89301062</v>
      </c>
      <c r="E12433" t="str">
        <f>"7204175682"</f>
        <v>7204175682</v>
      </c>
      <c r="F12433" s="1">
        <v>45224</v>
      </c>
      <c r="G12433" t="str">
        <f t="shared" si="2224"/>
        <v>89615</v>
      </c>
      <c r="H12433">
        <v>1</v>
      </c>
      <c r="I12433">
        <v>2199</v>
      </c>
      <c r="J12433">
        <v>0</v>
      </c>
      <c r="K12433" t="str">
        <f t="shared" si="2225"/>
        <v>810</v>
      </c>
      <c r="L12433">
        <v>1429.35</v>
      </c>
    </row>
    <row r="12434" spans="1:12" x14ac:dyDescent="0.25">
      <c r="A12434" t="str">
        <f t="shared" si="2222"/>
        <v>89301000</v>
      </c>
      <c r="B12434" t="str">
        <f t="shared" si="2220"/>
        <v>78051000</v>
      </c>
      <c r="C12434" t="str">
        <f t="shared" si="2223"/>
        <v>78051017</v>
      </c>
      <c r="D12434">
        <v>89301062</v>
      </c>
      <c r="E12434" t="str">
        <f>"470206405"</f>
        <v>470206405</v>
      </c>
      <c r="F12434" s="1">
        <v>45224</v>
      </c>
      <c r="G12434" t="str">
        <f t="shared" si="2224"/>
        <v>89615</v>
      </c>
      <c r="H12434">
        <v>1</v>
      </c>
      <c r="I12434">
        <v>2199</v>
      </c>
      <c r="J12434">
        <v>0</v>
      </c>
      <c r="K12434" t="str">
        <f t="shared" si="2225"/>
        <v>810</v>
      </c>
      <c r="L12434">
        <v>1429.35</v>
      </c>
    </row>
    <row r="12435" spans="1:12" x14ac:dyDescent="0.25">
      <c r="A12435" t="str">
        <f t="shared" si="2222"/>
        <v>89301000</v>
      </c>
      <c r="B12435" t="str">
        <f t="shared" si="2220"/>
        <v>78051000</v>
      </c>
      <c r="C12435" t="str">
        <f t="shared" si="2223"/>
        <v>78051017</v>
      </c>
      <c r="D12435">
        <v>89301062</v>
      </c>
      <c r="E12435" t="str">
        <f>"7651045776"</f>
        <v>7651045776</v>
      </c>
      <c r="F12435" s="1">
        <v>45224</v>
      </c>
      <c r="G12435" t="str">
        <f t="shared" si="2224"/>
        <v>89615</v>
      </c>
      <c r="H12435">
        <v>1</v>
      </c>
      <c r="I12435">
        <v>2199</v>
      </c>
      <c r="J12435">
        <v>0</v>
      </c>
      <c r="K12435" t="str">
        <f t="shared" si="2225"/>
        <v>810</v>
      </c>
      <c r="L12435">
        <v>1429.35</v>
      </c>
    </row>
    <row r="12436" spans="1:12" x14ac:dyDescent="0.25">
      <c r="A12436" t="str">
        <f t="shared" si="2222"/>
        <v>89301000</v>
      </c>
      <c r="B12436" t="str">
        <f t="shared" si="2220"/>
        <v>78051000</v>
      </c>
      <c r="C12436" t="str">
        <f t="shared" si="2223"/>
        <v>78051017</v>
      </c>
      <c r="D12436">
        <v>89301062</v>
      </c>
      <c r="E12436" t="str">
        <f>"525403018"</f>
        <v>525403018</v>
      </c>
      <c r="F12436" s="1">
        <v>45230</v>
      </c>
      <c r="G12436" t="str">
        <f t="shared" si="2224"/>
        <v>89615</v>
      </c>
      <c r="H12436">
        <v>1</v>
      </c>
      <c r="I12436">
        <v>2199</v>
      </c>
      <c r="J12436">
        <v>0</v>
      </c>
      <c r="K12436" t="str">
        <f t="shared" si="2225"/>
        <v>810</v>
      </c>
      <c r="L12436">
        <v>1429.35</v>
      </c>
    </row>
    <row r="12437" spans="1:12" x14ac:dyDescent="0.25">
      <c r="A12437" t="str">
        <f t="shared" si="2222"/>
        <v>89301000</v>
      </c>
      <c r="B12437" t="str">
        <f t="shared" si="2220"/>
        <v>78051000</v>
      </c>
      <c r="C12437" t="str">
        <f t="shared" si="2223"/>
        <v>78051017</v>
      </c>
      <c r="D12437">
        <v>89301062</v>
      </c>
      <c r="E12437" t="str">
        <f>"7505034504"</f>
        <v>7505034504</v>
      </c>
      <c r="F12437" s="1">
        <v>45224</v>
      </c>
      <c r="G12437" t="str">
        <f t="shared" si="2224"/>
        <v>89615</v>
      </c>
      <c r="H12437">
        <v>1</v>
      </c>
      <c r="I12437">
        <v>2199</v>
      </c>
      <c r="J12437">
        <v>0</v>
      </c>
      <c r="K12437" t="str">
        <f t="shared" si="2225"/>
        <v>810</v>
      </c>
      <c r="L12437">
        <v>1429.35</v>
      </c>
    </row>
    <row r="12438" spans="1:12" x14ac:dyDescent="0.25">
      <c r="A12438" t="str">
        <f t="shared" si="2222"/>
        <v>89301000</v>
      </c>
      <c r="B12438" t="str">
        <f>"89511000"</f>
        <v>89511000</v>
      </c>
      <c r="C12438" t="str">
        <f>"89511001"</f>
        <v>89511001</v>
      </c>
      <c r="D12438">
        <v>89301212</v>
      </c>
      <c r="E12438" t="str">
        <f>"7756215357"</f>
        <v>7756215357</v>
      </c>
      <c r="F12438" s="1">
        <v>45210</v>
      </c>
      <c r="G12438" t="str">
        <f>"89131"</f>
        <v>89131</v>
      </c>
      <c r="H12438">
        <v>1</v>
      </c>
      <c r="I12438">
        <v>190</v>
      </c>
      <c r="J12438">
        <v>0</v>
      </c>
      <c r="K12438" t="str">
        <f>"809"</f>
        <v>809</v>
      </c>
      <c r="L12438">
        <v>279.3</v>
      </c>
    </row>
    <row r="12439" spans="1:12" x14ac:dyDescent="0.25">
      <c r="A12439" t="str">
        <f t="shared" si="2222"/>
        <v>89301000</v>
      </c>
      <c r="B12439" t="str">
        <f t="shared" ref="B12439:B12470" si="2226">"91866000"</f>
        <v>91866000</v>
      </c>
      <c r="C12439" t="str">
        <f t="shared" ref="C12439:C12470" si="2227">"91866313"</f>
        <v>91866313</v>
      </c>
      <c r="D12439">
        <v>89301704</v>
      </c>
      <c r="E12439" t="str">
        <f t="shared" ref="E12439:E12444" si="2228">"1752061124"</f>
        <v>1752061124</v>
      </c>
      <c r="F12439" s="1">
        <v>45203</v>
      </c>
      <c r="G12439" t="str">
        <f t="shared" ref="G12439:G12444" si="2229">"82087"</f>
        <v>82087</v>
      </c>
      <c r="H12439">
        <v>1</v>
      </c>
      <c r="I12439">
        <v>53</v>
      </c>
      <c r="J12439">
        <v>0</v>
      </c>
      <c r="K12439" t="str">
        <f t="shared" ref="K12439:K12470" si="2230">"802"</f>
        <v>802</v>
      </c>
      <c r="L12439">
        <v>51.41</v>
      </c>
    </row>
    <row r="12440" spans="1:12" x14ac:dyDescent="0.25">
      <c r="A12440" t="str">
        <f t="shared" si="2222"/>
        <v>89301000</v>
      </c>
      <c r="B12440" t="str">
        <f t="shared" si="2226"/>
        <v>91866000</v>
      </c>
      <c r="C12440" t="str">
        <f t="shared" si="2227"/>
        <v>91866313</v>
      </c>
      <c r="D12440">
        <v>89301704</v>
      </c>
      <c r="E12440" t="str">
        <f t="shared" si="2228"/>
        <v>1752061124</v>
      </c>
      <c r="F12440" s="1">
        <v>45202</v>
      </c>
      <c r="G12440" t="str">
        <f t="shared" si="2229"/>
        <v>82087</v>
      </c>
      <c r="H12440">
        <v>1</v>
      </c>
      <c r="I12440">
        <v>53</v>
      </c>
      <c r="J12440">
        <v>0</v>
      </c>
      <c r="K12440" t="str">
        <f t="shared" si="2230"/>
        <v>802</v>
      </c>
      <c r="L12440">
        <v>51.41</v>
      </c>
    </row>
    <row r="12441" spans="1:12" x14ac:dyDescent="0.25">
      <c r="A12441" t="str">
        <f t="shared" si="2222"/>
        <v>89301000</v>
      </c>
      <c r="B12441" t="str">
        <f t="shared" si="2226"/>
        <v>91866000</v>
      </c>
      <c r="C12441" t="str">
        <f t="shared" si="2227"/>
        <v>91866313</v>
      </c>
      <c r="D12441">
        <v>89301704</v>
      </c>
      <c r="E12441" t="str">
        <f t="shared" si="2228"/>
        <v>1752061124</v>
      </c>
      <c r="F12441" s="1">
        <v>45204</v>
      </c>
      <c r="G12441" t="str">
        <f t="shared" si="2229"/>
        <v>82087</v>
      </c>
      <c r="H12441">
        <v>1</v>
      </c>
      <c r="I12441">
        <v>53</v>
      </c>
      <c r="J12441">
        <v>0</v>
      </c>
      <c r="K12441" t="str">
        <f t="shared" si="2230"/>
        <v>802</v>
      </c>
      <c r="L12441">
        <v>51.41</v>
      </c>
    </row>
    <row r="12442" spans="1:12" x14ac:dyDescent="0.25">
      <c r="A12442" t="str">
        <f t="shared" si="2222"/>
        <v>89301000</v>
      </c>
      <c r="B12442" t="str">
        <f t="shared" si="2226"/>
        <v>91866000</v>
      </c>
      <c r="C12442" t="str">
        <f t="shared" si="2227"/>
        <v>91866313</v>
      </c>
      <c r="D12442">
        <v>89301704</v>
      </c>
      <c r="E12442" t="str">
        <f t="shared" si="2228"/>
        <v>1752061124</v>
      </c>
      <c r="F12442" s="1">
        <v>45204</v>
      </c>
      <c r="G12442" t="str">
        <f t="shared" si="2229"/>
        <v>82087</v>
      </c>
      <c r="H12442">
        <v>1</v>
      </c>
      <c r="I12442">
        <v>53</v>
      </c>
      <c r="J12442">
        <v>0</v>
      </c>
      <c r="K12442" t="str">
        <f t="shared" si="2230"/>
        <v>802</v>
      </c>
      <c r="L12442">
        <v>51.41</v>
      </c>
    </row>
    <row r="12443" spans="1:12" x14ac:dyDescent="0.25">
      <c r="A12443" t="str">
        <f t="shared" si="2222"/>
        <v>89301000</v>
      </c>
      <c r="B12443" t="str">
        <f t="shared" si="2226"/>
        <v>91866000</v>
      </c>
      <c r="C12443" t="str">
        <f t="shared" si="2227"/>
        <v>91866313</v>
      </c>
      <c r="D12443">
        <v>89301704</v>
      </c>
      <c r="E12443" t="str">
        <f t="shared" si="2228"/>
        <v>1752061124</v>
      </c>
      <c r="F12443" s="1">
        <v>45202</v>
      </c>
      <c r="G12443" t="str">
        <f t="shared" si="2229"/>
        <v>82087</v>
      </c>
      <c r="H12443">
        <v>1</v>
      </c>
      <c r="I12443">
        <v>53</v>
      </c>
      <c r="J12443">
        <v>0</v>
      </c>
      <c r="K12443" t="str">
        <f t="shared" si="2230"/>
        <v>802</v>
      </c>
      <c r="L12443">
        <v>51.41</v>
      </c>
    </row>
    <row r="12444" spans="1:12" x14ac:dyDescent="0.25">
      <c r="A12444" t="str">
        <f t="shared" si="2222"/>
        <v>89301000</v>
      </c>
      <c r="B12444" t="str">
        <f t="shared" si="2226"/>
        <v>91866000</v>
      </c>
      <c r="C12444" t="str">
        <f t="shared" si="2227"/>
        <v>91866313</v>
      </c>
      <c r="D12444">
        <v>89301704</v>
      </c>
      <c r="E12444" t="str">
        <f t="shared" si="2228"/>
        <v>1752061124</v>
      </c>
      <c r="F12444" s="1">
        <v>45203</v>
      </c>
      <c r="G12444" t="str">
        <f t="shared" si="2229"/>
        <v>82087</v>
      </c>
      <c r="H12444">
        <v>1</v>
      </c>
      <c r="I12444">
        <v>53</v>
      </c>
      <c r="J12444">
        <v>0</v>
      </c>
      <c r="K12444" t="str">
        <f t="shared" si="2230"/>
        <v>802</v>
      </c>
      <c r="L12444">
        <v>51.41</v>
      </c>
    </row>
    <row r="12445" spans="1:12" x14ac:dyDescent="0.25">
      <c r="A12445" t="str">
        <f t="shared" si="2222"/>
        <v>89301000</v>
      </c>
      <c r="B12445" t="str">
        <f t="shared" si="2226"/>
        <v>91866000</v>
      </c>
      <c r="C12445" t="str">
        <f t="shared" si="2227"/>
        <v>91866313</v>
      </c>
      <c r="D12445">
        <v>89301704</v>
      </c>
      <c r="E12445" t="str">
        <f t="shared" ref="E12445:E12451" si="2231">"0960186062"</f>
        <v>0960186062</v>
      </c>
      <c r="F12445" s="1">
        <v>45209</v>
      </c>
      <c r="G12445" t="str">
        <f>"97111"</f>
        <v>97111</v>
      </c>
      <c r="H12445">
        <v>1</v>
      </c>
      <c r="I12445">
        <v>19</v>
      </c>
      <c r="J12445">
        <v>0</v>
      </c>
      <c r="K12445" t="str">
        <f t="shared" si="2230"/>
        <v>802</v>
      </c>
      <c r="L12445">
        <v>23.94</v>
      </c>
    </row>
    <row r="12446" spans="1:12" x14ac:dyDescent="0.25">
      <c r="A12446" t="str">
        <f t="shared" si="2222"/>
        <v>89301000</v>
      </c>
      <c r="B12446" t="str">
        <f t="shared" si="2226"/>
        <v>91866000</v>
      </c>
      <c r="C12446" t="str">
        <f t="shared" si="2227"/>
        <v>91866313</v>
      </c>
      <c r="D12446">
        <v>89301704</v>
      </c>
      <c r="E12446" t="str">
        <f t="shared" si="2231"/>
        <v>0960186062</v>
      </c>
      <c r="F12446" s="1">
        <v>45211</v>
      </c>
      <c r="G12446" t="str">
        <f t="shared" ref="G12446:G12451" si="2232">"82087"</f>
        <v>82087</v>
      </c>
      <c r="H12446">
        <v>1</v>
      </c>
      <c r="I12446">
        <v>53</v>
      </c>
      <c r="J12446">
        <v>0</v>
      </c>
      <c r="K12446" t="str">
        <f t="shared" si="2230"/>
        <v>802</v>
      </c>
      <c r="L12446">
        <v>51.41</v>
      </c>
    </row>
    <row r="12447" spans="1:12" x14ac:dyDescent="0.25">
      <c r="A12447" t="str">
        <f t="shared" si="2222"/>
        <v>89301000</v>
      </c>
      <c r="B12447" t="str">
        <f t="shared" si="2226"/>
        <v>91866000</v>
      </c>
      <c r="C12447" t="str">
        <f t="shared" si="2227"/>
        <v>91866313</v>
      </c>
      <c r="D12447">
        <v>89301704</v>
      </c>
      <c r="E12447" t="str">
        <f t="shared" si="2231"/>
        <v>0960186062</v>
      </c>
      <c r="F12447" s="1">
        <v>45210</v>
      </c>
      <c r="G12447" t="str">
        <f t="shared" si="2232"/>
        <v>82087</v>
      </c>
      <c r="H12447">
        <v>1</v>
      </c>
      <c r="I12447">
        <v>53</v>
      </c>
      <c r="J12447">
        <v>0</v>
      </c>
      <c r="K12447" t="str">
        <f t="shared" si="2230"/>
        <v>802</v>
      </c>
      <c r="L12447">
        <v>51.41</v>
      </c>
    </row>
    <row r="12448" spans="1:12" x14ac:dyDescent="0.25">
      <c r="A12448" t="str">
        <f t="shared" si="2222"/>
        <v>89301000</v>
      </c>
      <c r="B12448" t="str">
        <f t="shared" si="2226"/>
        <v>91866000</v>
      </c>
      <c r="C12448" t="str">
        <f t="shared" si="2227"/>
        <v>91866313</v>
      </c>
      <c r="D12448">
        <v>89301704</v>
      </c>
      <c r="E12448" t="str">
        <f t="shared" si="2231"/>
        <v>0960186062</v>
      </c>
      <c r="F12448" s="1">
        <v>45210</v>
      </c>
      <c r="G12448" t="str">
        <f t="shared" si="2232"/>
        <v>82087</v>
      </c>
      <c r="H12448">
        <v>1</v>
      </c>
      <c r="I12448">
        <v>53</v>
      </c>
      <c r="J12448">
        <v>0</v>
      </c>
      <c r="K12448" t="str">
        <f t="shared" si="2230"/>
        <v>802</v>
      </c>
      <c r="L12448">
        <v>51.41</v>
      </c>
    </row>
    <row r="12449" spans="1:12" x14ac:dyDescent="0.25">
      <c r="A12449" t="str">
        <f t="shared" si="2222"/>
        <v>89301000</v>
      </c>
      <c r="B12449" t="str">
        <f t="shared" si="2226"/>
        <v>91866000</v>
      </c>
      <c r="C12449" t="str">
        <f t="shared" si="2227"/>
        <v>91866313</v>
      </c>
      <c r="D12449">
        <v>89301704</v>
      </c>
      <c r="E12449" t="str">
        <f t="shared" si="2231"/>
        <v>0960186062</v>
      </c>
      <c r="F12449" s="1">
        <v>45209</v>
      </c>
      <c r="G12449" t="str">
        <f t="shared" si="2232"/>
        <v>82087</v>
      </c>
      <c r="H12449">
        <v>1</v>
      </c>
      <c r="I12449">
        <v>53</v>
      </c>
      <c r="J12449">
        <v>0</v>
      </c>
      <c r="K12449" t="str">
        <f t="shared" si="2230"/>
        <v>802</v>
      </c>
      <c r="L12449">
        <v>51.41</v>
      </c>
    </row>
    <row r="12450" spans="1:12" x14ac:dyDescent="0.25">
      <c r="A12450" t="str">
        <f t="shared" si="2222"/>
        <v>89301000</v>
      </c>
      <c r="B12450" t="str">
        <f t="shared" si="2226"/>
        <v>91866000</v>
      </c>
      <c r="C12450" t="str">
        <f t="shared" si="2227"/>
        <v>91866313</v>
      </c>
      <c r="D12450">
        <v>89301704</v>
      </c>
      <c r="E12450" t="str">
        <f t="shared" si="2231"/>
        <v>0960186062</v>
      </c>
      <c r="F12450" s="1">
        <v>45211</v>
      </c>
      <c r="G12450" t="str">
        <f t="shared" si="2232"/>
        <v>82087</v>
      </c>
      <c r="H12450">
        <v>1</v>
      </c>
      <c r="I12450">
        <v>53</v>
      </c>
      <c r="J12450">
        <v>0</v>
      </c>
      <c r="K12450" t="str">
        <f t="shared" si="2230"/>
        <v>802</v>
      </c>
      <c r="L12450">
        <v>51.41</v>
      </c>
    </row>
    <row r="12451" spans="1:12" x14ac:dyDescent="0.25">
      <c r="A12451" t="str">
        <f t="shared" si="2222"/>
        <v>89301000</v>
      </c>
      <c r="B12451" t="str">
        <f t="shared" si="2226"/>
        <v>91866000</v>
      </c>
      <c r="C12451" t="str">
        <f t="shared" si="2227"/>
        <v>91866313</v>
      </c>
      <c r="D12451">
        <v>89301704</v>
      </c>
      <c r="E12451" t="str">
        <f t="shared" si="2231"/>
        <v>0960186062</v>
      </c>
      <c r="F12451" s="1">
        <v>45209</v>
      </c>
      <c r="G12451" t="str">
        <f t="shared" si="2232"/>
        <v>82087</v>
      </c>
      <c r="H12451">
        <v>1</v>
      </c>
      <c r="I12451">
        <v>53</v>
      </c>
      <c r="J12451">
        <v>0</v>
      </c>
      <c r="K12451" t="str">
        <f t="shared" si="2230"/>
        <v>802</v>
      </c>
      <c r="L12451">
        <v>51.41</v>
      </c>
    </row>
    <row r="12452" spans="1:12" x14ac:dyDescent="0.25">
      <c r="A12452" t="str">
        <f t="shared" si="2222"/>
        <v>89301000</v>
      </c>
      <c r="B12452" t="str">
        <f t="shared" si="2226"/>
        <v>91866000</v>
      </c>
      <c r="C12452" t="str">
        <f t="shared" si="2227"/>
        <v>91866313</v>
      </c>
      <c r="D12452">
        <v>89301704</v>
      </c>
      <c r="E12452" t="str">
        <f t="shared" ref="E12452:E12458" si="2233">"0758103258"</f>
        <v>0758103258</v>
      </c>
      <c r="F12452" s="1">
        <v>45217</v>
      </c>
      <c r="G12452" t="str">
        <f>"97111"</f>
        <v>97111</v>
      </c>
      <c r="H12452">
        <v>1</v>
      </c>
      <c r="I12452">
        <v>19</v>
      </c>
      <c r="J12452">
        <v>0</v>
      </c>
      <c r="K12452" t="str">
        <f t="shared" si="2230"/>
        <v>802</v>
      </c>
      <c r="L12452">
        <v>23.94</v>
      </c>
    </row>
    <row r="12453" spans="1:12" x14ac:dyDescent="0.25">
      <c r="A12453" t="str">
        <f t="shared" si="2222"/>
        <v>89301000</v>
      </c>
      <c r="B12453" t="str">
        <f t="shared" si="2226"/>
        <v>91866000</v>
      </c>
      <c r="C12453" t="str">
        <f t="shared" si="2227"/>
        <v>91866313</v>
      </c>
      <c r="D12453">
        <v>89301704</v>
      </c>
      <c r="E12453" t="str">
        <f t="shared" si="2233"/>
        <v>0758103258</v>
      </c>
      <c r="F12453" s="1">
        <v>45217</v>
      </c>
      <c r="G12453" t="str">
        <f t="shared" ref="G12453:G12458" si="2234">"82087"</f>
        <v>82087</v>
      </c>
      <c r="H12453">
        <v>1</v>
      </c>
      <c r="I12453">
        <v>53</v>
      </c>
      <c r="J12453">
        <v>0</v>
      </c>
      <c r="K12453" t="str">
        <f t="shared" si="2230"/>
        <v>802</v>
      </c>
      <c r="L12453">
        <v>51.41</v>
      </c>
    </row>
    <row r="12454" spans="1:12" x14ac:dyDescent="0.25">
      <c r="A12454" t="str">
        <f t="shared" si="2222"/>
        <v>89301000</v>
      </c>
      <c r="B12454" t="str">
        <f t="shared" si="2226"/>
        <v>91866000</v>
      </c>
      <c r="C12454" t="str">
        <f t="shared" si="2227"/>
        <v>91866313</v>
      </c>
      <c r="D12454">
        <v>89301704</v>
      </c>
      <c r="E12454" t="str">
        <f t="shared" si="2233"/>
        <v>0758103258</v>
      </c>
      <c r="F12454" s="1">
        <v>45219</v>
      </c>
      <c r="G12454" t="str">
        <f t="shared" si="2234"/>
        <v>82087</v>
      </c>
      <c r="H12454">
        <v>1</v>
      </c>
      <c r="I12454">
        <v>53</v>
      </c>
      <c r="J12454">
        <v>0</v>
      </c>
      <c r="K12454" t="str">
        <f t="shared" si="2230"/>
        <v>802</v>
      </c>
      <c r="L12454">
        <v>51.41</v>
      </c>
    </row>
    <row r="12455" spans="1:12" x14ac:dyDescent="0.25">
      <c r="A12455" t="str">
        <f t="shared" si="2222"/>
        <v>89301000</v>
      </c>
      <c r="B12455" t="str">
        <f t="shared" si="2226"/>
        <v>91866000</v>
      </c>
      <c r="C12455" t="str">
        <f t="shared" si="2227"/>
        <v>91866313</v>
      </c>
      <c r="D12455">
        <v>89301704</v>
      </c>
      <c r="E12455" t="str">
        <f t="shared" si="2233"/>
        <v>0758103258</v>
      </c>
      <c r="F12455" s="1">
        <v>45218</v>
      </c>
      <c r="G12455" t="str">
        <f t="shared" si="2234"/>
        <v>82087</v>
      </c>
      <c r="H12455">
        <v>1</v>
      </c>
      <c r="I12455">
        <v>53</v>
      </c>
      <c r="J12455">
        <v>0</v>
      </c>
      <c r="K12455" t="str">
        <f t="shared" si="2230"/>
        <v>802</v>
      </c>
      <c r="L12455">
        <v>51.41</v>
      </c>
    </row>
    <row r="12456" spans="1:12" x14ac:dyDescent="0.25">
      <c r="A12456" t="str">
        <f t="shared" si="2222"/>
        <v>89301000</v>
      </c>
      <c r="B12456" t="str">
        <f t="shared" si="2226"/>
        <v>91866000</v>
      </c>
      <c r="C12456" t="str">
        <f t="shared" si="2227"/>
        <v>91866313</v>
      </c>
      <c r="D12456">
        <v>89301704</v>
      </c>
      <c r="E12456" t="str">
        <f t="shared" si="2233"/>
        <v>0758103258</v>
      </c>
      <c r="F12456" s="1">
        <v>45219</v>
      </c>
      <c r="G12456" t="str">
        <f t="shared" si="2234"/>
        <v>82087</v>
      </c>
      <c r="H12456">
        <v>1</v>
      </c>
      <c r="I12456">
        <v>53</v>
      </c>
      <c r="J12456">
        <v>0</v>
      </c>
      <c r="K12456" t="str">
        <f t="shared" si="2230"/>
        <v>802</v>
      </c>
      <c r="L12456">
        <v>51.41</v>
      </c>
    </row>
    <row r="12457" spans="1:12" x14ac:dyDescent="0.25">
      <c r="A12457" t="str">
        <f t="shared" si="2222"/>
        <v>89301000</v>
      </c>
      <c r="B12457" t="str">
        <f t="shared" si="2226"/>
        <v>91866000</v>
      </c>
      <c r="C12457" t="str">
        <f t="shared" si="2227"/>
        <v>91866313</v>
      </c>
      <c r="D12457">
        <v>89301704</v>
      </c>
      <c r="E12457" t="str">
        <f t="shared" si="2233"/>
        <v>0758103258</v>
      </c>
      <c r="F12457" s="1">
        <v>45217</v>
      </c>
      <c r="G12457" t="str">
        <f t="shared" si="2234"/>
        <v>82087</v>
      </c>
      <c r="H12457">
        <v>1</v>
      </c>
      <c r="I12457">
        <v>53</v>
      </c>
      <c r="J12457">
        <v>0</v>
      </c>
      <c r="K12457" t="str">
        <f t="shared" si="2230"/>
        <v>802</v>
      </c>
      <c r="L12457">
        <v>51.41</v>
      </c>
    </row>
    <row r="12458" spans="1:12" x14ac:dyDescent="0.25">
      <c r="A12458" t="str">
        <f t="shared" si="2222"/>
        <v>89301000</v>
      </c>
      <c r="B12458" t="str">
        <f t="shared" si="2226"/>
        <v>91866000</v>
      </c>
      <c r="C12458" t="str">
        <f t="shared" si="2227"/>
        <v>91866313</v>
      </c>
      <c r="D12458">
        <v>89301704</v>
      </c>
      <c r="E12458" t="str">
        <f t="shared" si="2233"/>
        <v>0758103258</v>
      </c>
      <c r="F12458" s="1">
        <v>45218</v>
      </c>
      <c r="G12458" t="str">
        <f t="shared" si="2234"/>
        <v>82087</v>
      </c>
      <c r="H12458">
        <v>1</v>
      </c>
      <c r="I12458">
        <v>53</v>
      </c>
      <c r="J12458">
        <v>0</v>
      </c>
      <c r="K12458" t="str">
        <f t="shared" si="2230"/>
        <v>802</v>
      </c>
      <c r="L12458">
        <v>51.41</v>
      </c>
    </row>
    <row r="12459" spans="1:12" x14ac:dyDescent="0.25">
      <c r="A12459" t="str">
        <f t="shared" si="2222"/>
        <v>89301000</v>
      </c>
      <c r="B12459" t="str">
        <f t="shared" si="2226"/>
        <v>91866000</v>
      </c>
      <c r="C12459" t="str">
        <f t="shared" si="2227"/>
        <v>91866313</v>
      </c>
      <c r="D12459">
        <v>89301108</v>
      </c>
      <c r="E12459" t="str">
        <f>"1257250170"</f>
        <v>1257250170</v>
      </c>
      <c r="F12459" s="1">
        <v>45218</v>
      </c>
      <c r="G12459" t="str">
        <f>"97111"</f>
        <v>97111</v>
      </c>
      <c r="H12459">
        <v>1</v>
      </c>
      <c r="I12459">
        <v>19</v>
      </c>
      <c r="J12459">
        <v>0</v>
      </c>
      <c r="K12459" t="str">
        <f t="shared" si="2230"/>
        <v>802</v>
      </c>
      <c r="L12459">
        <v>23.94</v>
      </c>
    </row>
    <row r="12460" spans="1:12" x14ac:dyDescent="0.25">
      <c r="A12460" t="str">
        <f t="shared" si="2222"/>
        <v>89301000</v>
      </c>
      <c r="B12460" t="str">
        <f t="shared" si="2226"/>
        <v>91866000</v>
      </c>
      <c r="C12460" t="str">
        <f t="shared" si="2227"/>
        <v>91866313</v>
      </c>
      <c r="D12460">
        <v>89301108</v>
      </c>
      <c r="E12460" t="str">
        <f>"1257250170"</f>
        <v>1257250170</v>
      </c>
      <c r="F12460" s="1">
        <v>45218</v>
      </c>
      <c r="G12460" t="str">
        <f>"82079"</f>
        <v>82079</v>
      </c>
      <c r="H12460">
        <v>1</v>
      </c>
      <c r="I12460">
        <v>333</v>
      </c>
      <c r="J12460">
        <v>0</v>
      </c>
      <c r="K12460" t="str">
        <f t="shared" si="2230"/>
        <v>802</v>
      </c>
      <c r="L12460">
        <v>323.01</v>
      </c>
    </row>
    <row r="12461" spans="1:12" x14ac:dyDescent="0.25">
      <c r="A12461" t="str">
        <f t="shared" si="2222"/>
        <v>89301000</v>
      </c>
      <c r="B12461" t="str">
        <f t="shared" si="2226"/>
        <v>91866000</v>
      </c>
      <c r="C12461" t="str">
        <f t="shared" si="2227"/>
        <v>91866313</v>
      </c>
      <c r="D12461">
        <v>89301108</v>
      </c>
      <c r="E12461" t="str">
        <f>"1257250170"</f>
        <v>1257250170</v>
      </c>
      <c r="F12461" s="1">
        <v>45218</v>
      </c>
      <c r="G12461" t="str">
        <f>"82079"</f>
        <v>82079</v>
      </c>
      <c r="H12461">
        <v>1</v>
      </c>
      <c r="I12461">
        <v>333</v>
      </c>
      <c r="J12461">
        <v>0</v>
      </c>
      <c r="K12461" t="str">
        <f t="shared" si="2230"/>
        <v>802</v>
      </c>
      <c r="L12461">
        <v>323.01</v>
      </c>
    </row>
    <row r="12462" spans="1:12" x14ac:dyDescent="0.25">
      <c r="A12462" t="str">
        <f t="shared" si="2222"/>
        <v>89301000</v>
      </c>
      <c r="B12462" t="str">
        <f t="shared" si="2226"/>
        <v>91866000</v>
      </c>
      <c r="C12462" t="str">
        <f t="shared" si="2227"/>
        <v>91866313</v>
      </c>
      <c r="D12462">
        <v>89301108</v>
      </c>
      <c r="E12462" t="str">
        <f>"1257250170"</f>
        <v>1257250170</v>
      </c>
      <c r="F12462" s="1">
        <v>45218</v>
      </c>
      <c r="G12462" t="str">
        <f>"82079"</f>
        <v>82079</v>
      </c>
      <c r="H12462">
        <v>1</v>
      </c>
      <c r="I12462">
        <v>333</v>
      </c>
      <c r="J12462">
        <v>0</v>
      </c>
      <c r="K12462" t="str">
        <f t="shared" si="2230"/>
        <v>802</v>
      </c>
      <c r="L12462">
        <v>323.01</v>
      </c>
    </row>
    <row r="12463" spans="1:12" x14ac:dyDescent="0.25">
      <c r="A12463" t="str">
        <f t="shared" si="2222"/>
        <v>89301000</v>
      </c>
      <c r="B12463" t="str">
        <f t="shared" si="2226"/>
        <v>91866000</v>
      </c>
      <c r="C12463" t="str">
        <f t="shared" si="2227"/>
        <v>91866313</v>
      </c>
      <c r="D12463">
        <v>89301101</v>
      </c>
      <c r="E12463" t="str">
        <f t="shared" ref="E12463:E12468" si="2235">"0760026091"</f>
        <v>0760026091</v>
      </c>
      <c r="F12463" s="1">
        <v>45218</v>
      </c>
      <c r="G12463" t="str">
        <f t="shared" ref="G12463:G12468" si="2236">"82087"</f>
        <v>82087</v>
      </c>
      <c r="H12463">
        <v>1</v>
      </c>
      <c r="I12463">
        <v>53</v>
      </c>
      <c r="J12463">
        <v>0</v>
      </c>
      <c r="K12463" t="str">
        <f t="shared" si="2230"/>
        <v>802</v>
      </c>
      <c r="L12463">
        <v>51.41</v>
      </c>
    </row>
    <row r="12464" spans="1:12" x14ac:dyDescent="0.25">
      <c r="A12464" t="str">
        <f t="shared" si="2222"/>
        <v>89301000</v>
      </c>
      <c r="B12464" t="str">
        <f t="shared" si="2226"/>
        <v>91866000</v>
      </c>
      <c r="C12464" t="str">
        <f t="shared" si="2227"/>
        <v>91866313</v>
      </c>
      <c r="D12464">
        <v>89301101</v>
      </c>
      <c r="E12464" t="str">
        <f t="shared" si="2235"/>
        <v>0760026091</v>
      </c>
      <c r="F12464" s="1">
        <v>45218</v>
      </c>
      <c r="G12464" t="str">
        <f t="shared" si="2236"/>
        <v>82087</v>
      </c>
      <c r="H12464">
        <v>1</v>
      </c>
      <c r="I12464">
        <v>53</v>
      </c>
      <c r="J12464">
        <v>0</v>
      </c>
      <c r="K12464" t="str">
        <f t="shared" si="2230"/>
        <v>802</v>
      </c>
      <c r="L12464">
        <v>51.41</v>
      </c>
    </row>
    <row r="12465" spans="1:12" x14ac:dyDescent="0.25">
      <c r="A12465" t="str">
        <f t="shared" si="2222"/>
        <v>89301000</v>
      </c>
      <c r="B12465" t="str">
        <f t="shared" si="2226"/>
        <v>91866000</v>
      </c>
      <c r="C12465" t="str">
        <f t="shared" si="2227"/>
        <v>91866313</v>
      </c>
      <c r="D12465">
        <v>89301101</v>
      </c>
      <c r="E12465" t="str">
        <f t="shared" si="2235"/>
        <v>0760026091</v>
      </c>
      <c r="F12465" s="1">
        <v>45219</v>
      </c>
      <c r="G12465" t="str">
        <f t="shared" si="2236"/>
        <v>82087</v>
      </c>
      <c r="H12465">
        <v>1</v>
      </c>
      <c r="I12465">
        <v>53</v>
      </c>
      <c r="J12465">
        <v>0</v>
      </c>
      <c r="K12465" t="str">
        <f t="shared" si="2230"/>
        <v>802</v>
      </c>
      <c r="L12465">
        <v>51.41</v>
      </c>
    </row>
    <row r="12466" spans="1:12" x14ac:dyDescent="0.25">
      <c r="A12466" t="str">
        <f t="shared" si="2222"/>
        <v>89301000</v>
      </c>
      <c r="B12466" t="str">
        <f t="shared" si="2226"/>
        <v>91866000</v>
      </c>
      <c r="C12466" t="str">
        <f t="shared" si="2227"/>
        <v>91866313</v>
      </c>
      <c r="D12466">
        <v>89301101</v>
      </c>
      <c r="E12466" t="str">
        <f t="shared" si="2235"/>
        <v>0760026091</v>
      </c>
      <c r="F12466" s="1">
        <v>45220</v>
      </c>
      <c r="G12466" t="str">
        <f t="shared" si="2236"/>
        <v>82087</v>
      </c>
      <c r="H12466">
        <v>1</v>
      </c>
      <c r="I12466">
        <v>53</v>
      </c>
      <c r="J12466">
        <v>0</v>
      </c>
      <c r="K12466" t="str">
        <f t="shared" si="2230"/>
        <v>802</v>
      </c>
      <c r="L12466">
        <v>51.41</v>
      </c>
    </row>
    <row r="12467" spans="1:12" x14ac:dyDescent="0.25">
      <c r="A12467" t="str">
        <f t="shared" si="2222"/>
        <v>89301000</v>
      </c>
      <c r="B12467" t="str">
        <f t="shared" si="2226"/>
        <v>91866000</v>
      </c>
      <c r="C12467" t="str">
        <f t="shared" si="2227"/>
        <v>91866313</v>
      </c>
      <c r="D12467">
        <v>89301101</v>
      </c>
      <c r="E12467" t="str">
        <f t="shared" si="2235"/>
        <v>0760026091</v>
      </c>
      <c r="F12467" s="1">
        <v>45219</v>
      </c>
      <c r="G12467" t="str">
        <f t="shared" si="2236"/>
        <v>82087</v>
      </c>
      <c r="H12467">
        <v>1</v>
      </c>
      <c r="I12467">
        <v>53</v>
      </c>
      <c r="J12467">
        <v>0</v>
      </c>
      <c r="K12467" t="str">
        <f t="shared" si="2230"/>
        <v>802</v>
      </c>
      <c r="L12467">
        <v>51.41</v>
      </c>
    </row>
    <row r="12468" spans="1:12" x14ac:dyDescent="0.25">
      <c r="A12468" t="str">
        <f t="shared" si="2222"/>
        <v>89301000</v>
      </c>
      <c r="B12468" t="str">
        <f t="shared" si="2226"/>
        <v>91866000</v>
      </c>
      <c r="C12468" t="str">
        <f t="shared" si="2227"/>
        <v>91866313</v>
      </c>
      <c r="D12468">
        <v>89301101</v>
      </c>
      <c r="E12468" t="str">
        <f t="shared" si="2235"/>
        <v>0760026091</v>
      </c>
      <c r="F12468" s="1">
        <v>45220</v>
      </c>
      <c r="G12468" t="str">
        <f t="shared" si="2236"/>
        <v>82087</v>
      </c>
      <c r="H12468">
        <v>1</v>
      </c>
      <c r="I12468">
        <v>53</v>
      </c>
      <c r="J12468">
        <v>0</v>
      </c>
      <c r="K12468" t="str">
        <f t="shared" si="2230"/>
        <v>802</v>
      </c>
      <c r="L12468">
        <v>51.41</v>
      </c>
    </row>
    <row r="12469" spans="1:12" x14ac:dyDescent="0.25">
      <c r="A12469" t="str">
        <f t="shared" si="2222"/>
        <v>89301000</v>
      </c>
      <c r="B12469" t="str">
        <f t="shared" si="2226"/>
        <v>91866000</v>
      </c>
      <c r="C12469" t="str">
        <f t="shared" si="2227"/>
        <v>91866313</v>
      </c>
      <c r="D12469">
        <v>89301704</v>
      </c>
      <c r="E12469" t="str">
        <f t="shared" ref="E12469:E12475" si="2237">"0958035364"</f>
        <v>0958035364</v>
      </c>
      <c r="F12469" s="1">
        <v>45218</v>
      </c>
      <c r="G12469" t="str">
        <f>"97111"</f>
        <v>97111</v>
      </c>
      <c r="H12469">
        <v>1</v>
      </c>
      <c r="I12469">
        <v>19</v>
      </c>
      <c r="J12469">
        <v>0</v>
      </c>
      <c r="K12469" t="str">
        <f t="shared" si="2230"/>
        <v>802</v>
      </c>
      <c r="L12469">
        <v>23.94</v>
      </c>
    </row>
    <row r="12470" spans="1:12" x14ac:dyDescent="0.25">
      <c r="A12470" t="str">
        <f t="shared" si="2222"/>
        <v>89301000</v>
      </c>
      <c r="B12470" t="str">
        <f t="shared" si="2226"/>
        <v>91866000</v>
      </c>
      <c r="C12470" t="str">
        <f t="shared" si="2227"/>
        <v>91866313</v>
      </c>
      <c r="D12470">
        <v>89301704</v>
      </c>
      <c r="E12470" t="str">
        <f t="shared" si="2237"/>
        <v>0958035364</v>
      </c>
      <c r="F12470" s="1">
        <v>45220</v>
      </c>
      <c r="G12470" t="str">
        <f t="shared" ref="G12470:G12475" si="2238">"82087"</f>
        <v>82087</v>
      </c>
      <c r="H12470">
        <v>1</v>
      </c>
      <c r="I12470">
        <v>53</v>
      </c>
      <c r="J12470">
        <v>0</v>
      </c>
      <c r="K12470" t="str">
        <f t="shared" si="2230"/>
        <v>802</v>
      </c>
      <c r="L12470">
        <v>51.41</v>
      </c>
    </row>
    <row r="12471" spans="1:12" x14ac:dyDescent="0.25">
      <c r="A12471" t="str">
        <f t="shared" si="2222"/>
        <v>89301000</v>
      </c>
      <c r="B12471" t="str">
        <f t="shared" ref="B12471:B12502" si="2239">"91866000"</f>
        <v>91866000</v>
      </c>
      <c r="C12471" t="str">
        <f t="shared" ref="C12471:C12502" si="2240">"91866313"</f>
        <v>91866313</v>
      </c>
      <c r="D12471">
        <v>89301704</v>
      </c>
      <c r="E12471" t="str">
        <f t="shared" si="2237"/>
        <v>0958035364</v>
      </c>
      <c r="F12471" s="1">
        <v>45219</v>
      </c>
      <c r="G12471" t="str">
        <f t="shared" si="2238"/>
        <v>82087</v>
      </c>
      <c r="H12471">
        <v>1</v>
      </c>
      <c r="I12471">
        <v>53</v>
      </c>
      <c r="J12471">
        <v>0</v>
      </c>
      <c r="K12471" t="str">
        <f t="shared" ref="K12471:K12502" si="2241">"802"</f>
        <v>802</v>
      </c>
      <c r="L12471">
        <v>51.41</v>
      </c>
    </row>
    <row r="12472" spans="1:12" x14ac:dyDescent="0.25">
      <c r="A12472" t="str">
        <f t="shared" si="2222"/>
        <v>89301000</v>
      </c>
      <c r="B12472" t="str">
        <f t="shared" si="2239"/>
        <v>91866000</v>
      </c>
      <c r="C12472" t="str">
        <f t="shared" si="2240"/>
        <v>91866313</v>
      </c>
      <c r="D12472">
        <v>89301704</v>
      </c>
      <c r="E12472" t="str">
        <f t="shared" si="2237"/>
        <v>0958035364</v>
      </c>
      <c r="F12472" s="1">
        <v>45219</v>
      </c>
      <c r="G12472" t="str">
        <f t="shared" si="2238"/>
        <v>82087</v>
      </c>
      <c r="H12472">
        <v>1</v>
      </c>
      <c r="I12472">
        <v>53</v>
      </c>
      <c r="J12472">
        <v>0</v>
      </c>
      <c r="K12472" t="str">
        <f t="shared" si="2241"/>
        <v>802</v>
      </c>
      <c r="L12472">
        <v>51.41</v>
      </c>
    </row>
    <row r="12473" spans="1:12" x14ac:dyDescent="0.25">
      <c r="A12473" t="str">
        <f t="shared" si="2222"/>
        <v>89301000</v>
      </c>
      <c r="B12473" t="str">
        <f t="shared" si="2239"/>
        <v>91866000</v>
      </c>
      <c r="C12473" t="str">
        <f t="shared" si="2240"/>
        <v>91866313</v>
      </c>
      <c r="D12473">
        <v>89301704</v>
      </c>
      <c r="E12473" t="str">
        <f t="shared" si="2237"/>
        <v>0958035364</v>
      </c>
      <c r="F12473" s="1">
        <v>45220</v>
      </c>
      <c r="G12473" t="str">
        <f t="shared" si="2238"/>
        <v>82087</v>
      </c>
      <c r="H12473">
        <v>1</v>
      </c>
      <c r="I12473">
        <v>53</v>
      </c>
      <c r="J12473">
        <v>0</v>
      </c>
      <c r="K12473" t="str">
        <f t="shared" si="2241"/>
        <v>802</v>
      </c>
      <c r="L12473">
        <v>51.41</v>
      </c>
    </row>
    <row r="12474" spans="1:12" x14ac:dyDescent="0.25">
      <c r="A12474" t="str">
        <f t="shared" si="2222"/>
        <v>89301000</v>
      </c>
      <c r="B12474" t="str">
        <f t="shared" si="2239"/>
        <v>91866000</v>
      </c>
      <c r="C12474" t="str">
        <f t="shared" si="2240"/>
        <v>91866313</v>
      </c>
      <c r="D12474">
        <v>89301704</v>
      </c>
      <c r="E12474" t="str">
        <f t="shared" si="2237"/>
        <v>0958035364</v>
      </c>
      <c r="F12474" s="1">
        <v>45218</v>
      </c>
      <c r="G12474" t="str">
        <f t="shared" si="2238"/>
        <v>82087</v>
      </c>
      <c r="H12474">
        <v>1</v>
      </c>
      <c r="I12474">
        <v>53</v>
      </c>
      <c r="J12474">
        <v>0</v>
      </c>
      <c r="K12474" t="str">
        <f t="shared" si="2241"/>
        <v>802</v>
      </c>
      <c r="L12474">
        <v>51.41</v>
      </c>
    </row>
    <row r="12475" spans="1:12" x14ac:dyDescent="0.25">
      <c r="A12475" t="str">
        <f t="shared" si="2222"/>
        <v>89301000</v>
      </c>
      <c r="B12475" t="str">
        <f t="shared" si="2239"/>
        <v>91866000</v>
      </c>
      <c r="C12475" t="str">
        <f t="shared" si="2240"/>
        <v>91866313</v>
      </c>
      <c r="D12475">
        <v>89301704</v>
      </c>
      <c r="E12475" t="str">
        <f t="shared" si="2237"/>
        <v>0958035364</v>
      </c>
      <c r="F12475" s="1">
        <v>45218</v>
      </c>
      <c r="G12475" t="str">
        <f t="shared" si="2238"/>
        <v>82087</v>
      </c>
      <c r="H12475">
        <v>1</v>
      </c>
      <c r="I12475">
        <v>53</v>
      </c>
      <c r="J12475">
        <v>0</v>
      </c>
      <c r="K12475" t="str">
        <f t="shared" si="2241"/>
        <v>802</v>
      </c>
      <c r="L12475">
        <v>51.41</v>
      </c>
    </row>
    <row r="12476" spans="1:12" x14ac:dyDescent="0.25">
      <c r="A12476" t="str">
        <f t="shared" si="2222"/>
        <v>89301000</v>
      </c>
      <c r="B12476" t="str">
        <f t="shared" si="2239"/>
        <v>91866000</v>
      </c>
      <c r="C12476" t="str">
        <f t="shared" si="2240"/>
        <v>91866313</v>
      </c>
      <c r="D12476">
        <v>89301102</v>
      </c>
      <c r="E12476" t="str">
        <f t="shared" ref="E12476:E12482" si="2242">"1759250504"</f>
        <v>1759250504</v>
      </c>
      <c r="F12476" s="1">
        <v>45223</v>
      </c>
      <c r="G12476" t="str">
        <f>"97111"</f>
        <v>97111</v>
      </c>
      <c r="H12476">
        <v>1</v>
      </c>
      <c r="I12476">
        <v>19</v>
      </c>
      <c r="J12476">
        <v>0</v>
      </c>
      <c r="K12476" t="str">
        <f t="shared" si="2241"/>
        <v>802</v>
      </c>
      <c r="L12476">
        <v>23.94</v>
      </c>
    </row>
    <row r="12477" spans="1:12" x14ac:dyDescent="0.25">
      <c r="A12477" t="str">
        <f t="shared" si="2222"/>
        <v>89301000</v>
      </c>
      <c r="B12477" t="str">
        <f t="shared" si="2239"/>
        <v>91866000</v>
      </c>
      <c r="C12477" t="str">
        <f t="shared" si="2240"/>
        <v>91866313</v>
      </c>
      <c r="D12477">
        <v>89301102</v>
      </c>
      <c r="E12477" t="str">
        <f t="shared" si="2242"/>
        <v>1759250504</v>
      </c>
      <c r="F12477" s="1">
        <v>45223</v>
      </c>
      <c r="G12477" t="str">
        <f t="shared" ref="G12477:G12482" si="2243">"82087"</f>
        <v>82087</v>
      </c>
      <c r="H12477">
        <v>1</v>
      </c>
      <c r="I12477">
        <v>53</v>
      </c>
      <c r="J12477">
        <v>0</v>
      </c>
      <c r="K12477" t="str">
        <f t="shared" si="2241"/>
        <v>802</v>
      </c>
      <c r="L12477">
        <v>51.41</v>
      </c>
    </row>
    <row r="12478" spans="1:12" x14ac:dyDescent="0.25">
      <c r="A12478" t="str">
        <f t="shared" si="2222"/>
        <v>89301000</v>
      </c>
      <c r="B12478" t="str">
        <f t="shared" si="2239"/>
        <v>91866000</v>
      </c>
      <c r="C12478" t="str">
        <f t="shared" si="2240"/>
        <v>91866313</v>
      </c>
      <c r="D12478">
        <v>89301102</v>
      </c>
      <c r="E12478" t="str">
        <f t="shared" si="2242"/>
        <v>1759250504</v>
      </c>
      <c r="F12478" s="1">
        <v>45223</v>
      </c>
      <c r="G12478" t="str">
        <f t="shared" si="2243"/>
        <v>82087</v>
      </c>
      <c r="H12478">
        <v>1</v>
      </c>
      <c r="I12478">
        <v>53</v>
      </c>
      <c r="J12478">
        <v>0</v>
      </c>
      <c r="K12478" t="str">
        <f t="shared" si="2241"/>
        <v>802</v>
      </c>
      <c r="L12478">
        <v>51.41</v>
      </c>
    </row>
    <row r="12479" spans="1:12" x14ac:dyDescent="0.25">
      <c r="A12479" t="str">
        <f t="shared" si="2222"/>
        <v>89301000</v>
      </c>
      <c r="B12479" t="str">
        <f t="shared" si="2239"/>
        <v>91866000</v>
      </c>
      <c r="C12479" t="str">
        <f t="shared" si="2240"/>
        <v>91866313</v>
      </c>
      <c r="D12479">
        <v>89301102</v>
      </c>
      <c r="E12479" t="str">
        <f t="shared" si="2242"/>
        <v>1759250504</v>
      </c>
      <c r="F12479" s="1">
        <v>45225</v>
      </c>
      <c r="G12479" t="str">
        <f t="shared" si="2243"/>
        <v>82087</v>
      </c>
      <c r="H12479">
        <v>1</v>
      </c>
      <c r="I12479">
        <v>53</v>
      </c>
      <c r="J12479">
        <v>0</v>
      </c>
      <c r="K12479" t="str">
        <f t="shared" si="2241"/>
        <v>802</v>
      </c>
      <c r="L12479">
        <v>51.41</v>
      </c>
    </row>
    <row r="12480" spans="1:12" x14ac:dyDescent="0.25">
      <c r="A12480" t="str">
        <f t="shared" si="2222"/>
        <v>89301000</v>
      </c>
      <c r="B12480" t="str">
        <f t="shared" si="2239"/>
        <v>91866000</v>
      </c>
      <c r="C12480" t="str">
        <f t="shared" si="2240"/>
        <v>91866313</v>
      </c>
      <c r="D12480">
        <v>89301102</v>
      </c>
      <c r="E12480" t="str">
        <f t="shared" si="2242"/>
        <v>1759250504</v>
      </c>
      <c r="F12480" s="1">
        <v>45224</v>
      </c>
      <c r="G12480" t="str">
        <f t="shared" si="2243"/>
        <v>82087</v>
      </c>
      <c r="H12480">
        <v>1</v>
      </c>
      <c r="I12480">
        <v>53</v>
      </c>
      <c r="J12480">
        <v>0</v>
      </c>
      <c r="K12480" t="str">
        <f t="shared" si="2241"/>
        <v>802</v>
      </c>
      <c r="L12480">
        <v>51.41</v>
      </c>
    </row>
    <row r="12481" spans="1:12" x14ac:dyDescent="0.25">
      <c r="A12481" t="str">
        <f t="shared" si="2222"/>
        <v>89301000</v>
      </c>
      <c r="B12481" t="str">
        <f t="shared" si="2239"/>
        <v>91866000</v>
      </c>
      <c r="C12481" t="str">
        <f t="shared" si="2240"/>
        <v>91866313</v>
      </c>
      <c r="D12481">
        <v>89301102</v>
      </c>
      <c r="E12481" t="str">
        <f t="shared" si="2242"/>
        <v>1759250504</v>
      </c>
      <c r="F12481" s="1">
        <v>45224</v>
      </c>
      <c r="G12481" t="str">
        <f t="shared" si="2243"/>
        <v>82087</v>
      </c>
      <c r="H12481">
        <v>1</v>
      </c>
      <c r="I12481">
        <v>53</v>
      </c>
      <c r="J12481">
        <v>0</v>
      </c>
      <c r="K12481" t="str">
        <f t="shared" si="2241"/>
        <v>802</v>
      </c>
      <c r="L12481">
        <v>51.41</v>
      </c>
    </row>
    <row r="12482" spans="1:12" x14ac:dyDescent="0.25">
      <c r="A12482" t="str">
        <f t="shared" ref="A12482:A12545" si="2244">"89301000"</f>
        <v>89301000</v>
      </c>
      <c r="B12482" t="str">
        <f t="shared" si="2239"/>
        <v>91866000</v>
      </c>
      <c r="C12482" t="str">
        <f t="shared" si="2240"/>
        <v>91866313</v>
      </c>
      <c r="D12482">
        <v>89301102</v>
      </c>
      <c r="E12482" t="str">
        <f t="shared" si="2242"/>
        <v>1759250504</v>
      </c>
      <c r="F12482" s="1">
        <v>45225</v>
      </c>
      <c r="G12482" t="str">
        <f t="shared" si="2243"/>
        <v>82087</v>
      </c>
      <c r="H12482">
        <v>1</v>
      </c>
      <c r="I12482">
        <v>53</v>
      </c>
      <c r="J12482">
        <v>0</v>
      </c>
      <c r="K12482" t="str">
        <f t="shared" si="2241"/>
        <v>802</v>
      </c>
      <c r="L12482">
        <v>51.41</v>
      </c>
    </row>
    <row r="12483" spans="1:12" x14ac:dyDescent="0.25">
      <c r="A12483" t="str">
        <f t="shared" si="2244"/>
        <v>89301000</v>
      </c>
      <c r="B12483" t="str">
        <f t="shared" si="2239"/>
        <v>91866000</v>
      </c>
      <c r="C12483" t="str">
        <f t="shared" si="2240"/>
        <v>91866313</v>
      </c>
      <c r="D12483">
        <v>89301704</v>
      </c>
      <c r="E12483" t="str">
        <f t="shared" ref="E12483:E12489" si="2245">"1054153243"</f>
        <v>1054153243</v>
      </c>
      <c r="F12483" s="1">
        <v>45223</v>
      </c>
      <c r="G12483" t="str">
        <f>"97111"</f>
        <v>97111</v>
      </c>
      <c r="H12483">
        <v>1</v>
      </c>
      <c r="I12483">
        <v>19</v>
      </c>
      <c r="J12483">
        <v>0</v>
      </c>
      <c r="K12483" t="str">
        <f t="shared" si="2241"/>
        <v>802</v>
      </c>
      <c r="L12483">
        <v>23.94</v>
      </c>
    </row>
    <row r="12484" spans="1:12" x14ac:dyDescent="0.25">
      <c r="A12484" t="str">
        <f t="shared" si="2244"/>
        <v>89301000</v>
      </c>
      <c r="B12484" t="str">
        <f t="shared" si="2239"/>
        <v>91866000</v>
      </c>
      <c r="C12484" t="str">
        <f t="shared" si="2240"/>
        <v>91866313</v>
      </c>
      <c r="D12484">
        <v>89301704</v>
      </c>
      <c r="E12484" t="str">
        <f t="shared" si="2245"/>
        <v>1054153243</v>
      </c>
      <c r="F12484" s="1">
        <v>45224</v>
      </c>
      <c r="G12484" t="str">
        <f t="shared" ref="G12484:G12489" si="2246">"82087"</f>
        <v>82087</v>
      </c>
      <c r="H12484">
        <v>1</v>
      </c>
      <c r="I12484">
        <v>53</v>
      </c>
      <c r="J12484">
        <v>0</v>
      </c>
      <c r="K12484" t="str">
        <f t="shared" si="2241"/>
        <v>802</v>
      </c>
      <c r="L12484">
        <v>51.41</v>
      </c>
    </row>
    <row r="12485" spans="1:12" x14ac:dyDescent="0.25">
      <c r="A12485" t="str">
        <f t="shared" si="2244"/>
        <v>89301000</v>
      </c>
      <c r="B12485" t="str">
        <f t="shared" si="2239"/>
        <v>91866000</v>
      </c>
      <c r="C12485" t="str">
        <f t="shared" si="2240"/>
        <v>91866313</v>
      </c>
      <c r="D12485">
        <v>89301704</v>
      </c>
      <c r="E12485" t="str">
        <f t="shared" si="2245"/>
        <v>1054153243</v>
      </c>
      <c r="F12485" s="1">
        <v>45225</v>
      </c>
      <c r="G12485" t="str">
        <f t="shared" si="2246"/>
        <v>82087</v>
      </c>
      <c r="H12485">
        <v>1</v>
      </c>
      <c r="I12485">
        <v>53</v>
      </c>
      <c r="J12485">
        <v>0</v>
      </c>
      <c r="K12485" t="str">
        <f t="shared" si="2241"/>
        <v>802</v>
      </c>
      <c r="L12485">
        <v>51.41</v>
      </c>
    </row>
    <row r="12486" spans="1:12" x14ac:dyDescent="0.25">
      <c r="A12486" t="str">
        <f t="shared" si="2244"/>
        <v>89301000</v>
      </c>
      <c r="B12486" t="str">
        <f t="shared" si="2239"/>
        <v>91866000</v>
      </c>
      <c r="C12486" t="str">
        <f t="shared" si="2240"/>
        <v>91866313</v>
      </c>
      <c r="D12486">
        <v>89301704</v>
      </c>
      <c r="E12486" t="str">
        <f t="shared" si="2245"/>
        <v>1054153243</v>
      </c>
      <c r="F12486" s="1">
        <v>45223</v>
      </c>
      <c r="G12486" t="str">
        <f t="shared" si="2246"/>
        <v>82087</v>
      </c>
      <c r="H12486">
        <v>1</v>
      </c>
      <c r="I12486">
        <v>53</v>
      </c>
      <c r="J12486">
        <v>0</v>
      </c>
      <c r="K12486" t="str">
        <f t="shared" si="2241"/>
        <v>802</v>
      </c>
      <c r="L12486">
        <v>51.41</v>
      </c>
    </row>
    <row r="12487" spans="1:12" x14ac:dyDescent="0.25">
      <c r="A12487" t="str">
        <f t="shared" si="2244"/>
        <v>89301000</v>
      </c>
      <c r="B12487" t="str">
        <f t="shared" si="2239"/>
        <v>91866000</v>
      </c>
      <c r="C12487" t="str">
        <f t="shared" si="2240"/>
        <v>91866313</v>
      </c>
      <c r="D12487">
        <v>89301704</v>
      </c>
      <c r="E12487" t="str">
        <f t="shared" si="2245"/>
        <v>1054153243</v>
      </c>
      <c r="F12487" s="1">
        <v>45223</v>
      </c>
      <c r="G12487" t="str">
        <f t="shared" si="2246"/>
        <v>82087</v>
      </c>
      <c r="H12487">
        <v>1</v>
      </c>
      <c r="I12487">
        <v>53</v>
      </c>
      <c r="J12487">
        <v>0</v>
      </c>
      <c r="K12487" t="str">
        <f t="shared" si="2241"/>
        <v>802</v>
      </c>
      <c r="L12487">
        <v>51.41</v>
      </c>
    </row>
    <row r="12488" spans="1:12" x14ac:dyDescent="0.25">
      <c r="A12488" t="str">
        <f t="shared" si="2244"/>
        <v>89301000</v>
      </c>
      <c r="B12488" t="str">
        <f t="shared" si="2239"/>
        <v>91866000</v>
      </c>
      <c r="C12488" t="str">
        <f t="shared" si="2240"/>
        <v>91866313</v>
      </c>
      <c r="D12488">
        <v>89301704</v>
      </c>
      <c r="E12488" t="str">
        <f t="shared" si="2245"/>
        <v>1054153243</v>
      </c>
      <c r="F12488" s="1">
        <v>45225</v>
      </c>
      <c r="G12488" t="str">
        <f t="shared" si="2246"/>
        <v>82087</v>
      </c>
      <c r="H12488">
        <v>1</v>
      </c>
      <c r="I12488">
        <v>53</v>
      </c>
      <c r="J12488">
        <v>0</v>
      </c>
      <c r="K12488" t="str">
        <f t="shared" si="2241"/>
        <v>802</v>
      </c>
      <c r="L12488">
        <v>51.41</v>
      </c>
    </row>
    <row r="12489" spans="1:12" x14ac:dyDescent="0.25">
      <c r="A12489" t="str">
        <f t="shared" si="2244"/>
        <v>89301000</v>
      </c>
      <c r="B12489" t="str">
        <f t="shared" si="2239"/>
        <v>91866000</v>
      </c>
      <c r="C12489" t="str">
        <f t="shared" si="2240"/>
        <v>91866313</v>
      </c>
      <c r="D12489">
        <v>89301704</v>
      </c>
      <c r="E12489" t="str">
        <f t="shared" si="2245"/>
        <v>1054153243</v>
      </c>
      <c r="F12489" s="1">
        <v>45224</v>
      </c>
      <c r="G12489" t="str">
        <f t="shared" si="2246"/>
        <v>82087</v>
      </c>
      <c r="H12489">
        <v>1</v>
      </c>
      <c r="I12489">
        <v>53</v>
      </c>
      <c r="J12489">
        <v>0</v>
      </c>
      <c r="K12489" t="str">
        <f t="shared" si="2241"/>
        <v>802</v>
      </c>
      <c r="L12489">
        <v>51.41</v>
      </c>
    </row>
    <row r="12490" spans="1:12" x14ac:dyDescent="0.25">
      <c r="A12490" t="str">
        <f t="shared" si="2244"/>
        <v>89301000</v>
      </c>
      <c r="B12490" t="str">
        <f t="shared" si="2239"/>
        <v>91866000</v>
      </c>
      <c r="C12490" t="str">
        <f t="shared" si="2240"/>
        <v>91866313</v>
      </c>
      <c r="D12490">
        <v>89301704</v>
      </c>
      <c r="E12490" t="str">
        <f t="shared" ref="E12490:E12496" si="2247">"1951180275"</f>
        <v>1951180275</v>
      </c>
      <c r="F12490" s="1">
        <v>45223</v>
      </c>
      <c r="G12490" t="str">
        <f>"97111"</f>
        <v>97111</v>
      </c>
      <c r="H12490">
        <v>1</v>
      </c>
      <c r="I12490">
        <v>19</v>
      </c>
      <c r="J12490">
        <v>0</v>
      </c>
      <c r="K12490" t="str">
        <f t="shared" si="2241"/>
        <v>802</v>
      </c>
      <c r="L12490">
        <v>23.94</v>
      </c>
    </row>
    <row r="12491" spans="1:12" x14ac:dyDescent="0.25">
      <c r="A12491" t="str">
        <f t="shared" si="2244"/>
        <v>89301000</v>
      </c>
      <c r="B12491" t="str">
        <f t="shared" si="2239"/>
        <v>91866000</v>
      </c>
      <c r="C12491" t="str">
        <f t="shared" si="2240"/>
        <v>91866313</v>
      </c>
      <c r="D12491">
        <v>89301704</v>
      </c>
      <c r="E12491" t="str">
        <f t="shared" si="2247"/>
        <v>1951180275</v>
      </c>
      <c r="F12491" s="1">
        <v>45225</v>
      </c>
      <c r="G12491" t="str">
        <f t="shared" ref="G12491:G12496" si="2248">"82087"</f>
        <v>82087</v>
      </c>
      <c r="H12491">
        <v>1</v>
      </c>
      <c r="I12491">
        <v>53</v>
      </c>
      <c r="J12491">
        <v>0</v>
      </c>
      <c r="K12491" t="str">
        <f t="shared" si="2241"/>
        <v>802</v>
      </c>
      <c r="L12491">
        <v>51.41</v>
      </c>
    </row>
    <row r="12492" spans="1:12" x14ac:dyDescent="0.25">
      <c r="A12492" t="str">
        <f t="shared" si="2244"/>
        <v>89301000</v>
      </c>
      <c r="B12492" t="str">
        <f t="shared" si="2239"/>
        <v>91866000</v>
      </c>
      <c r="C12492" t="str">
        <f t="shared" si="2240"/>
        <v>91866313</v>
      </c>
      <c r="D12492">
        <v>89301704</v>
      </c>
      <c r="E12492" t="str">
        <f t="shared" si="2247"/>
        <v>1951180275</v>
      </c>
      <c r="F12492" s="1">
        <v>45224</v>
      </c>
      <c r="G12492" t="str">
        <f t="shared" si="2248"/>
        <v>82087</v>
      </c>
      <c r="H12492">
        <v>1</v>
      </c>
      <c r="I12492">
        <v>53</v>
      </c>
      <c r="J12492">
        <v>0</v>
      </c>
      <c r="K12492" t="str">
        <f t="shared" si="2241"/>
        <v>802</v>
      </c>
      <c r="L12492">
        <v>51.41</v>
      </c>
    </row>
    <row r="12493" spans="1:12" x14ac:dyDescent="0.25">
      <c r="A12493" t="str">
        <f t="shared" si="2244"/>
        <v>89301000</v>
      </c>
      <c r="B12493" t="str">
        <f t="shared" si="2239"/>
        <v>91866000</v>
      </c>
      <c r="C12493" t="str">
        <f t="shared" si="2240"/>
        <v>91866313</v>
      </c>
      <c r="D12493">
        <v>89301704</v>
      </c>
      <c r="E12493" t="str">
        <f t="shared" si="2247"/>
        <v>1951180275</v>
      </c>
      <c r="F12493" s="1">
        <v>45224</v>
      </c>
      <c r="G12493" t="str">
        <f t="shared" si="2248"/>
        <v>82087</v>
      </c>
      <c r="H12493">
        <v>1</v>
      </c>
      <c r="I12493">
        <v>53</v>
      </c>
      <c r="J12493">
        <v>0</v>
      </c>
      <c r="K12493" t="str">
        <f t="shared" si="2241"/>
        <v>802</v>
      </c>
      <c r="L12493">
        <v>51.41</v>
      </c>
    </row>
    <row r="12494" spans="1:12" x14ac:dyDescent="0.25">
      <c r="A12494" t="str">
        <f t="shared" si="2244"/>
        <v>89301000</v>
      </c>
      <c r="B12494" t="str">
        <f t="shared" si="2239"/>
        <v>91866000</v>
      </c>
      <c r="C12494" t="str">
        <f t="shared" si="2240"/>
        <v>91866313</v>
      </c>
      <c r="D12494">
        <v>89301704</v>
      </c>
      <c r="E12494" t="str">
        <f t="shared" si="2247"/>
        <v>1951180275</v>
      </c>
      <c r="F12494" s="1">
        <v>45223</v>
      </c>
      <c r="G12494" t="str">
        <f t="shared" si="2248"/>
        <v>82087</v>
      </c>
      <c r="H12494">
        <v>1</v>
      </c>
      <c r="I12494">
        <v>53</v>
      </c>
      <c r="J12494">
        <v>0</v>
      </c>
      <c r="K12494" t="str">
        <f t="shared" si="2241"/>
        <v>802</v>
      </c>
      <c r="L12494">
        <v>51.41</v>
      </c>
    </row>
    <row r="12495" spans="1:12" x14ac:dyDescent="0.25">
      <c r="A12495" t="str">
        <f t="shared" si="2244"/>
        <v>89301000</v>
      </c>
      <c r="B12495" t="str">
        <f t="shared" si="2239"/>
        <v>91866000</v>
      </c>
      <c r="C12495" t="str">
        <f t="shared" si="2240"/>
        <v>91866313</v>
      </c>
      <c r="D12495">
        <v>89301704</v>
      </c>
      <c r="E12495" t="str">
        <f t="shared" si="2247"/>
        <v>1951180275</v>
      </c>
      <c r="F12495" s="1">
        <v>45223</v>
      </c>
      <c r="G12495" t="str">
        <f t="shared" si="2248"/>
        <v>82087</v>
      </c>
      <c r="H12495">
        <v>1</v>
      </c>
      <c r="I12495">
        <v>53</v>
      </c>
      <c r="J12495">
        <v>0</v>
      </c>
      <c r="K12495" t="str">
        <f t="shared" si="2241"/>
        <v>802</v>
      </c>
      <c r="L12495">
        <v>51.41</v>
      </c>
    </row>
    <row r="12496" spans="1:12" x14ac:dyDescent="0.25">
      <c r="A12496" t="str">
        <f t="shared" si="2244"/>
        <v>89301000</v>
      </c>
      <c r="B12496" t="str">
        <f t="shared" si="2239"/>
        <v>91866000</v>
      </c>
      <c r="C12496" t="str">
        <f t="shared" si="2240"/>
        <v>91866313</v>
      </c>
      <c r="D12496">
        <v>89301704</v>
      </c>
      <c r="E12496" t="str">
        <f t="shared" si="2247"/>
        <v>1951180275</v>
      </c>
      <c r="F12496" s="1">
        <v>45225</v>
      </c>
      <c r="G12496" t="str">
        <f t="shared" si="2248"/>
        <v>82087</v>
      </c>
      <c r="H12496">
        <v>1</v>
      </c>
      <c r="I12496">
        <v>53</v>
      </c>
      <c r="J12496">
        <v>0</v>
      </c>
      <c r="K12496" t="str">
        <f t="shared" si="2241"/>
        <v>802</v>
      </c>
      <c r="L12496">
        <v>51.41</v>
      </c>
    </row>
    <row r="12497" spans="1:12" x14ac:dyDescent="0.25">
      <c r="A12497" t="str">
        <f t="shared" si="2244"/>
        <v>89301000</v>
      </c>
      <c r="B12497" t="str">
        <f t="shared" si="2239"/>
        <v>91866000</v>
      </c>
      <c r="C12497" t="str">
        <f t="shared" si="2240"/>
        <v>91866313</v>
      </c>
      <c r="D12497">
        <v>89301101</v>
      </c>
      <c r="E12497" t="str">
        <f>"2203181552"</f>
        <v>2203181552</v>
      </c>
      <c r="F12497" s="1">
        <v>45223</v>
      </c>
      <c r="G12497" t="str">
        <f>"82040"</f>
        <v>82040</v>
      </c>
      <c r="H12497">
        <v>1</v>
      </c>
      <c r="I12497">
        <v>938</v>
      </c>
      <c r="J12497">
        <v>0</v>
      </c>
      <c r="K12497" t="str">
        <f t="shared" si="2241"/>
        <v>802</v>
      </c>
      <c r="L12497">
        <v>909.86</v>
      </c>
    </row>
    <row r="12498" spans="1:12" x14ac:dyDescent="0.25">
      <c r="A12498" t="str">
        <f t="shared" si="2244"/>
        <v>89301000</v>
      </c>
      <c r="B12498" t="str">
        <f t="shared" si="2239"/>
        <v>91866000</v>
      </c>
      <c r="C12498" t="str">
        <f t="shared" si="2240"/>
        <v>91866313</v>
      </c>
      <c r="D12498">
        <v>89301101</v>
      </c>
      <c r="E12498" t="str">
        <f>"2203181552"</f>
        <v>2203181552</v>
      </c>
      <c r="F12498" s="1">
        <v>45223</v>
      </c>
      <c r="G12498" t="str">
        <f>"82036"</f>
        <v>82036</v>
      </c>
      <c r="H12498">
        <v>1</v>
      </c>
      <c r="I12498">
        <v>1517</v>
      </c>
      <c r="J12498">
        <v>0</v>
      </c>
      <c r="K12498" t="str">
        <f t="shared" si="2241"/>
        <v>802</v>
      </c>
      <c r="L12498">
        <v>1471.49</v>
      </c>
    </row>
    <row r="12499" spans="1:12" x14ac:dyDescent="0.25">
      <c r="A12499" t="str">
        <f t="shared" si="2244"/>
        <v>89301000</v>
      </c>
      <c r="B12499" t="str">
        <f t="shared" si="2239"/>
        <v>91866000</v>
      </c>
      <c r="C12499" t="str">
        <f t="shared" si="2240"/>
        <v>91866313</v>
      </c>
      <c r="D12499">
        <v>89301704</v>
      </c>
      <c r="E12499" t="str">
        <f t="shared" ref="E12499:E12504" si="2249">"1102070937"</f>
        <v>1102070937</v>
      </c>
      <c r="F12499" s="1">
        <v>45227</v>
      </c>
      <c r="G12499" t="str">
        <f t="shared" ref="G12499:G12510" si="2250">"82087"</f>
        <v>82087</v>
      </c>
      <c r="H12499">
        <v>1</v>
      </c>
      <c r="I12499">
        <v>53</v>
      </c>
      <c r="J12499">
        <v>0</v>
      </c>
      <c r="K12499" t="str">
        <f t="shared" si="2241"/>
        <v>802</v>
      </c>
      <c r="L12499">
        <v>51.41</v>
      </c>
    </row>
    <row r="12500" spans="1:12" x14ac:dyDescent="0.25">
      <c r="A12500" t="str">
        <f t="shared" si="2244"/>
        <v>89301000</v>
      </c>
      <c r="B12500" t="str">
        <f t="shared" si="2239"/>
        <v>91866000</v>
      </c>
      <c r="C12500" t="str">
        <f t="shared" si="2240"/>
        <v>91866313</v>
      </c>
      <c r="D12500">
        <v>89301704</v>
      </c>
      <c r="E12500" t="str">
        <f t="shared" si="2249"/>
        <v>1102070937</v>
      </c>
      <c r="F12500" s="1">
        <v>45225</v>
      </c>
      <c r="G12500" t="str">
        <f t="shared" si="2250"/>
        <v>82087</v>
      </c>
      <c r="H12500">
        <v>1</v>
      </c>
      <c r="I12500">
        <v>53</v>
      </c>
      <c r="J12500">
        <v>0</v>
      </c>
      <c r="K12500" t="str">
        <f t="shared" si="2241"/>
        <v>802</v>
      </c>
      <c r="L12500">
        <v>51.41</v>
      </c>
    </row>
    <row r="12501" spans="1:12" x14ac:dyDescent="0.25">
      <c r="A12501" t="str">
        <f t="shared" si="2244"/>
        <v>89301000</v>
      </c>
      <c r="B12501" t="str">
        <f t="shared" si="2239"/>
        <v>91866000</v>
      </c>
      <c r="C12501" t="str">
        <f t="shared" si="2240"/>
        <v>91866313</v>
      </c>
      <c r="D12501">
        <v>89301704</v>
      </c>
      <c r="E12501" t="str">
        <f t="shared" si="2249"/>
        <v>1102070937</v>
      </c>
      <c r="F12501" s="1">
        <v>45226</v>
      </c>
      <c r="G12501" t="str">
        <f t="shared" si="2250"/>
        <v>82087</v>
      </c>
      <c r="H12501">
        <v>1</v>
      </c>
      <c r="I12501">
        <v>53</v>
      </c>
      <c r="J12501">
        <v>0</v>
      </c>
      <c r="K12501" t="str">
        <f t="shared" si="2241"/>
        <v>802</v>
      </c>
      <c r="L12501">
        <v>51.41</v>
      </c>
    </row>
    <row r="12502" spans="1:12" x14ac:dyDescent="0.25">
      <c r="A12502" t="str">
        <f t="shared" si="2244"/>
        <v>89301000</v>
      </c>
      <c r="B12502" t="str">
        <f t="shared" si="2239"/>
        <v>91866000</v>
      </c>
      <c r="C12502" t="str">
        <f t="shared" si="2240"/>
        <v>91866313</v>
      </c>
      <c r="D12502">
        <v>89301704</v>
      </c>
      <c r="E12502" t="str">
        <f t="shared" si="2249"/>
        <v>1102070937</v>
      </c>
      <c r="F12502" s="1">
        <v>45226</v>
      </c>
      <c r="G12502" t="str">
        <f t="shared" si="2250"/>
        <v>82087</v>
      </c>
      <c r="H12502">
        <v>1</v>
      </c>
      <c r="I12502">
        <v>53</v>
      </c>
      <c r="J12502">
        <v>0</v>
      </c>
      <c r="K12502" t="str">
        <f t="shared" si="2241"/>
        <v>802</v>
      </c>
      <c r="L12502">
        <v>51.41</v>
      </c>
    </row>
    <row r="12503" spans="1:12" x14ac:dyDescent="0.25">
      <c r="A12503" t="str">
        <f t="shared" si="2244"/>
        <v>89301000</v>
      </c>
      <c r="B12503" t="str">
        <f t="shared" ref="B12503:B12513" si="2251">"91866000"</f>
        <v>91866000</v>
      </c>
      <c r="C12503" t="str">
        <f t="shared" ref="C12503:C12512" si="2252">"91866313"</f>
        <v>91866313</v>
      </c>
      <c r="D12503">
        <v>89301704</v>
      </c>
      <c r="E12503" t="str">
        <f t="shared" si="2249"/>
        <v>1102070937</v>
      </c>
      <c r="F12503" s="1">
        <v>45227</v>
      </c>
      <c r="G12503" t="str">
        <f t="shared" si="2250"/>
        <v>82087</v>
      </c>
      <c r="H12503">
        <v>1</v>
      </c>
      <c r="I12503">
        <v>53</v>
      </c>
      <c r="J12503">
        <v>0</v>
      </c>
      <c r="K12503" t="str">
        <f t="shared" ref="K12503:K12512" si="2253">"802"</f>
        <v>802</v>
      </c>
      <c r="L12503">
        <v>51.41</v>
      </c>
    </row>
    <row r="12504" spans="1:12" x14ac:dyDescent="0.25">
      <c r="A12504" t="str">
        <f t="shared" si="2244"/>
        <v>89301000</v>
      </c>
      <c r="B12504" t="str">
        <f t="shared" si="2251"/>
        <v>91866000</v>
      </c>
      <c r="C12504" t="str">
        <f t="shared" si="2252"/>
        <v>91866313</v>
      </c>
      <c r="D12504">
        <v>89301704</v>
      </c>
      <c r="E12504" t="str">
        <f t="shared" si="2249"/>
        <v>1102070937</v>
      </c>
      <c r="F12504" s="1">
        <v>45225</v>
      </c>
      <c r="G12504" t="str">
        <f t="shared" si="2250"/>
        <v>82087</v>
      </c>
      <c r="H12504">
        <v>1</v>
      </c>
      <c r="I12504">
        <v>53</v>
      </c>
      <c r="J12504">
        <v>0</v>
      </c>
      <c r="K12504" t="str">
        <f t="shared" si="2253"/>
        <v>802</v>
      </c>
      <c r="L12504">
        <v>51.41</v>
      </c>
    </row>
    <row r="12505" spans="1:12" x14ac:dyDescent="0.25">
      <c r="A12505" t="str">
        <f t="shared" si="2244"/>
        <v>89301000</v>
      </c>
      <c r="B12505" t="str">
        <f t="shared" si="2251"/>
        <v>91866000</v>
      </c>
      <c r="C12505" t="str">
        <f t="shared" si="2252"/>
        <v>91866313</v>
      </c>
      <c r="D12505">
        <v>89301704</v>
      </c>
      <c r="E12505" t="str">
        <f t="shared" ref="E12505:E12510" si="2254">"1859140305"</f>
        <v>1859140305</v>
      </c>
      <c r="F12505" s="1">
        <v>45227</v>
      </c>
      <c r="G12505" t="str">
        <f t="shared" si="2250"/>
        <v>82087</v>
      </c>
      <c r="H12505">
        <v>1</v>
      </c>
      <c r="I12505">
        <v>53</v>
      </c>
      <c r="J12505">
        <v>0</v>
      </c>
      <c r="K12505" t="str">
        <f t="shared" si="2253"/>
        <v>802</v>
      </c>
      <c r="L12505">
        <v>51.41</v>
      </c>
    </row>
    <row r="12506" spans="1:12" x14ac:dyDescent="0.25">
      <c r="A12506" t="str">
        <f t="shared" si="2244"/>
        <v>89301000</v>
      </c>
      <c r="B12506" t="str">
        <f t="shared" si="2251"/>
        <v>91866000</v>
      </c>
      <c r="C12506" t="str">
        <f t="shared" si="2252"/>
        <v>91866313</v>
      </c>
      <c r="D12506">
        <v>89301704</v>
      </c>
      <c r="E12506" t="str">
        <f t="shared" si="2254"/>
        <v>1859140305</v>
      </c>
      <c r="F12506" s="1">
        <v>45225</v>
      </c>
      <c r="G12506" t="str">
        <f t="shared" si="2250"/>
        <v>82087</v>
      </c>
      <c r="H12506">
        <v>1</v>
      </c>
      <c r="I12506">
        <v>53</v>
      </c>
      <c r="J12506">
        <v>0</v>
      </c>
      <c r="K12506" t="str">
        <f t="shared" si="2253"/>
        <v>802</v>
      </c>
      <c r="L12506">
        <v>51.41</v>
      </c>
    </row>
    <row r="12507" spans="1:12" x14ac:dyDescent="0.25">
      <c r="A12507" t="str">
        <f t="shared" si="2244"/>
        <v>89301000</v>
      </c>
      <c r="B12507" t="str">
        <f t="shared" si="2251"/>
        <v>91866000</v>
      </c>
      <c r="C12507" t="str">
        <f t="shared" si="2252"/>
        <v>91866313</v>
      </c>
      <c r="D12507">
        <v>89301704</v>
      </c>
      <c r="E12507" t="str">
        <f t="shared" si="2254"/>
        <v>1859140305</v>
      </c>
      <c r="F12507" s="1">
        <v>45226</v>
      </c>
      <c r="G12507" t="str">
        <f t="shared" si="2250"/>
        <v>82087</v>
      </c>
      <c r="H12507">
        <v>1</v>
      </c>
      <c r="I12507">
        <v>53</v>
      </c>
      <c r="J12507">
        <v>0</v>
      </c>
      <c r="K12507" t="str">
        <f t="shared" si="2253"/>
        <v>802</v>
      </c>
      <c r="L12507">
        <v>51.41</v>
      </c>
    </row>
    <row r="12508" spans="1:12" x14ac:dyDescent="0.25">
      <c r="A12508" t="str">
        <f t="shared" si="2244"/>
        <v>89301000</v>
      </c>
      <c r="B12508" t="str">
        <f t="shared" si="2251"/>
        <v>91866000</v>
      </c>
      <c r="C12508" t="str">
        <f t="shared" si="2252"/>
        <v>91866313</v>
      </c>
      <c r="D12508">
        <v>89301704</v>
      </c>
      <c r="E12508" t="str">
        <f t="shared" si="2254"/>
        <v>1859140305</v>
      </c>
      <c r="F12508" s="1">
        <v>45226</v>
      </c>
      <c r="G12508" t="str">
        <f t="shared" si="2250"/>
        <v>82087</v>
      </c>
      <c r="H12508">
        <v>1</v>
      </c>
      <c r="I12508">
        <v>53</v>
      </c>
      <c r="J12508">
        <v>0</v>
      </c>
      <c r="K12508" t="str">
        <f t="shared" si="2253"/>
        <v>802</v>
      </c>
      <c r="L12508">
        <v>51.41</v>
      </c>
    </row>
    <row r="12509" spans="1:12" x14ac:dyDescent="0.25">
      <c r="A12509" t="str">
        <f t="shared" si="2244"/>
        <v>89301000</v>
      </c>
      <c r="B12509" t="str">
        <f t="shared" si="2251"/>
        <v>91866000</v>
      </c>
      <c r="C12509" t="str">
        <f t="shared" si="2252"/>
        <v>91866313</v>
      </c>
      <c r="D12509">
        <v>89301704</v>
      </c>
      <c r="E12509" t="str">
        <f t="shared" si="2254"/>
        <v>1859140305</v>
      </c>
      <c r="F12509" s="1">
        <v>45227</v>
      </c>
      <c r="G12509" t="str">
        <f t="shared" si="2250"/>
        <v>82087</v>
      </c>
      <c r="H12509">
        <v>1</v>
      </c>
      <c r="I12509">
        <v>53</v>
      </c>
      <c r="J12509">
        <v>0</v>
      </c>
      <c r="K12509" t="str">
        <f t="shared" si="2253"/>
        <v>802</v>
      </c>
      <c r="L12509">
        <v>51.41</v>
      </c>
    </row>
    <row r="12510" spans="1:12" x14ac:dyDescent="0.25">
      <c r="A12510" t="str">
        <f t="shared" si="2244"/>
        <v>89301000</v>
      </c>
      <c r="B12510" t="str">
        <f t="shared" si="2251"/>
        <v>91866000</v>
      </c>
      <c r="C12510" t="str">
        <f t="shared" si="2252"/>
        <v>91866313</v>
      </c>
      <c r="D12510">
        <v>89301704</v>
      </c>
      <c r="E12510" t="str">
        <f t="shared" si="2254"/>
        <v>1859140305</v>
      </c>
      <c r="F12510" s="1">
        <v>45225</v>
      </c>
      <c r="G12510" t="str">
        <f t="shared" si="2250"/>
        <v>82087</v>
      </c>
      <c r="H12510">
        <v>1</v>
      </c>
      <c r="I12510">
        <v>53</v>
      </c>
      <c r="J12510">
        <v>0</v>
      </c>
      <c r="K12510" t="str">
        <f t="shared" si="2253"/>
        <v>802</v>
      </c>
      <c r="L12510">
        <v>51.41</v>
      </c>
    </row>
    <row r="12511" spans="1:12" x14ac:dyDescent="0.25">
      <c r="A12511" t="str">
        <f t="shared" si="2244"/>
        <v>89301000</v>
      </c>
      <c r="B12511" t="str">
        <f t="shared" si="2251"/>
        <v>91866000</v>
      </c>
      <c r="C12511" t="str">
        <f t="shared" si="2252"/>
        <v>91866313</v>
      </c>
      <c r="D12511">
        <v>89301101</v>
      </c>
      <c r="E12511" t="str">
        <f>"2256250238"</f>
        <v>2256250238</v>
      </c>
      <c r="F12511" s="1">
        <v>45230</v>
      </c>
      <c r="G12511" t="str">
        <f>"82113"</f>
        <v>82113</v>
      </c>
      <c r="H12511">
        <v>2</v>
      </c>
      <c r="I12511">
        <v>726</v>
      </c>
      <c r="J12511">
        <v>0</v>
      </c>
      <c r="K12511" t="str">
        <f t="shared" si="2253"/>
        <v>802</v>
      </c>
      <c r="L12511">
        <v>704.22</v>
      </c>
    </row>
    <row r="12512" spans="1:12" x14ac:dyDescent="0.25">
      <c r="A12512" t="str">
        <f t="shared" si="2244"/>
        <v>89301000</v>
      </c>
      <c r="B12512" t="str">
        <f t="shared" si="2251"/>
        <v>91866000</v>
      </c>
      <c r="C12512" t="str">
        <f t="shared" si="2252"/>
        <v>91866313</v>
      </c>
      <c r="D12512">
        <v>89301101</v>
      </c>
      <c r="E12512" t="str">
        <f>"2256250238"</f>
        <v>2256250238</v>
      </c>
      <c r="F12512" s="1">
        <v>45230</v>
      </c>
      <c r="G12512" t="str">
        <f>"82113"</f>
        <v>82113</v>
      </c>
      <c r="H12512">
        <v>2</v>
      </c>
      <c r="I12512">
        <v>726</v>
      </c>
      <c r="J12512">
        <v>0</v>
      </c>
      <c r="K12512" t="str">
        <f t="shared" si="2253"/>
        <v>802</v>
      </c>
      <c r="L12512">
        <v>704.22</v>
      </c>
    </row>
    <row r="12513" spans="1:12" x14ac:dyDescent="0.25">
      <c r="A12513" t="str">
        <f t="shared" si="2244"/>
        <v>89301000</v>
      </c>
      <c r="B12513" t="str">
        <f t="shared" si="2251"/>
        <v>91866000</v>
      </c>
      <c r="C12513" t="str">
        <f>"91866321"</f>
        <v>91866321</v>
      </c>
      <c r="D12513">
        <v>89301705</v>
      </c>
      <c r="E12513" t="str">
        <f>"1459221731"</f>
        <v>1459221731</v>
      </c>
      <c r="F12513" s="1">
        <v>45202</v>
      </c>
      <c r="G12513" t="str">
        <f>"91135"</f>
        <v>91135</v>
      </c>
      <c r="H12513">
        <v>1</v>
      </c>
      <c r="I12513">
        <v>267</v>
      </c>
      <c r="J12513">
        <v>0</v>
      </c>
      <c r="K12513" t="str">
        <f>"813"</f>
        <v>813</v>
      </c>
      <c r="L12513">
        <v>224.28</v>
      </c>
    </row>
    <row r="12514" spans="1:12" x14ac:dyDescent="0.25">
      <c r="A12514" t="str">
        <f t="shared" si="2244"/>
        <v>89301000</v>
      </c>
      <c r="B12514" t="str">
        <f t="shared" ref="B12514:C12533" si="2255">"89063000"</f>
        <v>89063000</v>
      </c>
      <c r="C12514" t="str">
        <f t="shared" si="2255"/>
        <v>89063000</v>
      </c>
      <c r="D12514">
        <v>89301037</v>
      </c>
      <c r="E12514" t="str">
        <f>"515106296"</f>
        <v>515106296</v>
      </c>
      <c r="F12514" s="1">
        <v>45201</v>
      </c>
      <c r="G12514" t="str">
        <f t="shared" ref="G12514:G12545" si="2256">"89312"</f>
        <v>89312</v>
      </c>
      <c r="H12514">
        <v>3</v>
      </c>
      <c r="I12514">
        <v>936</v>
      </c>
      <c r="J12514">
        <v>0</v>
      </c>
      <c r="K12514" t="str">
        <f t="shared" ref="K12514:K12545" si="2257">"809"</f>
        <v>809</v>
      </c>
      <c r="L12514">
        <v>1020.24</v>
      </c>
    </row>
    <row r="12515" spans="1:12" x14ac:dyDescent="0.25">
      <c r="A12515" t="str">
        <f t="shared" si="2244"/>
        <v>89301000</v>
      </c>
      <c r="B12515" t="str">
        <f t="shared" si="2255"/>
        <v>89063000</v>
      </c>
      <c r="C12515" t="str">
        <f t="shared" si="2255"/>
        <v>89063000</v>
      </c>
      <c r="D12515">
        <v>89301037</v>
      </c>
      <c r="E12515" t="str">
        <f>"5658121348"</f>
        <v>5658121348</v>
      </c>
      <c r="F12515" s="1">
        <v>45201</v>
      </c>
      <c r="G12515" t="str">
        <f t="shared" si="2256"/>
        <v>89312</v>
      </c>
      <c r="H12515">
        <v>3</v>
      </c>
      <c r="I12515">
        <v>936</v>
      </c>
      <c r="J12515">
        <v>0</v>
      </c>
      <c r="K12515" t="str">
        <f t="shared" si="2257"/>
        <v>809</v>
      </c>
      <c r="L12515">
        <v>1020.24</v>
      </c>
    </row>
    <row r="12516" spans="1:12" x14ac:dyDescent="0.25">
      <c r="A12516" t="str">
        <f t="shared" si="2244"/>
        <v>89301000</v>
      </c>
      <c r="B12516" t="str">
        <f t="shared" si="2255"/>
        <v>89063000</v>
      </c>
      <c r="C12516" t="str">
        <f t="shared" si="2255"/>
        <v>89063000</v>
      </c>
      <c r="D12516">
        <v>89301037</v>
      </c>
      <c r="E12516" t="str">
        <f>"8059095825"</f>
        <v>8059095825</v>
      </c>
      <c r="F12516" s="1">
        <v>45202</v>
      </c>
      <c r="G12516" t="str">
        <f t="shared" si="2256"/>
        <v>89312</v>
      </c>
      <c r="H12516">
        <v>3</v>
      </c>
      <c r="I12516">
        <v>936</v>
      </c>
      <c r="J12516">
        <v>0</v>
      </c>
      <c r="K12516" t="str">
        <f t="shared" si="2257"/>
        <v>809</v>
      </c>
      <c r="L12516">
        <v>1020.24</v>
      </c>
    </row>
    <row r="12517" spans="1:12" x14ac:dyDescent="0.25">
      <c r="A12517" t="str">
        <f t="shared" si="2244"/>
        <v>89301000</v>
      </c>
      <c r="B12517" t="str">
        <f t="shared" si="2255"/>
        <v>89063000</v>
      </c>
      <c r="C12517" t="str">
        <f t="shared" si="2255"/>
        <v>89063000</v>
      </c>
      <c r="D12517">
        <v>89301037</v>
      </c>
      <c r="E12517" t="str">
        <f>"6557231362"</f>
        <v>6557231362</v>
      </c>
      <c r="F12517" s="1">
        <v>45202</v>
      </c>
      <c r="G12517" t="str">
        <f t="shared" si="2256"/>
        <v>89312</v>
      </c>
      <c r="H12517">
        <v>3</v>
      </c>
      <c r="I12517">
        <v>936</v>
      </c>
      <c r="J12517">
        <v>0</v>
      </c>
      <c r="K12517" t="str">
        <f t="shared" si="2257"/>
        <v>809</v>
      </c>
      <c r="L12517">
        <v>1020.24</v>
      </c>
    </row>
    <row r="12518" spans="1:12" x14ac:dyDescent="0.25">
      <c r="A12518" t="str">
        <f t="shared" si="2244"/>
        <v>89301000</v>
      </c>
      <c r="B12518" t="str">
        <f t="shared" si="2255"/>
        <v>89063000</v>
      </c>
      <c r="C12518" t="str">
        <f t="shared" si="2255"/>
        <v>89063000</v>
      </c>
      <c r="D12518">
        <v>89301037</v>
      </c>
      <c r="E12518" t="str">
        <f>"5759301845"</f>
        <v>5759301845</v>
      </c>
      <c r="F12518" s="1">
        <v>45202</v>
      </c>
      <c r="G12518" t="str">
        <f t="shared" si="2256"/>
        <v>89312</v>
      </c>
      <c r="H12518">
        <v>3</v>
      </c>
      <c r="I12518">
        <v>936</v>
      </c>
      <c r="J12518">
        <v>0</v>
      </c>
      <c r="K12518" t="str">
        <f t="shared" si="2257"/>
        <v>809</v>
      </c>
      <c r="L12518">
        <v>1020.24</v>
      </c>
    </row>
    <row r="12519" spans="1:12" x14ac:dyDescent="0.25">
      <c r="A12519" t="str">
        <f t="shared" si="2244"/>
        <v>89301000</v>
      </c>
      <c r="B12519" t="str">
        <f t="shared" si="2255"/>
        <v>89063000</v>
      </c>
      <c r="C12519" t="str">
        <f t="shared" si="2255"/>
        <v>89063000</v>
      </c>
      <c r="D12519">
        <v>89301037</v>
      </c>
      <c r="E12519" t="str">
        <f>"430624714"</f>
        <v>430624714</v>
      </c>
      <c r="F12519" s="1">
        <v>45202</v>
      </c>
      <c r="G12519" t="str">
        <f t="shared" si="2256"/>
        <v>89312</v>
      </c>
      <c r="H12519">
        <v>3</v>
      </c>
      <c r="I12519">
        <v>936</v>
      </c>
      <c r="J12519">
        <v>0</v>
      </c>
      <c r="K12519" t="str">
        <f t="shared" si="2257"/>
        <v>809</v>
      </c>
      <c r="L12519">
        <v>1020.24</v>
      </c>
    </row>
    <row r="12520" spans="1:12" x14ac:dyDescent="0.25">
      <c r="A12520" t="str">
        <f t="shared" si="2244"/>
        <v>89301000</v>
      </c>
      <c r="B12520" t="str">
        <f t="shared" si="2255"/>
        <v>89063000</v>
      </c>
      <c r="C12520" t="str">
        <f t="shared" si="2255"/>
        <v>89063000</v>
      </c>
      <c r="D12520">
        <v>89301707</v>
      </c>
      <c r="E12520" t="str">
        <f>"1202100372"</f>
        <v>1202100372</v>
      </c>
      <c r="F12520" s="1">
        <v>45202</v>
      </c>
      <c r="G12520" t="str">
        <f t="shared" si="2256"/>
        <v>89312</v>
      </c>
      <c r="H12520">
        <v>1</v>
      </c>
      <c r="I12520">
        <v>312</v>
      </c>
      <c r="J12520">
        <v>0</v>
      </c>
      <c r="K12520" t="str">
        <f t="shared" si="2257"/>
        <v>809</v>
      </c>
      <c r="L12520">
        <v>340.08</v>
      </c>
    </row>
    <row r="12521" spans="1:12" x14ac:dyDescent="0.25">
      <c r="A12521" t="str">
        <f t="shared" si="2244"/>
        <v>89301000</v>
      </c>
      <c r="B12521" t="str">
        <f t="shared" si="2255"/>
        <v>89063000</v>
      </c>
      <c r="C12521" t="str">
        <f t="shared" si="2255"/>
        <v>89063000</v>
      </c>
      <c r="D12521">
        <v>89301037</v>
      </c>
      <c r="E12521" t="str">
        <f>"7460145352"</f>
        <v>7460145352</v>
      </c>
      <c r="F12521" s="1">
        <v>45203</v>
      </c>
      <c r="G12521" t="str">
        <f t="shared" si="2256"/>
        <v>89312</v>
      </c>
      <c r="H12521">
        <v>3</v>
      </c>
      <c r="I12521">
        <v>936</v>
      </c>
      <c r="J12521">
        <v>0</v>
      </c>
      <c r="K12521" t="str">
        <f t="shared" si="2257"/>
        <v>809</v>
      </c>
      <c r="L12521">
        <v>1020.24</v>
      </c>
    </row>
    <row r="12522" spans="1:12" x14ac:dyDescent="0.25">
      <c r="A12522" t="str">
        <f t="shared" si="2244"/>
        <v>89301000</v>
      </c>
      <c r="B12522" t="str">
        <f t="shared" si="2255"/>
        <v>89063000</v>
      </c>
      <c r="C12522" t="str">
        <f t="shared" si="2255"/>
        <v>89063000</v>
      </c>
      <c r="D12522">
        <v>89301036</v>
      </c>
      <c r="E12522" t="str">
        <f>"7152275328"</f>
        <v>7152275328</v>
      </c>
      <c r="F12522" s="1">
        <v>45203</v>
      </c>
      <c r="G12522" t="str">
        <f t="shared" si="2256"/>
        <v>89312</v>
      </c>
      <c r="H12522">
        <v>3</v>
      </c>
      <c r="I12522">
        <v>936</v>
      </c>
      <c r="J12522">
        <v>0</v>
      </c>
      <c r="K12522" t="str">
        <f t="shared" si="2257"/>
        <v>809</v>
      </c>
      <c r="L12522">
        <v>1020.24</v>
      </c>
    </row>
    <row r="12523" spans="1:12" x14ac:dyDescent="0.25">
      <c r="A12523" t="str">
        <f t="shared" si="2244"/>
        <v>89301000</v>
      </c>
      <c r="B12523" t="str">
        <f t="shared" si="2255"/>
        <v>89063000</v>
      </c>
      <c r="C12523" t="str">
        <f t="shared" si="2255"/>
        <v>89063000</v>
      </c>
      <c r="D12523">
        <v>89301037</v>
      </c>
      <c r="E12523" t="str">
        <f>"6251050025"</f>
        <v>6251050025</v>
      </c>
      <c r="F12523" s="1">
        <v>45203</v>
      </c>
      <c r="G12523" t="str">
        <f t="shared" si="2256"/>
        <v>89312</v>
      </c>
      <c r="H12523">
        <v>3</v>
      </c>
      <c r="I12523">
        <v>936</v>
      </c>
      <c r="J12523">
        <v>0</v>
      </c>
      <c r="K12523" t="str">
        <f t="shared" si="2257"/>
        <v>809</v>
      </c>
      <c r="L12523">
        <v>1020.24</v>
      </c>
    </row>
    <row r="12524" spans="1:12" x14ac:dyDescent="0.25">
      <c r="A12524" t="str">
        <f t="shared" si="2244"/>
        <v>89301000</v>
      </c>
      <c r="B12524" t="str">
        <f t="shared" si="2255"/>
        <v>89063000</v>
      </c>
      <c r="C12524" t="str">
        <f t="shared" si="2255"/>
        <v>89063000</v>
      </c>
      <c r="D12524">
        <v>89301037</v>
      </c>
      <c r="E12524" t="str">
        <f>"460505463"</f>
        <v>460505463</v>
      </c>
      <c r="F12524" s="1">
        <v>45205</v>
      </c>
      <c r="G12524" t="str">
        <f t="shared" si="2256"/>
        <v>89312</v>
      </c>
      <c r="H12524">
        <v>3</v>
      </c>
      <c r="I12524">
        <v>936</v>
      </c>
      <c r="J12524">
        <v>0</v>
      </c>
      <c r="K12524" t="str">
        <f t="shared" si="2257"/>
        <v>809</v>
      </c>
      <c r="L12524">
        <v>1020.24</v>
      </c>
    </row>
    <row r="12525" spans="1:12" x14ac:dyDescent="0.25">
      <c r="A12525" t="str">
        <f t="shared" si="2244"/>
        <v>89301000</v>
      </c>
      <c r="B12525" t="str">
        <f t="shared" si="2255"/>
        <v>89063000</v>
      </c>
      <c r="C12525" t="str">
        <f t="shared" si="2255"/>
        <v>89063000</v>
      </c>
      <c r="D12525">
        <v>89301037</v>
      </c>
      <c r="E12525" t="str">
        <f>"345331487"</f>
        <v>345331487</v>
      </c>
      <c r="F12525" s="1">
        <v>45205</v>
      </c>
      <c r="G12525" t="str">
        <f t="shared" si="2256"/>
        <v>89312</v>
      </c>
      <c r="H12525">
        <v>3</v>
      </c>
      <c r="I12525">
        <v>936</v>
      </c>
      <c r="J12525">
        <v>0</v>
      </c>
      <c r="K12525" t="str">
        <f t="shared" si="2257"/>
        <v>809</v>
      </c>
      <c r="L12525">
        <v>1020.24</v>
      </c>
    </row>
    <row r="12526" spans="1:12" x14ac:dyDescent="0.25">
      <c r="A12526" t="str">
        <f t="shared" si="2244"/>
        <v>89301000</v>
      </c>
      <c r="B12526" t="str">
        <f t="shared" si="2255"/>
        <v>89063000</v>
      </c>
      <c r="C12526" t="str">
        <f t="shared" si="2255"/>
        <v>89063000</v>
      </c>
      <c r="D12526">
        <v>89301162</v>
      </c>
      <c r="E12526" t="str">
        <f>"6856150202"</f>
        <v>6856150202</v>
      </c>
      <c r="F12526" s="1">
        <v>45208</v>
      </c>
      <c r="G12526" t="str">
        <f t="shared" si="2256"/>
        <v>89312</v>
      </c>
      <c r="H12526">
        <v>3</v>
      </c>
      <c r="I12526">
        <v>936</v>
      </c>
      <c r="J12526">
        <v>0</v>
      </c>
      <c r="K12526" t="str">
        <f t="shared" si="2257"/>
        <v>809</v>
      </c>
      <c r="L12526">
        <v>1020.24</v>
      </c>
    </row>
    <row r="12527" spans="1:12" x14ac:dyDescent="0.25">
      <c r="A12527" t="str">
        <f t="shared" si="2244"/>
        <v>89301000</v>
      </c>
      <c r="B12527" t="str">
        <f t="shared" si="2255"/>
        <v>89063000</v>
      </c>
      <c r="C12527" t="str">
        <f t="shared" si="2255"/>
        <v>89063000</v>
      </c>
      <c r="D12527">
        <v>89301037</v>
      </c>
      <c r="E12527" t="str">
        <f>"505705045"</f>
        <v>505705045</v>
      </c>
      <c r="F12527" s="1">
        <v>45208</v>
      </c>
      <c r="G12527" t="str">
        <f t="shared" si="2256"/>
        <v>89312</v>
      </c>
      <c r="H12527">
        <v>3</v>
      </c>
      <c r="I12527">
        <v>936</v>
      </c>
      <c r="J12527">
        <v>0</v>
      </c>
      <c r="K12527" t="str">
        <f t="shared" si="2257"/>
        <v>809</v>
      </c>
      <c r="L12527">
        <v>1020.24</v>
      </c>
    </row>
    <row r="12528" spans="1:12" x14ac:dyDescent="0.25">
      <c r="A12528" t="str">
        <f t="shared" si="2244"/>
        <v>89301000</v>
      </c>
      <c r="B12528" t="str">
        <f t="shared" si="2255"/>
        <v>89063000</v>
      </c>
      <c r="C12528" t="str">
        <f t="shared" si="2255"/>
        <v>89063000</v>
      </c>
      <c r="D12528">
        <v>89301031</v>
      </c>
      <c r="E12528" t="str">
        <f>"475618424"</f>
        <v>475618424</v>
      </c>
      <c r="F12528" s="1">
        <v>45208</v>
      </c>
      <c r="G12528" t="str">
        <f t="shared" si="2256"/>
        <v>89312</v>
      </c>
      <c r="H12528">
        <v>3</v>
      </c>
      <c r="I12528">
        <v>936</v>
      </c>
      <c r="J12528">
        <v>0</v>
      </c>
      <c r="K12528" t="str">
        <f t="shared" si="2257"/>
        <v>809</v>
      </c>
      <c r="L12528">
        <v>1020.24</v>
      </c>
    </row>
    <row r="12529" spans="1:12" x14ac:dyDescent="0.25">
      <c r="A12529" t="str">
        <f t="shared" si="2244"/>
        <v>89301000</v>
      </c>
      <c r="B12529" t="str">
        <f t="shared" si="2255"/>
        <v>89063000</v>
      </c>
      <c r="C12529" t="str">
        <f t="shared" si="2255"/>
        <v>89063000</v>
      </c>
      <c r="D12529">
        <v>89301171</v>
      </c>
      <c r="E12529" t="str">
        <f>"470819432"</f>
        <v>470819432</v>
      </c>
      <c r="F12529" s="1">
        <v>45208</v>
      </c>
      <c r="G12529" t="str">
        <f t="shared" si="2256"/>
        <v>89312</v>
      </c>
      <c r="H12529">
        <v>3</v>
      </c>
      <c r="I12529">
        <v>936</v>
      </c>
      <c r="J12529">
        <v>0</v>
      </c>
      <c r="K12529" t="str">
        <f t="shared" si="2257"/>
        <v>809</v>
      </c>
      <c r="L12529">
        <v>1020.24</v>
      </c>
    </row>
    <row r="12530" spans="1:12" x14ac:dyDescent="0.25">
      <c r="A12530" t="str">
        <f t="shared" si="2244"/>
        <v>89301000</v>
      </c>
      <c r="B12530" t="str">
        <f t="shared" si="2255"/>
        <v>89063000</v>
      </c>
      <c r="C12530" t="str">
        <f t="shared" si="2255"/>
        <v>89063000</v>
      </c>
      <c r="D12530">
        <v>89301215</v>
      </c>
      <c r="E12530" t="str">
        <f>"6958285818"</f>
        <v>6958285818</v>
      </c>
      <c r="F12530" s="1">
        <v>45208</v>
      </c>
      <c r="G12530" t="str">
        <f t="shared" si="2256"/>
        <v>89312</v>
      </c>
      <c r="H12530">
        <v>3</v>
      </c>
      <c r="I12530">
        <v>936</v>
      </c>
      <c r="J12530">
        <v>0</v>
      </c>
      <c r="K12530" t="str">
        <f t="shared" si="2257"/>
        <v>809</v>
      </c>
      <c r="L12530">
        <v>1020.24</v>
      </c>
    </row>
    <row r="12531" spans="1:12" x14ac:dyDescent="0.25">
      <c r="A12531" t="str">
        <f t="shared" si="2244"/>
        <v>89301000</v>
      </c>
      <c r="B12531" t="str">
        <f t="shared" si="2255"/>
        <v>89063000</v>
      </c>
      <c r="C12531" t="str">
        <f t="shared" si="2255"/>
        <v>89063000</v>
      </c>
      <c r="D12531">
        <v>89301702</v>
      </c>
      <c r="E12531" t="str">
        <f>"0909123237"</f>
        <v>0909123237</v>
      </c>
      <c r="F12531" s="1">
        <v>45208</v>
      </c>
      <c r="G12531" t="str">
        <f t="shared" si="2256"/>
        <v>89312</v>
      </c>
      <c r="H12531">
        <v>1</v>
      </c>
      <c r="I12531">
        <v>312</v>
      </c>
      <c r="J12531">
        <v>0</v>
      </c>
      <c r="K12531" t="str">
        <f t="shared" si="2257"/>
        <v>809</v>
      </c>
      <c r="L12531">
        <v>340.08</v>
      </c>
    </row>
    <row r="12532" spans="1:12" x14ac:dyDescent="0.25">
      <c r="A12532" t="str">
        <f t="shared" si="2244"/>
        <v>89301000</v>
      </c>
      <c r="B12532" t="str">
        <f t="shared" si="2255"/>
        <v>89063000</v>
      </c>
      <c r="C12532" t="str">
        <f t="shared" si="2255"/>
        <v>89063000</v>
      </c>
      <c r="D12532">
        <v>89301036</v>
      </c>
      <c r="E12532" t="str">
        <f>"6202130352"</f>
        <v>6202130352</v>
      </c>
      <c r="F12532" s="1">
        <v>45209</v>
      </c>
      <c r="G12532" t="str">
        <f t="shared" si="2256"/>
        <v>89312</v>
      </c>
      <c r="H12532">
        <v>3</v>
      </c>
      <c r="I12532">
        <v>936</v>
      </c>
      <c r="J12532">
        <v>0</v>
      </c>
      <c r="K12532" t="str">
        <f t="shared" si="2257"/>
        <v>809</v>
      </c>
      <c r="L12532">
        <v>1020.24</v>
      </c>
    </row>
    <row r="12533" spans="1:12" x14ac:dyDescent="0.25">
      <c r="A12533" t="str">
        <f t="shared" si="2244"/>
        <v>89301000</v>
      </c>
      <c r="B12533" t="str">
        <f t="shared" si="2255"/>
        <v>89063000</v>
      </c>
      <c r="C12533" t="str">
        <f t="shared" si="2255"/>
        <v>89063000</v>
      </c>
      <c r="D12533">
        <v>89301037</v>
      </c>
      <c r="E12533" t="str">
        <f>"6151180893"</f>
        <v>6151180893</v>
      </c>
      <c r="F12533" s="1">
        <v>45209</v>
      </c>
      <c r="G12533" t="str">
        <f t="shared" si="2256"/>
        <v>89312</v>
      </c>
      <c r="H12533">
        <v>3</v>
      </c>
      <c r="I12533">
        <v>936</v>
      </c>
      <c r="J12533">
        <v>0</v>
      </c>
      <c r="K12533" t="str">
        <f t="shared" si="2257"/>
        <v>809</v>
      </c>
      <c r="L12533">
        <v>1020.24</v>
      </c>
    </row>
    <row r="12534" spans="1:12" x14ac:dyDescent="0.25">
      <c r="A12534" t="str">
        <f t="shared" si="2244"/>
        <v>89301000</v>
      </c>
      <c r="B12534" t="str">
        <f t="shared" ref="B12534:C12553" si="2258">"89063000"</f>
        <v>89063000</v>
      </c>
      <c r="C12534" t="str">
        <f t="shared" si="2258"/>
        <v>89063000</v>
      </c>
      <c r="D12534">
        <v>89301037</v>
      </c>
      <c r="E12534" t="str">
        <f>"525221226"</f>
        <v>525221226</v>
      </c>
      <c r="F12534" s="1">
        <v>45209</v>
      </c>
      <c r="G12534" t="str">
        <f t="shared" si="2256"/>
        <v>89312</v>
      </c>
      <c r="H12534">
        <v>3</v>
      </c>
      <c r="I12534">
        <v>936</v>
      </c>
      <c r="J12534">
        <v>0</v>
      </c>
      <c r="K12534" t="str">
        <f t="shared" si="2257"/>
        <v>809</v>
      </c>
      <c r="L12534">
        <v>1020.24</v>
      </c>
    </row>
    <row r="12535" spans="1:12" x14ac:dyDescent="0.25">
      <c r="A12535" t="str">
        <f t="shared" si="2244"/>
        <v>89301000</v>
      </c>
      <c r="B12535" t="str">
        <f t="shared" si="2258"/>
        <v>89063000</v>
      </c>
      <c r="C12535" t="str">
        <f t="shared" si="2258"/>
        <v>89063000</v>
      </c>
      <c r="D12535">
        <v>89301037</v>
      </c>
      <c r="E12535" t="str">
        <f>"415702462"</f>
        <v>415702462</v>
      </c>
      <c r="F12535" s="1">
        <v>45210</v>
      </c>
      <c r="G12535" t="str">
        <f t="shared" si="2256"/>
        <v>89312</v>
      </c>
      <c r="H12535">
        <v>3</v>
      </c>
      <c r="I12535">
        <v>936</v>
      </c>
      <c r="J12535">
        <v>0</v>
      </c>
      <c r="K12535" t="str">
        <f t="shared" si="2257"/>
        <v>809</v>
      </c>
      <c r="L12535">
        <v>1020.24</v>
      </c>
    </row>
    <row r="12536" spans="1:12" x14ac:dyDescent="0.25">
      <c r="A12536" t="str">
        <f t="shared" si="2244"/>
        <v>89301000</v>
      </c>
      <c r="B12536" t="str">
        <f t="shared" si="2258"/>
        <v>89063000</v>
      </c>
      <c r="C12536" t="str">
        <f t="shared" si="2258"/>
        <v>89063000</v>
      </c>
      <c r="D12536">
        <v>89301704</v>
      </c>
      <c r="E12536" t="str">
        <f>"1158111801"</f>
        <v>1158111801</v>
      </c>
      <c r="F12536" s="1">
        <v>45210</v>
      </c>
      <c r="G12536" t="str">
        <f t="shared" si="2256"/>
        <v>89312</v>
      </c>
      <c r="H12536">
        <v>1</v>
      </c>
      <c r="I12536">
        <v>312</v>
      </c>
      <c r="J12536">
        <v>0</v>
      </c>
      <c r="K12536" t="str">
        <f t="shared" si="2257"/>
        <v>809</v>
      </c>
      <c r="L12536">
        <v>340.08</v>
      </c>
    </row>
    <row r="12537" spans="1:12" x14ac:dyDescent="0.25">
      <c r="A12537" t="str">
        <f t="shared" si="2244"/>
        <v>89301000</v>
      </c>
      <c r="B12537" t="str">
        <f t="shared" si="2258"/>
        <v>89063000</v>
      </c>
      <c r="C12537" t="str">
        <f t="shared" si="2258"/>
        <v>89063000</v>
      </c>
      <c r="D12537">
        <v>89301037</v>
      </c>
      <c r="E12537" t="str">
        <f>"536110142"</f>
        <v>536110142</v>
      </c>
      <c r="F12537" s="1">
        <v>45210</v>
      </c>
      <c r="G12537" t="str">
        <f t="shared" si="2256"/>
        <v>89312</v>
      </c>
      <c r="H12537">
        <v>3</v>
      </c>
      <c r="I12537">
        <v>936</v>
      </c>
      <c r="J12537">
        <v>0</v>
      </c>
      <c r="K12537" t="str">
        <f t="shared" si="2257"/>
        <v>809</v>
      </c>
      <c r="L12537">
        <v>1020.24</v>
      </c>
    </row>
    <row r="12538" spans="1:12" x14ac:dyDescent="0.25">
      <c r="A12538" t="str">
        <f t="shared" si="2244"/>
        <v>89301000</v>
      </c>
      <c r="B12538" t="str">
        <f t="shared" si="2258"/>
        <v>89063000</v>
      </c>
      <c r="C12538" t="str">
        <f t="shared" si="2258"/>
        <v>89063000</v>
      </c>
      <c r="D12538">
        <v>89301037</v>
      </c>
      <c r="E12538" t="str">
        <f>"6252050475"</f>
        <v>6252050475</v>
      </c>
      <c r="F12538" s="1">
        <v>45211</v>
      </c>
      <c r="G12538" t="str">
        <f t="shared" si="2256"/>
        <v>89312</v>
      </c>
      <c r="H12538">
        <v>3</v>
      </c>
      <c r="I12538">
        <v>936</v>
      </c>
      <c r="J12538">
        <v>0</v>
      </c>
      <c r="K12538" t="str">
        <f t="shared" si="2257"/>
        <v>809</v>
      </c>
      <c r="L12538">
        <v>1020.24</v>
      </c>
    </row>
    <row r="12539" spans="1:12" x14ac:dyDescent="0.25">
      <c r="A12539" t="str">
        <f t="shared" si="2244"/>
        <v>89301000</v>
      </c>
      <c r="B12539" t="str">
        <f t="shared" si="2258"/>
        <v>89063000</v>
      </c>
      <c r="C12539" t="str">
        <f t="shared" si="2258"/>
        <v>89063000</v>
      </c>
      <c r="D12539">
        <v>89301037</v>
      </c>
      <c r="E12539" t="str">
        <f>"525609087"</f>
        <v>525609087</v>
      </c>
      <c r="F12539" s="1">
        <v>45211</v>
      </c>
      <c r="G12539" t="str">
        <f t="shared" si="2256"/>
        <v>89312</v>
      </c>
      <c r="H12539">
        <v>3</v>
      </c>
      <c r="I12539">
        <v>936</v>
      </c>
      <c r="J12539">
        <v>0</v>
      </c>
      <c r="K12539" t="str">
        <f t="shared" si="2257"/>
        <v>809</v>
      </c>
      <c r="L12539">
        <v>1020.24</v>
      </c>
    </row>
    <row r="12540" spans="1:12" x14ac:dyDescent="0.25">
      <c r="A12540" t="str">
        <f t="shared" si="2244"/>
        <v>89301000</v>
      </c>
      <c r="B12540" t="str">
        <f t="shared" si="2258"/>
        <v>89063000</v>
      </c>
      <c r="C12540" t="str">
        <f t="shared" si="2258"/>
        <v>89063000</v>
      </c>
      <c r="D12540">
        <v>89301037</v>
      </c>
      <c r="E12540" t="str">
        <f>"446017432"</f>
        <v>446017432</v>
      </c>
      <c r="F12540" s="1">
        <v>45212</v>
      </c>
      <c r="G12540" t="str">
        <f t="shared" si="2256"/>
        <v>89312</v>
      </c>
      <c r="H12540">
        <v>3</v>
      </c>
      <c r="I12540">
        <v>936</v>
      </c>
      <c r="J12540">
        <v>0</v>
      </c>
      <c r="K12540" t="str">
        <f t="shared" si="2257"/>
        <v>809</v>
      </c>
      <c r="L12540">
        <v>1020.24</v>
      </c>
    </row>
    <row r="12541" spans="1:12" x14ac:dyDescent="0.25">
      <c r="A12541" t="str">
        <f t="shared" si="2244"/>
        <v>89301000</v>
      </c>
      <c r="B12541" t="str">
        <f t="shared" si="2258"/>
        <v>89063000</v>
      </c>
      <c r="C12541" t="str">
        <f t="shared" si="2258"/>
        <v>89063000</v>
      </c>
      <c r="D12541">
        <v>89301702</v>
      </c>
      <c r="E12541" t="str">
        <f>"0808056073"</f>
        <v>0808056073</v>
      </c>
      <c r="F12541" s="1">
        <v>45212</v>
      </c>
      <c r="G12541" t="str">
        <f t="shared" si="2256"/>
        <v>89312</v>
      </c>
      <c r="H12541">
        <v>1</v>
      </c>
      <c r="I12541">
        <v>312</v>
      </c>
      <c r="J12541">
        <v>0</v>
      </c>
      <c r="K12541" t="str">
        <f t="shared" si="2257"/>
        <v>809</v>
      </c>
      <c r="L12541">
        <v>340.08</v>
      </c>
    </row>
    <row r="12542" spans="1:12" x14ac:dyDescent="0.25">
      <c r="A12542" t="str">
        <f t="shared" si="2244"/>
        <v>89301000</v>
      </c>
      <c r="B12542" t="str">
        <f t="shared" si="2258"/>
        <v>89063000</v>
      </c>
      <c r="C12542" t="str">
        <f t="shared" si="2258"/>
        <v>89063000</v>
      </c>
      <c r="D12542">
        <v>89301037</v>
      </c>
      <c r="E12542" t="str">
        <f>"9105135776"</f>
        <v>9105135776</v>
      </c>
      <c r="F12542" s="1">
        <v>45215</v>
      </c>
      <c r="G12542" t="str">
        <f t="shared" si="2256"/>
        <v>89312</v>
      </c>
      <c r="H12542">
        <v>3</v>
      </c>
      <c r="I12542">
        <v>936</v>
      </c>
      <c r="J12542">
        <v>0</v>
      </c>
      <c r="K12542" t="str">
        <f t="shared" si="2257"/>
        <v>809</v>
      </c>
      <c r="L12542">
        <v>1020.24</v>
      </c>
    </row>
    <row r="12543" spans="1:12" x14ac:dyDescent="0.25">
      <c r="A12543" t="str">
        <f t="shared" si="2244"/>
        <v>89301000</v>
      </c>
      <c r="B12543" t="str">
        <f t="shared" si="2258"/>
        <v>89063000</v>
      </c>
      <c r="C12543" t="str">
        <f t="shared" si="2258"/>
        <v>89063000</v>
      </c>
      <c r="D12543">
        <v>89301037</v>
      </c>
      <c r="E12543" t="str">
        <f>"511009195"</f>
        <v>511009195</v>
      </c>
      <c r="F12543" s="1">
        <v>45215</v>
      </c>
      <c r="G12543" t="str">
        <f t="shared" si="2256"/>
        <v>89312</v>
      </c>
      <c r="H12543">
        <v>3</v>
      </c>
      <c r="I12543">
        <v>936</v>
      </c>
      <c r="J12543">
        <v>0</v>
      </c>
      <c r="K12543" t="str">
        <f t="shared" si="2257"/>
        <v>809</v>
      </c>
      <c r="L12543">
        <v>1020.24</v>
      </c>
    </row>
    <row r="12544" spans="1:12" x14ac:dyDescent="0.25">
      <c r="A12544" t="str">
        <f t="shared" si="2244"/>
        <v>89301000</v>
      </c>
      <c r="B12544" t="str">
        <f t="shared" si="2258"/>
        <v>89063000</v>
      </c>
      <c r="C12544" t="str">
        <f t="shared" si="2258"/>
        <v>89063000</v>
      </c>
      <c r="D12544">
        <v>89301037</v>
      </c>
      <c r="E12544" t="str">
        <f>"8458065847"</f>
        <v>8458065847</v>
      </c>
      <c r="F12544" s="1">
        <v>45216</v>
      </c>
      <c r="G12544" t="str">
        <f t="shared" si="2256"/>
        <v>89312</v>
      </c>
      <c r="H12544">
        <v>3</v>
      </c>
      <c r="I12544">
        <v>936</v>
      </c>
      <c r="J12544">
        <v>0</v>
      </c>
      <c r="K12544" t="str">
        <f t="shared" si="2257"/>
        <v>809</v>
      </c>
      <c r="L12544">
        <v>1020.24</v>
      </c>
    </row>
    <row r="12545" spans="1:12" x14ac:dyDescent="0.25">
      <c r="A12545" t="str">
        <f t="shared" si="2244"/>
        <v>89301000</v>
      </c>
      <c r="B12545" t="str">
        <f t="shared" si="2258"/>
        <v>89063000</v>
      </c>
      <c r="C12545" t="str">
        <f t="shared" si="2258"/>
        <v>89063000</v>
      </c>
      <c r="D12545">
        <v>89301172</v>
      </c>
      <c r="E12545" t="str">
        <f>"5611021933"</f>
        <v>5611021933</v>
      </c>
      <c r="F12545" s="1">
        <v>45216</v>
      </c>
      <c r="G12545" t="str">
        <f t="shared" si="2256"/>
        <v>89312</v>
      </c>
      <c r="H12545">
        <v>3</v>
      </c>
      <c r="I12545">
        <v>936</v>
      </c>
      <c r="J12545">
        <v>0</v>
      </c>
      <c r="K12545" t="str">
        <f t="shared" si="2257"/>
        <v>809</v>
      </c>
      <c r="L12545">
        <v>1020.24</v>
      </c>
    </row>
    <row r="12546" spans="1:12" x14ac:dyDescent="0.25">
      <c r="A12546" t="str">
        <f t="shared" ref="A12546:A12609" si="2259">"89301000"</f>
        <v>89301000</v>
      </c>
      <c r="B12546" t="str">
        <f t="shared" si="2258"/>
        <v>89063000</v>
      </c>
      <c r="C12546" t="str">
        <f t="shared" si="2258"/>
        <v>89063000</v>
      </c>
      <c r="D12546">
        <v>89301037</v>
      </c>
      <c r="E12546" t="str">
        <f>"515806080"</f>
        <v>515806080</v>
      </c>
      <c r="F12546" s="1">
        <v>45217</v>
      </c>
      <c r="G12546" t="str">
        <f t="shared" ref="G12546:G12562" si="2260">"89312"</f>
        <v>89312</v>
      </c>
      <c r="H12546">
        <v>3</v>
      </c>
      <c r="I12546">
        <v>936</v>
      </c>
      <c r="J12546">
        <v>0</v>
      </c>
      <c r="K12546" t="str">
        <f t="shared" ref="K12546:K12566" si="2261">"809"</f>
        <v>809</v>
      </c>
      <c r="L12546">
        <v>1020.24</v>
      </c>
    </row>
    <row r="12547" spans="1:12" x14ac:dyDescent="0.25">
      <c r="A12547" t="str">
        <f t="shared" si="2259"/>
        <v>89301000</v>
      </c>
      <c r="B12547" t="str">
        <f t="shared" si="2258"/>
        <v>89063000</v>
      </c>
      <c r="C12547" t="str">
        <f t="shared" si="2258"/>
        <v>89063000</v>
      </c>
      <c r="D12547">
        <v>89301037</v>
      </c>
      <c r="E12547" t="str">
        <f>"5462262388"</f>
        <v>5462262388</v>
      </c>
      <c r="F12547" s="1">
        <v>45217</v>
      </c>
      <c r="G12547" t="str">
        <f t="shared" si="2260"/>
        <v>89312</v>
      </c>
      <c r="H12547">
        <v>3</v>
      </c>
      <c r="I12547">
        <v>936</v>
      </c>
      <c r="J12547">
        <v>0</v>
      </c>
      <c r="K12547" t="str">
        <f t="shared" si="2261"/>
        <v>809</v>
      </c>
      <c r="L12547">
        <v>1020.24</v>
      </c>
    </row>
    <row r="12548" spans="1:12" x14ac:dyDescent="0.25">
      <c r="A12548" t="str">
        <f t="shared" si="2259"/>
        <v>89301000</v>
      </c>
      <c r="B12548" t="str">
        <f t="shared" si="2258"/>
        <v>89063000</v>
      </c>
      <c r="C12548" t="str">
        <f t="shared" si="2258"/>
        <v>89063000</v>
      </c>
      <c r="D12548">
        <v>89301032</v>
      </c>
      <c r="E12548" t="str">
        <f>"7602103894"</f>
        <v>7602103894</v>
      </c>
      <c r="F12548" s="1">
        <v>45217</v>
      </c>
      <c r="G12548" t="str">
        <f t="shared" si="2260"/>
        <v>89312</v>
      </c>
      <c r="H12548">
        <v>3</v>
      </c>
      <c r="I12548">
        <v>936</v>
      </c>
      <c r="J12548">
        <v>0</v>
      </c>
      <c r="K12548" t="str">
        <f t="shared" si="2261"/>
        <v>809</v>
      </c>
      <c r="L12548">
        <v>1020.24</v>
      </c>
    </row>
    <row r="12549" spans="1:12" x14ac:dyDescent="0.25">
      <c r="A12549" t="str">
        <f t="shared" si="2259"/>
        <v>89301000</v>
      </c>
      <c r="B12549" t="str">
        <f t="shared" si="2258"/>
        <v>89063000</v>
      </c>
      <c r="C12549" t="str">
        <f t="shared" si="2258"/>
        <v>89063000</v>
      </c>
      <c r="D12549">
        <v>89301037</v>
      </c>
      <c r="E12549" t="str">
        <f>"425503483"</f>
        <v>425503483</v>
      </c>
      <c r="F12549" s="1">
        <v>45217</v>
      </c>
      <c r="G12549" t="str">
        <f t="shared" si="2260"/>
        <v>89312</v>
      </c>
      <c r="H12549">
        <v>3</v>
      </c>
      <c r="I12549">
        <v>936</v>
      </c>
      <c r="J12549">
        <v>0</v>
      </c>
      <c r="K12549" t="str">
        <f t="shared" si="2261"/>
        <v>809</v>
      </c>
      <c r="L12549">
        <v>1020.24</v>
      </c>
    </row>
    <row r="12550" spans="1:12" x14ac:dyDescent="0.25">
      <c r="A12550" t="str">
        <f t="shared" si="2259"/>
        <v>89301000</v>
      </c>
      <c r="B12550" t="str">
        <f t="shared" si="2258"/>
        <v>89063000</v>
      </c>
      <c r="C12550" t="str">
        <f t="shared" si="2258"/>
        <v>89063000</v>
      </c>
      <c r="D12550">
        <v>89301037</v>
      </c>
      <c r="E12550" t="str">
        <f>"435315412"</f>
        <v>435315412</v>
      </c>
      <c r="F12550" s="1">
        <v>45218</v>
      </c>
      <c r="G12550" t="str">
        <f t="shared" si="2260"/>
        <v>89312</v>
      </c>
      <c r="H12550">
        <v>3</v>
      </c>
      <c r="I12550">
        <v>936</v>
      </c>
      <c r="J12550">
        <v>0</v>
      </c>
      <c r="K12550" t="str">
        <f t="shared" si="2261"/>
        <v>809</v>
      </c>
      <c r="L12550">
        <v>1020.24</v>
      </c>
    </row>
    <row r="12551" spans="1:12" x14ac:dyDescent="0.25">
      <c r="A12551" t="str">
        <f t="shared" si="2259"/>
        <v>89301000</v>
      </c>
      <c r="B12551" t="str">
        <f t="shared" si="2258"/>
        <v>89063000</v>
      </c>
      <c r="C12551" t="str">
        <f t="shared" si="2258"/>
        <v>89063000</v>
      </c>
      <c r="D12551">
        <v>89301109</v>
      </c>
      <c r="E12551" t="str">
        <f>"1560100014"</f>
        <v>1560100014</v>
      </c>
      <c r="F12551" s="1">
        <v>45219</v>
      </c>
      <c r="G12551" t="str">
        <f t="shared" si="2260"/>
        <v>89312</v>
      </c>
      <c r="H12551">
        <v>1</v>
      </c>
      <c r="I12551">
        <v>312</v>
      </c>
      <c r="J12551">
        <v>0</v>
      </c>
      <c r="K12551" t="str">
        <f t="shared" si="2261"/>
        <v>809</v>
      </c>
      <c r="L12551">
        <v>340.08</v>
      </c>
    </row>
    <row r="12552" spans="1:12" x14ac:dyDescent="0.25">
      <c r="A12552" t="str">
        <f t="shared" si="2259"/>
        <v>89301000</v>
      </c>
      <c r="B12552" t="str">
        <f t="shared" si="2258"/>
        <v>89063000</v>
      </c>
      <c r="C12552" t="str">
        <f t="shared" si="2258"/>
        <v>89063000</v>
      </c>
      <c r="D12552">
        <v>89301212</v>
      </c>
      <c r="E12552" t="str">
        <f>"6554251055"</f>
        <v>6554251055</v>
      </c>
      <c r="F12552" s="1">
        <v>45219</v>
      </c>
      <c r="G12552" t="str">
        <f t="shared" si="2260"/>
        <v>89312</v>
      </c>
      <c r="H12552">
        <v>3</v>
      </c>
      <c r="I12552">
        <v>936</v>
      </c>
      <c r="J12552">
        <v>0</v>
      </c>
      <c r="K12552" t="str">
        <f t="shared" si="2261"/>
        <v>809</v>
      </c>
      <c r="L12552">
        <v>1020.24</v>
      </c>
    </row>
    <row r="12553" spans="1:12" x14ac:dyDescent="0.25">
      <c r="A12553" t="str">
        <f t="shared" si="2259"/>
        <v>89301000</v>
      </c>
      <c r="B12553" t="str">
        <f t="shared" si="2258"/>
        <v>89063000</v>
      </c>
      <c r="C12553" t="str">
        <f t="shared" si="2258"/>
        <v>89063000</v>
      </c>
      <c r="D12553">
        <v>89301037</v>
      </c>
      <c r="E12553" t="str">
        <f>"520530340"</f>
        <v>520530340</v>
      </c>
      <c r="F12553" s="1">
        <v>45222</v>
      </c>
      <c r="G12553" t="str">
        <f t="shared" si="2260"/>
        <v>89312</v>
      </c>
      <c r="H12553">
        <v>3</v>
      </c>
      <c r="I12553">
        <v>936</v>
      </c>
      <c r="J12553">
        <v>0</v>
      </c>
      <c r="K12553" t="str">
        <f t="shared" si="2261"/>
        <v>809</v>
      </c>
      <c r="L12553">
        <v>1020.24</v>
      </c>
    </row>
    <row r="12554" spans="1:12" x14ac:dyDescent="0.25">
      <c r="A12554" t="str">
        <f t="shared" si="2259"/>
        <v>89301000</v>
      </c>
      <c r="B12554" t="str">
        <f t="shared" ref="B12554:C12562" si="2262">"89063000"</f>
        <v>89063000</v>
      </c>
      <c r="C12554" t="str">
        <f t="shared" si="2262"/>
        <v>89063000</v>
      </c>
      <c r="D12554">
        <v>89301037</v>
      </c>
      <c r="E12554" t="str">
        <f>"7758135330"</f>
        <v>7758135330</v>
      </c>
      <c r="F12554" s="1">
        <v>45222</v>
      </c>
      <c r="G12554" t="str">
        <f t="shared" si="2260"/>
        <v>89312</v>
      </c>
      <c r="H12554">
        <v>3</v>
      </c>
      <c r="I12554">
        <v>936</v>
      </c>
      <c r="J12554">
        <v>0</v>
      </c>
      <c r="K12554" t="str">
        <f t="shared" si="2261"/>
        <v>809</v>
      </c>
      <c r="L12554">
        <v>1020.24</v>
      </c>
    </row>
    <row r="12555" spans="1:12" x14ac:dyDescent="0.25">
      <c r="A12555" t="str">
        <f t="shared" si="2259"/>
        <v>89301000</v>
      </c>
      <c r="B12555" t="str">
        <f t="shared" si="2262"/>
        <v>89063000</v>
      </c>
      <c r="C12555" t="str">
        <f t="shared" si="2262"/>
        <v>89063000</v>
      </c>
      <c r="D12555">
        <v>89301037</v>
      </c>
      <c r="E12555" t="str">
        <f>"460625409"</f>
        <v>460625409</v>
      </c>
      <c r="F12555" s="1">
        <v>45223</v>
      </c>
      <c r="G12555" t="str">
        <f t="shared" si="2260"/>
        <v>89312</v>
      </c>
      <c r="H12555">
        <v>3</v>
      </c>
      <c r="I12555">
        <v>936</v>
      </c>
      <c r="J12555">
        <v>0</v>
      </c>
      <c r="K12555" t="str">
        <f t="shared" si="2261"/>
        <v>809</v>
      </c>
      <c r="L12555">
        <v>1020.24</v>
      </c>
    </row>
    <row r="12556" spans="1:12" x14ac:dyDescent="0.25">
      <c r="A12556" t="str">
        <f t="shared" si="2259"/>
        <v>89301000</v>
      </c>
      <c r="B12556" t="str">
        <f t="shared" si="2262"/>
        <v>89063000</v>
      </c>
      <c r="C12556" t="str">
        <f t="shared" si="2262"/>
        <v>89063000</v>
      </c>
      <c r="D12556">
        <v>89301162</v>
      </c>
      <c r="E12556" t="str">
        <f>"7257175277"</f>
        <v>7257175277</v>
      </c>
      <c r="F12556" s="1">
        <v>45225</v>
      </c>
      <c r="G12556" t="str">
        <f t="shared" si="2260"/>
        <v>89312</v>
      </c>
      <c r="H12556">
        <v>3</v>
      </c>
      <c r="I12556">
        <v>936</v>
      </c>
      <c r="J12556">
        <v>0</v>
      </c>
      <c r="K12556" t="str">
        <f t="shared" si="2261"/>
        <v>809</v>
      </c>
      <c r="L12556">
        <v>1020.24</v>
      </c>
    </row>
    <row r="12557" spans="1:12" x14ac:dyDescent="0.25">
      <c r="A12557" t="str">
        <f t="shared" si="2259"/>
        <v>89301000</v>
      </c>
      <c r="B12557" t="str">
        <f t="shared" si="2262"/>
        <v>89063000</v>
      </c>
      <c r="C12557" t="str">
        <f t="shared" si="2262"/>
        <v>89063000</v>
      </c>
      <c r="D12557">
        <v>89301037</v>
      </c>
      <c r="E12557" t="str">
        <f>"6504131469"</f>
        <v>6504131469</v>
      </c>
      <c r="F12557" s="1">
        <v>45225</v>
      </c>
      <c r="G12557" t="str">
        <f t="shared" si="2260"/>
        <v>89312</v>
      </c>
      <c r="H12557">
        <v>3</v>
      </c>
      <c r="I12557">
        <v>936</v>
      </c>
      <c r="J12557">
        <v>0</v>
      </c>
      <c r="K12557" t="str">
        <f t="shared" si="2261"/>
        <v>809</v>
      </c>
      <c r="L12557">
        <v>1020.24</v>
      </c>
    </row>
    <row r="12558" spans="1:12" x14ac:dyDescent="0.25">
      <c r="A12558" t="str">
        <f t="shared" si="2259"/>
        <v>89301000</v>
      </c>
      <c r="B12558" t="str">
        <f t="shared" si="2262"/>
        <v>89063000</v>
      </c>
      <c r="C12558" t="str">
        <f t="shared" si="2262"/>
        <v>89063000</v>
      </c>
      <c r="D12558">
        <v>89301212</v>
      </c>
      <c r="E12558" t="str">
        <f>"5454160184"</f>
        <v>5454160184</v>
      </c>
      <c r="F12558" s="1">
        <v>45226</v>
      </c>
      <c r="G12558" t="str">
        <f t="shared" si="2260"/>
        <v>89312</v>
      </c>
      <c r="H12558">
        <v>3</v>
      </c>
      <c r="I12558">
        <v>936</v>
      </c>
      <c r="J12558">
        <v>0</v>
      </c>
      <c r="K12558" t="str">
        <f t="shared" si="2261"/>
        <v>809</v>
      </c>
      <c r="L12558">
        <v>1020.24</v>
      </c>
    </row>
    <row r="12559" spans="1:12" x14ac:dyDescent="0.25">
      <c r="A12559" t="str">
        <f t="shared" si="2259"/>
        <v>89301000</v>
      </c>
      <c r="B12559" t="str">
        <f t="shared" si="2262"/>
        <v>89063000</v>
      </c>
      <c r="C12559" t="str">
        <f t="shared" si="2262"/>
        <v>89063000</v>
      </c>
      <c r="D12559">
        <v>89301037</v>
      </c>
      <c r="E12559" t="str">
        <f>"5511290972"</f>
        <v>5511290972</v>
      </c>
      <c r="F12559" s="1">
        <v>45229</v>
      </c>
      <c r="G12559" t="str">
        <f t="shared" si="2260"/>
        <v>89312</v>
      </c>
      <c r="H12559">
        <v>3</v>
      </c>
      <c r="I12559">
        <v>936</v>
      </c>
      <c r="J12559">
        <v>0</v>
      </c>
      <c r="K12559" t="str">
        <f t="shared" si="2261"/>
        <v>809</v>
      </c>
      <c r="L12559">
        <v>1020.24</v>
      </c>
    </row>
    <row r="12560" spans="1:12" x14ac:dyDescent="0.25">
      <c r="A12560" t="str">
        <f t="shared" si="2259"/>
        <v>89301000</v>
      </c>
      <c r="B12560" t="str">
        <f t="shared" si="2262"/>
        <v>89063000</v>
      </c>
      <c r="C12560" t="str">
        <f t="shared" si="2262"/>
        <v>89063000</v>
      </c>
      <c r="D12560">
        <v>89301037</v>
      </c>
      <c r="E12560" t="str">
        <f>"476208149"</f>
        <v>476208149</v>
      </c>
      <c r="F12560" s="1">
        <v>45229</v>
      </c>
      <c r="G12560" t="str">
        <f t="shared" si="2260"/>
        <v>89312</v>
      </c>
      <c r="H12560">
        <v>3</v>
      </c>
      <c r="I12560">
        <v>936</v>
      </c>
      <c r="J12560">
        <v>0</v>
      </c>
      <c r="K12560" t="str">
        <f t="shared" si="2261"/>
        <v>809</v>
      </c>
      <c r="L12560">
        <v>1020.24</v>
      </c>
    </row>
    <row r="12561" spans="1:12" x14ac:dyDescent="0.25">
      <c r="A12561" t="str">
        <f t="shared" si="2259"/>
        <v>89301000</v>
      </c>
      <c r="B12561" t="str">
        <f t="shared" si="2262"/>
        <v>89063000</v>
      </c>
      <c r="C12561" t="str">
        <f t="shared" si="2262"/>
        <v>89063000</v>
      </c>
      <c r="D12561">
        <v>89301036</v>
      </c>
      <c r="E12561" t="str">
        <f>"375223007"</f>
        <v>375223007</v>
      </c>
      <c r="F12561" s="1">
        <v>45230</v>
      </c>
      <c r="G12561" t="str">
        <f t="shared" si="2260"/>
        <v>89312</v>
      </c>
      <c r="H12561">
        <v>3</v>
      </c>
      <c r="I12561">
        <v>936</v>
      </c>
      <c r="J12561">
        <v>0</v>
      </c>
      <c r="K12561" t="str">
        <f t="shared" si="2261"/>
        <v>809</v>
      </c>
      <c r="L12561">
        <v>1020.24</v>
      </c>
    </row>
    <row r="12562" spans="1:12" x14ac:dyDescent="0.25">
      <c r="A12562" t="str">
        <f t="shared" si="2259"/>
        <v>89301000</v>
      </c>
      <c r="B12562" t="str">
        <f t="shared" si="2262"/>
        <v>89063000</v>
      </c>
      <c r="C12562" t="str">
        <f t="shared" si="2262"/>
        <v>89063000</v>
      </c>
      <c r="D12562">
        <v>89301212</v>
      </c>
      <c r="E12562" t="str">
        <f>"7562115308"</f>
        <v>7562115308</v>
      </c>
      <c r="F12562" s="1">
        <v>45230</v>
      </c>
      <c r="G12562" t="str">
        <f t="shared" si="2260"/>
        <v>89312</v>
      </c>
      <c r="H12562">
        <v>3</v>
      </c>
      <c r="I12562">
        <v>936</v>
      </c>
      <c r="J12562">
        <v>0</v>
      </c>
      <c r="K12562" t="str">
        <f t="shared" si="2261"/>
        <v>809</v>
      </c>
      <c r="L12562">
        <v>1020.24</v>
      </c>
    </row>
    <row r="12563" spans="1:12" x14ac:dyDescent="0.25">
      <c r="A12563" t="str">
        <f t="shared" si="2259"/>
        <v>89301000</v>
      </c>
      <c r="B12563" t="str">
        <f>"93507000"</f>
        <v>93507000</v>
      </c>
      <c r="C12563" t="str">
        <f>"93507001"</f>
        <v>93507001</v>
      </c>
      <c r="D12563">
        <v>89301212</v>
      </c>
      <c r="E12563" t="str">
        <f>"5654271051"</f>
        <v>5654271051</v>
      </c>
      <c r="F12563" s="1">
        <v>45203</v>
      </c>
      <c r="G12563" t="str">
        <f>"89131"</f>
        <v>89131</v>
      </c>
      <c r="H12563">
        <v>1</v>
      </c>
      <c r="I12563">
        <v>190</v>
      </c>
      <c r="J12563">
        <v>0</v>
      </c>
      <c r="K12563" t="str">
        <f t="shared" si="2261"/>
        <v>809</v>
      </c>
      <c r="L12563">
        <v>279.3</v>
      </c>
    </row>
    <row r="12564" spans="1:12" x14ac:dyDescent="0.25">
      <c r="A12564" t="str">
        <f t="shared" si="2259"/>
        <v>89301000</v>
      </c>
      <c r="B12564" t="str">
        <f t="shared" ref="B12564:C12566" si="2263">"89434000"</f>
        <v>89434000</v>
      </c>
      <c r="C12564" t="str">
        <f t="shared" si="2263"/>
        <v>89434000</v>
      </c>
      <c r="D12564">
        <v>89301212</v>
      </c>
      <c r="E12564" t="str">
        <f>"475927465"</f>
        <v>475927465</v>
      </c>
      <c r="F12564" s="1">
        <v>45218</v>
      </c>
      <c r="G12564" t="str">
        <f>"89513"</f>
        <v>89513</v>
      </c>
      <c r="H12564">
        <v>1</v>
      </c>
      <c r="I12564">
        <v>378</v>
      </c>
      <c r="J12564">
        <v>0</v>
      </c>
      <c r="K12564" t="str">
        <f t="shared" si="2261"/>
        <v>809</v>
      </c>
      <c r="L12564">
        <v>555.66</v>
      </c>
    </row>
    <row r="12565" spans="1:12" x14ac:dyDescent="0.25">
      <c r="A12565" t="str">
        <f t="shared" si="2259"/>
        <v>89301000</v>
      </c>
      <c r="B12565" t="str">
        <f t="shared" si="2263"/>
        <v>89434000</v>
      </c>
      <c r="C12565" t="str">
        <f t="shared" si="2263"/>
        <v>89434000</v>
      </c>
      <c r="D12565">
        <v>89301212</v>
      </c>
      <c r="E12565" t="str">
        <f>"475927465"</f>
        <v>475927465</v>
      </c>
      <c r="F12565" s="1">
        <v>45218</v>
      </c>
      <c r="G12565" t="str">
        <f>"89514"</f>
        <v>89514</v>
      </c>
      <c r="H12565">
        <v>1</v>
      </c>
      <c r="I12565">
        <v>378</v>
      </c>
      <c r="J12565">
        <v>0</v>
      </c>
      <c r="K12565" t="str">
        <f t="shared" si="2261"/>
        <v>809</v>
      </c>
      <c r="L12565">
        <v>555.66</v>
      </c>
    </row>
    <row r="12566" spans="1:12" x14ac:dyDescent="0.25">
      <c r="A12566" t="str">
        <f t="shared" si="2259"/>
        <v>89301000</v>
      </c>
      <c r="B12566" t="str">
        <f t="shared" si="2263"/>
        <v>89434000</v>
      </c>
      <c r="C12566" t="str">
        <f t="shared" si="2263"/>
        <v>89434000</v>
      </c>
      <c r="D12566">
        <v>89301212</v>
      </c>
      <c r="E12566" t="str">
        <f>"530317069"</f>
        <v>530317069</v>
      </c>
      <c r="F12566" s="1">
        <v>45222</v>
      </c>
      <c r="G12566" t="str">
        <f>"09137"</f>
        <v>09137</v>
      </c>
      <c r="H12566">
        <v>1</v>
      </c>
      <c r="I12566">
        <v>238</v>
      </c>
      <c r="J12566">
        <v>0</v>
      </c>
      <c r="K12566" t="str">
        <f t="shared" si="2261"/>
        <v>809</v>
      </c>
      <c r="L12566">
        <v>349.86</v>
      </c>
    </row>
    <row r="12567" spans="1:12" x14ac:dyDescent="0.25">
      <c r="A12567" t="str">
        <f t="shared" si="2259"/>
        <v>89301000</v>
      </c>
      <c r="B12567" t="str">
        <f>"44564000"</f>
        <v>44564000</v>
      </c>
      <c r="C12567" t="str">
        <f>"44564006"</f>
        <v>44564006</v>
      </c>
      <c r="D12567">
        <v>89301375</v>
      </c>
      <c r="E12567" t="str">
        <f>"6705260573"</f>
        <v>6705260573</v>
      </c>
      <c r="F12567" s="1">
        <v>45204</v>
      </c>
      <c r="G12567" t="str">
        <f>"94229"</f>
        <v>94229</v>
      </c>
      <c r="H12567">
        <v>9</v>
      </c>
      <c r="I12567">
        <v>5697</v>
      </c>
      <c r="J12567">
        <v>0</v>
      </c>
      <c r="K12567" t="str">
        <f>"816"</f>
        <v>816</v>
      </c>
      <c r="L12567">
        <v>5127.3</v>
      </c>
    </row>
    <row r="12568" spans="1:12" x14ac:dyDescent="0.25">
      <c r="A12568" t="str">
        <f t="shared" si="2259"/>
        <v>89301000</v>
      </c>
      <c r="B12568" t="str">
        <f>"44564000"</f>
        <v>44564000</v>
      </c>
      <c r="C12568" t="str">
        <f>"44564006"</f>
        <v>44564006</v>
      </c>
      <c r="D12568">
        <v>89301375</v>
      </c>
      <c r="E12568" t="str">
        <f>"6705260573"</f>
        <v>6705260573</v>
      </c>
      <c r="F12568" s="1">
        <v>45204</v>
      </c>
      <c r="G12568" t="str">
        <f>"94229"</f>
        <v>94229</v>
      </c>
      <c r="H12568">
        <v>1</v>
      </c>
      <c r="I12568">
        <v>633</v>
      </c>
      <c r="J12568">
        <v>0</v>
      </c>
      <c r="K12568" t="str">
        <f>"816"</f>
        <v>816</v>
      </c>
      <c r="L12568">
        <v>569.70000000000005</v>
      </c>
    </row>
    <row r="12569" spans="1:12" x14ac:dyDescent="0.25">
      <c r="A12569" t="str">
        <f t="shared" si="2259"/>
        <v>89301000</v>
      </c>
      <c r="B12569" t="str">
        <f>"44564000"</f>
        <v>44564000</v>
      </c>
      <c r="C12569" t="str">
        <f>"44564006"</f>
        <v>44564006</v>
      </c>
      <c r="D12569">
        <v>89301375</v>
      </c>
      <c r="E12569" t="str">
        <f>"6705260573"</f>
        <v>6705260573</v>
      </c>
      <c r="F12569" s="1">
        <v>45204</v>
      </c>
      <c r="G12569" t="str">
        <f>"94365"</f>
        <v>94365</v>
      </c>
      <c r="H12569">
        <v>1</v>
      </c>
      <c r="I12569">
        <v>36656</v>
      </c>
      <c r="J12569">
        <v>0</v>
      </c>
      <c r="K12569" t="str">
        <f>"816"</f>
        <v>816</v>
      </c>
      <c r="L12569">
        <v>32990.400000000001</v>
      </c>
    </row>
    <row r="12570" spans="1:12" x14ac:dyDescent="0.25">
      <c r="A12570" t="str">
        <f t="shared" si="2259"/>
        <v>89301000</v>
      </c>
      <c r="B12570" t="str">
        <f t="shared" ref="B12570:B12601" si="2264">"72077000"</f>
        <v>72077000</v>
      </c>
      <c r="C12570" t="str">
        <f t="shared" ref="C12570:C12598" si="2265">"72077001"</f>
        <v>72077001</v>
      </c>
      <c r="D12570">
        <v>89301152</v>
      </c>
      <c r="E12570" t="str">
        <f t="shared" ref="E12570:E12575" si="2266">"6351110282"</f>
        <v>6351110282</v>
      </c>
      <c r="F12570" s="1">
        <v>45224</v>
      </c>
      <c r="G12570" t="str">
        <f>"91359"</f>
        <v>91359</v>
      </c>
      <c r="H12570">
        <v>1</v>
      </c>
      <c r="I12570">
        <v>205</v>
      </c>
      <c r="J12570">
        <v>0</v>
      </c>
      <c r="K12570" t="str">
        <f t="shared" ref="K12570:K12598" si="2267">"813"</f>
        <v>813</v>
      </c>
      <c r="L12570">
        <v>172.2</v>
      </c>
    </row>
    <row r="12571" spans="1:12" x14ac:dyDescent="0.25">
      <c r="A12571" t="str">
        <f t="shared" si="2259"/>
        <v>89301000</v>
      </c>
      <c r="B12571" t="str">
        <f t="shared" si="2264"/>
        <v>72077000</v>
      </c>
      <c r="C12571" t="str">
        <f t="shared" si="2265"/>
        <v>72077001</v>
      </c>
      <c r="D12571">
        <v>89301152</v>
      </c>
      <c r="E12571" t="str">
        <f t="shared" si="2266"/>
        <v>6351110282</v>
      </c>
      <c r="F12571" s="1">
        <v>45224</v>
      </c>
      <c r="G12571" t="str">
        <f>"91361"</f>
        <v>91361</v>
      </c>
      <c r="H12571">
        <v>1</v>
      </c>
      <c r="I12571">
        <v>444</v>
      </c>
      <c r="J12571">
        <v>0</v>
      </c>
      <c r="K12571" t="str">
        <f t="shared" si="2267"/>
        <v>813</v>
      </c>
      <c r="L12571">
        <v>372.96</v>
      </c>
    </row>
    <row r="12572" spans="1:12" x14ac:dyDescent="0.25">
      <c r="A12572" t="str">
        <f t="shared" si="2259"/>
        <v>89301000</v>
      </c>
      <c r="B12572" t="str">
        <f t="shared" si="2264"/>
        <v>72077000</v>
      </c>
      <c r="C12572" t="str">
        <f t="shared" si="2265"/>
        <v>72077001</v>
      </c>
      <c r="D12572">
        <v>89301152</v>
      </c>
      <c r="E12572" t="str">
        <f t="shared" si="2266"/>
        <v>6351110282</v>
      </c>
      <c r="F12572" s="1">
        <v>45224</v>
      </c>
      <c r="G12572" t="str">
        <f>"91577"</f>
        <v>91577</v>
      </c>
      <c r="H12572">
        <v>1</v>
      </c>
      <c r="I12572">
        <v>398</v>
      </c>
      <c r="J12572">
        <v>0</v>
      </c>
      <c r="K12572" t="str">
        <f t="shared" si="2267"/>
        <v>813</v>
      </c>
      <c r="L12572">
        <v>334.32</v>
      </c>
    </row>
    <row r="12573" spans="1:12" x14ac:dyDescent="0.25">
      <c r="A12573" t="str">
        <f t="shared" si="2259"/>
        <v>89301000</v>
      </c>
      <c r="B12573" t="str">
        <f t="shared" si="2264"/>
        <v>72077000</v>
      </c>
      <c r="C12573" t="str">
        <f t="shared" si="2265"/>
        <v>72077001</v>
      </c>
      <c r="D12573">
        <v>89301152</v>
      </c>
      <c r="E12573" t="str">
        <f t="shared" si="2266"/>
        <v>6351110282</v>
      </c>
      <c r="F12573" s="1">
        <v>45224</v>
      </c>
      <c r="G12573" t="str">
        <f>"91171"</f>
        <v>91171</v>
      </c>
      <c r="H12573">
        <v>1</v>
      </c>
      <c r="I12573">
        <v>362</v>
      </c>
      <c r="J12573">
        <v>0</v>
      </c>
      <c r="K12573" t="str">
        <f t="shared" si="2267"/>
        <v>813</v>
      </c>
      <c r="L12573">
        <v>304.08</v>
      </c>
    </row>
    <row r="12574" spans="1:12" x14ac:dyDescent="0.25">
      <c r="A12574" t="str">
        <f t="shared" si="2259"/>
        <v>89301000</v>
      </c>
      <c r="B12574" t="str">
        <f t="shared" si="2264"/>
        <v>72077000</v>
      </c>
      <c r="C12574" t="str">
        <f t="shared" si="2265"/>
        <v>72077001</v>
      </c>
      <c r="D12574">
        <v>89301152</v>
      </c>
      <c r="E12574" t="str">
        <f t="shared" si="2266"/>
        <v>6351110282</v>
      </c>
      <c r="F12574" s="1">
        <v>45224</v>
      </c>
      <c r="G12574" t="str">
        <f>"91171"</f>
        <v>91171</v>
      </c>
      <c r="H12574">
        <v>1</v>
      </c>
      <c r="I12574">
        <v>362</v>
      </c>
      <c r="J12574">
        <v>0</v>
      </c>
      <c r="K12574" t="str">
        <f t="shared" si="2267"/>
        <v>813</v>
      </c>
      <c r="L12574">
        <v>304.08</v>
      </c>
    </row>
    <row r="12575" spans="1:12" x14ac:dyDescent="0.25">
      <c r="A12575" t="str">
        <f t="shared" si="2259"/>
        <v>89301000</v>
      </c>
      <c r="B12575" t="str">
        <f t="shared" si="2264"/>
        <v>72077000</v>
      </c>
      <c r="C12575" t="str">
        <f t="shared" si="2265"/>
        <v>72077001</v>
      </c>
      <c r="D12575">
        <v>89301152</v>
      </c>
      <c r="E12575" t="str">
        <f t="shared" si="2266"/>
        <v>6351110282</v>
      </c>
      <c r="F12575" s="1">
        <v>45226</v>
      </c>
      <c r="G12575" t="str">
        <f>"91485"</f>
        <v>91485</v>
      </c>
      <c r="H12575">
        <v>1</v>
      </c>
      <c r="I12575">
        <v>268</v>
      </c>
      <c r="J12575">
        <v>0</v>
      </c>
      <c r="K12575" t="str">
        <f t="shared" si="2267"/>
        <v>813</v>
      </c>
      <c r="L12575">
        <v>225.12</v>
      </c>
    </row>
    <row r="12576" spans="1:12" x14ac:dyDescent="0.25">
      <c r="A12576" t="str">
        <f t="shared" si="2259"/>
        <v>89301000</v>
      </c>
      <c r="B12576" t="str">
        <f t="shared" si="2264"/>
        <v>72077000</v>
      </c>
      <c r="C12576" t="str">
        <f t="shared" si="2265"/>
        <v>72077001</v>
      </c>
      <c r="D12576">
        <v>89301152</v>
      </c>
      <c r="E12576" t="str">
        <f>"9208253978"</f>
        <v>9208253978</v>
      </c>
      <c r="F12576" s="1">
        <v>45203</v>
      </c>
      <c r="G12576" t="str">
        <f>"91577"</f>
        <v>91577</v>
      </c>
      <c r="H12576">
        <v>1</v>
      </c>
      <c r="I12576">
        <v>398</v>
      </c>
      <c r="J12576">
        <v>0</v>
      </c>
      <c r="K12576" t="str">
        <f t="shared" si="2267"/>
        <v>813</v>
      </c>
      <c r="L12576">
        <v>334.32</v>
      </c>
    </row>
    <row r="12577" spans="1:12" x14ac:dyDescent="0.25">
      <c r="A12577" t="str">
        <f t="shared" si="2259"/>
        <v>89301000</v>
      </c>
      <c r="B12577" t="str">
        <f t="shared" si="2264"/>
        <v>72077000</v>
      </c>
      <c r="C12577" t="str">
        <f t="shared" si="2265"/>
        <v>72077001</v>
      </c>
      <c r="D12577">
        <v>89301152</v>
      </c>
      <c r="E12577" t="str">
        <f>"9208253978"</f>
        <v>9208253978</v>
      </c>
      <c r="F12577" s="1">
        <v>45203</v>
      </c>
      <c r="G12577" t="str">
        <f>"91485"</f>
        <v>91485</v>
      </c>
      <c r="H12577">
        <v>1</v>
      </c>
      <c r="I12577">
        <v>268</v>
      </c>
      <c r="J12577">
        <v>0</v>
      </c>
      <c r="K12577" t="str">
        <f t="shared" si="2267"/>
        <v>813</v>
      </c>
      <c r="L12577">
        <v>225.12</v>
      </c>
    </row>
    <row r="12578" spans="1:12" x14ac:dyDescent="0.25">
      <c r="A12578" t="str">
        <f t="shared" si="2259"/>
        <v>89301000</v>
      </c>
      <c r="B12578" t="str">
        <f t="shared" si="2264"/>
        <v>72077000</v>
      </c>
      <c r="C12578" t="str">
        <f t="shared" si="2265"/>
        <v>72077001</v>
      </c>
      <c r="D12578">
        <v>89301152</v>
      </c>
      <c r="E12578" t="str">
        <f>"9208253978"</f>
        <v>9208253978</v>
      </c>
      <c r="F12578" s="1">
        <v>45204</v>
      </c>
      <c r="G12578" t="str">
        <f>"91171"</f>
        <v>91171</v>
      </c>
      <c r="H12578">
        <v>1</v>
      </c>
      <c r="I12578">
        <v>362</v>
      </c>
      <c r="J12578">
        <v>0</v>
      </c>
      <c r="K12578" t="str">
        <f t="shared" si="2267"/>
        <v>813</v>
      </c>
      <c r="L12578">
        <v>304.08</v>
      </c>
    </row>
    <row r="12579" spans="1:12" x14ac:dyDescent="0.25">
      <c r="A12579" t="str">
        <f t="shared" si="2259"/>
        <v>89301000</v>
      </c>
      <c r="B12579" t="str">
        <f t="shared" si="2264"/>
        <v>72077000</v>
      </c>
      <c r="C12579" t="str">
        <f t="shared" si="2265"/>
        <v>72077001</v>
      </c>
      <c r="D12579">
        <v>89301152</v>
      </c>
      <c r="E12579" t="str">
        <f>"6461151224"</f>
        <v>6461151224</v>
      </c>
      <c r="F12579" s="1">
        <v>45205</v>
      </c>
      <c r="G12579" t="str">
        <f>"91465"</f>
        <v>91465</v>
      </c>
      <c r="H12579">
        <v>1</v>
      </c>
      <c r="I12579">
        <v>1412</v>
      </c>
      <c r="J12579">
        <v>0</v>
      </c>
      <c r="K12579" t="str">
        <f t="shared" si="2267"/>
        <v>813</v>
      </c>
      <c r="L12579">
        <v>1186.08</v>
      </c>
    </row>
    <row r="12580" spans="1:12" x14ac:dyDescent="0.25">
      <c r="A12580" t="str">
        <f t="shared" si="2259"/>
        <v>89301000</v>
      </c>
      <c r="B12580" t="str">
        <f t="shared" si="2264"/>
        <v>72077000</v>
      </c>
      <c r="C12580" t="str">
        <f t="shared" si="2265"/>
        <v>72077001</v>
      </c>
      <c r="D12580">
        <v>89301152</v>
      </c>
      <c r="E12580" t="str">
        <f>"6461151224"</f>
        <v>6461151224</v>
      </c>
      <c r="F12580" s="1">
        <v>45205</v>
      </c>
      <c r="G12580" t="str">
        <f>"91197"</f>
        <v>91197</v>
      </c>
      <c r="H12580">
        <v>1</v>
      </c>
      <c r="I12580">
        <v>1048</v>
      </c>
      <c r="J12580">
        <v>0</v>
      </c>
      <c r="K12580" t="str">
        <f t="shared" si="2267"/>
        <v>813</v>
      </c>
      <c r="L12580">
        <v>880.32</v>
      </c>
    </row>
    <row r="12581" spans="1:12" x14ac:dyDescent="0.25">
      <c r="A12581" t="str">
        <f t="shared" si="2259"/>
        <v>89301000</v>
      </c>
      <c r="B12581" t="str">
        <f t="shared" si="2264"/>
        <v>72077000</v>
      </c>
      <c r="C12581" t="str">
        <f t="shared" si="2265"/>
        <v>72077001</v>
      </c>
      <c r="D12581">
        <v>89301152</v>
      </c>
      <c r="E12581" t="str">
        <f>"7154165304"</f>
        <v>7154165304</v>
      </c>
      <c r="F12581" s="1">
        <v>45202</v>
      </c>
      <c r="G12581" t="str">
        <f>"91465"</f>
        <v>91465</v>
      </c>
      <c r="H12581">
        <v>1</v>
      </c>
      <c r="I12581">
        <v>1412</v>
      </c>
      <c r="J12581">
        <v>0</v>
      </c>
      <c r="K12581" t="str">
        <f t="shared" si="2267"/>
        <v>813</v>
      </c>
      <c r="L12581">
        <v>1186.08</v>
      </c>
    </row>
    <row r="12582" spans="1:12" x14ac:dyDescent="0.25">
      <c r="A12582" t="str">
        <f t="shared" si="2259"/>
        <v>89301000</v>
      </c>
      <c r="B12582" t="str">
        <f t="shared" si="2264"/>
        <v>72077000</v>
      </c>
      <c r="C12582" t="str">
        <f t="shared" si="2265"/>
        <v>72077001</v>
      </c>
      <c r="D12582">
        <v>89301152</v>
      </c>
      <c r="E12582" t="str">
        <f>"7154165304"</f>
        <v>7154165304</v>
      </c>
      <c r="F12582" s="1">
        <v>45202</v>
      </c>
      <c r="G12582" t="str">
        <f>"91197"</f>
        <v>91197</v>
      </c>
      <c r="H12582">
        <v>1</v>
      </c>
      <c r="I12582">
        <v>1048</v>
      </c>
      <c r="J12582">
        <v>0</v>
      </c>
      <c r="K12582" t="str">
        <f t="shared" si="2267"/>
        <v>813</v>
      </c>
      <c r="L12582">
        <v>880.32</v>
      </c>
    </row>
    <row r="12583" spans="1:12" x14ac:dyDescent="0.25">
      <c r="A12583" t="str">
        <f t="shared" si="2259"/>
        <v>89301000</v>
      </c>
      <c r="B12583" t="str">
        <f t="shared" si="2264"/>
        <v>72077000</v>
      </c>
      <c r="C12583" t="str">
        <f t="shared" si="2265"/>
        <v>72077001</v>
      </c>
      <c r="D12583">
        <v>89301152</v>
      </c>
      <c r="E12583" t="str">
        <f>"6453060581"</f>
        <v>6453060581</v>
      </c>
      <c r="F12583" s="1">
        <v>45205</v>
      </c>
      <c r="G12583" t="str">
        <f>"91465"</f>
        <v>91465</v>
      </c>
      <c r="H12583">
        <v>1</v>
      </c>
      <c r="I12583">
        <v>1412</v>
      </c>
      <c r="J12583">
        <v>0</v>
      </c>
      <c r="K12583" t="str">
        <f t="shared" si="2267"/>
        <v>813</v>
      </c>
      <c r="L12583">
        <v>1186.08</v>
      </c>
    </row>
    <row r="12584" spans="1:12" x14ac:dyDescent="0.25">
      <c r="A12584" t="str">
        <f t="shared" si="2259"/>
        <v>89301000</v>
      </c>
      <c r="B12584" t="str">
        <f t="shared" si="2264"/>
        <v>72077000</v>
      </c>
      <c r="C12584" t="str">
        <f t="shared" si="2265"/>
        <v>72077001</v>
      </c>
      <c r="D12584">
        <v>89301152</v>
      </c>
      <c r="E12584" t="str">
        <f>"6453060581"</f>
        <v>6453060581</v>
      </c>
      <c r="F12584" s="1">
        <v>45205</v>
      </c>
      <c r="G12584" t="str">
        <f>"91197"</f>
        <v>91197</v>
      </c>
      <c r="H12584">
        <v>1</v>
      </c>
      <c r="I12584">
        <v>1048</v>
      </c>
      <c r="J12584">
        <v>0</v>
      </c>
      <c r="K12584" t="str">
        <f t="shared" si="2267"/>
        <v>813</v>
      </c>
      <c r="L12584">
        <v>880.32</v>
      </c>
    </row>
    <row r="12585" spans="1:12" x14ac:dyDescent="0.25">
      <c r="A12585" t="str">
        <f t="shared" si="2259"/>
        <v>89301000</v>
      </c>
      <c r="B12585" t="str">
        <f t="shared" si="2264"/>
        <v>72077000</v>
      </c>
      <c r="C12585" t="str">
        <f t="shared" si="2265"/>
        <v>72077001</v>
      </c>
      <c r="D12585">
        <v>89301152</v>
      </c>
      <c r="E12585" t="str">
        <f>"9156194872"</f>
        <v>9156194872</v>
      </c>
      <c r="F12585" s="1">
        <v>45205</v>
      </c>
      <c r="G12585" t="str">
        <f>"91465"</f>
        <v>91465</v>
      </c>
      <c r="H12585">
        <v>1</v>
      </c>
      <c r="I12585">
        <v>1412</v>
      </c>
      <c r="J12585">
        <v>0</v>
      </c>
      <c r="K12585" t="str">
        <f t="shared" si="2267"/>
        <v>813</v>
      </c>
      <c r="L12585">
        <v>1186.08</v>
      </c>
    </row>
    <row r="12586" spans="1:12" x14ac:dyDescent="0.25">
      <c r="A12586" t="str">
        <f t="shared" si="2259"/>
        <v>89301000</v>
      </c>
      <c r="B12586" t="str">
        <f t="shared" si="2264"/>
        <v>72077000</v>
      </c>
      <c r="C12586" t="str">
        <f t="shared" si="2265"/>
        <v>72077001</v>
      </c>
      <c r="D12586">
        <v>89301152</v>
      </c>
      <c r="E12586" t="str">
        <f>"9156194872"</f>
        <v>9156194872</v>
      </c>
      <c r="F12586" s="1">
        <v>45205</v>
      </c>
      <c r="G12586" t="str">
        <f>"91197"</f>
        <v>91197</v>
      </c>
      <c r="H12586">
        <v>1</v>
      </c>
      <c r="I12586">
        <v>1048</v>
      </c>
      <c r="J12586">
        <v>0</v>
      </c>
      <c r="K12586" t="str">
        <f t="shared" si="2267"/>
        <v>813</v>
      </c>
      <c r="L12586">
        <v>880.32</v>
      </c>
    </row>
    <row r="12587" spans="1:12" x14ac:dyDescent="0.25">
      <c r="A12587" t="str">
        <f t="shared" si="2259"/>
        <v>89301000</v>
      </c>
      <c r="B12587" t="str">
        <f t="shared" si="2264"/>
        <v>72077000</v>
      </c>
      <c r="C12587" t="str">
        <f t="shared" si="2265"/>
        <v>72077001</v>
      </c>
      <c r="D12587">
        <v>89301152</v>
      </c>
      <c r="E12587" t="str">
        <f>"9156194872"</f>
        <v>9156194872</v>
      </c>
      <c r="F12587" s="1">
        <v>45209</v>
      </c>
      <c r="G12587" t="str">
        <f>"91219"</f>
        <v>91219</v>
      </c>
      <c r="H12587">
        <v>1</v>
      </c>
      <c r="I12587">
        <v>343</v>
      </c>
      <c r="J12587">
        <v>0</v>
      </c>
      <c r="K12587" t="str">
        <f t="shared" si="2267"/>
        <v>813</v>
      </c>
      <c r="L12587">
        <v>288.12</v>
      </c>
    </row>
    <row r="12588" spans="1:12" x14ac:dyDescent="0.25">
      <c r="A12588" t="str">
        <f t="shared" si="2259"/>
        <v>89301000</v>
      </c>
      <c r="B12588" t="str">
        <f t="shared" si="2264"/>
        <v>72077000</v>
      </c>
      <c r="C12588" t="str">
        <f t="shared" si="2265"/>
        <v>72077001</v>
      </c>
      <c r="D12588">
        <v>89301152</v>
      </c>
      <c r="E12588" t="str">
        <f>"9156194872"</f>
        <v>9156194872</v>
      </c>
      <c r="F12588" s="1">
        <v>45209</v>
      </c>
      <c r="G12588" t="str">
        <f>"91219"</f>
        <v>91219</v>
      </c>
      <c r="H12588">
        <v>1</v>
      </c>
      <c r="I12588">
        <v>343</v>
      </c>
      <c r="J12588">
        <v>0</v>
      </c>
      <c r="K12588" t="str">
        <f t="shared" si="2267"/>
        <v>813</v>
      </c>
      <c r="L12588">
        <v>288.12</v>
      </c>
    </row>
    <row r="12589" spans="1:12" x14ac:dyDescent="0.25">
      <c r="A12589" t="str">
        <f t="shared" si="2259"/>
        <v>89301000</v>
      </c>
      <c r="B12589" t="str">
        <f t="shared" si="2264"/>
        <v>72077000</v>
      </c>
      <c r="C12589" t="str">
        <f t="shared" si="2265"/>
        <v>72077001</v>
      </c>
      <c r="D12589">
        <v>89301152</v>
      </c>
      <c r="E12589" t="str">
        <f>"7154195323"</f>
        <v>7154195323</v>
      </c>
      <c r="F12589" s="1">
        <v>45205</v>
      </c>
      <c r="G12589" t="str">
        <f>"91197"</f>
        <v>91197</v>
      </c>
      <c r="H12589">
        <v>1</v>
      </c>
      <c r="I12589">
        <v>1048</v>
      </c>
      <c r="J12589">
        <v>0</v>
      </c>
      <c r="K12589" t="str">
        <f t="shared" si="2267"/>
        <v>813</v>
      </c>
      <c r="L12589">
        <v>880.32</v>
      </c>
    </row>
    <row r="12590" spans="1:12" x14ac:dyDescent="0.25">
      <c r="A12590" t="str">
        <f t="shared" si="2259"/>
        <v>89301000</v>
      </c>
      <c r="B12590" t="str">
        <f t="shared" si="2264"/>
        <v>72077000</v>
      </c>
      <c r="C12590" t="str">
        <f t="shared" si="2265"/>
        <v>72077001</v>
      </c>
      <c r="D12590">
        <v>89301152</v>
      </c>
      <c r="E12590" t="str">
        <f>"7154195323"</f>
        <v>7154195323</v>
      </c>
      <c r="F12590" s="1">
        <v>45209</v>
      </c>
      <c r="G12590" t="str">
        <f>"91465"</f>
        <v>91465</v>
      </c>
      <c r="H12590">
        <v>1</v>
      </c>
      <c r="I12590">
        <v>1412</v>
      </c>
      <c r="J12590">
        <v>0</v>
      </c>
      <c r="K12590" t="str">
        <f t="shared" si="2267"/>
        <v>813</v>
      </c>
      <c r="L12590">
        <v>1186.08</v>
      </c>
    </row>
    <row r="12591" spans="1:12" x14ac:dyDescent="0.25">
      <c r="A12591" t="str">
        <f t="shared" si="2259"/>
        <v>89301000</v>
      </c>
      <c r="B12591" t="str">
        <f t="shared" si="2264"/>
        <v>72077000</v>
      </c>
      <c r="C12591" t="str">
        <f t="shared" si="2265"/>
        <v>72077001</v>
      </c>
      <c r="D12591">
        <v>89301152</v>
      </c>
      <c r="E12591" t="str">
        <f>"8909095723"</f>
        <v>8909095723</v>
      </c>
      <c r="F12591" s="1">
        <v>45205</v>
      </c>
      <c r="G12591" t="str">
        <f>"91197"</f>
        <v>91197</v>
      </c>
      <c r="H12591">
        <v>1</v>
      </c>
      <c r="I12591">
        <v>1048</v>
      </c>
      <c r="J12591">
        <v>0</v>
      </c>
      <c r="K12591" t="str">
        <f t="shared" si="2267"/>
        <v>813</v>
      </c>
      <c r="L12591">
        <v>880.32</v>
      </c>
    </row>
    <row r="12592" spans="1:12" x14ac:dyDescent="0.25">
      <c r="A12592" t="str">
        <f t="shared" si="2259"/>
        <v>89301000</v>
      </c>
      <c r="B12592" t="str">
        <f t="shared" si="2264"/>
        <v>72077000</v>
      </c>
      <c r="C12592" t="str">
        <f t="shared" si="2265"/>
        <v>72077001</v>
      </c>
      <c r="D12592">
        <v>89301152</v>
      </c>
      <c r="E12592" t="str">
        <f>"8909095723"</f>
        <v>8909095723</v>
      </c>
      <c r="F12592" s="1">
        <v>45209</v>
      </c>
      <c r="G12592" t="str">
        <f>"91465"</f>
        <v>91465</v>
      </c>
      <c r="H12592">
        <v>1</v>
      </c>
      <c r="I12592">
        <v>1412</v>
      </c>
      <c r="J12592">
        <v>0</v>
      </c>
      <c r="K12592" t="str">
        <f t="shared" si="2267"/>
        <v>813</v>
      </c>
      <c r="L12592">
        <v>1186.08</v>
      </c>
    </row>
    <row r="12593" spans="1:12" x14ac:dyDescent="0.25">
      <c r="A12593" t="str">
        <f t="shared" si="2259"/>
        <v>89301000</v>
      </c>
      <c r="B12593" t="str">
        <f t="shared" si="2264"/>
        <v>72077000</v>
      </c>
      <c r="C12593" t="str">
        <f t="shared" si="2265"/>
        <v>72077001</v>
      </c>
      <c r="D12593">
        <v>89301152</v>
      </c>
      <c r="E12593" t="str">
        <f>"6662200028"</f>
        <v>6662200028</v>
      </c>
      <c r="F12593" s="1">
        <v>45205</v>
      </c>
      <c r="G12593" t="str">
        <f>"91465"</f>
        <v>91465</v>
      </c>
      <c r="H12593">
        <v>1</v>
      </c>
      <c r="I12593">
        <v>1412</v>
      </c>
      <c r="J12593">
        <v>0</v>
      </c>
      <c r="K12593" t="str">
        <f t="shared" si="2267"/>
        <v>813</v>
      </c>
      <c r="L12593">
        <v>1186.08</v>
      </c>
    </row>
    <row r="12594" spans="1:12" x14ac:dyDescent="0.25">
      <c r="A12594" t="str">
        <f t="shared" si="2259"/>
        <v>89301000</v>
      </c>
      <c r="B12594" t="str">
        <f t="shared" si="2264"/>
        <v>72077000</v>
      </c>
      <c r="C12594" t="str">
        <f t="shared" si="2265"/>
        <v>72077001</v>
      </c>
      <c r="D12594">
        <v>89301152</v>
      </c>
      <c r="E12594" t="str">
        <f>"6662200028"</f>
        <v>6662200028</v>
      </c>
      <c r="F12594" s="1">
        <v>45205</v>
      </c>
      <c r="G12594" t="str">
        <f>"91197"</f>
        <v>91197</v>
      </c>
      <c r="H12594">
        <v>1</v>
      </c>
      <c r="I12594">
        <v>1048</v>
      </c>
      <c r="J12594">
        <v>0</v>
      </c>
      <c r="K12594" t="str">
        <f t="shared" si="2267"/>
        <v>813</v>
      </c>
      <c r="L12594">
        <v>880.32</v>
      </c>
    </row>
    <row r="12595" spans="1:12" x14ac:dyDescent="0.25">
      <c r="A12595" t="str">
        <f t="shared" si="2259"/>
        <v>89301000</v>
      </c>
      <c r="B12595" t="str">
        <f t="shared" si="2264"/>
        <v>72077000</v>
      </c>
      <c r="C12595" t="str">
        <f t="shared" si="2265"/>
        <v>72077001</v>
      </c>
      <c r="D12595">
        <v>89301152</v>
      </c>
      <c r="E12595" t="str">
        <f>"6554231068"</f>
        <v>6554231068</v>
      </c>
      <c r="F12595" s="1">
        <v>45205</v>
      </c>
      <c r="G12595" t="str">
        <f>"91465"</f>
        <v>91465</v>
      </c>
      <c r="H12595">
        <v>1</v>
      </c>
      <c r="I12595">
        <v>1412</v>
      </c>
      <c r="J12595">
        <v>0</v>
      </c>
      <c r="K12595" t="str">
        <f t="shared" si="2267"/>
        <v>813</v>
      </c>
      <c r="L12595">
        <v>1186.08</v>
      </c>
    </row>
    <row r="12596" spans="1:12" x14ac:dyDescent="0.25">
      <c r="A12596" t="str">
        <f t="shared" si="2259"/>
        <v>89301000</v>
      </c>
      <c r="B12596" t="str">
        <f t="shared" si="2264"/>
        <v>72077000</v>
      </c>
      <c r="C12596" t="str">
        <f t="shared" si="2265"/>
        <v>72077001</v>
      </c>
      <c r="D12596">
        <v>89301152</v>
      </c>
      <c r="E12596" t="str">
        <f>"6554231068"</f>
        <v>6554231068</v>
      </c>
      <c r="F12596" s="1">
        <v>45205</v>
      </c>
      <c r="G12596" t="str">
        <f>"91197"</f>
        <v>91197</v>
      </c>
      <c r="H12596">
        <v>1</v>
      </c>
      <c r="I12596">
        <v>1048</v>
      </c>
      <c r="J12596">
        <v>0</v>
      </c>
      <c r="K12596" t="str">
        <f t="shared" si="2267"/>
        <v>813</v>
      </c>
      <c r="L12596">
        <v>880.32</v>
      </c>
    </row>
    <row r="12597" spans="1:12" x14ac:dyDescent="0.25">
      <c r="A12597" t="str">
        <f t="shared" si="2259"/>
        <v>89301000</v>
      </c>
      <c r="B12597" t="str">
        <f t="shared" si="2264"/>
        <v>72077000</v>
      </c>
      <c r="C12597" t="str">
        <f t="shared" si="2265"/>
        <v>72077001</v>
      </c>
      <c r="D12597">
        <v>89301152</v>
      </c>
      <c r="E12597" t="str">
        <f>"9451085721"</f>
        <v>9451085721</v>
      </c>
      <c r="F12597" s="1">
        <v>45203</v>
      </c>
      <c r="G12597" t="str">
        <f>"91175"</f>
        <v>91175</v>
      </c>
      <c r="H12597">
        <v>1</v>
      </c>
      <c r="I12597">
        <v>362</v>
      </c>
      <c r="J12597">
        <v>0</v>
      </c>
      <c r="K12597" t="str">
        <f t="shared" si="2267"/>
        <v>813</v>
      </c>
      <c r="L12597">
        <v>304.08</v>
      </c>
    </row>
    <row r="12598" spans="1:12" x14ac:dyDescent="0.25">
      <c r="A12598" t="str">
        <f t="shared" si="2259"/>
        <v>89301000</v>
      </c>
      <c r="B12598" t="str">
        <f t="shared" si="2264"/>
        <v>72077000</v>
      </c>
      <c r="C12598" t="str">
        <f t="shared" si="2265"/>
        <v>72077001</v>
      </c>
      <c r="D12598">
        <v>89301152</v>
      </c>
      <c r="E12598" t="str">
        <f>"9451085721"</f>
        <v>9451085721</v>
      </c>
      <c r="F12598" s="1">
        <v>45203</v>
      </c>
      <c r="G12598" t="str">
        <f>"91171"</f>
        <v>91171</v>
      </c>
      <c r="H12598">
        <v>1</v>
      </c>
      <c r="I12598">
        <v>362</v>
      </c>
      <c r="J12598">
        <v>0</v>
      </c>
      <c r="K12598" t="str">
        <f t="shared" si="2267"/>
        <v>813</v>
      </c>
      <c r="L12598">
        <v>304.08</v>
      </c>
    </row>
    <row r="12599" spans="1:12" x14ac:dyDescent="0.25">
      <c r="A12599" t="str">
        <f t="shared" si="2259"/>
        <v>89301000</v>
      </c>
      <c r="B12599" t="str">
        <f t="shared" si="2264"/>
        <v>72077000</v>
      </c>
      <c r="C12599" t="str">
        <f t="shared" ref="C12599:C12610" si="2268">"72077002"</f>
        <v>72077002</v>
      </c>
      <c r="D12599">
        <v>89301152</v>
      </c>
      <c r="E12599" t="str">
        <f t="shared" ref="E12599:E12619" si="2269">"0353090155"</f>
        <v>0353090155</v>
      </c>
      <c r="F12599" s="1">
        <v>45204</v>
      </c>
      <c r="G12599" t="str">
        <f>"82097"</f>
        <v>82097</v>
      </c>
      <c r="H12599">
        <v>1</v>
      </c>
      <c r="I12599">
        <v>381</v>
      </c>
      <c r="J12599">
        <v>0</v>
      </c>
      <c r="K12599" t="str">
        <f t="shared" ref="K12599:K12610" si="2270">"802"</f>
        <v>802</v>
      </c>
      <c r="L12599">
        <v>369.57</v>
      </c>
    </row>
    <row r="12600" spans="1:12" x14ac:dyDescent="0.25">
      <c r="A12600" t="str">
        <f t="shared" si="2259"/>
        <v>89301000</v>
      </c>
      <c r="B12600" t="str">
        <f t="shared" si="2264"/>
        <v>72077000</v>
      </c>
      <c r="C12600" t="str">
        <f t="shared" si="2268"/>
        <v>72077002</v>
      </c>
      <c r="D12600">
        <v>89301152</v>
      </c>
      <c r="E12600" t="str">
        <f t="shared" si="2269"/>
        <v>0353090155</v>
      </c>
      <c r="F12600" s="1">
        <v>45204</v>
      </c>
      <c r="G12600" t="str">
        <f>"82097"</f>
        <v>82097</v>
      </c>
      <c r="H12600">
        <v>1</v>
      </c>
      <c r="I12600">
        <v>381</v>
      </c>
      <c r="J12600">
        <v>0</v>
      </c>
      <c r="K12600" t="str">
        <f t="shared" si="2270"/>
        <v>802</v>
      </c>
      <c r="L12600">
        <v>369.57</v>
      </c>
    </row>
    <row r="12601" spans="1:12" x14ac:dyDescent="0.25">
      <c r="A12601" t="str">
        <f t="shared" si="2259"/>
        <v>89301000</v>
      </c>
      <c r="B12601" t="str">
        <f t="shared" si="2264"/>
        <v>72077000</v>
      </c>
      <c r="C12601" t="str">
        <f t="shared" si="2268"/>
        <v>72077002</v>
      </c>
      <c r="D12601">
        <v>89301152</v>
      </c>
      <c r="E12601" t="str">
        <f t="shared" si="2269"/>
        <v>0353090155</v>
      </c>
      <c r="F12601" s="1">
        <v>45204</v>
      </c>
      <c r="G12601" t="str">
        <f>"82097"</f>
        <v>82097</v>
      </c>
      <c r="H12601">
        <v>1</v>
      </c>
      <c r="I12601">
        <v>381</v>
      </c>
      <c r="J12601">
        <v>0</v>
      </c>
      <c r="K12601" t="str">
        <f t="shared" si="2270"/>
        <v>802</v>
      </c>
      <c r="L12601">
        <v>369.57</v>
      </c>
    </row>
    <row r="12602" spans="1:12" x14ac:dyDescent="0.25">
      <c r="A12602" t="str">
        <f t="shared" si="2259"/>
        <v>89301000</v>
      </c>
      <c r="B12602" t="str">
        <f t="shared" ref="B12602:B12633" si="2271">"72077000"</f>
        <v>72077000</v>
      </c>
      <c r="C12602" t="str">
        <f t="shared" si="2268"/>
        <v>72077002</v>
      </c>
      <c r="D12602">
        <v>89301152</v>
      </c>
      <c r="E12602" t="str">
        <f t="shared" si="2269"/>
        <v>0353090155</v>
      </c>
      <c r="F12602" s="1">
        <v>45204</v>
      </c>
      <c r="G12602" t="str">
        <f>"82097"</f>
        <v>82097</v>
      </c>
      <c r="H12602">
        <v>1</v>
      </c>
      <c r="I12602">
        <v>381</v>
      </c>
      <c r="J12602">
        <v>0</v>
      </c>
      <c r="K12602" t="str">
        <f t="shared" si="2270"/>
        <v>802</v>
      </c>
      <c r="L12602">
        <v>369.57</v>
      </c>
    </row>
    <row r="12603" spans="1:12" x14ac:dyDescent="0.25">
      <c r="A12603" t="str">
        <f t="shared" si="2259"/>
        <v>89301000</v>
      </c>
      <c r="B12603" t="str">
        <f t="shared" si="2271"/>
        <v>72077000</v>
      </c>
      <c r="C12603" t="str">
        <f t="shared" si="2268"/>
        <v>72077002</v>
      </c>
      <c r="D12603">
        <v>89301152</v>
      </c>
      <c r="E12603" t="str">
        <f t="shared" si="2269"/>
        <v>0353090155</v>
      </c>
      <c r="F12603" s="1">
        <v>45208</v>
      </c>
      <c r="G12603" t="str">
        <f t="shared" ref="G12603:G12608" si="2272">"82113"</f>
        <v>82113</v>
      </c>
      <c r="H12603">
        <v>1</v>
      </c>
      <c r="I12603">
        <v>363</v>
      </c>
      <c r="J12603">
        <v>0</v>
      </c>
      <c r="K12603" t="str">
        <f t="shared" si="2270"/>
        <v>802</v>
      </c>
      <c r="L12603">
        <v>352.11</v>
      </c>
    </row>
    <row r="12604" spans="1:12" x14ac:dyDescent="0.25">
      <c r="A12604" t="str">
        <f t="shared" si="2259"/>
        <v>89301000</v>
      </c>
      <c r="B12604" t="str">
        <f t="shared" si="2271"/>
        <v>72077000</v>
      </c>
      <c r="C12604" t="str">
        <f t="shared" si="2268"/>
        <v>72077002</v>
      </c>
      <c r="D12604">
        <v>89301152</v>
      </c>
      <c r="E12604" t="str">
        <f t="shared" si="2269"/>
        <v>0353090155</v>
      </c>
      <c r="F12604" s="1">
        <v>45208</v>
      </c>
      <c r="G12604" t="str">
        <f t="shared" si="2272"/>
        <v>82113</v>
      </c>
      <c r="H12604">
        <v>2</v>
      </c>
      <c r="I12604">
        <v>726</v>
      </c>
      <c r="J12604">
        <v>0</v>
      </c>
      <c r="K12604" t="str">
        <f t="shared" si="2270"/>
        <v>802</v>
      </c>
      <c r="L12604">
        <v>704.22</v>
      </c>
    </row>
    <row r="12605" spans="1:12" x14ac:dyDescent="0.25">
      <c r="A12605" t="str">
        <f t="shared" si="2259"/>
        <v>89301000</v>
      </c>
      <c r="B12605" t="str">
        <f t="shared" si="2271"/>
        <v>72077000</v>
      </c>
      <c r="C12605" t="str">
        <f t="shared" si="2268"/>
        <v>72077002</v>
      </c>
      <c r="D12605">
        <v>89301152</v>
      </c>
      <c r="E12605" t="str">
        <f t="shared" si="2269"/>
        <v>0353090155</v>
      </c>
      <c r="F12605" s="1">
        <v>45208</v>
      </c>
      <c r="G12605" t="str">
        <f t="shared" si="2272"/>
        <v>82113</v>
      </c>
      <c r="H12605">
        <v>1</v>
      </c>
      <c r="I12605">
        <v>363</v>
      </c>
      <c r="J12605">
        <v>0</v>
      </c>
      <c r="K12605" t="str">
        <f t="shared" si="2270"/>
        <v>802</v>
      </c>
      <c r="L12605">
        <v>352.11</v>
      </c>
    </row>
    <row r="12606" spans="1:12" x14ac:dyDescent="0.25">
      <c r="A12606" t="str">
        <f t="shared" si="2259"/>
        <v>89301000</v>
      </c>
      <c r="B12606" t="str">
        <f t="shared" si="2271"/>
        <v>72077000</v>
      </c>
      <c r="C12606" t="str">
        <f t="shared" si="2268"/>
        <v>72077002</v>
      </c>
      <c r="D12606">
        <v>89301152</v>
      </c>
      <c r="E12606" t="str">
        <f t="shared" si="2269"/>
        <v>0353090155</v>
      </c>
      <c r="F12606" s="1">
        <v>45208</v>
      </c>
      <c r="G12606" t="str">
        <f t="shared" si="2272"/>
        <v>82113</v>
      </c>
      <c r="H12606">
        <v>1</v>
      </c>
      <c r="I12606">
        <v>363</v>
      </c>
      <c r="J12606">
        <v>0</v>
      </c>
      <c r="K12606" t="str">
        <f t="shared" si="2270"/>
        <v>802</v>
      </c>
      <c r="L12606">
        <v>352.11</v>
      </c>
    </row>
    <row r="12607" spans="1:12" x14ac:dyDescent="0.25">
      <c r="A12607" t="str">
        <f t="shared" si="2259"/>
        <v>89301000</v>
      </c>
      <c r="B12607" t="str">
        <f t="shared" si="2271"/>
        <v>72077000</v>
      </c>
      <c r="C12607" t="str">
        <f t="shared" si="2268"/>
        <v>72077002</v>
      </c>
      <c r="D12607">
        <v>89301152</v>
      </c>
      <c r="E12607" t="str">
        <f t="shared" si="2269"/>
        <v>0353090155</v>
      </c>
      <c r="F12607" s="1">
        <v>45208</v>
      </c>
      <c r="G12607" t="str">
        <f t="shared" si="2272"/>
        <v>82113</v>
      </c>
      <c r="H12607">
        <v>2</v>
      </c>
      <c r="I12607">
        <v>726</v>
      </c>
      <c r="J12607">
        <v>0</v>
      </c>
      <c r="K12607" t="str">
        <f t="shared" si="2270"/>
        <v>802</v>
      </c>
      <c r="L12607">
        <v>704.22</v>
      </c>
    </row>
    <row r="12608" spans="1:12" x14ac:dyDescent="0.25">
      <c r="A12608" t="str">
        <f t="shared" si="2259"/>
        <v>89301000</v>
      </c>
      <c r="B12608" t="str">
        <f t="shared" si="2271"/>
        <v>72077000</v>
      </c>
      <c r="C12608" t="str">
        <f t="shared" si="2268"/>
        <v>72077002</v>
      </c>
      <c r="D12608">
        <v>89301152</v>
      </c>
      <c r="E12608" t="str">
        <f t="shared" si="2269"/>
        <v>0353090155</v>
      </c>
      <c r="F12608" s="1">
        <v>45208</v>
      </c>
      <c r="G12608" t="str">
        <f t="shared" si="2272"/>
        <v>82113</v>
      </c>
      <c r="H12608">
        <v>1</v>
      </c>
      <c r="I12608">
        <v>363</v>
      </c>
      <c r="J12608">
        <v>0</v>
      </c>
      <c r="K12608" t="str">
        <f t="shared" si="2270"/>
        <v>802</v>
      </c>
      <c r="L12608">
        <v>352.11</v>
      </c>
    </row>
    <row r="12609" spans="1:12" x14ac:dyDescent="0.25">
      <c r="A12609" t="str">
        <f t="shared" si="2259"/>
        <v>89301000</v>
      </c>
      <c r="B12609" t="str">
        <f t="shared" si="2271"/>
        <v>72077000</v>
      </c>
      <c r="C12609" t="str">
        <f t="shared" si="2268"/>
        <v>72077002</v>
      </c>
      <c r="D12609">
        <v>89301152</v>
      </c>
      <c r="E12609" t="str">
        <f t="shared" si="2269"/>
        <v>0353090155</v>
      </c>
      <c r="F12609" s="1">
        <v>45210</v>
      </c>
      <c r="G12609" t="str">
        <f>"82079"</f>
        <v>82079</v>
      </c>
      <c r="H12609">
        <v>1</v>
      </c>
      <c r="I12609">
        <v>333</v>
      </c>
      <c r="J12609">
        <v>0</v>
      </c>
      <c r="K12609" t="str">
        <f t="shared" si="2270"/>
        <v>802</v>
      </c>
      <c r="L12609">
        <v>323.01</v>
      </c>
    </row>
    <row r="12610" spans="1:12" x14ac:dyDescent="0.25">
      <c r="A12610" t="str">
        <f t="shared" ref="A12610:A12673" si="2273">"89301000"</f>
        <v>89301000</v>
      </c>
      <c r="B12610" t="str">
        <f t="shared" si="2271"/>
        <v>72077000</v>
      </c>
      <c r="C12610" t="str">
        <f t="shared" si="2268"/>
        <v>72077002</v>
      </c>
      <c r="D12610">
        <v>89301152</v>
      </c>
      <c r="E12610" t="str">
        <f t="shared" si="2269"/>
        <v>0353090155</v>
      </c>
      <c r="F12610" s="1">
        <v>45210</v>
      </c>
      <c r="G12610" t="str">
        <f>"82079"</f>
        <v>82079</v>
      </c>
      <c r="H12610">
        <v>1</v>
      </c>
      <c r="I12610">
        <v>333</v>
      </c>
      <c r="J12610">
        <v>0</v>
      </c>
      <c r="K12610" t="str">
        <f t="shared" si="2270"/>
        <v>802</v>
      </c>
      <c r="L12610">
        <v>323.01</v>
      </c>
    </row>
    <row r="12611" spans="1:12" x14ac:dyDescent="0.25">
      <c r="A12611" t="str">
        <f t="shared" si="2273"/>
        <v>89301000</v>
      </c>
      <c r="B12611" t="str">
        <f t="shared" si="2271"/>
        <v>72077000</v>
      </c>
      <c r="C12611" t="str">
        <f t="shared" ref="C12611:C12642" si="2274">"72077001"</f>
        <v>72077001</v>
      </c>
      <c r="D12611">
        <v>89301152</v>
      </c>
      <c r="E12611" t="str">
        <f t="shared" si="2269"/>
        <v>0353090155</v>
      </c>
      <c r="F12611" s="1">
        <v>45205</v>
      </c>
      <c r="G12611" t="str">
        <f>"91197"</f>
        <v>91197</v>
      </c>
      <c r="H12611">
        <v>1</v>
      </c>
      <c r="I12611">
        <v>1048</v>
      </c>
      <c r="J12611">
        <v>0</v>
      </c>
      <c r="K12611" t="str">
        <f t="shared" ref="K12611:K12642" si="2275">"813"</f>
        <v>813</v>
      </c>
      <c r="L12611">
        <v>880.32</v>
      </c>
    </row>
    <row r="12612" spans="1:12" x14ac:dyDescent="0.25">
      <c r="A12612" t="str">
        <f t="shared" si="2273"/>
        <v>89301000</v>
      </c>
      <c r="B12612" t="str">
        <f t="shared" si="2271"/>
        <v>72077000</v>
      </c>
      <c r="C12612" t="str">
        <f t="shared" si="2274"/>
        <v>72077001</v>
      </c>
      <c r="D12612">
        <v>89301152</v>
      </c>
      <c r="E12612" t="str">
        <f t="shared" si="2269"/>
        <v>0353090155</v>
      </c>
      <c r="F12612" s="1">
        <v>45208</v>
      </c>
      <c r="G12612" t="str">
        <f>"91171"</f>
        <v>91171</v>
      </c>
      <c r="H12612">
        <v>1</v>
      </c>
      <c r="I12612">
        <v>362</v>
      </c>
      <c r="J12612">
        <v>0</v>
      </c>
      <c r="K12612" t="str">
        <f t="shared" si="2275"/>
        <v>813</v>
      </c>
      <c r="L12612">
        <v>304.08</v>
      </c>
    </row>
    <row r="12613" spans="1:12" x14ac:dyDescent="0.25">
      <c r="A12613" t="str">
        <f t="shared" si="2273"/>
        <v>89301000</v>
      </c>
      <c r="B12613" t="str">
        <f t="shared" si="2271"/>
        <v>72077000</v>
      </c>
      <c r="C12613" t="str">
        <f t="shared" si="2274"/>
        <v>72077001</v>
      </c>
      <c r="D12613">
        <v>89301152</v>
      </c>
      <c r="E12613" t="str">
        <f t="shared" si="2269"/>
        <v>0353090155</v>
      </c>
      <c r="F12613" s="1">
        <v>45208</v>
      </c>
      <c r="G12613" t="str">
        <f>"91171"</f>
        <v>91171</v>
      </c>
      <c r="H12613">
        <v>1</v>
      </c>
      <c r="I12613">
        <v>362</v>
      </c>
      <c r="J12613">
        <v>0</v>
      </c>
      <c r="K12613" t="str">
        <f t="shared" si="2275"/>
        <v>813</v>
      </c>
      <c r="L12613">
        <v>304.08</v>
      </c>
    </row>
    <row r="12614" spans="1:12" x14ac:dyDescent="0.25">
      <c r="A12614" t="str">
        <f t="shared" si="2273"/>
        <v>89301000</v>
      </c>
      <c r="B12614" t="str">
        <f t="shared" si="2271"/>
        <v>72077000</v>
      </c>
      <c r="C12614" t="str">
        <f t="shared" si="2274"/>
        <v>72077001</v>
      </c>
      <c r="D12614">
        <v>89301152</v>
      </c>
      <c r="E12614" t="str">
        <f t="shared" si="2269"/>
        <v>0353090155</v>
      </c>
      <c r="F12614" s="1">
        <v>45208</v>
      </c>
      <c r="G12614" t="str">
        <f>"91171"</f>
        <v>91171</v>
      </c>
      <c r="H12614">
        <v>1</v>
      </c>
      <c r="I12614">
        <v>362</v>
      </c>
      <c r="J12614">
        <v>0</v>
      </c>
      <c r="K12614" t="str">
        <f t="shared" si="2275"/>
        <v>813</v>
      </c>
      <c r="L12614">
        <v>304.08</v>
      </c>
    </row>
    <row r="12615" spans="1:12" x14ac:dyDescent="0.25">
      <c r="A12615" t="str">
        <f t="shared" si="2273"/>
        <v>89301000</v>
      </c>
      <c r="B12615" t="str">
        <f t="shared" si="2271"/>
        <v>72077000</v>
      </c>
      <c r="C12615" t="str">
        <f t="shared" si="2274"/>
        <v>72077001</v>
      </c>
      <c r="D12615">
        <v>89301152</v>
      </c>
      <c r="E12615" t="str">
        <f t="shared" si="2269"/>
        <v>0353090155</v>
      </c>
      <c r="F12615" s="1">
        <v>45208</v>
      </c>
      <c r="G12615" t="str">
        <f>"91485"</f>
        <v>91485</v>
      </c>
      <c r="H12615">
        <v>1</v>
      </c>
      <c r="I12615">
        <v>268</v>
      </c>
      <c r="J12615">
        <v>0</v>
      </c>
      <c r="K12615" t="str">
        <f t="shared" si="2275"/>
        <v>813</v>
      </c>
      <c r="L12615">
        <v>225.12</v>
      </c>
    </row>
    <row r="12616" spans="1:12" x14ac:dyDescent="0.25">
      <c r="A12616" t="str">
        <f t="shared" si="2273"/>
        <v>89301000</v>
      </c>
      <c r="B12616" t="str">
        <f t="shared" si="2271"/>
        <v>72077000</v>
      </c>
      <c r="C12616" t="str">
        <f t="shared" si="2274"/>
        <v>72077001</v>
      </c>
      <c r="D12616">
        <v>89301152</v>
      </c>
      <c r="E12616" t="str">
        <f t="shared" si="2269"/>
        <v>0353090155</v>
      </c>
      <c r="F12616" s="1">
        <v>45209</v>
      </c>
      <c r="G12616" t="str">
        <f>"91359"</f>
        <v>91359</v>
      </c>
      <c r="H12616">
        <v>1</v>
      </c>
      <c r="I12616">
        <v>205</v>
      </c>
      <c r="J12616">
        <v>0</v>
      </c>
      <c r="K12616" t="str">
        <f t="shared" si="2275"/>
        <v>813</v>
      </c>
      <c r="L12616">
        <v>172.2</v>
      </c>
    </row>
    <row r="12617" spans="1:12" x14ac:dyDescent="0.25">
      <c r="A12617" t="str">
        <f t="shared" si="2273"/>
        <v>89301000</v>
      </c>
      <c r="B12617" t="str">
        <f t="shared" si="2271"/>
        <v>72077000</v>
      </c>
      <c r="C12617" t="str">
        <f t="shared" si="2274"/>
        <v>72077001</v>
      </c>
      <c r="D12617">
        <v>89301152</v>
      </c>
      <c r="E12617" t="str">
        <f t="shared" si="2269"/>
        <v>0353090155</v>
      </c>
      <c r="F12617" s="1">
        <v>45209</v>
      </c>
      <c r="G12617" t="str">
        <f>"91361"</f>
        <v>91361</v>
      </c>
      <c r="H12617">
        <v>1</v>
      </c>
      <c r="I12617">
        <v>444</v>
      </c>
      <c r="J12617">
        <v>0</v>
      </c>
      <c r="K12617" t="str">
        <f t="shared" si="2275"/>
        <v>813</v>
      </c>
      <c r="L12617">
        <v>372.96</v>
      </c>
    </row>
    <row r="12618" spans="1:12" x14ac:dyDescent="0.25">
      <c r="A12618" t="str">
        <f t="shared" si="2273"/>
        <v>89301000</v>
      </c>
      <c r="B12618" t="str">
        <f t="shared" si="2271"/>
        <v>72077000</v>
      </c>
      <c r="C12618" t="str">
        <f t="shared" si="2274"/>
        <v>72077001</v>
      </c>
      <c r="D12618">
        <v>89301152</v>
      </c>
      <c r="E12618" t="str">
        <f t="shared" si="2269"/>
        <v>0353090155</v>
      </c>
      <c r="F12618" s="1">
        <v>45209</v>
      </c>
      <c r="G12618" t="str">
        <f>"91577"</f>
        <v>91577</v>
      </c>
      <c r="H12618">
        <v>1</v>
      </c>
      <c r="I12618">
        <v>398</v>
      </c>
      <c r="J12618">
        <v>0</v>
      </c>
      <c r="K12618" t="str">
        <f t="shared" si="2275"/>
        <v>813</v>
      </c>
      <c r="L12618">
        <v>334.32</v>
      </c>
    </row>
    <row r="12619" spans="1:12" x14ac:dyDescent="0.25">
      <c r="A12619" t="str">
        <f t="shared" si="2273"/>
        <v>89301000</v>
      </c>
      <c r="B12619" t="str">
        <f t="shared" si="2271"/>
        <v>72077000</v>
      </c>
      <c r="C12619" t="str">
        <f t="shared" si="2274"/>
        <v>72077001</v>
      </c>
      <c r="D12619">
        <v>89301152</v>
      </c>
      <c r="E12619" t="str">
        <f t="shared" si="2269"/>
        <v>0353090155</v>
      </c>
      <c r="F12619" s="1">
        <v>45209</v>
      </c>
      <c r="G12619" t="str">
        <f>"91465"</f>
        <v>91465</v>
      </c>
      <c r="H12619">
        <v>1</v>
      </c>
      <c r="I12619">
        <v>1412</v>
      </c>
      <c r="J12619">
        <v>0</v>
      </c>
      <c r="K12619" t="str">
        <f t="shared" si="2275"/>
        <v>813</v>
      </c>
      <c r="L12619">
        <v>1186.08</v>
      </c>
    </row>
    <row r="12620" spans="1:12" x14ac:dyDescent="0.25">
      <c r="A12620" t="str">
        <f t="shared" si="2273"/>
        <v>89301000</v>
      </c>
      <c r="B12620" t="str">
        <f t="shared" si="2271"/>
        <v>72077000</v>
      </c>
      <c r="C12620" t="str">
        <f t="shared" si="2274"/>
        <v>72077001</v>
      </c>
      <c r="D12620">
        <v>89301152</v>
      </c>
      <c r="E12620" t="str">
        <f>"7252065326"</f>
        <v>7252065326</v>
      </c>
      <c r="F12620" s="1">
        <v>45205</v>
      </c>
      <c r="G12620" t="str">
        <f>"91197"</f>
        <v>91197</v>
      </c>
      <c r="H12620">
        <v>1</v>
      </c>
      <c r="I12620">
        <v>1048</v>
      </c>
      <c r="J12620">
        <v>0</v>
      </c>
      <c r="K12620" t="str">
        <f t="shared" si="2275"/>
        <v>813</v>
      </c>
      <c r="L12620">
        <v>880.32</v>
      </c>
    </row>
    <row r="12621" spans="1:12" x14ac:dyDescent="0.25">
      <c r="A12621" t="str">
        <f t="shared" si="2273"/>
        <v>89301000</v>
      </c>
      <c r="B12621" t="str">
        <f t="shared" si="2271"/>
        <v>72077000</v>
      </c>
      <c r="C12621" t="str">
        <f t="shared" si="2274"/>
        <v>72077001</v>
      </c>
      <c r="D12621">
        <v>89301152</v>
      </c>
      <c r="E12621" t="str">
        <f>"7252065326"</f>
        <v>7252065326</v>
      </c>
      <c r="F12621" s="1">
        <v>45209</v>
      </c>
      <c r="G12621" t="str">
        <f>"91465"</f>
        <v>91465</v>
      </c>
      <c r="H12621">
        <v>1</v>
      </c>
      <c r="I12621">
        <v>1412</v>
      </c>
      <c r="J12621">
        <v>0</v>
      </c>
      <c r="K12621" t="str">
        <f t="shared" si="2275"/>
        <v>813</v>
      </c>
      <c r="L12621">
        <v>1186.08</v>
      </c>
    </row>
    <row r="12622" spans="1:12" x14ac:dyDescent="0.25">
      <c r="A12622" t="str">
        <f t="shared" si="2273"/>
        <v>89301000</v>
      </c>
      <c r="B12622" t="str">
        <f t="shared" si="2271"/>
        <v>72077000</v>
      </c>
      <c r="C12622" t="str">
        <f t="shared" si="2274"/>
        <v>72077001</v>
      </c>
      <c r="D12622">
        <v>89301152</v>
      </c>
      <c r="E12622" t="str">
        <f>"8858016266"</f>
        <v>8858016266</v>
      </c>
      <c r="F12622" s="1">
        <v>45204</v>
      </c>
      <c r="G12622" t="str">
        <f>"91175"</f>
        <v>91175</v>
      </c>
      <c r="H12622">
        <v>1</v>
      </c>
      <c r="I12622">
        <v>362</v>
      </c>
      <c r="J12622">
        <v>0</v>
      </c>
      <c r="K12622" t="str">
        <f t="shared" si="2275"/>
        <v>813</v>
      </c>
      <c r="L12622">
        <v>304.08</v>
      </c>
    </row>
    <row r="12623" spans="1:12" x14ac:dyDescent="0.25">
      <c r="A12623" t="str">
        <f t="shared" si="2273"/>
        <v>89301000</v>
      </c>
      <c r="B12623" t="str">
        <f t="shared" si="2271"/>
        <v>72077000</v>
      </c>
      <c r="C12623" t="str">
        <f t="shared" si="2274"/>
        <v>72077001</v>
      </c>
      <c r="D12623">
        <v>89301152</v>
      </c>
      <c r="E12623" t="str">
        <f>"8858016266"</f>
        <v>8858016266</v>
      </c>
      <c r="F12623" s="1">
        <v>45204</v>
      </c>
      <c r="G12623" t="str">
        <f>"91171"</f>
        <v>91171</v>
      </c>
      <c r="H12623">
        <v>1</v>
      </c>
      <c r="I12623">
        <v>362</v>
      </c>
      <c r="J12623">
        <v>0</v>
      </c>
      <c r="K12623" t="str">
        <f t="shared" si="2275"/>
        <v>813</v>
      </c>
      <c r="L12623">
        <v>304.08</v>
      </c>
    </row>
    <row r="12624" spans="1:12" x14ac:dyDescent="0.25">
      <c r="A12624" t="str">
        <f t="shared" si="2273"/>
        <v>89301000</v>
      </c>
      <c r="B12624" t="str">
        <f t="shared" si="2271"/>
        <v>72077000</v>
      </c>
      <c r="C12624" t="str">
        <f t="shared" si="2274"/>
        <v>72077001</v>
      </c>
      <c r="D12624">
        <v>89301152</v>
      </c>
      <c r="E12624" t="str">
        <f>"8555043838"</f>
        <v>8555043838</v>
      </c>
      <c r="F12624" s="1">
        <v>45204</v>
      </c>
      <c r="G12624" t="str">
        <f>"91175"</f>
        <v>91175</v>
      </c>
      <c r="H12624">
        <v>1</v>
      </c>
      <c r="I12624">
        <v>362</v>
      </c>
      <c r="J12624">
        <v>0</v>
      </c>
      <c r="K12624" t="str">
        <f t="shared" si="2275"/>
        <v>813</v>
      </c>
      <c r="L12624">
        <v>304.08</v>
      </c>
    </row>
    <row r="12625" spans="1:12" x14ac:dyDescent="0.25">
      <c r="A12625" t="str">
        <f t="shared" si="2273"/>
        <v>89301000</v>
      </c>
      <c r="B12625" t="str">
        <f t="shared" si="2271"/>
        <v>72077000</v>
      </c>
      <c r="C12625" t="str">
        <f t="shared" si="2274"/>
        <v>72077001</v>
      </c>
      <c r="D12625">
        <v>89301152</v>
      </c>
      <c r="E12625" t="str">
        <f>"8555043838"</f>
        <v>8555043838</v>
      </c>
      <c r="F12625" s="1">
        <v>45204</v>
      </c>
      <c r="G12625" t="str">
        <f>"91171"</f>
        <v>91171</v>
      </c>
      <c r="H12625">
        <v>1</v>
      </c>
      <c r="I12625">
        <v>362</v>
      </c>
      <c r="J12625">
        <v>0</v>
      </c>
      <c r="K12625" t="str">
        <f t="shared" si="2275"/>
        <v>813</v>
      </c>
      <c r="L12625">
        <v>304.08</v>
      </c>
    </row>
    <row r="12626" spans="1:12" x14ac:dyDescent="0.25">
      <c r="A12626" t="str">
        <f t="shared" si="2273"/>
        <v>89301000</v>
      </c>
      <c r="B12626" t="str">
        <f t="shared" si="2271"/>
        <v>72077000</v>
      </c>
      <c r="C12626" t="str">
        <f t="shared" si="2274"/>
        <v>72077001</v>
      </c>
      <c r="D12626">
        <v>89301152</v>
      </c>
      <c r="E12626" t="str">
        <f>"8555043838"</f>
        <v>8555043838</v>
      </c>
      <c r="F12626" s="1">
        <v>45208</v>
      </c>
      <c r="G12626" t="str">
        <f>"91485"</f>
        <v>91485</v>
      </c>
      <c r="H12626">
        <v>1</v>
      </c>
      <c r="I12626">
        <v>268</v>
      </c>
      <c r="J12626">
        <v>0</v>
      </c>
      <c r="K12626" t="str">
        <f t="shared" si="2275"/>
        <v>813</v>
      </c>
      <c r="L12626">
        <v>225.12</v>
      </c>
    </row>
    <row r="12627" spans="1:12" x14ac:dyDescent="0.25">
      <c r="A12627" t="str">
        <f t="shared" si="2273"/>
        <v>89301000</v>
      </c>
      <c r="B12627" t="str">
        <f t="shared" si="2271"/>
        <v>72077000</v>
      </c>
      <c r="C12627" t="str">
        <f t="shared" si="2274"/>
        <v>72077001</v>
      </c>
      <c r="D12627">
        <v>89301152</v>
      </c>
      <c r="E12627" t="str">
        <f>"535307084"</f>
        <v>535307084</v>
      </c>
      <c r="F12627" s="1">
        <v>45205</v>
      </c>
      <c r="G12627" t="str">
        <f>"91197"</f>
        <v>91197</v>
      </c>
      <c r="H12627">
        <v>1</v>
      </c>
      <c r="I12627">
        <v>1048</v>
      </c>
      <c r="J12627">
        <v>0</v>
      </c>
      <c r="K12627" t="str">
        <f t="shared" si="2275"/>
        <v>813</v>
      </c>
      <c r="L12627">
        <v>880.32</v>
      </c>
    </row>
    <row r="12628" spans="1:12" x14ac:dyDescent="0.25">
      <c r="A12628" t="str">
        <f t="shared" si="2273"/>
        <v>89301000</v>
      </c>
      <c r="B12628" t="str">
        <f t="shared" si="2271"/>
        <v>72077000</v>
      </c>
      <c r="C12628" t="str">
        <f t="shared" si="2274"/>
        <v>72077001</v>
      </c>
      <c r="D12628">
        <v>89301152</v>
      </c>
      <c r="E12628" t="str">
        <f>"535307084"</f>
        <v>535307084</v>
      </c>
      <c r="F12628" s="1">
        <v>45212</v>
      </c>
      <c r="G12628" t="str">
        <f>"91465"</f>
        <v>91465</v>
      </c>
      <c r="H12628">
        <v>1</v>
      </c>
      <c r="I12628">
        <v>1412</v>
      </c>
      <c r="J12628">
        <v>0</v>
      </c>
      <c r="K12628" t="str">
        <f t="shared" si="2275"/>
        <v>813</v>
      </c>
      <c r="L12628">
        <v>1186.08</v>
      </c>
    </row>
    <row r="12629" spans="1:12" x14ac:dyDescent="0.25">
      <c r="A12629" t="str">
        <f t="shared" si="2273"/>
        <v>89301000</v>
      </c>
      <c r="B12629" t="str">
        <f t="shared" si="2271"/>
        <v>72077000</v>
      </c>
      <c r="C12629" t="str">
        <f t="shared" si="2274"/>
        <v>72077001</v>
      </c>
      <c r="D12629">
        <v>89301152</v>
      </c>
      <c r="E12629" t="str">
        <f>"7651285323"</f>
        <v>7651285323</v>
      </c>
      <c r="F12629" s="1">
        <v>45212</v>
      </c>
      <c r="G12629" t="str">
        <f>"91465"</f>
        <v>91465</v>
      </c>
      <c r="H12629">
        <v>1</v>
      </c>
      <c r="I12629">
        <v>1412</v>
      </c>
      <c r="J12629">
        <v>0</v>
      </c>
      <c r="K12629" t="str">
        <f t="shared" si="2275"/>
        <v>813</v>
      </c>
      <c r="L12629">
        <v>1186.08</v>
      </c>
    </row>
    <row r="12630" spans="1:12" x14ac:dyDescent="0.25">
      <c r="A12630" t="str">
        <f t="shared" si="2273"/>
        <v>89301000</v>
      </c>
      <c r="B12630" t="str">
        <f t="shared" si="2271"/>
        <v>72077000</v>
      </c>
      <c r="C12630" t="str">
        <f t="shared" si="2274"/>
        <v>72077001</v>
      </c>
      <c r="D12630">
        <v>89301152</v>
      </c>
      <c r="E12630" t="str">
        <f>"7651285323"</f>
        <v>7651285323</v>
      </c>
      <c r="F12630" s="1">
        <v>45212</v>
      </c>
      <c r="G12630" t="str">
        <f>"91197"</f>
        <v>91197</v>
      </c>
      <c r="H12630">
        <v>1</v>
      </c>
      <c r="I12630">
        <v>1048</v>
      </c>
      <c r="J12630">
        <v>0</v>
      </c>
      <c r="K12630" t="str">
        <f t="shared" si="2275"/>
        <v>813</v>
      </c>
      <c r="L12630">
        <v>880.32</v>
      </c>
    </row>
    <row r="12631" spans="1:12" x14ac:dyDescent="0.25">
      <c r="A12631" t="str">
        <f t="shared" si="2273"/>
        <v>89301000</v>
      </c>
      <c r="B12631" t="str">
        <f t="shared" si="2271"/>
        <v>72077000</v>
      </c>
      <c r="C12631" t="str">
        <f t="shared" si="2274"/>
        <v>72077001</v>
      </c>
      <c r="D12631">
        <v>89301152</v>
      </c>
      <c r="E12631" t="str">
        <f>"8252284458"</f>
        <v>8252284458</v>
      </c>
      <c r="F12631" s="1">
        <v>45212</v>
      </c>
      <c r="G12631" t="str">
        <f>"91465"</f>
        <v>91465</v>
      </c>
      <c r="H12631">
        <v>1</v>
      </c>
      <c r="I12631">
        <v>1412</v>
      </c>
      <c r="J12631">
        <v>0</v>
      </c>
      <c r="K12631" t="str">
        <f t="shared" si="2275"/>
        <v>813</v>
      </c>
      <c r="L12631">
        <v>1186.08</v>
      </c>
    </row>
    <row r="12632" spans="1:12" x14ac:dyDescent="0.25">
      <c r="A12632" t="str">
        <f t="shared" si="2273"/>
        <v>89301000</v>
      </c>
      <c r="B12632" t="str">
        <f t="shared" si="2271"/>
        <v>72077000</v>
      </c>
      <c r="C12632" t="str">
        <f t="shared" si="2274"/>
        <v>72077001</v>
      </c>
      <c r="D12632">
        <v>89301152</v>
      </c>
      <c r="E12632" t="str">
        <f>"8252284458"</f>
        <v>8252284458</v>
      </c>
      <c r="F12632" s="1">
        <v>45212</v>
      </c>
      <c r="G12632" t="str">
        <f>"91197"</f>
        <v>91197</v>
      </c>
      <c r="H12632">
        <v>1</v>
      </c>
      <c r="I12632">
        <v>1048</v>
      </c>
      <c r="J12632">
        <v>0</v>
      </c>
      <c r="K12632" t="str">
        <f t="shared" si="2275"/>
        <v>813</v>
      </c>
      <c r="L12632">
        <v>880.32</v>
      </c>
    </row>
    <row r="12633" spans="1:12" x14ac:dyDescent="0.25">
      <c r="A12633" t="str">
        <f t="shared" si="2273"/>
        <v>89301000</v>
      </c>
      <c r="B12633" t="str">
        <f t="shared" si="2271"/>
        <v>72077000</v>
      </c>
      <c r="C12633" t="str">
        <f t="shared" si="2274"/>
        <v>72077001</v>
      </c>
      <c r="D12633">
        <v>89301152</v>
      </c>
      <c r="E12633" t="str">
        <f>"9202145711"</f>
        <v>9202145711</v>
      </c>
      <c r="F12633" s="1">
        <v>45212</v>
      </c>
      <c r="G12633" t="str">
        <f>"91465"</f>
        <v>91465</v>
      </c>
      <c r="H12633">
        <v>1</v>
      </c>
      <c r="I12633">
        <v>1412</v>
      </c>
      <c r="J12633">
        <v>0</v>
      </c>
      <c r="K12633" t="str">
        <f t="shared" si="2275"/>
        <v>813</v>
      </c>
      <c r="L12633">
        <v>1186.08</v>
      </c>
    </row>
    <row r="12634" spans="1:12" x14ac:dyDescent="0.25">
      <c r="A12634" t="str">
        <f t="shared" si="2273"/>
        <v>89301000</v>
      </c>
      <c r="B12634" t="str">
        <f t="shared" ref="B12634:B12661" si="2276">"72077000"</f>
        <v>72077000</v>
      </c>
      <c r="C12634" t="str">
        <f t="shared" si="2274"/>
        <v>72077001</v>
      </c>
      <c r="D12634">
        <v>89301152</v>
      </c>
      <c r="E12634" t="str">
        <f>"9202145711"</f>
        <v>9202145711</v>
      </c>
      <c r="F12634" s="1">
        <v>45212</v>
      </c>
      <c r="G12634" t="str">
        <f>"91197"</f>
        <v>91197</v>
      </c>
      <c r="H12634">
        <v>1</v>
      </c>
      <c r="I12634">
        <v>1048</v>
      </c>
      <c r="J12634">
        <v>0</v>
      </c>
      <c r="K12634" t="str">
        <f t="shared" si="2275"/>
        <v>813</v>
      </c>
      <c r="L12634">
        <v>880.32</v>
      </c>
    </row>
    <row r="12635" spans="1:12" x14ac:dyDescent="0.25">
      <c r="A12635" t="str">
        <f t="shared" si="2273"/>
        <v>89301000</v>
      </c>
      <c r="B12635" t="str">
        <f t="shared" si="2276"/>
        <v>72077000</v>
      </c>
      <c r="C12635" t="str">
        <f t="shared" si="2274"/>
        <v>72077001</v>
      </c>
      <c r="D12635">
        <v>89301152</v>
      </c>
      <c r="E12635" t="str">
        <f>"8356275312"</f>
        <v>8356275312</v>
      </c>
      <c r="F12635" s="1">
        <v>45212</v>
      </c>
      <c r="G12635" t="str">
        <f>"91197"</f>
        <v>91197</v>
      </c>
      <c r="H12635">
        <v>1</v>
      </c>
      <c r="I12635">
        <v>1048</v>
      </c>
      <c r="J12635">
        <v>0</v>
      </c>
      <c r="K12635" t="str">
        <f t="shared" si="2275"/>
        <v>813</v>
      </c>
      <c r="L12635">
        <v>880.32</v>
      </c>
    </row>
    <row r="12636" spans="1:12" x14ac:dyDescent="0.25">
      <c r="A12636" t="str">
        <f t="shared" si="2273"/>
        <v>89301000</v>
      </c>
      <c r="B12636" t="str">
        <f t="shared" si="2276"/>
        <v>72077000</v>
      </c>
      <c r="C12636" t="str">
        <f t="shared" si="2274"/>
        <v>72077001</v>
      </c>
      <c r="D12636">
        <v>89301152</v>
      </c>
      <c r="E12636" t="str">
        <f>"8356275312"</f>
        <v>8356275312</v>
      </c>
      <c r="F12636" s="1">
        <v>45216</v>
      </c>
      <c r="G12636" t="str">
        <f>"91465"</f>
        <v>91465</v>
      </c>
      <c r="H12636">
        <v>1</v>
      </c>
      <c r="I12636">
        <v>1412</v>
      </c>
      <c r="J12636">
        <v>0</v>
      </c>
      <c r="K12636" t="str">
        <f t="shared" si="2275"/>
        <v>813</v>
      </c>
      <c r="L12636">
        <v>1186.08</v>
      </c>
    </row>
    <row r="12637" spans="1:12" x14ac:dyDescent="0.25">
      <c r="A12637" t="str">
        <f t="shared" si="2273"/>
        <v>89301000</v>
      </c>
      <c r="B12637" t="str">
        <f t="shared" si="2276"/>
        <v>72077000</v>
      </c>
      <c r="C12637" t="str">
        <f t="shared" si="2274"/>
        <v>72077001</v>
      </c>
      <c r="D12637">
        <v>89301152</v>
      </c>
      <c r="E12637" t="str">
        <f>"9109276154"</f>
        <v>9109276154</v>
      </c>
      <c r="F12637" s="1">
        <v>45212</v>
      </c>
      <c r="G12637" t="str">
        <f>"91197"</f>
        <v>91197</v>
      </c>
      <c r="H12637">
        <v>1</v>
      </c>
      <c r="I12637">
        <v>1048</v>
      </c>
      <c r="J12637">
        <v>0</v>
      </c>
      <c r="K12637" t="str">
        <f t="shared" si="2275"/>
        <v>813</v>
      </c>
      <c r="L12637">
        <v>880.32</v>
      </c>
    </row>
    <row r="12638" spans="1:12" x14ac:dyDescent="0.25">
      <c r="A12638" t="str">
        <f t="shared" si="2273"/>
        <v>89301000</v>
      </c>
      <c r="B12638" t="str">
        <f t="shared" si="2276"/>
        <v>72077000</v>
      </c>
      <c r="C12638" t="str">
        <f t="shared" si="2274"/>
        <v>72077001</v>
      </c>
      <c r="D12638">
        <v>89301152</v>
      </c>
      <c r="E12638" t="str">
        <f>"9109276154"</f>
        <v>9109276154</v>
      </c>
      <c r="F12638" s="1">
        <v>45216</v>
      </c>
      <c r="G12638" t="str">
        <f>"91465"</f>
        <v>91465</v>
      </c>
      <c r="H12638">
        <v>1</v>
      </c>
      <c r="I12638">
        <v>1412</v>
      </c>
      <c r="J12638">
        <v>0</v>
      </c>
      <c r="K12638" t="str">
        <f t="shared" si="2275"/>
        <v>813</v>
      </c>
      <c r="L12638">
        <v>1186.08</v>
      </c>
    </row>
    <row r="12639" spans="1:12" x14ac:dyDescent="0.25">
      <c r="A12639" t="str">
        <f t="shared" si="2273"/>
        <v>89301000</v>
      </c>
      <c r="B12639" t="str">
        <f t="shared" si="2276"/>
        <v>72077000</v>
      </c>
      <c r="C12639" t="str">
        <f t="shared" si="2274"/>
        <v>72077001</v>
      </c>
      <c r="D12639">
        <v>89301152</v>
      </c>
      <c r="E12639" t="str">
        <f>"9851055764"</f>
        <v>9851055764</v>
      </c>
      <c r="F12639" s="1">
        <v>45211</v>
      </c>
      <c r="G12639" t="str">
        <f>"91213"</f>
        <v>91213</v>
      </c>
      <c r="H12639">
        <v>1</v>
      </c>
      <c r="I12639">
        <v>348</v>
      </c>
      <c r="J12639">
        <v>0</v>
      </c>
      <c r="K12639" t="str">
        <f t="shared" si="2275"/>
        <v>813</v>
      </c>
      <c r="L12639">
        <v>292.32</v>
      </c>
    </row>
    <row r="12640" spans="1:12" x14ac:dyDescent="0.25">
      <c r="A12640" t="str">
        <f t="shared" si="2273"/>
        <v>89301000</v>
      </c>
      <c r="B12640" t="str">
        <f t="shared" si="2276"/>
        <v>72077000</v>
      </c>
      <c r="C12640" t="str">
        <f t="shared" si="2274"/>
        <v>72077001</v>
      </c>
      <c r="D12640">
        <v>89301152</v>
      </c>
      <c r="E12640" t="str">
        <f>"9851055764"</f>
        <v>9851055764</v>
      </c>
      <c r="F12640" s="1">
        <v>45212</v>
      </c>
      <c r="G12640" t="str">
        <f>"91197"</f>
        <v>91197</v>
      </c>
      <c r="H12640">
        <v>1</v>
      </c>
      <c r="I12640">
        <v>1048</v>
      </c>
      <c r="J12640">
        <v>0</v>
      </c>
      <c r="K12640" t="str">
        <f t="shared" si="2275"/>
        <v>813</v>
      </c>
      <c r="L12640">
        <v>880.32</v>
      </c>
    </row>
    <row r="12641" spans="1:12" x14ac:dyDescent="0.25">
      <c r="A12641" t="str">
        <f t="shared" si="2273"/>
        <v>89301000</v>
      </c>
      <c r="B12641" t="str">
        <f t="shared" si="2276"/>
        <v>72077000</v>
      </c>
      <c r="C12641" t="str">
        <f t="shared" si="2274"/>
        <v>72077001</v>
      </c>
      <c r="D12641">
        <v>89301152</v>
      </c>
      <c r="E12641" t="str">
        <f>"9851055764"</f>
        <v>9851055764</v>
      </c>
      <c r="F12641" s="1">
        <v>45216</v>
      </c>
      <c r="G12641" t="str">
        <f>"91465"</f>
        <v>91465</v>
      </c>
      <c r="H12641">
        <v>1</v>
      </c>
      <c r="I12641">
        <v>1412</v>
      </c>
      <c r="J12641">
        <v>0</v>
      </c>
      <c r="K12641" t="str">
        <f t="shared" si="2275"/>
        <v>813</v>
      </c>
      <c r="L12641">
        <v>1186.08</v>
      </c>
    </row>
    <row r="12642" spans="1:12" x14ac:dyDescent="0.25">
      <c r="A12642" t="str">
        <f t="shared" si="2273"/>
        <v>89301000</v>
      </c>
      <c r="B12642" t="str">
        <f t="shared" si="2276"/>
        <v>72077000</v>
      </c>
      <c r="C12642" t="str">
        <f t="shared" si="2274"/>
        <v>72077001</v>
      </c>
      <c r="D12642">
        <v>89301152</v>
      </c>
      <c r="E12642" t="str">
        <f>"9851055764"</f>
        <v>9851055764</v>
      </c>
      <c r="F12642" s="1">
        <v>45216</v>
      </c>
      <c r="G12642" t="str">
        <f>"91213"</f>
        <v>91213</v>
      </c>
      <c r="H12642">
        <v>1</v>
      </c>
      <c r="I12642">
        <v>348</v>
      </c>
      <c r="J12642">
        <v>0</v>
      </c>
      <c r="K12642" t="str">
        <f t="shared" si="2275"/>
        <v>813</v>
      </c>
      <c r="L12642">
        <v>292.32</v>
      </c>
    </row>
    <row r="12643" spans="1:12" x14ac:dyDescent="0.25">
      <c r="A12643" t="str">
        <f t="shared" si="2273"/>
        <v>89301000</v>
      </c>
      <c r="B12643" t="str">
        <f t="shared" si="2276"/>
        <v>72077000</v>
      </c>
      <c r="C12643" t="str">
        <f t="shared" ref="C12643:C12661" si="2277">"72077001"</f>
        <v>72077001</v>
      </c>
      <c r="D12643">
        <v>89301152</v>
      </c>
      <c r="E12643" t="str">
        <f t="shared" ref="E12643:E12648" si="2278">"8506255362"</f>
        <v>8506255362</v>
      </c>
      <c r="F12643" s="1">
        <v>45217</v>
      </c>
      <c r="G12643" t="str">
        <f>"91359"</f>
        <v>91359</v>
      </c>
      <c r="H12643">
        <v>1</v>
      </c>
      <c r="I12643">
        <v>205</v>
      </c>
      <c r="J12643">
        <v>0</v>
      </c>
      <c r="K12643" t="str">
        <f t="shared" ref="K12643:K12661" si="2279">"813"</f>
        <v>813</v>
      </c>
      <c r="L12643">
        <v>172.2</v>
      </c>
    </row>
    <row r="12644" spans="1:12" x14ac:dyDescent="0.25">
      <c r="A12644" t="str">
        <f t="shared" si="2273"/>
        <v>89301000</v>
      </c>
      <c r="B12644" t="str">
        <f t="shared" si="2276"/>
        <v>72077000</v>
      </c>
      <c r="C12644" t="str">
        <f t="shared" si="2277"/>
        <v>72077001</v>
      </c>
      <c r="D12644">
        <v>89301152</v>
      </c>
      <c r="E12644" t="str">
        <f t="shared" si="2278"/>
        <v>8506255362</v>
      </c>
      <c r="F12644" s="1">
        <v>45217</v>
      </c>
      <c r="G12644" t="str">
        <f>"91361"</f>
        <v>91361</v>
      </c>
      <c r="H12644">
        <v>1</v>
      </c>
      <c r="I12644">
        <v>444</v>
      </c>
      <c r="J12644">
        <v>0</v>
      </c>
      <c r="K12644" t="str">
        <f t="shared" si="2279"/>
        <v>813</v>
      </c>
      <c r="L12644">
        <v>372.96</v>
      </c>
    </row>
    <row r="12645" spans="1:12" x14ac:dyDescent="0.25">
      <c r="A12645" t="str">
        <f t="shared" si="2273"/>
        <v>89301000</v>
      </c>
      <c r="B12645" t="str">
        <f t="shared" si="2276"/>
        <v>72077000</v>
      </c>
      <c r="C12645" t="str">
        <f t="shared" si="2277"/>
        <v>72077001</v>
      </c>
      <c r="D12645">
        <v>89301152</v>
      </c>
      <c r="E12645" t="str">
        <f t="shared" si="2278"/>
        <v>8506255362</v>
      </c>
      <c r="F12645" s="1">
        <v>45217</v>
      </c>
      <c r="G12645" t="str">
        <f>"91577"</f>
        <v>91577</v>
      </c>
      <c r="H12645">
        <v>1</v>
      </c>
      <c r="I12645">
        <v>398</v>
      </c>
      <c r="J12645">
        <v>0</v>
      </c>
      <c r="K12645" t="str">
        <f t="shared" si="2279"/>
        <v>813</v>
      </c>
      <c r="L12645">
        <v>334.32</v>
      </c>
    </row>
    <row r="12646" spans="1:12" x14ac:dyDescent="0.25">
      <c r="A12646" t="str">
        <f t="shared" si="2273"/>
        <v>89301000</v>
      </c>
      <c r="B12646" t="str">
        <f t="shared" si="2276"/>
        <v>72077000</v>
      </c>
      <c r="C12646" t="str">
        <f t="shared" si="2277"/>
        <v>72077001</v>
      </c>
      <c r="D12646">
        <v>89301152</v>
      </c>
      <c r="E12646" t="str">
        <f t="shared" si="2278"/>
        <v>8506255362</v>
      </c>
      <c r="F12646" s="1">
        <v>45217</v>
      </c>
      <c r="G12646" t="str">
        <f>"91171"</f>
        <v>91171</v>
      </c>
      <c r="H12646">
        <v>1</v>
      </c>
      <c r="I12646">
        <v>362</v>
      </c>
      <c r="J12646">
        <v>0</v>
      </c>
      <c r="K12646" t="str">
        <f t="shared" si="2279"/>
        <v>813</v>
      </c>
      <c r="L12646">
        <v>304.08</v>
      </c>
    </row>
    <row r="12647" spans="1:12" x14ac:dyDescent="0.25">
      <c r="A12647" t="str">
        <f t="shared" si="2273"/>
        <v>89301000</v>
      </c>
      <c r="B12647" t="str">
        <f t="shared" si="2276"/>
        <v>72077000</v>
      </c>
      <c r="C12647" t="str">
        <f t="shared" si="2277"/>
        <v>72077001</v>
      </c>
      <c r="D12647">
        <v>89301152</v>
      </c>
      <c r="E12647" t="str">
        <f t="shared" si="2278"/>
        <v>8506255362</v>
      </c>
      <c r="F12647" s="1">
        <v>45217</v>
      </c>
      <c r="G12647" t="str">
        <f>"91171"</f>
        <v>91171</v>
      </c>
      <c r="H12647">
        <v>1</v>
      </c>
      <c r="I12647">
        <v>362</v>
      </c>
      <c r="J12647">
        <v>0</v>
      </c>
      <c r="K12647" t="str">
        <f t="shared" si="2279"/>
        <v>813</v>
      </c>
      <c r="L12647">
        <v>304.08</v>
      </c>
    </row>
    <row r="12648" spans="1:12" x14ac:dyDescent="0.25">
      <c r="A12648" t="str">
        <f t="shared" si="2273"/>
        <v>89301000</v>
      </c>
      <c r="B12648" t="str">
        <f t="shared" si="2276"/>
        <v>72077000</v>
      </c>
      <c r="C12648" t="str">
        <f t="shared" si="2277"/>
        <v>72077001</v>
      </c>
      <c r="D12648">
        <v>89301152</v>
      </c>
      <c r="E12648" t="str">
        <f t="shared" si="2278"/>
        <v>8506255362</v>
      </c>
      <c r="F12648" s="1">
        <v>45217</v>
      </c>
      <c r="G12648" t="str">
        <f>"91485"</f>
        <v>91485</v>
      </c>
      <c r="H12648">
        <v>1</v>
      </c>
      <c r="I12648">
        <v>268</v>
      </c>
      <c r="J12648">
        <v>0</v>
      </c>
      <c r="K12648" t="str">
        <f t="shared" si="2279"/>
        <v>813</v>
      </c>
      <c r="L12648">
        <v>225.12</v>
      </c>
    </row>
    <row r="12649" spans="1:12" x14ac:dyDescent="0.25">
      <c r="A12649" t="str">
        <f t="shared" si="2273"/>
        <v>89301000</v>
      </c>
      <c r="B12649" t="str">
        <f t="shared" si="2276"/>
        <v>72077000</v>
      </c>
      <c r="C12649" t="str">
        <f t="shared" si="2277"/>
        <v>72077001</v>
      </c>
      <c r="D12649">
        <v>89301152</v>
      </c>
      <c r="E12649" t="str">
        <f>"9352266143"</f>
        <v>9352266143</v>
      </c>
      <c r="F12649" s="1">
        <v>45218</v>
      </c>
      <c r="G12649" t="str">
        <f>"91197"</f>
        <v>91197</v>
      </c>
      <c r="H12649">
        <v>1</v>
      </c>
      <c r="I12649">
        <v>1048</v>
      </c>
      <c r="J12649">
        <v>0</v>
      </c>
      <c r="K12649" t="str">
        <f t="shared" si="2279"/>
        <v>813</v>
      </c>
      <c r="L12649">
        <v>880.32</v>
      </c>
    </row>
    <row r="12650" spans="1:12" x14ac:dyDescent="0.25">
      <c r="A12650" t="str">
        <f t="shared" si="2273"/>
        <v>89301000</v>
      </c>
      <c r="B12650" t="str">
        <f t="shared" si="2276"/>
        <v>72077000</v>
      </c>
      <c r="C12650" t="str">
        <f t="shared" si="2277"/>
        <v>72077001</v>
      </c>
      <c r="D12650">
        <v>89301152</v>
      </c>
      <c r="E12650" t="str">
        <f>"9352266143"</f>
        <v>9352266143</v>
      </c>
      <c r="F12650" s="1">
        <v>45219</v>
      </c>
      <c r="G12650" t="str">
        <f>"91465"</f>
        <v>91465</v>
      </c>
      <c r="H12650">
        <v>1</v>
      </c>
      <c r="I12650">
        <v>1412</v>
      </c>
      <c r="J12650">
        <v>0</v>
      </c>
      <c r="K12650" t="str">
        <f t="shared" si="2279"/>
        <v>813</v>
      </c>
      <c r="L12650">
        <v>1186.08</v>
      </c>
    </row>
    <row r="12651" spans="1:12" x14ac:dyDescent="0.25">
      <c r="A12651" t="str">
        <f t="shared" si="2273"/>
        <v>89301000</v>
      </c>
      <c r="B12651" t="str">
        <f t="shared" si="2276"/>
        <v>72077000</v>
      </c>
      <c r="C12651" t="str">
        <f t="shared" si="2277"/>
        <v>72077001</v>
      </c>
      <c r="D12651">
        <v>89301152</v>
      </c>
      <c r="E12651" t="str">
        <f>"7957114473"</f>
        <v>7957114473</v>
      </c>
      <c r="F12651" s="1">
        <v>45218</v>
      </c>
      <c r="G12651" t="str">
        <f>"91197"</f>
        <v>91197</v>
      </c>
      <c r="H12651">
        <v>1</v>
      </c>
      <c r="I12651">
        <v>1048</v>
      </c>
      <c r="J12651">
        <v>0</v>
      </c>
      <c r="K12651" t="str">
        <f t="shared" si="2279"/>
        <v>813</v>
      </c>
      <c r="L12651">
        <v>880.32</v>
      </c>
    </row>
    <row r="12652" spans="1:12" x14ac:dyDescent="0.25">
      <c r="A12652" t="str">
        <f t="shared" si="2273"/>
        <v>89301000</v>
      </c>
      <c r="B12652" t="str">
        <f t="shared" si="2276"/>
        <v>72077000</v>
      </c>
      <c r="C12652" t="str">
        <f t="shared" si="2277"/>
        <v>72077001</v>
      </c>
      <c r="D12652">
        <v>89301152</v>
      </c>
      <c r="E12652" t="str">
        <f>"7957114473"</f>
        <v>7957114473</v>
      </c>
      <c r="F12652" s="1">
        <v>45223</v>
      </c>
      <c r="G12652" t="str">
        <f>"91465"</f>
        <v>91465</v>
      </c>
      <c r="H12652">
        <v>1</v>
      </c>
      <c r="I12652">
        <v>1412</v>
      </c>
      <c r="J12652">
        <v>0</v>
      </c>
      <c r="K12652" t="str">
        <f t="shared" si="2279"/>
        <v>813</v>
      </c>
      <c r="L12652">
        <v>1186.08</v>
      </c>
    </row>
    <row r="12653" spans="1:12" x14ac:dyDescent="0.25">
      <c r="A12653" t="str">
        <f t="shared" si="2273"/>
        <v>89301000</v>
      </c>
      <c r="B12653" t="str">
        <f t="shared" si="2276"/>
        <v>72077000</v>
      </c>
      <c r="C12653" t="str">
        <f t="shared" si="2277"/>
        <v>72077001</v>
      </c>
      <c r="D12653">
        <v>89301152</v>
      </c>
      <c r="E12653" t="str">
        <f>"6452120807"</f>
        <v>6452120807</v>
      </c>
      <c r="F12653" s="1">
        <v>45223</v>
      </c>
      <c r="G12653" t="str">
        <f>"91465"</f>
        <v>91465</v>
      </c>
      <c r="H12653">
        <v>1</v>
      </c>
      <c r="I12653">
        <v>1412</v>
      </c>
      <c r="J12653">
        <v>0</v>
      </c>
      <c r="K12653" t="str">
        <f t="shared" si="2279"/>
        <v>813</v>
      </c>
      <c r="L12653">
        <v>1186.08</v>
      </c>
    </row>
    <row r="12654" spans="1:12" x14ac:dyDescent="0.25">
      <c r="A12654" t="str">
        <f t="shared" si="2273"/>
        <v>89301000</v>
      </c>
      <c r="B12654" t="str">
        <f t="shared" si="2276"/>
        <v>72077000</v>
      </c>
      <c r="C12654" t="str">
        <f t="shared" si="2277"/>
        <v>72077001</v>
      </c>
      <c r="D12654">
        <v>89301152</v>
      </c>
      <c r="E12654" t="str">
        <f>"6452120807"</f>
        <v>6452120807</v>
      </c>
      <c r="F12654" s="1">
        <v>45223</v>
      </c>
      <c r="G12654" t="str">
        <f>"91197"</f>
        <v>91197</v>
      </c>
      <c r="H12654">
        <v>1</v>
      </c>
      <c r="I12654">
        <v>1048</v>
      </c>
      <c r="J12654">
        <v>0</v>
      </c>
      <c r="K12654" t="str">
        <f t="shared" si="2279"/>
        <v>813</v>
      </c>
      <c r="L12654">
        <v>880.32</v>
      </c>
    </row>
    <row r="12655" spans="1:12" x14ac:dyDescent="0.25">
      <c r="A12655" t="str">
        <f t="shared" si="2273"/>
        <v>89301000</v>
      </c>
      <c r="B12655" t="str">
        <f t="shared" si="2276"/>
        <v>72077000</v>
      </c>
      <c r="C12655" t="str">
        <f t="shared" si="2277"/>
        <v>72077001</v>
      </c>
      <c r="D12655">
        <v>89301152</v>
      </c>
      <c r="E12655" t="str">
        <f>"9251265705"</f>
        <v>9251265705</v>
      </c>
      <c r="F12655" s="1">
        <v>45226</v>
      </c>
      <c r="G12655" t="str">
        <f>"91465"</f>
        <v>91465</v>
      </c>
      <c r="H12655">
        <v>1</v>
      </c>
      <c r="I12655">
        <v>1412</v>
      </c>
      <c r="J12655">
        <v>0</v>
      </c>
      <c r="K12655" t="str">
        <f t="shared" si="2279"/>
        <v>813</v>
      </c>
      <c r="L12655">
        <v>1186.08</v>
      </c>
    </row>
    <row r="12656" spans="1:12" x14ac:dyDescent="0.25">
      <c r="A12656" t="str">
        <f t="shared" si="2273"/>
        <v>89301000</v>
      </c>
      <c r="B12656" t="str">
        <f t="shared" si="2276"/>
        <v>72077000</v>
      </c>
      <c r="C12656" t="str">
        <f t="shared" si="2277"/>
        <v>72077001</v>
      </c>
      <c r="D12656">
        <v>89301152</v>
      </c>
      <c r="E12656" t="str">
        <f>"9251265705"</f>
        <v>9251265705</v>
      </c>
      <c r="F12656" s="1">
        <v>45226</v>
      </c>
      <c r="G12656" t="str">
        <f>"91197"</f>
        <v>91197</v>
      </c>
      <c r="H12656">
        <v>1</v>
      </c>
      <c r="I12656">
        <v>1048</v>
      </c>
      <c r="J12656">
        <v>0</v>
      </c>
      <c r="K12656" t="str">
        <f t="shared" si="2279"/>
        <v>813</v>
      </c>
      <c r="L12656">
        <v>880.32</v>
      </c>
    </row>
    <row r="12657" spans="1:12" x14ac:dyDescent="0.25">
      <c r="A12657" t="str">
        <f t="shared" si="2273"/>
        <v>89301000</v>
      </c>
      <c r="B12657" t="str">
        <f t="shared" si="2276"/>
        <v>72077000</v>
      </c>
      <c r="C12657" t="str">
        <f t="shared" si="2277"/>
        <v>72077001</v>
      </c>
      <c r="D12657">
        <v>89301152</v>
      </c>
      <c r="E12657" t="str">
        <f>"9461256068"</f>
        <v>9461256068</v>
      </c>
      <c r="F12657" s="1">
        <v>45226</v>
      </c>
      <c r="G12657" t="str">
        <f>"91485"</f>
        <v>91485</v>
      </c>
      <c r="H12657">
        <v>1</v>
      </c>
      <c r="I12657">
        <v>268</v>
      </c>
      <c r="J12657">
        <v>0</v>
      </c>
      <c r="K12657" t="str">
        <f t="shared" si="2279"/>
        <v>813</v>
      </c>
      <c r="L12657">
        <v>225.12</v>
      </c>
    </row>
    <row r="12658" spans="1:12" x14ac:dyDescent="0.25">
      <c r="A12658" t="str">
        <f t="shared" si="2273"/>
        <v>89301000</v>
      </c>
      <c r="B12658" t="str">
        <f t="shared" si="2276"/>
        <v>72077000</v>
      </c>
      <c r="C12658" t="str">
        <f t="shared" si="2277"/>
        <v>72077001</v>
      </c>
      <c r="D12658">
        <v>89301152</v>
      </c>
      <c r="E12658" t="str">
        <f>"9061155730"</f>
        <v>9061155730</v>
      </c>
      <c r="F12658" s="1">
        <v>45226</v>
      </c>
      <c r="G12658" t="str">
        <f>"91175"</f>
        <v>91175</v>
      </c>
      <c r="H12658">
        <v>1</v>
      </c>
      <c r="I12658">
        <v>362</v>
      </c>
      <c r="J12658">
        <v>0</v>
      </c>
      <c r="K12658" t="str">
        <f t="shared" si="2279"/>
        <v>813</v>
      </c>
      <c r="L12658">
        <v>304.08</v>
      </c>
    </row>
    <row r="12659" spans="1:12" x14ac:dyDescent="0.25">
      <c r="A12659" t="str">
        <f t="shared" si="2273"/>
        <v>89301000</v>
      </c>
      <c r="B12659" t="str">
        <f t="shared" si="2276"/>
        <v>72077000</v>
      </c>
      <c r="C12659" t="str">
        <f t="shared" si="2277"/>
        <v>72077001</v>
      </c>
      <c r="D12659">
        <v>89301152</v>
      </c>
      <c r="E12659" t="str">
        <f>"9061155730"</f>
        <v>9061155730</v>
      </c>
      <c r="F12659" s="1">
        <v>45226</v>
      </c>
      <c r="G12659" t="str">
        <f>"91171"</f>
        <v>91171</v>
      </c>
      <c r="H12659">
        <v>1</v>
      </c>
      <c r="I12659">
        <v>362</v>
      </c>
      <c r="J12659">
        <v>0</v>
      </c>
      <c r="K12659" t="str">
        <f t="shared" si="2279"/>
        <v>813</v>
      </c>
      <c r="L12659">
        <v>304.08</v>
      </c>
    </row>
    <row r="12660" spans="1:12" x14ac:dyDescent="0.25">
      <c r="A12660" t="str">
        <f t="shared" si="2273"/>
        <v>89301000</v>
      </c>
      <c r="B12660" t="str">
        <f t="shared" si="2276"/>
        <v>72077000</v>
      </c>
      <c r="C12660" t="str">
        <f t="shared" si="2277"/>
        <v>72077001</v>
      </c>
      <c r="D12660">
        <v>89301152</v>
      </c>
      <c r="E12660" t="str">
        <f>"375801410"</f>
        <v>375801410</v>
      </c>
      <c r="F12660" s="1">
        <v>45226</v>
      </c>
      <c r="G12660" t="str">
        <f>"91197"</f>
        <v>91197</v>
      </c>
      <c r="H12660">
        <v>1</v>
      </c>
      <c r="I12660">
        <v>1048</v>
      </c>
      <c r="J12660">
        <v>0</v>
      </c>
      <c r="K12660" t="str">
        <f t="shared" si="2279"/>
        <v>813</v>
      </c>
      <c r="L12660">
        <v>880.32</v>
      </c>
    </row>
    <row r="12661" spans="1:12" x14ac:dyDescent="0.25">
      <c r="A12661" t="str">
        <f t="shared" si="2273"/>
        <v>89301000</v>
      </c>
      <c r="B12661" t="str">
        <f t="shared" si="2276"/>
        <v>72077000</v>
      </c>
      <c r="C12661" t="str">
        <f t="shared" si="2277"/>
        <v>72077001</v>
      </c>
      <c r="D12661">
        <v>89301152</v>
      </c>
      <c r="E12661" t="str">
        <f>"375801410"</f>
        <v>375801410</v>
      </c>
      <c r="F12661" s="1">
        <v>45230</v>
      </c>
      <c r="G12661" t="str">
        <f>"91465"</f>
        <v>91465</v>
      </c>
      <c r="H12661">
        <v>1</v>
      </c>
      <c r="I12661">
        <v>1412</v>
      </c>
      <c r="J12661">
        <v>0</v>
      </c>
      <c r="K12661" t="str">
        <f t="shared" si="2279"/>
        <v>813</v>
      </c>
      <c r="L12661">
        <v>1186.08</v>
      </c>
    </row>
    <row r="12662" spans="1:12" x14ac:dyDescent="0.25">
      <c r="A12662" t="str">
        <f t="shared" si="2273"/>
        <v>89301000</v>
      </c>
      <c r="B12662" t="str">
        <f t="shared" ref="B12662:C12666" si="2280">"89632000"</f>
        <v>89632000</v>
      </c>
      <c r="C12662" t="str">
        <f t="shared" si="2280"/>
        <v>89632000</v>
      </c>
      <c r="D12662">
        <v>89301212</v>
      </c>
      <c r="E12662" t="str">
        <f>"495826020"</f>
        <v>495826020</v>
      </c>
      <c r="F12662" s="1">
        <v>45224</v>
      </c>
      <c r="G12662" t="str">
        <f>"89513"</f>
        <v>89513</v>
      </c>
      <c r="H12662">
        <v>1</v>
      </c>
      <c r="I12662">
        <v>378</v>
      </c>
      <c r="J12662">
        <v>0</v>
      </c>
      <c r="K12662" t="str">
        <f>"809"</f>
        <v>809</v>
      </c>
      <c r="L12662">
        <v>555.66</v>
      </c>
    </row>
    <row r="12663" spans="1:12" x14ac:dyDescent="0.25">
      <c r="A12663" t="str">
        <f t="shared" si="2273"/>
        <v>89301000</v>
      </c>
      <c r="B12663" t="str">
        <f t="shared" si="2280"/>
        <v>89632000</v>
      </c>
      <c r="C12663" t="str">
        <f t="shared" si="2280"/>
        <v>89632000</v>
      </c>
      <c r="D12663">
        <v>89301212</v>
      </c>
      <c r="E12663" t="str">
        <f>"495826020"</f>
        <v>495826020</v>
      </c>
      <c r="F12663" s="1">
        <v>45224</v>
      </c>
      <c r="G12663" t="str">
        <f>"89514"</f>
        <v>89514</v>
      </c>
      <c r="H12663">
        <v>1</v>
      </c>
      <c r="I12663">
        <v>378</v>
      </c>
      <c r="J12663">
        <v>0</v>
      </c>
      <c r="K12663" t="str">
        <f>"809"</f>
        <v>809</v>
      </c>
      <c r="L12663">
        <v>555.66</v>
      </c>
    </row>
    <row r="12664" spans="1:12" x14ac:dyDescent="0.25">
      <c r="A12664" t="str">
        <f t="shared" si="2273"/>
        <v>89301000</v>
      </c>
      <c r="B12664" t="str">
        <f t="shared" si="2280"/>
        <v>89632000</v>
      </c>
      <c r="C12664" t="str">
        <f t="shared" si="2280"/>
        <v>89632000</v>
      </c>
      <c r="D12664">
        <v>89301212</v>
      </c>
      <c r="E12664" t="str">
        <f>"525717078"</f>
        <v>525717078</v>
      </c>
      <c r="F12664" s="1">
        <v>45202</v>
      </c>
      <c r="G12664" t="str">
        <f>"89513"</f>
        <v>89513</v>
      </c>
      <c r="H12664">
        <v>1</v>
      </c>
      <c r="I12664">
        <v>378</v>
      </c>
      <c r="J12664">
        <v>0</v>
      </c>
      <c r="K12664" t="str">
        <f>"809"</f>
        <v>809</v>
      </c>
      <c r="L12664">
        <v>555.66</v>
      </c>
    </row>
    <row r="12665" spans="1:12" x14ac:dyDescent="0.25">
      <c r="A12665" t="str">
        <f t="shared" si="2273"/>
        <v>89301000</v>
      </c>
      <c r="B12665" t="str">
        <f t="shared" si="2280"/>
        <v>89632000</v>
      </c>
      <c r="C12665" t="str">
        <f t="shared" si="2280"/>
        <v>89632000</v>
      </c>
      <c r="D12665">
        <v>89301212</v>
      </c>
      <c r="E12665" t="str">
        <f>"525717078"</f>
        <v>525717078</v>
      </c>
      <c r="F12665" s="1">
        <v>45202</v>
      </c>
      <c r="G12665" t="str">
        <f>"89514"</f>
        <v>89514</v>
      </c>
      <c r="H12665">
        <v>1</v>
      </c>
      <c r="I12665">
        <v>378</v>
      </c>
      <c r="J12665">
        <v>0</v>
      </c>
      <c r="K12665" t="str">
        <f>"809"</f>
        <v>809</v>
      </c>
      <c r="L12665">
        <v>555.66</v>
      </c>
    </row>
    <row r="12666" spans="1:12" x14ac:dyDescent="0.25">
      <c r="A12666" t="str">
        <f t="shared" si="2273"/>
        <v>89301000</v>
      </c>
      <c r="B12666" t="str">
        <f t="shared" si="2280"/>
        <v>89632000</v>
      </c>
      <c r="C12666" t="str">
        <f t="shared" si="2280"/>
        <v>89632000</v>
      </c>
      <c r="D12666">
        <v>89301212</v>
      </c>
      <c r="E12666" t="str">
        <f>"525717078"</f>
        <v>525717078</v>
      </c>
      <c r="F12666" s="1">
        <v>45202</v>
      </c>
      <c r="G12666" t="str">
        <f>"89131"</f>
        <v>89131</v>
      </c>
      <c r="H12666">
        <v>1</v>
      </c>
      <c r="I12666">
        <v>190</v>
      </c>
      <c r="J12666">
        <v>0</v>
      </c>
      <c r="K12666" t="str">
        <f>"809"</f>
        <v>809</v>
      </c>
      <c r="L12666">
        <v>279.3</v>
      </c>
    </row>
    <row r="12667" spans="1:12" x14ac:dyDescent="0.25">
      <c r="A12667" t="str">
        <f t="shared" si="2273"/>
        <v>89301000</v>
      </c>
      <c r="B12667" t="str">
        <f>"91997900"</f>
        <v>91997900</v>
      </c>
      <c r="C12667" t="str">
        <f>"91997901"</f>
        <v>91997901</v>
      </c>
      <c r="D12667">
        <v>89301167</v>
      </c>
      <c r="E12667" t="str">
        <f>"6003120068"</f>
        <v>6003120068</v>
      </c>
      <c r="F12667" s="1">
        <v>45226</v>
      </c>
      <c r="G12667" t="str">
        <f>"93167"</f>
        <v>93167</v>
      </c>
      <c r="H12667">
        <v>1</v>
      </c>
      <c r="I12667">
        <v>470</v>
      </c>
      <c r="J12667">
        <v>0</v>
      </c>
      <c r="K12667" t="str">
        <f>"801"</f>
        <v>801</v>
      </c>
      <c r="L12667">
        <v>394.8</v>
      </c>
    </row>
    <row r="12668" spans="1:12" x14ac:dyDescent="0.25">
      <c r="A12668" t="str">
        <f t="shared" si="2273"/>
        <v>89301000</v>
      </c>
      <c r="B12668" t="str">
        <f>"91997900"</f>
        <v>91997900</v>
      </c>
      <c r="C12668" t="str">
        <f>"91997901"</f>
        <v>91997901</v>
      </c>
      <c r="D12668">
        <v>89301167</v>
      </c>
      <c r="E12668" t="str">
        <f>"6003120068"</f>
        <v>6003120068</v>
      </c>
      <c r="F12668" s="1">
        <v>45226</v>
      </c>
      <c r="G12668" t="str">
        <f>"97111"</f>
        <v>97111</v>
      </c>
      <c r="H12668">
        <v>1</v>
      </c>
      <c r="I12668">
        <v>19</v>
      </c>
      <c r="J12668">
        <v>0</v>
      </c>
      <c r="K12668" t="str">
        <f>"801"</f>
        <v>801</v>
      </c>
      <c r="L12668">
        <v>23.94</v>
      </c>
    </row>
    <row r="12669" spans="1:12" x14ac:dyDescent="0.25">
      <c r="A12669" t="str">
        <f t="shared" si="2273"/>
        <v>89301000</v>
      </c>
      <c r="B12669" t="str">
        <f t="shared" ref="B12669:B12700" si="2281">"89383000"</f>
        <v>89383000</v>
      </c>
      <c r="C12669" t="str">
        <f t="shared" ref="C12669:C12700" si="2282">"89383002"</f>
        <v>89383002</v>
      </c>
      <c r="D12669">
        <v>89301045</v>
      </c>
      <c r="E12669" t="str">
        <f>"7759145757"</f>
        <v>7759145757</v>
      </c>
      <c r="F12669" s="1">
        <v>45201</v>
      </c>
      <c r="G12669" t="str">
        <f>"89512"</f>
        <v>89512</v>
      </c>
      <c r="H12669">
        <v>1</v>
      </c>
      <c r="I12669">
        <v>283</v>
      </c>
      <c r="J12669">
        <v>0</v>
      </c>
      <c r="K12669" t="str">
        <f t="shared" ref="K12669:K12700" si="2283">"809"</f>
        <v>809</v>
      </c>
      <c r="L12669">
        <v>416.01</v>
      </c>
    </row>
    <row r="12670" spans="1:12" x14ac:dyDescent="0.25">
      <c r="A12670" t="str">
        <f t="shared" si="2273"/>
        <v>89301000</v>
      </c>
      <c r="B12670" t="str">
        <f t="shared" si="2281"/>
        <v>89383000</v>
      </c>
      <c r="C12670" t="str">
        <f t="shared" si="2282"/>
        <v>89383002</v>
      </c>
      <c r="D12670">
        <v>89301045</v>
      </c>
      <c r="E12670" t="str">
        <f>"7759145757"</f>
        <v>7759145757</v>
      </c>
      <c r="F12670" s="1">
        <v>45201</v>
      </c>
      <c r="G12670" t="str">
        <f>"89180"</f>
        <v>89180</v>
      </c>
      <c r="H12670">
        <v>1</v>
      </c>
      <c r="I12670">
        <v>381</v>
      </c>
      <c r="J12670">
        <v>0</v>
      </c>
      <c r="K12670" t="str">
        <f t="shared" si="2283"/>
        <v>809</v>
      </c>
      <c r="L12670">
        <v>560.07000000000005</v>
      </c>
    </row>
    <row r="12671" spans="1:12" x14ac:dyDescent="0.25">
      <c r="A12671" t="str">
        <f t="shared" si="2273"/>
        <v>89301000</v>
      </c>
      <c r="B12671" t="str">
        <f t="shared" si="2281"/>
        <v>89383000</v>
      </c>
      <c r="C12671" t="str">
        <f t="shared" si="2282"/>
        <v>89383002</v>
      </c>
      <c r="D12671">
        <v>89301212</v>
      </c>
      <c r="E12671" t="str">
        <f>"535215035"</f>
        <v>535215035</v>
      </c>
      <c r="F12671" s="1">
        <v>45202</v>
      </c>
      <c r="G12671" t="str">
        <f>"89513"</f>
        <v>89513</v>
      </c>
      <c r="H12671">
        <v>1</v>
      </c>
      <c r="I12671">
        <v>378</v>
      </c>
      <c r="J12671">
        <v>0</v>
      </c>
      <c r="K12671" t="str">
        <f t="shared" si="2283"/>
        <v>809</v>
      </c>
      <c r="L12671">
        <v>555.66</v>
      </c>
    </row>
    <row r="12672" spans="1:12" x14ac:dyDescent="0.25">
      <c r="A12672" t="str">
        <f t="shared" si="2273"/>
        <v>89301000</v>
      </c>
      <c r="B12672" t="str">
        <f t="shared" si="2281"/>
        <v>89383000</v>
      </c>
      <c r="C12672" t="str">
        <f t="shared" si="2282"/>
        <v>89383002</v>
      </c>
      <c r="D12672">
        <v>89301212</v>
      </c>
      <c r="E12672" t="str">
        <f>"535215035"</f>
        <v>535215035</v>
      </c>
      <c r="F12672" s="1">
        <v>45202</v>
      </c>
      <c r="G12672" t="str">
        <f>"89514"</f>
        <v>89514</v>
      </c>
      <c r="H12672">
        <v>1</v>
      </c>
      <c r="I12672">
        <v>378</v>
      </c>
      <c r="J12672">
        <v>0</v>
      </c>
      <c r="K12672" t="str">
        <f t="shared" si="2283"/>
        <v>809</v>
      </c>
      <c r="L12672">
        <v>555.66</v>
      </c>
    </row>
    <row r="12673" spans="1:12" x14ac:dyDescent="0.25">
      <c r="A12673" t="str">
        <f t="shared" si="2273"/>
        <v>89301000</v>
      </c>
      <c r="B12673" t="str">
        <f t="shared" si="2281"/>
        <v>89383000</v>
      </c>
      <c r="C12673" t="str">
        <f t="shared" si="2282"/>
        <v>89383002</v>
      </c>
      <c r="D12673">
        <v>89301212</v>
      </c>
      <c r="E12673" t="str">
        <f>"6856010557"</f>
        <v>6856010557</v>
      </c>
      <c r="F12673" s="1">
        <v>45202</v>
      </c>
      <c r="G12673" t="str">
        <f>"89512"</f>
        <v>89512</v>
      </c>
      <c r="H12673">
        <v>1</v>
      </c>
      <c r="I12673">
        <v>283</v>
      </c>
      <c r="J12673">
        <v>0</v>
      </c>
      <c r="K12673" t="str">
        <f t="shared" si="2283"/>
        <v>809</v>
      </c>
      <c r="L12673">
        <v>416.01</v>
      </c>
    </row>
    <row r="12674" spans="1:12" x14ac:dyDescent="0.25">
      <c r="A12674" t="str">
        <f t="shared" ref="A12674:A12737" si="2284">"89301000"</f>
        <v>89301000</v>
      </c>
      <c r="B12674" t="str">
        <f t="shared" si="2281"/>
        <v>89383000</v>
      </c>
      <c r="C12674" t="str">
        <f t="shared" si="2282"/>
        <v>89383002</v>
      </c>
      <c r="D12674">
        <v>89301045</v>
      </c>
      <c r="E12674" t="str">
        <f>"7358245411"</f>
        <v>7358245411</v>
      </c>
      <c r="F12674" s="1">
        <v>45203</v>
      </c>
      <c r="G12674" t="str">
        <f>"89180"</f>
        <v>89180</v>
      </c>
      <c r="H12674">
        <v>1</v>
      </c>
      <c r="I12674">
        <v>381</v>
      </c>
      <c r="J12674">
        <v>0</v>
      </c>
      <c r="K12674" t="str">
        <f t="shared" si="2283"/>
        <v>809</v>
      </c>
      <c r="L12674">
        <v>560.07000000000005</v>
      </c>
    </row>
    <row r="12675" spans="1:12" x14ac:dyDescent="0.25">
      <c r="A12675" t="str">
        <f t="shared" si="2284"/>
        <v>89301000</v>
      </c>
      <c r="B12675" t="str">
        <f t="shared" si="2281"/>
        <v>89383000</v>
      </c>
      <c r="C12675" t="str">
        <f t="shared" si="2282"/>
        <v>89383002</v>
      </c>
      <c r="D12675">
        <v>89301212</v>
      </c>
      <c r="E12675" t="str">
        <f>"8751085783"</f>
        <v>8751085783</v>
      </c>
      <c r="F12675" s="1">
        <v>45204</v>
      </c>
      <c r="G12675" t="str">
        <f>"89180"</f>
        <v>89180</v>
      </c>
      <c r="H12675">
        <v>2</v>
      </c>
      <c r="I12675">
        <v>762</v>
      </c>
      <c r="J12675">
        <v>0</v>
      </c>
      <c r="K12675" t="str">
        <f t="shared" si="2283"/>
        <v>809</v>
      </c>
      <c r="L12675">
        <v>1120.1400000000001</v>
      </c>
    </row>
    <row r="12676" spans="1:12" x14ac:dyDescent="0.25">
      <c r="A12676" t="str">
        <f t="shared" si="2284"/>
        <v>89301000</v>
      </c>
      <c r="B12676" t="str">
        <f t="shared" si="2281"/>
        <v>89383000</v>
      </c>
      <c r="C12676" t="str">
        <f t="shared" si="2282"/>
        <v>89383002</v>
      </c>
      <c r="D12676">
        <v>89301212</v>
      </c>
      <c r="E12676" t="str">
        <f>"8751085783"</f>
        <v>8751085783</v>
      </c>
      <c r="F12676" s="1">
        <v>45204</v>
      </c>
      <c r="G12676" t="str">
        <f>"89512"</f>
        <v>89512</v>
      </c>
      <c r="H12676">
        <v>1</v>
      </c>
      <c r="I12676">
        <v>283</v>
      </c>
      <c r="J12676">
        <v>0</v>
      </c>
      <c r="K12676" t="str">
        <f t="shared" si="2283"/>
        <v>809</v>
      </c>
      <c r="L12676">
        <v>416.01</v>
      </c>
    </row>
    <row r="12677" spans="1:12" x14ac:dyDescent="0.25">
      <c r="A12677" t="str">
        <f t="shared" si="2284"/>
        <v>89301000</v>
      </c>
      <c r="B12677" t="str">
        <f t="shared" si="2281"/>
        <v>89383000</v>
      </c>
      <c r="C12677" t="str">
        <f t="shared" si="2282"/>
        <v>89383002</v>
      </c>
      <c r="D12677">
        <v>89301212</v>
      </c>
      <c r="E12677" t="str">
        <f>"8751085783"</f>
        <v>8751085783</v>
      </c>
      <c r="F12677" s="1">
        <v>45204</v>
      </c>
      <c r="G12677" t="str">
        <f>"89513"</f>
        <v>89513</v>
      </c>
      <c r="H12677">
        <v>1</v>
      </c>
      <c r="I12677">
        <v>378</v>
      </c>
      <c r="J12677">
        <v>0</v>
      </c>
      <c r="K12677" t="str">
        <f t="shared" si="2283"/>
        <v>809</v>
      </c>
      <c r="L12677">
        <v>555.66</v>
      </c>
    </row>
    <row r="12678" spans="1:12" x14ac:dyDescent="0.25">
      <c r="A12678" t="str">
        <f t="shared" si="2284"/>
        <v>89301000</v>
      </c>
      <c r="B12678" t="str">
        <f t="shared" si="2281"/>
        <v>89383000</v>
      </c>
      <c r="C12678" t="str">
        <f t="shared" si="2282"/>
        <v>89383002</v>
      </c>
      <c r="D12678">
        <v>89301212</v>
      </c>
      <c r="E12678" t="str">
        <f>"8751085783"</f>
        <v>8751085783</v>
      </c>
      <c r="F12678" s="1">
        <v>45204</v>
      </c>
      <c r="G12678" t="str">
        <f>"89514"</f>
        <v>89514</v>
      </c>
      <c r="H12678">
        <v>1</v>
      </c>
      <c r="I12678">
        <v>378</v>
      </c>
      <c r="J12678">
        <v>0</v>
      </c>
      <c r="K12678" t="str">
        <f t="shared" si="2283"/>
        <v>809</v>
      </c>
      <c r="L12678">
        <v>555.66</v>
      </c>
    </row>
    <row r="12679" spans="1:12" x14ac:dyDescent="0.25">
      <c r="A12679" t="str">
        <f t="shared" si="2284"/>
        <v>89301000</v>
      </c>
      <c r="B12679" t="str">
        <f t="shared" si="2281"/>
        <v>89383000</v>
      </c>
      <c r="C12679" t="str">
        <f t="shared" si="2282"/>
        <v>89383002</v>
      </c>
      <c r="D12679">
        <v>89301212</v>
      </c>
      <c r="E12679" t="str">
        <f>"7153195313"</f>
        <v>7153195313</v>
      </c>
      <c r="F12679" s="1">
        <v>45205</v>
      </c>
      <c r="G12679" t="str">
        <f>"89513"</f>
        <v>89513</v>
      </c>
      <c r="H12679">
        <v>1</v>
      </c>
      <c r="I12679">
        <v>378</v>
      </c>
      <c r="J12679">
        <v>0</v>
      </c>
      <c r="K12679" t="str">
        <f t="shared" si="2283"/>
        <v>809</v>
      </c>
      <c r="L12679">
        <v>555.66</v>
      </c>
    </row>
    <row r="12680" spans="1:12" x14ac:dyDescent="0.25">
      <c r="A12680" t="str">
        <f t="shared" si="2284"/>
        <v>89301000</v>
      </c>
      <c r="B12680" t="str">
        <f t="shared" si="2281"/>
        <v>89383000</v>
      </c>
      <c r="C12680" t="str">
        <f t="shared" si="2282"/>
        <v>89383002</v>
      </c>
      <c r="D12680">
        <v>89301212</v>
      </c>
      <c r="E12680" t="str">
        <f>"7153195313"</f>
        <v>7153195313</v>
      </c>
      <c r="F12680" s="1">
        <v>45205</v>
      </c>
      <c r="G12680" t="str">
        <f>"89514"</f>
        <v>89514</v>
      </c>
      <c r="H12680">
        <v>1</v>
      </c>
      <c r="I12680">
        <v>378</v>
      </c>
      <c r="J12680">
        <v>0</v>
      </c>
      <c r="K12680" t="str">
        <f t="shared" si="2283"/>
        <v>809</v>
      </c>
      <c r="L12680">
        <v>555.66</v>
      </c>
    </row>
    <row r="12681" spans="1:12" x14ac:dyDescent="0.25">
      <c r="A12681" t="str">
        <f t="shared" si="2284"/>
        <v>89301000</v>
      </c>
      <c r="B12681" t="str">
        <f t="shared" si="2281"/>
        <v>89383000</v>
      </c>
      <c r="C12681" t="str">
        <f t="shared" si="2282"/>
        <v>89383002</v>
      </c>
      <c r="D12681">
        <v>89301212</v>
      </c>
      <c r="E12681" t="str">
        <f>"7351229908"</f>
        <v>7351229908</v>
      </c>
      <c r="F12681" s="1">
        <v>45208</v>
      </c>
      <c r="G12681" t="str">
        <f>"89513"</f>
        <v>89513</v>
      </c>
      <c r="H12681">
        <v>1</v>
      </c>
      <c r="I12681">
        <v>378</v>
      </c>
      <c r="J12681">
        <v>0</v>
      </c>
      <c r="K12681" t="str">
        <f t="shared" si="2283"/>
        <v>809</v>
      </c>
      <c r="L12681">
        <v>555.66</v>
      </c>
    </row>
    <row r="12682" spans="1:12" x14ac:dyDescent="0.25">
      <c r="A12682" t="str">
        <f t="shared" si="2284"/>
        <v>89301000</v>
      </c>
      <c r="B12682" t="str">
        <f t="shared" si="2281"/>
        <v>89383000</v>
      </c>
      <c r="C12682" t="str">
        <f t="shared" si="2282"/>
        <v>89383002</v>
      </c>
      <c r="D12682">
        <v>89301212</v>
      </c>
      <c r="E12682" t="str">
        <f>"7351229908"</f>
        <v>7351229908</v>
      </c>
      <c r="F12682" s="1">
        <v>45208</v>
      </c>
      <c r="G12682" t="str">
        <f>"89514"</f>
        <v>89514</v>
      </c>
      <c r="H12682">
        <v>1</v>
      </c>
      <c r="I12682">
        <v>378</v>
      </c>
      <c r="J12682">
        <v>0</v>
      </c>
      <c r="K12682" t="str">
        <f t="shared" si="2283"/>
        <v>809</v>
      </c>
      <c r="L12682">
        <v>555.66</v>
      </c>
    </row>
    <row r="12683" spans="1:12" x14ac:dyDescent="0.25">
      <c r="A12683" t="str">
        <f t="shared" si="2284"/>
        <v>89301000</v>
      </c>
      <c r="B12683" t="str">
        <f t="shared" si="2281"/>
        <v>89383000</v>
      </c>
      <c r="C12683" t="str">
        <f t="shared" si="2282"/>
        <v>89383002</v>
      </c>
      <c r="D12683">
        <v>89301045</v>
      </c>
      <c r="E12683" t="str">
        <f>"7356275344"</f>
        <v>7356275344</v>
      </c>
      <c r="F12683" s="1">
        <v>45208</v>
      </c>
      <c r="G12683" t="str">
        <f>"89513"</f>
        <v>89513</v>
      </c>
      <c r="H12683">
        <v>1</v>
      </c>
      <c r="I12683">
        <v>378</v>
      </c>
      <c r="J12683">
        <v>0</v>
      </c>
      <c r="K12683" t="str">
        <f t="shared" si="2283"/>
        <v>809</v>
      </c>
      <c r="L12683">
        <v>555.66</v>
      </c>
    </row>
    <row r="12684" spans="1:12" x14ac:dyDescent="0.25">
      <c r="A12684" t="str">
        <f t="shared" si="2284"/>
        <v>89301000</v>
      </c>
      <c r="B12684" t="str">
        <f t="shared" si="2281"/>
        <v>89383000</v>
      </c>
      <c r="C12684" t="str">
        <f t="shared" si="2282"/>
        <v>89383002</v>
      </c>
      <c r="D12684">
        <v>89301045</v>
      </c>
      <c r="E12684" t="str">
        <f>"7356275344"</f>
        <v>7356275344</v>
      </c>
      <c r="F12684" s="1">
        <v>45208</v>
      </c>
      <c r="G12684" t="str">
        <f>"89514"</f>
        <v>89514</v>
      </c>
      <c r="H12684">
        <v>1</v>
      </c>
      <c r="I12684">
        <v>378</v>
      </c>
      <c r="J12684">
        <v>0</v>
      </c>
      <c r="K12684" t="str">
        <f t="shared" si="2283"/>
        <v>809</v>
      </c>
      <c r="L12684">
        <v>555.66</v>
      </c>
    </row>
    <row r="12685" spans="1:12" x14ac:dyDescent="0.25">
      <c r="A12685" t="str">
        <f t="shared" si="2284"/>
        <v>89301000</v>
      </c>
      <c r="B12685" t="str">
        <f t="shared" si="2281"/>
        <v>89383000</v>
      </c>
      <c r="C12685" t="str">
        <f t="shared" si="2282"/>
        <v>89383002</v>
      </c>
      <c r="D12685">
        <v>89301045</v>
      </c>
      <c r="E12685" t="str">
        <f>"7356275344"</f>
        <v>7356275344</v>
      </c>
      <c r="F12685" s="1">
        <v>45208</v>
      </c>
      <c r="G12685" t="str">
        <f>"89512"</f>
        <v>89512</v>
      </c>
      <c r="H12685">
        <v>1</v>
      </c>
      <c r="I12685">
        <v>283</v>
      </c>
      <c r="J12685">
        <v>0</v>
      </c>
      <c r="K12685" t="str">
        <f t="shared" si="2283"/>
        <v>809</v>
      </c>
      <c r="L12685">
        <v>416.01</v>
      </c>
    </row>
    <row r="12686" spans="1:12" x14ac:dyDescent="0.25">
      <c r="A12686" t="str">
        <f t="shared" si="2284"/>
        <v>89301000</v>
      </c>
      <c r="B12686" t="str">
        <f t="shared" si="2281"/>
        <v>89383000</v>
      </c>
      <c r="C12686" t="str">
        <f t="shared" si="2282"/>
        <v>89383002</v>
      </c>
      <c r="D12686">
        <v>89301212</v>
      </c>
      <c r="E12686" t="str">
        <f>"8455194858"</f>
        <v>8455194858</v>
      </c>
      <c r="F12686" s="1">
        <v>45209</v>
      </c>
      <c r="G12686" t="str">
        <f>"89512"</f>
        <v>89512</v>
      </c>
      <c r="H12686">
        <v>1</v>
      </c>
      <c r="I12686">
        <v>283</v>
      </c>
      <c r="J12686">
        <v>0</v>
      </c>
      <c r="K12686" t="str">
        <f t="shared" si="2283"/>
        <v>809</v>
      </c>
      <c r="L12686">
        <v>416.01</v>
      </c>
    </row>
    <row r="12687" spans="1:12" x14ac:dyDescent="0.25">
      <c r="A12687" t="str">
        <f t="shared" si="2284"/>
        <v>89301000</v>
      </c>
      <c r="B12687" t="str">
        <f t="shared" si="2281"/>
        <v>89383000</v>
      </c>
      <c r="C12687" t="str">
        <f t="shared" si="2282"/>
        <v>89383002</v>
      </c>
      <c r="D12687">
        <v>89301212</v>
      </c>
      <c r="E12687" t="str">
        <f>"6354061296"</f>
        <v>6354061296</v>
      </c>
      <c r="F12687" s="1">
        <v>45209</v>
      </c>
      <c r="G12687" t="str">
        <f>"89513"</f>
        <v>89513</v>
      </c>
      <c r="H12687">
        <v>1</v>
      </c>
      <c r="I12687">
        <v>378</v>
      </c>
      <c r="J12687">
        <v>0</v>
      </c>
      <c r="K12687" t="str">
        <f t="shared" si="2283"/>
        <v>809</v>
      </c>
      <c r="L12687">
        <v>555.66</v>
      </c>
    </row>
    <row r="12688" spans="1:12" x14ac:dyDescent="0.25">
      <c r="A12688" t="str">
        <f t="shared" si="2284"/>
        <v>89301000</v>
      </c>
      <c r="B12688" t="str">
        <f t="shared" si="2281"/>
        <v>89383000</v>
      </c>
      <c r="C12688" t="str">
        <f t="shared" si="2282"/>
        <v>89383002</v>
      </c>
      <c r="D12688">
        <v>89301212</v>
      </c>
      <c r="E12688" t="str">
        <f>"6354061296"</f>
        <v>6354061296</v>
      </c>
      <c r="F12688" s="1">
        <v>45209</v>
      </c>
      <c r="G12688" t="str">
        <f>"89514"</f>
        <v>89514</v>
      </c>
      <c r="H12688">
        <v>1</v>
      </c>
      <c r="I12688">
        <v>378</v>
      </c>
      <c r="J12688">
        <v>0</v>
      </c>
      <c r="K12688" t="str">
        <f t="shared" si="2283"/>
        <v>809</v>
      </c>
      <c r="L12688">
        <v>555.66</v>
      </c>
    </row>
    <row r="12689" spans="1:12" x14ac:dyDescent="0.25">
      <c r="A12689" t="str">
        <f t="shared" si="2284"/>
        <v>89301000</v>
      </c>
      <c r="B12689" t="str">
        <f t="shared" si="2281"/>
        <v>89383000</v>
      </c>
      <c r="C12689" t="str">
        <f t="shared" si="2282"/>
        <v>89383002</v>
      </c>
      <c r="D12689">
        <v>89301212</v>
      </c>
      <c r="E12689" t="str">
        <f>"6354061296"</f>
        <v>6354061296</v>
      </c>
      <c r="F12689" s="1">
        <v>45209</v>
      </c>
      <c r="G12689" t="str">
        <f>"89512"</f>
        <v>89512</v>
      </c>
      <c r="H12689">
        <v>1</v>
      </c>
      <c r="I12689">
        <v>283</v>
      </c>
      <c r="J12689">
        <v>0</v>
      </c>
      <c r="K12689" t="str">
        <f t="shared" si="2283"/>
        <v>809</v>
      </c>
      <c r="L12689">
        <v>416.01</v>
      </c>
    </row>
    <row r="12690" spans="1:12" x14ac:dyDescent="0.25">
      <c r="A12690" t="str">
        <f t="shared" si="2284"/>
        <v>89301000</v>
      </c>
      <c r="B12690" t="str">
        <f t="shared" si="2281"/>
        <v>89383000</v>
      </c>
      <c r="C12690" t="str">
        <f t="shared" si="2282"/>
        <v>89383002</v>
      </c>
      <c r="D12690">
        <v>89301212</v>
      </c>
      <c r="E12690" t="str">
        <f>"6354061296"</f>
        <v>6354061296</v>
      </c>
      <c r="F12690" s="1">
        <v>45209</v>
      </c>
      <c r="G12690" t="str">
        <f>"89180"</f>
        <v>89180</v>
      </c>
      <c r="H12690">
        <v>2</v>
      </c>
      <c r="I12690">
        <v>762</v>
      </c>
      <c r="J12690">
        <v>0</v>
      </c>
      <c r="K12690" t="str">
        <f t="shared" si="2283"/>
        <v>809</v>
      </c>
      <c r="L12690">
        <v>1120.1400000000001</v>
      </c>
    </row>
    <row r="12691" spans="1:12" x14ac:dyDescent="0.25">
      <c r="A12691" t="str">
        <f t="shared" si="2284"/>
        <v>89301000</v>
      </c>
      <c r="B12691" t="str">
        <f t="shared" si="2281"/>
        <v>89383000</v>
      </c>
      <c r="C12691" t="str">
        <f t="shared" si="2282"/>
        <v>89383002</v>
      </c>
      <c r="D12691">
        <v>89301212</v>
      </c>
      <c r="E12691" t="str">
        <f>"6856010557"</f>
        <v>6856010557</v>
      </c>
      <c r="F12691" s="1">
        <v>45209</v>
      </c>
      <c r="G12691" t="str">
        <f>"89180"</f>
        <v>89180</v>
      </c>
      <c r="H12691">
        <v>2</v>
      </c>
      <c r="I12691">
        <v>762</v>
      </c>
      <c r="J12691">
        <v>0</v>
      </c>
      <c r="K12691" t="str">
        <f t="shared" si="2283"/>
        <v>809</v>
      </c>
      <c r="L12691">
        <v>1120.1400000000001</v>
      </c>
    </row>
    <row r="12692" spans="1:12" x14ac:dyDescent="0.25">
      <c r="A12692" t="str">
        <f t="shared" si="2284"/>
        <v>89301000</v>
      </c>
      <c r="B12692" t="str">
        <f t="shared" si="2281"/>
        <v>89383000</v>
      </c>
      <c r="C12692" t="str">
        <f t="shared" si="2282"/>
        <v>89383002</v>
      </c>
      <c r="D12692">
        <v>89301212</v>
      </c>
      <c r="E12692" t="str">
        <f>"6560240984"</f>
        <v>6560240984</v>
      </c>
      <c r="F12692" s="1">
        <v>45211</v>
      </c>
      <c r="G12692" t="str">
        <f>"89180"</f>
        <v>89180</v>
      </c>
      <c r="H12692">
        <v>2</v>
      </c>
      <c r="I12692">
        <v>762</v>
      </c>
      <c r="J12692">
        <v>0</v>
      </c>
      <c r="K12692" t="str">
        <f t="shared" si="2283"/>
        <v>809</v>
      </c>
      <c r="L12692">
        <v>1120.1400000000001</v>
      </c>
    </row>
    <row r="12693" spans="1:12" x14ac:dyDescent="0.25">
      <c r="A12693" t="str">
        <f t="shared" si="2284"/>
        <v>89301000</v>
      </c>
      <c r="B12693" t="str">
        <f t="shared" si="2281"/>
        <v>89383000</v>
      </c>
      <c r="C12693" t="str">
        <f t="shared" si="2282"/>
        <v>89383002</v>
      </c>
      <c r="D12693">
        <v>89301212</v>
      </c>
      <c r="E12693" t="str">
        <f>"6560240984"</f>
        <v>6560240984</v>
      </c>
      <c r="F12693" s="1">
        <v>45211</v>
      </c>
      <c r="G12693" t="str">
        <f>"89512"</f>
        <v>89512</v>
      </c>
      <c r="H12693">
        <v>1</v>
      </c>
      <c r="I12693">
        <v>283</v>
      </c>
      <c r="J12693">
        <v>0</v>
      </c>
      <c r="K12693" t="str">
        <f t="shared" si="2283"/>
        <v>809</v>
      </c>
      <c r="L12693">
        <v>416.01</v>
      </c>
    </row>
    <row r="12694" spans="1:12" x14ac:dyDescent="0.25">
      <c r="A12694" t="str">
        <f t="shared" si="2284"/>
        <v>89301000</v>
      </c>
      <c r="B12694" t="str">
        <f t="shared" si="2281"/>
        <v>89383000</v>
      </c>
      <c r="C12694" t="str">
        <f t="shared" si="2282"/>
        <v>89383002</v>
      </c>
      <c r="D12694">
        <v>89301212</v>
      </c>
      <c r="E12694" t="str">
        <f>"6560240984"</f>
        <v>6560240984</v>
      </c>
      <c r="F12694" s="1">
        <v>45211</v>
      </c>
      <c r="G12694" t="str">
        <f>"89513"</f>
        <v>89513</v>
      </c>
      <c r="H12694">
        <v>1</v>
      </c>
      <c r="I12694">
        <v>378</v>
      </c>
      <c r="J12694">
        <v>0</v>
      </c>
      <c r="K12694" t="str">
        <f t="shared" si="2283"/>
        <v>809</v>
      </c>
      <c r="L12694">
        <v>555.66</v>
      </c>
    </row>
    <row r="12695" spans="1:12" x14ac:dyDescent="0.25">
      <c r="A12695" t="str">
        <f t="shared" si="2284"/>
        <v>89301000</v>
      </c>
      <c r="B12695" t="str">
        <f t="shared" si="2281"/>
        <v>89383000</v>
      </c>
      <c r="C12695" t="str">
        <f t="shared" si="2282"/>
        <v>89383002</v>
      </c>
      <c r="D12695">
        <v>89301212</v>
      </c>
      <c r="E12695" t="str">
        <f>"6560240984"</f>
        <v>6560240984</v>
      </c>
      <c r="F12695" s="1">
        <v>45211</v>
      </c>
      <c r="G12695" t="str">
        <f>"89514"</f>
        <v>89514</v>
      </c>
      <c r="H12695">
        <v>1</v>
      </c>
      <c r="I12695">
        <v>378</v>
      </c>
      <c r="J12695">
        <v>0</v>
      </c>
      <c r="K12695" t="str">
        <f t="shared" si="2283"/>
        <v>809</v>
      </c>
      <c r="L12695">
        <v>555.66</v>
      </c>
    </row>
    <row r="12696" spans="1:12" x14ac:dyDescent="0.25">
      <c r="A12696" t="str">
        <f t="shared" si="2284"/>
        <v>89301000</v>
      </c>
      <c r="B12696" t="str">
        <f t="shared" si="2281"/>
        <v>89383000</v>
      </c>
      <c r="C12696" t="str">
        <f t="shared" si="2282"/>
        <v>89383002</v>
      </c>
      <c r="D12696">
        <v>89301212</v>
      </c>
      <c r="E12696" t="str">
        <f>"7855023616"</f>
        <v>7855023616</v>
      </c>
      <c r="F12696" s="1">
        <v>45211</v>
      </c>
      <c r="G12696" t="str">
        <f>"89512"</f>
        <v>89512</v>
      </c>
      <c r="H12696">
        <v>1</v>
      </c>
      <c r="I12696">
        <v>283</v>
      </c>
      <c r="J12696">
        <v>0</v>
      </c>
      <c r="K12696" t="str">
        <f t="shared" si="2283"/>
        <v>809</v>
      </c>
      <c r="L12696">
        <v>416.01</v>
      </c>
    </row>
    <row r="12697" spans="1:12" x14ac:dyDescent="0.25">
      <c r="A12697" t="str">
        <f t="shared" si="2284"/>
        <v>89301000</v>
      </c>
      <c r="B12697" t="str">
        <f t="shared" si="2281"/>
        <v>89383000</v>
      </c>
      <c r="C12697" t="str">
        <f t="shared" si="2282"/>
        <v>89383002</v>
      </c>
      <c r="D12697">
        <v>89301212</v>
      </c>
      <c r="E12697" t="str">
        <f>"7057175334"</f>
        <v>7057175334</v>
      </c>
      <c r="F12697" s="1">
        <v>45211</v>
      </c>
      <c r="G12697" t="str">
        <f>"89513"</f>
        <v>89513</v>
      </c>
      <c r="H12697">
        <v>1</v>
      </c>
      <c r="I12697">
        <v>378</v>
      </c>
      <c r="J12697">
        <v>0</v>
      </c>
      <c r="K12697" t="str">
        <f t="shared" si="2283"/>
        <v>809</v>
      </c>
      <c r="L12697">
        <v>555.66</v>
      </c>
    </row>
    <row r="12698" spans="1:12" x14ac:dyDescent="0.25">
      <c r="A12698" t="str">
        <f t="shared" si="2284"/>
        <v>89301000</v>
      </c>
      <c r="B12698" t="str">
        <f t="shared" si="2281"/>
        <v>89383000</v>
      </c>
      <c r="C12698" t="str">
        <f t="shared" si="2282"/>
        <v>89383002</v>
      </c>
      <c r="D12698">
        <v>89301212</v>
      </c>
      <c r="E12698" t="str">
        <f>"7057175334"</f>
        <v>7057175334</v>
      </c>
      <c r="F12698" s="1">
        <v>45211</v>
      </c>
      <c r="G12698" t="str">
        <f>"89514"</f>
        <v>89514</v>
      </c>
      <c r="H12698">
        <v>1</v>
      </c>
      <c r="I12698">
        <v>378</v>
      </c>
      <c r="J12698">
        <v>0</v>
      </c>
      <c r="K12698" t="str">
        <f t="shared" si="2283"/>
        <v>809</v>
      </c>
      <c r="L12698">
        <v>555.66</v>
      </c>
    </row>
    <row r="12699" spans="1:12" x14ac:dyDescent="0.25">
      <c r="A12699" t="str">
        <f t="shared" si="2284"/>
        <v>89301000</v>
      </c>
      <c r="B12699" t="str">
        <f t="shared" si="2281"/>
        <v>89383000</v>
      </c>
      <c r="C12699" t="str">
        <f t="shared" si="2282"/>
        <v>89383002</v>
      </c>
      <c r="D12699">
        <v>89301212</v>
      </c>
      <c r="E12699" t="str">
        <f>"5955061222"</f>
        <v>5955061222</v>
      </c>
      <c r="F12699" s="1">
        <v>45211</v>
      </c>
      <c r="G12699" t="str">
        <f>"89513"</f>
        <v>89513</v>
      </c>
      <c r="H12699">
        <v>1</v>
      </c>
      <c r="I12699">
        <v>378</v>
      </c>
      <c r="J12699">
        <v>0</v>
      </c>
      <c r="K12699" t="str">
        <f t="shared" si="2283"/>
        <v>809</v>
      </c>
      <c r="L12699">
        <v>555.66</v>
      </c>
    </row>
    <row r="12700" spans="1:12" x14ac:dyDescent="0.25">
      <c r="A12700" t="str">
        <f t="shared" si="2284"/>
        <v>89301000</v>
      </c>
      <c r="B12700" t="str">
        <f t="shared" si="2281"/>
        <v>89383000</v>
      </c>
      <c r="C12700" t="str">
        <f t="shared" si="2282"/>
        <v>89383002</v>
      </c>
      <c r="D12700">
        <v>89301212</v>
      </c>
      <c r="E12700" t="str">
        <f>"5955061222"</f>
        <v>5955061222</v>
      </c>
      <c r="F12700" s="1">
        <v>45211</v>
      </c>
      <c r="G12700" t="str">
        <f>"89514"</f>
        <v>89514</v>
      </c>
      <c r="H12700">
        <v>1</v>
      </c>
      <c r="I12700">
        <v>378</v>
      </c>
      <c r="J12700">
        <v>0</v>
      </c>
      <c r="K12700" t="str">
        <f t="shared" si="2283"/>
        <v>809</v>
      </c>
      <c r="L12700">
        <v>555.66</v>
      </c>
    </row>
    <row r="12701" spans="1:12" x14ac:dyDescent="0.25">
      <c r="A12701" t="str">
        <f t="shared" si="2284"/>
        <v>89301000</v>
      </c>
      <c r="B12701" t="str">
        <f t="shared" ref="B12701:B12732" si="2285">"89383000"</f>
        <v>89383000</v>
      </c>
      <c r="C12701" t="str">
        <f t="shared" ref="C12701:C12732" si="2286">"89383002"</f>
        <v>89383002</v>
      </c>
      <c r="D12701">
        <v>89301212</v>
      </c>
      <c r="E12701" t="str">
        <f>"6454241629"</f>
        <v>6454241629</v>
      </c>
      <c r="F12701" s="1">
        <v>45212</v>
      </c>
      <c r="G12701" t="str">
        <f>"89513"</f>
        <v>89513</v>
      </c>
      <c r="H12701">
        <v>1</v>
      </c>
      <c r="I12701">
        <v>378</v>
      </c>
      <c r="J12701">
        <v>0</v>
      </c>
      <c r="K12701" t="str">
        <f t="shared" ref="K12701:K12732" si="2287">"809"</f>
        <v>809</v>
      </c>
      <c r="L12701">
        <v>555.66</v>
      </c>
    </row>
    <row r="12702" spans="1:12" x14ac:dyDescent="0.25">
      <c r="A12702" t="str">
        <f t="shared" si="2284"/>
        <v>89301000</v>
      </c>
      <c r="B12702" t="str">
        <f t="shared" si="2285"/>
        <v>89383000</v>
      </c>
      <c r="C12702" t="str">
        <f t="shared" si="2286"/>
        <v>89383002</v>
      </c>
      <c r="D12702">
        <v>89301212</v>
      </c>
      <c r="E12702" t="str">
        <f>"6454241629"</f>
        <v>6454241629</v>
      </c>
      <c r="F12702" s="1">
        <v>45212</v>
      </c>
      <c r="G12702" t="str">
        <f>"89514"</f>
        <v>89514</v>
      </c>
      <c r="H12702">
        <v>1</v>
      </c>
      <c r="I12702">
        <v>378</v>
      </c>
      <c r="J12702">
        <v>0</v>
      </c>
      <c r="K12702" t="str">
        <f t="shared" si="2287"/>
        <v>809</v>
      </c>
      <c r="L12702">
        <v>555.66</v>
      </c>
    </row>
    <row r="12703" spans="1:12" x14ac:dyDescent="0.25">
      <c r="A12703" t="str">
        <f t="shared" si="2284"/>
        <v>89301000</v>
      </c>
      <c r="B12703" t="str">
        <f t="shared" si="2285"/>
        <v>89383000</v>
      </c>
      <c r="C12703" t="str">
        <f t="shared" si="2286"/>
        <v>89383002</v>
      </c>
      <c r="D12703">
        <v>89301212</v>
      </c>
      <c r="E12703" t="str">
        <f>"6857250807"</f>
        <v>6857250807</v>
      </c>
      <c r="F12703" s="1">
        <v>45212</v>
      </c>
      <c r="G12703" t="str">
        <f>"89180"</f>
        <v>89180</v>
      </c>
      <c r="H12703">
        <v>2</v>
      </c>
      <c r="I12703">
        <v>762</v>
      </c>
      <c r="J12703">
        <v>0</v>
      </c>
      <c r="K12703" t="str">
        <f t="shared" si="2287"/>
        <v>809</v>
      </c>
      <c r="L12703">
        <v>1120.1400000000001</v>
      </c>
    </row>
    <row r="12704" spans="1:12" x14ac:dyDescent="0.25">
      <c r="A12704" t="str">
        <f t="shared" si="2284"/>
        <v>89301000</v>
      </c>
      <c r="B12704" t="str">
        <f t="shared" si="2285"/>
        <v>89383000</v>
      </c>
      <c r="C12704" t="str">
        <f t="shared" si="2286"/>
        <v>89383002</v>
      </c>
      <c r="D12704">
        <v>89301212</v>
      </c>
      <c r="E12704" t="str">
        <f>"6857250807"</f>
        <v>6857250807</v>
      </c>
      <c r="F12704" s="1">
        <v>45212</v>
      </c>
      <c r="G12704" t="str">
        <f>"89512"</f>
        <v>89512</v>
      </c>
      <c r="H12704">
        <v>1</v>
      </c>
      <c r="I12704">
        <v>283</v>
      </c>
      <c r="J12704">
        <v>0</v>
      </c>
      <c r="K12704" t="str">
        <f t="shared" si="2287"/>
        <v>809</v>
      </c>
      <c r="L12704">
        <v>416.01</v>
      </c>
    </row>
    <row r="12705" spans="1:12" x14ac:dyDescent="0.25">
      <c r="A12705" t="str">
        <f t="shared" si="2284"/>
        <v>89301000</v>
      </c>
      <c r="B12705" t="str">
        <f t="shared" si="2285"/>
        <v>89383000</v>
      </c>
      <c r="C12705" t="str">
        <f t="shared" si="2286"/>
        <v>89383002</v>
      </c>
      <c r="D12705">
        <v>89301212</v>
      </c>
      <c r="E12705" t="str">
        <f>"5751090103"</f>
        <v>5751090103</v>
      </c>
      <c r="F12705" s="1">
        <v>45212</v>
      </c>
      <c r="G12705" t="str">
        <f>"89180"</f>
        <v>89180</v>
      </c>
      <c r="H12705">
        <v>2</v>
      </c>
      <c r="I12705">
        <v>762</v>
      </c>
      <c r="J12705">
        <v>0</v>
      </c>
      <c r="K12705" t="str">
        <f t="shared" si="2287"/>
        <v>809</v>
      </c>
      <c r="L12705">
        <v>1120.1400000000001</v>
      </c>
    </row>
    <row r="12706" spans="1:12" x14ac:dyDescent="0.25">
      <c r="A12706" t="str">
        <f t="shared" si="2284"/>
        <v>89301000</v>
      </c>
      <c r="B12706" t="str">
        <f t="shared" si="2285"/>
        <v>89383000</v>
      </c>
      <c r="C12706" t="str">
        <f t="shared" si="2286"/>
        <v>89383002</v>
      </c>
      <c r="D12706">
        <v>89301212</v>
      </c>
      <c r="E12706" t="str">
        <f>"5751090103"</f>
        <v>5751090103</v>
      </c>
      <c r="F12706" s="1">
        <v>45212</v>
      </c>
      <c r="G12706" t="str">
        <f>"89512"</f>
        <v>89512</v>
      </c>
      <c r="H12706">
        <v>1</v>
      </c>
      <c r="I12706">
        <v>283</v>
      </c>
      <c r="J12706">
        <v>0</v>
      </c>
      <c r="K12706" t="str">
        <f t="shared" si="2287"/>
        <v>809</v>
      </c>
      <c r="L12706">
        <v>416.01</v>
      </c>
    </row>
    <row r="12707" spans="1:12" x14ac:dyDescent="0.25">
      <c r="A12707" t="str">
        <f t="shared" si="2284"/>
        <v>89301000</v>
      </c>
      <c r="B12707" t="str">
        <f t="shared" si="2285"/>
        <v>89383000</v>
      </c>
      <c r="C12707" t="str">
        <f t="shared" si="2286"/>
        <v>89383002</v>
      </c>
      <c r="D12707">
        <v>89301212</v>
      </c>
      <c r="E12707" t="str">
        <f>"5751090103"</f>
        <v>5751090103</v>
      </c>
      <c r="F12707" s="1">
        <v>45212</v>
      </c>
      <c r="G12707" t="str">
        <f>"89513"</f>
        <v>89513</v>
      </c>
      <c r="H12707">
        <v>1</v>
      </c>
      <c r="I12707">
        <v>378</v>
      </c>
      <c r="J12707">
        <v>0</v>
      </c>
      <c r="K12707" t="str">
        <f t="shared" si="2287"/>
        <v>809</v>
      </c>
      <c r="L12707">
        <v>555.66</v>
      </c>
    </row>
    <row r="12708" spans="1:12" x14ac:dyDescent="0.25">
      <c r="A12708" t="str">
        <f t="shared" si="2284"/>
        <v>89301000</v>
      </c>
      <c r="B12708" t="str">
        <f t="shared" si="2285"/>
        <v>89383000</v>
      </c>
      <c r="C12708" t="str">
        <f t="shared" si="2286"/>
        <v>89383002</v>
      </c>
      <c r="D12708">
        <v>89301212</v>
      </c>
      <c r="E12708" t="str">
        <f>"5751090103"</f>
        <v>5751090103</v>
      </c>
      <c r="F12708" s="1">
        <v>45212</v>
      </c>
      <c r="G12708" t="str">
        <f>"89514"</f>
        <v>89514</v>
      </c>
      <c r="H12708">
        <v>1</v>
      </c>
      <c r="I12708">
        <v>378</v>
      </c>
      <c r="J12708">
        <v>0</v>
      </c>
      <c r="K12708" t="str">
        <f t="shared" si="2287"/>
        <v>809</v>
      </c>
      <c r="L12708">
        <v>555.66</v>
      </c>
    </row>
    <row r="12709" spans="1:12" x14ac:dyDescent="0.25">
      <c r="A12709" t="str">
        <f t="shared" si="2284"/>
        <v>89301000</v>
      </c>
      <c r="B12709" t="str">
        <f t="shared" si="2285"/>
        <v>89383000</v>
      </c>
      <c r="C12709" t="str">
        <f t="shared" si="2286"/>
        <v>89383002</v>
      </c>
      <c r="D12709">
        <v>89301212</v>
      </c>
      <c r="E12709" t="str">
        <f>"8561305368"</f>
        <v>8561305368</v>
      </c>
      <c r="F12709" s="1">
        <v>45215</v>
      </c>
      <c r="G12709" t="str">
        <f>"89512"</f>
        <v>89512</v>
      </c>
      <c r="H12709">
        <v>1</v>
      </c>
      <c r="I12709">
        <v>283</v>
      </c>
      <c r="J12709">
        <v>0</v>
      </c>
      <c r="K12709" t="str">
        <f t="shared" si="2287"/>
        <v>809</v>
      </c>
      <c r="L12709">
        <v>416.01</v>
      </c>
    </row>
    <row r="12710" spans="1:12" x14ac:dyDescent="0.25">
      <c r="A12710" t="str">
        <f t="shared" si="2284"/>
        <v>89301000</v>
      </c>
      <c r="B12710" t="str">
        <f t="shared" si="2285"/>
        <v>89383000</v>
      </c>
      <c r="C12710" t="str">
        <f t="shared" si="2286"/>
        <v>89383002</v>
      </c>
      <c r="D12710">
        <v>89301045</v>
      </c>
      <c r="E12710" t="str">
        <f>"465909470"</f>
        <v>465909470</v>
      </c>
      <c r="F12710" s="1">
        <v>45215</v>
      </c>
      <c r="G12710" t="str">
        <f>"89512"</f>
        <v>89512</v>
      </c>
      <c r="H12710">
        <v>1</v>
      </c>
      <c r="I12710">
        <v>283</v>
      </c>
      <c r="J12710">
        <v>0</v>
      </c>
      <c r="K12710" t="str">
        <f t="shared" si="2287"/>
        <v>809</v>
      </c>
      <c r="L12710">
        <v>416.01</v>
      </c>
    </row>
    <row r="12711" spans="1:12" x14ac:dyDescent="0.25">
      <c r="A12711" t="str">
        <f t="shared" si="2284"/>
        <v>89301000</v>
      </c>
      <c r="B12711" t="str">
        <f t="shared" si="2285"/>
        <v>89383000</v>
      </c>
      <c r="C12711" t="str">
        <f t="shared" si="2286"/>
        <v>89383002</v>
      </c>
      <c r="D12711">
        <v>89301045</v>
      </c>
      <c r="E12711" t="str">
        <f>"465909470"</f>
        <v>465909470</v>
      </c>
      <c r="F12711" s="1">
        <v>45215</v>
      </c>
      <c r="G12711" t="str">
        <f>"89180"</f>
        <v>89180</v>
      </c>
      <c r="H12711">
        <v>2</v>
      </c>
      <c r="I12711">
        <v>762</v>
      </c>
      <c r="J12711">
        <v>0</v>
      </c>
      <c r="K12711" t="str">
        <f t="shared" si="2287"/>
        <v>809</v>
      </c>
      <c r="L12711">
        <v>1120.1400000000001</v>
      </c>
    </row>
    <row r="12712" spans="1:12" x14ac:dyDescent="0.25">
      <c r="A12712" t="str">
        <f t="shared" si="2284"/>
        <v>89301000</v>
      </c>
      <c r="B12712" t="str">
        <f t="shared" si="2285"/>
        <v>89383000</v>
      </c>
      <c r="C12712" t="str">
        <f t="shared" si="2286"/>
        <v>89383002</v>
      </c>
      <c r="D12712">
        <v>89301045</v>
      </c>
      <c r="E12712" t="str">
        <f>"465909470"</f>
        <v>465909470</v>
      </c>
      <c r="F12712" s="1">
        <v>45215</v>
      </c>
      <c r="G12712" t="str">
        <f>"89513"</f>
        <v>89513</v>
      </c>
      <c r="H12712">
        <v>1</v>
      </c>
      <c r="I12712">
        <v>378</v>
      </c>
      <c r="J12712">
        <v>0</v>
      </c>
      <c r="K12712" t="str">
        <f t="shared" si="2287"/>
        <v>809</v>
      </c>
      <c r="L12712">
        <v>555.66</v>
      </c>
    </row>
    <row r="12713" spans="1:12" x14ac:dyDescent="0.25">
      <c r="A12713" t="str">
        <f t="shared" si="2284"/>
        <v>89301000</v>
      </c>
      <c r="B12713" t="str">
        <f t="shared" si="2285"/>
        <v>89383000</v>
      </c>
      <c r="C12713" t="str">
        <f t="shared" si="2286"/>
        <v>89383002</v>
      </c>
      <c r="D12713">
        <v>89301045</v>
      </c>
      <c r="E12713" t="str">
        <f>"465909470"</f>
        <v>465909470</v>
      </c>
      <c r="F12713" s="1">
        <v>45215</v>
      </c>
      <c r="G12713" t="str">
        <f>"89514"</f>
        <v>89514</v>
      </c>
      <c r="H12713">
        <v>1</v>
      </c>
      <c r="I12713">
        <v>378</v>
      </c>
      <c r="J12713">
        <v>0</v>
      </c>
      <c r="K12713" t="str">
        <f t="shared" si="2287"/>
        <v>809</v>
      </c>
      <c r="L12713">
        <v>555.66</v>
      </c>
    </row>
    <row r="12714" spans="1:12" x14ac:dyDescent="0.25">
      <c r="A12714" t="str">
        <f t="shared" si="2284"/>
        <v>89301000</v>
      </c>
      <c r="B12714" t="str">
        <f t="shared" si="2285"/>
        <v>89383000</v>
      </c>
      <c r="C12714" t="str">
        <f t="shared" si="2286"/>
        <v>89383002</v>
      </c>
      <c r="D12714">
        <v>89301212</v>
      </c>
      <c r="E12714" t="str">
        <f>"6860140672"</f>
        <v>6860140672</v>
      </c>
      <c r="F12714" s="1">
        <v>45215</v>
      </c>
      <c r="G12714" t="str">
        <f>"89180"</f>
        <v>89180</v>
      </c>
      <c r="H12714">
        <v>2</v>
      </c>
      <c r="I12714">
        <v>762</v>
      </c>
      <c r="J12714">
        <v>0</v>
      </c>
      <c r="K12714" t="str">
        <f t="shared" si="2287"/>
        <v>809</v>
      </c>
      <c r="L12714">
        <v>1120.1400000000001</v>
      </c>
    </row>
    <row r="12715" spans="1:12" x14ac:dyDescent="0.25">
      <c r="A12715" t="str">
        <f t="shared" si="2284"/>
        <v>89301000</v>
      </c>
      <c r="B12715" t="str">
        <f t="shared" si="2285"/>
        <v>89383000</v>
      </c>
      <c r="C12715" t="str">
        <f t="shared" si="2286"/>
        <v>89383002</v>
      </c>
      <c r="D12715">
        <v>89301212</v>
      </c>
      <c r="E12715" t="str">
        <f>"6860140672"</f>
        <v>6860140672</v>
      </c>
      <c r="F12715" s="1">
        <v>45215</v>
      </c>
      <c r="G12715" t="str">
        <f>"89512"</f>
        <v>89512</v>
      </c>
      <c r="H12715">
        <v>1</v>
      </c>
      <c r="I12715">
        <v>283</v>
      </c>
      <c r="J12715">
        <v>0</v>
      </c>
      <c r="K12715" t="str">
        <f t="shared" si="2287"/>
        <v>809</v>
      </c>
      <c r="L12715">
        <v>416.01</v>
      </c>
    </row>
    <row r="12716" spans="1:12" x14ac:dyDescent="0.25">
      <c r="A12716" t="str">
        <f t="shared" si="2284"/>
        <v>89301000</v>
      </c>
      <c r="B12716" t="str">
        <f t="shared" si="2285"/>
        <v>89383000</v>
      </c>
      <c r="C12716" t="str">
        <f t="shared" si="2286"/>
        <v>89383002</v>
      </c>
      <c r="D12716">
        <v>89301215</v>
      </c>
      <c r="E12716" t="str">
        <f>"7859045326"</f>
        <v>7859045326</v>
      </c>
      <c r="F12716" s="1">
        <v>45215</v>
      </c>
      <c r="G12716" t="str">
        <f>"89513"</f>
        <v>89513</v>
      </c>
      <c r="H12716">
        <v>1</v>
      </c>
      <c r="I12716">
        <v>378</v>
      </c>
      <c r="J12716">
        <v>0</v>
      </c>
      <c r="K12716" t="str">
        <f t="shared" si="2287"/>
        <v>809</v>
      </c>
      <c r="L12716">
        <v>555.66</v>
      </c>
    </row>
    <row r="12717" spans="1:12" x14ac:dyDescent="0.25">
      <c r="A12717" t="str">
        <f t="shared" si="2284"/>
        <v>89301000</v>
      </c>
      <c r="B12717" t="str">
        <f t="shared" si="2285"/>
        <v>89383000</v>
      </c>
      <c r="C12717" t="str">
        <f t="shared" si="2286"/>
        <v>89383002</v>
      </c>
      <c r="D12717">
        <v>89301215</v>
      </c>
      <c r="E12717" t="str">
        <f>"7859045326"</f>
        <v>7859045326</v>
      </c>
      <c r="F12717" s="1">
        <v>45215</v>
      </c>
      <c r="G12717" t="str">
        <f>"89514"</f>
        <v>89514</v>
      </c>
      <c r="H12717">
        <v>1</v>
      </c>
      <c r="I12717">
        <v>378</v>
      </c>
      <c r="J12717">
        <v>0</v>
      </c>
      <c r="K12717" t="str">
        <f t="shared" si="2287"/>
        <v>809</v>
      </c>
      <c r="L12717">
        <v>555.66</v>
      </c>
    </row>
    <row r="12718" spans="1:12" x14ac:dyDescent="0.25">
      <c r="A12718" t="str">
        <f t="shared" si="2284"/>
        <v>89301000</v>
      </c>
      <c r="B12718" t="str">
        <f t="shared" si="2285"/>
        <v>89383000</v>
      </c>
      <c r="C12718" t="str">
        <f t="shared" si="2286"/>
        <v>89383002</v>
      </c>
      <c r="D12718">
        <v>89301215</v>
      </c>
      <c r="E12718" t="str">
        <f>"7055164710"</f>
        <v>7055164710</v>
      </c>
      <c r="F12718" s="1">
        <v>45215</v>
      </c>
      <c r="G12718" t="str">
        <f>"89513"</f>
        <v>89513</v>
      </c>
      <c r="H12718">
        <v>1</v>
      </c>
      <c r="I12718">
        <v>378</v>
      </c>
      <c r="J12718">
        <v>0</v>
      </c>
      <c r="K12718" t="str">
        <f t="shared" si="2287"/>
        <v>809</v>
      </c>
      <c r="L12718">
        <v>555.66</v>
      </c>
    </row>
    <row r="12719" spans="1:12" x14ac:dyDescent="0.25">
      <c r="A12719" t="str">
        <f t="shared" si="2284"/>
        <v>89301000</v>
      </c>
      <c r="B12719" t="str">
        <f t="shared" si="2285"/>
        <v>89383000</v>
      </c>
      <c r="C12719" t="str">
        <f t="shared" si="2286"/>
        <v>89383002</v>
      </c>
      <c r="D12719">
        <v>89301215</v>
      </c>
      <c r="E12719" t="str">
        <f>"7055164710"</f>
        <v>7055164710</v>
      </c>
      <c r="F12719" s="1">
        <v>45215</v>
      </c>
      <c r="G12719" t="str">
        <f>"89514"</f>
        <v>89514</v>
      </c>
      <c r="H12719">
        <v>1</v>
      </c>
      <c r="I12719">
        <v>378</v>
      </c>
      <c r="J12719">
        <v>0</v>
      </c>
      <c r="K12719" t="str">
        <f t="shared" si="2287"/>
        <v>809</v>
      </c>
      <c r="L12719">
        <v>555.66</v>
      </c>
    </row>
    <row r="12720" spans="1:12" x14ac:dyDescent="0.25">
      <c r="A12720" t="str">
        <f t="shared" si="2284"/>
        <v>89301000</v>
      </c>
      <c r="B12720" t="str">
        <f t="shared" si="2285"/>
        <v>89383000</v>
      </c>
      <c r="C12720" t="str">
        <f t="shared" si="2286"/>
        <v>89383002</v>
      </c>
      <c r="D12720">
        <v>89301212</v>
      </c>
      <c r="E12720" t="str">
        <f>"0160085750"</f>
        <v>0160085750</v>
      </c>
      <c r="F12720" s="1">
        <v>45216</v>
      </c>
      <c r="G12720" t="str">
        <f>"89512"</f>
        <v>89512</v>
      </c>
      <c r="H12720">
        <v>1</v>
      </c>
      <c r="I12720">
        <v>283</v>
      </c>
      <c r="J12720">
        <v>0</v>
      </c>
      <c r="K12720" t="str">
        <f t="shared" si="2287"/>
        <v>809</v>
      </c>
      <c r="L12720">
        <v>416.01</v>
      </c>
    </row>
    <row r="12721" spans="1:12" x14ac:dyDescent="0.25">
      <c r="A12721" t="str">
        <f t="shared" si="2284"/>
        <v>89301000</v>
      </c>
      <c r="B12721" t="str">
        <f t="shared" si="2285"/>
        <v>89383000</v>
      </c>
      <c r="C12721" t="str">
        <f t="shared" si="2286"/>
        <v>89383002</v>
      </c>
      <c r="D12721">
        <v>89301212</v>
      </c>
      <c r="E12721" t="str">
        <f>"0160085750"</f>
        <v>0160085750</v>
      </c>
      <c r="F12721" s="1">
        <v>45216</v>
      </c>
      <c r="G12721" t="str">
        <f>"89513"</f>
        <v>89513</v>
      </c>
      <c r="H12721">
        <v>1</v>
      </c>
      <c r="I12721">
        <v>378</v>
      </c>
      <c r="J12721">
        <v>0</v>
      </c>
      <c r="K12721" t="str">
        <f t="shared" si="2287"/>
        <v>809</v>
      </c>
      <c r="L12721">
        <v>555.66</v>
      </c>
    </row>
    <row r="12722" spans="1:12" x14ac:dyDescent="0.25">
      <c r="A12722" t="str">
        <f t="shared" si="2284"/>
        <v>89301000</v>
      </c>
      <c r="B12722" t="str">
        <f t="shared" si="2285"/>
        <v>89383000</v>
      </c>
      <c r="C12722" t="str">
        <f t="shared" si="2286"/>
        <v>89383002</v>
      </c>
      <c r="D12722">
        <v>89301212</v>
      </c>
      <c r="E12722" t="str">
        <f>"0160085750"</f>
        <v>0160085750</v>
      </c>
      <c r="F12722" s="1">
        <v>45216</v>
      </c>
      <c r="G12722" t="str">
        <f>"89514"</f>
        <v>89514</v>
      </c>
      <c r="H12722">
        <v>1</v>
      </c>
      <c r="I12722">
        <v>378</v>
      </c>
      <c r="J12722">
        <v>0</v>
      </c>
      <c r="K12722" t="str">
        <f t="shared" si="2287"/>
        <v>809</v>
      </c>
      <c r="L12722">
        <v>555.66</v>
      </c>
    </row>
    <row r="12723" spans="1:12" x14ac:dyDescent="0.25">
      <c r="A12723" t="str">
        <f t="shared" si="2284"/>
        <v>89301000</v>
      </c>
      <c r="B12723" t="str">
        <f t="shared" si="2285"/>
        <v>89383000</v>
      </c>
      <c r="C12723" t="str">
        <f t="shared" si="2286"/>
        <v>89383002</v>
      </c>
      <c r="D12723">
        <v>89301212</v>
      </c>
      <c r="E12723" t="str">
        <f>"5556062358"</f>
        <v>5556062358</v>
      </c>
      <c r="F12723" s="1">
        <v>45216</v>
      </c>
      <c r="G12723" t="str">
        <f>"89513"</f>
        <v>89513</v>
      </c>
      <c r="H12723">
        <v>1</v>
      </c>
      <c r="I12723">
        <v>378</v>
      </c>
      <c r="J12723">
        <v>0</v>
      </c>
      <c r="K12723" t="str">
        <f t="shared" si="2287"/>
        <v>809</v>
      </c>
      <c r="L12723">
        <v>555.66</v>
      </c>
    </row>
    <row r="12724" spans="1:12" x14ac:dyDescent="0.25">
      <c r="A12724" t="str">
        <f t="shared" si="2284"/>
        <v>89301000</v>
      </c>
      <c r="B12724" t="str">
        <f t="shared" si="2285"/>
        <v>89383000</v>
      </c>
      <c r="C12724" t="str">
        <f t="shared" si="2286"/>
        <v>89383002</v>
      </c>
      <c r="D12724">
        <v>89301212</v>
      </c>
      <c r="E12724" t="str">
        <f>"5556062358"</f>
        <v>5556062358</v>
      </c>
      <c r="F12724" s="1">
        <v>45216</v>
      </c>
      <c r="G12724" t="str">
        <f>"89514"</f>
        <v>89514</v>
      </c>
      <c r="H12724">
        <v>1</v>
      </c>
      <c r="I12724">
        <v>378</v>
      </c>
      <c r="J12724">
        <v>0</v>
      </c>
      <c r="K12724" t="str">
        <f t="shared" si="2287"/>
        <v>809</v>
      </c>
      <c r="L12724">
        <v>555.66</v>
      </c>
    </row>
    <row r="12725" spans="1:12" x14ac:dyDescent="0.25">
      <c r="A12725" t="str">
        <f t="shared" si="2284"/>
        <v>89301000</v>
      </c>
      <c r="B12725" t="str">
        <f t="shared" si="2285"/>
        <v>89383000</v>
      </c>
      <c r="C12725" t="str">
        <f t="shared" si="2286"/>
        <v>89383002</v>
      </c>
      <c r="D12725">
        <v>89301212</v>
      </c>
      <c r="E12725" t="str">
        <f>"6052191310"</f>
        <v>6052191310</v>
      </c>
      <c r="F12725" s="1">
        <v>45218</v>
      </c>
      <c r="G12725" t="str">
        <f>"89180"</f>
        <v>89180</v>
      </c>
      <c r="H12725">
        <v>2</v>
      </c>
      <c r="I12725">
        <v>762</v>
      </c>
      <c r="J12725">
        <v>0</v>
      </c>
      <c r="K12725" t="str">
        <f t="shared" si="2287"/>
        <v>809</v>
      </c>
      <c r="L12725">
        <v>1120.1400000000001</v>
      </c>
    </row>
    <row r="12726" spans="1:12" x14ac:dyDescent="0.25">
      <c r="A12726" t="str">
        <f t="shared" si="2284"/>
        <v>89301000</v>
      </c>
      <c r="B12726" t="str">
        <f t="shared" si="2285"/>
        <v>89383000</v>
      </c>
      <c r="C12726" t="str">
        <f t="shared" si="2286"/>
        <v>89383002</v>
      </c>
      <c r="D12726">
        <v>89301212</v>
      </c>
      <c r="E12726" t="str">
        <f>"6052191310"</f>
        <v>6052191310</v>
      </c>
      <c r="F12726" s="1">
        <v>45218</v>
      </c>
      <c r="G12726" t="str">
        <f>"89512"</f>
        <v>89512</v>
      </c>
      <c r="H12726">
        <v>1</v>
      </c>
      <c r="I12726">
        <v>283</v>
      </c>
      <c r="J12726">
        <v>0</v>
      </c>
      <c r="K12726" t="str">
        <f t="shared" si="2287"/>
        <v>809</v>
      </c>
      <c r="L12726">
        <v>416.01</v>
      </c>
    </row>
    <row r="12727" spans="1:12" x14ac:dyDescent="0.25">
      <c r="A12727" t="str">
        <f t="shared" si="2284"/>
        <v>89301000</v>
      </c>
      <c r="B12727" t="str">
        <f t="shared" si="2285"/>
        <v>89383000</v>
      </c>
      <c r="C12727" t="str">
        <f t="shared" si="2286"/>
        <v>89383002</v>
      </c>
      <c r="D12727">
        <v>89301212</v>
      </c>
      <c r="E12727" t="str">
        <f>"6052191310"</f>
        <v>6052191310</v>
      </c>
      <c r="F12727" s="1">
        <v>45218</v>
      </c>
      <c r="G12727" t="str">
        <f>"89513"</f>
        <v>89513</v>
      </c>
      <c r="H12727">
        <v>1</v>
      </c>
      <c r="I12727">
        <v>378</v>
      </c>
      <c r="J12727">
        <v>0</v>
      </c>
      <c r="K12727" t="str">
        <f t="shared" si="2287"/>
        <v>809</v>
      </c>
      <c r="L12727">
        <v>555.66</v>
      </c>
    </row>
    <row r="12728" spans="1:12" x14ac:dyDescent="0.25">
      <c r="A12728" t="str">
        <f t="shared" si="2284"/>
        <v>89301000</v>
      </c>
      <c r="B12728" t="str">
        <f t="shared" si="2285"/>
        <v>89383000</v>
      </c>
      <c r="C12728" t="str">
        <f t="shared" si="2286"/>
        <v>89383002</v>
      </c>
      <c r="D12728">
        <v>89301212</v>
      </c>
      <c r="E12728" t="str">
        <f>"6052191310"</f>
        <v>6052191310</v>
      </c>
      <c r="F12728" s="1">
        <v>45218</v>
      </c>
      <c r="G12728" t="str">
        <f>"89514"</f>
        <v>89514</v>
      </c>
      <c r="H12728">
        <v>1</v>
      </c>
      <c r="I12728">
        <v>378</v>
      </c>
      <c r="J12728">
        <v>0</v>
      </c>
      <c r="K12728" t="str">
        <f t="shared" si="2287"/>
        <v>809</v>
      </c>
      <c r="L12728">
        <v>555.66</v>
      </c>
    </row>
    <row r="12729" spans="1:12" x14ac:dyDescent="0.25">
      <c r="A12729" t="str">
        <f t="shared" si="2284"/>
        <v>89301000</v>
      </c>
      <c r="B12729" t="str">
        <f t="shared" si="2285"/>
        <v>89383000</v>
      </c>
      <c r="C12729" t="str">
        <f t="shared" si="2286"/>
        <v>89383002</v>
      </c>
      <c r="D12729">
        <v>89301212</v>
      </c>
      <c r="E12729" t="str">
        <f>"7551055380"</f>
        <v>7551055380</v>
      </c>
      <c r="F12729" s="1">
        <v>45222</v>
      </c>
      <c r="G12729" t="str">
        <f>"89513"</f>
        <v>89513</v>
      </c>
      <c r="H12729">
        <v>1</v>
      </c>
      <c r="I12729">
        <v>378</v>
      </c>
      <c r="J12729">
        <v>0</v>
      </c>
      <c r="K12729" t="str">
        <f t="shared" si="2287"/>
        <v>809</v>
      </c>
      <c r="L12729">
        <v>555.66</v>
      </c>
    </row>
    <row r="12730" spans="1:12" x14ac:dyDescent="0.25">
      <c r="A12730" t="str">
        <f t="shared" si="2284"/>
        <v>89301000</v>
      </c>
      <c r="B12730" t="str">
        <f t="shared" si="2285"/>
        <v>89383000</v>
      </c>
      <c r="C12730" t="str">
        <f t="shared" si="2286"/>
        <v>89383002</v>
      </c>
      <c r="D12730">
        <v>89301212</v>
      </c>
      <c r="E12730" t="str">
        <f>"7551055380"</f>
        <v>7551055380</v>
      </c>
      <c r="F12730" s="1">
        <v>45222</v>
      </c>
      <c r="G12730" t="str">
        <f>"89514"</f>
        <v>89514</v>
      </c>
      <c r="H12730">
        <v>1</v>
      </c>
      <c r="I12730">
        <v>378</v>
      </c>
      <c r="J12730">
        <v>0</v>
      </c>
      <c r="K12730" t="str">
        <f t="shared" si="2287"/>
        <v>809</v>
      </c>
      <c r="L12730">
        <v>555.66</v>
      </c>
    </row>
    <row r="12731" spans="1:12" x14ac:dyDescent="0.25">
      <c r="A12731" t="str">
        <f t="shared" si="2284"/>
        <v>89301000</v>
      </c>
      <c r="B12731" t="str">
        <f t="shared" si="2285"/>
        <v>89383000</v>
      </c>
      <c r="C12731" t="str">
        <f t="shared" si="2286"/>
        <v>89383002</v>
      </c>
      <c r="D12731">
        <v>89301212</v>
      </c>
      <c r="E12731" t="str">
        <f>"8251115378"</f>
        <v>8251115378</v>
      </c>
      <c r="F12731" s="1">
        <v>45222</v>
      </c>
      <c r="G12731" t="str">
        <f>"89512"</f>
        <v>89512</v>
      </c>
      <c r="H12731">
        <v>1</v>
      </c>
      <c r="I12731">
        <v>283</v>
      </c>
      <c r="J12731">
        <v>0</v>
      </c>
      <c r="K12731" t="str">
        <f t="shared" si="2287"/>
        <v>809</v>
      </c>
      <c r="L12731">
        <v>416.01</v>
      </c>
    </row>
    <row r="12732" spans="1:12" x14ac:dyDescent="0.25">
      <c r="A12732" t="str">
        <f t="shared" si="2284"/>
        <v>89301000</v>
      </c>
      <c r="B12732" t="str">
        <f t="shared" si="2285"/>
        <v>89383000</v>
      </c>
      <c r="C12732" t="str">
        <f t="shared" si="2286"/>
        <v>89383002</v>
      </c>
      <c r="D12732">
        <v>89301045</v>
      </c>
      <c r="E12732" t="str">
        <f>"465612184"</f>
        <v>465612184</v>
      </c>
      <c r="F12732" s="1">
        <v>45223</v>
      </c>
      <c r="G12732" t="str">
        <f>"89180"</f>
        <v>89180</v>
      </c>
      <c r="H12732">
        <v>2</v>
      </c>
      <c r="I12732">
        <v>762</v>
      </c>
      <c r="J12732">
        <v>0</v>
      </c>
      <c r="K12732" t="str">
        <f t="shared" si="2287"/>
        <v>809</v>
      </c>
      <c r="L12732">
        <v>1120.1400000000001</v>
      </c>
    </row>
    <row r="12733" spans="1:12" x14ac:dyDescent="0.25">
      <c r="A12733" t="str">
        <f t="shared" si="2284"/>
        <v>89301000</v>
      </c>
      <c r="B12733" t="str">
        <f t="shared" ref="B12733:B12764" si="2288">"89383000"</f>
        <v>89383000</v>
      </c>
      <c r="C12733" t="str">
        <f t="shared" ref="C12733:C12764" si="2289">"89383002"</f>
        <v>89383002</v>
      </c>
      <c r="D12733">
        <v>89301045</v>
      </c>
      <c r="E12733" t="str">
        <f>"465612184"</f>
        <v>465612184</v>
      </c>
      <c r="F12733" s="1">
        <v>45223</v>
      </c>
      <c r="G12733" t="str">
        <f>"89512"</f>
        <v>89512</v>
      </c>
      <c r="H12733">
        <v>1</v>
      </c>
      <c r="I12733">
        <v>283</v>
      </c>
      <c r="J12733">
        <v>0</v>
      </c>
      <c r="K12733" t="str">
        <f t="shared" ref="K12733:K12764" si="2290">"809"</f>
        <v>809</v>
      </c>
      <c r="L12733">
        <v>416.01</v>
      </c>
    </row>
    <row r="12734" spans="1:12" x14ac:dyDescent="0.25">
      <c r="A12734" t="str">
        <f t="shared" si="2284"/>
        <v>89301000</v>
      </c>
      <c r="B12734" t="str">
        <f t="shared" si="2288"/>
        <v>89383000</v>
      </c>
      <c r="C12734" t="str">
        <f t="shared" si="2289"/>
        <v>89383002</v>
      </c>
      <c r="D12734">
        <v>89301045</v>
      </c>
      <c r="E12734" t="str">
        <f>"465612184"</f>
        <v>465612184</v>
      </c>
      <c r="F12734" s="1">
        <v>45223</v>
      </c>
      <c r="G12734" t="str">
        <f>"89513"</f>
        <v>89513</v>
      </c>
      <c r="H12734">
        <v>1</v>
      </c>
      <c r="I12734">
        <v>378</v>
      </c>
      <c r="J12734">
        <v>0</v>
      </c>
      <c r="K12734" t="str">
        <f t="shared" si="2290"/>
        <v>809</v>
      </c>
      <c r="L12734">
        <v>555.66</v>
      </c>
    </row>
    <row r="12735" spans="1:12" x14ac:dyDescent="0.25">
      <c r="A12735" t="str">
        <f t="shared" si="2284"/>
        <v>89301000</v>
      </c>
      <c r="B12735" t="str">
        <f t="shared" si="2288"/>
        <v>89383000</v>
      </c>
      <c r="C12735" t="str">
        <f t="shared" si="2289"/>
        <v>89383002</v>
      </c>
      <c r="D12735">
        <v>89301045</v>
      </c>
      <c r="E12735" t="str">
        <f>"465612184"</f>
        <v>465612184</v>
      </c>
      <c r="F12735" s="1">
        <v>45223</v>
      </c>
      <c r="G12735" t="str">
        <f>"89514"</f>
        <v>89514</v>
      </c>
      <c r="H12735">
        <v>1</v>
      </c>
      <c r="I12735">
        <v>378</v>
      </c>
      <c r="J12735">
        <v>0</v>
      </c>
      <c r="K12735" t="str">
        <f t="shared" si="2290"/>
        <v>809</v>
      </c>
      <c r="L12735">
        <v>555.66</v>
      </c>
    </row>
    <row r="12736" spans="1:12" x14ac:dyDescent="0.25">
      <c r="A12736" t="str">
        <f t="shared" si="2284"/>
        <v>89301000</v>
      </c>
      <c r="B12736" t="str">
        <f t="shared" si="2288"/>
        <v>89383000</v>
      </c>
      <c r="C12736" t="str">
        <f t="shared" si="2289"/>
        <v>89383002</v>
      </c>
      <c r="D12736">
        <v>89301212</v>
      </c>
      <c r="E12736" t="str">
        <f t="shared" ref="E12736:E12741" si="2291">"8952175749"</f>
        <v>8952175749</v>
      </c>
      <c r="F12736" s="1">
        <v>45224</v>
      </c>
      <c r="G12736" t="str">
        <f>"89512"</f>
        <v>89512</v>
      </c>
      <c r="H12736">
        <v>1</v>
      </c>
      <c r="I12736">
        <v>283</v>
      </c>
      <c r="J12736">
        <v>0</v>
      </c>
      <c r="K12736" t="str">
        <f t="shared" si="2290"/>
        <v>809</v>
      </c>
      <c r="L12736">
        <v>416.01</v>
      </c>
    </row>
    <row r="12737" spans="1:12" x14ac:dyDescent="0.25">
      <c r="A12737" t="str">
        <f t="shared" si="2284"/>
        <v>89301000</v>
      </c>
      <c r="B12737" t="str">
        <f t="shared" si="2288"/>
        <v>89383000</v>
      </c>
      <c r="C12737" t="str">
        <f t="shared" si="2289"/>
        <v>89383002</v>
      </c>
      <c r="D12737">
        <v>89301212</v>
      </c>
      <c r="E12737" t="str">
        <f t="shared" si="2291"/>
        <v>8952175749</v>
      </c>
      <c r="F12737" s="1">
        <v>45224</v>
      </c>
      <c r="G12737" t="str">
        <f>"89313"</f>
        <v>89313</v>
      </c>
      <c r="H12737">
        <v>1</v>
      </c>
      <c r="I12737">
        <v>420</v>
      </c>
      <c r="J12737">
        <v>0</v>
      </c>
      <c r="K12737" t="str">
        <f t="shared" si="2290"/>
        <v>809</v>
      </c>
      <c r="L12737">
        <v>617.4</v>
      </c>
    </row>
    <row r="12738" spans="1:12" x14ac:dyDescent="0.25">
      <c r="A12738" t="str">
        <f t="shared" ref="A12738:A12801" si="2292">"89301000"</f>
        <v>89301000</v>
      </c>
      <c r="B12738" t="str">
        <f t="shared" si="2288"/>
        <v>89383000</v>
      </c>
      <c r="C12738" t="str">
        <f t="shared" si="2289"/>
        <v>89383002</v>
      </c>
      <c r="D12738">
        <v>89301212</v>
      </c>
      <c r="E12738" t="str">
        <f t="shared" si="2291"/>
        <v>8952175749</v>
      </c>
      <c r="F12738" s="1">
        <v>45224</v>
      </c>
      <c r="G12738" t="str">
        <f>"89515"</f>
        <v>89515</v>
      </c>
      <c r="H12738">
        <v>1</v>
      </c>
      <c r="I12738">
        <v>347</v>
      </c>
      <c r="J12738">
        <v>0</v>
      </c>
      <c r="K12738" t="str">
        <f t="shared" si="2290"/>
        <v>809</v>
      </c>
      <c r="L12738">
        <v>510.09</v>
      </c>
    </row>
    <row r="12739" spans="1:12" x14ac:dyDescent="0.25">
      <c r="A12739" t="str">
        <f t="shared" si="2292"/>
        <v>89301000</v>
      </c>
      <c r="B12739" t="str">
        <f t="shared" si="2288"/>
        <v>89383000</v>
      </c>
      <c r="C12739" t="str">
        <f t="shared" si="2289"/>
        <v>89383002</v>
      </c>
      <c r="D12739">
        <v>89301212</v>
      </c>
      <c r="E12739" t="str">
        <f t="shared" si="2291"/>
        <v>8952175749</v>
      </c>
      <c r="F12739" s="1">
        <v>45224</v>
      </c>
      <c r="G12739" t="str">
        <f>"09233"</f>
        <v>09233</v>
      </c>
      <c r="H12739">
        <v>1</v>
      </c>
      <c r="I12739">
        <v>102</v>
      </c>
      <c r="J12739">
        <v>0</v>
      </c>
      <c r="K12739" t="str">
        <f t="shared" si="2290"/>
        <v>809</v>
      </c>
      <c r="L12739">
        <v>149.94</v>
      </c>
    </row>
    <row r="12740" spans="1:12" x14ac:dyDescent="0.25">
      <c r="A12740" t="str">
        <f t="shared" si="2292"/>
        <v>89301000</v>
      </c>
      <c r="B12740" t="str">
        <f t="shared" si="2288"/>
        <v>89383000</v>
      </c>
      <c r="C12740" t="str">
        <f t="shared" si="2289"/>
        <v>89383002</v>
      </c>
      <c r="D12740">
        <v>89301212</v>
      </c>
      <c r="E12740" t="str">
        <f t="shared" si="2291"/>
        <v>8952175749</v>
      </c>
      <c r="F12740" s="1">
        <v>45224</v>
      </c>
      <c r="G12740" t="str">
        <f>"0093109"</f>
        <v>0093109</v>
      </c>
      <c r="H12740">
        <v>0.02</v>
      </c>
      <c r="J12740">
        <v>5.42</v>
      </c>
      <c r="K12740" t="str">
        <f t="shared" si="2290"/>
        <v>809</v>
      </c>
      <c r="L12740">
        <v>5.42</v>
      </c>
    </row>
    <row r="12741" spans="1:12" x14ac:dyDescent="0.25">
      <c r="A12741" t="str">
        <f t="shared" si="2292"/>
        <v>89301000</v>
      </c>
      <c r="B12741" t="str">
        <f t="shared" si="2288"/>
        <v>89383000</v>
      </c>
      <c r="C12741" t="str">
        <f t="shared" si="2289"/>
        <v>89383002</v>
      </c>
      <c r="D12741">
        <v>89301212</v>
      </c>
      <c r="E12741" t="str">
        <f t="shared" si="2291"/>
        <v>8952175749</v>
      </c>
      <c r="F12741" s="1">
        <v>45224</v>
      </c>
      <c r="G12741" t="str">
        <f>"0142908"</f>
        <v>0142908</v>
      </c>
      <c r="H12741">
        <v>1</v>
      </c>
      <c r="J12741">
        <v>910</v>
      </c>
      <c r="K12741" t="str">
        <f t="shared" si="2290"/>
        <v>809</v>
      </c>
      <c r="L12741">
        <v>910</v>
      </c>
    </row>
    <row r="12742" spans="1:12" x14ac:dyDescent="0.25">
      <c r="A12742" t="str">
        <f t="shared" si="2292"/>
        <v>89301000</v>
      </c>
      <c r="B12742" t="str">
        <f t="shared" si="2288"/>
        <v>89383000</v>
      </c>
      <c r="C12742" t="str">
        <f t="shared" si="2289"/>
        <v>89383002</v>
      </c>
      <c r="D12742">
        <v>89301215</v>
      </c>
      <c r="E12742" t="str">
        <f>"406118430"</f>
        <v>406118430</v>
      </c>
      <c r="F12742" s="1">
        <v>45224</v>
      </c>
      <c r="G12742" t="str">
        <f>"89313"</f>
        <v>89313</v>
      </c>
      <c r="H12742">
        <v>1</v>
      </c>
      <c r="I12742">
        <v>420</v>
      </c>
      <c r="J12742">
        <v>0</v>
      </c>
      <c r="K12742" t="str">
        <f t="shared" si="2290"/>
        <v>809</v>
      </c>
      <c r="L12742">
        <v>617.4</v>
      </c>
    </row>
    <row r="12743" spans="1:12" x14ac:dyDescent="0.25">
      <c r="A12743" t="str">
        <f t="shared" si="2292"/>
        <v>89301000</v>
      </c>
      <c r="B12743" t="str">
        <f t="shared" si="2288"/>
        <v>89383000</v>
      </c>
      <c r="C12743" t="str">
        <f t="shared" si="2289"/>
        <v>89383002</v>
      </c>
      <c r="D12743">
        <v>89301215</v>
      </c>
      <c r="E12743" t="str">
        <f>"406118430"</f>
        <v>406118430</v>
      </c>
      <c r="F12743" s="1">
        <v>45224</v>
      </c>
      <c r="G12743" t="str">
        <f>"09233"</f>
        <v>09233</v>
      </c>
      <c r="H12743">
        <v>1</v>
      </c>
      <c r="I12743">
        <v>102</v>
      </c>
      <c r="J12743">
        <v>0</v>
      </c>
      <c r="K12743" t="str">
        <f t="shared" si="2290"/>
        <v>809</v>
      </c>
      <c r="L12743">
        <v>149.94</v>
      </c>
    </row>
    <row r="12744" spans="1:12" x14ac:dyDescent="0.25">
      <c r="A12744" t="str">
        <f t="shared" si="2292"/>
        <v>89301000</v>
      </c>
      <c r="B12744" t="str">
        <f t="shared" si="2288"/>
        <v>89383000</v>
      </c>
      <c r="C12744" t="str">
        <f t="shared" si="2289"/>
        <v>89383002</v>
      </c>
      <c r="D12744">
        <v>89301215</v>
      </c>
      <c r="E12744" t="str">
        <f>"406118430"</f>
        <v>406118430</v>
      </c>
      <c r="F12744" s="1">
        <v>45224</v>
      </c>
      <c r="G12744" t="str">
        <f>"89512"</f>
        <v>89512</v>
      </c>
      <c r="H12744">
        <v>1</v>
      </c>
      <c r="I12744">
        <v>283</v>
      </c>
      <c r="J12744">
        <v>0</v>
      </c>
      <c r="K12744" t="str">
        <f t="shared" si="2290"/>
        <v>809</v>
      </c>
      <c r="L12744">
        <v>416.01</v>
      </c>
    </row>
    <row r="12745" spans="1:12" x14ac:dyDescent="0.25">
      <c r="A12745" t="str">
        <f t="shared" si="2292"/>
        <v>89301000</v>
      </c>
      <c r="B12745" t="str">
        <f t="shared" si="2288"/>
        <v>89383000</v>
      </c>
      <c r="C12745" t="str">
        <f t="shared" si="2289"/>
        <v>89383002</v>
      </c>
      <c r="D12745">
        <v>89301215</v>
      </c>
      <c r="E12745" t="str">
        <f>"406118430"</f>
        <v>406118430</v>
      </c>
      <c r="F12745" s="1">
        <v>45224</v>
      </c>
      <c r="G12745" t="str">
        <f>"0093109"</f>
        <v>0093109</v>
      </c>
      <c r="H12745">
        <v>1</v>
      </c>
      <c r="J12745">
        <v>270.98</v>
      </c>
      <c r="K12745" t="str">
        <f t="shared" si="2290"/>
        <v>809</v>
      </c>
      <c r="L12745">
        <v>270.98</v>
      </c>
    </row>
    <row r="12746" spans="1:12" x14ac:dyDescent="0.25">
      <c r="A12746" t="str">
        <f t="shared" si="2292"/>
        <v>89301000</v>
      </c>
      <c r="B12746" t="str">
        <f t="shared" si="2288"/>
        <v>89383000</v>
      </c>
      <c r="C12746" t="str">
        <f t="shared" si="2289"/>
        <v>89383002</v>
      </c>
      <c r="D12746">
        <v>89301215</v>
      </c>
      <c r="E12746" t="str">
        <f>"406118430"</f>
        <v>406118430</v>
      </c>
      <c r="F12746" s="1">
        <v>45224</v>
      </c>
      <c r="G12746" t="str">
        <f>"0142906"</f>
        <v>0142906</v>
      </c>
      <c r="H12746">
        <v>1</v>
      </c>
      <c r="J12746">
        <v>6990</v>
      </c>
      <c r="K12746" t="str">
        <f t="shared" si="2290"/>
        <v>809</v>
      </c>
      <c r="L12746">
        <v>6990</v>
      </c>
    </row>
    <row r="12747" spans="1:12" x14ac:dyDescent="0.25">
      <c r="A12747" t="str">
        <f t="shared" si="2292"/>
        <v>89301000</v>
      </c>
      <c r="B12747" t="str">
        <f t="shared" si="2288"/>
        <v>89383000</v>
      </c>
      <c r="C12747" t="str">
        <f t="shared" si="2289"/>
        <v>89383002</v>
      </c>
      <c r="D12747">
        <v>89301045</v>
      </c>
      <c r="E12747" t="str">
        <f>"7859045326"</f>
        <v>7859045326</v>
      </c>
      <c r="F12747" s="1">
        <v>45224</v>
      </c>
      <c r="G12747" t="str">
        <f>"89313"</f>
        <v>89313</v>
      </c>
      <c r="H12747">
        <v>1</v>
      </c>
      <c r="I12747">
        <v>420</v>
      </c>
      <c r="J12747">
        <v>0</v>
      </c>
      <c r="K12747" t="str">
        <f t="shared" si="2290"/>
        <v>809</v>
      </c>
      <c r="L12747">
        <v>617.4</v>
      </c>
    </row>
    <row r="12748" spans="1:12" x14ac:dyDescent="0.25">
      <c r="A12748" t="str">
        <f t="shared" si="2292"/>
        <v>89301000</v>
      </c>
      <c r="B12748" t="str">
        <f t="shared" si="2288"/>
        <v>89383000</v>
      </c>
      <c r="C12748" t="str">
        <f t="shared" si="2289"/>
        <v>89383002</v>
      </c>
      <c r="D12748">
        <v>89301045</v>
      </c>
      <c r="E12748" t="str">
        <f>"7859045326"</f>
        <v>7859045326</v>
      </c>
      <c r="F12748" s="1">
        <v>45224</v>
      </c>
      <c r="G12748" t="str">
        <f>"09233"</f>
        <v>09233</v>
      </c>
      <c r="H12748">
        <v>1</v>
      </c>
      <c r="I12748">
        <v>102</v>
      </c>
      <c r="J12748">
        <v>0</v>
      </c>
      <c r="K12748" t="str">
        <f t="shared" si="2290"/>
        <v>809</v>
      </c>
      <c r="L12748">
        <v>149.94</v>
      </c>
    </row>
    <row r="12749" spans="1:12" x14ac:dyDescent="0.25">
      <c r="A12749" t="str">
        <f t="shared" si="2292"/>
        <v>89301000</v>
      </c>
      <c r="B12749" t="str">
        <f t="shared" si="2288"/>
        <v>89383000</v>
      </c>
      <c r="C12749" t="str">
        <f t="shared" si="2289"/>
        <v>89383002</v>
      </c>
      <c r="D12749">
        <v>89301045</v>
      </c>
      <c r="E12749" t="str">
        <f>"7859045326"</f>
        <v>7859045326</v>
      </c>
      <c r="F12749" s="1">
        <v>45224</v>
      </c>
      <c r="G12749" t="str">
        <f>"89512"</f>
        <v>89512</v>
      </c>
      <c r="H12749">
        <v>1</v>
      </c>
      <c r="I12749">
        <v>283</v>
      </c>
      <c r="J12749">
        <v>0</v>
      </c>
      <c r="K12749" t="str">
        <f t="shared" si="2290"/>
        <v>809</v>
      </c>
      <c r="L12749">
        <v>416.01</v>
      </c>
    </row>
    <row r="12750" spans="1:12" x14ac:dyDescent="0.25">
      <c r="A12750" t="str">
        <f t="shared" si="2292"/>
        <v>89301000</v>
      </c>
      <c r="B12750" t="str">
        <f t="shared" si="2288"/>
        <v>89383000</v>
      </c>
      <c r="C12750" t="str">
        <f t="shared" si="2289"/>
        <v>89383002</v>
      </c>
      <c r="D12750">
        <v>89301045</v>
      </c>
      <c r="E12750" t="str">
        <f>"7859045326"</f>
        <v>7859045326</v>
      </c>
      <c r="F12750" s="1">
        <v>45224</v>
      </c>
      <c r="G12750" t="str">
        <f>"0093109"</f>
        <v>0093109</v>
      </c>
      <c r="H12750">
        <v>0.2</v>
      </c>
      <c r="J12750">
        <v>54.2</v>
      </c>
      <c r="K12750" t="str">
        <f t="shared" si="2290"/>
        <v>809</v>
      </c>
      <c r="L12750">
        <v>54.2</v>
      </c>
    </row>
    <row r="12751" spans="1:12" x14ac:dyDescent="0.25">
      <c r="A12751" t="str">
        <f t="shared" si="2292"/>
        <v>89301000</v>
      </c>
      <c r="B12751" t="str">
        <f t="shared" si="2288"/>
        <v>89383000</v>
      </c>
      <c r="C12751" t="str">
        <f t="shared" si="2289"/>
        <v>89383002</v>
      </c>
      <c r="D12751">
        <v>89301045</v>
      </c>
      <c r="E12751" t="str">
        <f>"7859045326"</f>
        <v>7859045326</v>
      </c>
      <c r="F12751" s="1">
        <v>45224</v>
      </c>
      <c r="G12751" t="str">
        <f>"0142906"</f>
        <v>0142906</v>
      </c>
      <c r="H12751">
        <v>1</v>
      </c>
      <c r="J12751">
        <v>6990</v>
      </c>
      <c r="K12751" t="str">
        <f t="shared" si="2290"/>
        <v>809</v>
      </c>
      <c r="L12751">
        <v>6990</v>
      </c>
    </row>
    <row r="12752" spans="1:12" x14ac:dyDescent="0.25">
      <c r="A12752" t="str">
        <f t="shared" si="2292"/>
        <v>89301000</v>
      </c>
      <c r="B12752" t="str">
        <f t="shared" si="2288"/>
        <v>89383000</v>
      </c>
      <c r="C12752" t="str">
        <f t="shared" si="2289"/>
        <v>89383002</v>
      </c>
      <c r="D12752">
        <v>89301045</v>
      </c>
      <c r="E12752" t="str">
        <f>"425401496"</f>
        <v>425401496</v>
      </c>
      <c r="F12752" s="1">
        <v>45224</v>
      </c>
      <c r="G12752" t="str">
        <f>"89313"</f>
        <v>89313</v>
      </c>
      <c r="H12752">
        <v>1</v>
      </c>
      <c r="I12752">
        <v>420</v>
      </c>
      <c r="J12752">
        <v>0</v>
      </c>
      <c r="K12752" t="str">
        <f t="shared" si="2290"/>
        <v>809</v>
      </c>
      <c r="L12752">
        <v>617.4</v>
      </c>
    </row>
    <row r="12753" spans="1:12" x14ac:dyDescent="0.25">
      <c r="A12753" t="str">
        <f t="shared" si="2292"/>
        <v>89301000</v>
      </c>
      <c r="B12753" t="str">
        <f t="shared" si="2288"/>
        <v>89383000</v>
      </c>
      <c r="C12753" t="str">
        <f t="shared" si="2289"/>
        <v>89383002</v>
      </c>
      <c r="D12753">
        <v>89301045</v>
      </c>
      <c r="E12753" t="str">
        <f>"425401496"</f>
        <v>425401496</v>
      </c>
      <c r="F12753" s="1">
        <v>45224</v>
      </c>
      <c r="G12753" t="str">
        <f>"09233"</f>
        <v>09233</v>
      </c>
      <c r="H12753">
        <v>1</v>
      </c>
      <c r="I12753">
        <v>102</v>
      </c>
      <c r="J12753">
        <v>0</v>
      </c>
      <c r="K12753" t="str">
        <f t="shared" si="2290"/>
        <v>809</v>
      </c>
      <c r="L12753">
        <v>149.94</v>
      </c>
    </row>
    <row r="12754" spans="1:12" x14ac:dyDescent="0.25">
      <c r="A12754" t="str">
        <f t="shared" si="2292"/>
        <v>89301000</v>
      </c>
      <c r="B12754" t="str">
        <f t="shared" si="2288"/>
        <v>89383000</v>
      </c>
      <c r="C12754" t="str">
        <f t="shared" si="2289"/>
        <v>89383002</v>
      </c>
      <c r="D12754">
        <v>89301045</v>
      </c>
      <c r="E12754" t="str">
        <f>"425401496"</f>
        <v>425401496</v>
      </c>
      <c r="F12754" s="1">
        <v>45224</v>
      </c>
      <c r="G12754" t="str">
        <f>"89512"</f>
        <v>89512</v>
      </c>
      <c r="H12754">
        <v>1</v>
      </c>
      <c r="I12754">
        <v>283</v>
      </c>
      <c r="J12754">
        <v>0</v>
      </c>
      <c r="K12754" t="str">
        <f t="shared" si="2290"/>
        <v>809</v>
      </c>
      <c r="L12754">
        <v>416.01</v>
      </c>
    </row>
    <row r="12755" spans="1:12" x14ac:dyDescent="0.25">
      <c r="A12755" t="str">
        <f t="shared" si="2292"/>
        <v>89301000</v>
      </c>
      <c r="B12755" t="str">
        <f t="shared" si="2288"/>
        <v>89383000</v>
      </c>
      <c r="C12755" t="str">
        <f t="shared" si="2289"/>
        <v>89383002</v>
      </c>
      <c r="D12755">
        <v>89301045</v>
      </c>
      <c r="E12755" t="str">
        <f>"425401496"</f>
        <v>425401496</v>
      </c>
      <c r="F12755" s="1">
        <v>45224</v>
      </c>
      <c r="G12755" t="str">
        <f>"0093109"</f>
        <v>0093109</v>
      </c>
      <c r="H12755">
        <v>0.2</v>
      </c>
      <c r="J12755">
        <v>54.2</v>
      </c>
      <c r="K12755" t="str">
        <f t="shared" si="2290"/>
        <v>809</v>
      </c>
      <c r="L12755">
        <v>54.2</v>
      </c>
    </row>
    <row r="12756" spans="1:12" x14ac:dyDescent="0.25">
      <c r="A12756" t="str">
        <f t="shared" si="2292"/>
        <v>89301000</v>
      </c>
      <c r="B12756" t="str">
        <f t="shared" si="2288"/>
        <v>89383000</v>
      </c>
      <c r="C12756" t="str">
        <f t="shared" si="2289"/>
        <v>89383002</v>
      </c>
      <c r="D12756">
        <v>89301045</v>
      </c>
      <c r="E12756" t="str">
        <f>"425401496"</f>
        <v>425401496</v>
      </c>
      <c r="F12756" s="1">
        <v>45224</v>
      </c>
      <c r="G12756" t="str">
        <f>"0142906"</f>
        <v>0142906</v>
      </c>
      <c r="H12756">
        <v>1</v>
      </c>
      <c r="J12756">
        <v>6990</v>
      </c>
      <c r="K12756" t="str">
        <f t="shared" si="2290"/>
        <v>809</v>
      </c>
      <c r="L12756">
        <v>6990</v>
      </c>
    </row>
    <row r="12757" spans="1:12" x14ac:dyDescent="0.25">
      <c r="A12757" t="str">
        <f t="shared" si="2292"/>
        <v>89301000</v>
      </c>
      <c r="B12757" t="str">
        <f t="shared" si="2288"/>
        <v>89383000</v>
      </c>
      <c r="C12757" t="str">
        <f t="shared" si="2289"/>
        <v>89383002</v>
      </c>
      <c r="D12757">
        <v>89301212</v>
      </c>
      <c r="E12757" t="str">
        <f>"7562115308"</f>
        <v>7562115308</v>
      </c>
      <c r="F12757" s="1">
        <v>45225</v>
      </c>
      <c r="G12757" t="str">
        <f>"89512"</f>
        <v>89512</v>
      </c>
      <c r="H12757">
        <v>1</v>
      </c>
      <c r="I12757">
        <v>283</v>
      </c>
      <c r="J12757">
        <v>0</v>
      </c>
      <c r="K12757" t="str">
        <f t="shared" si="2290"/>
        <v>809</v>
      </c>
      <c r="L12757">
        <v>416.01</v>
      </c>
    </row>
    <row r="12758" spans="1:12" x14ac:dyDescent="0.25">
      <c r="A12758" t="str">
        <f t="shared" si="2292"/>
        <v>89301000</v>
      </c>
      <c r="B12758" t="str">
        <f t="shared" si="2288"/>
        <v>89383000</v>
      </c>
      <c r="C12758" t="str">
        <f t="shared" si="2289"/>
        <v>89383002</v>
      </c>
      <c r="D12758">
        <v>89301212</v>
      </c>
      <c r="E12758" t="str">
        <f>"7652195320"</f>
        <v>7652195320</v>
      </c>
      <c r="F12758" s="1">
        <v>45226</v>
      </c>
      <c r="G12758" t="str">
        <f>"89513"</f>
        <v>89513</v>
      </c>
      <c r="H12758">
        <v>1</v>
      </c>
      <c r="I12758">
        <v>378</v>
      </c>
      <c r="J12758">
        <v>0</v>
      </c>
      <c r="K12758" t="str">
        <f t="shared" si="2290"/>
        <v>809</v>
      </c>
      <c r="L12758">
        <v>555.66</v>
      </c>
    </row>
    <row r="12759" spans="1:12" x14ac:dyDescent="0.25">
      <c r="A12759" t="str">
        <f t="shared" si="2292"/>
        <v>89301000</v>
      </c>
      <c r="B12759" t="str">
        <f t="shared" si="2288"/>
        <v>89383000</v>
      </c>
      <c r="C12759" t="str">
        <f t="shared" si="2289"/>
        <v>89383002</v>
      </c>
      <c r="D12759">
        <v>89301212</v>
      </c>
      <c r="E12759" t="str">
        <f>"7652195320"</f>
        <v>7652195320</v>
      </c>
      <c r="F12759" s="1">
        <v>45226</v>
      </c>
      <c r="G12759" t="str">
        <f>"89514"</f>
        <v>89514</v>
      </c>
      <c r="H12759">
        <v>1</v>
      </c>
      <c r="I12759">
        <v>378</v>
      </c>
      <c r="J12759">
        <v>0</v>
      </c>
      <c r="K12759" t="str">
        <f t="shared" si="2290"/>
        <v>809</v>
      </c>
      <c r="L12759">
        <v>555.66</v>
      </c>
    </row>
    <row r="12760" spans="1:12" x14ac:dyDescent="0.25">
      <c r="A12760" t="str">
        <f t="shared" si="2292"/>
        <v>89301000</v>
      </c>
      <c r="B12760" t="str">
        <f t="shared" si="2288"/>
        <v>89383000</v>
      </c>
      <c r="C12760" t="str">
        <f t="shared" si="2289"/>
        <v>89383002</v>
      </c>
      <c r="D12760">
        <v>89301212</v>
      </c>
      <c r="E12760" t="str">
        <f>"515404032"</f>
        <v>515404032</v>
      </c>
      <c r="F12760" s="1">
        <v>45226</v>
      </c>
      <c r="G12760" t="str">
        <f>"89180"</f>
        <v>89180</v>
      </c>
      <c r="H12760">
        <v>2</v>
      </c>
      <c r="I12760">
        <v>762</v>
      </c>
      <c r="J12760">
        <v>0</v>
      </c>
      <c r="K12760" t="str">
        <f t="shared" si="2290"/>
        <v>809</v>
      </c>
      <c r="L12760">
        <v>1120.1400000000001</v>
      </c>
    </row>
    <row r="12761" spans="1:12" x14ac:dyDescent="0.25">
      <c r="A12761" t="str">
        <f t="shared" si="2292"/>
        <v>89301000</v>
      </c>
      <c r="B12761" t="str">
        <f t="shared" si="2288"/>
        <v>89383000</v>
      </c>
      <c r="C12761" t="str">
        <f t="shared" si="2289"/>
        <v>89383002</v>
      </c>
      <c r="D12761">
        <v>89301212</v>
      </c>
      <c r="E12761" t="str">
        <f>"515404032"</f>
        <v>515404032</v>
      </c>
      <c r="F12761" s="1">
        <v>45226</v>
      </c>
      <c r="G12761" t="str">
        <f>"89512"</f>
        <v>89512</v>
      </c>
      <c r="H12761">
        <v>1</v>
      </c>
      <c r="I12761">
        <v>283</v>
      </c>
      <c r="J12761">
        <v>0</v>
      </c>
      <c r="K12761" t="str">
        <f t="shared" si="2290"/>
        <v>809</v>
      </c>
      <c r="L12761">
        <v>416.01</v>
      </c>
    </row>
    <row r="12762" spans="1:12" x14ac:dyDescent="0.25">
      <c r="A12762" t="str">
        <f t="shared" si="2292"/>
        <v>89301000</v>
      </c>
      <c r="B12762" t="str">
        <f t="shared" si="2288"/>
        <v>89383000</v>
      </c>
      <c r="C12762" t="str">
        <f t="shared" si="2289"/>
        <v>89383002</v>
      </c>
      <c r="D12762">
        <v>89301212</v>
      </c>
      <c r="E12762" t="str">
        <f>"515404032"</f>
        <v>515404032</v>
      </c>
      <c r="F12762" s="1">
        <v>45226</v>
      </c>
      <c r="G12762" t="str">
        <f>"89513"</f>
        <v>89513</v>
      </c>
      <c r="H12762">
        <v>1</v>
      </c>
      <c r="I12762">
        <v>378</v>
      </c>
      <c r="J12762">
        <v>0</v>
      </c>
      <c r="K12762" t="str">
        <f t="shared" si="2290"/>
        <v>809</v>
      </c>
      <c r="L12762">
        <v>555.66</v>
      </c>
    </row>
    <row r="12763" spans="1:12" x14ac:dyDescent="0.25">
      <c r="A12763" t="str">
        <f t="shared" si="2292"/>
        <v>89301000</v>
      </c>
      <c r="B12763" t="str">
        <f t="shared" si="2288"/>
        <v>89383000</v>
      </c>
      <c r="C12763" t="str">
        <f t="shared" si="2289"/>
        <v>89383002</v>
      </c>
      <c r="D12763">
        <v>89301212</v>
      </c>
      <c r="E12763" t="str">
        <f>"515404032"</f>
        <v>515404032</v>
      </c>
      <c r="F12763" s="1">
        <v>45226</v>
      </c>
      <c r="G12763" t="str">
        <f>"89514"</f>
        <v>89514</v>
      </c>
      <c r="H12763">
        <v>1</v>
      </c>
      <c r="I12763">
        <v>378</v>
      </c>
      <c r="J12763">
        <v>0</v>
      </c>
      <c r="K12763" t="str">
        <f t="shared" si="2290"/>
        <v>809</v>
      </c>
      <c r="L12763">
        <v>555.66</v>
      </c>
    </row>
    <row r="12764" spans="1:12" x14ac:dyDescent="0.25">
      <c r="A12764" t="str">
        <f t="shared" si="2292"/>
        <v>89301000</v>
      </c>
      <c r="B12764" t="str">
        <f t="shared" si="2288"/>
        <v>89383000</v>
      </c>
      <c r="C12764" t="str">
        <f t="shared" si="2289"/>
        <v>89383002</v>
      </c>
      <c r="D12764">
        <v>89301212</v>
      </c>
      <c r="E12764" t="str">
        <f>"6953295316"</f>
        <v>6953295316</v>
      </c>
      <c r="F12764" s="1">
        <v>45226</v>
      </c>
      <c r="G12764" t="str">
        <f>"89513"</f>
        <v>89513</v>
      </c>
      <c r="H12764">
        <v>1</v>
      </c>
      <c r="I12764">
        <v>378</v>
      </c>
      <c r="J12764">
        <v>0</v>
      </c>
      <c r="K12764" t="str">
        <f t="shared" si="2290"/>
        <v>809</v>
      </c>
      <c r="L12764">
        <v>555.66</v>
      </c>
    </row>
    <row r="12765" spans="1:12" x14ac:dyDescent="0.25">
      <c r="A12765" t="str">
        <f t="shared" si="2292"/>
        <v>89301000</v>
      </c>
      <c r="B12765" t="str">
        <f t="shared" ref="B12765:B12787" si="2293">"89383000"</f>
        <v>89383000</v>
      </c>
      <c r="C12765" t="str">
        <f t="shared" ref="C12765:C12787" si="2294">"89383002"</f>
        <v>89383002</v>
      </c>
      <c r="D12765">
        <v>89301212</v>
      </c>
      <c r="E12765" t="str">
        <f>"6953295316"</f>
        <v>6953295316</v>
      </c>
      <c r="F12765" s="1">
        <v>45226</v>
      </c>
      <c r="G12765" t="str">
        <f>"89514"</f>
        <v>89514</v>
      </c>
      <c r="H12765">
        <v>1</v>
      </c>
      <c r="I12765">
        <v>378</v>
      </c>
      <c r="J12765">
        <v>0</v>
      </c>
      <c r="K12765" t="str">
        <f t="shared" ref="K12765:K12796" si="2295">"809"</f>
        <v>809</v>
      </c>
      <c r="L12765">
        <v>555.66</v>
      </c>
    </row>
    <row r="12766" spans="1:12" x14ac:dyDescent="0.25">
      <c r="A12766" t="str">
        <f t="shared" si="2292"/>
        <v>89301000</v>
      </c>
      <c r="B12766" t="str">
        <f t="shared" si="2293"/>
        <v>89383000</v>
      </c>
      <c r="C12766" t="str">
        <f t="shared" si="2294"/>
        <v>89383002</v>
      </c>
      <c r="D12766">
        <v>89301212</v>
      </c>
      <c r="E12766" t="str">
        <f>"8253114474"</f>
        <v>8253114474</v>
      </c>
      <c r="F12766" s="1">
        <v>45229</v>
      </c>
      <c r="G12766" t="str">
        <f>"89512"</f>
        <v>89512</v>
      </c>
      <c r="H12766">
        <v>1</v>
      </c>
      <c r="I12766">
        <v>283</v>
      </c>
      <c r="J12766">
        <v>0</v>
      </c>
      <c r="K12766" t="str">
        <f t="shared" si="2295"/>
        <v>809</v>
      </c>
      <c r="L12766">
        <v>416.01</v>
      </c>
    </row>
    <row r="12767" spans="1:12" x14ac:dyDescent="0.25">
      <c r="A12767" t="str">
        <f t="shared" si="2292"/>
        <v>89301000</v>
      </c>
      <c r="B12767" t="str">
        <f t="shared" si="2293"/>
        <v>89383000</v>
      </c>
      <c r="C12767" t="str">
        <f t="shared" si="2294"/>
        <v>89383002</v>
      </c>
      <c r="D12767">
        <v>89301212</v>
      </c>
      <c r="E12767" t="str">
        <f>"7856295315"</f>
        <v>7856295315</v>
      </c>
      <c r="F12767" s="1">
        <v>45229</v>
      </c>
      <c r="G12767" t="str">
        <f>"89512"</f>
        <v>89512</v>
      </c>
      <c r="H12767">
        <v>1</v>
      </c>
      <c r="I12767">
        <v>283</v>
      </c>
      <c r="J12767">
        <v>0</v>
      </c>
      <c r="K12767" t="str">
        <f t="shared" si="2295"/>
        <v>809</v>
      </c>
      <c r="L12767">
        <v>416.01</v>
      </c>
    </row>
    <row r="12768" spans="1:12" x14ac:dyDescent="0.25">
      <c r="A12768" t="str">
        <f t="shared" si="2292"/>
        <v>89301000</v>
      </c>
      <c r="B12768" t="str">
        <f t="shared" si="2293"/>
        <v>89383000</v>
      </c>
      <c r="C12768" t="str">
        <f t="shared" si="2294"/>
        <v>89383002</v>
      </c>
      <c r="D12768">
        <v>89301212</v>
      </c>
      <c r="E12768" t="str">
        <f>"7856295315"</f>
        <v>7856295315</v>
      </c>
      <c r="F12768" s="1">
        <v>45229</v>
      </c>
      <c r="G12768" t="str">
        <f>"89513"</f>
        <v>89513</v>
      </c>
      <c r="H12768">
        <v>1</v>
      </c>
      <c r="I12768">
        <v>378</v>
      </c>
      <c r="J12768">
        <v>0</v>
      </c>
      <c r="K12768" t="str">
        <f t="shared" si="2295"/>
        <v>809</v>
      </c>
      <c r="L12768">
        <v>555.66</v>
      </c>
    </row>
    <row r="12769" spans="1:12" x14ac:dyDescent="0.25">
      <c r="A12769" t="str">
        <f t="shared" si="2292"/>
        <v>89301000</v>
      </c>
      <c r="B12769" t="str">
        <f t="shared" si="2293"/>
        <v>89383000</v>
      </c>
      <c r="C12769" t="str">
        <f t="shared" si="2294"/>
        <v>89383002</v>
      </c>
      <c r="D12769">
        <v>89301212</v>
      </c>
      <c r="E12769" t="str">
        <f>"7856295315"</f>
        <v>7856295315</v>
      </c>
      <c r="F12769" s="1">
        <v>45229</v>
      </c>
      <c r="G12769" t="str">
        <f>"89514"</f>
        <v>89514</v>
      </c>
      <c r="H12769">
        <v>1</v>
      </c>
      <c r="I12769">
        <v>378</v>
      </c>
      <c r="J12769">
        <v>0</v>
      </c>
      <c r="K12769" t="str">
        <f t="shared" si="2295"/>
        <v>809</v>
      </c>
      <c r="L12769">
        <v>555.66</v>
      </c>
    </row>
    <row r="12770" spans="1:12" x14ac:dyDescent="0.25">
      <c r="A12770" t="str">
        <f t="shared" si="2292"/>
        <v>89301000</v>
      </c>
      <c r="B12770" t="str">
        <f t="shared" si="2293"/>
        <v>89383000</v>
      </c>
      <c r="C12770" t="str">
        <f t="shared" si="2294"/>
        <v>89383002</v>
      </c>
      <c r="D12770">
        <v>89301212</v>
      </c>
      <c r="E12770" t="str">
        <f>"5755040610"</f>
        <v>5755040610</v>
      </c>
      <c r="F12770" s="1">
        <v>45230</v>
      </c>
      <c r="G12770" t="str">
        <f>"89513"</f>
        <v>89513</v>
      </c>
      <c r="H12770">
        <v>1</v>
      </c>
      <c r="I12770">
        <v>378</v>
      </c>
      <c r="J12770">
        <v>0</v>
      </c>
      <c r="K12770" t="str">
        <f t="shared" si="2295"/>
        <v>809</v>
      </c>
      <c r="L12770">
        <v>555.66</v>
      </c>
    </row>
    <row r="12771" spans="1:12" x14ac:dyDescent="0.25">
      <c r="A12771" t="str">
        <f t="shared" si="2292"/>
        <v>89301000</v>
      </c>
      <c r="B12771" t="str">
        <f t="shared" si="2293"/>
        <v>89383000</v>
      </c>
      <c r="C12771" t="str">
        <f t="shared" si="2294"/>
        <v>89383002</v>
      </c>
      <c r="D12771">
        <v>89301212</v>
      </c>
      <c r="E12771" t="str">
        <f>"5755040610"</f>
        <v>5755040610</v>
      </c>
      <c r="F12771" s="1">
        <v>45230</v>
      </c>
      <c r="G12771" t="str">
        <f>"89514"</f>
        <v>89514</v>
      </c>
      <c r="H12771">
        <v>1</v>
      </c>
      <c r="I12771">
        <v>378</v>
      </c>
      <c r="J12771">
        <v>0</v>
      </c>
      <c r="K12771" t="str">
        <f t="shared" si="2295"/>
        <v>809</v>
      </c>
      <c r="L12771">
        <v>555.66</v>
      </c>
    </row>
    <row r="12772" spans="1:12" x14ac:dyDescent="0.25">
      <c r="A12772" t="str">
        <f t="shared" si="2292"/>
        <v>89301000</v>
      </c>
      <c r="B12772" t="str">
        <f t="shared" si="2293"/>
        <v>89383000</v>
      </c>
      <c r="C12772" t="str">
        <f t="shared" si="2294"/>
        <v>89383002</v>
      </c>
      <c r="D12772">
        <v>89301212</v>
      </c>
      <c r="E12772" t="str">
        <f>"395609437"</f>
        <v>395609437</v>
      </c>
      <c r="F12772" s="1">
        <v>45230</v>
      </c>
      <c r="G12772" t="str">
        <f>"89180"</f>
        <v>89180</v>
      </c>
      <c r="H12772">
        <v>2</v>
      </c>
      <c r="I12772">
        <v>762</v>
      </c>
      <c r="J12772">
        <v>0</v>
      </c>
      <c r="K12772" t="str">
        <f t="shared" si="2295"/>
        <v>809</v>
      </c>
      <c r="L12772">
        <v>1120.1400000000001</v>
      </c>
    </row>
    <row r="12773" spans="1:12" x14ac:dyDescent="0.25">
      <c r="A12773" t="str">
        <f t="shared" si="2292"/>
        <v>89301000</v>
      </c>
      <c r="B12773" t="str">
        <f t="shared" si="2293"/>
        <v>89383000</v>
      </c>
      <c r="C12773" t="str">
        <f t="shared" si="2294"/>
        <v>89383002</v>
      </c>
      <c r="D12773">
        <v>89301212</v>
      </c>
      <c r="E12773" t="str">
        <f>"395609437"</f>
        <v>395609437</v>
      </c>
      <c r="F12773" s="1">
        <v>45230</v>
      </c>
      <c r="G12773" t="str">
        <f>"89512"</f>
        <v>89512</v>
      </c>
      <c r="H12773">
        <v>1</v>
      </c>
      <c r="I12773">
        <v>283</v>
      </c>
      <c r="J12773">
        <v>0</v>
      </c>
      <c r="K12773" t="str">
        <f t="shared" si="2295"/>
        <v>809</v>
      </c>
      <c r="L12773">
        <v>416.01</v>
      </c>
    </row>
    <row r="12774" spans="1:12" x14ac:dyDescent="0.25">
      <c r="A12774" t="str">
        <f t="shared" si="2292"/>
        <v>89301000</v>
      </c>
      <c r="B12774" t="str">
        <f t="shared" si="2293"/>
        <v>89383000</v>
      </c>
      <c r="C12774" t="str">
        <f t="shared" si="2294"/>
        <v>89383002</v>
      </c>
      <c r="D12774">
        <v>89301212</v>
      </c>
      <c r="E12774" t="str">
        <f>"395609437"</f>
        <v>395609437</v>
      </c>
      <c r="F12774" s="1">
        <v>45230</v>
      </c>
      <c r="G12774" t="str">
        <f>"89513"</f>
        <v>89513</v>
      </c>
      <c r="H12774">
        <v>1</v>
      </c>
      <c r="I12774">
        <v>378</v>
      </c>
      <c r="J12774">
        <v>0</v>
      </c>
      <c r="K12774" t="str">
        <f t="shared" si="2295"/>
        <v>809</v>
      </c>
      <c r="L12774">
        <v>555.66</v>
      </c>
    </row>
    <row r="12775" spans="1:12" x14ac:dyDescent="0.25">
      <c r="A12775" t="str">
        <f t="shared" si="2292"/>
        <v>89301000</v>
      </c>
      <c r="B12775" t="str">
        <f t="shared" si="2293"/>
        <v>89383000</v>
      </c>
      <c r="C12775" t="str">
        <f t="shared" si="2294"/>
        <v>89383002</v>
      </c>
      <c r="D12775">
        <v>89301212</v>
      </c>
      <c r="E12775" t="str">
        <f>"395609437"</f>
        <v>395609437</v>
      </c>
      <c r="F12775" s="1">
        <v>45230</v>
      </c>
      <c r="G12775" t="str">
        <f>"89514"</f>
        <v>89514</v>
      </c>
      <c r="H12775">
        <v>1</v>
      </c>
      <c r="I12775">
        <v>378</v>
      </c>
      <c r="J12775">
        <v>0</v>
      </c>
      <c r="K12775" t="str">
        <f t="shared" si="2295"/>
        <v>809</v>
      </c>
      <c r="L12775">
        <v>555.66</v>
      </c>
    </row>
    <row r="12776" spans="1:12" x14ac:dyDescent="0.25">
      <c r="A12776" t="str">
        <f t="shared" si="2292"/>
        <v>89301000</v>
      </c>
      <c r="B12776" t="str">
        <f t="shared" si="2293"/>
        <v>89383000</v>
      </c>
      <c r="C12776" t="str">
        <f t="shared" si="2294"/>
        <v>89383002</v>
      </c>
      <c r="D12776">
        <v>89301292</v>
      </c>
      <c r="E12776" t="str">
        <f>"8961185706"</f>
        <v>8961185706</v>
      </c>
      <c r="F12776" s="1">
        <v>45230</v>
      </c>
      <c r="G12776" t="str">
        <f>"89512"</f>
        <v>89512</v>
      </c>
      <c r="H12776">
        <v>1</v>
      </c>
      <c r="I12776">
        <v>283</v>
      </c>
      <c r="J12776">
        <v>0</v>
      </c>
      <c r="K12776" t="str">
        <f t="shared" si="2295"/>
        <v>809</v>
      </c>
      <c r="L12776">
        <v>416.01</v>
      </c>
    </row>
    <row r="12777" spans="1:12" x14ac:dyDescent="0.25">
      <c r="A12777" t="str">
        <f t="shared" si="2292"/>
        <v>89301000</v>
      </c>
      <c r="B12777" t="str">
        <f t="shared" si="2293"/>
        <v>89383000</v>
      </c>
      <c r="C12777" t="str">
        <f t="shared" si="2294"/>
        <v>89383002</v>
      </c>
      <c r="D12777">
        <v>89301045</v>
      </c>
      <c r="E12777" t="str">
        <f>"7055164710"</f>
        <v>7055164710</v>
      </c>
      <c r="F12777" s="1">
        <v>45226</v>
      </c>
      <c r="G12777" t="str">
        <f>"89313"</f>
        <v>89313</v>
      </c>
      <c r="H12777">
        <v>1</v>
      </c>
      <c r="I12777">
        <v>420</v>
      </c>
      <c r="J12777">
        <v>0</v>
      </c>
      <c r="K12777" t="str">
        <f t="shared" si="2295"/>
        <v>809</v>
      </c>
      <c r="L12777">
        <v>617.4</v>
      </c>
    </row>
    <row r="12778" spans="1:12" x14ac:dyDescent="0.25">
      <c r="A12778" t="str">
        <f t="shared" si="2292"/>
        <v>89301000</v>
      </c>
      <c r="B12778" t="str">
        <f t="shared" si="2293"/>
        <v>89383000</v>
      </c>
      <c r="C12778" t="str">
        <f t="shared" si="2294"/>
        <v>89383002</v>
      </c>
      <c r="D12778">
        <v>89301045</v>
      </c>
      <c r="E12778" t="str">
        <f>"7055164710"</f>
        <v>7055164710</v>
      </c>
      <c r="F12778" s="1">
        <v>45226</v>
      </c>
      <c r="G12778" t="str">
        <f>"09233"</f>
        <v>09233</v>
      </c>
      <c r="H12778">
        <v>1</v>
      </c>
      <c r="I12778">
        <v>102</v>
      </c>
      <c r="J12778">
        <v>0</v>
      </c>
      <c r="K12778" t="str">
        <f t="shared" si="2295"/>
        <v>809</v>
      </c>
      <c r="L12778">
        <v>149.94</v>
      </c>
    </row>
    <row r="12779" spans="1:12" x14ac:dyDescent="0.25">
      <c r="A12779" t="str">
        <f t="shared" si="2292"/>
        <v>89301000</v>
      </c>
      <c r="B12779" t="str">
        <f t="shared" si="2293"/>
        <v>89383000</v>
      </c>
      <c r="C12779" t="str">
        <f t="shared" si="2294"/>
        <v>89383002</v>
      </c>
      <c r="D12779">
        <v>89301045</v>
      </c>
      <c r="E12779" t="str">
        <f>"7055164710"</f>
        <v>7055164710</v>
      </c>
      <c r="F12779" s="1">
        <v>45226</v>
      </c>
      <c r="G12779" t="str">
        <f>"89512"</f>
        <v>89512</v>
      </c>
      <c r="H12779">
        <v>1</v>
      </c>
      <c r="I12779">
        <v>283</v>
      </c>
      <c r="J12779">
        <v>0</v>
      </c>
      <c r="K12779" t="str">
        <f t="shared" si="2295"/>
        <v>809</v>
      </c>
      <c r="L12779">
        <v>416.01</v>
      </c>
    </row>
    <row r="12780" spans="1:12" x14ac:dyDescent="0.25">
      <c r="A12780" t="str">
        <f t="shared" si="2292"/>
        <v>89301000</v>
      </c>
      <c r="B12780" t="str">
        <f t="shared" si="2293"/>
        <v>89383000</v>
      </c>
      <c r="C12780" t="str">
        <f t="shared" si="2294"/>
        <v>89383002</v>
      </c>
      <c r="D12780">
        <v>89301045</v>
      </c>
      <c r="E12780" t="str">
        <f>"7055164710"</f>
        <v>7055164710</v>
      </c>
      <c r="F12780" s="1">
        <v>45226</v>
      </c>
      <c r="G12780" t="str">
        <f>"0225891"</f>
        <v>0225891</v>
      </c>
      <c r="H12780">
        <v>0.2</v>
      </c>
      <c r="J12780">
        <v>44.65</v>
      </c>
      <c r="K12780" t="str">
        <f t="shared" si="2295"/>
        <v>809</v>
      </c>
      <c r="L12780">
        <v>44.65</v>
      </c>
    </row>
    <row r="12781" spans="1:12" x14ac:dyDescent="0.25">
      <c r="A12781" t="str">
        <f t="shared" si="2292"/>
        <v>89301000</v>
      </c>
      <c r="B12781" t="str">
        <f t="shared" si="2293"/>
        <v>89383000</v>
      </c>
      <c r="C12781" t="str">
        <f t="shared" si="2294"/>
        <v>89383002</v>
      </c>
      <c r="D12781">
        <v>89301045</v>
      </c>
      <c r="E12781" t="str">
        <f>"7055164710"</f>
        <v>7055164710</v>
      </c>
      <c r="F12781" s="1">
        <v>45226</v>
      </c>
      <c r="G12781" t="str">
        <f>"0142906"</f>
        <v>0142906</v>
      </c>
      <c r="H12781">
        <v>1</v>
      </c>
      <c r="J12781">
        <v>6990</v>
      </c>
      <c r="K12781" t="str">
        <f t="shared" si="2295"/>
        <v>809</v>
      </c>
      <c r="L12781">
        <v>6990</v>
      </c>
    </row>
    <row r="12782" spans="1:12" x14ac:dyDescent="0.25">
      <c r="A12782" t="str">
        <f t="shared" si="2292"/>
        <v>89301000</v>
      </c>
      <c r="B12782" t="str">
        <f t="shared" si="2293"/>
        <v>89383000</v>
      </c>
      <c r="C12782" t="str">
        <f t="shared" si="2294"/>
        <v>89383002</v>
      </c>
      <c r="D12782">
        <v>89301045</v>
      </c>
      <c r="E12782" t="str">
        <f t="shared" ref="E12782:E12787" si="2296">"5453231696"</f>
        <v>5453231696</v>
      </c>
      <c r="F12782" s="1">
        <v>45182</v>
      </c>
      <c r="G12782" t="str">
        <f>"89313"</f>
        <v>89313</v>
      </c>
      <c r="H12782">
        <v>1</v>
      </c>
      <c r="I12782">
        <v>420</v>
      </c>
      <c r="J12782">
        <v>0</v>
      </c>
      <c r="K12782" t="str">
        <f t="shared" si="2295"/>
        <v>809</v>
      </c>
      <c r="L12782">
        <v>617.4</v>
      </c>
    </row>
    <row r="12783" spans="1:12" x14ac:dyDescent="0.25">
      <c r="A12783" t="str">
        <f t="shared" si="2292"/>
        <v>89301000</v>
      </c>
      <c r="B12783" t="str">
        <f t="shared" si="2293"/>
        <v>89383000</v>
      </c>
      <c r="C12783" t="str">
        <f t="shared" si="2294"/>
        <v>89383002</v>
      </c>
      <c r="D12783">
        <v>89301045</v>
      </c>
      <c r="E12783" t="str">
        <f t="shared" si="2296"/>
        <v>5453231696</v>
      </c>
      <c r="F12783" s="1">
        <v>45182</v>
      </c>
      <c r="G12783" t="str">
        <f>"09233"</f>
        <v>09233</v>
      </c>
      <c r="H12783">
        <v>1</v>
      </c>
      <c r="I12783">
        <v>102</v>
      </c>
      <c r="J12783">
        <v>0</v>
      </c>
      <c r="K12783" t="str">
        <f t="shared" si="2295"/>
        <v>809</v>
      </c>
      <c r="L12783">
        <v>149.94</v>
      </c>
    </row>
    <row r="12784" spans="1:12" x14ac:dyDescent="0.25">
      <c r="A12784" t="str">
        <f t="shared" si="2292"/>
        <v>89301000</v>
      </c>
      <c r="B12784" t="str">
        <f t="shared" si="2293"/>
        <v>89383000</v>
      </c>
      <c r="C12784" t="str">
        <f t="shared" si="2294"/>
        <v>89383002</v>
      </c>
      <c r="D12784">
        <v>89301045</v>
      </c>
      <c r="E12784" t="str">
        <f t="shared" si="2296"/>
        <v>5453231696</v>
      </c>
      <c r="F12784" s="1">
        <v>45182</v>
      </c>
      <c r="G12784" t="str">
        <f>"89512"</f>
        <v>89512</v>
      </c>
      <c r="H12784">
        <v>1</v>
      </c>
      <c r="I12784">
        <v>283</v>
      </c>
      <c r="J12784">
        <v>0</v>
      </c>
      <c r="K12784" t="str">
        <f t="shared" si="2295"/>
        <v>809</v>
      </c>
      <c r="L12784">
        <v>416.01</v>
      </c>
    </row>
    <row r="12785" spans="1:12" x14ac:dyDescent="0.25">
      <c r="A12785" t="str">
        <f t="shared" si="2292"/>
        <v>89301000</v>
      </c>
      <c r="B12785" t="str">
        <f t="shared" si="2293"/>
        <v>89383000</v>
      </c>
      <c r="C12785" t="str">
        <f t="shared" si="2294"/>
        <v>89383002</v>
      </c>
      <c r="D12785">
        <v>89301045</v>
      </c>
      <c r="E12785" t="str">
        <f t="shared" si="2296"/>
        <v>5453231696</v>
      </c>
      <c r="F12785" s="1">
        <v>45182</v>
      </c>
      <c r="G12785" t="str">
        <f>"89180"</f>
        <v>89180</v>
      </c>
      <c r="H12785">
        <v>1</v>
      </c>
      <c r="I12785">
        <v>381</v>
      </c>
      <c r="J12785">
        <v>0</v>
      </c>
      <c r="K12785" t="str">
        <f t="shared" si="2295"/>
        <v>809</v>
      </c>
      <c r="L12785">
        <v>560.07000000000005</v>
      </c>
    </row>
    <row r="12786" spans="1:12" x14ac:dyDescent="0.25">
      <c r="A12786" t="str">
        <f t="shared" si="2292"/>
        <v>89301000</v>
      </c>
      <c r="B12786" t="str">
        <f t="shared" si="2293"/>
        <v>89383000</v>
      </c>
      <c r="C12786" t="str">
        <f t="shared" si="2294"/>
        <v>89383002</v>
      </c>
      <c r="D12786">
        <v>89301045</v>
      </c>
      <c r="E12786" t="str">
        <f t="shared" si="2296"/>
        <v>5453231696</v>
      </c>
      <c r="F12786" s="1">
        <v>45182</v>
      </c>
      <c r="G12786" t="str">
        <f>"0093109"</f>
        <v>0093109</v>
      </c>
      <c r="H12786">
        <v>0.05</v>
      </c>
      <c r="J12786">
        <v>13.55</v>
      </c>
      <c r="K12786" t="str">
        <f t="shared" si="2295"/>
        <v>809</v>
      </c>
      <c r="L12786">
        <v>13.55</v>
      </c>
    </row>
    <row r="12787" spans="1:12" x14ac:dyDescent="0.25">
      <c r="A12787" t="str">
        <f t="shared" si="2292"/>
        <v>89301000</v>
      </c>
      <c r="B12787" t="str">
        <f t="shared" si="2293"/>
        <v>89383000</v>
      </c>
      <c r="C12787" t="str">
        <f t="shared" si="2294"/>
        <v>89383002</v>
      </c>
      <c r="D12787">
        <v>89301045</v>
      </c>
      <c r="E12787" t="str">
        <f t="shared" si="2296"/>
        <v>5453231696</v>
      </c>
      <c r="F12787" s="1">
        <v>45182</v>
      </c>
      <c r="G12787" t="str">
        <f>"0142906"</f>
        <v>0142906</v>
      </c>
      <c r="H12787">
        <v>1</v>
      </c>
      <c r="J12787">
        <v>6990</v>
      </c>
      <c r="K12787" t="str">
        <f t="shared" si="2295"/>
        <v>809</v>
      </c>
      <c r="L12787">
        <v>6990</v>
      </c>
    </row>
    <row r="12788" spans="1:12" x14ac:dyDescent="0.25">
      <c r="A12788" t="str">
        <f t="shared" si="2292"/>
        <v>89301000</v>
      </c>
      <c r="B12788" t="str">
        <f>"93482000"</f>
        <v>93482000</v>
      </c>
      <c r="C12788" t="str">
        <f>"93482001"</f>
        <v>93482001</v>
      </c>
      <c r="D12788">
        <v>89301042</v>
      </c>
      <c r="E12788" t="str">
        <f>"441215766"</f>
        <v>441215766</v>
      </c>
      <c r="F12788" s="1">
        <v>45204</v>
      </c>
      <c r="G12788" t="str">
        <f>"89131"</f>
        <v>89131</v>
      </c>
      <c r="H12788">
        <v>1</v>
      </c>
      <c r="I12788">
        <v>190</v>
      </c>
      <c r="J12788">
        <v>0</v>
      </c>
      <c r="K12788" t="str">
        <f t="shared" si="2295"/>
        <v>809</v>
      </c>
      <c r="L12788">
        <v>279.3</v>
      </c>
    </row>
    <row r="12789" spans="1:12" x14ac:dyDescent="0.25">
      <c r="A12789" t="str">
        <f t="shared" si="2292"/>
        <v>89301000</v>
      </c>
      <c r="B12789" t="str">
        <f>"91950000"</f>
        <v>91950000</v>
      </c>
      <c r="C12789" t="str">
        <f>"91950028"</f>
        <v>91950028</v>
      </c>
      <c r="D12789">
        <v>89301212</v>
      </c>
      <c r="E12789" t="str">
        <f>"5461282651"</f>
        <v>5461282651</v>
      </c>
      <c r="F12789" s="1">
        <v>45210</v>
      </c>
      <c r="G12789" t="str">
        <f>"89131"</f>
        <v>89131</v>
      </c>
      <c r="H12789">
        <v>1</v>
      </c>
      <c r="I12789">
        <v>190</v>
      </c>
      <c r="J12789">
        <v>0</v>
      </c>
      <c r="K12789" t="str">
        <f t="shared" si="2295"/>
        <v>809</v>
      </c>
      <c r="L12789">
        <v>279.3</v>
      </c>
    </row>
    <row r="12790" spans="1:12" x14ac:dyDescent="0.25">
      <c r="A12790" t="str">
        <f t="shared" si="2292"/>
        <v>89301000</v>
      </c>
      <c r="B12790" t="str">
        <f>"91950000"</f>
        <v>91950000</v>
      </c>
      <c r="C12790" t="str">
        <f>"91950028"</f>
        <v>91950028</v>
      </c>
      <c r="D12790">
        <v>89301212</v>
      </c>
      <c r="E12790" t="str">
        <f>"5461282651"</f>
        <v>5461282651</v>
      </c>
      <c r="F12790" s="1">
        <v>45210</v>
      </c>
      <c r="G12790" t="str">
        <f>"89512"</f>
        <v>89512</v>
      </c>
      <c r="H12790">
        <v>1</v>
      </c>
      <c r="I12790">
        <v>283</v>
      </c>
      <c r="J12790">
        <v>0</v>
      </c>
      <c r="K12790" t="str">
        <f t="shared" si="2295"/>
        <v>809</v>
      </c>
      <c r="L12790">
        <v>416.01</v>
      </c>
    </row>
    <row r="12791" spans="1:12" x14ac:dyDescent="0.25">
      <c r="A12791" t="str">
        <f t="shared" si="2292"/>
        <v>89301000</v>
      </c>
      <c r="B12791" t="str">
        <f>"91950000"</f>
        <v>91950000</v>
      </c>
      <c r="C12791" t="str">
        <f>"91950028"</f>
        <v>91950028</v>
      </c>
      <c r="D12791">
        <v>89301212</v>
      </c>
      <c r="E12791" t="str">
        <f>"5461282651"</f>
        <v>5461282651</v>
      </c>
      <c r="F12791" s="1">
        <v>45210</v>
      </c>
      <c r="G12791" t="str">
        <f>"89514"</f>
        <v>89514</v>
      </c>
      <c r="H12791">
        <v>1</v>
      </c>
      <c r="I12791">
        <v>378</v>
      </c>
      <c r="J12791">
        <v>0</v>
      </c>
      <c r="K12791" t="str">
        <f t="shared" si="2295"/>
        <v>809</v>
      </c>
      <c r="L12791">
        <v>555.66</v>
      </c>
    </row>
    <row r="12792" spans="1:12" x14ac:dyDescent="0.25">
      <c r="A12792" t="str">
        <f t="shared" si="2292"/>
        <v>89301000</v>
      </c>
      <c r="B12792" t="str">
        <f>"91950000"</f>
        <v>91950000</v>
      </c>
      <c r="C12792" t="str">
        <f>"91950028"</f>
        <v>91950028</v>
      </c>
      <c r="D12792">
        <v>89301212</v>
      </c>
      <c r="E12792" t="str">
        <f>"5461282651"</f>
        <v>5461282651</v>
      </c>
      <c r="F12792" s="1">
        <v>45210</v>
      </c>
      <c r="G12792" t="str">
        <f>"89513"</f>
        <v>89513</v>
      </c>
      <c r="H12792">
        <v>1</v>
      </c>
      <c r="I12792">
        <v>378</v>
      </c>
      <c r="J12792">
        <v>0</v>
      </c>
      <c r="K12792" t="str">
        <f t="shared" si="2295"/>
        <v>809</v>
      </c>
      <c r="L12792">
        <v>555.66</v>
      </c>
    </row>
    <row r="12793" spans="1:12" x14ac:dyDescent="0.25">
      <c r="A12793" t="str">
        <f t="shared" si="2292"/>
        <v>89301000</v>
      </c>
      <c r="B12793" t="str">
        <f>"78934000"</f>
        <v>78934000</v>
      </c>
      <c r="C12793" t="str">
        <f>"78934001"</f>
        <v>78934001</v>
      </c>
      <c r="D12793">
        <v>89301215</v>
      </c>
      <c r="E12793" t="str">
        <f>"6008301640"</f>
        <v>6008301640</v>
      </c>
      <c r="F12793" s="1">
        <v>45202</v>
      </c>
      <c r="G12793" t="str">
        <f>"09139"</f>
        <v>09139</v>
      </c>
      <c r="H12793">
        <v>1</v>
      </c>
      <c r="I12793">
        <v>356</v>
      </c>
      <c r="J12793">
        <v>0</v>
      </c>
      <c r="K12793" t="str">
        <f t="shared" si="2295"/>
        <v>809</v>
      </c>
      <c r="L12793">
        <v>523.32000000000005</v>
      </c>
    </row>
    <row r="12794" spans="1:12" x14ac:dyDescent="0.25">
      <c r="A12794" t="str">
        <f t="shared" si="2292"/>
        <v>89301000</v>
      </c>
      <c r="B12794" t="str">
        <f>"78934000"</f>
        <v>78934000</v>
      </c>
      <c r="C12794" t="str">
        <f>"78934001"</f>
        <v>78934001</v>
      </c>
      <c r="D12794">
        <v>89301172</v>
      </c>
      <c r="E12794" t="str">
        <f>"0461195262"</f>
        <v>0461195262</v>
      </c>
      <c r="F12794" s="1">
        <v>45219</v>
      </c>
      <c r="G12794" t="str">
        <f>"89513"</f>
        <v>89513</v>
      </c>
      <c r="H12794">
        <v>1</v>
      </c>
      <c r="I12794">
        <v>378</v>
      </c>
      <c r="J12794">
        <v>0</v>
      </c>
      <c r="K12794" t="str">
        <f t="shared" si="2295"/>
        <v>809</v>
      </c>
      <c r="L12794">
        <v>555.66</v>
      </c>
    </row>
    <row r="12795" spans="1:12" x14ac:dyDescent="0.25">
      <c r="A12795" t="str">
        <f t="shared" si="2292"/>
        <v>89301000</v>
      </c>
      <c r="B12795" t="str">
        <f>"78934000"</f>
        <v>78934000</v>
      </c>
      <c r="C12795" t="str">
        <f>"78934001"</f>
        <v>78934001</v>
      </c>
      <c r="D12795">
        <v>89301172</v>
      </c>
      <c r="E12795" t="str">
        <f>"0461195262"</f>
        <v>0461195262</v>
      </c>
      <c r="F12795" s="1">
        <v>45219</v>
      </c>
      <c r="G12795" t="str">
        <f>"89514"</f>
        <v>89514</v>
      </c>
      <c r="H12795">
        <v>1</v>
      </c>
      <c r="I12795">
        <v>378</v>
      </c>
      <c r="J12795">
        <v>0</v>
      </c>
      <c r="K12795" t="str">
        <f t="shared" si="2295"/>
        <v>809</v>
      </c>
      <c r="L12795">
        <v>555.66</v>
      </c>
    </row>
    <row r="12796" spans="1:12" x14ac:dyDescent="0.25">
      <c r="A12796" t="str">
        <f t="shared" si="2292"/>
        <v>89301000</v>
      </c>
      <c r="B12796" t="str">
        <f>"78934000"</f>
        <v>78934000</v>
      </c>
      <c r="C12796" t="str">
        <f>"78934001"</f>
        <v>78934001</v>
      </c>
      <c r="D12796">
        <v>89301172</v>
      </c>
      <c r="E12796" t="str">
        <f>"0461195262"</f>
        <v>0461195262</v>
      </c>
      <c r="F12796" s="1">
        <v>45219</v>
      </c>
      <c r="G12796" t="str">
        <f>"89131"</f>
        <v>89131</v>
      </c>
      <c r="H12796">
        <v>1</v>
      </c>
      <c r="I12796">
        <v>190</v>
      </c>
      <c r="J12796">
        <v>0</v>
      </c>
      <c r="K12796" t="str">
        <f t="shared" si="2295"/>
        <v>809</v>
      </c>
      <c r="L12796">
        <v>279.3</v>
      </c>
    </row>
    <row r="12797" spans="1:12" x14ac:dyDescent="0.25">
      <c r="A12797" t="str">
        <f t="shared" si="2292"/>
        <v>89301000</v>
      </c>
      <c r="B12797" t="str">
        <f t="shared" ref="B12797:B12803" si="2297">"85600000"</f>
        <v>85600000</v>
      </c>
      <c r="C12797" t="str">
        <f t="shared" ref="C12797:C12803" si="2298">"85600421"</f>
        <v>85600421</v>
      </c>
      <c r="D12797">
        <v>89301212</v>
      </c>
      <c r="E12797" t="str">
        <f>"7455264850"</f>
        <v>7455264850</v>
      </c>
      <c r="F12797" s="1">
        <v>45215</v>
      </c>
      <c r="G12797" t="str">
        <f>"89180"</f>
        <v>89180</v>
      </c>
      <c r="H12797">
        <v>1</v>
      </c>
      <c r="I12797">
        <v>381</v>
      </c>
      <c r="J12797">
        <v>0</v>
      </c>
      <c r="K12797" t="str">
        <f t="shared" ref="K12797:K12804" si="2299">"809"</f>
        <v>809</v>
      </c>
      <c r="L12797">
        <v>560.07000000000005</v>
      </c>
    </row>
    <row r="12798" spans="1:12" x14ac:dyDescent="0.25">
      <c r="A12798" t="str">
        <f t="shared" si="2292"/>
        <v>89301000</v>
      </c>
      <c r="B12798" t="str">
        <f t="shared" si="2297"/>
        <v>85600000</v>
      </c>
      <c r="C12798" t="str">
        <f t="shared" si="2298"/>
        <v>85600421</v>
      </c>
      <c r="D12798">
        <v>89301212</v>
      </c>
      <c r="E12798" t="str">
        <f>"7455264850"</f>
        <v>7455264850</v>
      </c>
      <c r="F12798" s="1">
        <v>45215</v>
      </c>
      <c r="G12798" t="str">
        <f>"89180"</f>
        <v>89180</v>
      </c>
      <c r="H12798">
        <v>1</v>
      </c>
      <c r="I12798">
        <v>381</v>
      </c>
      <c r="J12798">
        <v>0</v>
      </c>
      <c r="K12798" t="str">
        <f t="shared" si="2299"/>
        <v>809</v>
      </c>
      <c r="L12798">
        <v>560.07000000000005</v>
      </c>
    </row>
    <row r="12799" spans="1:12" x14ac:dyDescent="0.25">
      <c r="A12799" t="str">
        <f t="shared" si="2292"/>
        <v>89301000</v>
      </c>
      <c r="B12799" t="str">
        <f t="shared" si="2297"/>
        <v>85600000</v>
      </c>
      <c r="C12799" t="str">
        <f t="shared" si="2298"/>
        <v>85600421</v>
      </c>
      <c r="D12799">
        <v>89301212</v>
      </c>
      <c r="E12799" t="str">
        <f>"7455264850"</f>
        <v>7455264850</v>
      </c>
      <c r="F12799" s="1">
        <v>45215</v>
      </c>
      <c r="G12799" t="str">
        <f>"89517"</f>
        <v>89517</v>
      </c>
      <c r="H12799">
        <v>1</v>
      </c>
      <c r="I12799">
        <v>994</v>
      </c>
      <c r="J12799">
        <v>0</v>
      </c>
      <c r="K12799" t="str">
        <f t="shared" si="2299"/>
        <v>809</v>
      </c>
      <c r="L12799">
        <v>1461.18</v>
      </c>
    </row>
    <row r="12800" spans="1:12" x14ac:dyDescent="0.25">
      <c r="A12800" t="str">
        <f t="shared" si="2292"/>
        <v>89301000</v>
      </c>
      <c r="B12800" t="str">
        <f t="shared" si="2297"/>
        <v>85600000</v>
      </c>
      <c r="C12800" t="str">
        <f t="shared" si="2298"/>
        <v>85600421</v>
      </c>
      <c r="D12800">
        <v>89301212</v>
      </c>
      <c r="E12800" t="str">
        <f>"7455264850"</f>
        <v>7455264850</v>
      </c>
      <c r="F12800" s="1">
        <v>45215</v>
      </c>
      <c r="G12800" t="str">
        <f>"89512"</f>
        <v>89512</v>
      </c>
      <c r="H12800">
        <v>1</v>
      </c>
      <c r="I12800">
        <v>283</v>
      </c>
      <c r="J12800">
        <v>0</v>
      </c>
      <c r="K12800" t="str">
        <f t="shared" si="2299"/>
        <v>809</v>
      </c>
      <c r="L12800">
        <v>416.01</v>
      </c>
    </row>
    <row r="12801" spans="1:12" x14ac:dyDescent="0.25">
      <c r="A12801" t="str">
        <f t="shared" si="2292"/>
        <v>89301000</v>
      </c>
      <c r="B12801" t="str">
        <f t="shared" si="2297"/>
        <v>85600000</v>
      </c>
      <c r="C12801" t="str">
        <f t="shared" si="2298"/>
        <v>85600421</v>
      </c>
      <c r="D12801">
        <v>89301042</v>
      </c>
      <c r="E12801" t="str">
        <f>"506216080"</f>
        <v>506216080</v>
      </c>
      <c r="F12801" s="1">
        <v>45201</v>
      </c>
      <c r="G12801" t="str">
        <f>"89517"</f>
        <v>89517</v>
      </c>
      <c r="H12801">
        <v>1</v>
      </c>
      <c r="I12801">
        <v>994</v>
      </c>
      <c r="J12801">
        <v>0</v>
      </c>
      <c r="K12801" t="str">
        <f t="shared" si="2299"/>
        <v>809</v>
      </c>
      <c r="L12801">
        <v>1461.18</v>
      </c>
    </row>
    <row r="12802" spans="1:12" x14ac:dyDescent="0.25">
      <c r="A12802" t="str">
        <f t="shared" ref="A12802:A12865" si="2300">"89301000"</f>
        <v>89301000</v>
      </c>
      <c r="B12802" t="str">
        <f t="shared" si="2297"/>
        <v>85600000</v>
      </c>
      <c r="C12802" t="str">
        <f t="shared" si="2298"/>
        <v>85600421</v>
      </c>
      <c r="D12802">
        <v>89301042</v>
      </c>
      <c r="E12802" t="str">
        <f>"506216080"</f>
        <v>506216080</v>
      </c>
      <c r="F12802" s="1">
        <v>45201</v>
      </c>
      <c r="G12802" t="str">
        <f>"89514"</f>
        <v>89514</v>
      </c>
      <c r="H12802">
        <v>1</v>
      </c>
      <c r="I12802">
        <v>378</v>
      </c>
      <c r="J12802">
        <v>0</v>
      </c>
      <c r="K12802" t="str">
        <f t="shared" si="2299"/>
        <v>809</v>
      </c>
      <c r="L12802">
        <v>555.66</v>
      </c>
    </row>
    <row r="12803" spans="1:12" x14ac:dyDescent="0.25">
      <c r="A12803" t="str">
        <f t="shared" si="2300"/>
        <v>89301000</v>
      </c>
      <c r="B12803" t="str">
        <f t="shared" si="2297"/>
        <v>85600000</v>
      </c>
      <c r="C12803" t="str">
        <f t="shared" si="2298"/>
        <v>85600421</v>
      </c>
      <c r="D12803">
        <v>89301042</v>
      </c>
      <c r="E12803" t="str">
        <f>"506216080"</f>
        <v>506216080</v>
      </c>
      <c r="F12803" s="1">
        <v>45201</v>
      </c>
      <c r="G12803" t="str">
        <f>"89513"</f>
        <v>89513</v>
      </c>
      <c r="H12803">
        <v>1</v>
      </c>
      <c r="I12803">
        <v>378</v>
      </c>
      <c r="J12803">
        <v>0</v>
      </c>
      <c r="K12803" t="str">
        <f t="shared" si="2299"/>
        <v>809</v>
      </c>
      <c r="L12803">
        <v>555.66</v>
      </c>
    </row>
    <row r="12804" spans="1:12" x14ac:dyDescent="0.25">
      <c r="A12804" t="str">
        <f t="shared" si="2300"/>
        <v>89301000</v>
      </c>
      <c r="B12804" t="str">
        <f>"89100260"</f>
        <v>89100260</v>
      </c>
      <c r="C12804" t="str">
        <f>"89100261"</f>
        <v>89100261</v>
      </c>
      <c r="D12804">
        <v>89301112</v>
      </c>
      <c r="E12804" t="str">
        <f>"9659223816"</f>
        <v>9659223816</v>
      </c>
      <c r="F12804" s="1">
        <v>45202</v>
      </c>
      <c r="G12804" t="str">
        <f>"89123"</f>
        <v>89123</v>
      </c>
      <c r="H12804">
        <v>2</v>
      </c>
      <c r="I12804">
        <v>282</v>
      </c>
      <c r="J12804">
        <v>0</v>
      </c>
      <c r="K12804" t="str">
        <f t="shared" si="2299"/>
        <v>809</v>
      </c>
      <c r="L12804">
        <v>414.54</v>
      </c>
    </row>
    <row r="12805" spans="1:12" x14ac:dyDescent="0.25">
      <c r="A12805" t="str">
        <f t="shared" si="2300"/>
        <v>89301000</v>
      </c>
      <c r="B12805" t="str">
        <f t="shared" ref="B12805:B12868" si="2301">"06539000"</f>
        <v>06539000</v>
      </c>
      <c r="C12805" t="str">
        <f t="shared" ref="C12805:C12836" si="2302">"06539003"</f>
        <v>06539003</v>
      </c>
      <c r="D12805">
        <v>89301171</v>
      </c>
      <c r="E12805" t="str">
        <f t="shared" ref="E12805:E12832" si="2303">"7056184938"</f>
        <v>7056184938</v>
      </c>
      <c r="F12805" s="1">
        <v>45182</v>
      </c>
      <c r="G12805" t="str">
        <f t="shared" ref="G12805:G12814" si="2304">"91413"</f>
        <v>91413</v>
      </c>
      <c r="H12805">
        <v>1</v>
      </c>
      <c r="I12805">
        <v>868</v>
      </c>
      <c r="J12805">
        <v>0</v>
      </c>
      <c r="K12805" t="str">
        <f t="shared" ref="K12805:K12836" si="2305">"813"</f>
        <v>813</v>
      </c>
      <c r="L12805">
        <v>729.12</v>
      </c>
    </row>
    <row r="12806" spans="1:12" x14ac:dyDescent="0.25">
      <c r="A12806" t="str">
        <f t="shared" si="2300"/>
        <v>89301000</v>
      </c>
      <c r="B12806" t="str">
        <f t="shared" si="2301"/>
        <v>06539000</v>
      </c>
      <c r="C12806" t="str">
        <f t="shared" si="2302"/>
        <v>06539003</v>
      </c>
      <c r="D12806">
        <v>89301171</v>
      </c>
      <c r="E12806" t="str">
        <f t="shared" si="2303"/>
        <v>7056184938</v>
      </c>
      <c r="F12806" s="1">
        <v>45182</v>
      </c>
      <c r="G12806" t="str">
        <f t="shared" si="2304"/>
        <v>91413</v>
      </c>
      <c r="H12806">
        <v>1</v>
      </c>
      <c r="I12806">
        <v>868</v>
      </c>
      <c r="J12806">
        <v>0</v>
      </c>
      <c r="K12806" t="str">
        <f t="shared" si="2305"/>
        <v>813</v>
      </c>
      <c r="L12806">
        <v>729.12</v>
      </c>
    </row>
    <row r="12807" spans="1:12" x14ac:dyDescent="0.25">
      <c r="A12807" t="str">
        <f t="shared" si="2300"/>
        <v>89301000</v>
      </c>
      <c r="B12807" t="str">
        <f t="shared" si="2301"/>
        <v>06539000</v>
      </c>
      <c r="C12807" t="str">
        <f t="shared" si="2302"/>
        <v>06539003</v>
      </c>
      <c r="D12807">
        <v>89301171</v>
      </c>
      <c r="E12807" t="str">
        <f t="shared" si="2303"/>
        <v>7056184938</v>
      </c>
      <c r="F12807" s="1">
        <v>45202</v>
      </c>
      <c r="G12807" t="str">
        <f t="shared" si="2304"/>
        <v>91413</v>
      </c>
      <c r="H12807">
        <v>1</v>
      </c>
      <c r="I12807">
        <v>868</v>
      </c>
      <c r="J12807">
        <v>0</v>
      </c>
      <c r="K12807" t="str">
        <f t="shared" si="2305"/>
        <v>813</v>
      </c>
      <c r="L12807">
        <v>729.12</v>
      </c>
    </row>
    <row r="12808" spans="1:12" x14ac:dyDescent="0.25">
      <c r="A12808" t="str">
        <f t="shared" si="2300"/>
        <v>89301000</v>
      </c>
      <c r="B12808" t="str">
        <f t="shared" si="2301"/>
        <v>06539000</v>
      </c>
      <c r="C12808" t="str">
        <f t="shared" si="2302"/>
        <v>06539003</v>
      </c>
      <c r="D12808">
        <v>89301171</v>
      </c>
      <c r="E12808" t="str">
        <f t="shared" si="2303"/>
        <v>7056184938</v>
      </c>
      <c r="F12808" s="1">
        <v>45202</v>
      </c>
      <c r="G12808" t="str">
        <f t="shared" si="2304"/>
        <v>91413</v>
      </c>
      <c r="H12808">
        <v>1</v>
      </c>
      <c r="I12808">
        <v>868</v>
      </c>
      <c r="J12808">
        <v>0</v>
      </c>
      <c r="K12808" t="str">
        <f t="shared" si="2305"/>
        <v>813</v>
      </c>
      <c r="L12808">
        <v>729.12</v>
      </c>
    </row>
    <row r="12809" spans="1:12" x14ac:dyDescent="0.25">
      <c r="A12809" t="str">
        <f t="shared" si="2300"/>
        <v>89301000</v>
      </c>
      <c r="B12809" t="str">
        <f t="shared" si="2301"/>
        <v>06539000</v>
      </c>
      <c r="C12809" t="str">
        <f t="shared" si="2302"/>
        <v>06539003</v>
      </c>
      <c r="D12809">
        <v>89301171</v>
      </c>
      <c r="E12809" t="str">
        <f t="shared" si="2303"/>
        <v>7056184938</v>
      </c>
      <c r="F12809" s="1">
        <v>45201</v>
      </c>
      <c r="G12809" t="str">
        <f t="shared" si="2304"/>
        <v>91413</v>
      </c>
      <c r="H12809">
        <v>1</v>
      </c>
      <c r="I12809">
        <v>868</v>
      </c>
      <c r="J12809">
        <v>0</v>
      </c>
      <c r="K12809" t="str">
        <f t="shared" si="2305"/>
        <v>813</v>
      </c>
      <c r="L12809">
        <v>729.12</v>
      </c>
    </row>
    <row r="12810" spans="1:12" x14ac:dyDescent="0.25">
      <c r="A12810" t="str">
        <f t="shared" si="2300"/>
        <v>89301000</v>
      </c>
      <c r="B12810" t="str">
        <f t="shared" si="2301"/>
        <v>06539000</v>
      </c>
      <c r="C12810" t="str">
        <f t="shared" si="2302"/>
        <v>06539003</v>
      </c>
      <c r="D12810">
        <v>89301171</v>
      </c>
      <c r="E12810" t="str">
        <f t="shared" si="2303"/>
        <v>7056184938</v>
      </c>
      <c r="F12810" s="1">
        <v>45201</v>
      </c>
      <c r="G12810" t="str">
        <f t="shared" si="2304"/>
        <v>91413</v>
      </c>
      <c r="H12810">
        <v>1</v>
      </c>
      <c r="I12810">
        <v>868</v>
      </c>
      <c r="J12810">
        <v>0</v>
      </c>
      <c r="K12810" t="str">
        <f t="shared" si="2305"/>
        <v>813</v>
      </c>
      <c r="L12810">
        <v>729.12</v>
      </c>
    </row>
    <row r="12811" spans="1:12" x14ac:dyDescent="0.25">
      <c r="A12811" t="str">
        <f t="shared" si="2300"/>
        <v>89301000</v>
      </c>
      <c r="B12811" t="str">
        <f t="shared" si="2301"/>
        <v>06539000</v>
      </c>
      <c r="C12811" t="str">
        <f t="shared" si="2302"/>
        <v>06539003</v>
      </c>
      <c r="D12811">
        <v>89301171</v>
      </c>
      <c r="E12811" t="str">
        <f t="shared" si="2303"/>
        <v>7056184938</v>
      </c>
      <c r="F12811" s="1">
        <v>45202</v>
      </c>
      <c r="G12811" t="str">
        <f t="shared" si="2304"/>
        <v>91413</v>
      </c>
      <c r="H12811">
        <v>1</v>
      </c>
      <c r="I12811">
        <v>868</v>
      </c>
      <c r="J12811">
        <v>0</v>
      </c>
      <c r="K12811" t="str">
        <f t="shared" si="2305"/>
        <v>813</v>
      </c>
      <c r="L12811">
        <v>729.12</v>
      </c>
    </row>
    <row r="12812" spans="1:12" x14ac:dyDescent="0.25">
      <c r="A12812" t="str">
        <f t="shared" si="2300"/>
        <v>89301000</v>
      </c>
      <c r="B12812" t="str">
        <f t="shared" si="2301"/>
        <v>06539000</v>
      </c>
      <c r="C12812" t="str">
        <f t="shared" si="2302"/>
        <v>06539003</v>
      </c>
      <c r="D12812">
        <v>89301171</v>
      </c>
      <c r="E12812" t="str">
        <f t="shared" si="2303"/>
        <v>7056184938</v>
      </c>
      <c r="F12812" s="1">
        <v>45202</v>
      </c>
      <c r="G12812" t="str">
        <f t="shared" si="2304"/>
        <v>91413</v>
      </c>
      <c r="H12812">
        <v>1</v>
      </c>
      <c r="I12812">
        <v>868</v>
      </c>
      <c r="J12812">
        <v>0</v>
      </c>
      <c r="K12812" t="str">
        <f t="shared" si="2305"/>
        <v>813</v>
      </c>
      <c r="L12812">
        <v>729.12</v>
      </c>
    </row>
    <row r="12813" spans="1:12" x14ac:dyDescent="0.25">
      <c r="A12813" t="str">
        <f t="shared" si="2300"/>
        <v>89301000</v>
      </c>
      <c r="B12813" t="str">
        <f t="shared" si="2301"/>
        <v>06539000</v>
      </c>
      <c r="C12813" t="str">
        <f t="shared" si="2302"/>
        <v>06539003</v>
      </c>
      <c r="D12813">
        <v>89301171</v>
      </c>
      <c r="E12813" t="str">
        <f t="shared" si="2303"/>
        <v>7056184938</v>
      </c>
      <c r="F12813" s="1">
        <v>45202</v>
      </c>
      <c r="G12813" t="str">
        <f t="shared" si="2304"/>
        <v>91413</v>
      </c>
      <c r="H12813">
        <v>1</v>
      </c>
      <c r="I12813">
        <v>868</v>
      </c>
      <c r="J12813">
        <v>0</v>
      </c>
      <c r="K12813" t="str">
        <f t="shared" si="2305"/>
        <v>813</v>
      </c>
      <c r="L12813">
        <v>729.12</v>
      </c>
    </row>
    <row r="12814" spans="1:12" x14ac:dyDescent="0.25">
      <c r="A12814" t="str">
        <f t="shared" si="2300"/>
        <v>89301000</v>
      </c>
      <c r="B12814" t="str">
        <f t="shared" si="2301"/>
        <v>06539000</v>
      </c>
      <c r="C12814" t="str">
        <f t="shared" si="2302"/>
        <v>06539003</v>
      </c>
      <c r="D12814">
        <v>89301171</v>
      </c>
      <c r="E12814" t="str">
        <f t="shared" si="2303"/>
        <v>7056184938</v>
      </c>
      <c r="F12814" s="1">
        <v>45202</v>
      </c>
      <c r="G12814" t="str">
        <f t="shared" si="2304"/>
        <v>91413</v>
      </c>
      <c r="H12814">
        <v>1</v>
      </c>
      <c r="I12814">
        <v>868</v>
      </c>
      <c r="J12814">
        <v>0</v>
      </c>
      <c r="K12814" t="str">
        <f t="shared" si="2305"/>
        <v>813</v>
      </c>
      <c r="L12814">
        <v>729.12</v>
      </c>
    </row>
    <row r="12815" spans="1:12" x14ac:dyDescent="0.25">
      <c r="A12815" t="str">
        <f t="shared" si="2300"/>
        <v>89301000</v>
      </c>
      <c r="B12815" t="str">
        <f t="shared" si="2301"/>
        <v>06539000</v>
      </c>
      <c r="C12815" t="str">
        <f t="shared" si="2302"/>
        <v>06539003</v>
      </c>
      <c r="D12815">
        <v>89301171</v>
      </c>
      <c r="E12815" t="str">
        <f t="shared" si="2303"/>
        <v>7056184938</v>
      </c>
      <c r="F12815" s="1">
        <v>45180</v>
      </c>
      <c r="G12815" t="str">
        <f t="shared" ref="G12815:G12820" si="2306">"91197"</f>
        <v>91197</v>
      </c>
      <c r="H12815">
        <v>1</v>
      </c>
      <c r="I12815">
        <v>1048</v>
      </c>
      <c r="J12815">
        <v>0</v>
      </c>
      <c r="K12815" t="str">
        <f t="shared" si="2305"/>
        <v>813</v>
      </c>
      <c r="L12815">
        <v>880.32</v>
      </c>
    </row>
    <row r="12816" spans="1:12" x14ac:dyDescent="0.25">
      <c r="A12816" t="str">
        <f t="shared" si="2300"/>
        <v>89301000</v>
      </c>
      <c r="B12816" t="str">
        <f t="shared" si="2301"/>
        <v>06539000</v>
      </c>
      <c r="C12816" t="str">
        <f t="shared" si="2302"/>
        <v>06539003</v>
      </c>
      <c r="D12816">
        <v>89301171</v>
      </c>
      <c r="E12816" t="str">
        <f t="shared" si="2303"/>
        <v>7056184938</v>
      </c>
      <c r="F12816" s="1">
        <v>45180</v>
      </c>
      <c r="G12816" t="str">
        <f t="shared" si="2306"/>
        <v>91197</v>
      </c>
      <c r="H12816">
        <v>1</v>
      </c>
      <c r="I12816">
        <v>1048</v>
      </c>
      <c r="J12816">
        <v>0</v>
      </c>
      <c r="K12816" t="str">
        <f t="shared" si="2305"/>
        <v>813</v>
      </c>
      <c r="L12816">
        <v>880.32</v>
      </c>
    </row>
    <row r="12817" spans="1:12" x14ac:dyDescent="0.25">
      <c r="A12817" t="str">
        <f t="shared" si="2300"/>
        <v>89301000</v>
      </c>
      <c r="B12817" t="str">
        <f t="shared" si="2301"/>
        <v>06539000</v>
      </c>
      <c r="C12817" t="str">
        <f t="shared" si="2302"/>
        <v>06539003</v>
      </c>
      <c r="D12817">
        <v>89301171</v>
      </c>
      <c r="E12817" t="str">
        <f t="shared" si="2303"/>
        <v>7056184938</v>
      </c>
      <c r="F12817" s="1">
        <v>45179</v>
      </c>
      <c r="G12817" t="str">
        <f t="shared" si="2306"/>
        <v>91197</v>
      </c>
      <c r="H12817">
        <v>1</v>
      </c>
      <c r="I12817">
        <v>1048</v>
      </c>
      <c r="J12817">
        <v>0</v>
      </c>
      <c r="K12817" t="str">
        <f t="shared" si="2305"/>
        <v>813</v>
      </c>
      <c r="L12817">
        <v>880.32</v>
      </c>
    </row>
    <row r="12818" spans="1:12" x14ac:dyDescent="0.25">
      <c r="A12818" t="str">
        <f t="shared" si="2300"/>
        <v>89301000</v>
      </c>
      <c r="B12818" t="str">
        <f t="shared" si="2301"/>
        <v>06539000</v>
      </c>
      <c r="C12818" t="str">
        <f t="shared" si="2302"/>
        <v>06539003</v>
      </c>
      <c r="D12818">
        <v>89301171</v>
      </c>
      <c r="E12818" t="str">
        <f t="shared" si="2303"/>
        <v>7056184938</v>
      </c>
      <c r="F12818" s="1">
        <v>45179</v>
      </c>
      <c r="G12818" t="str">
        <f t="shared" si="2306"/>
        <v>91197</v>
      </c>
      <c r="H12818">
        <v>1</v>
      </c>
      <c r="I12818">
        <v>1048</v>
      </c>
      <c r="J12818">
        <v>0</v>
      </c>
      <c r="K12818" t="str">
        <f t="shared" si="2305"/>
        <v>813</v>
      </c>
      <c r="L12818">
        <v>880.32</v>
      </c>
    </row>
    <row r="12819" spans="1:12" x14ac:dyDescent="0.25">
      <c r="A12819" t="str">
        <f t="shared" si="2300"/>
        <v>89301000</v>
      </c>
      <c r="B12819" t="str">
        <f t="shared" si="2301"/>
        <v>06539000</v>
      </c>
      <c r="C12819" t="str">
        <f t="shared" si="2302"/>
        <v>06539003</v>
      </c>
      <c r="D12819">
        <v>89301171</v>
      </c>
      <c r="E12819" t="str">
        <f t="shared" si="2303"/>
        <v>7056184938</v>
      </c>
      <c r="F12819" s="1">
        <v>45178</v>
      </c>
      <c r="G12819" t="str">
        <f t="shared" si="2306"/>
        <v>91197</v>
      </c>
      <c r="H12819">
        <v>1</v>
      </c>
      <c r="I12819">
        <v>1048</v>
      </c>
      <c r="J12819">
        <v>0</v>
      </c>
      <c r="K12819" t="str">
        <f t="shared" si="2305"/>
        <v>813</v>
      </c>
      <c r="L12819">
        <v>880.32</v>
      </c>
    </row>
    <row r="12820" spans="1:12" x14ac:dyDescent="0.25">
      <c r="A12820" t="str">
        <f t="shared" si="2300"/>
        <v>89301000</v>
      </c>
      <c r="B12820" t="str">
        <f t="shared" si="2301"/>
        <v>06539000</v>
      </c>
      <c r="C12820" t="str">
        <f t="shared" si="2302"/>
        <v>06539003</v>
      </c>
      <c r="D12820">
        <v>89301171</v>
      </c>
      <c r="E12820" t="str">
        <f t="shared" si="2303"/>
        <v>7056184938</v>
      </c>
      <c r="F12820" s="1">
        <v>45178</v>
      </c>
      <c r="G12820" t="str">
        <f t="shared" si="2306"/>
        <v>91197</v>
      </c>
      <c r="H12820">
        <v>1</v>
      </c>
      <c r="I12820">
        <v>1048</v>
      </c>
      <c r="J12820">
        <v>0</v>
      </c>
      <c r="K12820" t="str">
        <f t="shared" si="2305"/>
        <v>813</v>
      </c>
      <c r="L12820">
        <v>880.32</v>
      </c>
    </row>
    <row r="12821" spans="1:12" x14ac:dyDescent="0.25">
      <c r="A12821" t="str">
        <f t="shared" si="2300"/>
        <v>89301000</v>
      </c>
      <c r="B12821" t="str">
        <f t="shared" si="2301"/>
        <v>06539000</v>
      </c>
      <c r="C12821" t="str">
        <f t="shared" si="2302"/>
        <v>06539003</v>
      </c>
      <c r="D12821">
        <v>89301171</v>
      </c>
      <c r="E12821" t="str">
        <f t="shared" si="2303"/>
        <v>7056184938</v>
      </c>
      <c r="F12821" s="1">
        <v>45188</v>
      </c>
      <c r="G12821" t="str">
        <f>"91329"</f>
        <v>91329</v>
      </c>
      <c r="H12821">
        <v>2</v>
      </c>
      <c r="I12821">
        <v>436</v>
      </c>
      <c r="J12821">
        <v>0</v>
      </c>
      <c r="K12821" t="str">
        <f t="shared" si="2305"/>
        <v>813</v>
      </c>
      <c r="L12821">
        <v>366.24</v>
      </c>
    </row>
    <row r="12822" spans="1:12" x14ac:dyDescent="0.25">
      <c r="A12822" t="str">
        <f t="shared" si="2300"/>
        <v>89301000</v>
      </c>
      <c r="B12822" t="str">
        <f t="shared" si="2301"/>
        <v>06539000</v>
      </c>
      <c r="C12822" t="str">
        <f t="shared" si="2302"/>
        <v>06539003</v>
      </c>
      <c r="D12822">
        <v>89301171</v>
      </c>
      <c r="E12822" t="str">
        <f t="shared" si="2303"/>
        <v>7056184938</v>
      </c>
      <c r="F12822" s="1">
        <v>45188</v>
      </c>
      <c r="G12822" t="str">
        <f>"91329"</f>
        <v>91329</v>
      </c>
      <c r="H12822">
        <v>2</v>
      </c>
      <c r="I12822">
        <v>436</v>
      </c>
      <c r="J12822">
        <v>0</v>
      </c>
      <c r="K12822" t="str">
        <f t="shared" si="2305"/>
        <v>813</v>
      </c>
      <c r="L12822">
        <v>366.24</v>
      </c>
    </row>
    <row r="12823" spans="1:12" x14ac:dyDescent="0.25">
      <c r="A12823" t="str">
        <f t="shared" si="2300"/>
        <v>89301000</v>
      </c>
      <c r="B12823" t="str">
        <f t="shared" si="2301"/>
        <v>06539000</v>
      </c>
      <c r="C12823" t="str">
        <f t="shared" si="2302"/>
        <v>06539003</v>
      </c>
      <c r="D12823">
        <v>89301171</v>
      </c>
      <c r="E12823" t="str">
        <f t="shared" si="2303"/>
        <v>7056184938</v>
      </c>
      <c r="F12823" s="1">
        <v>45188</v>
      </c>
      <c r="G12823" t="str">
        <f>"91329"</f>
        <v>91329</v>
      </c>
      <c r="H12823">
        <v>2</v>
      </c>
      <c r="I12823">
        <v>436</v>
      </c>
      <c r="J12823">
        <v>0</v>
      </c>
      <c r="K12823" t="str">
        <f t="shared" si="2305"/>
        <v>813</v>
      </c>
      <c r="L12823">
        <v>366.24</v>
      </c>
    </row>
    <row r="12824" spans="1:12" x14ac:dyDescent="0.25">
      <c r="A12824" t="str">
        <f t="shared" si="2300"/>
        <v>89301000</v>
      </c>
      <c r="B12824" t="str">
        <f t="shared" si="2301"/>
        <v>06539000</v>
      </c>
      <c r="C12824" t="str">
        <f t="shared" si="2302"/>
        <v>06539003</v>
      </c>
      <c r="D12824">
        <v>89301171</v>
      </c>
      <c r="E12824" t="str">
        <f t="shared" si="2303"/>
        <v>7056184938</v>
      </c>
      <c r="F12824" s="1">
        <v>45188</v>
      </c>
      <c r="G12824" t="str">
        <f>"91329"</f>
        <v>91329</v>
      </c>
      <c r="H12824">
        <v>2</v>
      </c>
      <c r="I12824">
        <v>436</v>
      </c>
      <c r="J12824">
        <v>0</v>
      </c>
      <c r="K12824" t="str">
        <f t="shared" si="2305"/>
        <v>813</v>
      </c>
      <c r="L12824">
        <v>366.24</v>
      </c>
    </row>
    <row r="12825" spans="1:12" x14ac:dyDescent="0.25">
      <c r="A12825" t="str">
        <f t="shared" si="2300"/>
        <v>89301000</v>
      </c>
      <c r="B12825" t="str">
        <f t="shared" si="2301"/>
        <v>06539000</v>
      </c>
      <c r="C12825" t="str">
        <f t="shared" si="2302"/>
        <v>06539003</v>
      </c>
      <c r="D12825">
        <v>89301171</v>
      </c>
      <c r="E12825" t="str">
        <f t="shared" si="2303"/>
        <v>7056184938</v>
      </c>
      <c r="F12825" s="1">
        <v>45180</v>
      </c>
      <c r="G12825" t="str">
        <f>"91129"</f>
        <v>91129</v>
      </c>
      <c r="H12825">
        <v>1</v>
      </c>
      <c r="I12825">
        <v>175</v>
      </c>
      <c r="J12825">
        <v>0</v>
      </c>
      <c r="K12825" t="str">
        <f t="shared" si="2305"/>
        <v>813</v>
      </c>
      <c r="L12825">
        <v>147</v>
      </c>
    </row>
    <row r="12826" spans="1:12" x14ac:dyDescent="0.25">
      <c r="A12826" t="str">
        <f t="shared" si="2300"/>
        <v>89301000</v>
      </c>
      <c r="B12826" t="str">
        <f t="shared" si="2301"/>
        <v>06539000</v>
      </c>
      <c r="C12826" t="str">
        <f t="shared" si="2302"/>
        <v>06539003</v>
      </c>
      <c r="D12826">
        <v>89301171</v>
      </c>
      <c r="E12826" t="str">
        <f t="shared" si="2303"/>
        <v>7056184938</v>
      </c>
      <c r="F12826" s="1">
        <v>45180</v>
      </c>
      <c r="G12826" t="str">
        <f>"91131"</f>
        <v>91131</v>
      </c>
      <c r="H12826">
        <v>1</v>
      </c>
      <c r="I12826">
        <v>171</v>
      </c>
      <c r="J12826">
        <v>0</v>
      </c>
      <c r="K12826" t="str">
        <f t="shared" si="2305"/>
        <v>813</v>
      </c>
      <c r="L12826">
        <v>143.63999999999999</v>
      </c>
    </row>
    <row r="12827" spans="1:12" x14ac:dyDescent="0.25">
      <c r="A12827" t="str">
        <f t="shared" si="2300"/>
        <v>89301000</v>
      </c>
      <c r="B12827" t="str">
        <f t="shared" si="2301"/>
        <v>06539000</v>
      </c>
      <c r="C12827" t="str">
        <f t="shared" si="2302"/>
        <v>06539003</v>
      </c>
      <c r="D12827">
        <v>89301171</v>
      </c>
      <c r="E12827" t="str">
        <f t="shared" si="2303"/>
        <v>7056184938</v>
      </c>
      <c r="F12827" s="1">
        <v>45180</v>
      </c>
      <c r="G12827" t="str">
        <f>"91133"</f>
        <v>91133</v>
      </c>
      <c r="H12827">
        <v>1</v>
      </c>
      <c r="I12827">
        <v>177</v>
      </c>
      <c r="J12827">
        <v>0</v>
      </c>
      <c r="K12827" t="str">
        <f t="shared" si="2305"/>
        <v>813</v>
      </c>
      <c r="L12827">
        <v>148.68</v>
      </c>
    </row>
    <row r="12828" spans="1:12" x14ac:dyDescent="0.25">
      <c r="A12828" t="str">
        <f t="shared" si="2300"/>
        <v>89301000</v>
      </c>
      <c r="B12828" t="str">
        <f t="shared" si="2301"/>
        <v>06539000</v>
      </c>
      <c r="C12828" t="str">
        <f t="shared" si="2302"/>
        <v>06539003</v>
      </c>
      <c r="D12828">
        <v>89301171</v>
      </c>
      <c r="E12828" t="str">
        <f t="shared" si="2303"/>
        <v>7056184938</v>
      </c>
      <c r="F12828" s="1">
        <v>45180</v>
      </c>
      <c r="G12828" t="str">
        <f>"91171"</f>
        <v>91171</v>
      </c>
      <c r="H12828">
        <v>1</v>
      </c>
      <c r="I12828">
        <v>362</v>
      </c>
      <c r="J12828">
        <v>0</v>
      </c>
      <c r="K12828" t="str">
        <f t="shared" si="2305"/>
        <v>813</v>
      </c>
      <c r="L12828">
        <v>304.08</v>
      </c>
    </row>
    <row r="12829" spans="1:12" x14ac:dyDescent="0.25">
      <c r="A12829" t="str">
        <f t="shared" si="2300"/>
        <v>89301000</v>
      </c>
      <c r="B12829" t="str">
        <f t="shared" si="2301"/>
        <v>06539000</v>
      </c>
      <c r="C12829" t="str">
        <f t="shared" si="2302"/>
        <v>06539003</v>
      </c>
      <c r="D12829">
        <v>89301171</v>
      </c>
      <c r="E12829" t="str">
        <f t="shared" si="2303"/>
        <v>7056184938</v>
      </c>
      <c r="F12829" s="1">
        <v>45180</v>
      </c>
      <c r="G12829" t="str">
        <f>"91175"</f>
        <v>91175</v>
      </c>
      <c r="H12829">
        <v>1</v>
      </c>
      <c r="I12829">
        <v>362</v>
      </c>
      <c r="J12829">
        <v>0</v>
      </c>
      <c r="K12829" t="str">
        <f t="shared" si="2305"/>
        <v>813</v>
      </c>
      <c r="L12829">
        <v>304.08</v>
      </c>
    </row>
    <row r="12830" spans="1:12" x14ac:dyDescent="0.25">
      <c r="A12830" t="str">
        <f t="shared" si="2300"/>
        <v>89301000</v>
      </c>
      <c r="B12830" t="str">
        <f t="shared" si="2301"/>
        <v>06539000</v>
      </c>
      <c r="C12830" t="str">
        <f t="shared" si="2302"/>
        <v>06539003</v>
      </c>
      <c r="D12830">
        <v>89301171</v>
      </c>
      <c r="E12830" t="str">
        <f t="shared" si="2303"/>
        <v>7056184938</v>
      </c>
      <c r="F12830" s="1">
        <v>45178</v>
      </c>
      <c r="G12830" t="str">
        <f>"91167"</f>
        <v>91167</v>
      </c>
      <c r="H12830">
        <v>1</v>
      </c>
      <c r="I12830">
        <v>426</v>
      </c>
      <c r="J12830">
        <v>0</v>
      </c>
      <c r="K12830" t="str">
        <f t="shared" si="2305"/>
        <v>813</v>
      </c>
      <c r="L12830">
        <v>357.84</v>
      </c>
    </row>
    <row r="12831" spans="1:12" x14ac:dyDescent="0.25">
      <c r="A12831" t="str">
        <f t="shared" si="2300"/>
        <v>89301000</v>
      </c>
      <c r="B12831" t="str">
        <f t="shared" si="2301"/>
        <v>06539000</v>
      </c>
      <c r="C12831" t="str">
        <f t="shared" si="2302"/>
        <v>06539003</v>
      </c>
      <c r="D12831">
        <v>89301171</v>
      </c>
      <c r="E12831" t="str">
        <f t="shared" si="2303"/>
        <v>7056184938</v>
      </c>
      <c r="F12831" s="1">
        <v>45178</v>
      </c>
      <c r="G12831" t="str">
        <f>"91169"</f>
        <v>91169</v>
      </c>
      <c r="H12831">
        <v>1</v>
      </c>
      <c r="I12831">
        <v>426</v>
      </c>
      <c r="J12831">
        <v>0</v>
      </c>
      <c r="K12831" t="str">
        <f t="shared" si="2305"/>
        <v>813</v>
      </c>
      <c r="L12831">
        <v>357.84</v>
      </c>
    </row>
    <row r="12832" spans="1:12" x14ac:dyDescent="0.25">
      <c r="A12832" t="str">
        <f t="shared" si="2300"/>
        <v>89301000</v>
      </c>
      <c r="B12832" t="str">
        <f t="shared" si="2301"/>
        <v>06539000</v>
      </c>
      <c r="C12832" t="str">
        <f t="shared" si="2302"/>
        <v>06539003</v>
      </c>
      <c r="D12832">
        <v>89301171</v>
      </c>
      <c r="E12832" t="str">
        <f t="shared" si="2303"/>
        <v>7056184938</v>
      </c>
      <c r="F12832" s="1">
        <v>45188</v>
      </c>
      <c r="G12832" t="str">
        <f>"91475"</f>
        <v>91475</v>
      </c>
      <c r="H12832">
        <v>1</v>
      </c>
      <c r="I12832">
        <v>213</v>
      </c>
      <c r="J12832">
        <v>0</v>
      </c>
      <c r="K12832" t="str">
        <f t="shared" si="2305"/>
        <v>813</v>
      </c>
      <c r="L12832">
        <v>178.92</v>
      </c>
    </row>
    <row r="12833" spans="1:12" x14ac:dyDescent="0.25">
      <c r="A12833" t="str">
        <f t="shared" si="2300"/>
        <v>89301000</v>
      </c>
      <c r="B12833" t="str">
        <f t="shared" si="2301"/>
        <v>06539000</v>
      </c>
      <c r="C12833" t="str">
        <f t="shared" si="2302"/>
        <v>06539003</v>
      </c>
      <c r="D12833">
        <v>89301171</v>
      </c>
      <c r="E12833" t="str">
        <f t="shared" ref="E12833:E12860" si="2307">"7209115342"</f>
        <v>7209115342</v>
      </c>
      <c r="F12833" s="1">
        <v>45182</v>
      </c>
      <c r="G12833" t="str">
        <f t="shared" ref="G12833:G12842" si="2308">"91413"</f>
        <v>91413</v>
      </c>
      <c r="H12833">
        <v>1</v>
      </c>
      <c r="I12833">
        <v>868</v>
      </c>
      <c r="J12833">
        <v>0</v>
      </c>
      <c r="K12833" t="str">
        <f t="shared" si="2305"/>
        <v>813</v>
      </c>
      <c r="L12833">
        <v>729.12</v>
      </c>
    </row>
    <row r="12834" spans="1:12" x14ac:dyDescent="0.25">
      <c r="A12834" t="str">
        <f t="shared" si="2300"/>
        <v>89301000</v>
      </c>
      <c r="B12834" t="str">
        <f t="shared" si="2301"/>
        <v>06539000</v>
      </c>
      <c r="C12834" t="str">
        <f t="shared" si="2302"/>
        <v>06539003</v>
      </c>
      <c r="D12834">
        <v>89301171</v>
      </c>
      <c r="E12834" t="str">
        <f t="shared" si="2307"/>
        <v>7209115342</v>
      </c>
      <c r="F12834" s="1">
        <v>45182</v>
      </c>
      <c r="G12834" t="str">
        <f t="shared" si="2308"/>
        <v>91413</v>
      </c>
      <c r="H12834">
        <v>1</v>
      </c>
      <c r="I12834">
        <v>868</v>
      </c>
      <c r="J12834">
        <v>0</v>
      </c>
      <c r="K12834" t="str">
        <f t="shared" si="2305"/>
        <v>813</v>
      </c>
      <c r="L12834">
        <v>729.12</v>
      </c>
    </row>
    <row r="12835" spans="1:12" x14ac:dyDescent="0.25">
      <c r="A12835" t="str">
        <f t="shared" si="2300"/>
        <v>89301000</v>
      </c>
      <c r="B12835" t="str">
        <f t="shared" si="2301"/>
        <v>06539000</v>
      </c>
      <c r="C12835" t="str">
        <f t="shared" si="2302"/>
        <v>06539003</v>
      </c>
      <c r="D12835">
        <v>89301171</v>
      </c>
      <c r="E12835" t="str">
        <f t="shared" si="2307"/>
        <v>7209115342</v>
      </c>
      <c r="F12835" s="1">
        <v>45202</v>
      </c>
      <c r="G12835" t="str">
        <f t="shared" si="2308"/>
        <v>91413</v>
      </c>
      <c r="H12835">
        <v>1</v>
      </c>
      <c r="I12835">
        <v>868</v>
      </c>
      <c r="J12835">
        <v>0</v>
      </c>
      <c r="K12835" t="str">
        <f t="shared" si="2305"/>
        <v>813</v>
      </c>
      <c r="L12835">
        <v>729.12</v>
      </c>
    </row>
    <row r="12836" spans="1:12" x14ac:dyDescent="0.25">
      <c r="A12836" t="str">
        <f t="shared" si="2300"/>
        <v>89301000</v>
      </c>
      <c r="B12836" t="str">
        <f t="shared" si="2301"/>
        <v>06539000</v>
      </c>
      <c r="C12836" t="str">
        <f t="shared" si="2302"/>
        <v>06539003</v>
      </c>
      <c r="D12836">
        <v>89301171</v>
      </c>
      <c r="E12836" t="str">
        <f t="shared" si="2307"/>
        <v>7209115342</v>
      </c>
      <c r="F12836" s="1">
        <v>45202</v>
      </c>
      <c r="G12836" t="str">
        <f t="shared" si="2308"/>
        <v>91413</v>
      </c>
      <c r="H12836">
        <v>1</v>
      </c>
      <c r="I12836">
        <v>868</v>
      </c>
      <c r="J12836">
        <v>0</v>
      </c>
      <c r="K12836" t="str">
        <f t="shared" si="2305"/>
        <v>813</v>
      </c>
      <c r="L12836">
        <v>729.12</v>
      </c>
    </row>
    <row r="12837" spans="1:12" x14ac:dyDescent="0.25">
      <c r="A12837" t="str">
        <f t="shared" si="2300"/>
        <v>89301000</v>
      </c>
      <c r="B12837" t="str">
        <f t="shared" si="2301"/>
        <v>06539000</v>
      </c>
      <c r="C12837" t="str">
        <f t="shared" ref="C12837:C12868" si="2309">"06539003"</f>
        <v>06539003</v>
      </c>
      <c r="D12837">
        <v>89301171</v>
      </c>
      <c r="E12837" t="str">
        <f t="shared" si="2307"/>
        <v>7209115342</v>
      </c>
      <c r="F12837" s="1">
        <v>45201</v>
      </c>
      <c r="G12837" t="str">
        <f t="shared" si="2308"/>
        <v>91413</v>
      </c>
      <c r="H12837">
        <v>1</v>
      </c>
      <c r="I12837">
        <v>868</v>
      </c>
      <c r="J12837">
        <v>0</v>
      </c>
      <c r="K12837" t="str">
        <f t="shared" ref="K12837:K12868" si="2310">"813"</f>
        <v>813</v>
      </c>
      <c r="L12837">
        <v>729.12</v>
      </c>
    </row>
    <row r="12838" spans="1:12" x14ac:dyDescent="0.25">
      <c r="A12838" t="str">
        <f t="shared" si="2300"/>
        <v>89301000</v>
      </c>
      <c r="B12838" t="str">
        <f t="shared" si="2301"/>
        <v>06539000</v>
      </c>
      <c r="C12838" t="str">
        <f t="shared" si="2309"/>
        <v>06539003</v>
      </c>
      <c r="D12838">
        <v>89301171</v>
      </c>
      <c r="E12838" t="str">
        <f t="shared" si="2307"/>
        <v>7209115342</v>
      </c>
      <c r="F12838" s="1">
        <v>45201</v>
      </c>
      <c r="G12838" t="str">
        <f t="shared" si="2308"/>
        <v>91413</v>
      </c>
      <c r="H12838">
        <v>1</v>
      </c>
      <c r="I12838">
        <v>868</v>
      </c>
      <c r="J12838">
        <v>0</v>
      </c>
      <c r="K12838" t="str">
        <f t="shared" si="2310"/>
        <v>813</v>
      </c>
      <c r="L12838">
        <v>729.12</v>
      </c>
    </row>
    <row r="12839" spans="1:12" x14ac:dyDescent="0.25">
      <c r="A12839" t="str">
        <f t="shared" si="2300"/>
        <v>89301000</v>
      </c>
      <c r="B12839" t="str">
        <f t="shared" si="2301"/>
        <v>06539000</v>
      </c>
      <c r="C12839" t="str">
        <f t="shared" si="2309"/>
        <v>06539003</v>
      </c>
      <c r="D12839">
        <v>89301171</v>
      </c>
      <c r="E12839" t="str">
        <f t="shared" si="2307"/>
        <v>7209115342</v>
      </c>
      <c r="F12839" s="1">
        <v>45202</v>
      </c>
      <c r="G12839" t="str">
        <f t="shared" si="2308"/>
        <v>91413</v>
      </c>
      <c r="H12839">
        <v>1</v>
      </c>
      <c r="I12839">
        <v>868</v>
      </c>
      <c r="J12839">
        <v>0</v>
      </c>
      <c r="K12839" t="str">
        <f t="shared" si="2310"/>
        <v>813</v>
      </c>
      <c r="L12839">
        <v>729.12</v>
      </c>
    </row>
    <row r="12840" spans="1:12" x14ac:dyDescent="0.25">
      <c r="A12840" t="str">
        <f t="shared" si="2300"/>
        <v>89301000</v>
      </c>
      <c r="B12840" t="str">
        <f t="shared" si="2301"/>
        <v>06539000</v>
      </c>
      <c r="C12840" t="str">
        <f t="shared" si="2309"/>
        <v>06539003</v>
      </c>
      <c r="D12840">
        <v>89301171</v>
      </c>
      <c r="E12840" t="str">
        <f t="shared" si="2307"/>
        <v>7209115342</v>
      </c>
      <c r="F12840" s="1">
        <v>45202</v>
      </c>
      <c r="G12840" t="str">
        <f t="shared" si="2308"/>
        <v>91413</v>
      </c>
      <c r="H12840">
        <v>1</v>
      </c>
      <c r="I12840">
        <v>868</v>
      </c>
      <c r="J12840">
        <v>0</v>
      </c>
      <c r="K12840" t="str">
        <f t="shared" si="2310"/>
        <v>813</v>
      </c>
      <c r="L12840">
        <v>729.12</v>
      </c>
    </row>
    <row r="12841" spans="1:12" x14ac:dyDescent="0.25">
      <c r="A12841" t="str">
        <f t="shared" si="2300"/>
        <v>89301000</v>
      </c>
      <c r="B12841" t="str">
        <f t="shared" si="2301"/>
        <v>06539000</v>
      </c>
      <c r="C12841" t="str">
        <f t="shared" si="2309"/>
        <v>06539003</v>
      </c>
      <c r="D12841">
        <v>89301171</v>
      </c>
      <c r="E12841" t="str">
        <f t="shared" si="2307"/>
        <v>7209115342</v>
      </c>
      <c r="F12841" s="1">
        <v>45202</v>
      </c>
      <c r="G12841" t="str">
        <f t="shared" si="2308"/>
        <v>91413</v>
      </c>
      <c r="H12841">
        <v>1</v>
      </c>
      <c r="I12841">
        <v>868</v>
      </c>
      <c r="J12841">
        <v>0</v>
      </c>
      <c r="K12841" t="str">
        <f t="shared" si="2310"/>
        <v>813</v>
      </c>
      <c r="L12841">
        <v>729.12</v>
      </c>
    </row>
    <row r="12842" spans="1:12" x14ac:dyDescent="0.25">
      <c r="A12842" t="str">
        <f t="shared" si="2300"/>
        <v>89301000</v>
      </c>
      <c r="B12842" t="str">
        <f t="shared" si="2301"/>
        <v>06539000</v>
      </c>
      <c r="C12842" t="str">
        <f t="shared" si="2309"/>
        <v>06539003</v>
      </c>
      <c r="D12842">
        <v>89301171</v>
      </c>
      <c r="E12842" t="str">
        <f t="shared" si="2307"/>
        <v>7209115342</v>
      </c>
      <c r="F12842" s="1">
        <v>45202</v>
      </c>
      <c r="G12842" t="str">
        <f t="shared" si="2308"/>
        <v>91413</v>
      </c>
      <c r="H12842">
        <v>1</v>
      </c>
      <c r="I12842">
        <v>868</v>
      </c>
      <c r="J12842">
        <v>0</v>
      </c>
      <c r="K12842" t="str">
        <f t="shared" si="2310"/>
        <v>813</v>
      </c>
      <c r="L12842">
        <v>729.12</v>
      </c>
    </row>
    <row r="12843" spans="1:12" x14ac:dyDescent="0.25">
      <c r="A12843" t="str">
        <f t="shared" si="2300"/>
        <v>89301000</v>
      </c>
      <c r="B12843" t="str">
        <f t="shared" si="2301"/>
        <v>06539000</v>
      </c>
      <c r="C12843" t="str">
        <f t="shared" si="2309"/>
        <v>06539003</v>
      </c>
      <c r="D12843">
        <v>89301171</v>
      </c>
      <c r="E12843" t="str">
        <f t="shared" si="2307"/>
        <v>7209115342</v>
      </c>
      <c r="F12843" s="1">
        <v>45180</v>
      </c>
      <c r="G12843" t="str">
        <f t="shared" ref="G12843:G12848" si="2311">"91197"</f>
        <v>91197</v>
      </c>
      <c r="H12843">
        <v>1</v>
      </c>
      <c r="I12843">
        <v>1048</v>
      </c>
      <c r="J12843">
        <v>0</v>
      </c>
      <c r="K12843" t="str">
        <f t="shared" si="2310"/>
        <v>813</v>
      </c>
      <c r="L12843">
        <v>880.32</v>
      </c>
    </row>
    <row r="12844" spans="1:12" x14ac:dyDescent="0.25">
      <c r="A12844" t="str">
        <f t="shared" si="2300"/>
        <v>89301000</v>
      </c>
      <c r="B12844" t="str">
        <f t="shared" si="2301"/>
        <v>06539000</v>
      </c>
      <c r="C12844" t="str">
        <f t="shared" si="2309"/>
        <v>06539003</v>
      </c>
      <c r="D12844">
        <v>89301171</v>
      </c>
      <c r="E12844" t="str">
        <f t="shared" si="2307"/>
        <v>7209115342</v>
      </c>
      <c r="F12844" s="1">
        <v>45180</v>
      </c>
      <c r="G12844" t="str">
        <f t="shared" si="2311"/>
        <v>91197</v>
      </c>
      <c r="H12844">
        <v>1</v>
      </c>
      <c r="I12844">
        <v>1048</v>
      </c>
      <c r="J12844">
        <v>0</v>
      </c>
      <c r="K12844" t="str">
        <f t="shared" si="2310"/>
        <v>813</v>
      </c>
      <c r="L12844">
        <v>880.32</v>
      </c>
    </row>
    <row r="12845" spans="1:12" x14ac:dyDescent="0.25">
      <c r="A12845" t="str">
        <f t="shared" si="2300"/>
        <v>89301000</v>
      </c>
      <c r="B12845" t="str">
        <f t="shared" si="2301"/>
        <v>06539000</v>
      </c>
      <c r="C12845" t="str">
        <f t="shared" si="2309"/>
        <v>06539003</v>
      </c>
      <c r="D12845">
        <v>89301171</v>
      </c>
      <c r="E12845" t="str">
        <f t="shared" si="2307"/>
        <v>7209115342</v>
      </c>
      <c r="F12845" s="1">
        <v>45179</v>
      </c>
      <c r="G12845" t="str">
        <f t="shared" si="2311"/>
        <v>91197</v>
      </c>
      <c r="H12845">
        <v>1</v>
      </c>
      <c r="I12845">
        <v>1048</v>
      </c>
      <c r="J12845">
        <v>0</v>
      </c>
      <c r="K12845" t="str">
        <f t="shared" si="2310"/>
        <v>813</v>
      </c>
      <c r="L12845">
        <v>880.32</v>
      </c>
    </row>
    <row r="12846" spans="1:12" x14ac:dyDescent="0.25">
      <c r="A12846" t="str">
        <f t="shared" si="2300"/>
        <v>89301000</v>
      </c>
      <c r="B12846" t="str">
        <f t="shared" si="2301"/>
        <v>06539000</v>
      </c>
      <c r="C12846" t="str">
        <f t="shared" si="2309"/>
        <v>06539003</v>
      </c>
      <c r="D12846">
        <v>89301171</v>
      </c>
      <c r="E12846" t="str">
        <f t="shared" si="2307"/>
        <v>7209115342</v>
      </c>
      <c r="F12846" s="1">
        <v>45179</v>
      </c>
      <c r="G12846" t="str">
        <f t="shared" si="2311"/>
        <v>91197</v>
      </c>
      <c r="H12846">
        <v>1</v>
      </c>
      <c r="I12846">
        <v>1048</v>
      </c>
      <c r="J12846">
        <v>0</v>
      </c>
      <c r="K12846" t="str">
        <f t="shared" si="2310"/>
        <v>813</v>
      </c>
      <c r="L12846">
        <v>880.32</v>
      </c>
    </row>
    <row r="12847" spans="1:12" x14ac:dyDescent="0.25">
      <c r="A12847" t="str">
        <f t="shared" si="2300"/>
        <v>89301000</v>
      </c>
      <c r="B12847" t="str">
        <f t="shared" si="2301"/>
        <v>06539000</v>
      </c>
      <c r="C12847" t="str">
        <f t="shared" si="2309"/>
        <v>06539003</v>
      </c>
      <c r="D12847">
        <v>89301171</v>
      </c>
      <c r="E12847" t="str">
        <f t="shared" si="2307"/>
        <v>7209115342</v>
      </c>
      <c r="F12847" s="1">
        <v>45178</v>
      </c>
      <c r="G12847" t="str">
        <f t="shared" si="2311"/>
        <v>91197</v>
      </c>
      <c r="H12847">
        <v>1</v>
      </c>
      <c r="I12847">
        <v>1048</v>
      </c>
      <c r="J12847">
        <v>0</v>
      </c>
      <c r="K12847" t="str">
        <f t="shared" si="2310"/>
        <v>813</v>
      </c>
      <c r="L12847">
        <v>880.32</v>
      </c>
    </row>
    <row r="12848" spans="1:12" x14ac:dyDescent="0.25">
      <c r="A12848" t="str">
        <f t="shared" si="2300"/>
        <v>89301000</v>
      </c>
      <c r="B12848" t="str">
        <f t="shared" si="2301"/>
        <v>06539000</v>
      </c>
      <c r="C12848" t="str">
        <f t="shared" si="2309"/>
        <v>06539003</v>
      </c>
      <c r="D12848">
        <v>89301171</v>
      </c>
      <c r="E12848" t="str">
        <f t="shared" si="2307"/>
        <v>7209115342</v>
      </c>
      <c r="F12848" s="1">
        <v>45178</v>
      </c>
      <c r="G12848" t="str">
        <f t="shared" si="2311"/>
        <v>91197</v>
      </c>
      <c r="H12848">
        <v>1</v>
      </c>
      <c r="I12848">
        <v>1048</v>
      </c>
      <c r="J12848">
        <v>0</v>
      </c>
      <c r="K12848" t="str">
        <f t="shared" si="2310"/>
        <v>813</v>
      </c>
      <c r="L12848">
        <v>880.32</v>
      </c>
    </row>
    <row r="12849" spans="1:12" x14ac:dyDescent="0.25">
      <c r="A12849" t="str">
        <f t="shared" si="2300"/>
        <v>89301000</v>
      </c>
      <c r="B12849" t="str">
        <f t="shared" si="2301"/>
        <v>06539000</v>
      </c>
      <c r="C12849" t="str">
        <f t="shared" si="2309"/>
        <v>06539003</v>
      </c>
      <c r="D12849">
        <v>89301171</v>
      </c>
      <c r="E12849" t="str">
        <f t="shared" si="2307"/>
        <v>7209115342</v>
      </c>
      <c r="F12849" s="1">
        <v>45188</v>
      </c>
      <c r="G12849" t="str">
        <f>"91329"</f>
        <v>91329</v>
      </c>
      <c r="H12849">
        <v>2</v>
      </c>
      <c r="I12849">
        <v>436</v>
      </c>
      <c r="J12849">
        <v>0</v>
      </c>
      <c r="K12849" t="str">
        <f t="shared" si="2310"/>
        <v>813</v>
      </c>
      <c r="L12849">
        <v>366.24</v>
      </c>
    </row>
    <row r="12850" spans="1:12" x14ac:dyDescent="0.25">
      <c r="A12850" t="str">
        <f t="shared" si="2300"/>
        <v>89301000</v>
      </c>
      <c r="B12850" t="str">
        <f t="shared" si="2301"/>
        <v>06539000</v>
      </c>
      <c r="C12850" t="str">
        <f t="shared" si="2309"/>
        <v>06539003</v>
      </c>
      <c r="D12850">
        <v>89301171</v>
      </c>
      <c r="E12850" t="str">
        <f t="shared" si="2307"/>
        <v>7209115342</v>
      </c>
      <c r="F12850" s="1">
        <v>45188</v>
      </c>
      <c r="G12850" t="str">
        <f>"91329"</f>
        <v>91329</v>
      </c>
      <c r="H12850">
        <v>2</v>
      </c>
      <c r="I12850">
        <v>436</v>
      </c>
      <c r="J12850">
        <v>0</v>
      </c>
      <c r="K12850" t="str">
        <f t="shared" si="2310"/>
        <v>813</v>
      </c>
      <c r="L12850">
        <v>366.24</v>
      </c>
    </row>
    <row r="12851" spans="1:12" x14ac:dyDescent="0.25">
      <c r="A12851" t="str">
        <f t="shared" si="2300"/>
        <v>89301000</v>
      </c>
      <c r="B12851" t="str">
        <f t="shared" si="2301"/>
        <v>06539000</v>
      </c>
      <c r="C12851" t="str">
        <f t="shared" si="2309"/>
        <v>06539003</v>
      </c>
      <c r="D12851">
        <v>89301171</v>
      </c>
      <c r="E12851" t="str">
        <f t="shared" si="2307"/>
        <v>7209115342</v>
      </c>
      <c r="F12851" s="1">
        <v>45188</v>
      </c>
      <c r="G12851" t="str">
        <f>"91329"</f>
        <v>91329</v>
      </c>
      <c r="H12851">
        <v>2</v>
      </c>
      <c r="I12851">
        <v>436</v>
      </c>
      <c r="J12851">
        <v>0</v>
      </c>
      <c r="K12851" t="str">
        <f t="shared" si="2310"/>
        <v>813</v>
      </c>
      <c r="L12851">
        <v>366.24</v>
      </c>
    </row>
    <row r="12852" spans="1:12" x14ac:dyDescent="0.25">
      <c r="A12852" t="str">
        <f t="shared" si="2300"/>
        <v>89301000</v>
      </c>
      <c r="B12852" t="str">
        <f t="shared" si="2301"/>
        <v>06539000</v>
      </c>
      <c r="C12852" t="str">
        <f t="shared" si="2309"/>
        <v>06539003</v>
      </c>
      <c r="D12852">
        <v>89301171</v>
      </c>
      <c r="E12852" t="str">
        <f t="shared" si="2307"/>
        <v>7209115342</v>
      </c>
      <c r="F12852" s="1">
        <v>45188</v>
      </c>
      <c r="G12852" t="str">
        <f>"91329"</f>
        <v>91329</v>
      </c>
      <c r="H12852">
        <v>2</v>
      </c>
      <c r="I12852">
        <v>436</v>
      </c>
      <c r="J12852">
        <v>0</v>
      </c>
      <c r="K12852" t="str">
        <f t="shared" si="2310"/>
        <v>813</v>
      </c>
      <c r="L12852">
        <v>366.24</v>
      </c>
    </row>
    <row r="12853" spans="1:12" x14ac:dyDescent="0.25">
      <c r="A12853" t="str">
        <f t="shared" si="2300"/>
        <v>89301000</v>
      </c>
      <c r="B12853" t="str">
        <f t="shared" si="2301"/>
        <v>06539000</v>
      </c>
      <c r="C12853" t="str">
        <f t="shared" si="2309"/>
        <v>06539003</v>
      </c>
      <c r="D12853">
        <v>89301171</v>
      </c>
      <c r="E12853" t="str">
        <f t="shared" si="2307"/>
        <v>7209115342</v>
      </c>
      <c r="F12853" s="1">
        <v>45180</v>
      </c>
      <c r="G12853" t="str">
        <f>"91129"</f>
        <v>91129</v>
      </c>
      <c r="H12853">
        <v>1</v>
      </c>
      <c r="I12853">
        <v>175</v>
      </c>
      <c r="J12853">
        <v>0</v>
      </c>
      <c r="K12853" t="str">
        <f t="shared" si="2310"/>
        <v>813</v>
      </c>
      <c r="L12853">
        <v>147</v>
      </c>
    </row>
    <row r="12854" spans="1:12" x14ac:dyDescent="0.25">
      <c r="A12854" t="str">
        <f t="shared" si="2300"/>
        <v>89301000</v>
      </c>
      <c r="B12854" t="str">
        <f t="shared" si="2301"/>
        <v>06539000</v>
      </c>
      <c r="C12854" t="str">
        <f t="shared" si="2309"/>
        <v>06539003</v>
      </c>
      <c r="D12854">
        <v>89301171</v>
      </c>
      <c r="E12854" t="str">
        <f t="shared" si="2307"/>
        <v>7209115342</v>
      </c>
      <c r="F12854" s="1">
        <v>45180</v>
      </c>
      <c r="G12854" t="str">
        <f>"91131"</f>
        <v>91131</v>
      </c>
      <c r="H12854">
        <v>1</v>
      </c>
      <c r="I12854">
        <v>171</v>
      </c>
      <c r="J12854">
        <v>0</v>
      </c>
      <c r="K12854" t="str">
        <f t="shared" si="2310"/>
        <v>813</v>
      </c>
      <c r="L12854">
        <v>143.63999999999999</v>
      </c>
    </row>
    <row r="12855" spans="1:12" x14ac:dyDescent="0.25">
      <c r="A12855" t="str">
        <f t="shared" si="2300"/>
        <v>89301000</v>
      </c>
      <c r="B12855" t="str">
        <f t="shared" si="2301"/>
        <v>06539000</v>
      </c>
      <c r="C12855" t="str">
        <f t="shared" si="2309"/>
        <v>06539003</v>
      </c>
      <c r="D12855">
        <v>89301171</v>
      </c>
      <c r="E12855" t="str">
        <f t="shared" si="2307"/>
        <v>7209115342</v>
      </c>
      <c r="F12855" s="1">
        <v>45180</v>
      </c>
      <c r="G12855" t="str">
        <f>"91133"</f>
        <v>91133</v>
      </c>
      <c r="H12855">
        <v>1</v>
      </c>
      <c r="I12855">
        <v>177</v>
      </c>
      <c r="J12855">
        <v>0</v>
      </c>
      <c r="K12855" t="str">
        <f t="shared" si="2310"/>
        <v>813</v>
      </c>
      <c r="L12855">
        <v>148.68</v>
      </c>
    </row>
    <row r="12856" spans="1:12" x14ac:dyDescent="0.25">
      <c r="A12856" t="str">
        <f t="shared" si="2300"/>
        <v>89301000</v>
      </c>
      <c r="B12856" t="str">
        <f t="shared" si="2301"/>
        <v>06539000</v>
      </c>
      <c r="C12856" t="str">
        <f t="shared" si="2309"/>
        <v>06539003</v>
      </c>
      <c r="D12856">
        <v>89301171</v>
      </c>
      <c r="E12856" t="str">
        <f t="shared" si="2307"/>
        <v>7209115342</v>
      </c>
      <c r="F12856" s="1">
        <v>45180</v>
      </c>
      <c r="G12856" t="str">
        <f>"91171"</f>
        <v>91171</v>
      </c>
      <c r="H12856">
        <v>1</v>
      </c>
      <c r="I12856">
        <v>362</v>
      </c>
      <c r="J12856">
        <v>0</v>
      </c>
      <c r="K12856" t="str">
        <f t="shared" si="2310"/>
        <v>813</v>
      </c>
      <c r="L12856">
        <v>304.08</v>
      </c>
    </row>
    <row r="12857" spans="1:12" x14ac:dyDescent="0.25">
      <c r="A12857" t="str">
        <f t="shared" si="2300"/>
        <v>89301000</v>
      </c>
      <c r="B12857" t="str">
        <f t="shared" si="2301"/>
        <v>06539000</v>
      </c>
      <c r="C12857" t="str">
        <f t="shared" si="2309"/>
        <v>06539003</v>
      </c>
      <c r="D12857">
        <v>89301171</v>
      </c>
      <c r="E12857" t="str">
        <f t="shared" si="2307"/>
        <v>7209115342</v>
      </c>
      <c r="F12857" s="1">
        <v>45180</v>
      </c>
      <c r="G12857" t="str">
        <f>"91175"</f>
        <v>91175</v>
      </c>
      <c r="H12857">
        <v>1</v>
      </c>
      <c r="I12857">
        <v>362</v>
      </c>
      <c r="J12857">
        <v>0</v>
      </c>
      <c r="K12857" t="str">
        <f t="shared" si="2310"/>
        <v>813</v>
      </c>
      <c r="L12857">
        <v>304.08</v>
      </c>
    </row>
    <row r="12858" spans="1:12" x14ac:dyDescent="0.25">
      <c r="A12858" t="str">
        <f t="shared" si="2300"/>
        <v>89301000</v>
      </c>
      <c r="B12858" t="str">
        <f t="shared" si="2301"/>
        <v>06539000</v>
      </c>
      <c r="C12858" t="str">
        <f t="shared" si="2309"/>
        <v>06539003</v>
      </c>
      <c r="D12858">
        <v>89301171</v>
      </c>
      <c r="E12858" t="str">
        <f t="shared" si="2307"/>
        <v>7209115342</v>
      </c>
      <c r="F12858" s="1">
        <v>45178</v>
      </c>
      <c r="G12858" t="str">
        <f>"91167"</f>
        <v>91167</v>
      </c>
      <c r="H12858">
        <v>1</v>
      </c>
      <c r="I12858">
        <v>426</v>
      </c>
      <c r="J12858">
        <v>0</v>
      </c>
      <c r="K12858" t="str">
        <f t="shared" si="2310"/>
        <v>813</v>
      </c>
      <c r="L12858">
        <v>357.84</v>
      </c>
    </row>
    <row r="12859" spans="1:12" x14ac:dyDescent="0.25">
      <c r="A12859" t="str">
        <f t="shared" si="2300"/>
        <v>89301000</v>
      </c>
      <c r="B12859" t="str">
        <f t="shared" si="2301"/>
        <v>06539000</v>
      </c>
      <c r="C12859" t="str">
        <f t="shared" si="2309"/>
        <v>06539003</v>
      </c>
      <c r="D12859">
        <v>89301171</v>
      </c>
      <c r="E12859" t="str">
        <f t="shared" si="2307"/>
        <v>7209115342</v>
      </c>
      <c r="F12859" s="1">
        <v>45178</v>
      </c>
      <c r="G12859" t="str">
        <f>"91169"</f>
        <v>91169</v>
      </c>
      <c r="H12859">
        <v>1</v>
      </c>
      <c r="I12859">
        <v>426</v>
      </c>
      <c r="J12859">
        <v>0</v>
      </c>
      <c r="K12859" t="str">
        <f t="shared" si="2310"/>
        <v>813</v>
      </c>
      <c r="L12859">
        <v>357.84</v>
      </c>
    </row>
    <row r="12860" spans="1:12" x14ac:dyDescent="0.25">
      <c r="A12860" t="str">
        <f t="shared" si="2300"/>
        <v>89301000</v>
      </c>
      <c r="B12860" t="str">
        <f t="shared" si="2301"/>
        <v>06539000</v>
      </c>
      <c r="C12860" t="str">
        <f t="shared" si="2309"/>
        <v>06539003</v>
      </c>
      <c r="D12860">
        <v>89301171</v>
      </c>
      <c r="E12860" t="str">
        <f t="shared" si="2307"/>
        <v>7209115342</v>
      </c>
      <c r="F12860" s="1">
        <v>45201</v>
      </c>
      <c r="G12860" t="str">
        <f>"91475"</f>
        <v>91475</v>
      </c>
      <c r="H12860">
        <v>1</v>
      </c>
      <c r="I12860">
        <v>213</v>
      </c>
      <c r="J12860">
        <v>0</v>
      </c>
      <c r="K12860" t="str">
        <f t="shared" si="2310"/>
        <v>813</v>
      </c>
      <c r="L12860">
        <v>178.92</v>
      </c>
    </row>
    <row r="12861" spans="1:12" x14ac:dyDescent="0.25">
      <c r="A12861" t="str">
        <f t="shared" si="2300"/>
        <v>89301000</v>
      </c>
      <c r="B12861" t="str">
        <f t="shared" si="2301"/>
        <v>06539000</v>
      </c>
      <c r="C12861" t="str">
        <f t="shared" si="2309"/>
        <v>06539003</v>
      </c>
      <c r="D12861">
        <v>89301171</v>
      </c>
      <c r="E12861" t="str">
        <f t="shared" ref="E12861:E12882" si="2312">"6762230145"</f>
        <v>6762230145</v>
      </c>
      <c r="F12861" s="1">
        <v>45182</v>
      </c>
      <c r="G12861" t="str">
        <f t="shared" ref="G12861:G12870" si="2313">"91413"</f>
        <v>91413</v>
      </c>
      <c r="H12861">
        <v>1</v>
      </c>
      <c r="I12861">
        <v>868</v>
      </c>
      <c r="J12861">
        <v>0</v>
      </c>
      <c r="K12861" t="str">
        <f t="shared" si="2310"/>
        <v>813</v>
      </c>
      <c r="L12861">
        <v>729.12</v>
      </c>
    </row>
    <row r="12862" spans="1:12" x14ac:dyDescent="0.25">
      <c r="A12862" t="str">
        <f t="shared" si="2300"/>
        <v>89301000</v>
      </c>
      <c r="B12862" t="str">
        <f t="shared" si="2301"/>
        <v>06539000</v>
      </c>
      <c r="C12862" t="str">
        <f t="shared" si="2309"/>
        <v>06539003</v>
      </c>
      <c r="D12862">
        <v>89301171</v>
      </c>
      <c r="E12862" t="str">
        <f t="shared" si="2312"/>
        <v>6762230145</v>
      </c>
      <c r="F12862" s="1">
        <v>45182</v>
      </c>
      <c r="G12862" t="str">
        <f t="shared" si="2313"/>
        <v>91413</v>
      </c>
      <c r="H12862">
        <v>1</v>
      </c>
      <c r="I12862">
        <v>868</v>
      </c>
      <c r="J12862">
        <v>0</v>
      </c>
      <c r="K12862" t="str">
        <f t="shared" si="2310"/>
        <v>813</v>
      </c>
      <c r="L12862">
        <v>729.12</v>
      </c>
    </row>
    <row r="12863" spans="1:12" x14ac:dyDescent="0.25">
      <c r="A12863" t="str">
        <f t="shared" si="2300"/>
        <v>89301000</v>
      </c>
      <c r="B12863" t="str">
        <f t="shared" si="2301"/>
        <v>06539000</v>
      </c>
      <c r="C12863" t="str">
        <f t="shared" si="2309"/>
        <v>06539003</v>
      </c>
      <c r="D12863">
        <v>89301171</v>
      </c>
      <c r="E12863" t="str">
        <f t="shared" si="2312"/>
        <v>6762230145</v>
      </c>
      <c r="F12863" s="1">
        <v>45202</v>
      </c>
      <c r="G12863" t="str">
        <f t="shared" si="2313"/>
        <v>91413</v>
      </c>
      <c r="H12863">
        <v>1</v>
      </c>
      <c r="I12863">
        <v>868</v>
      </c>
      <c r="J12863">
        <v>0</v>
      </c>
      <c r="K12863" t="str">
        <f t="shared" si="2310"/>
        <v>813</v>
      </c>
      <c r="L12863">
        <v>729.12</v>
      </c>
    </row>
    <row r="12864" spans="1:12" x14ac:dyDescent="0.25">
      <c r="A12864" t="str">
        <f t="shared" si="2300"/>
        <v>89301000</v>
      </c>
      <c r="B12864" t="str">
        <f t="shared" si="2301"/>
        <v>06539000</v>
      </c>
      <c r="C12864" t="str">
        <f t="shared" si="2309"/>
        <v>06539003</v>
      </c>
      <c r="D12864">
        <v>89301171</v>
      </c>
      <c r="E12864" t="str">
        <f t="shared" si="2312"/>
        <v>6762230145</v>
      </c>
      <c r="F12864" s="1">
        <v>45202</v>
      </c>
      <c r="G12864" t="str">
        <f t="shared" si="2313"/>
        <v>91413</v>
      </c>
      <c r="H12864">
        <v>1</v>
      </c>
      <c r="I12864">
        <v>868</v>
      </c>
      <c r="J12864">
        <v>0</v>
      </c>
      <c r="K12864" t="str">
        <f t="shared" si="2310"/>
        <v>813</v>
      </c>
      <c r="L12864">
        <v>729.12</v>
      </c>
    </row>
    <row r="12865" spans="1:12" x14ac:dyDescent="0.25">
      <c r="A12865" t="str">
        <f t="shared" si="2300"/>
        <v>89301000</v>
      </c>
      <c r="B12865" t="str">
        <f t="shared" si="2301"/>
        <v>06539000</v>
      </c>
      <c r="C12865" t="str">
        <f t="shared" si="2309"/>
        <v>06539003</v>
      </c>
      <c r="D12865">
        <v>89301171</v>
      </c>
      <c r="E12865" t="str">
        <f t="shared" si="2312"/>
        <v>6762230145</v>
      </c>
      <c r="F12865" s="1">
        <v>45201</v>
      </c>
      <c r="G12865" t="str">
        <f t="shared" si="2313"/>
        <v>91413</v>
      </c>
      <c r="H12865">
        <v>1</v>
      </c>
      <c r="I12865">
        <v>868</v>
      </c>
      <c r="J12865">
        <v>0</v>
      </c>
      <c r="K12865" t="str">
        <f t="shared" si="2310"/>
        <v>813</v>
      </c>
      <c r="L12865">
        <v>729.12</v>
      </c>
    </row>
    <row r="12866" spans="1:12" x14ac:dyDescent="0.25">
      <c r="A12866" t="str">
        <f t="shared" ref="A12866:A12929" si="2314">"89301000"</f>
        <v>89301000</v>
      </c>
      <c r="B12866" t="str">
        <f t="shared" si="2301"/>
        <v>06539000</v>
      </c>
      <c r="C12866" t="str">
        <f t="shared" si="2309"/>
        <v>06539003</v>
      </c>
      <c r="D12866">
        <v>89301171</v>
      </c>
      <c r="E12866" t="str">
        <f t="shared" si="2312"/>
        <v>6762230145</v>
      </c>
      <c r="F12866" s="1">
        <v>45201</v>
      </c>
      <c r="G12866" t="str">
        <f t="shared" si="2313"/>
        <v>91413</v>
      </c>
      <c r="H12866">
        <v>1</v>
      </c>
      <c r="I12866">
        <v>868</v>
      </c>
      <c r="J12866">
        <v>0</v>
      </c>
      <c r="K12866" t="str">
        <f t="shared" si="2310"/>
        <v>813</v>
      </c>
      <c r="L12866">
        <v>729.12</v>
      </c>
    </row>
    <row r="12867" spans="1:12" x14ac:dyDescent="0.25">
      <c r="A12867" t="str">
        <f t="shared" si="2314"/>
        <v>89301000</v>
      </c>
      <c r="B12867" t="str">
        <f t="shared" si="2301"/>
        <v>06539000</v>
      </c>
      <c r="C12867" t="str">
        <f t="shared" si="2309"/>
        <v>06539003</v>
      </c>
      <c r="D12867">
        <v>89301171</v>
      </c>
      <c r="E12867" t="str">
        <f t="shared" si="2312"/>
        <v>6762230145</v>
      </c>
      <c r="F12867" s="1">
        <v>45202</v>
      </c>
      <c r="G12867" t="str">
        <f t="shared" si="2313"/>
        <v>91413</v>
      </c>
      <c r="H12867">
        <v>1</v>
      </c>
      <c r="I12867">
        <v>868</v>
      </c>
      <c r="J12867">
        <v>0</v>
      </c>
      <c r="K12867" t="str">
        <f t="shared" si="2310"/>
        <v>813</v>
      </c>
      <c r="L12867">
        <v>729.12</v>
      </c>
    </row>
    <row r="12868" spans="1:12" x14ac:dyDescent="0.25">
      <c r="A12868" t="str">
        <f t="shared" si="2314"/>
        <v>89301000</v>
      </c>
      <c r="B12868" t="str">
        <f t="shared" si="2301"/>
        <v>06539000</v>
      </c>
      <c r="C12868" t="str">
        <f t="shared" si="2309"/>
        <v>06539003</v>
      </c>
      <c r="D12868">
        <v>89301171</v>
      </c>
      <c r="E12868" t="str">
        <f t="shared" si="2312"/>
        <v>6762230145</v>
      </c>
      <c r="F12868" s="1">
        <v>45202</v>
      </c>
      <c r="G12868" t="str">
        <f t="shared" si="2313"/>
        <v>91413</v>
      </c>
      <c r="H12868">
        <v>1</v>
      </c>
      <c r="I12868">
        <v>868</v>
      </c>
      <c r="J12868">
        <v>0</v>
      </c>
      <c r="K12868" t="str">
        <f t="shared" si="2310"/>
        <v>813</v>
      </c>
      <c r="L12868">
        <v>729.12</v>
      </c>
    </row>
    <row r="12869" spans="1:12" x14ac:dyDescent="0.25">
      <c r="A12869" t="str">
        <f t="shared" si="2314"/>
        <v>89301000</v>
      </c>
      <c r="B12869" t="str">
        <f t="shared" ref="B12869:B12932" si="2315">"06539000"</f>
        <v>06539000</v>
      </c>
      <c r="C12869" t="str">
        <f t="shared" ref="C12869:C12900" si="2316">"06539003"</f>
        <v>06539003</v>
      </c>
      <c r="D12869">
        <v>89301171</v>
      </c>
      <c r="E12869" t="str">
        <f t="shared" si="2312"/>
        <v>6762230145</v>
      </c>
      <c r="F12869" s="1">
        <v>45202</v>
      </c>
      <c r="G12869" t="str">
        <f t="shared" si="2313"/>
        <v>91413</v>
      </c>
      <c r="H12869">
        <v>1</v>
      </c>
      <c r="I12869">
        <v>868</v>
      </c>
      <c r="J12869">
        <v>0</v>
      </c>
      <c r="K12869" t="str">
        <f t="shared" ref="K12869:K12900" si="2317">"813"</f>
        <v>813</v>
      </c>
      <c r="L12869">
        <v>729.12</v>
      </c>
    </row>
    <row r="12870" spans="1:12" x14ac:dyDescent="0.25">
      <c r="A12870" t="str">
        <f t="shared" si="2314"/>
        <v>89301000</v>
      </c>
      <c r="B12870" t="str">
        <f t="shared" si="2315"/>
        <v>06539000</v>
      </c>
      <c r="C12870" t="str">
        <f t="shared" si="2316"/>
        <v>06539003</v>
      </c>
      <c r="D12870">
        <v>89301171</v>
      </c>
      <c r="E12870" t="str">
        <f t="shared" si="2312"/>
        <v>6762230145</v>
      </c>
      <c r="F12870" s="1">
        <v>45202</v>
      </c>
      <c r="G12870" t="str">
        <f t="shared" si="2313"/>
        <v>91413</v>
      </c>
      <c r="H12870">
        <v>1</v>
      </c>
      <c r="I12870">
        <v>868</v>
      </c>
      <c r="J12870">
        <v>0</v>
      </c>
      <c r="K12870" t="str">
        <f t="shared" si="2317"/>
        <v>813</v>
      </c>
      <c r="L12870">
        <v>729.12</v>
      </c>
    </row>
    <row r="12871" spans="1:12" x14ac:dyDescent="0.25">
      <c r="A12871" t="str">
        <f t="shared" si="2314"/>
        <v>89301000</v>
      </c>
      <c r="B12871" t="str">
        <f t="shared" si="2315"/>
        <v>06539000</v>
      </c>
      <c r="C12871" t="str">
        <f t="shared" si="2316"/>
        <v>06539003</v>
      </c>
      <c r="D12871">
        <v>89301171</v>
      </c>
      <c r="E12871" t="str">
        <f t="shared" si="2312"/>
        <v>6762230145</v>
      </c>
      <c r="F12871" s="1">
        <v>45188</v>
      </c>
      <c r="G12871" t="str">
        <f>"91329"</f>
        <v>91329</v>
      </c>
      <c r="H12871">
        <v>2</v>
      </c>
      <c r="I12871">
        <v>436</v>
      </c>
      <c r="J12871">
        <v>0</v>
      </c>
      <c r="K12871" t="str">
        <f t="shared" si="2317"/>
        <v>813</v>
      </c>
      <c r="L12871">
        <v>366.24</v>
      </c>
    </row>
    <row r="12872" spans="1:12" x14ac:dyDescent="0.25">
      <c r="A12872" t="str">
        <f t="shared" si="2314"/>
        <v>89301000</v>
      </c>
      <c r="B12872" t="str">
        <f t="shared" si="2315"/>
        <v>06539000</v>
      </c>
      <c r="C12872" t="str">
        <f t="shared" si="2316"/>
        <v>06539003</v>
      </c>
      <c r="D12872">
        <v>89301171</v>
      </c>
      <c r="E12872" t="str">
        <f t="shared" si="2312"/>
        <v>6762230145</v>
      </c>
      <c r="F12872" s="1">
        <v>45188</v>
      </c>
      <c r="G12872" t="str">
        <f>"91329"</f>
        <v>91329</v>
      </c>
      <c r="H12872">
        <v>2</v>
      </c>
      <c r="I12872">
        <v>436</v>
      </c>
      <c r="J12872">
        <v>0</v>
      </c>
      <c r="K12872" t="str">
        <f t="shared" si="2317"/>
        <v>813</v>
      </c>
      <c r="L12872">
        <v>366.24</v>
      </c>
    </row>
    <row r="12873" spans="1:12" x14ac:dyDescent="0.25">
      <c r="A12873" t="str">
        <f t="shared" si="2314"/>
        <v>89301000</v>
      </c>
      <c r="B12873" t="str">
        <f t="shared" si="2315"/>
        <v>06539000</v>
      </c>
      <c r="C12873" t="str">
        <f t="shared" si="2316"/>
        <v>06539003</v>
      </c>
      <c r="D12873">
        <v>89301171</v>
      </c>
      <c r="E12873" t="str">
        <f t="shared" si="2312"/>
        <v>6762230145</v>
      </c>
      <c r="F12873" s="1">
        <v>45188</v>
      </c>
      <c r="G12873" t="str">
        <f>"91329"</f>
        <v>91329</v>
      </c>
      <c r="H12873">
        <v>2</v>
      </c>
      <c r="I12873">
        <v>436</v>
      </c>
      <c r="J12873">
        <v>0</v>
      </c>
      <c r="K12873" t="str">
        <f t="shared" si="2317"/>
        <v>813</v>
      </c>
      <c r="L12873">
        <v>366.24</v>
      </c>
    </row>
    <row r="12874" spans="1:12" x14ac:dyDescent="0.25">
      <c r="A12874" t="str">
        <f t="shared" si="2314"/>
        <v>89301000</v>
      </c>
      <c r="B12874" t="str">
        <f t="shared" si="2315"/>
        <v>06539000</v>
      </c>
      <c r="C12874" t="str">
        <f t="shared" si="2316"/>
        <v>06539003</v>
      </c>
      <c r="D12874">
        <v>89301171</v>
      </c>
      <c r="E12874" t="str">
        <f t="shared" si="2312"/>
        <v>6762230145</v>
      </c>
      <c r="F12874" s="1">
        <v>45188</v>
      </c>
      <c r="G12874" t="str">
        <f>"91329"</f>
        <v>91329</v>
      </c>
      <c r="H12874">
        <v>2</v>
      </c>
      <c r="I12874">
        <v>436</v>
      </c>
      <c r="J12874">
        <v>0</v>
      </c>
      <c r="K12874" t="str">
        <f t="shared" si="2317"/>
        <v>813</v>
      </c>
      <c r="L12874">
        <v>366.24</v>
      </c>
    </row>
    <row r="12875" spans="1:12" x14ac:dyDescent="0.25">
      <c r="A12875" t="str">
        <f t="shared" si="2314"/>
        <v>89301000</v>
      </c>
      <c r="B12875" t="str">
        <f t="shared" si="2315"/>
        <v>06539000</v>
      </c>
      <c r="C12875" t="str">
        <f t="shared" si="2316"/>
        <v>06539003</v>
      </c>
      <c r="D12875">
        <v>89301171</v>
      </c>
      <c r="E12875" t="str">
        <f t="shared" si="2312"/>
        <v>6762230145</v>
      </c>
      <c r="F12875" s="1">
        <v>45180</v>
      </c>
      <c r="G12875" t="str">
        <f>"91129"</f>
        <v>91129</v>
      </c>
      <c r="H12875">
        <v>1</v>
      </c>
      <c r="I12875">
        <v>175</v>
      </c>
      <c r="J12875">
        <v>0</v>
      </c>
      <c r="K12875" t="str">
        <f t="shared" si="2317"/>
        <v>813</v>
      </c>
      <c r="L12875">
        <v>147</v>
      </c>
    </row>
    <row r="12876" spans="1:12" x14ac:dyDescent="0.25">
      <c r="A12876" t="str">
        <f t="shared" si="2314"/>
        <v>89301000</v>
      </c>
      <c r="B12876" t="str">
        <f t="shared" si="2315"/>
        <v>06539000</v>
      </c>
      <c r="C12876" t="str">
        <f t="shared" si="2316"/>
        <v>06539003</v>
      </c>
      <c r="D12876">
        <v>89301171</v>
      </c>
      <c r="E12876" t="str">
        <f t="shared" si="2312"/>
        <v>6762230145</v>
      </c>
      <c r="F12876" s="1">
        <v>45180</v>
      </c>
      <c r="G12876" t="str">
        <f>"91131"</f>
        <v>91131</v>
      </c>
      <c r="H12876">
        <v>1</v>
      </c>
      <c r="I12876">
        <v>171</v>
      </c>
      <c r="J12876">
        <v>0</v>
      </c>
      <c r="K12876" t="str">
        <f t="shared" si="2317"/>
        <v>813</v>
      </c>
      <c r="L12876">
        <v>143.63999999999999</v>
      </c>
    </row>
    <row r="12877" spans="1:12" x14ac:dyDescent="0.25">
      <c r="A12877" t="str">
        <f t="shared" si="2314"/>
        <v>89301000</v>
      </c>
      <c r="B12877" t="str">
        <f t="shared" si="2315"/>
        <v>06539000</v>
      </c>
      <c r="C12877" t="str">
        <f t="shared" si="2316"/>
        <v>06539003</v>
      </c>
      <c r="D12877">
        <v>89301171</v>
      </c>
      <c r="E12877" t="str">
        <f t="shared" si="2312"/>
        <v>6762230145</v>
      </c>
      <c r="F12877" s="1">
        <v>45180</v>
      </c>
      <c r="G12877" t="str">
        <f>"91133"</f>
        <v>91133</v>
      </c>
      <c r="H12877">
        <v>1</v>
      </c>
      <c r="I12877">
        <v>177</v>
      </c>
      <c r="J12877">
        <v>0</v>
      </c>
      <c r="K12877" t="str">
        <f t="shared" si="2317"/>
        <v>813</v>
      </c>
      <c r="L12877">
        <v>148.68</v>
      </c>
    </row>
    <row r="12878" spans="1:12" x14ac:dyDescent="0.25">
      <c r="A12878" t="str">
        <f t="shared" si="2314"/>
        <v>89301000</v>
      </c>
      <c r="B12878" t="str">
        <f t="shared" si="2315"/>
        <v>06539000</v>
      </c>
      <c r="C12878" t="str">
        <f t="shared" si="2316"/>
        <v>06539003</v>
      </c>
      <c r="D12878">
        <v>89301171</v>
      </c>
      <c r="E12878" t="str">
        <f t="shared" si="2312"/>
        <v>6762230145</v>
      </c>
      <c r="F12878" s="1">
        <v>45180</v>
      </c>
      <c r="G12878" t="str">
        <f>"91171"</f>
        <v>91171</v>
      </c>
      <c r="H12878">
        <v>1</v>
      </c>
      <c r="I12878">
        <v>362</v>
      </c>
      <c r="J12878">
        <v>0</v>
      </c>
      <c r="K12878" t="str">
        <f t="shared" si="2317"/>
        <v>813</v>
      </c>
      <c r="L12878">
        <v>304.08</v>
      </c>
    </row>
    <row r="12879" spans="1:12" x14ac:dyDescent="0.25">
      <c r="A12879" t="str">
        <f t="shared" si="2314"/>
        <v>89301000</v>
      </c>
      <c r="B12879" t="str">
        <f t="shared" si="2315"/>
        <v>06539000</v>
      </c>
      <c r="C12879" t="str">
        <f t="shared" si="2316"/>
        <v>06539003</v>
      </c>
      <c r="D12879">
        <v>89301171</v>
      </c>
      <c r="E12879" t="str">
        <f t="shared" si="2312"/>
        <v>6762230145</v>
      </c>
      <c r="F12879" s="1">
        <v>45180</v>
      </c>
      <c r="G12879" t="str">
        <f>"91175"</f>
        <v>91175</v>
      </c>
      <c r="H12879">
        <v>1</v>
      </c>
      <c r="I12879">
        <v>362</v>
      </c>
      <c r="J12879">
        <v>0</v>
      </c>
      <c r="K12879" t="str">
        <f t="shared" si="2317"/>
        <v>813</v>
      </c>
      <c r="L12879">
        <v>304.08</v>
      </c>
    </row>
    <row r="12880" spans="1:12" x14ac:dyDescent="0.25">
      <c r="A12880" t="str">
        <f t="shared" si="2314"/>
        <v>89301000</v>
      </c>
      <c r="B12880" t="str">
        <f t="shared" si="2315"/>
        <v>06539000</v>
      </c>
      <c r="C12880" t="str">
        <f t="shared" si="2316"/>
        <v>06539003</v>
      </c>
      <c r="D12880">
        <v>89301171</v>
      </c>
      <c r="E12880" t="str">
        <f t="shared" si="2312"/>
        <v>6762230145</v>
      </c>
      <c r="F12880" s="1">
        <v>45178</v>
      </c>
      <c r="G12880" t="str">
        <f>"91167"</f>
        <v>91167</v>
      </c>
      <c r="H12880">
        <v>1</v>
      </c>
      <c r="I12880">
        <v>426</v>
      </c>
      <c r="J12880">
        <v>0</v>
      </c>
      <c r="K12880" t="str">
        <f t="shared" si="2317"/>
        <v>813</v>
      </c>
      <c r="L12880">
        <v>357.84</v>
      </c>
    </row>
    <row r="12881" spans="1:12" x14ac:dyDescent="0.25">
      <c r="A12881" t="str">
        <f t="shared" si="2314"/>
        <v>89301000</v>
      </c>
      <c r="B12881" t="str">
        <f t="shared" si="2315"/>
        <v>06539000</v>
      </c>
      <c r="C12881" t="str">
        <f t="shared" si="2316"/>
        <v>06539003</v>
      </c>
      <c r="D12881">
        <v>89301171</v>
      </c>
      <c r="E12881" t="str">
        <f t="shared" si="2312"/>
        <v>6762230145</v>
      </c>
      <c r="F12881" s="1">
        <v>45178</v>
      </c>
      <c r="G12881" t="str">
        <f>"91169"</f>
        <v>91169</v>
      </c>
      <c r="H12881">
        <v>1</v>
      </c>
      <c r="I12881">
        <v>426</v>
      </c>
      <c r="J12881">
        <v>0</v>
      </c>
      <c r="K12881" t="str">
        <f t="shared" si="2317"/>
        <v>813</v>
      </c>
      <c r="L12881">
        <v>357.84</v>
      </c>
    </row>
    <row r="12882" spans="1:12" x14ac:dyDescent="0.25">
      <c r="A12882" t="str">
        <f t="shared" si="2314"/>
        <v>89301000</v>
      </c>
      <c r="B12882" t="str">
        <f t="shared" si="2315"/>
        <v>06539000</v>
      </c>
      <c r="C12882" t="str">
        <f t="shared" si="2316"/>
        <v>06539003</v>
      </c>
      <c r="D12882">
        <v>89301171</v>
      </c>
      <c r="E12882" t="str">
        <f t="shared" si="2312"/>
        <v>6762230145</v>
      </c>
      <c r="F12882" s="1">
        <v>45188</v>
      </c>
      <c r="G12882" t="str">
        <f>"91475"</f>
        <v>91475</v>
      </c>
      <c r="H12882">
        <v>1</v>
      </c>
      <c r="I12882">
        <v>213</v>
      </c>
      <c r="J12882">
        <v>0</v>
      </c>
      <c r="K12882" t="str">
        <f t="shared" si="2317"/>
        <v>813</v>
      </c>
      <c r="L12882">
        <v>178.92</v>
      </c>
    </row>
    <row r="12883" spans="1:12" x14ac:dyDescent="0.25">
      <c r="A12883" t="str">
        <f t="shared" si="2314"/>
        <v>89301000</v>
      </c>
      <c r="B12883" t="str">
        <f t="shared" si="2315"/>
        <v>06539000</v>
      </c>
      <c r="C12883" t="str">
        <f t="shared" si="2316"/>
        <v>06539003</v>
      </c>
      <c r="D12883">
        <v>89301171</v>
      </c>
      <c r="E12883" t="str">
        <f t="shared" ref="E12883:E12904" si="2318">"475315208"</f>
        <v>475315208</v>
      </c>
      <c r="F12883" s="1">
        <v>45189</v>
      </c>
      <c r="G12883" t="str">
        <f t="shared" ref="G12883:G12892" si="2319">"91413"</f>
        <v>91413</v>
      </c>
      <c r="H12883">
        <v>1</v>
      </c>
      <c r="I12883">
        <v>868</v>
      </c>
      <c r="J12883">
        <v>0</v>
      </c>
      <c r="K12883" t="str">
        <f t="shared" si="2317"/>
        <v>813</v>
      </c>
      <c r="L12883">
        <v>729.12</v>
      </c>
    </row>
    <row r="12884" spans="1:12" x14ac:dyDescent="0.25">
      <c r="A12884" t="str">
        <f t="shared" si="2314"/>
        <v>89301000</v>
      </c>
      <c r="B12884" t="str">
        <f t="shared" si="2315"/>
        <v>06539000</v>
      </c>
      <c r="C12884" t="str">
        <f t="shared" si="2316"/>
        <v>06539003</v>
      </c>
      <c r="D12884">
        <v>89301171</v>
      </c>
      <c r="E12884" t="str">
        <f t="shared" si="2318"/>
        <v>475315208</v>
      </c>
      <c r="F12884" s="1">
        <v>45189</v>
      </c>
      <c r="G12884" t="str">
        <f t="shared" si="2319"/>
        <v>91413</v>
      </c>
      <c r="H12884">
        <v>1</v>
      </c>
      <c r="I12884">
        <v>868</v>
      </c>
      <c r="J12884">
        <v>0</v>
      </c>
      <c r="K12884" t="str">
        <f t="shared" si="2317"/>
        <v>813</v>
      </c>
      <c r="L12884">
        <v>729.12</v>
      </c>
    </row>
    <row r="12885" spans="1:12" x14ac:dyDescent="0.25">
      <c r="A12885" t="str">
        <f t="shared" si="2314"/>
        <v>89301000</v>
      </c>
      <c r="B12885" t="str">
        <f t="shared" si="2315"/>
        <v>06539000</v>
      </c>
      <c r="C12885" t="str">
        <f t="shared" si="2316"/>
        <v>06539003</v>
      </c>
      <c r="D12885">
        <v>89301171</v>
      </c>
      <c r="E12885" t="str">
        <f t="shared" si="2318"/>
        <v>475315208</v>
      </c>
      <c r="F12885" s="1">
        <v>45211</v>
      </c>
      <c r="G12885" t="str">
        <f t="shared" si="2319"/>
        <v>91413</v>
      </c>
      <c r="H12885">
        <v>1</v>
      </c>
      <c r="I12885">
        <v>868</v>
      </c>
      <c r="J12885">
        <v>0</v>
      </c>
      <c r="K12885" t="str">
        <f t="shared" si="2317"/>
        <v>813</v>
      </c>
      <c r="L12885">
        <v>729.12</v>
      </c>
    </row>
    <row r="12886" spans="1:12" x14ac:dyDescent="0.25">
      <c r="A12886" t="str">
        <f t="shared" si="2314"/>
        <v>89301000</v>
      </c>
      <c r="B12886" t="str">
        <f t="shared" si="2315"/>
        <v>06539000</v>
      </c>
      <c r="C12886" t="str">
        <f t="shared" si="2316"/>
        <v>06539003</v>
      </c>
      <c r="D12886">
        <v>89301171</v>
      </c>
      <c r="E12886" t="str">
        <f t="shared" si="2318"/>
        <v>475315208</v>
      </c>
      <c r="F12886" s="1">
        <v>45211</v>
      </c>
      <c r="G12886" t="str">
        <f t="shared" si="2319"/>
        <v>91413</v>
      </c>
      <c r="H12886">
        <v>1</v>
      </c>
      <c r="I12886">
        <v>868</v>
      </c>
      <c r="J12886">
        <v>0</v>
      </c>
      <c r="K12886" t="str">
        <f t="shared" si="2317"/>
        <v>813</v>
      </c>
      <c r="L12886">
        <v>729.12</v>
      </c>
    </row>
    <row r="12887" spans="1:12" x14ac:dyDescent="0.25">
      <c r="A12887" t="str">
        <f t="shared" si="2314"/>
        <v>89301000</v>
      </c>
      <c r="B12887" t="str">
        <f t="shared" si="2315"/>
        <v>06539000</v>
      </c>
      <c r="C12887" t="str">
        <f t="shared" si="2316"/>
        <v>06539003</v>
      </c>
      <c r="D12887">
        <v>89301171</v>
      </c>
      <c r="E12887" t="str">
        <f t="shared" si="2318"/>
        <v>475315208</v>
      </c>
      <c r="F12887" s="1">
        <v>45204</v>
      </c>
      <c r="G12887" t="str">
        <f t="shared" si="2319"/>
        <v>91413</v>
      </c>
      <c r="H12887">
        <v>1</v>
      </c>
      <c r="I12887">
        <v>868</v>
      </c>
      <c r="J12887">
        <v>0</v>
      </c>
      <c r="K12887" t="str">
        <f t="shared" si="2317"/>
        <v>813</v>
      </c>
      <c r="L12887">
        <v>729.12</v>
      </c>
    </row>
    <row r="12888" spans="1:12" x14ac:dyDescent="0.25">
      <c r="A12888" t="str">
        <f t="shared" si="2314"/>
        <v>89301000</v>
      </c>
      <c r="B12888" t="str">
        <f t="shared" si="2315"/>
        <v>06539000</v>
      </c>
      <c r="C12888" t="str">
        <f t="shared" si="2316"/>
        <v>06539003</v>
      </c>
      <c r="D12888">
        <v>89301171</v>
      </c>
      <c r="E12888" t="str">
        <f t="shared" si="2318"/>
        <v>475315208</v>
      </c>
      <c r="F12888" s="1">
        <v>45204</v>
      </c>
      <c r="G12888" t="str">
        <f t="shared" si="2319"/>
        <v>91413</v>
      </c>
      <c r="H12888">
        <v>1</v>
      </c>
      <c r="I12888">
        <v>868</v>
      </c>
      <c r="J12888">
        <v>0</v>
      </c>
      <c r="K12888" t="str">
        <f t="shared" si="2317"/>
        <v>813</v>
      </c>
      <c r="L12888">
        <v>729.12</v>
      </c>
    </row>
    <row r="12889" spans="1:12" x14ac:dyDescent="0.25">
      <c r="A12889" t="str">
        <f t="shared" si="2314"/>
        <v>89301000</v>
      </c>
      <c r="B12889" t="str">
        <f t="shared" si="2315"/>
        <v>06539000</v>
      </c>
      <c r="C12889" t="str">
        <f t="shared" si="2316"/>
        <v>06539003</v>
      </c>
      <c r="D12889">
        <v>89301171</v>
      </c>
      <c r="E12889" t="str">
        <f t="shared" si="2318"/>
        <v>475315208</v>
      </c>
      <c r="F12889" s="1">
        <v>45211</v>
      </c>
      <c r="G12889" t="str">
        <f t="shared" si="2319"/>
        <v>91413</v>
      </c>
      <c r="H12889">
        <v>1</v>
      </c>
      <c r="I12889">
        <v>868</v>
      </c>
      <c r="J12889">
        <v>0</v>
      </c>
      <c r="K12889" t="str">
        <f t="shared" si="2317"/>
        <v>813</v>
      </c>
      <c r="L12889">
        <v>729.12</v>
      </c>
    </row>
    <row r="12890" spans="1:12" x14ac:dyDescent="0.25">
      <c r="A12890" t="str">
        <f t="shared" si="2314"/>
        <v>89301000</v>
      </c>
      <c r="B12890" t="str">
        <f t="shared" si="2315"/>
        <v>06539000</v>
      </c>
      <c r="C12890" t="str">
        <f t="shared" si="2316"/>
        <v>06539003</v>
      </c>
      <c r="D12890">
        <v>89301171</v>
      </c>
      <c r="E12890" t="str">
        <f t="shared" si="2318"/>
        <v>475315208</v>
      </c>
      <c r="F12890" s="1">
        <v>45211</v>
      </c>
      <c r="G12890" t="str">
        <f t="shared" si="2319"/>
        <v>91413</v>
      </c>
      <c r="H12890">
        <v>1</v>
      </c>
      <c r="I12890">
        <v>868</v>
      </c>
      <c r="J12890">
        <v>0</v>
      </c>
      <c r="K12890" t="str">
        <f t="shared" si="2317"/>
        <v>813</v>
      </c>
      <c r="L12890">
        <v>729.12</v>
      </c>
    </row>
    <row r="12891" spans="1:12" x14ac:dyDescent="0.25">
      <c r="A12891" t="str">
        <f t="shared" si="2314"/>
        <v>89301000</v>
      </c>
      <c r="B12891" t="str">
        <f t="shared" si="2315"/>
        <v>06539000</v>
      </c>
      <c r="C12891" t="str">
        <f t="shared" si="2316"/>
        <v>06539003</v>
      </c>
      <c r="D12891">
        <v>89301171</v>
      </c>
      <c r="E12891" t="str">
        <f t="shared" si="2318"/>
        <v>475315208</v>
      </c>
      <c r="F12891" s="1">
        <v>45211</v>
      </c>
      <c r="G12891" t="str">
        <f t="shared" si="2319"/>
        <v>91413</v>
      </c>
      <c r="H12891">
        <v>1</v>
      </c>
      <c r="I12891">
        <v>868</v>
      </c>
      <c r="J12891">
        <v>0</v>
      </c>
      <c r="K12891" t="str">
        <f t="shared" si="2317"/>
        <v>813</v>
      </c>
      <c r="L12891">
        <v>729.12</v>
      </c>
    </row>
    <row r="12892" spans="1:12" x14ac:dyDescent="0.25">
      <c r="A12892" t="str">
        <f t="shared" si="2314"/>
        <v>89301000</v>
      </c>
      <c r="B12892" t="str">
        <f t="shared" si="2315"/>
        <v>06539000</v>
      </c>
      <c r="C12892" t="str">
        <f t="shared" si="2316"/>
        <v>06539003</v>
      </c>
      <c r="D12892">
        <v>89301171</v>
      </c>
      <c r="E12892" t="str">
        <f t="shared" si="2318"/>
        <v>475315208</v>
      </c>
      <c r="F12892" s="1">
        <v>45211</v>
      </c>
      <c r="G12892" t="str">
        <f t="shared" si="2319"/>
        <v>91413</v>
      </c>
      <c r="H12892">
        <v>1</v>
      </c>
      <c r="I12892">
        <v>868</v>
      </c>
      <c r="J12892">
        <v>0</v>
      </c>
      <c r="K12892" t="str">
        <f t="shared" si="2317"/>
        <v>813</v>
      </c>
      <c r="L12892">
        <v>729.12</v>
      </c>
    </row>
    <row r="12893" spans="1:12" x14ac:dyDescent="0.25">
      <c r="A12893" t="str">
        <f t="shared" si="2314"/>
        <v>89301000</v>
      </c>
      <c r="B12893" t="str">
        <f t="shared" si="2315"/>
        <v>06539000</v>
      </c>
      <c r="C12893" t="str">
        <f t="shared" si="2316"/>
        <v>06539003</v>
      </c>
      <c r="D12893">
        <v>89301171</v>
      </c>
      <c r="E12893" t="str">
        <f t="shared" si="2318"/>
        <v>475315208</v>
      </c>
      <c r="F12893" s="1">
        <v>45186</v>
      </c>
      <c r="G12893" t="str">
        <f>"91197"</f>
        <v>91197</v>
      </c>
      <c r="H12893">
        <v>1</v>
      </c>
      <c r="I12893">
        <v>1048</v>
      </c>
      <c r="J12893">
        <v>0</v>
      </c>
      <c r="K12893" t="str">
        <f t="shared" si="2317"/>
        <v>813</v>
      </c>
      <c r="L12893">
        <v>880.32</v>
      </c>
    </row>
    <row r="12894" spans="1:12" x14ac:dyDescent="0.25">
      <c r="A12894" t="str">
        <f t="shared" si="2314"/>
        <v>89301000</v>
      </c>
      <c r="B12894" t="str">
        <f t="shared" si="2315"/>
        <v>06539000</v>
      </c>
      <c r="C12894" t="str">
        <f t="shared" si="2316"/>
        <v>06539003</v>
      </c>
      <c r="D12894">
        <v>89301171</v>
      </c>
      <c r="E12894" t="str">
        <f t="shared" si="2318"/>
        <v>475315208</v>
      </c>
      <c r="F12894" s="1">
        <v>45186</v>
      </c>
      <c r="G12894" t="str">
        <f>"91197"</f>
        <v>91197</v>
      </c>
      <c r="H12894">
        <v>1</v>
      </c>
      <c r="I12894">
        <v>1048</v>
      </c>
      <c r="J12894">
        <v>0</v>
      </c>
      <c r="K12894" t="str">
        <f t="shared" si="2317"/>
        <v>813</v>
      </c>
      <c r="L12894">
        <v>880.32</v>
      </c>
    </row>
    <row r="12895" spans="1:12" x14ac:dyDescent="0.25">
      <c r="A12895" t="str">
        <f t="shared" si="2314"/>
        <v>89301000</v>
      </c>
      <c r="B12895" t="str">
        <f t="shared" si="2315"/>
        <v>06539000</v>
      </c>
      <c r="C12895" t="str">
        <f t="shared" si="2316"/>
        <v>06539003</v>
      </c>
      <c r="D12895">
        <v>89301171</v>
      </c>
      <c r="E12895" t="str">
        <f t="shared" si="2318"/>
        <v>475315208</v>
      </c>
      <c r="F12895" s="1">
        <v>45185</v>
      </c>
      <c r="G12895" t="str">
        <f>"91197"</f>
        <v>91197</v>
      </c>
      <c r="H12895">
        <v>1</v>
      </c>
      <c r="I12895">
        <v>1048</v>
      </c>
      <c r="J12895">
        <v>0</v>
      </c>
      <c r="K12895" t="str">
        <f t="shared" si="2317"/>
        <v>813</v>
      </c>
      <c r="L12895">
        <v>880.32</v>
      </c>
    </row>
    <row r="12896" spans="1:12" x14ac:dyDescent="0.25">
      <c r="A12896" t="str">
        <f t="shared" si="2314"/>
        <v>89301000</v>
      </c>
      <c r="B12896" t="str">
        <f t="shared" si="2315"/>
        <v>06539000</v>
      </c>
      <c r="C12896" t="str">
        <f t="shared" si="2316"/>
        <v>06539003</v>
      </c>
      <c r="D12896">
        <v>89301171</v>
      </c>
      <c r="E12896" t="str">
        <f t="shared" si="2318"/>
        <v>475315208</v>
      </c>
      <c r="F12896" s="1">
        <v>45185</v>
      </c>
      <c r="G12896" t="str">
        <f>"91197"</f>
        <v>91197</v>
      </c>
      <c r="H12896">
        <v>1</v>
      </c>
      <c r="I12896">
        <v>1048</v>
      </c>
      <c r="J12896">
        <v>0</v>
      </c>
      <c r="K12896" t="str">
        <f t="shared" si="2317"/>
        <v>813</v>
      </c>
      <c r="L12896">
        <v>880.32</v>
      </c>
    </row>
    <row r="12897" spans="1:12" x14ac:dyDescent="0.25">
      <c r="A12897" t="str">
        <f t="shared" si="2314"/>
        <v>89301000</v>
      </c>
      <c r="B12897" t="str">
        <f t="shared" si="2315"/>
        <v>06539000</v>
      </c>
      <c r="C12897" t="str">
        <f t="shared" si="2316"/>
        <v>06539003</v>
      </c>
      <c r="D12897">
        <v>89301171</v>
      </c>
      <c r="E12897" t="str">
        <f t="shared" si="2318"/>
        <v>475315208</v>
      </c>
      <c r="F12897" s="1">
        <v>45187</v>
      </c>
      <c r="G12897" t="str">
        <f>"91129"</f>
        <v>91129</v>
      </c>
      <c r="H12897">
        <v>1</v>
      </c>
      <c r="I12897">
        <v>175</v>
      </c>
      <c r="J12897">
        <v>0</v>
      </c>
      <c r="K12897" t="str">
        <f t="shared" si="2317"/>
        <v>813</v>
      </c>
      <c r="L12897">
        <v>147</v>
      </c>
    </row>
    <row r="12898" spans="1:12" x14ac:dyDescent="0.25">
      <c r="A12898" t="str">
        <f t="shared" si="2314"/>
        <v>89301000</v>
      </c>
      <c r="B12898" t="str">
        <f t="shared" si="2315"/>
        <v>06539000</v>
      </c>
      <c r="C12898" t="str">
        <f t="shared" si="2316"/>
        <v>06539003</v>
      </c>
      <c r="D12898">
        <v>89301171</v>
      </c>
      <c r="E12898" t="str">
        <f t="shared" si="2318"/>
        <v>475315208</v>
      </c>
      <c r="F12898" s="1">
        <v>45187</v>
      </c>
      <c r="G12898" t="str">
        <f>"91131"</f>
        <v>91131</v>
      </c>
      <c r="H12898">
        <v>1</v>
      </c>
      <c r="I12898">
        <v>171</v>
      </c>
      <c r="J12898">
        <v>0</v>
      </c>
      <c r="K12898" t="str">
        <f t="shared" si="2317"/>
        <v>813</v>
      </c>
      <c r="L12898">
        <v>143.63999999999999</v>
      </c>
    </row>
    <row r="12899" spans="1:12" x14ac:dyDescent="0.25">
      <c r="A12899" t="str">
        <f t="shared" si="2314"/>
        <v>89301000</v>
      </c>
      <c r="B12899" t="str">
        <f t="shared" si="2315"/>
        <v>06539000</v>
      </c>
      <c r="C12899" t="str">
        <f t="shared" si="2316"/>
        <v>06539003</v>
      </c>
      <c r="D12899">
        <v>89301171</v>
      </c>
      <c r="E12899" t="str">
        <f t="shared" si="2318"/>
        <v>475315208</v>
      </c>
      <c r="F12899" s="1">
        <v>45187</v>
      </c>
      <c r="G12899" t="str">
        <f>"91133"</f>
        <v>91133</v>
      </c>
      <c r="H12899">
        <v>1</v>
      </c>
      <c r="I12899">
        <v>177</v>
      </c>
      <c r="J12899">
        <v>0</v>
      </c>
      <c r="K12899" t="str">
        <f t="shared" si="2317"/>
        <v>813</v>
      </c>
      <c r="L12899">
        <v>148.68</v>
      </c>
    </row>
    <row r="12900" spans="1:12" x14ac:dyDescent="0.25">
      <c r="A12900" t="str">
        <f t="shared" si="2314"/>
        <v>89301000</v>
      </c>
      <c r="B12900" t="str">
        <f t="shared" si="2315"/>
        <v>06539000</v>
      </c>
      <c r="C12900" t="str">
        <f t="shared" si="2316"/>
        <v>06539003</v>
      </c>
      <c r="D12900">
        <v>89301171</v>
      </c>
      <c r="E12900" t="str">
        <f t="shared" si="2318"/>
        <v>475315208</v>
      </c>
      <c r="F12900" s="1">
        <v>45187</v>
      </c>
      <c r="G12900" t="str">
        <f>"91171"</f>
        <v>91171</v>
      </c>
      <c r="H12900">
        <v>1</v>
      </c>
      <c r="I12900">
        <v>362</v>
      </c>
      <c r="J12900">
        <v>0</v>
      </c>
      <c r="K12900" t="str">
        <f t="shared" si="2317"/>
        <v>813</v>
      </c>
      <c r="L12900">
        <v>304.08</v>
      </c>
    </row>
    <row r="12901" spans="1:12" x14ac:dyDescent="0.25">
      <c r="A12901" t="str">
        <f t="shared" si="2314"/>
        <v>89301000</v>
      </c>
      <c r="B12901" t="str">
        <f t="shared" si="2315"/>
        <v>06539000</v>
      </c>
      <c r="C12901" t="str">
        <f t="shared" ref="C12901:C12932" si="2320">"06539003"</f>
        <v>06539003</v>
      </c>
      <c r="D12901">
        <v>89301171</v>
      </c>
      <c r="E12901" t="str">
        <f t="shared" si="2318"/>
        <v>475315208</v>
      </c>
      <c r="F12901" s="1">
        <v>45187</v>
      </c>
      <c r="G12901" t="str">
        <f>"91175"</f>
        <v>91175</v>
      </c>
      <c r="H12901">
        <v>1</v>
      </c>
      <c r="I12901">
        <v>362</v>
      </c>
      <c r="J12901">
        <v>0</v>
      </c>
      <c r="K12901" t="str">
        <f t="shared" ref="K12901:K12932" si="2321">"813"</f>
        <v>813</v>
      </c>
      <c r="L12901">
        <v>304.08</v>
      </c>
    </row>
    <row r="12902" spans="1:12" x14ac:dyDescent="0.25">
      <c r="A12902" t="str">
        <f t="shared" si="2314"/>
        <v>89301000</v>
      </c>
      <c r="B12902" t="str">
        <f t="shared" si="2315"/>
        <v>06539000</v>
      </c>
      <c r="C12902" t="str">
        <f t="shared" si="2320"/>
        <v>06539003</v>
      </c>
      <c r="D12902">
        <v>89301171</v>
      </c>
      <c r="E12902" t="str">
        <f t="shared" si="2318"/>
        <v>475315208</v>
      </c>
      <c r="F12902" s="1">
        <v>45185</v>
      </c>
      <c r="G12902" t="str">
        <f>"91167"</f>
        <v>91167</v>
      </c>
      <c r="H12902">
        <v>1</v>
      </c>
      <c r="I12902">
        <v>426</v>
      </c>
      <c r="J12902">
        <v>0</v>
      </c>
      <c r="K12902" t="str">
        <f t="shared" si="2321"/>
        <v>813</v>
      </c>
      <c r="L12902">
        <v>357.84</v>
      </c>
    </row>
    <row r="12903" spans="1:12" x14ac:dyDescent="0.25">
      <c r="A12903" t="str">
        <f t="shared" si="2314"/>
        <v>89301000</v>
      </c>
      <c r="B12903" t="str">
        <f t="shared" si="2315"/>
        <v>06539000</v>
      </c>
      <c r="C12903" t="str">
        <f t="shared" si="2320"/>
        <v>06539003</v>
      </c>
      <c r="D12903">
        <v>89301171</v>
      </c>
      <c r="E12903" t="str">
        <f t="shared" si="2318"/>
        <v>475315208</v>
      </c>
      <c r="F12903" s="1">
        <v>45185</v>
      </c>
      <c r="G12903" t="str">
        <f>"91169"</f>
        <v>91169</v>
      </c>
      <c r="H12903">
        <v>1</v>
      </c>
      <c r="I12903">
        <v>426</v>
      </c>
      <c r="J12903">
        <v>0</v>
      </c>
      <c r="K12903" t="str">
        <f t="shared" si="2321"/>
        <v>813</v>
      </c>
      <c r="L12903">
        <v>357.84</v>
      </c>
    </row>
    <row r="12904" spans="1:12" x14ac:dyDescent="0.25">
      <c r="A12904" t="str">
        <f t="shared" si="2314"/>
        <v>89301000</v>
      </c>
      <c r="B12904" t="str">
        <f t="shared" si="2315"/>
        <v>06539000</v>
      </c>
      <c r="C12904" t="str">
        <f t="shared" si="2320"/>
        <v>06539003</v>
      </c>
      <c r="D12904">
        <v>89301171</v>
      </c>
      <c r="E12904" t="str">
        <f t="shared" si="2318"/>
        <v>475315208</v>
      </c>
      <c r="F12904" s="1">
        <v>45189</v>
      </c>
      <c r="G12904" t="str">
        <f>"91475"</f>
        <v>91475</v>
      </c>
      <c r="H12904">
        <v>1</v>
      </c>
      <c r="I12904">
        <v>213</v>
      </c>
      <c r="J12904">
        <v>0</v>
      </c>
      <c r="K12904" t="str">
        <f t="shared" si="2321"/>
        <v>813</v>
      </c>
      <c r="L12904">
        <v>178.92</v>
      </c>
    </row>
    <row r="12905" spans="1:12" x14ac:dyDescent="0.25">
      <c r="A12905" t="str">
        <f t="shared" si="2314"/>
        <v>89301000</v>
      </c>
      <c r="B12905" t="str">
        <f t="shared" si="2315"/>
        <v>06539000</v>
      </c>
      <c r="C12905" t="str">
        <f t="shared" si="2320"/>
        <v>06539003</v>
      </c>
      <c r="D12905">
        <v>89301171</v>
      </c>
      <c r="E12905" t="str">
        <f t="shared" ref="E12905:E12926" si="2322">"440725164"</f>
        <v>440725164</v>
      </c>
      <c r="F12905" s="1">
        <v>45189</v>
      </c>
      <c r="G12905" t="str">
        <f t="shared" ref="G12905:G12914" si="2323">"91413"</f>
        <v>91413</v>
      </c>
      <c r="H12905">
        <v>1</v>
      </c>
      <c r="I12905">
        <v>868</v>
      </c>
      <c r="J12905">
        <v>0</v>
      </c>
      <c r="K12905" t="str">
        <f t="shared" si="2321"/>
        <v>813</v>
      </c>
      <c r="L12905">
        <v>729.12</v>
      </c>
    </row>
    <row r="12906" spans="1:12" x14ac:dyDescent="0.25">
      <c r="A12906" t="str">
        <f t="shared" si="2314"/>
        <v>89301000</v>
      </c>
      <c r="B12906" t="str">
        <f t="shared" si="2315"/>
        <v>06539000</v>
      </c>
      <c r="C12906" t="str">
        <f t="shared" si="2320"/>
        <v>06539003</v>
      </c>
      <c r="D12906">
        <v>89301171</v>
      </c>
      <c r="E12906" t="str">
        <f t="shared" si="2322"/>
        <v>440725164</v>
      </c>
      <c r="F12906" s="1">
        <v>45189</v>
      </c>
      <c r="G12906" t="str">
        <f t="shared" si="2323"/>
        <v>91413</v>
      </c>
      <c r="H12906">
        <v>1</v>
      </c>
      <c r="I12906">
        <v>868</v>
      </c>
      <c r="J12906">
        <v>0</v>
      </c>
      <c r="K12906" t="str">
        <f t="shared" si="2321"/>
        <v>813</v>
      </c>
      <c r="L12906">
        <v>729.12</v>
      </c>
    </row>
    <row r="12907" spans="1:12" x14ac:dyDescent="0.25">
      <c r="A12907" t="str">
        <f t="shared" si="2314"/>
        <v>89301000</v>
      </c>
      <c r="B12907" t="str">
        <f t="shared" si="2315"/>
        <v>06539000</v>
      </c>
      <c r="C12907" t="str">
        <f t="shared" si="2320"/>
        <v>06539003</v>
      </c>
      <c r="D12907">
        <v>89301171</v>
      </c>
      <c r="E12907" t="str">
        <f t="shared" si="2322"/>
        <v>440725164</v>
      </c>
      <c r="F12907" s="1">
        <v>45211</v>
      </c>
      <c r="G12907" t="str">
        <f t="shared" si="2323"/>
        <v>91413</v>
      </c>
      <c r="H12907">
        <v>1</v>
      </c>
      <c r="I12907">
        <v>868</v>
      </c>
      <c r="J12907">
        <v>0</v>
      </c>
      <c r="K12907" t="str">
        <f t="shared" si="2321"/>
        <v>813</v>
      </c>
      <c r="L12907">
        <v>729.12</v>
      </c>
    </row>
    <row r="12908" spans="1:12" x14ac:dyDescent="0.25">
      <c r="A12908" t="str">
        <f t="shared" si="2314"/>
        <v>89301000</v>
      </c>
      <c r="B12908" t="str">
        <f t="shared" si="2315"/>
        <v>06539000</v>
      </c>
      <c r="C12908" t="str">
        <f t="shared" si="2320"/>
        <v>06539003</v>
      </c>
      <c r="D12908">
        <v>89301171</v>
      </c>
      <c r="E12908" t="str">
        <f t="shared" si="2322"/>
        <v>440725164</v>
      </c>
      <c r="F12908" s="1">
        <v>45211</v>
      </c>
      <c r="G12908" t="str">
        <f t="shared" si="2323"/>
        <v>91413</v>
      </c>
      <c r="H12908">
        <v>1</v>
      </c>
      <c r="I12908">
        <v>868</v>
      </c>
      <c r="J12908">
        <v>0</v>
      </c>
      <c r="K12908" t="str">
        <f t="shared" si="2321"/>
        <v>813</v>
      </c>
      <c r="L12908">
        <v>729.12</v>
      </c>
    </row>
    <row r="12909" spans="1:12" x14ac:dyDescent="0.25">
      <c r="A12909" t="str">
        <f t="shared" si="2314"/>
        <v>89301000</v>
      </c>
      <c r="B12909" t="str">
        <f t="shared" si="2315"/>
        <v>06539000</v>
      </c>
      <c r="C12909" t="str">
        <f t="shared" si="2320"/>
        <v>06539003</v>
      </c>
      <c r="D12909">
        <v>89301171</v>
      </c>
      <c r="E12909" t="str">
        <f t="shared" si="2322"/>
        <v>440725164</v>
      </c>
      <c r="F12909" s="1">
        <v>45205</v>
      </c>
      <c r="G12909" t="str">
        <f t="shared" si="2323"/>
        <v>91413</v>
      </c>
      <c r="H12909">
        <v>1</v>
      </c>
      <c r="I12909">
        <v>868</v>
      </c>
      <c r="J12909">
        <v>0</v>
      </c>
      <c r="K12909" t="str">
        <f t="shared" si="2321"/>
        <v>813</v>
      </c>
      <c r="L12909">
        <v>729.12</v>
      </c>
    </row>
    <row r="12910" spans="1:12" x14ac:dyDescent="0.25">
      <c r="A12910" t="str">
        <f t="shared" si="2314"/>
        <v>89301000</v>
      </c>
      <c r="B12910" t="str">
        <f t="shared" si="2315"/>
        <v>06539000</v>
      </c>
      <c r="C12910" t="str">
        <f t="shared" si="2320"/>
        <v>06539003</v>
      </c>
      <c r="D12910">
        <v>89301171</v>
      </c>
      <c r="E12910" t="str">
        <f t="shared" si="2322"/>
        <v>440725164</v>
      </c>
      <c r="F12910" s="1">
        <v>45205</v>
      </c>
      <c r="G12910" t="str">
        <f t="shared" si="2323"/>
        <v>91413</v>
      </c>
      <c r="H12910">
        <v>1</v>
      </c>
      <c r="I12910">
        <v>868</v>
      </c>
      <c r="J12910">
        <v>0</v>
      </c>
      <c r="K12910" t="str">
        <f t="shared" si="2321"/>
        <v>813</v>
      </c>
      <c r="L12910">
        <v>729.12</v>
      </c>
    </row>
    <row r="12911" spans="1:12" x14ac:dyDescent="0.25">
      <c r="A12911" t="str">
        <f t="shared" si="2314"/>
        <v>89301000</v>
      </c>
      <c r="B12911" t="str">
        <f t="shared" si="2315"/>
        <v>06539000</v>
      </c>
      <c r="C12911" t="str">
        <f t="shared" si="2320"/>
        <v>06539003</v>
      </c>
      <c r="D12911">
        <v>89301171</v>
      </c>
      <c r="E12911" t="str">
        <f t="shared" si="2322"/>
        <v>440725164</v>
      </c>
      <c r="F12911" s="1">
        <v>45211</v>
      </c>
      <c r="G12911" t="str">
        <f t="shared" si="2323"/>
        <v>91413</v>
      </c>
      <c r="H12911">
        <v>1</v>
      </c>
      <c r="I12911">
        <v>868</v>
      </c>
      <c r="J12911">
        <v>0</v>
      </c>
      <c r="K12911" t="str">
        <f t="shared" si="2321"/>
        <v>813</v>
      </c>
      <c r="L12911">
        <v>729.12</v>
      </c>
    </row>
    <row r="12912" spans="1:12" x14ac:dyDescent="0.25">
      <c r="A12912" t="str">
        <f t="shared" si="2314"/>
        <v>89301000</v>
      </c>
      <c r="B12912" t="str">
        <f t="shared" si="2315"/>
        <v>06539000</v>
      </c>
      <c r="C12912" t="str">
        <f t="shared" si="2320"/>
        <v>06539003</v>
      </c>
      <c r="D12912">
        <v>89301171</v>
      </c>
      <c r="E12912" t="str">
        <f t="shared" si="2322"/>
        <v>440725164</v>
      </c>
      <c r="F12912" s="1">
        <v>45211</v>
      </c>
      <c r="G12912" t="str">
        <f t="shared" si="2323"/>
        <v>91413</v>
      </c>
      <c r="H12912">
        <v>1</v>
      </c>
      <c r="I12912">
        <v>868</v>
      </c>
      <c r="J12912">
        <v>0</v>
      </c>
      <c r="K12912" t="str">
        <f t="shared" si="2321"/>
        <v>813</v>
      </c>
      <c r="L12912">
        <v>729.12</v>
      </c>
    </row>
    <row r="12913" spans="1:12" x14ac:dyDescent="0.25">
      <c r="A12913" t="str">
        <f t="shared" si="2314"/>
        <v>89301000</v>
      </c>
      <c r="B12913" t="str">
        <f t="shared" si="2315"/>
        <v>06539000</v>
      </c>
      <c r="C12913" t="str">
        <f t="shared" si="2320"/>
        <v>06539003</v>
      </c>
      <c r="D12913">
        <v>89301171</v>
      </c>
      <c r="E12913" t="str">
        <f t="shared" si="2322"/>
        <v>440725164</v>
      </c>
      <c r="F12913" s="1">
        <v>45211</v>
      </c>
      <c r="G12913" t="str">
        <f t="shared" si="2323"/>
        <v>91413</v>
      </c>
      <c r="H12913">
        <v>1</v>
      </c>
      <c r="I12913">
        <v>868</v>
      </c>
      <c r="J12913">
        <v>0</v>
      </c>
      <c r="K12913" t="str">
        <f t="shared" si="2321"/>
        <v>813</v>
      </c>
      <c r="L12913">
        <v>729.12</v>
      </c>
    </row>
    <row r="12914" spans="1:12" x14ac:dyDescent="0.25">
      <c r="A12914" t="str">
        <f t="shared" si="2314"/>
        <v>89301000</v>
      </c>
      <c r="B12914" t="str">
        <f t="shared" si="2315"/>
        <v>06539000</v>
      </c>
      <c r="C12914" t="str">
        <f t="shared" si="2320"/>
        <v>06539003</v>
      </c>
      <c r="D12914">
        <v>89301171</v>
      </c>
      <c r="E12914" t="str">
        <f t="shared" si="2322"/>
        <v>440725164</v>
      </c>
      <c r="F12914" s="1">
        <v>45211</v>
      </c>
      <c r="G12914" t="str">
        <f t="shared" si="2323"/>
        <v>91413</v>
      </c>
      <c r="H12914">
        <v>1</v>
      </c>
      <c r="I12914">
        <v>868</v>
      </c>
      <c r="J12914">
        <v>0</v>
      </c>
      <c r="K12914" t="str">
        <f t="shared" si="2321"/>
        <v>813</v>
      </c>
      <c r="L12914">
        <v>729.12</v>
      </c>
    </row>
    <row r="12915" spans="1:12" x14ac:dyDescent="0.25">
      <c r="A12915" t="str">
        <f t="shared" si="2314"/>
        <v>89301000</v>
      </c>
      <c r="B12915" t="str">
        <f t="shared" si="2315"/>
        <v>06539000</v>
      </c>
      <c r="C12915" t="str">
        <f t="shared" si="2320"/>
        <v>06539003</v>
      </c>
      <c r="D12915">
        <v>89301171</v>
      </c>
      <c r="E12915" t="str">
        <f t="shared" si="2322"/>
        <v>440725164</v>
      </c>
      <c r="F12915" s="1">
        <v>45186</v>
      </c>
      <c r="G12915" t="str">
        <f>"91197"</f>
        <v>91197</v>
      </c>
      <c r="H12915">
        <v>1</v>
      </c>
      <c r="I12915">
        <v>1048</v>
      </c>
      <c r="J12915">
        <v>0</v>
      </c>
      <c r="K12915" t="str">
        <f t="shared" si="2321"/>
        <v>813</v>
      </c>
      <c r="L12915">
        <v>880.32</v>
      </c>
    </row>
    <row r="12916" spans="1:12" x14ac:dyDescent="0.25">
      <c r="A12916" t="str">
        <f t="shared" si="2314"/>
        <v>89301000</v>
      </c>
      <c r="B12916" t="str">
        <f t="shared" si="2315"/>
        <v>06539000</v>
      </c>
      <c r="C12916" t="str">
        <f t="shared" si="2320"/>
        <v>06539003</v>
      </c>
      <c r="D12916">
        <v>89301171</v>
      </c>
      <c r="E12916" t="str">
        <f t="shared" si="2322"/>
        <v>440725164</v>
      </c>
      <c r="F12916" s="1">
        <v>45186</v>
      </c>
      <c r="G12916" t="str">
        <f>"91197"</f>
        <v>91197</v>
      </c>
      <c r="H12916">
        <v>1</v>
      </c>
      <c r="I12916">
        <v>1048</v>
      </c>
      <c r="J12916">
        <v>0</v>
      </c>
      <c r="K12916" t="str">
        <f t="shared" si="2321"/>
        <v>813</v>
      </c>
      <c r="L12916">
        <v>880.32</v>
      </c>
    </row>
    <row r="12917" spans="1:12" x14ac:dyDescent="0.25">
      <c r="A12917" t="str">
        <f t="shared" si="2314"/>
        <v>89301000</v>
      </c>
      <c r="B12917" t="str">
        <f t="shared" si="2315"/>
        <v>06539000</v>
      </c>
      <c r="C12917" t="str">
        <f t="shared" si="2320"/>
        <v>06539003</v>
      </c>
      <c r="D12917">
        <v>89301171</v>
      </c>
      <c r="E12917" t="str">
        <f t="shared" si="2322"/>
        <v>440725164</v>
      </c>
      <c r="F12917" s="1">
        <v>45185</v>
      </c>
      <c r="G12917" t="str">
        <f>"91197"</f>
        <v>91197</v>
      </c>
      <c r="H12917">
        <v>1</v>
      </c>
      <c r="I12917">
        <v>1048</v>
      </c>
      <c r="J12917">
        <v>0</v>
      </c>
      <c r="K12917" t="str">
        <f t="shared" si="2321"/>
        <v>813</v>
      </c>
      <c r="L12917">
        <v>880.32</v>
      </c>
    </row>
    <row r="12918" spans="1:12" x14ac:dyDescent="0.25">
      <c r="A12918" t="str">
        <f t="shared" si="2314"/>
        <v>89301000</v>
      </c>
      <c r="B12918" t="str">
        <f t="shared" si="2315"/>
        <v>06539000</v>
      </c>
      <c r="C12918" t="str">
        <f t="shared" si="2320"/>
        <v>06539003</v>
      </c>
      <c r="D12918">
        <v>89301171</v>
      </c>
      <c r="E12918" t="str">
        <f t="shared" si="2322"/>
        <v>440725164</v>
      </c>
      <c r="F12918" s="1">
        <v>45185</v>
      </c>
      <c r="G12918" t="str">
        <f>"91197"</f>
        <v>91197</v>
      </c>
      <c r="H12918">
        <v>1</v>
      </c>
      <c r="I12918">
        <v>1048</v>
      </c>
      <c r="J12918">
        <v>0</v>
      </c>
      <c r="K12918" t="str">
        <f t="shared" si="2321"/>
        <v>813</v>
      </c>
      <c r="L12918">
        <v>880.32</v>
      </c>
    </row>
    <row r="12919" spans="1:12" x14ac:dyDescent="0.25">
      <c r="A12919" t="str">
        <f t="shared" si="2314"/>
        <v>89301000</v>
      </c>
      <c r="B12919" t="str">
        <f t="shared" si="2315"/>
        <v>06539000</v>
      </c>
      <c r="C12919" t="str">
        <f t="shared" si="2320"/>
        <v>06539003</v>
      </c>
      <c r="D12919">
        <v>89301171</v>
      </c>
      <c r="E12919" t="str">
        <f t="shared" si="2322"/>
        <v>440725164</v>
      </c>
      <c r="F12919" s="1">
        <v>45187</v>
      </c>
      <c r="G12919" t="str">
        <f>"91129"</f>
        <v>91129</v>
      </c>
      <c r="H12919">
        <v>1</v>
      </c>
      <c r="I12919">
        <v>175</v>
      </c>
      <c r="J12919">
        <v>0</v>
      </c>
      <c r="K12919" t="str">
        <f t="shared" si="2321"/>
        <v>813</v>
      </c>
      <c r="L12919">
        <v>147</v>
      </c>
    </row>
    <row r="12920" spans="1:12" x14ac:dyDescent="0.25">
      <c r="A12920" t="str">
        <f t="shared" si="2314"/>
        <v>89301000</v>
      </c>
      <c r="B12920" t="str">
        <f t="shared" si="2315"/>
        <v>06539000</v>
      </c>
      <c r="C12920" t="str">
        <f t="shared" si="2320"/>
        <v>06539003</v>
      </c>
      <c r="D12920">
        <v>89301171</v>
      </c>
      <c r="E12920" t="str">
        <f t="shared" si="2322"/>
        <v>440725164</v>
      </c>
      <c r="F12920" s="1">
        <v>45187</v>
      </c>
      <c r="G12920" t="str">
        <f>"91131"</f>
        <v>91131</v>
      </c>
      <c r="H12920">
        <v>1</v>
      </c>
      <c r="I12920">
        <v>171</v>
      </c>
      <c r="J12920">
        <v>0</v>
      </c>
      <c r="K12920" t="str">
        <f t="shared" si="2321"/>
        <v>813</v>
      </c>
      <c r="L12920">
        <v>143.63999999999999</v>
      </c>
    </row>
    <row r="12921" spans="1:12" x14ac:dyDescent="0.25">
      <c r="A12921" t="str">
        <f t="shared" si="2314"/>
        <v>89301000</v>
      </c>
      <c r="B12921" t="str">
        <f t="shared" si="2315"/>
        <v>06539000</v>
      </c>
      <c r="C12921" t="str">
        <f t="shared" si="2320"/>
        <v>06539003</v>
      </c>
      <c r="D12921">
        <v>89301171</v>
      </c>
      <c r="E12921" t="str">
        <f t="shared" si="2322"/>
        <v>440725164</v>
      </c>
      <c r="F12921" s="1">
        <v>45187</v>
      </c>
      <c r="G12921" t="str">
        <f>"91133"</f>
        <v>91133</v>
      </c>
      <c r="H12921">
        <v>1</v>
      </c>
      <c r="I12921">
        <v>177</v>
      </c>
      <c r="J12921">
        <v>0</v>
      </c>
      <c r="K12921" t="str">
        <f t="shared" si="2321"/>
        <v>813</v>
      </c>
      <c r="L12921">
        <v>148.68</v>
      </c>
    </row>
    <row r="12922" spans="1:12" x14ac:dyDescent="0.25">
      <c r="A12922" t="str">
        <f t="shared" si="2314"/>
        <v>89301000</v>
      </c>
      <c r="B12922" t="str">
        <f t="shared" si="2315"/>
        <v>06539000</v>
      </c>
      <c r="C12922" t="str">
        <f t="shared" si="2320"/>
        <v>06539003</v>
      </c>
      <c r="D12922">
        <v>89301171</v>
      </c>
      <c r="E12922" t="str">
        <f t="shared" si="2322"/>
        <v>440725164</v>
      </c>
      <c r="F12922" s="1">
        <v>45187</v>
      </c>
      <c r="G12922" t="str">
        <f>"91171"</f>
        <v>91171</v>
      </c>
      <c r="H12922">
        <v>1</v>
      </c>
      <c r="I12922">
        <v>362</v>
      </c>
      <c r="J12922">
        <v>0</v>
      </c>
      <c r="K12922" t="str">
        <f t="shared" si="2321"/>
        <v>813</v>
      </c>
      <c r="L12922">
        <v>304.08</v>
      </c>
    </row>
    <row r="12923" spans="1:12" x14ac:dyDescent="0.25">
      <c r="A12923" t="str">
        <f t="shared" si="2314"/>
        <v>89301000</v>
      </c>
      <c r="B12923" t="str">
        <f t="shared" si="2315"/>
        <v>06539000</v>
      </c>
      <c r="C12923" t="str">
        <f t="shared" si="2320"/>
        <v>06539003</v>
      </c>
      <c r="D12923">
        <v>89301171</v>
      </c>
      <c r="E12923" t="str">
        <f t="shared" si="2322"/>
        <v>440725164</v>
      </c>
      <c r="F12923" s="1">
        <v>45187</v>
      </c>
      <c r="G12923" t="str">
        <f>"91175"</f>
        <v>91175</v>
      </c>
      <c r="H12923">
        <v>1</v>
      </c>
      <c r="I12923">
        <v>362</v>
      </c>
      <c r="J12923">
        <v>0</v>
      </c>
      <c r="K12923" t="str">
        <f t="shared" si="2321"/>
        <v>813</v>
      </c>
      <c r="L12923">
        <v>304.08</v>
      </c>
    </row>
    <row r="12924" spans="1:12" x14ac:dyDescent="0.25">
      <c r="A12924" t="str">
        <f t="shared" si="2314"/>
        <v>89301000</v>
      </c>
      <c r="B12924" t="str">
        <f t="shared" si="2315"/>
        <v>06539000</v>
      </c>
      <c r="C12924" t="str">
        <f t="shared" si="2320"/>
        <v>06539003</v>
      </c>
      <c r="D12924">
        <v>89301171</v>
      </c>
      <c r="E12924" t="str">
        <f t="shared" si="2322"/>
        <v>440725164</v>
      </c>
      <c r="F12924" s="1">
        <v>45185</v>
      </c>
      <c r="G12924" t="str">
        <f>"91167"</f>
        <v>91167</v>
      </c>
      <c r="H12924">
        <v>1</v>
      </c>
      <c r="I12924">
        <v>426</v>
      </c>
      <c r="J12924">
        <v>0</v>
      </c>
      <c r="K12924" t="str">
        <f t="shared" si="2321"/>
        <v>813</v>
      </c>
      <c r="L12924">
        <v>357.84</v>
      </c>
    </row>
    <row r="12925" spans="1:12" x14ac:dyDescent="0.25">
      <c r="A12925" t="str">
        <f t="shared" si="2314"/>
        <v>89301000</v>
      </c>
      <c r="B12925" t="str">
        <f t="shared" si="2315"/>
        <v>06539000</v>
      </c>
      <c r="C12925" t="str">
        <f t="shared" si="2320"/>
        <v>06539003</v>
      </c>
      <c r="D12925">
        <v>89301171</v>
      </c>
      <c r="E12925" t="str">
        <f t="shared" si="2322"/>
        <v>440725164</v>
      </c>
      <c r="F12925" s="1">
        <v>45185</v>
      </c>
      <c r="G12925" t="str">
        <f>"91169"</f>
        <v>91169</v>
      </c>
      <c r="H12925">
        <v>1</v>
      </c>
      <c r="I12925">
        <v>426</v>
      </c>
      <c r="J12925">
        <v>0</v>
      </c>
      <c r="K12925" t="str">
        <f t="shared" si="2321"/>
        <v>813</v>
      </c>
      <c r="L12925">
        <v>357.84</v>
      </c>
    </row>
    <row r="12926" spans="1:12" x14ac:dyDescent="0.25">
      <c r="A12926" t="str">
        <f t="shared" si="2314"/>
        <v>89301000</v>
      </c>
      <c r="B12926" t="str">
        <f t="shared" si="2315"/>
        <v>06539000</v>
      </c>
      <c r="C12926" t="str">
        <f t="shared" si="2320"/>
        <v>06539003</v>
      </c>
      <c r="D12926">
        <v>89301171</v>
      </c>
      <c r="E12926" t="str">
        <f t="shared" si="2322"/>
        <v>440725164</v>
      </c>
      <c r="F12926" s="1">
        <v>45189</v>
      </c>
      <c r="G12926" t="str">
        <f>"91475"</f>
        <v>91475</v>
      </c>
      <c r="H12926">
        <v>1</v>
      </c>
      <c r="I12926">
        <v>213</v>
      </c>
      <c r="J12926">
        <v>0</v>
      </c>
      <c r="K12926" t="str">
        <f t="shared" si="2321"/>
        <v>813</v>
      </c>
      <c r="L12926">
        <v>178.92</v>
      </c>
    </row>
    <row r="12927" spans="1:12" x14ac:dyDescent="0.25">
      <c r="A12927" t="str">
        <f t="shared" si="2314"/>
        <v>89301000</v>
      </c>
      <c r="B12927" t="str">
        <f t="shared" si="2315"/>
        <v>06539000</v>
      </c>
      <c r="C12927" t="str">
        <f t="shared" si="2320"/>
        <v>06539003</v>
      </c>
      <c r="D12927">
        <v>89301103</v>
      </c>
      <c r="E12927" t="str">
        <f t="shared" ref="E12927:E12946" si="2324">"1552230075"</f>
        <v>1552230075</v>
      </c>
      <c r="F12927" s="1">
        <v>45189</v>
      </c>
      <c r="G12927" t="str">
        <f t="shared" ref="G12927:G12936" si="2325">"91413"</f>
        <v>91413</v>
      </c>
      <c r="H12927">
        <v>1</v>
      </c>
      <c r="I12927">
        <v>868</v>
      </c>
      <c r="J12927">
        <v>0</v>
      </c>
      <c r="K12927" t="str">
        <f t="shared" si="2321"/>
        <v>813</v>
      </c>
      <c r="L12927">
        <v>729.12</v>
      </c>
    </row>
    <row r="12928" spans="1:12" x14ac:dyDescent="0.25">
      <c r="A12928" t="str">
        <f t="shared" si="2314"/>
        <v>89301000</v>
      </c>
      <c r="B12928" t="str">
        <f t="shared" si="2315"/>
        <v>06539000</v>
      </c>
      <c r="C12928" t="str">
        <f t="shared" si="2320"/>
        <v>06539003</v>
      </c>
      <c r="D12928">
        <v>89301103</v>
      </c>
      <c r="E12928" t="str">
        <f t="shared" si="2324"/>
        <v>1552230075</v>
      </c>
      <c r="F12928" s="1">
        <v>45189</v>
      </c>
      <c r="G12928" t="str">
        <f t="shared" si="2325"/>
        <v>91413</v>
      </c>
      <c r="H12928">
        <v>1</v>
      </c>
      <c r="I12928">
        <v>868</v>
      </c>
      <c r="J12928">
        <v>0</v>
      </c>
      <c r="K12928" t="str">
        <f t="shared" si="2321"/>
        <v>813</v>
      </c>
      <c r="L12928">
        <v>729.12</v>
      </c>
    </row>
    <row r="12929" spans="1:12" x14ac:dyDescent="0.25">
      <c r="A12929" t="str">
        <f t="shared" si="2314"/>
        <v>89301000</v>
      </c>
      <c r="B12929" t="str">
        <f t="shared" si="2315"/>
        <v>06539000</v>
      </c>
      <c r="C12929" t="str">
        <f t="shared" si="2320"/>
        <v>06539003</v>
      </c>
      <c r="D12929">
        <v>89301103</v>
      </c>
      <c r="E12929" t="str">
        <f t="shared" si="2324"/>
        <v>1552230075</v>
      </c>
      <c r="F12929" s="1">
        <v>45211</v>
      </c>
      <c r="G12929" t="str">
        <f t="shared" si="2325"/>
        <v>91413</v>
      </c>
      <c r="H12929">
        <v>1</v>
      </c>
      <c r="I12929">
        <v>868</v>
      </c>
      <c r="J12929">
        <v>0</v>
      </c>
      <c r="K12929" t="str">
        <f t="shared" si="2321"/>
        <v>813</v>
      </c>
      <c r="L12929">
        <v>729.12</v>
      </c>
    </row>
    <row r="12930" spans="1:12" x14ac:dyDescent="0.25">
      <c r="A12930" t="str">
        <f t="shared" ref="A12930:A12993" si="2326">"89301000"</f>
        <v>89301000</v>
      </c>
      <c r="B12930" t="str">
        <f t="shared" si="2315"/>
        <v>06539000</v>
      </c>
      <c r="C12930" t="str">
        <f t="shared" si="2320"/>
        <v>06539003</v>
      </c>
      <c r="D12930">
        <v>89301103</v>
      </c>
      <c r="E12930" t="str">
        <f t="shared" si="2324"/>
        <v>1552230075</v>
      </c>
      <c r="F12930" s="1">
        <v>45211</v>
      </c>
      <c r="G12930" t="str">
        <f t="shared" si="2325"/>
        <v>91413</v>
      </c>
      <c r="H12930">
        <v>1</v>
      </c>
      <c r="I12930">
        <v>868</v>
      </c>
      <c r="J12930">
        <v>0</v>
      </c>
      <c r="K12930" t="str">
        <f t="shared" si="2321"/>
        <v>813</v>
      </c>
      <c r="L12930">
        <v>729.12</v>
      </c>
    </row>
    <row r="12931" spans="1:12" x14ac:dyDescent="0.25">
      <c r="A12931" t="str">
        <f t="shared" si="2326"/>
        <v>89301000</v>
      </c>
      <c r="B12931" t="str">
        <f t="shared" si="2315"/>
        <v>06539000</v>
      </c>
      <c r="C12931" t="str">
        <f t="shared" si="2320"/>
        <v>06539003</v>
      </c>
      <c r="D12931">
        <v>89301103</v>
      </c>
      <c r="E12931" t="str">
        <f t="shared" si="2324"/>
        <v>1552230075</v>
      </c>
      <c r="F12931" s="1">
        <v>45205</v>
      </c>
      <c r="G12931" t="str">
        <f t="shared" si="2325"/>
        <v>91413</v>
      </c>
      <c r="H12931">
        <v>1</v>
      </c>
      <c r="I12931">
        <v>868</v>
      </c>
      <c r="J12931">
        <v>0</v>
      </c>
      <c r="K12931" t="str">
        <f t="shared" si="2321"/>
        <v>813</v>
      </c>
      <c r="L12931">
        <v>729.12</v>
      </c>
    </row>
    <row r="12932" spans="1:12" x14ac:dyDescent="0.25">
      <c r="A12932" t="str">
        <f t="shared" si="2326"/>
        <v>89301000</v>
      </c>
      <c r="B12932" t="str">
        <f t="shared" si="2315"/>
        <v>06539000</v>
      </c>
      <c r="C12932" t="str">
        <f t="shared" si="2320"/>
        <v>06539003</v>
      </c>
      <c r="D12932">
        <v>89301103</v>
      </c>
      <c r="E12932" t="str">
        <f t="shared" si="2324"/>
        <v>1552230075</v>
      </c>
      <c r="F12932" s="1">
        <v>45205</v>
      </c>
      <c r="G12932" t="str">
        <f t="shared" si="2325"/>
        <v>91413</v>
      </c>
      <c r="H12932">
        <v>1</v>
      </c>
      <c r="I12932">
        <v>868</v>
      </c>
      <c r="J12932">
        <v>0</v>
      </c>
      <c r="K12932" t="str">
        <f t="shared" si="2321"/>
        <v>813</v>
      </c>
      <c r="L12932">
        <v>729.12</v>
      </c>
    </row>
    <row r="12933" spans="1:12" x14ac:dyDescent="0.25">
      <c r="A12933" t="str">
        <f t="shared" si="2326"/>
        <v>89301000</v>
      </c>
      <c r="B12933" t="str">
        <f t="shared" ref="B12933:B12996" si="2327">"06539000"</f>
        <v>06539000</v>
      </c>
      <c r="C12933" t="str">
        <f t="shared" ref="C12933:C12964" si="2328">"06539003"</f>
        <v>06539003</v>
      </c>
      <c r="D12933">
        <v>89301103</v>
      </c>
      <c r="E12933" t="str">
        <f t="shared" si="2324"/>
        <v>1552230075</v>
      </c>
      <c r="F12933" s="1">
        <v>45211</v>
      </c>
      <c r="G12933" t="str">
        <f t="shared" si="2325"/>
        <v>91413</v>
      </c>
      <c r="H12933">
        <v>1</v>
      </c>
      <c r="I12933">
        <v>868</v>
      </c>
      <c r="J12933">
        <v>0</v>
      </c>
      <c r="K12933" t="str">
        <f t="shared" ref="K12933:K12964" si="2329">"813"</f>
        <v>813</v>
      </c>
      <c r="L12933">
        <v>729.12</v>
      </c>
    </row>
    <row r="12934" spans="1:12" x14ac:dyDescent="0.25">
      <c r="A12934" t="str">
        <f t="shared" si="2326"/>
        <v>89301000</v>
      </c>
      <c r="B12934" t="str">
        <f t="shared" si="2327"/>
        <v>06539000</v>
      </c>
      <c r="C12934" t="str">
        <f t="shared" si="2328"/>
        <v>06539003</v>
      </c>
      <c r="D12934">
        <v>89301103</v>
      </c>
      <c r="E12934" t="str">
        <f t="shared" si="2324"/>
        <v>1552230075</v>
      </c>
      <c r="F12934" s="1">
        <v>45211</v>
      </c>
      <c r="G12934" t="str">
        <f t="shared" si="2325"/>
        <v>91413</v>
      </c>
      <c r="H12934">
        <v>1</v>
      </c>
      <c r="I12934">
        <v>868</v>
      </c>
      <c r="J12934">
        <v>0</v>
      </c>
      <c r="K12934" t="str">
        <f t="shared" si="2329"/>
        <v>813</v>
      </c>
      <c r="L12934">
        <v>729.12</v>
      </c>
    </row>
    <row r="12935" spans="1:12" x14ac:dyDescent="0.25">
      <c r="A12935" t="str">
        <f t="shared" si="2326"/>
        <v>89301000</v>
      </c>
      <c r="B12935" t="str">
        <f t="shared" si="2327"/>
        <v>06539000</v>
      </c>
      <c r="C12935" t="str">
        <f t="shared" si="2328"/>
        <v>06539003</v>
      </c>
      <c r="D12935">
        <v>89301103</v>
      </c>
      <c r="E12935" t="str">
        <f t="shared" si="2324"/>
        <v>1552230075</v>
      </c>
      <c r="F12935" s="1">
        <v>45211</v>
      </c>
      <c r="G12935" t="str">
        <f t="shared" si="2325"/>
        <v>91413</v>
      </c>
      <c r="H12935">
        <v>1</v>
      </c>
      <c r="I12935">
        <v>868</v>
      </c>
      <c r="J12935">
        <v>0</v>
      </c>
      <c r="K12935" t="str">
        <f t="shared" si="2329"/>
        <v>813</v>
      </c>
      <c r="L12935">
        <v>729.12</v>
      </c>
    </row>
    <row r="12936" spans="1:12" x14ac:dyDescent="0.25">
      <c r="A12936" t="str">
        <f t="shared" si="2326"/>
        <v>89301000</v>
      </c>
      <c r="B12936" t="str">
        <f t="shared" si="2327"/>
        <v>06539000</v>
      </c>
      <c r="C12936" t="str">
        <f t="shared" si="2328"/>
        <v>06539003</v>
      </c>
      <c r="D12936">
        <v>89301103</v>
      </c>
      <c r="E12936" t="str">
        <f t="shared" si="2324"/>
        <v>1552230075</v>
      </c>
      <c r="F12936" s="1">
        <v>45211</v>
      </c>
      <c r="G12936" t="str">
        <f t="shared" si="2325"/>
        <v>91413</v>
      </c>
      <c r="H12936">
        <v>1</v>
      </c>
      <c r="I12936">
        <v>868</v>
      </c>
      <c r="J12936">
        <v>0</v>
      </c>
      <c r="K12936" t="str">
        <f t="shared" si="2329"/>
        <v>813</v>
      </c>
      <c r="L12936">
        <v>729.12</v>
      </c>
    </row>
    <row r="12937" spans="1:12" x14ac:dyDescent="0.25">
      <c r="A12937" t="str">
        <f t="shared" si="2326"/>
        <v>89301000</v>
      </c>
      <c r="B12937" t="str">
        <f t="shared" si="2327"/>
        <v>06539000</v>
      </c>
      <c r="C12937" t="str">
        <f t="shared" si="2328"/>
        <v>06539003</v>
      </c>
      <c r="D12937">
        <v>89301103</v>
      </c>
      <c r="E12937" t="str">
        <f t="shared" si="2324"/>
        <v>1552230075</v>
      </c>
      <c r="F12937" s="1">
        <v>45187</v>
      </c>
      <c r="G12937" t="str">
        <f>"91329"</f>
        <v>91329</v>
      </c>
      <c r="H12937">
        <v>2</v>
      </c>
      <c r="I12937">
        <v>436</v>
      </c>
      <c r="J12937">
        <v>0</v>
      </c>
      <c r="K12937" t="str">
        <f t="shared" si="2329"/>
        <v>813</v>
      </c>
      <c r="L12937">
        <v>366.24</v>
      </c>
    </row>
    <row r="12938" spans="1:12" x14ac:dyDescent="0.25">
      <c r="A12938" t="str">
        <f t="shared" si="2326"/>
        <v>89301000</v>
      </c>
      <c r="B12938" t="str">
        <f t="shared" si="2327"/>
        <v>06539000</v>
      </c>
      <c r="C12938" t="str">
        <f t="shared" si="2328"/>
        <v>06539003</v>
      </c>
      <c r="D12938">
        <v>89301103</v>
      </c>
      <c r="E12938" t="str">
        <f t="shared" si="2324"/>
        <v>1552230075</v>
      </c>
      <c r="F12938" s="1">
        <v>45187</v>
      </c>
      <c r="G12938" t="str">
        <f>"91329"</f>
        <v>91329</v>
      </c>
      <c r="H12938">
        <v>2</v>
      </c>
      <c r="I12938">
        <v>436</v>
      </c>
      <c r="J12938">
        <v>0</v>
      </c>
      <c r="K12938" t="str">
        <f t="shared" si="2329"/>
        <v>813</v>
      </c>
      <c r="L12938">
        <v>366.24</v>
      </c>
    </row>
    <row r="12939" spans="1:12" x14ac:dyDescent="0.25">
      <c r="A12939" t="str">
        <f t="shared" si="2326"/>
        <v>89301000</v>
      </c>
      <c r="B12939" t="str">
        <f t="shared" si="2327"/>
        <v>06539000</v>
      </c>
      <c r="C12939" t="str">
        <f t="shared" si="2328"/>
        <v>06539003</v>
      </c>
      <c r="D12939">
        <v>89301103</v>
      </c>
      <c r="E12939" t="str">
        <f t="shared" si="2324"/>
        <v>1552230075</v>
      </c>
      <c r="F12939" s="1">
        <v>45187</v>
      </c>
      <c r="G12939" t="str">
        <f>"91329"</f>
        <v>91329</v>
      </c>
      <c r="H12939">
        <v>2</v>
      </c>
      <c r="I12939">
        <v>436</v>
      </c>
      <c r="J12939">
        <v>0</v>
      </c>
      <c r="K12939" t="str">
        <f t="shared" si="2329"/>
        <v>813</v>
      </c>
      <c r="L12939">
        <v>366.24</v>
      </c>
    </row>
    <row r="12940" spans="1:12" x14ac:dyDescent="0.25">
      <c r="A12940" t="str">
        <f t="shared" si="2326"/>
        <v>89301000</v>
      </c>
      <c r="B12940" t="str">
        <f t="shared" si="2327"/>
        <v>06539000</v>
      </c>
      <c r="C12940" t="str">
        <f t="shared" si="2328"/>
        <v>06539003</v>
      </c>
      <c r="D12940">
        <v>89301103</v>
      </c>
      <c r="E12940" t="str">
        <f t="shared" si="2324"/>
        <v>1552230075</v>
      </c>
      <c r="F12940" s="1">
        <v>45187</v>
      </c>
      <c r="G12940" t="str">
        <f>"91329"</f>
        <v>91329</v>
      </c>
      <c r="H12940">
        <v>2</v>
      </c>
      <c r="I12940">
        <v>436</v>
      </c>
      <c r="J12940">
        <v>0</v>
      </c>
      <c r="K12940" t="str">
        <f t="shared" si="2329"/>
        <v>813</v>
      </c>
      <c r="L12940">
        <v>366.24</v>
      </c>
    </row>
    <row r="12941" spans="1:12" x14ac:dyDescent="0.25">
      <c r="A12941" t="str">
        <f t="shared" si="2326"/>
        <v>89301000</v>
      </c>
      <c r="B12941" t="str">
        <f t="shared" si="2327"/>
        <v>06539000</v>
      </c>
      <c r="C12941" t="str">
        <f t="shared" si="2328"/>
        <v>06539003</v>
      </c>
      <c r="D12941">
        <v>89301103</v>
      </c>
      <c r="E12941" t="str">
        <f t="shared" si="2324"/>
        <v>1552230075</v>
      </c>
      <c r="F12941" s="1">
        <v>45187</v>
      </c>
      <c r="G12941" t="str">
        <f>"91129"</f>
        <v>91129</v>
      </c>
      <c r="H12941">
        <v>1</v>
      </c>
      <c r="I12941">
        <v>175</v>
      </c>
      <c r="J12941">
        <v>0</v>
      </c>
      <c r="K12941" t="str">
        <f t="shared" si="2329"/>
        <v>813</v>
      </c>
      <c r="L12941">
        <v>147</v>
      </c>
    </row>
    <row r="12942" spans="1:12" x14ac:dyDescent="0.25">
      <c r="A12942" t="str">
        <f t="shared" si="2326"/>
        <v>89301000</v>
      </c>
      <c r="B12942" t="str">
        <f t="shared" si="2327"/>
        <v>06539000</v>
      </c>
      <c r="C12942" t="str">
        <f t="shared" si="2328"/>
        <v>06539003</v>
      </c>
      <c r="D12942">
        <v>89301103</v>
      </c>
      <c r="E12942" t="str">
        <f t="shared" si="2324"/>
        <v>1552230075</v>
      </c>
      <c r="F12942" s="1">
        <v>45187</v>
      </c>
      <c r="G12942" t="str">
        <f>"91131"</f>
        <v>91131</v>
      </c>
      <c r="H12942">
        <v>1</v>
      </c>
      <c r="I12942">
        <v>171</v>
      </c>
      <c r="J12942">
        <v>0</v>
      </c>
      <c r="K12942" t="str">
        <f t="shared" si="2329"/>
        <v>813</v>
      </c>
      <c r="L12942">
        <v>143.63999999999999</v>
      </c>
    </row>
    <row r="12943" spans="1:12" x14ac:dyDescent="0.25">
      <c r="A12943" t="str">
        <f t="shared" si="2326"/>
        <v>89301000</v>
      </c>
      <c r="B12943" t="str">
        <f t="shared" si="2327"/>
        <v>06539000</v>
      </c>
      <c r="C12943" t="str">
        <f t="shared" si="2328"/>
        <v>06539003</v>
      </c>
      <c r="D12943">
        <v>89301103</v>
      </c>
      <c r="E12943" t="str">
        <f t="shared" si="2324"/>
        <v>1552230075</v>
      </c>
      <c r="F12943" s="1">
        <v>45187</v>
      </c>
      <c r="G12943" t="str">
        <f>"91133"</f>
        <v>91133</v>
      </c>
      <c r="H12943">
        <v>1</v>
      </c>
      <c r="I12943">
        <v>177</v>
      </c>
      <c r="J12943">
        <v>0</v>
      </c>
      <c r="K12943" t="str">
        <f t="shared" si="2329"/>
        <v>813</v>
      </c>
      <c r="L12943">
        <v>148.68</v>
      </c>
    </row>
    <row r="12944" spans="1:12" x14ac:dyDescent="0.25">
      <c r="A12944" t="str">
        <f t="shared" si="2326"/>
        <v>89301000</v>
      </c>
      <c r="B12944" t="str">
        <f t="shared" si="2327"/>
        <v>06539000</v>
      </c>
      <c r="C12944" t="str">
        <f t="shared" si="2328"/>
        <v>06539003</v>
      </c>
      <c r="D12944">
        <v>89301103</v>
      </c>
      <c r="E12944" t="str">
        <f t="shared" si="2324"/>
        <v>1552230075</v>
      </c>
      <c r="F12944" s="1">
        <v>45187</v>
      </c>
      <c r="G12944" t="str">
        <f>"91171"</f>
        <v>91171</v>
      </c>
      <c r="H12944">
        <v>1</v>
      </c>
      <c r="I12944">
        <v>362</v>
      </c>
      <c r="J12944">
        <v>0</v>
      </c>
      <c r="K12944" t="str">
        <f t="shared" si="2329"/>
        <v>813</v>
      </c>
      <c r="L12944">
        <v>304.08</v>
      </c>
    </row>
    <row r="12945" spans="1:12" x14ac:dyDescent="0.25">
      <c r="A12945" t="str">
        <f t="shared" si="2326"/>
        <v>89301000</v>
      </c>
      <c r="B12945" t="str">
        <f t="shared" si="2327"/>
        <v>06539000</v>
      </c>
      <c r="C12945" t="str">
        <f t="shared" si="2328"/>
        <v>06539003</v>
      </c>
      <c r="D12945">
        <v>89301103</v>
      </c>
      <c r="E12945" t="str">
        <f t="shared" si="2324"/>
        <v>1552230075</v>
      </c>
      <c r="F12945" s="1">
        <v>45187</v>
      </c>
      <c r="G12945" t="str">
        <f>"91175"</f>
        <v>91175</v>
      </c>
      <c r="H12945">
        <v>1</v>
      </c>
      <c r="I12945">
        <v>362</v>
      </c>
      <c r="J12945">
        <v>0</v>
      </c>
      <c r="K12945" t="str">
        <f t="shared" si="2329"/>
        <v>813</v>
      </c>
      <c r="L12945">
        <v>304.08</v>
      </c>
    </row>
    <row r="12946" spans="1:12" x14ac:dyDescent="0.25">
      <c r="A12946" t="str">
        <f t="shared" si="2326"/>
        <v>89301000</v>
      </c>
      <c r="B12946" t="str">
        <f t="shared" si="2327"/>
        <v>06539000</v>
      </c>
      <c r="C12946" t="str">
        <f t="shared" si="2328"/>
        <v>06539003</v>
      </c>
      <c r="D12946">
        <v>89301103</v>
      </c>
      <c r="E12946" t="str">
        <f t="shared" si="2324"/>
        <v>1552230075</v>
      </c>
      <c r="F12946" s="1">
        <v>45189</v>
      </c>
      <c r="G12946" t="str">
        <f>"91475"</f>
        <v>91475</v>
      </c>
      <c r="H12946">
        <v>1</v>
      </c>
      <c r="I12946">
        <v>213</v>
      </c>
      <c r="J12946">
        <v>0</v>
      </c>
      <c r="K12946" t="str">
        <f t="shared" si="2329"/>
        <v>813</v>
      </c>
      <c r="L12946">
        <v>178.92</v>
      </c>
    </row>
    <row r="12947" spans="1:12" x14ac:dyDescent="0.25">
      <c r="A12947" t="str">
        <f t="shared" si="2326"/>
        <v>89301000</v>
      </c>
      <c r="B12947" t="str">
        <f t="shared" si="2327"/>
        <v>06539000</v>
      </c>
      <c r="C12947" t="str">
        <f t="shared" si="2328"/>
        <v>06539003</v>
      </c>
      <c r="D12947">
        <v>89301171</v>
      </c>
      <c r="E12947" t="str">
        <f t="shared" ref="E12947:E12968" si="2330">"5960111795"</f>
        <v>5960111795</v>
      </c>
      <c r="F12947" s="1">
        <v>45189</v>
      </c>
      <c r="G12947" t="str">
        <f t="shared" ref="G12947:G12956" si="2331">"91413"</f>
        <v>91413</v>
      </c>
      <c r="H12947">
        <v>1</v>
      </c>
      <c r="I12947">
        <v>868</v>
      </c>
      <c r="J12947">
        <v>0</v>
      </c>
      <c r="K12947" t="str">
        <f t="shared" si="2329"/>
        <v>813</v>
      </c>
      <c r="L12947">
        <v>729.12</v>
      </c>
    </row>
    <row r="12948" spans="1:12" x14ac:dyDescent="0.25">
      <c r="A12948" t="str">
        <f t="shared" si="2326"/>
        <v>89301000</v>
      </c>
      <c r="B12948" t="str">
        <f t="shared" si="2327"/>
        <v>06539000</v>
      </c>
      <c r="C12948" t="str">
        <f t="shared" si="2328"/>
        <v>06539003</v>
      </c>
      <c r="D12948">
        <v>89301171</v>
      </c>
      <c r="E12948" t="str">
        <f t="shared" si="2330"/>
        <v>5960111795</v>
      </c>
      <c r="F12948" s="1">
        <v>45189</v>
      </c>
      <c r="G12948" t="str">
        <f t="shared" si="2331"/>
        <v>91413</v>
      </c>
      <c r="H12948">
        <v>1</v>
      </c>
      <c r="I12948">
        <v>868</v>
      </c>
      <c r="J12948">
        <v>0</v>
      </c>
      <c r="K12948" t="str">
        <f t="shared" si="2329"/>
        <v>813</v>
      </c>
      <c r="L12948">
        <v>729.12</v>
      </c>
    </row>
    <row r="12949" spans="1:12" x14ac:dyDescent="0.25">
      <c r="A12949" t="str">
        <f t="shared" si="2326"/>
        <v>89301000</v>
      </c>
      <c r="B12949" t="str">
        <f t="shared" si="2327"/>
        <v>06539000</v>
      </c>
      <c r="C12949" t="str">
        <f t="shared" si="2328"/>
        <v>06539003</v>
      </c>
      <c r="D12949">
        <v>89301171</v>
      </c>
      <c r="E12949" t="str">
        <f t="shared" si="2330"/>
        <v>5960111795</v>
      </c>
      <c r="F12949" s="1">
        <v>45211</v>
      </c>
      <c r="G12949" t="str">
        <f t="shared" si="2331"/>
        <v>91413</v>
      </c>
      <c r="H12949">
        <v>1</v>
      </c>
      <c r="I12949">
        <v>868</v>
      </c>
      <c r="J12949">
        <v>0</v>
      </c>
      <c r="K12949" t="str">
        <f t="shared" si="2329"/>
        <v>813</v>
      </c>
      <c r="L12949">
        <v>729.12</v>
      </c>
    </row>
    <row r="12950" spans="1:12" x14ac:dyDescent="0.25">
      <c r="A12950" t="str">
        <f t="shared" si="2326"/>
        <v>89301000</v>
      </c>
      <c r="B12950" t="str">
        <f t="shared" si="2327"/>
        <v>06539000</v>
      </c>
      <c r="C12950" t="str">
        <f t="shared" si="2328"/>
        <v>06539003</v>
      </c>
      <c r="D12950">
        <v>89301171</v>
      </c>
      <c r="E12950" t="str">
        <f t="shared" si="2330"/>
        <v>5960111795</v>
      </c>
      <c r="F12950" s="1">
        <v>45211</v>
      </c>
      <c r="G12950" t="str">
        <f t="shared" si="2331"/>
        <v>91413</v>
      </c>
      <c r="H12950">
        <v>1</v>
      </c>
      <c r="I12950">
        <v>868</v>
      </c>
      <c r="J12950">
        <v>0</v>
      </c>
      <c r="K12950" t="str">
        <f t="shared" si="2329"/>
        <v>813</v>
      </c>
      <c r="L12950">
        <v>729.12</v>
      </c>
    </row>
    <row r="12951" spans="1:12" x14ac:dyDescent="0.25">
      <c r="A12951" t="str">
        <f t="shared" si="2326"/>
        <v>89301000</v>
      </c>
      <c r="B12951" t="str">
        <f t="shared" si="2327"/>
        <v>06539000</v>
      </c>
      <c r="C12951" t="str">
        <f t="shared" si="2328"/>
        <v>06539003</v>
      </c>
      <c r="D12951">
        <v>89301171</v>
      </c>
      <c r="E12951" t="str">
        <f t="shared" si="2330"/>
        <v>5960111795</v>
      </c>
      <c r="F12951" s="1">
        <v>45205</v>
      </c>
      <c r="G12951" t="str">
        <f t="shared" si="2331"/>
        <v>91413</v>
      </c>
      <c r="H12951">
        <v>1</v>
      </c>
      <c r="I12951">
        <v>868</v>
      </c>
      <c r="J12951">
        <v>0</v>
      </c>
      <c r="K12951" t="str">
        <f t="shared" si="2329"/>
        <v>813</v>
      </c>
      <c r="L12951">
        <v>729.12</v>
      </c>
    </row>
    <row r="12952" spans="1:12" x14ac:dyDescent="0.25">
      <c r="A12952" t="str">
        <f t="shared" si="2326"/>
        <v>89301000</v>
      </c>
      <c r="B12952" t="str">
        <f t="shared" si="2327"/>
        <v>06539000</v>
      </c>
      <c r="C12952" t="str">
        <f t="shared" si="2328"/>
        <v>06539003</v>
      </c>
      <c r="D12952">
        <v>89301171</v>
      </c>
      <c r="E12952" t="str">
        <f t="shared" si="2330"/>
        <v>5960111795</v>
      </c>
      <c r="F12952" s="1">
        <v>45205</v>
      </c>
      <c r="G12952" t="str">
        <f t="shared" si="2331"/>
        <v>91413</v>
      </c>
      <c r="H12952">
        <v>1</v>
      </c>
      <c r="I12952">
        <v>868</v>
      </c>
      <c r="J12952">
        <v>0</v>
      </c>
      <c r="K12952" t="str">
        <f t="shared" si="2329"/>
        <v>813</v>
      </c>
      <c r="L12952">
        <v>729.12</v>
      </c>
    </row>
    <row r="12953" spans="1:12" x14ac:dyDescent="0.25">
      <c r="A12953" t="str">
        <f t="shared" si="2326"/>
        <v>89301000</v>
      </c>
      <c r="B12953" t="str">
        <f t="shared" si="2327"/>
        <v>06539000</v>
      </c>
      <c r="C12953" t="str">
        <f t="shared" si="2328"/>
        <v>06539003</v>
      </c>
      <c r="D12953">
        <v>89301171</v>
      </c>
      <c r="E12953" t="str">
        <f t="shared" si="2330"/>
        <v>5960111795</v>
      </c>
      <c r="F12953" s="1">
        <v>45211</v>
      </c>
      <c r="G12953" t="str">
        <f t="shared" si="2331"/>
        <v>91413</v>
      </c>
      <c r="H12953">
        <v>1</v>
      </c>
      <c r="I12953">
        <v>868</v>
      </c>
      <c r="J12953">
        <v>0</v>
      </c>
      <c r="K12953" t="str">
        <f t="shared" si="2329"/>
        <v>813</v>
      </c>
      <c r="L12953">
        <v>729.12</v>
      </c>
    </row>
    <row r="12954" spans="1:12" x14ac:dyDescent="0.25">
      <c r="A12954" t="str">
        <f t="shared" si="2326"/>
        <v>89301000</v>
      </c>
      <c r="B12954" t="str">
        <f t="shared" si="2327"/>
        <v>06539000</v>
      </c>
      <c r="C12954" t="str">
        <f t="shared" si="2328"/>
        <v>06539003</v>
      </c>
      <c r="D12954">
        <v>89301171</v>
      </c>
      <c r="E12954" t="str">
        <f t="shared" si="2330"/>
        <v>5960111795</v>
      </c>
      <c r="F12954" s="1">
        <v>45211</v>
      </c>
      <c r="G12954" t="str">
        <f t="shared" si="2331"/>
        <v>91413</v>
      </c>
      <c r="H12954">
        <v>1</v>
      </c>
      <c r="I12954">
        <v>868</v>
      </c>
      <c r="J12954">
        <v>0</v>
      </c>
      <c r="K12954" t="str">
        <f t="shared" si="2329"/>
        <v>813</v>
      </c>
      <c r="L12954">
        <v>729.12</v>
      </c>
    </row>
    <row r="12955" spans="1:12" x14ac:dyDescent="0.25">
      <c r="A12955" t="str">
        <f t="shared" si="2326"/>
        <v>89301000</v>
      </c>
      <c r="B12955" t="str">
        <f t="shared" si="2327"/>
        <v>06539000</v>
      </c>
      <c r="C12955" t="str">
        <f t="shared" si="2328"/>
        <v>06539003</v>
      </c>
      <c r="D12955">
        <v>89301171</v>
      </c>
      <c r="E12955" t="str">
        <f t="shared" si="2330"/>
        <v>5960111795</v>
      </c>
      <c r="F12955" s="1">
        <v>45211</v>
      </c>
      <c r="G12955" t="str">
        <f t="shared" si="2331"/>
        <v>91413</v>
      </c>
      <c r="H12955">
        <v>1</v>
      </c>
      <c r="I12955">
        <v>868</v>
      </c>
      <c r="J12955">
        <v>0</v>
      </c>
      <c r="K12955" t="str">
        <f t="shared" si="2329"/>
        <v>813</v>
      </c>
      <c r="L12955">
        <v>729.12</v>
      </c>
    </row>
    <row r="12956" spans="1:12" x14ac:dyDescent="0.25">
      <c r="A12956" t="str">
        <f t="shared" si="2326"/>
        <v>89301000</v>
      </c>
      <c r="B12956" t="str">
        <f t="shared" si="2327"/>
        <v>06539000</v>
      </c>
      <c r="C12956" t="str">
        <f t="shared" si="2328"/>
        <v>06539003</v>
      </c>
      <c r="D12956">
        <v>89301171</v>
      </c>
      <c r="E12956" t="str">
        <f t="shared" si="2330"/>
        <v>5960111795</v>
      </c>
      <c r="F12956" s="1">
        <v>45211</v>
      </c>
      <c r="G12956" t="str">
        <f t="shared" si="2331"/>
        <v>91413</v>
      </c>
      <c r="H12956">
        <v>1</v>
      </c>
      <c r="I12956">
        <v>868</v>
      </c>
      <c r="J12956">
        <v>0</v>
      </c>
      <c r="K12956" t="str">
        <f t="shared" si="2329"/>
        <v>813</v>
      </c>
      <c r="L12956">
        <v>729.12</v>
      </c>
    </row>
    <row r="12957" spans="1:12" x14ac:dyDescent="0.25">
      <c r="A12957" t="str">
        <f t="shared" si="2326"/>
        <v>89301000</v>
      </c>
      <c r="B12957" t="str">
        <f t="shared" si="2327"/>
        <v>06539000</v>
      </c>
      <c r="C12957" t="str">
        <f t="shared" si="2328"/>
        <v>06539003</v>
      </c>
      <c r="D12957">
        <v>89301171</v>
      </c>
      <c r="E12957" t="str">
        <f t="shared" si="2330"/>
        <v>5960111795</v>
      </c>
      <c r="F12957" s="1">
        <v>45186</v>
      </c>
      <c r="G12957" t="str">
        <f>"91197"</f>
        <v>91197</v>
      </c>
      <c r="H12957">
        <v>1</v>
      </c>
      <c r="I12957">
        <v>1048</v>
      </c>
      <c r="J12957">
        <v>0</v>
      </c>
      <c r="K12957" t="str">
        <f t="shared" si="2329"/>
        <v>813</v>
      </c>
      <c r="L12957">
        <v>880.32</v>
      </c>
    </row>
    <row r="12958" spans="1:12" x14ac:dyDescent="0.25">
      <c r="A12958" t="str">
        <f t="shared" si="2326"/>
        <v>89301000</v>
      </c>
      <c r="B12958" t="str">
        <f t="shared" si="2327"/>
        <v>06539000</v>
      </c>
      <c r="C12958" t="str">
        <f t="shared" si="2328"/>
        <v>06539003</v>
      </c>
      <c r="D12958">
        <v>89301171</v>
      </c>
      <c r="E12958" t="str">
        <f t="shared" si="2330"/>
        <v>5960111795</v>
      </c>
      <c r="F12958" s="1">
        <v>45186</v>
      </c>
      <c r="G12958" t="str">
        <f>"91197"</f>
        <v>91197</v>
      </c>
      <c r="H12958">
        <v>1</v>
      </c>
      <c r="I12958">
        <v>1048</v>
      </c>
      <c r="J12958">
        <v>0</v>
      </c>
      <c r="K12958" t="str">
        <f t="shared" si="2329"/>
        <v>813</v>
      </c>
      <c r="L12958">
        <v>880.32</v>
      </c>
    </row>
    <row r="12959" spans="1:12" x14ac:dyDescent="0.25">
      <c r="A12959" t="str">
        <f t="shared" si="2326"/>
        <v>89301000</v>
      </c>
      <c r="B12959" t="str">
        <f t="shared" si="2327"/>
        <v>06539000</v>
      </c>
      <c r="C12959" t="str">
        <f t="shared" si="2328"/>
        <v>06539003</v>
      </c>
      <c r="D12959">
        <v>89301171</v>
      </c>
      <c r="E12959" t="str">
        <f t="shared" si="2330"/>
        <v>5960111795</v>
      </c>
      <c r="F12959" s="1">
        <v>45185</v>
      </c>
      <c r="G12959" t="str">
        <f>"91197"</f>
        <v>91197</v>
      </c>
      <c r="H12959">
        <v>1</v>
      </c>
      <c r="I12959">
        <v>1048</v>
      </c>
      <c r="J12959">
        <v>0</v>
      </c>
      <c r="K12959" t="str">
        <f t="shared" si="2329"/>
        <v>813</v>
      </c>
      <c r="L12959">
        <v>880.32</v>
      </c>
    </row>
    <row r="12960" spans="1:12" x14ac:dyDescent="0.25">
      <c r="A12960" t="str">
        <f t="shared" si="2326"/>
        <v>89301000</v>
      </c>
      <c r="B12960" t="str">
        <f t="shared" si="2327"/>
        <v>06539000</v>
      </c>
      <c r="C12960" t="str">
        <f t="shared" si="2328"/>
        <v>06539003</v>
      </c>
      <c r="D12960">
        <v>89301171</v>
      </c>
      <c r="E12960" t="str">
        <f t="shared" si="2330"/>
        <v>5960111795</v>
      </c>
      <c r="F12960" s="1">
        <v>45185</v>
      </c>
      <c r="G12960" t="str">
        <f>"91197"</f>
        <v>91197</v>
      </c>
      <c r="H12960">
        <v>1</v>
      </c>
      <c r="I12960">
        <v>1048</v>
      </c>
      <c r="J12960">
        <v>0</v>
      </c>
      <c r="K12960" t="str">
        <f t="shared" si="2329"/>
        <v>813</v>
      </c>
      <c r="L12960">
        <v>880.32</v>
      </c>
    </row>
    <row r="12961" spans="1:12" x14ac:dyDescent="0.25">
      <c r="A12961" t="str">
        <f t="shared" si="2326"/>
        <v>89301000</v>
      </c>
      <c r="B12961" t="str">
        <f t="shared" si="2327"/>
        <v>06539000</v>
      </c>
      <c r="C12961" t="str">
        <f t="shared" si="2328"/>
        <v>06539003</v>
      </c>
      <c r="D12961">
        <v>89301171</v>
      </c>
      <c r="E12961" t="str">
        <f t="shared" si="2330"/>
        <v>5960111795</v>
      </c>
      <c r="F12961" s="1">
        <v>45187</v>
      </c>
      <c r="G12961" t="str">
        <f>"91129"</f>
        <v>91129</v>
      </c>
      <c r="H12961">
        <v>1</v>
      </c>
      <c r="I12961">
        <v>175</v>
      </c>
      <c r="J12961">
        <v>0</v>
      </c>
      <c r="K12961" t="str">
        <f t="shared" si="2329"/>
        <v>813</v>
      </c>
      <c r="L12961">
        <v>147</v>
      </c>
    </row>
    <row r="12962" spans="1:12" x14ac:dyDescent="0.25">
      <c r="A12962" t="str">
        <f t="shared" si="2326"/>
        <v>89301000</v>
      </c>
      <c r="B12962" t="str">
        <f t="shared" si="2327"/>
        <v>06539000</v>
      </c>
      <c r="C12962" t="str">
        <f t="shared" si="2328"/>
        <v>06539003</v>
      </c>
      <c r="D12962">
        <v>89301171</v>
      </c>
      <c r="E12962" t="str">
        <f t="shared" si="2330"/>
        <v>5960111795</v>
      </c>
      <c r="F12962" s="1">
        <v>45187</v>
      </c>
      <c r="G12962" t="str">
        <f>"91131"</f>
        <v>91131</v>
      </c>
      <c r="H12962">
        <v>1</v>
      </c>
      <c r="I12962">
        <v>171</v>
      </c>
      <c r="J12962">
        <v>0</v>
      </c>
      <c r="K12962" t="str">
        <f t="shared" si="2329"/>
        <v>813</v>
      </c>
      <c r="L12962">
        <v>143.63999999999999</v>
      </c>
    </row>
    <row r="12963" spans="1:12" x14ac:dyDescent="0.25">
      <c r="A12963" t="str">
        <f t="shared" si="2326"/>
        <v>89301000</v>
      </c>
      <c r="B12963" t="str">
        <f t="shared" si="2327"/>
        <v>06539000</v>
      </c>
      <c r="C12963" t="str">
        <f t="shared" si="2328"/>
        <v>06539003</v>
      </c>
      <c r="D12963">
        <v>89301171</v>
      </c>
      <c r="E12963" t="str">
        <f t="shared" si="2330"/>
        <v>5960111795</v>
      </c>
      <c r="F12963" s="1">
        <v>45187</v>
      </c>
      <c r="G12963" t="str">
        <f>"91133"</f>
        <v>91133</v>
      </c>
      <c r="H12963">
        <v>1</v>
      </c>
      <c r="I12963">
        <v>177</v>
      </c>
      <c r="J12963">
        <v>0</v>
      </c>
      <c r="K12963" t="str">
        <f t="shared" si="2329"/>
        <v>813</v>
      </c>
      <c r="L12963">
        <v>148.68</v>
      </c>
    </row>
    <row r="12964" spans="1:12" x14ac:dyDescent="0.25">
      <c r="A12964" t="str">
        <f t="shared" si="2326"/>
        <v>89301000</v>
      </c>
      <c r="B12964" t="str">
        <f t="shared" si="2327"/>
        <v>06539000</v>
      </c>
      <c r="C12964" t="str">
        <f t="shared" si="2328"/>
        <v>06539003</v>
      </c>
      <c r="D12964">
        <v>89301171</v>
      </c>
      <c r="E12964" t="str">
        <f t="shared" si="2330"/>
        <v>5960111795</v>
      </c>
      <c r="F12964" s="1">
        <v>45187</v>
      </c>
      <c r="G12964" t="str">
        <f>"91171"</f>
        <v>91171</v>
      </c>
      <c r="H12964">
        <v>1</v>
      </c>
      <c r="I12964">
        <v>362</v>
      </c>
      <c r="J12964">
        <v>0</v>
      </c>
      <c r="K12964" t="str">
        <f t="shared" si="2329"/>
        <v>813</v>
      </c>
      <c r="L12964">
        <v>304.08</v>
      </c>
    </row>
    <row r="12965" spans="1:12" x14ac:dyDescent="0.25">
      <c r="A12965" t="str">
        <f t="shared" si="2326"/>
        <v>89301000</v>
      </c>
      <c r="B12965" t="str">
        <f t="shared" si="2327"/>
        <v>06539000</v>
      </c>
      <c r="C12965" t="str">
        <f t="shared" ref="C12965:C12990" si="2332">"06539003"</f>
        <v>06539003</v>
      </c>
      <c r="D12965">
        <v>89301171</v>
      </c>
      <c r="E12965" t="str">
        <f t="shared" si="2330"/>
        <v>5960111795</v>
      </c>
      <c r="F12965" s="1">
        <v>45187</v>
      </c>
      <c r="G12965" t="str">
        <f>"91175"</f>
        <v>91175</v>
      </c>
      <c r="H12965">
        <v>1</v>
      </c>
      <c r="I12965">
        <v>362</v>
      </c>
      <c r="J12965">
        <v>0</v>
      </c>
      <c r="K12965" t="str">
        <f t="shared" ref="K12965:K12990" si="2333">"813"</f>
        <v>813</v>
      </c>
      <c r="L12965">
        <v>304.08</v>
      </c>
    </row>
    <row r="12966" spans="1:12" x14ac:dyDescent="0.25">
      <c r="A12966" t="str">
        <f t="shared" si="2326"/>
        <v>89301000</v>
      </c>
      <c r="B12966" t="str">
        <f t="shared" si="2327"/>
        <v>06539000</v>
      </c>
      <c r="C12966" t="str">
        <f t="shared" si="2332"/>
        <v>06539003</v>
      </c>
      <c r="D12966">
        <v>89301171</v>
      </c>
      <c r="E12966" t="str">
        <f t="shared" si="2330"/>
        <v>5960111795</v>
      </c>
      <c r="F12966" s="1">
        <v>45185</v>
      </c>
      <c r="G12966" t="str">
        <f>"91167"</f>
        <v>91167</v>
      </c>
      <c r="H12966">
        <v>1</v>
      </c>
      <c r="I12966">
        <v>426</v>
      </c>
      <c r="J12966">
        <v>0</v>
      </c>
      <c r="K12966" t="str">
        <f t="shared" si="2333"/>
        <v>813</v>
      </c>
      <c r="L12966">
        <v>357.84</v>
      </c>
    </row>
    <row r="12967" spans="1:12" x14ac:dyDescent="0.25">
      <c r="A12967" t="str">
        <f t="shared" si="2326"/>
        <v>89301000</v>
      </c>
      <c r="B12967" t="str">
        <f t="shared" si="2327"/>
        <v>06539000</v>
      </c>
      <c r="C12967" t="str">
        <f t="shared" si="2332"/>
        <v>06539003</v>
      </c>
      <c r="D12967">
        <v>89301171</v>
      </c>
      <c r="E12967" t="str">
        <f t="shared" si="2330"/>
        <v>5960111795</v>
      </c>
      <c r="F12967" s="1">
        <v>45185</v>
      </c>
      <c r="G12967" t="str">
        <f>"91169"</f>
        <v>91169</v>
      </c>
      <c r="H12967">
        <v>1</v>
      </c>
      <c r="I12967">
        <v>426</v>
      </c>
      <c r="J12967">
        <v>0</v>
      </c>
      <c r="K12967" t="str">
        <f t="shared" si="2333"/>
        <v>813</v>
      </c>
      <c r="L12967">
        <v>357.84</v>
      </c>
    </row>
    <row r="12968" spans="1:12" x14ac:dyDescent="0.25">
      <c r="A12968" t="str">
        <f t="shared" si="2326"/>
        <v>89301000</v>
      </c>
      <c r="B12968" t="str">
        <f t="shared" si="2327"/>
        <v>06539000</v>
      </c>
      <c r="C12968" t="str">
        <f t="shared" si="2332"/>
        <v>06539003</v>
      </c>
      <c r="D12968">
        <v>89301171</v>
      </c>
      <c r="E12968" t="str">
        <f t="shared" si="2330"/>
        <v>5960111795</v>
      </c>
      <c r="F12968" s="1">
        <v>45189</v>
      </c>
      <c r="G12968" t="str">
        <f>"91475"</f>
        <v>91475</v>
      </c>
      <c r="H12968">
        <v>1</v>
      </c>
      <c r="I12968">
        <v>213</v>
      </c>
      <c r="J12968">
        <v>0</v>
      </c>
      <c r="K12968" t="str">
        <f t="shared" si="2333"/>
        <v>813</v>
      </c>
      <c r="L12968">
        <v>178.92</v>
      </c>
    </row>
    <row r="12969" spans="1:12" x14ac:dyDescent="0.25">
      <c r="A12969" t="str">
        <f t="shared" si="2326"/>
        <v>89301000</v>
      </c>
      <c r="B12969" t="str">
        <f t="shared" si="2327"/>
        <v>06539000</v>
      </c>
      <c r="C12969" t="str">
        <f t="shared" si="2332"/>
        <v>06539003</v>
      </c>
      <c r="D12969">
        <v>89301171</v>
      </c>
      <c r="E12969" t="str">
        <f t="shared" ref="E12969:E12990" si="2334">"7611115336"</f>
        <v>7611115336</v>
      </c>
      <c r="F12969" s="1">
        <v>45196</v>
      </c>
      <c r="G12969" t="str">
        <f t="shared" ref="G12969:G12978" si="2335">"91413"</f>
        <v>91413</v>
      </c>
      <c r="H12969">
        <v>1</v>
      </c>
      <c r="I12969">
        <v>868</v>
      </c>
      <c r="J12969">
        <v>0</v>
      </c>
      <c r="K12969" t="str">
        <f t="shared" si="2333"/>
        <v>813</v>
      </c>
      <c r="L12969">
        <v>729.12</v>
      </c>
    </row>
    <row r="12970" spans="1:12" x14ac:dyDescent="0.25">
      <c r="A12970" t="str">
        <f t="shared" si="2326"/>
        <v>89301000</v>
      </c>
      <c r="B12970" t="str">
        <f t="shared" si="2327"/>
        <v>06539000</v>
      </c>
      <c r="C12970" t="str">
        <f t="shared" si="2332"/>
        <v>06539003</v>
      </c>
      <c r="D12970">
        <v>89301171</v>
      </c>
      <c r="E12970" t="str">
        <f t="shared" si="2334"/>
        <v>7611115336</v>
      </c>
      <c r="F12970" s="1">
        <v>45196</v>
      </c>
      <c r="G12970" t="str">
        <f t="shared" si="2335"/>
        <v>91413</v>
      </c>
      <c r="H12970">
        <v>1</v>
      </c>
      <c r="I12970">
        <v>868</v>
      </c>
      <c r="J12970">
        <v>0</v>
      </c>
      <c r="K12970" t="str">
        <f t="shared" si="2333"/>
        <v>813</v>
      </c>
      <c r="L12970">
        <v>729.12</v>
      </c>
    </row>
    <row r="12971" spans="1:12" x14ac:dyDescent="0.25">
      <c r="A12971" t="str">
        <f t="shared" si="2326"/>
        <v>89301000</v>
      </c>
      <c r="B12971" t="str">
        <f t="shared" si="2327"/>
        <v>06539000</v>
      </c>
      <c r="C12971" t="str">
        <f t="shared" si="2332"/>
        <v>06539003</v>
      </c>
      <c r="D12971">
        <v>89301171</v>
      </c>
      <c r="E12971" t="str">
        <f t="shared" si="2334"/>
        <v>7611115336</v>
      </c>
      <c r="F12971" s="1">
        <v>45217</v>
      </c>
      <c r="G12971" t="str">
        <f t="shared" si="2335"/>
        <v>91413</v>
      </c>
      <c r="H12971">
        <v>1</v>
      </c>
      <c r="I12971">
        <v>868</v>
      </c>
      <c r="J12971">
        <v>0</v>
      </c>
      <c r="K12971" t="str">
        <f t="shared" si="2333"/>
        <v>813</v>
      </c>
      <c r="L12971">
        <v>729.12</v>
      </c>
    </row>
    <row r="12972" spans="1:12" x14ac:dyDescent="0.25">
      <c r="A12972" t="str">
        <f t="shared" si="2326"/>
        <v>89301000</v>
      </c>
      <c r="B12972" t="str">
        <f t="shared" si="2327"/>
        <v>06539000</v>
      </c>
      <c r="C12972" t="str">
        <f t="shared" si="2332"/>
        <v>06539003</v>
      </c>
      <c r="D12972">
        <v>89301171</v>
      </c>
      <c r="E12972" t="str">
        <f t="shared" si="2334"/>
        <v>7611115336</v>
      </c>
      <c r="F12972" s="1">
        <v>45217</v>
      </c>
      <c r="G12972" t="str">
        <f t="shared" si="2335"/>
        <v>91413</v>
      </c>
      <c r="H12972">
        <v>1</v>
      </c>
      <c r="I12972">
        <v>868</v>
      </c>
      <c r="J12972">
        <v>0</v>
      </c>
      <c r="K12972" t="str">
        <f t="shared" si="2333"/>
        <v>813</v>
      </c>
      <c r="L12972">
        <v>729.12</v>
      </c>
    </row>
    <row r="12973" spans="1:12" x14ac:dyDescent="0.25">
      <c r="A12973" t="str">
        <f t="shared" si="2326"/>
        <v>89301000</v>
      </c>
      <c r="B12973" t="str">
        <f t="shared" si="2327"/>
        <v>06539000</v>
      </c>
      <c r="C12973" t="str">
        <f t="shared" si="2332"/>
        <v>06539003</v>
      </c>
      <c r="D12973">
        <v>89301171</v>
      </c>
      <c r="E12973" t="str">
        <f t="shared" si="2334"/>
        <v>7611115336</v>
      </c>
      <c r="F12973" s="1">
        <v>45211</v>
      </c>
      <c r="G12973" t="str">
        <f t="shared" si="2335"/>
        <v>91413</v>
      </c>
      <c r="H12973">
        <v>1</v>
      </c>
      <c r="I12973">
        <v>868</v>
      </c>
      <c r="J12973">
        <v>0</v>
      </c>
      <c r="K12973" t="str">
        <f t="shared" si="2333"/>
        <v>813</v>
      </c>
      <c r="L12973">
        <v>729.12</v>
      </c>
    </row>
    <row r="12974" spans="1:12" x14ac:dyDescent="0.25">
      <c r="A12974" t="str">
        <f t="shared" si="2326"/>
        <v>89301000</v>
      </c>
      <c r="B12974" t="str">
        <f t="shared" si="2327"/>
        <v>06539000</v>
      </c>
      <c r="C12974" t="str">
        <f t="shared" si="2332"/>
        <v>06539003</v>
      </c>
      <c r="D12974">
        <v>89301171</v>
      </c>
      <c r="E12974" t="str">
        <f t="shared" si="2334"/>
        <v>7611115336</v>
      </c>
      <c r="F12974" s="1">
        <v>45211</v>
      </c>
      <c r="G12974" t="str">
        <f t="shared" si="2335"/>
        <v>91413</v>
      </c>
      <c r="H12974">
        <v>1</v>
      </c>
      <c r="I12974">
        <v>868</v>
      </c>
      <c r="J12974">
        <v>0</v>
      </c>
      <c r="K12974" t="str">
        <f t="shared" si="2333"/>
        <v>813</v>
      </c>
      <c r="L12974">
        <v>729.12</v>
      </c>
    </row>
    <row r="12975" spans="1:12" x14ac:dyDescent="0.25">
      <c r="A12975" t="str">
        <f t="shared" si="2326"/>
        <v>89301000</v>
      </c>
      <c r="B12975" t="str">
        <f t="shared" si="2327"/>
        <v>06539000</v>
      </c>
      <c r="C12975" t="str">
        <f t="shared" si="2332"/>
        <v>06539003</v>
      </c>
      <c r="D12975">
        <v>89301171</v>
      </c>
      <c r="E12975" t="str">
        <f t="shared" si="2334"/>
        <v>7611115336</v>
      </c>
      <c r="F12975" s="1">
        <v>45217</v>
      </c>
      <c r="G12975" t="str">
        <f t="shared" si="2335"/>
        <v>91413</v>
      </c>
      <c r="H12975">
        <v>1</v>
      </c>
      <c r="I12975">
        <v>868</v>
      </c>
      <c r="J12975">
        <v>0</v>
      </c>
      <c r="K12975" t="str">
        <f t="shared" si="2333"/>
        <v>813</v>
      </c>
      <c r="L12975">
        <v>729.12</v>
      </c>
    </row>
    <row r="12976" spans="1:12" x14ac:dyDescent="0.25">
      <c r="A12976" t="str">
        <f t="shared" si="2326"/>
        <v>89301000</v>
      </c>
      <c r="B12976" t="str">
        <f t="shared" si="2327"/>
        <v>06539000</v>
      </c>
      <c r="C12976" t="str">
        <f t="shared" si="2332"/>
        <v>06539003</v>
      </c>
      <c r="D12976">
        <v>89301171</v>
      </c>
      <c r="E12976" t="str">
        <f t="shared" si="2334"/>
        <v>7611115336</v>
      </c>
      <c r="F12976" s="1">
        <v>45217</v>
      </c>
      <c r="G12976" t="str">
        <f t="shared" si="2335"/>
        <v>91413</v>
      </c>
      <c r="H12976">
        <v>1</v>
      </c>
      <c r="I12976">
        <v>868</v>
      </c>
      <c r="J12976">
        <v>0</v>
      </c>
      <c r="K12976" t="str">
        <f t="shared" si="2333"/>
        <v>813</v>
      </c>
      <c r="L12976">
        <v>729.12</v>
      </c>
    </row>
    <row r="12977" spans="1:12" x14ac:dyDescent="0.25">
      <c r="A12977" t="str">
        <f t="shared" si="2326"/>
        <v>89301000</v>
      </c>
      <c r="B12977" t="str">
        <f t="shared" si="2327"/>
        <v>06539000</v>
      </c>
      <c r="C12977" t="str">
        <f t="shared" si="2332"/>
        <v>06539003</v>
      </c>
      <c r="D12977">
        <v>89301171</v>
      </c>
      <c r="E12977" t="str">
        <f t="shared" si="2334"/>
        <v>7611115336</v>
      </c>
      <c r="F12977" s="1">
        <v>45217</v>
      </c>
      <c r="G12977" t="str">
        <f t="shared" si="2335"/>
        <v>91413</v>
      </c>
      <c r="H12977">
        <v>1</v>
      </c>
      <c r="I12977">
        <v>868</v>
      </c>
      <c r="J12977">
        <v>0</v>
      </c>
      <c r="K12977" t="str">
        <f t="shared" si="2333"/>
        <v>813</v>
      </c>
      <c r="L12977">
        <v>729.12</v>
      </c>
    </row>
    <row r="12978" spans="1:12" x14ac:dyDescent="0.25">
      <c r="A12978" t="str">
        <f t="shared" si="2326"/>
        <v>89301000</v>
      </c>
      <c r="B12978" t="str">
        <f t="shared" si="2327"/>
        <v>06539000</v>
      </c>
      <c r="C12978" t="str">
        <f t="shared" si="2332"/>
        <v>06539003</v>
      </c>
      <c r="D12978">
        <v>89301171</v>
      </c>
      <c r="E12978" t="str">
        <f t="shared" si="2334"/>
        <v>7611115336</v>
      </c>
      <c r="F12978" s="1">
        <v>45217</v>
      </c>
      <c r="G12978" t="str">
        <f t="shared" si="2335"/>
        <v>91413</v>
      </c>
      <c r="H12978">
        <v>1</v>
      </c>
      <c r="I12978">
        <v>868</v>
      </c>
      <c r="J12978">
        <v>0</v>
      </c>
      <c r="K12978" t="str">
        <f t="shared" si="2333"/>
        <v>813</v>
      </c>
      <c r="L12978">
        <v>729.12</v>
      </c>
    </row>
    <row r="12979" spans="1:12" x14ac:dyDescent="0.25">
      <c r="A12979" t="str">
        <f t="shared" si="2326"/>
        <v>89301000</v>
      </c>
      <c r="B12979" t="str">
        <f t="shared" si="2327"/>
        <v>06539000</v>
      </c>
      <c r="C12979" t="str">
        <f t="shared" si="2332"/>
        <v>06539003</v>
      </c>
      <c r="D12979">
        <v>89301171</v>
      </c>
      <c r="E12979" t="str">
        <f t="shared" si="2334"/>
        <v>7611115336</v>
      </c>
      <c r="F12979" s="1">
        <v>45194</v>
      </c>
      <c r="G12979" t="str">
        <f>"91197"</f>
        <v>91197</v>
      </c>
      <c r="H12979">
        <v>1</v>
      </c>
      <c r="I12979">
        <v>1048</v>
      </c>
      <c r="J12979">
        <v>0</v>
      </c>
      <c r="K12979" t="str">
        <f t="shared" si="2333"/>
        <v>813</v>
      </c>
      <c r="L12979">
        <v>880.32</v>
      </c>
    </row>
    <row r="12980" spans="1:12" x14ac:dyDescent="0.25">
      <c r="A12980" t="str">
        <f t="shared" si="2326"/>
        <v>89301000</v>
      </c>
      <c r="B12980" t="str">
        <f t="shared" si="2327"/>
        <v>06539000</v>
      </c>
      <c r="C12980" t="str">
        <f t="shared" si="2332"/>
        <v>06539003</v>
      </c>
      <c r="D12980">
        <v>89301171</v>
      </c>
      <c r="E12980" t="str">
        <f t="shared" si="2334"/>
        <v>7611115336</v>
      </c>
      <c r="F12980" s="1">
        <v>45194</v>
      </c>
      <c r="G12980" t="str">
        <f>"91197"</f>
        <v>91197</v>
      </c>
      <c r="H12980">
        <v>1</v>
      </c>
      <c r="I12980">
        <v>1048</v>
      </c>
      <c r="J12980">
        <v>0</v>
      </c>
      <c r="K12980" t="str">
        <f t="shared" si="2333"/>
        <v>813</v>
      </c>
      <c r="L12980">
        <v>880.32</v>
      </c>
    </row>
    <row r="12981" spans="1:12" x14ac:dyDescent="0.25">
      <c r="A12981" t="str">
        <f t="shared" si="2326"/>
        <v>89301000</v>
      </c>
      <c r="B12981" t="str">
        <f t="shared" si="2327"/>
        <v>06539000</v>
      </c>
      <c r="C12981" t="str">
        <f t="shared" si="2332"/>
        <v>06539003</v>
      </c>
      <c r="D12981">
        <v>89301171</v>
      </c>
      <c r="E12981" t="str">
        <f t="shared" si="2334"/>
        <v>7611115336</v>
      </c>
      <c r="F12981" s="1">
        <v>45195</v>
      </c>
      <c r="G12981" t="str">
        <f>"91329"</f>
        <v>91329</v>
      </c>
      <c r="H12981">
        <v>2</v>
      </c>
      <c r="I12981">
        <v>436</v>
      </c>
      <c r="J12981">
        <v>0</v>
      </c>
      <c r="K12981" t="str">
        <f t="shared" si="2333"/>
        <v>813</v>
      </c>
      <c r="L12981">
        <v>366.24</v>
      </c>
    </row>
    <row r="12982" spans="1:12" x14ac:dyDescent="0.25">
      <c r="A12982" t="str">
        <f t="shared" si="2326"/>
        <v>89301000</v>
      </c>
      <c r="B12982" t="str">
        <f t="shared" si="2327"/>
        <v>06539000</v>
      </c>
      <c r="C12982" t="str">
        <f t="shared" si="2332"/>
        <v>06539003</v>
      </c>
      <c r="D12982">
        <v>89301171</v>
      </c>
      <c r="E12982" t="str">
        <f t="shared" si="2334"/>
        <v>7611115336</v>
      </c>
      <c r="F12982" s="1">
        <v>45195</v>
      </c>
      <c r="G12982" t="str">
        <f>"91329"</f>
        <v>91329</v>
      </c>
      <c r="H12982">
        <v>2</v>
      </c>
      <c r="I12982">
        <v>436</v>
      </c>
      <c r="J12982">
        <v>0</v>
      </c>
      <c r="K12982" t="str">
        <f t="shared" si="2333"/>
        <v>813</v>
      </c>
      <c r="L12982">
        <v>366.24</v>
      </c>
    </row>
    <row r="12983" spans="1:12" x14ac:dyDescent="0.25">
      <c r="A12983" t="str">
        <f t="shared" si="2326"/>
        <v>89301000</v>
      </c>
      <c r="B12983" t="str">
        <f t="shared" si="2327"/>
        <v>06539000</v>
      </c>
      <c r="C12983" t="str">
        <f t="shared" si="2332"/>
        <v>06539003</v>
      </c>
      <c r="D12983">
        <v>89301171</v>
      </c>
      <c r="E12983" t="str">
        <f t="shared" si="2334"/>
        <v>7611115336</v>
      </c>
      <c r="F12983" s="1">
        <v>45195</v>
      </c>
      <c r="G12983" t="str">
        <f>"91329"</f>
        <v>91329</v>
      </c>
      <c r="H12983">
        <v>2</v>
      </c>
      <c r="I12983">
        <v>436</v>
      </c>
      <c r="J12983">
        <v>0</v>
      </c>
      <c r="K12983" t="str">
        <f t="shared" si="2333"/>
        <v>813</v>
      </c>
      <c r="L12983">
        <v>366.24</v>
      </c>
    </row>
    <row r="12984" spans="1:12" x14ac:dyDescent="0.25">
      <c r="A12984" t="str">
        <f t="shared" si="2326"/>
        <v>89301000</v>
      </c>
      <c r="B12984" t="str">
        <f t="shared" si="2327"/>
        <v>06539000</v>
      </c>
      <c r="C12984" t="str">
        <f t="shared" si="2332"/>
        <v>06539003</v>
      </c>
      <c r="D12984">
        <v>89301171</v>
      </c>
      <c r="E12984" t="str">
        <f t="shared" si="2334"/>
        <v>7611115336</v>
      </c>
      <c r="F12984" s="1">
        <v>45195</v>
      </c>
      <c r="G12984" t="str">
        <f>"91329"</f>
        <v>91329</v>
      </c>
      <c r="H12984">
        <v>2</v>
      </c>
      <c r="I12984">
        <v>436</v>
      </c>
      <c r="J12984">
        <v>0</v>
      </c>
      <c r="K12984" t="str">
        <f t="shared" si="2333"/>
        <v>813</v>
      </c>
      <c r="L12984">
        <v>366.24</v>
      </c>
    </row>
    <row r="12985" spans="1:12" x14ac:dyDescent="0.25">
      <c r="A12985" t="str">
        <f t="shared" si="2326"/>
        <v>89301000</v>
      </c>
      <c r="B12985" t="str">
        <f t="shared" si="2327"/>
        <v>06539000</v>
      </c>
      <c r="C12985" t="str">
        <f t="shared" si="2332"/>
        <v>06539003</v>
      </c>
      <c r="D12985">
        <v>89301171</v>
      </c>
      <c r="E12985" t="str">
        <f t="shared" si="2334"/>
        <v>7611115336</v>
      </c>
      <c r="F12985" s="1">
        <v>45194</v>
      </c>
      <c r="G12985" t="str">
        <f>"91129"</f>
        <v>91129</v>
      </c>
      <c r="H12985">
        <v>1</v>
      </c>
      <c r="I12985">
        <v>175</v>
      </c>
      <c r="J12985">
        <v>0</v>
      </c>
      <c r="K12985" t="str">
        <f t="shared" si="2333"/>
        <v>813</v>
      </c>
      <c r="L12985">
        <v>147</v>
      </c>
    </row>
    <row r="12986" spans="1:12" x14ac:dyDescent="0.25">
      <c r="A12986" t="str">
        <f t="shared" si="2326"/>
        <v>89301000</v>
      </c>
      <c r="B12986" t="str">
        <f t="shared" si="2327"/>
        <v>06539000</v>
      </c>
      <c r="C12986" t="str">
        <f t="shared" si="2332"/>
        <v>06539003</v>
      </c>
      <c r="D12986">
        <v>89301171</v>
      </c>
      <c r="E12986" t="str">
        <f t="shared" si="2334"/>
        <v>7611115336</v>
      </c>
      <c r="F12986" s="1">
        <v>45194</v>
      </c>
      <c r="G12986" t="str">
        <f>"91131"</f>
        <v>91131</v>
      </c>
      <c r="H12986">
        <v>1</v>
      </c>
      <c r="I12986">
        <v>171</v>
      </c>
      <c r="J12986">
        <v>0</v>
      </c>
      <c r="K12986" t="str">
        <f t="shared" si="2333"/>
        <v>813</v>
      </c>
      <c r="L12986">
        <v>143.63999999999999</v>
      </c>
    </row>
    <row r="12987" spans="1:12" x14ac:dyDescent="0.25">
      <c r="A12987" t="str">
        <f t="shared" si="2326"/>
        <v>89301000</v>
      </c>
      <c r="B12987" t="str">
        <f t="shared" si="2327"/>
        <v>06539000</v>
      </c>
      <c r="C12987" t="str">
        <f t="shared" si="2332"/>
        <v>06539003</v>
      </c>
      <c r="D12987">
        <v>89301171</v>
      </c>
      <c r="E12987" t="str">
        <f t="shared" si="2334"/>
        <v>7611115336</v>
      </c>
      <c r="F12987" s="1">
        <v>45194</v>
      </c>
      <c r="G12987" t="str">
        <f>"91133"</f>
        <v>91133</v>
      </c>
      <c r="H12987">
        <v>1</v>
      </c>
      <c r="I12987">
        <v>177</v>
      </c>
      <c r="J12987">
        <v>0</v>
      </c>
      <c r="K12987" t="str">
        <f t="shared" si="2333"/>
        <v>813</v>
      </c>
      <c r="L12987">
        <v>148.68</v>
      </c>
    </row>
    <row r="12988" spans="1:12" x14ac:dyDescent="0.25">
      <c r="A12988" t="str">
        <f t="shared" si="2326"/>
        <v>89301000</v>
      </c>
      <c r="B12988" t="str">
        <f t="shared" si="2327"/>
        <v>06539000</v>
      </c>
      <c r="C12988" t="str">
        <f t="shared" si="2332"/>
        <v>06539003</v>
      </c>
      <c r="D12988">
        <v>89301171</v>
      </c>
      <c r="E12988" t="str">
        <f t="shared" si="2334"/>
        <v>7611115336</v>
      </c>
      <c r="F12988" s="1">
        <v>45194</v>
      </c>
      <c r="G12988" t="str">
        <f>"91171"</f>
        <v>91171</v>
      </c>
      <c r="H12988">
        <v>1</v>
      </c>
      <c r="I12988">
        <v>362</v>
      </c>
      <c r="J12988">
        <v>0</v>
      </c>
      <c r="K12988" t="str">
        <f t="shared" si="2333"/>
        <v>813</v>
      </c>
      <c r="L12988">
        <v>304.08</v>
      </c>
    </row>
    <row r="12989" spans="1:12" x14ac:dyDescent="0.25">
      <c r="A12989" t="str">
        <f t="shared" si="2326"/>
        <v>89301000</v>
      </c>
      <c r="B12989" t="str">
        <f t="shared" si="2327"/>
        <v>06539000</v>
      </c>
      <c r="C12989" t="str">
        <f t="shared" si="2332"/>
        <v>06539003</v>
      </c>
      <c r="D12989">
        <v>89301171</v>
      </c>
      <c r="E12989" t="str">
        <f t="shared" si="2334"/>
        <v>7611115336</v>
      </c>
      <c r="F12989" s="1">
        <v>45194</v>
      </c>
      <c r="G12989" t="str">
        <f>"91175"</f>
        <v>91175</v>
      </c>
      <c r="H12989">
        <v>1</v>
      </c>
      <c r="I12989">
        <v>362</v>
      </c>
      <c r="J12989">
        <v>0</v>
      </c>
      <c r="K12989" t="str">
        <f t="shared" si="2333"/>
        <v>813</v>
      </c>
      <c r="L12989">
        <v>304.08</v>
      </c>
    </row>
    <row r="12990" spans="1:12" x14ac:dyDescent="0.25">
      <c r="A12990" t="str">
        <f t="shared" si="2326"/>
        <v>89301000</v>
      </c>
      <c r="B12990" t="str">
        <f t="shared" si="2327"/>
        <v>06539000</v>
      </c>
      <c r="C12990" t="str">
        <f t="shared" si="2332"/>
        <v>06539003</v>
      </c>
      <c r="D12990">
        <v>89301171</v>
      </c>
      <c r="E12990" t="str">
        <f t="shared" si="2334"/>
        <v>7611115336</v>
      </c>
      <c r="F12990" s="1">
        <v>45196</v>
      </c>
      <c r="G12990" t="str">
        <f>"91475"</f>
        <v>91475</v>
      </c>
      <c r="H12990">
        <v>1</v>
      </c>
      <c r="I12990">
        <v>213</v>
      </c>
      <c r="J12990">
        <v>0</v>
      </c>
      <c r="K12990" t="str">
        <f t="shared" si="2333"/>
        <v>813</v>
      </c>
      <c r="L12990">
        <v>178.92</v>
      </c>
    </row>
    <row r="12991" spans="1:12" x14ac:dyDescent="0.25">
      <c r="A12991" t="str">
        <f t="shared" si="2326"/>
        <v>89301000</v>
      </c>
      <c r="B12991" t="str">
        <f t="shared" si="2327"/>
        <v>06539000</v>
      </c>
      <c r="C12991" t="str">
        <f>"06539001"</f>
        <v>06539001</v>
      </c>
      <c r="D12991">
        <v>89301171</v>
      </c>
      <c r="E12991" t="str">
        <f t="shared" ref="E12991:E13022" si="2336">"0508283226"</f>
        <v>0508283226</v>
      </c>
      <c r="F12991" s="1">
        <v>45191</v>
      </c>
      <c r="G12991" t="str">
        <f>"81329"</f>
        <v>81329</v>
      </c>
      <c r="H12991">
        <v>1</v>
      </c>
      <c r="I12991">
        <v>17</v>
      </c>
      <c r="J12991">
        <v>0</v>
      </c>
      <c r="K12991" t="str">
        <f>"801"</f>
        <v>801</v>
      </c>
      <c r="L12991">
        <v>14.28</v>
      </c>
    </row>
    <row r="12992" spans="1:12" x14ac:dyDescent="0.25">
      <c r="A12992" t="str">
        <f t="shared" si="2326"/>
        <v>89301000</v>
      </c>
      <c r="B12992" t="str">
        <f t="shared" si="2327"/>
        <v>06539000</v>
      </c>
      <c r="C12992" t="str">
        <f>"06539001"</f>
        <v>06539001</v>
      </c>
      <c r="D12992">
        <v>89301171</v>
      </c>
      <c r="E12992" t="str">
        <f t="shared" si="2336"/>
        <v>0508283226</v>
      </c>
      <c r="F12992" s="1">
        <v>45191</v>
      </c>
      <c r="G12992" t="str">
        <f>"81331"</f>
        <v>81331</v>
      </c>
      <c r="H12992">
        <v>1</v>
      </c>
      <c r="I12992">
        <v>193</v>
      </c>
      <c r="J12992">
        <v>0</v>
      </c>
      <c r="K12992" t="str">
        <f>"801"</f>
        <v>801</v>
      </c>
      <c r="L12992">
        <v>162.12</v>
      </c>
    </row>
    <row r="12993" spans="1:12" x14ac:dyDescent="0.25">
      <c r="A12993" t="str">
        <f t="shared" si="2326"/>
        <v>89301000</v>
      </c>
      <c r="B12993" t="str">
        <f t="shared" si="2327"/>
        <v>06539000</v>
      </c>
      <c r="C12993" t="str">
        <f t="shared" ref="C12993:C13000" si="2337">"06539002"</f>
        <v>06539002</v>
      </c>
      <c r="D12993">
        <v>89301171</v>
      </c>
      <c r="E12993" t="str">
        <f t="shared" si="2336"/>
        <v>0508283226</v>
      </c>
      <c r="F12993" s="1">
        <v>45191</v>
      </c>
      <c r="G12993" t="str">
        <f t="shared" ref="G12993:G13000" si="2338">"82097"</f>
        <v>82097</v>
      </c>
      <c r="H12993">
        <v>1</v>
      </c>
      <c r="I12993">
        <v>381</v>
      </c>
      <c r="J12993">
        <v>0</v>
      </c>
      <c r="K12993" t="str">
        <f t="shared" ref="K12993:K13000" si="2339">"802"</f>
        <v>802</v>
      </c>
      <c r="L12993">
        <v>369.57</v>
      </c>
    </row>
    <row r="12994" spans="1:12" x14ac:dyDescent="0.25">
      <c r="A12994" t="str">
        <f t="shared" ref="A12994:A13057" si="2340">"89301000"</f>
        <v>89301000</v>
      </c>
      <c r="B12994" t="str">
        <f t="shared" si="2327"/>
        <v>06539000</v>
      </c>
      <c r="C12994" t="str">
        <f t="shared" si="2337"/>
        <v>06539002</v>
      </c>
      <c r="D12994">
        <v>89301171</v>
      </c>
      <c r="E12994" t="str">
        <f t="shared" si="2336"/>
        <v>0508283226</v>
      </c>
      <c r="F12994" s="1">
        <v>45191</v>
      </c>
      <c r="G12994" t="str">
        <f t="shared" si="2338"/>
        <v>82097</v>
      </c>
      <c r="H12994">
        <v>1</v>
      </c>
      <c r="I12994">
        <v>381</v>
      </c>
      <c r="J12994">
        <v>0</v>
      </c>
      <c r="K12994" t="str">
        <f t="shared" si="2339"/>
        <v>802</v>
      </c>
      <c r="L12994">
        <v>369.57</v>
      </c>
    </row>
    <row r="12995" spans="1:12" x14ac:dyDescent="0.25">
      <c r="A12995" t="str">
        <f t="shared" si="2340"/>
        <v>89301000</v>
      </c>
      <c r="B12995" t="str">
        <f t="shared" si="2327"/>
        <v>06539000</v>
      </c>
      <c r="C12995" t="str">
        <f t="shared" si="2337"/>
        <v>06539002</v>
      </c>
      <c r="D12995">
        <v>89301171</v>
      </c>
      <c r="E12995" t="str">
        <f t="shared" si="2336"/>
        <v>0508283226</v>
      </c>
      <c r="F12995" s="1">
        <v>45191</v>
      </c>
      <c r="G12995" t="str">
        <f t="shared" si="2338"/>
        <v>82097</v>
      </c>
      <c r="H12995">
        <v>1</v>
      </c>
      <c r="I12995">
        <v>381</v>
      </c>
      <c r="J12995">
        <v>0</v>
      </c>
      <c r="K12995" t="str">
        <f t="shared" si="2339"/>
        <v>802</v>
      </c>
      <c r="L12995">
        <v>369.57</v>
      </c>
    </row>
    <row r="12996" spans="1:12" x14ac:dyDescent="0.25">
      <c r="A12996" t="str">
        <f t="shared" si="2340"/>
        <v>89301000</v>
      </c>
      <c r="B12996" t="str">
        <f t="shared" si="2327"/>
        <v>06539000</v>
      </c>
      <c r="C12996" t="str">
        <f t="shared" si="2337"/>
        <v>06539002</v>
      </c>
      <c r="D12996">
        <v>89301171</v>
      </c>
      <c r="E12996" t="str">
        <f t="shared" si="2336"/>
        <v>0508283226</v>
      </c>
      <c r="F12996" s="1">
        <v>45191</v>
      </c>
      <c r="G12996" t="str">
        <f t="shared" si="2338"/>
        <v>82097</v>
      </c>
      <c r="H12996">
        <v>1</v>
      </c>
      <c r="I12996">
        <v>381</v>
      </c>
      <c r="J12996">
        <v>0</v>
      </c>
      <c r="K12996" t="str">
        <f t="shared" si="2339"/>
        <v>802</v>
      </c>
      <c r="L12996">
        <v>369.57</v>
      </c>
    </row>
    <row r="12997" spans="1:12" x14ac:dyDescent="0.25">
      <c r="A12997" t="str">
        <f t="shared" si="2340"/>
        <v>89301000</v>
      </c>
      <c r="B12997" t="str">
        <f t="shared" ref="B12997:B13060" si="2341">"06539000"</f>
        <v>06539000</v>
      </c>
      <c r="C12997" t="str">
        <f t="shared" si="2337"/>
        <v>06539002</v>
      </c>
      <c r="D12997">
        <v>89301171</v>
      </c>
      <c r="E12997" t="str">
        <f t="shared" si="2336"/>
        <v>0508283226</v>
      </c>
      <c r="F12997" s="1">
        <v>45191</v>
      </c>
      <c r="G12997" t="str">
        <f t="shared" si="2338"/>
        <v>82097</v>
      </c>
      <c r="H12997">
        <v>1</v>
      </c>
      <c r="I12997">
        <v>381</v>
      </c>
      <c r="J12997">
        <v>0</v>
      </c>
      <c r="K12997" t="str">
        <f t="shared" si="2339"/>
        <v>802</v>
      </c>
      <c r="L12997">
        <v>369.57</v>
      </c>
    </row>
    <row r="12998" spans="1:12" x14ac:dyDescent="0.25">
      <c r="A12998" t="str">
        <f t="shared" si="2340"/>
        <v>89301000</v>
      </c>
      <c r="B12998" t="str">
        <f t="shared" si="2341"/>
        <v>06539000</v>
      </c>
      <c r="C12998" t="str">
        <f t="shared" si="2337"/>
        <v>06539002</v>
      </c>
      <c r="D12998">
        <v>89301171</v>
      </c>
      <c r="E12998" t="str">
        <f t="shared" si="2336"/>
        <v>0508283226</v>
      </c>
      <c r="F12998" s="1">
        <v>45191</v>
      </c>
      <c r="G12998" t="str">
        <f t="shared" si="2338"/>
        <v>82097</v>
      </c>
      <c r="H12998">
        <v>1</v>
      </c>
      <c r="I12998">
        <v>381</v>
      </c>
      <c r="J12998">
        <v>0</v>
      </c>
      <c r="K12998" t="str">
        <f t="shared" si="2339"/>
        <v>802</v>
      </c>
      <c r="L12998">
        <v>369.57</v>
      </c>
    </row>
    <row r="12999" spans="1:12" x14ac:dyDescent="0.25">
      <c r="A12999" t="str">
        <f t="shared" si="2340"/>
        <v>89301000</v>
      </c>
      <c r="B12999" t="str">
        <f t="shared" si="2341"/>
        <v>06539000</v>
      </c>
      <c r="C12999" t="str">
        <f t="shared" si="2337"/>
        <v>06539002</v>
      </c>
      <c r="D12999">
        <v>89301171</v>
      </c>
      <c r="E12999" t="str">
        <f t="shared" si="2336"/>
        <v>0508283226</v>
      </c>
      <c r="F12999" s="1">
        <v>45191</v>
      </c>
      <c r="G12999" t="str">
        <f t="shared" si="2338"/>
        <v>82097</v>
      </c>
      <c r="H12999">
        <v>1</v>
      </c>
      <c r="I12999">
        <v>381</v>
      </c>
      <c r="J12999">
        <v>0</v>
      </c>
      <c r="K12999" t="str">
        <f t="shared" si="2339"/>
        <v>802</v>
      </c>
      <c r="L12999">
        <v>369.57</v>
      </c>
    </row>
    <row r="13000" spans="1:12" x14ac:dyDescent="0.25">
      <c r="A13000" t="str">
        <f t="shared" si="2340"/>
        <v>89301000</v>
      </c>
      <c r="B13000" t="str">
        <f t="shared" si="2341"/>
        <v>06539000</v>
      </c>
      <c r="C13000" t="str">
        <f t="shared" si="2337"/>
        <v>06539002</v>
      </c>
      <c r="D13000">
        <v>89301171</v>
      </c>
      <c r="E13000" t="str">
        <f t="shared" si="2336"/>
        <v>0508283226</v>
      </c>
      <c r="F13000" s="1">
        <v>45191</v>
      </c>
      <c r="G13000" t="str">
        <f t="shared" si="2338"/>
        <v>82097</v>
      </c>
      <c r="H13000">
        <v>1</v>
      </c>
      <c r="I13000">
        <v>381</v>
      </c>
      <c r="J13000">
        <v>0</v>
      </c>
      <c r="K13000" t="str">
        <f t="shared" si="2339"/>
        <v>802</v>
      </c>
      <c r="L13000">
        <v>369.57</v>
      </c>
    </row>
    <row r="13001" spans="1:12" x14ac:dyDescent="0.25">
      <c r="A13001" t="str">
        <f t="shared" si="2340"/>
        <v>89301000</v>
      </c>
      <c r="B13001" t="str">
        <f t="shared" si="2341"/>
        <v>06539000</v>
      </c>
      <c r="C13001" t="str">
        <f t="shared" ref="C13001:C13032" si="2342">"06539003"</f>
        <v>06539003</v>
      </c>
      <c r="D13001">
        <v>89301171</v>
      </c>
      <c r="E13001" t="str">
        <f t="shared" si="2336"/>
        <v>0508283226</v>
      </c>
      <c r="F13001" s="1">
        <v>45196</v>
      </c>
      <c r="G13001" t="str">
        <f t="shared" ref="G13001:G13010" si="2343">"91413"</f>
        <v>91413</v>
      </c>
      <c r="H13001">
        <v>1</v>
      </c>
      <c r="I13001">
        <v>868</v>
      </c>
      <c r="J13001">
        <v>0</v>
      </c>
      <c r="K13001" t="str">
        <f t="shared" ref="K13001:K13032" si="2344">"813"</f>
        <v>813</v>
      </c>
      <c r="L13001">
        <v>729.12</v>
      </c>
    </row>
    <row r="13002" spans="1:12" x14ac:dyDescent="0.25">
      <c r="A13002" t="str">
        <f t="shared" si="2340"/>
        <v>89301000</v>
      </c>
      <c r="B13002" t="str">
        <f t="shared" si="2341"/>
        <v>06539000</v>
      </c>
      <c r="C13002" t="str">
        <f t="shared" si="2342"/>
        <v>06539003</v>
      </c>
      <c r="D13002">
        <v>89301171</v>
      </c>
      <c r="E13002" t="str">
        <f t="shared" si="2336"/>
        <v>0508283226</v>
      </c>
      <c r="F13002" s="1">
        <v>45196</v>
      </c>
      <c r="G13002" t="str">
        <f t="shared" si="2343"/>
        <v>91413</v>
      </c>
      <c r="H13002">
        <v>1</v>
      </c>
      <c r="I13002">
        <v>868</v>
      </c>
      <c r="J13002">
        <v>0</v>
      </c>
      <c r="K13002" t="str">
        <f t="shared" si="2344"/>
        <v>813</v>
      </c>
      <c r="L13002">
        <v>729.12</v>
      </c>
    </row>
    <row r="13003" spans="1:12" x14ac:dyDescent="0.25">
      <c r="A13003" t="str">
        <f t="shared" si="2340"/>
        <v>89301000</v>
      </c>
      <c r="B13003" t="str">
        <f t="shared" si="2341"/>
        <v>06539000</v>
      </c>
      <c r="C13003" t="str">
        <f t="shared" si="2342"/>
        <v>06539003</v>
      </c>
      <c r="D13003">
        <v>89301171</v>
      </c>
      <c r="E13003" t="str">
        <f t="shared" si="2336"/>
        <v>0508283226</v>
      </c>
      <c r="F13003" s="1">
        <v>45217</v>
      </c>
      <c r="G13003" t="str">
        <f t="shared" si="2343"/>
        <v>91413</v>
      </c>
      <c r="H13003">
        <v>1</v>
      </c>
      <c r="I13003">
        <v>868</v>
      </c>
      <c r="J13003">
        <v>0</v>
      </c>
      <c r="K13003" t="str">
        <f t="shared" si="2344"/>
        <v>813</v>
      </c>
      <c r="L13003">
        <v>729.12</v>
      </c>
    </row>
    <row r="13004" spans="1:12" x14ac:dyDescent="0.25">
      <c r="A13004" t="str">
        <f t="shared" si="2340"/>
        <v>89301000</v>
      </c>
      <c r="B13004" t="str">
        <f t="shared" si="2341"/>
        <v>06539000</v>
      </c>
      <c r="C13004" t="str">
        <f t="shared" si="2342"/>
        <v>06539003</v>
      </c>
      <c r="D13004">
        <v>89301171</v>
      </c>
      <c r="E13004" t="str">
        <f t="shared" si="2336"/>
        <v>0508283226</v>
      </c>
      <c r="F13004" s="1">
        <v>45217</v>
      </c>
      <c r="G13004" t="str">
        <f t="shared" si="2343"/>
        <v>91413</v>
      </c>
      <c r="H13004">
        <v>1</v>
      </c>
      <c r="I13004">
        <v>868</v>
      </c>
      <c r="J13004">
        <v>0</v>
      </c>
      <c r="K13004" t="str">
        <f t="shared" si="2344"/>
        <v>813</v>
      </c>
      <c r="L13004">
        <v>729.12</v>
      </c>
    </row>
    <row r="13005" spans="1:12" x14ac:dyDescent="0.25">
      <c r="A13005" t="str">
        <f t="shared" si="2340"/>
        <v>89301000</v>
      </c>
      <c r="B13005" t="str">
        <f t="shared" si="2341"/>
        <v>06539000</v>
      </c>
      <c r="C13005" t="str">
        <f t="shared" si="2342"/>
        <v>06539003</v>
      </c>
      <c r="D13005">
        <v>89301171</v>
      </c>
      <c r="E13005" t="str">
        <f t="shared" si="2336"/>
        <v>0508283226</v>
      </c>
      <c r="F13005" s="1">
        <v>45211</v>
      </c>
      <c r="G13005" t="str">
        <f t="shared" si="2343"/>
        <v>91413</v>
      </c>
      <c r="H13005">
        <v>1</v>
      </c>
      <c r="I13005">
        <v>868</v>
      </c>
      <c r="J13005">
        <v>0</v>
      </c>
      <c r="K13005" t="str">
        <f t="shared" si="2344"/>
        <v>813</v>
      </c>
      <c r="L13005">
        <v>729.12</v>
      </c>
    </row>
    <row r="13006" spans="1:12" x14ac:dyDescent="0.25">
      <c r="A13006" t="str">
        <f t="shared" si="2340"/>
        <v>89301000</v>
      </c>
      <c r="B13006" t="str">
        <f t="shared" si="2341"/>
        <v>06539000</v>
      </c>
      <c r="C13006" t="str">
        <f t="shared" si="2342"/>
        <v>06539003</v>
      </c>
      <c r="D13006">
        <v>89301171</v>
      </c>
      <c r="E13006" t="str">
        <f t="shared" si="2336"/>
        <v>0508283226</v>
      </c>
      <c r="F13006" s="1">
        <v>45211</v>
      </c>
      <c r="G13006" t="str">
        <f t="shared" si="2343"/>
        <v>91413</v>
      </c>
      <c r="H13006">
        <v>1</v>
      </c>
      <c r="I13006">
        <v>868</v>
      </c>
      <c r="J13006">
        <v>0</v>
      </c>
      <c r="K13006" t="str">
        <f t="shared" si="2344"/>
        <v>813</v>
      </c>
      <c r="L13006">
        <v>729.12</v>
      </c>
    </row>
    <row r="13007" spans="1:12" x14ac:dyDescent="0.25">
      <c r="A13007" t="str">
        <f t="shared" si="2340"/>
        <v>89301000</v>
      </c>
      <c r="B13007" t="str">
        <f t="shared" si="2341"/>
        <v>06539000</v>
      </c>
      <c r="C13007" t="str">
        <f t="shared" si="2342"/>
        <v>06539003</v>
      </c>
      <c r="D13007">
        <v>89301171</v>
      </c>
      <c r="E13007" t="str">
        <f t="shared" si="2336"/>
        <v>0508283226</v>
      </c>
      <c r="F13007" s="1">
        <v>45217</v>
      </c>
      <c r="G13007" t="str">
        <f t="shared" si="2343"/>
        <v>91413</v>
      </c>
      <c r="H13007">
        <v>1</v>
      </c>
      <c r="I13007">
        <v>868</v>
      </c>
      <c r="J13007">
        <v>0</v>
      </c>
      <c r="K13007" t="str">
        <f t="shared" si="2344"/>
        <v>813</v>
      </c>
      <c r="L13007">
        <v>729.12</v>
      </c>
    </row>
    <row r="13008" spans="1:12" x14ac:dyDescent="0.25">
      <c r="A13008" t="str">
        <f t="shared" si="2340"/>
        <v>89301000</v>
      </c>
      <c r="B13008" t="str">
        <f t="shared" si="2341"/>
        <v>06539000</v>
      </c>
      <c r="C13008" t="str">
        <f t="shared" si="2342"/>
        <v>06539003</v>
      </c>
      <c r="D13008">
        <v>89301171</v>
      </c>
      <c r="E13008" t="str">
        <f t="shared" si="2336"/>
        <v>0508283226</v>
      </c>
      <c r="F13008" s="1">
        <v>45217</v>
      </c>
      <c r="G13008" t="str">
        <f t="shared" si="2343"/>
        <v>91413</v>
      </c>
      <c r="H13008">
        <v>1</v>
      </c>
      <c r="I13008">
        <v>868</v>
      </c>
      <c r="J13008">
        <v>0</v>
      </c>
      <c r="K13008" t="str">
        <f t="shared" si="2344"/>
        <v>813</v>
      </c>
      <c r="L13008">
        <v>729.12</v>
      </c>
    </row>
    <row r="13009" spans="1:12" x14ac:dyDescent="0.25">
      <c r="A13009" t="str">
        <f t="shared" si="2340"/>
        <v>89301000</v>
      </c>
      <c r="B13009" t="str">
        <f t="shared" si="2341"/>
        <v>06539000</v>
      </c>
      <c r="C13009" t="str">
        <f t="shared" si="2342"/>
        <v>06539003</v>
      </c>
      <c r="D13009">
        <v>89301171</v>
      </c>
      <c r="E13009" t="str">
        <f t="shared" si="2336"/>
        <v>0508283226</v>
      </c>
      <c r="F13009" s="1">
        <v>45217</v>
      </c>
      <c r="G13009" t="str">
        <f t="shared" si="2343"/>
        <v>91413</v>
      </c>
      <c r="H13009">
        <v>1</v>
      </c>
      <c r="I13009">
        <v>868</v>
      </c>
      <c r="J13009">
        <v>0</v>
      </c>
      <c r="K13009" t="str">
        <f t="shared" si="2344"/>
        <v>813</v>
      </c>
      <c r="L13009">
        <v>729.12</v>
      </c>
    </row>
    <row r="13010" spans="1:12" x14ac:dyDescent="0.25">
      <c r="A13010" t="str">
        <f t="shared" si="2340"/>
        <v>89301000</v>
      </c>
      <c r="B13010" t="str">
        <f t="shared" si="2341"/>
        <v>06539000</v>
      </c>
      <c r="C13010" t="str">
        <f t="shared" si="2342"/>
        <v>06539003</v>
      </c>
      <c r="D13010">
        <v>89301171</v>
      </c>
      <c r="E13010" t="str">
        <f t="shared" si="2336"/>
        <v>0508283226</v>
      </c>
      <c r="F13010" s="1">
        <v>45217</v>
      </c>
      <c r="G13010" t="str">
        <f t="shared" si="2343"/>
        <v>91413</v>
      </c>
      <c r="H13010">
        <v>1</v>
      </c>
      <c r="I13010">
        <v>868</v>
      </c>
      <c r="J13010">
        <v>0</v>
      </c>
      <c r="K13010" t="str">
        <f t="shared" si="2344"/>
        <v>813</v>
      </c>
      <c r="L13010">
        <v>729.12</v>
      </c>
    </row>
    <row r="13011" spans="1:12" x14ac:dyDescent="0.25">
      <c r="A13011" t="str">
        <f t="shared" si="2340"/>
        <v>89301000</v>
      </c>
      <c r="B13011" t="str">
        <f t="shared" si="2341"/>
        <v>06539000</v>
      </c>
      <c r="C13011" t="str">
        <f t="shared" si="2342"/>
        <v>06539003</v>
      </c>
      <c r="D13011">
        <v>89301171</v>
      </c>
      <c r="E13011" t="str">
        <f t="shared" si="2336"/>
        <v>0508283226</v>
      </c>
      <c r="F13011" s="1">
        <v>45191</v>
      </c>
      <c r="G13011" t="str">
        <f t="shared" ref="G13011:G13017" si="2345">"91197"</f>
        <v>91197</v>
      </c>
      <c r="H13011">
        <v>1</v>
      </c>
      <c r="I13011">
        <v>1048</v>
      </c>
      <c r="J13011">
        <v>0</v>
      </c>
      <c r="K13011" t="str">
        <f t="shared" si="2344"/>
        <v>813</v>
      </c>
      <c r="L13011">
        <v>880.32</v>
      </c>
    </row>
    <row r="13012" spans="1:12" x14ac:dyDescent="0.25">
      <c r="A13012" t="str">
        <f t="shared" si="2340"/>
        <v>89301000</v>
      </c>
      <c r="B13012" t="str">
        <f t="shared" si="2341"/>
        <v>06539000</v>
      </c>
      <c r="C13012" t="str">
        <f t="shared" si="2342"/>
        <v>06539003</v>
      </c>
      <c r="D13012">
        <v>89301171</v>
      </c>
      <c r="E13012" t="str">
        <f t="shared" si="2336"/>
        <v>0508283226</v>
      </c>
      <c r="F13012" s="1">
        <v>45194</v>
      </c>
      <c r="G13012" t="str">
        <f t="shared" si="2345"/>
        <v>91197</v>
      </c>
      <c r="H13012">
        <v>1</v>
      </c>
      <c r="I13012">
        <v>1048</v>
      </c>
      <c r="J13012">
        <v>0</v>
      </c>
      <c r="K13012" t="str">
        <f t="shared" si="2344"/>
        <v>813</v>
      </c>
      <c r="L13012">
        <v>880.32</v>
      </c>
    </row>
    <row r="13013" spans="1:12" x14ac:dyDescent="0.25">
      <c r="A13013" t="str">
        <f t="shared" si="2340"/>
        <v>89301000</v>
      </c>
      <c r="B13013" t="str">
        <f t="shared" si="2341"/>
        <v>06539000</v>
      </c>
      <c r="C13013" t="str">
        <f t="shared" si="2342"/>
        <v>06539003</v>
      </c>
      <c r="D13013">
        <v>89301171</v>
      </c>
      <c r="E13013" t="str">
        <f t="shared" si="2336"/>
        <v>0508283226</v>
      </c>
      <c r="F13013" s="1">
        <v>45194</v>
      </c>
      <c r="G13013" t="str">
        <f t="shared" si="2345"/>
        <v>91197</v>
      </c>
      <c r="H13013">
        <v>1</v>
      </c>
      <c r="I13013">
        <v>1048</v>
      </c>
      <c r="J13013">
        <v>0</v>
      </c>
      <c r="K13013" t="str">
        <f t="shared" si="2344"/>
        <v>813</v>
      </c>
      <c r="L13013">
        <v>880.32</v>
      </c>
    </row>
    <row r="13014" spans="1:12" x14ac:dyDescent="0.25">
      <c r="A13014" t="str">
        <f t="shared" si="2340"/>
        <v>89301000</v>
      </c>
      <c r="B13014" t="str">
        <f t="shared" si="2341"/>
        <v>06539000</v>
      </c>
      <c r="C13014" t="str">
        <f t="shared" si="2342"/>
        <v>06539003</v>
      </c>
      <c r="D13014">
        <v>89301171</v>
      </c>
      <c r="E13014" t="str">
        <f t="shared" si="2336"/>
        <v>0508283226</v>
      </c>
      <c r="F13014" s="1">
        <v>45193</v>
      </c>
      <c r="G13014" t="str">
        <f t="shared" si="2345"/>
        <v>91197</v>
      </c>
      <c r="H13014">
        <v>1</v>
      </c>
      <c r="I13014">
        <v>1048</v>
      </c>
      <c r="J13014">
        <v>0</v>
      </c>
      <c r="K13014" t="str">
        <f t="shared" si="2344"/>
        <v>813</v>
      </c>
      <c r="L13014">
        <v>880.32</v>
      </c>
    </row>
    <row r="13015" spans="1:12" x14ac:dyDescent="0.25">
      <c r="A13015" t="str">
        <f t="shared" si="2340"/>
        <v>89301000</v>
      </c>
      <c r="B13015" t="str">
        <f t="shared" si="2341"/>
        <v>06539000</v>
      </c>
      <c r="C13015" t="str">
        <f t="shared" si="2342"/>
        <v>06539003</v>
      </c>
      <c r="D13015">
        <v>89301171</v>
      </c>
      <c r="E13015" t="str">
        <f t="shared" si="2336"/>
        <v>0508283226</v>
      </c>
      <c r="F13015" s="1">
        <v>45193</v>
      </c>
      <c r="G13015" t="str">
        <f t="shared" si="2345"/>
        <v>91197</v>
      </c>
      <c r="H13015">
        <v>1</v>
      </c>
      <c r="I13015">
        <v>1048</v>
      </c>
      <c r="J13015">
        <v>0</v>
      </c>
      <c r="K13015" t="str">
        <f t="shared" si="2344"/>
        <v>813</v>
      </c>
      <c r="L13015">
        <v>880.32</v>
      </c>
    </row>
    <row r="13016" spans="1:12" x14ac:dyDescent="0.25">
      <c r="A13016" t="str">
        <f t="shared" si="2340"/>
        <v>89301000</v>
      </c>
      <c r="B13016" t="str">
        <f t="shared" si="2341"/>
        <v>06539000</v>
      </c>
      <c r="C13016" t="str">
        <f t="shared" si="2342"/>
        <v>06539003</v>
      </c>
      <c r="D13016">
        <v>89301171</v>
      </c>
      <c r="E13016" t="str">
        <f t="shared" si="2336"/>
        <v>0508283226</v>
      </c>
      <c r="F13016" s="1">
        <v>45192</v>
      </c>
      <c r="G13016" t="str">
        <f t="shared" si="2345"/>
        <v>91197</v>
      </c>
      <c r="H13016">
        <v>1</v>
      </c>
      <c r="I13016">
        <v>1048</v>
      </c>
      <c r="J13016">
        <v>0</v>
      </c>
      <c r="K13016" t="str">
        <f t="shared" si="2344"/>
        <v>813</v>
      </c>
      <c r="L13016">
        <v>880.32</v>
      </c>
    </row>
    <row r="13017" spans="1:12" x14ac:dyDescent="0.25">
      <c r="A13017" t="str">
        <f t="shared" si="2340"/>
        <v>89301000</v>
      </c>
      <c r="B13017" t="str">
        <f t="shared" si="2341"/>
        <v>06539000</v>
      </c>
      <c r="C13017" t="str">
        <f t="shared" si="2342"/>
        <v>06539003</v>
      </c>
      <c r="D13017">
        <v>89301171</v>
      </c>
      <c r="E13017" t="str">
        <f t="shared" si="2336"/>
        <v>0508283226</v>
      </c>
      <c r="F13017" s="1">
        <v>45192</v>
      </c>
      <c r="G13017" t="str">
        <f t="shared" si="2345"/>
        <v>91197</v>
      </c>
      <c r="H13017">
        <v>1</v>
      </c>
      <c r="I13017">
        <v>1048</v>
      </c>
      <c r="J13017">
        <v>0</v>
      </c>
      <c r="K13017" t="str">
        <f t="shared" si="2344"/>
        <v>813</v>
      </c>
      <c r="L13017">
        <v>880.32</v>
      </c>
    </row>
    <row r="13018" spans="1:12" x14ac:dyDescent="0.25">
      <c r="A13018" t="str">
        <f t="shared" si="2340"/>
        <v>89301000</v>
      </c>
      <c r="B13018" t="str">
        <f t="shared" si="2341"/>
        <v>06539000</v>
      </c>
      <c r="C13018" t="str">
        <f t="shared" si="2342"/>
        <v>06539003</v>
      </c>
      <c r="D13018">
        <v>89301171</v>
      </c>
      <c r="E13018" t="str">
        <f t="shared" si="2336"/>
        <v>0508283226</v>
      </c>
      <c r="F13018" s="1">
        <v>45191</v>
      </c>
      <c r="G13018" t="str">
        <f>"91411"</f>
        <v>91411</v>
      </c>
      <c r="H13018">
        <v>1</v>
      </c>
      <c r="I13018">
        <v>1631</v>
      </c>
      <c r="J13018">
        <v>0</v>
      </c>
      <c r="K13018" t="str">
        <f t="shared" si="2344"/>
        <v>813</v>
      </c>
      <c r="L13018">
        <v>1370.04</v>
      </c>
    </row>
    <row r="13019" spans="1:12" x14ac:dyDescent="0.25">
      <c r="A13019" t="str">
        <f t="shared" si="2340"/>
        <v>89301000</v>
      </c>
      <c r="B13019" t="str">
        <f t="shared" si="2341"/>
        <v>06539000</v>
      </c>
      <c r="C13019" t="str">
        <f t="shared" si="2342"/>
        <v>06539003</v>
      </c>
      <c r="D13019">
        <v>89301171</v>
      </c>
      <c r="E13019" t="str">
        <f t="shared" si="2336"/>
        <v>0508283226</v>
      </c>
      <c r="F13019" s="1">
        <v>45191</v>
      </c>
      <c r="G13019" t="str">
        <f>"91411"</f>
        <v>91411</v>
      </c>
      <c r="H13019">
        <v>1</v>
      </c>
      <c r="I13019">
        <v>1631</v>
      </c>
      <c r="J13019">
        <v>0</v>
      </c>
      <c r="K13019" t="str">
        <f t="shared" si="2344"/>
        <v>813</v>
      </c>
      <c r="L13019">
        <v>1370.04</v>
      </c>
    </row>
    <row r="13020" spans="1:12" x14ac:dyDescent="0.25">
      <c r="A13020" t="str">
        <f t="shared" si="2340"/>
        <v>89301000</v>
      </c>
      <c r="B13020" t="str">
        <f t="shared" si="2341"/>
        <v>06539000</v>
      </c>
      <c r="C13020" t="str">
        <f t="shared" si="2342"/>
        <v>06539003</v>
      </c>
      <c r="D13020">
        <v>89301171</v>
      </c>
      <c r="E13020" t="str">
        <f t="shared" si="2336"/>
        <v>0508283226</v>
      </c>
      <c r="F13020" s="1">
        <v>45191</v>
      </c>
      <c r="G13020" t="str">
        <f>"91411"</f>
        <v>91411</v>
      </c>
      <c r="H13020">
        <v>1</v>
      </c>
      <c r="I13020">
        <v>1631</v>
      </c>
      <c r="J13020">
        <v>0</v>
      </c>
      <c r="K13020" t="str">
        <f t="shared" si="2344"/>
        <v>813</v>
      </c>
      <c r="L13020">
        <v>1370.04</v>
      </c>
    </row>
    <row r="13021" spans="1:12" x14ac:dyDescent="0.25">
      <c r="A13021" t="str">
        <f t="shared" si="2340"/>
        <v>89301000</v>
      </c>
      <c r="B13021" t="str">
        <f t="shared" si="2341"/>
        <v>06539000</v>
      </c>
      <c r="C13021" t="str">
        <f t="shared" si="2342"/>
        <v>06539003</v>
      </c>
      <c r="D13021">
        <v>89301171</v>
      </c>
      <c r="E13021" t="str">
        <f t="shared" si="2336"/>
        <v>0508283226</v>
      </c>
      <c r="F13021" s="1">
        <v>45202</v>
      </c>
      <c r="G13021" t="str">
        <f>"91495"</f>
        <v>91495</v>
      </c>
      <c r="H13021">
        <v>1</v>
      </c>
      <c r="I13021">
        <v>595</v>
      </c>
      <c r="J13021">
        <v>0</v>
      </c>
      <c r="K13021" t="str">
        <f t="shared" si="2344"/>
        <v>813</v>
      </c>
      <c r="L13021">
        <v>499.8</v>
      </c>
    </row>
    <row r="13022" spans="1:12" x14ac:dyDescent="0.25">
      <c r="A13022" t="str">
        <f t="shared" si="2340"/>
        <v>89301000</v>
      </c>
      <c r="B13022" t="str">
        <f t="shared" si="2341"/>
        <v>06539000</v>
      </c>
      <c r="C13022" t="str">
        <f t="shared" si="2342"/>
        <v>06539003</v>
      </c>
      <c r="D13022">
        <v>89301171</v>
      </c>
      <c r="E13022" t="str">
        <f t="shared" si="2336"/>
        <v>0508283226</v>
      </c>
      <c r="F13022" s="1">
        <v>45195</v>
      </c>
      <c r="G13022" t="str">
        <f t="shared" ref="G13022:G13039" si="2346">"91329"</f>
        <v>91329</v>
      </c>
      <c r="H13022">
        <v>2</v>
      </c>
      <c r="I13022">
        <v>436</v>
      </c>
      <c r="J13022">
        <v>0</v>
      </c>
      <c r="K13022" t="str">
        <f t="shared" si="2344"/>
        <v>813</v>
      </c>
      <c r="L13022">
        <v>366.24</v>
      </c>
    </row>
    <row r="13023" spans="1:12" x14ac:dyDescent="0.25">
      <c r="A13023" t="str">
        <f t="shared" si="2340"/>
        <v>89301000</v>
      </c>
      <c r="B13023" t="str">
        <f t="shared" si="2341"/>
        <v>06539000</v>
      </c>
      <c r="C13023" t="str">
        <f t="shared" si="2342"/>
        <v>06539003</v>
      </c>
      <c r="D13023">
        <v>89301171</v>
      </c>
      <c r="E13023" t="str">
        <f t="shared" ref="E13023:E13050" si="2347">"0508283226"</f>
        <v>0508283226</v>
      </c>
      <c r="F13023" s="1">
        <v>45195</v>
      </c>
      <c r="G13023" t="str">
        <f t="shared" si="2346"/>
        <v>91329</v>
      </c>
      <c r="H13023">
        <v>2</v>
      </c>
      <c r="I13023">
        <v>436</v>
      </c>
      <c r="J13023">
        <v>0</v>
      </c>
      <c r="K13023" t="str">
        <f t="shared" si="2344"/>
        <v>813</v>
      </c>
      <c r="L13023">
        <v>366.24</v>
      </c>
    </row>
    <row r="13024" spans="1:12" x14ac:dyDescent="0.25">
      <c r="A13024" t="str">
        <f t="shared" si="2340"/>
        <v>89301000</v>
      </c>
      <c r="B13024" t="str">
        <f t="shared" si="2341"/>
        <v>06539000</v>
      </c>
      <c r="C13024" t="str">
        <f t="shared" si="2342"/>
        <v>06539003</v>
      </c>
      <c r="D13024">
        <v>89301171</v>
      </c>
      <c r="E13024" t="str">
        <f t="shared" si="2347"/>
        <v>0508283226</v>
      </c>
      <c r="F13024" s="1">
        <v>45195</v>
      </c>
      <c r="G13024" t="str">
        <f t="shared" si="2346"/>
        <v>91329</v>
      </c>
      <c r="H13024">
        <v>2</v>
      </c>
      <c r="I13024">
        <v>436</v>
      </c>
      <c r="J13024">
        <v>0</v>
      </c>
      <c r="K13024" t="str">
        <f t="shared" si="2344"/>
        <v>813</v>
      </c>
      <c r="L13024">
        <v>366.24</v>
      </c>
    </row>
    <row r="13025" spans="1:12" x14ac:dyDescent="0.25">
      <c r="A13025" t="str">
        <f t="shared" si="2340"/>
        <v>89301000</v>
      </c>
      <c r="B13025" t="str">
        <f t="shared" si="2341"/>
        <v>06539000</v>
      </c>
      <c r="C13025" t="str">
        <f t="shared" si="2342"/>
        <v>06539003</v>
      </c>
      <c r="D13025">
        <v>89301171</v>
      </c>
      <c r="E13025" t="str">
        <f t="shared" si="2347"/>
        <v>0508283226</v>
      </c>
      <c r="F13025" s="1">
        <v>45195</v>
      </c>
      <c r="G13025" t="str">
        <f t="shared" si="2346"/>
        <v>91329</v>
      </c>
      <c r="H13025">
        <v>2</v>
      </c>
      <c r="I13025">
        <v>436</v>
      </c>
      <c r="J13025">
        <v>0</v>
      </c>
      <c r="K13025" t="str">
        <f t="shared" si="2344"/>
        <v>813</v>
      </c>
      <c r="L13025">
        <v>366.24</v>
      </c>
    </row>
    <row r="13026" spans="1:12" x14ac:dyDescent="0.25">
      <c r="A13026" t="str">
        <f t="shared" si="2340"/>
        <v>89301000</v>
      </c>
      <c r="B13026" t="str">
        <f t="shared" si="2341"/>
        <v>06539000</v>
      </c>
      <c r="C13026" t="str">
        <f t="shared" si="2342"/>
        <v>06539003</v>
      </c>
      <c r="D13026">
        <v>89301171</v>
      </c>
      <c r="E13026" t="str">
        <f t="shared" si="2347"/>
        <v>0508283226</v>
      </c>
      <c r="F13026" s="1">
        <v>45195</v>
      </c>
      <c r="G13026" t="str">
        <f t="shared" si="2346"/>
        <v>91329</v>
      </c>
      <c r="H13026">
        <v>2</v>
      </c>
      <c r="I13026">
        <v>436</v>
      </c>
      <c r="J13026">
        <v>0</v>
      </c>
      <c r="K13026" t="str">
        <f t="shared" si="2344"/>
        <v>813</v>
      </c>
      <c r="L13026">
        <v>366.24</v>
      </c>
    </row>
    <row r="13027" spans="1:12" x14ac:dyDescent="0.25">
      <c r="A13027" t="str">
        <f t="shared" si="2340"/>
        <v>89301000</v>
      </c>
      <c r="B13027" t="str">
        <f t="shared" si="2341"/>
        <v>06539000</v>
      </c>
      <c r="C13027" t="str">
        <f t="shared" si="2342"/>
        <v>06539003</v>
      </c>
      <c r="D13027">
        <v>89301171</v>
      </c>
      <c r="E13027" t="str">
        <f t="shared" si="2347"/>
        <v>0508283226</v>
      </c>
      <c r="F13027" s="1">
        <v>45195</v>
      </c>
      <c r="G13027" t="str">
        <f t="shared" si="2346"/>
        <v>91329</v>
      </c>
      <c r="H13027">
        <v>2</v>
      </c>
      <c r="I13027">
        <v>436</v>
      </c>
      <c r="J13027">
        <v>0</v>
      </c>
      <c r="K13027" t="str">
        <f t="shared" si="2344"/>
        <v>813</v>
      </c>
      <c r="L13027">
        <v>366.24</v>
      </c>
    </row>
    <row r="13028" spans="1:12" x14ac:dyDescent="0.25">
      <c r="A13028" t="str">
        <f t="shared" si="2340"/>
        <v>89301000</v>
      </c>
      <c r="B13028" t="str">
        <f t="shared" si="2341"/>
        <v>06539000</v>
      </c>
      <c r="C13028" t="str">
        <f t="shared" si="2342"/>
        <v>06539003</v>
      </c>
      <c r="D13028">
        <v>89301171</v>
      </c>
      <c r="E13028" t="str">
        <f t="shared" si="2347"/>
        <v>0508283226</v>
      </c>
      <c r="F13028" s="1">
        <v>45195</v>
      </c>
      <c r="G13028" t="str">
        <f t="shared" si="2346"/>
        <v>91329</v>
      </c>
      <c r="H13028">
        <v>2</v>
      </c>
      <c r="I13028">
        <v>436</v>
      </c>
      <c r="J13028">
        <v>0</v>
      </c>
      <c r="K13028" t="str">
        <f t="shared" si="2344"/>
        <v>813</v>
      </c>
      <c r="L13028">
        <v>366.24</v>
      </c>
    </row>
    <row r="13029" spans="1:12" x14ac:dyDescent="0.25">
      <c r="A13029" t="str">
        <f t="shared" si="2340"/>
        <v>89301000</v>
      </c>
      <c r="B13029" t="str">
        <f t="shared" si="2341"/>
        <v>06539000</v>
      </c>
      <c r="C13029" t="str">
        <f t="shared" si="2342"/>
        <v>06539003</v>
      </c>
      <c r="D13029">
        <v>89301171</v>
      </c>
      <c r="E13029" t="str">
        <f t="shared" si="2347"/>
        <v>0508283226</v>
      </c>
      <c r="F13029" s="1">
        <v>45195</v>
      </c>
      <c r="G13029" t="str">
        <f t="shared" si="2346"/>
        <v>91329</v>
      </c>
      <c r="H13029">
        <v>2</v>
      </c>
      <c r="I13029">
        <v>436</v>
      </c>
      <c r="J13029">
        <v>0</v>
      </c>
      <c r="K13029" t="str">
        <f t="shared" si="2344"/>
        <v>813</v>
      </c>
      <c r="L13029">
        <v>366.24</v>
      </c>
    </row>
    <row r="13030" spans="1:12" x14ac:dyDescent="0.25">
      <c r="A13030" t="str">
        <f t="shared" si="2340"/>
        <v>89301000</v>
      </c>
      <c r="B13030" t="str">
        <f t="shared" si="2341"/>
        <v>06539000</v>
      </c>
      <c r="C13030" t="str">
        <f t="shared" si="2342"/>
        <v>06539003</v>
      </c>
      <c r="D13030">
        <v>89301171</v>
      </c>
      <c r="E13030" t="str">
        <f t="shared" si="2347"/>
        <v>0508283226</v>
      </c>
      <c r="F13030" s="1">
        <v>45195</v>
      </c>
      <c r="G13030" t="str">
        <f t="shared" si="2346"/>
        <v>91329</v>
      </c>
      <c r="H13030">
        <v>2</v>
      </c>
      <c r="I13030">
        <v>436</v>
      </c>
      <c r="J13030">
        <v>0</v>
      </c>
      <c r="K13030" t="str">
        <f t="shared" si="2344"/>
        <v>813</v>
      </c>
      <c r="L13030">
        <v>366.24</v>
      </c>
    </row>
    <row r="13031" spans="1:12" x14ac:dyDescent="0.25">
      <c r="A13031" t="str">
        <f t="shared" si="2340"/>
        <v>89301000</v>
      </c>
      <c r="B13031" t="str">
        <f t="shared" si="2341"/>
        <v>06539000</v>
      </c>
      <c r="C13031" t="str">
        <f t="shared" si="2342"/>
        <v>06539003</v>
      </c>
      <c r="D13031">
        <v>89301171</v>
      </c>
      <c r="E13031" t="str">
        <f t="shared" si="2347"/>
        <v>0508283226</v>
      </c>
      <c r="F13031" s="1">
        <v>45195</v>
      </c>
      <c r="G13031" t="str">
        <f t="shared" si="2346"/>
        <v>91329</v>
      </c>
      <c r="H13031">
        <v>2</v>
      </c>
      <c r="I13031">
        <v>436</v>
      </c>
      <c r="J13031">
        <v>0</v>
      </c>
      <c r="K13031" t="str">
        <f t="shared" si="2344"/>
        <v>813</v>
      </c>
      <c r="L13031">
        <v>366.24</v>
      </c>
    </row>
    <row r="13032" spans="1:12" x14ac:dyDescent="0.25">
      <c r="A13032" t="str">
        <f t="shared" si="2340"/>
        <v>89301000</v>
      </c>
      <c r="B13032" t="str">
        <f t="shared" si="2341"/>
        <v>06539000</v>
      </c>
      <c r="C13032" t="str">
        <f t="shared" si="2342"/>
        <v>06539003</v>
      </c>
      <c r="D13032">
        <v>89301171</v>
      </c>
      <c r="E13032" t="str">
        <f t="shared" si="2347"/>
        <v>0508283226</v>
      </c>
      <c r="F13032" s="1">
        <v>45195</v>
      </c>
      <c r="G13032" t="str">
        <f t="shared" si="2346"/>
        <v>91329</v>
      </c>
      <c r="H13032">
        <v>2</v>
      </c>
      <c r="I13032">
        <v>436</v>
      </c>
      <c r="J13032">
        <v>0</v>
      </c>
      <c r="K13032" t="str">
        <f t="shared" si="2344"/>
        <v>813</v>
      </c>
      <c r="L13032">
        <v>366.24</v>
      </c>
    </row>
    <row r="13033" spans="1:12" x14ac:dyDescent="0.25">
      <c r="A13033" t="str">
        <f t="shared" si="2340"/>
        <v>89301000</v>
      </c>
      <c r="B13033" t="str">
        <f t="shared" si="2341"/>
        <v>06539000</v>
      </c>
      <c r="C13033" t="str">
        <f t="shared" ref="C13033:C13064" si="2348">"06539003"</f>
        <v>06539003</v>
      </c>
      <c r="D13033">
        <v>89301171</v>
      </c>
      <c r="E13033" t="str">
        <f t="shared" si="2347"/>
        <v>0508283226</v>
      </c>
      <c r="F13033" s="1">
        <v>45195</v>
      </c>
      <c r="G13033" t="str">
        <f t="shared" si="2346"/>
        <v>91329</v>
      </c>
      <c r="H13033">
        <v>2</v>
      </c>
      <c r="I13033">
        <v>436</v>
      </c>
      <c r="J13033">
        <v>0</v>
      </c>
      <c r="K13033" t="str">
        <f t="shared" ref="K13033:K13064" si="2349">"813"</f>
        <v>813</v>
      </c>
      <c r="L13033">
        <v>366.24</v>
      </c>
    </row>
    <row r="13034" spans="1:12" x14ac:dyDescent="0.25">
      <c r="A13034" t="str">
        <f t="shared" si="2340"/>
        <v>89301000</v>
      </c>
      <c r="B13034" t="str">
        <f t="shared" si="2341"/>
        <v>06539000</v>
      </c>
      <c r="C13034" t="str">
        <f t="shared" si="2348"/>
        <v>06539003</v>
      </c>
      <c r="D13034">
        <v>89301171</v>
      </c>
      <c r="E13034" t="str">
        <f t="shared" si="2347"/>
        <v>0508283226</v>
      </c>
      <c r="F13034" s="1">
        <v>45195</v>
      </c>
      <c r="G13034" t="str">
        <f t="shared" si="2346"/>
        <v>91329</v>
      </c>
      <c r="H13034">
        <v>2</v>
      </c>
      <c r="I13034">
        <v>436</v>
      </c>
      <c r="J13034">
        <v>0</v>
      </c>
      <c r="K13034" t="str">
        <f t="shared" si="2349"/>
        <v>813</v>
      </c>
      <c r="L13034">
        <v>366.24</v>
      </c>
    </row>
    <row r="13035" spans="1:12" x14ac:dyDescent="0.25">
      <c r="A13035" t="str">
        <f t="shared" si="2340"/>
        <v>89301000</v>
      </c>
      <c r="B13035" t="str">
        <f t="shared" si="2341"/>
        <v>06539000</v>
      </c>
      <c r="C13035" t="str">
        <f t="shared" si="2348"/>
        <v>06539003</v>
      </c>
      <c r="D13035">
        <v>89301171</v>
      </c>
      <c r="E13035" t="str">
        <f t="shared" si="2347"/>
        <v>0508283226</v>
      </c>
      <c r="F13035" s="1">
        <v>45195</v>
      </c>
      <c r="G13035" t="str">
        <f t="shared" si="2346"/>
        <v>91329</v>
      </c>
      <c r="H13035">
        <v>2</v>
      </c>
      <c r="I13035">
        <v>436</v>
      </c>
      <c r="J13035">
        <v>0</v>
      </c>
      <c r="K13035" t="str">
        <f t="shared" si="2349"/>
        <v>813</v>
      </c>
      <c r="L13035">
        <v>366.24</v>
      </c>
    </row>
    <row r="13036" spans="1:12" x14ac:dyDescent="0.25">
      <c r="A13036" t="str">
        <f t="shared" si="2340"/>
        <v>89301000</v>
      </c>
      <c r="B13036" t="str">
        <f t="shared" si="2341"/>
        <v>06539000</v>
      </c>
      <c r="C13036" t="str">
        <f t="shared" si="2348"/>
        <v>06539003</v>
      </c>
      <c r="D13036">
        <v>89301171</v>
      </c>
      <c r="E13036" t="str">
        <f t="shared" si="2347"/>
        <v>0508283226</v>
      </c>
      <c r="F13036" s="1">
        <v>45195</v>
      </c>
      <c r="G13036" t="str">
        <f t="shared" si="2346"/>
        <v>91329</v>
      </c>
      <c r="H13036">
        <v>2</v>
      </c>
      <c r="I13036">
        <v>436</v>
      </c>
      <c r="J13036">
        <v>0</v>
      </c>
      <c r="K13036" t="str">
        <f t="shared" si="2349"/>
        <v>813</v>
      </c>
      <c r="L13036">
        <v>366.24</v>
      </c>
    </row>
    <row r="13037" spans="1:12" x14ac:dyDescent="0.25">
      <c r="A13037" t="str">
        <f t="shared" si="2340"/>
        <v>89301000</v>
      </c>
      <c r="B13037" t="str">
        <f t="shared" si="2341"/>
        <v>06539000</v>
      </c>
      <c r="C13037" t="str">
        <f t="shared" si="2348"/>
        <v>06539003</v>
      </c>
      <c r="D13037">
        <v>89301171</v>
      </c>
      <c r="E13037" t="str">
        <f t="shared" si="2347"/>
        <v>0508283226</v>
      </c>
      <c r="F13037" s="1">
        <v>45195</v>
      </c>
      <c r="G13037" t="str">
        <f t="shared" si="2346"/>
        <v>91329</v>
      </c>
      <c r="H13037">
        <v>2</v>
      </c>
      <c r="I13037">
        <v>436</v>
      </c>
      <c r="J13037">
        <v>0</v>
      </c>
      <c r="K13037" t="str">
        <f t="shared" si="2349"/>
        <v>813</v>
      </c>
      <c r="L13037">
        <v>366.24</v>
      </c>
    </row>
    <row r="13038" spans="1:12" x14ac:dyDescent="0.25">
      <c r="A13038" t="str">
        <f t="shared" si="2340"/>
        <v>89301000</v>
      </c>
      <c r="B13038" t="str">
        <f t="shared" si="2341"/>
        <v>06539000</v>
      </c>
      <c r="C13038" t="str">
        <f t="shared" si="2348"/>
        <v>06539003</v>
      </c>
      <c r="D13038">
        <v>89301171</v>
      </c>
      <c r="E13038" t="str">
        <f t="shared" si="2347"/>
        <v>0508283226</v>
      </c>
      <c r="F13038" s="1">
        <v>45195</v>
      </c>
      <c r="G13038" t="str">
        <f t="shared" si="2346"/>
        <v>91329</v>
      </c>
      <c r="H13038">
        <v>2</v>
      </c>
      <c r="I13038">
        <v>436</v>
      </c>
      <c r="J13038">
        <v>0</v>
      </c>
      <c r="K13038" t="str">
        <f t="shared" si="2349"/>
        <v>813</v>
      </c>
      <c r="L13038">
        <v>366.24</v>
      </c>
    </row>
    <row r="13039" spans="1:12" x14ac:dyDescent="0.25">
      <c r="A13039" t="str">
        <f t="shared" si="2340"/>
        <v>89301000</v>
      </c>
      <c r="B13039" t="str">
        <f t="shared" si="2341"/>
        <v>06539000</v>
      </c>
      <c r="C13039" t="str">
        <f t="shared" si="2348"/>
        <v>06539003</v>
      </c>
      <c r="D13039">
        <v>89301171</v>
      </c>
      <c r="E13039" t="str">
        <f t="shared" si="2347"/>
        <v>0508283226</v>
      </c>
      <c r="F13039" s="1">
        <v>45195</v>
      </c>
      <c r="G13039" t="str">
        <f t="shared" si="2346"/>
        <v>91329</v>
      </c>
      <c r="H13039">
        <v>2</v>
      </c>
      <c r="I13039">
        <v>436</v>
      </c>
      <c r="J13039">
        <v>0</v>
      </c>
      <c r="K13039" t="str">
        <f t="shared" si="2349"/>
        <v>813</v>
      </c>
      <c r="L13039">
        <v>366.24</v>
      </c>
    </row>
    <row r="13040" spans="1:12" x14ac:dyDescent="0.25">
      <c r="A13040" t="str">
        <f t="shared" si="2340"/>
        <v>89301000</v>
      </c>
      <c r="B13040" t="str">
        <f t="shared" si="2341"/>
        <v>06539000</v>
      </c>
      <c r="C13040" t="str">
        <f t="shared" si="2348"/>
        <v>06539003</v>
      </c>
      <c r="D13040">
        <v>89301171</v>
      </c>
      <c r="E13040" t="str">
        <f t="shared" si="2347"/>
        <v>0508283226</v>
      </c>
      <c r="F13040" s="1">
        <v>45194</v>
      </c>
      <c r="G13040" t="str">
        <f>"91129"</f>
        <v>91129</v>
      </c>
      <c r="H13040">
        <v>1</v>
      </c>
      <c r="I13040">
        <v>175</v>
      </c>
      <c r="J13040">
        <v>0</v>
      </c>
      <c r="K13040" t="str">
        <f t="shared" si="2349"/>
        <v>813</v>
      </c>
      <c r="L13040">
        <v>147</v>
      </c>
    </row>
    <row r="13041" spans="1:12" x14ac:dyDescent="0.25">
      <c r="A13041" t="str">
        <f t="shared" si="2340"/>
        <v>89301000</v>
      </c>
      <c r="B13041" t="str">
        <f t="shared" si="2341"/>
        <v>06539000</v>
      </c>
      <c r="C13041" t="str">
        <f t="shared" si="2348"/>
        <v>06539003</v>
      </c>
      <c r="D13041">
        <v>89301171</v>
      </c>
      <c r="E13041" t="str">
        <f t="shared" si="2347"/>
        <v>0508283226</v>
      </c>
      <c r="F13041" s="1">
        <v>45194</v>
      </c>
      <c r="G13041" t="str">
        <f>"91131"</f>
        <v>91131</v>
      </c>
      <c r="H13041">
        <v>1</v>
      </c>
      <c r="I13041">
        <v>171</v>
      </c>
      <c r="J13041">
        <v>0</v>
      </c>
      <c r="K13041" t="str">
        <f t="shared" si="2349"/>
        <v>813</v>
      </c>
      <c r="L13041">
        <v>143.63999999999999</v>
      </c>
    </row>
    <row r="13042" spans="1:12" x14ac:dyDescent="0.25">
      <c r="A13042" t="str">
        <f t="shared" si="2340"/>
        <v>89301000</v>
      </c>
      <c r="B13042" t="str">
        <f t="shared" si="2341"/>
        <v>06539000</v>
      </c>
      <c r="C13042" t="str">
        <f t="shared" si="2348"/>
        <v>06539003</v>
      </c>
      <c r="D13042">
        <v>89301171</v>
      </c>
      <c r="E13042" t="str">
        <f t="shared" si="2347"/>
        <v>0508283226</v>
      </c>
      <c r="F13042" s="1">
        <v>45194</v>
      </c>
      <c r="G13042" t="str">
        <f>"91133"</f>
        <v>91133</v>
      </c>
      <c r="H13042">
        <v>1</v>
      </c>
      <c r="I13042">
        <v>177</v>
      </c>
      <c r="J13042">
        <v>0</v>
      </c>
      <c r="K13042" t="str">
        <f t="shared" si="2349"/>
        <v>813</v>
      </c>
      <c r="L13042">
        <v>148.68</v>
      </c>
    </row>
    <row r="13043" spans="1:12" x14ac:dyDescent="0.25">
      <c r="A13043" t="str">
        <f t="shared" si="2340"/>
        <v>89301000</v>
      </c>
      <c r="B13043" t="str">
        <f t="shared" si="2341"/>
        <v>06539000</v>
      </c>
      <c r="C13043" t="str">
        <f t="shared" si="2348"/>
        <v>06539003</v>
      </c>
      <c r="D13043">
        <v>89301171</v>
      </c>
      <c r="E13043" t="str">
        <f t="shared" si="2347"/>
        <v>0508283226</v>
      </c>
      <c r="F13043" s="1">
        <v>45194</v>
      </c>
      <c r="G13043" t="str">
        <f>"91171"</f>
        <v>91171</v>
      </c>
      <c r="H13043">
        <v>1</v>
      </c>
      <c r="I13043">
        <v>362</v>
      </c>
      <c r="J13043">
        <v>0</v>
      </c>
      <c r="K13043" t="str">
        <f t="shared" si="2349"/>
        <v>813</v>
      </c>
      <c r="L13043">
        <v>304.08</v>
      </c>
    </row>
    <row r="13044" spans="1:12" x14ac:dyDescent="0.25">
      <c r="A13044" t="str">
        <f t="shared" si="2340"/>
        <v>89301000</v>
      </c>
      <c r="B13044" t="str">
        <f t="shared" si="2341"/>
        <v>06539000</v>
      </c>
      <c r="C13044" t="str">
        <f t="shared" si="2348"/>
        <v>06539003</v>
      </c>
      <c r="D13044">
        <v>89301171</v>
      </c>
      <c r="E13044" t="str">
        <f t="shared" si="2347"/>
        <v>0508283226</v>
      </c>
      <c r="F13044" s="1">
        <v>45191</v>
      </c>
      <c r="G13044" t="str">
        <f>"91173"</f>
        <v>91173</v>
      </c>
      <c r="H13044">
        <v>1</v>
      </c>
      <c r="I13044">
        <v>337</v>
      </c>
      <c r="J13044">
        <v>0</v>
      </c>
      <c r="K13044" t="str">
        <f t="shared" si="2349"/>
        <v>813</v>
      </c>
      <c r="L13044">
        <v>283.08</v>
      </c>
    </row>
    <row r="13045" spans="1:12" x14ac:dyDescent="0.25">
      <c r="A13045" t="str">
        <f t="shared" si="2340"/>
        <v>89301000</v>
      </c>
      <c r="B13045" t="str">
        <f t="shared" si="2341"/>
        <v>06539000</v>
      </c>
      <c r="C13045" t="str">
        <f t="shared" si="2348"/>
        <v>06539003</v>
      </c>
      <c r="D13045">
        <v>89301171</v>
      </c>
      <c r="E13045" t="str">
        <f t="shared" si="2347"/>
        <v>0508283226</v>
      </c>
      <c r="F13045" s="1">
        <v>45194</v>
      </c>
      <c r="G13045" t="str">
        <f>"91175"</f>
        <v>91175</v>
      </c>
      <c r="H13045">
        <v>1</v>
      </c>
      <c r="I13045">
        <v>362</v>
      </c>
      <c r="J13045">
        <v>0</v>
      </c>
      <c r="K13045" t="str">
        <f t="shared" si="2349"/>
        <v>813</v>
      </c>
      <c r="L13045">
        <v>304.08</v>
      </c>
    </row>
    <row r="13046" spans="1:12" x14ac:dyDescent="0.25">
      <c r="A13046" t="str">
        <f t="shared" si="2340"/>
        <v>89301000</v>
      </c>
      <c r="B13046" t="str">
        <f t="shared" si="2341"/>
        <v>06539000</v>
      </c>
      <c r="C13046" t="str">
        <f t="shared" si="2348"/>
        <v>06539003</v>
      </c>
      <c r="D13046">
        <v>89301171</v>
      </c>
      <c r="E13046" t="str">
        <f t="shared" si="2347"/>
        <v>0508283226</v>
      </c>
      <c r="F13046" s="1">
        <v>45192</v>
      </c>
      <c r="G13046" t="str">
        <f>"91167"</f>
        <v>91167</v>
      </c>
      <c r="H13046">
        <v>1</v>
      </c>
      <c r="I13046">
        <v>426</v>
      </c>
      <c r="J13046">
        <v>0</v>
      </c>
      <c r="K13046" t="str">
        <f t="shared" si="2349"/>
        <v>813</v>
      </c>
      <c r="L13046">
        <v>357.84</v>
      </c>
    </row>
    <row r="13047" spans="1:12" x14ac:dyDescent="0.25">
      <c r="A13047" t="str">
        <f t="shared" si="2340"/>
        <v>89301000</v>
      </c>
      <c r="B13047" t="str">
        <f t="shared" si="2341"/>
        <v>06539000</v>
      </c>
      <c r="C13047" t="str">
        <f t="shared" si="2348"/>
        <v>06539003</v>
      </c>
      <c r="D13047">
        <v>89301171</v>
      </c>
      <c r="E13047" t="str">
        <f t="shared" si="2347"/>
        <v>0508283226</v>
      </c>
      <c r="F13047" s="1">
        <v>45192</v>
      </c>
      <c r="G13047" t="str">
        <f>"91169"</f>
        <v>91169</v>
      </c>
      <c r="H13047">
        <v>1</v>
      </c>
      <c r="I13047">
        <v>426</v>
      </c>
      <c r="J13047">
        <v>0</v>
      </c>
      <c r="K13047" t="str">
        <f t="shared" si="2349"/>
        <v>813</v>
      </c>
      <c r="L13047">
        <v>357.84</v>
      </c>
    </row>
    <row r="13048" spans="1:12" x14ac:dyDescent="0.25">
      <c r="A13048" t="str">
        <f t="shared" si="2340"/>
        <v>89301000</v>
      </c>
      <c r="B13048" t="str">
        <f t="shared" si="2341"/>
        <v>06539000</v>
      </c>
      <c r="C13048" t="str">
        <f t="shared" si="2348"/>
        <v>06539003</v>
      </c>
      <c r="D13048">
        <v>89301171</v>
      </c>
      <c r="E13048" t="str">
        <f t="shared" si="2347"/>
        <v>0508283226</v>
      </c>
      <c r="F13048" s="1">
        <v>45191</v>
      </c>
      <c r="G13048" t="str">
        <f>"91167"</f>
        <v>91167</v>
      </c>
      <c r="H13048">
        <v>1</v>
      </c>
      <c r="I13048">
        <v>426</v>
      </c>
      <c r="J13048">
        <v>0</v>
      </c>
      <c r="K13048" t="str">
        <f t="shared" si="2349"/>
        <v>813</v>
      </c>
      <c r="L13048">
        <v>357.84</v>
      </c>
    </row>
    <row r="13049" spans="1:12" x14ac:dyDescent="0.25">
      <c r="A13049" t="str">
        <f t="shared" si="2340"/>
        <v>89301000</v>
      </c>
      <c r="B13049" t="str">
        <f t="shared" si="2341"/>
        <v>06539000</v>
      </c>
      <c r="C13049" t="str">
        <f t="shared" si="2348"/>
        <v>06539003</v>
      </c>
      <c r="D13049">
        <v>89301171</v>
      </c>
      <c r="E13049" t="str">
        <f t="shared" si="2347"/>
        <v>0508283226</v>
      </c>
      <c r="F13049" s="1">
        <v>45191</v>
      </c>
      <c r="G13049" t="str">
        <f>"91169"</f>
        <v>91169</v>
      </c>
      <c r="H13049">
        <v>1</v>
      </c>
      <c r="I13049">
        <v>426</v>
      </c>
      <c r="J13049">
        <v>0</v>
      </c>
      <c r="K13049" t="str">
        <f t="shared" si="2349"/>
        <v>813</v>
      </c>
      <c r="L13049">
        <v>357.84</v>
      </c>
    </row>
    <row r="13050" spans="1:12" x14ac:dyDescent="0.25">
      <c r="A13050" t="str">
        <f t="shared" si="2340"/>
        <v>89301000</v>
      </c>
      <c r="B13050" t="str">
        <f t="shared" si="2341"/>
        <v>06539000</v>
      </c>
      <c r="C13050" t="str">
        <f t="shared" si="2348"/>
        <v>06539003</v>
      </c>
      <c r="D13050">
        <v>89301171</v>
      </c>
      <c r="E13050" t="str">
        <f t="shared" si="2347"/>
        <v>0508283226</v>
      </c>
      <c r="F13050" s="1">
        <v>45202</v>
      </c>
      <c r="G13050" t="str">
        <f>"91475"</f>
        <v>91475</v>
      </c>
      <c r="H13050">
        <v>1</v>
      </c>
      <c r="I13050">
        <v>213</v>
      </c>
      <c r="J13050">
        <v>0</v>
      </c>
      <c r="K13050" t="str">
        <f t="shared" si="2349"/>
        <v>813</v>
      </c>
      <c r="L13050">
        <v>178.92</v>
      </c>
    </row>
    <row r="13051" spans="1:12" x14ac:dyDescent="0.25">
      <c r="A13051" t="str">
        <f t="shared" si="2340"/>
        <v>89301000</v>
      </c>
      <c r="B13051" t="str">
        <f t="shared" si="2341"/>
        <v>06539000</v>
      </c>
      <c r="C13051" t="str">
        <f t="shared" si="2348"/>
        <v>06539003</v>
      </c>
      <c r="D13051">
        <v>89301171</v>
      </c>
      <c r="E13051" t="str">
        <f t="shared" ref="E13051:E13078" si="2350">"7102155698"</f>
        <v>7102155698</v>
      </c>
      <c r="F13051" s="1">
        <v>45196</v>
      </c>
      <c r="G13051" t="str">
        <f t="shared" ref="G13051:G13060" si="2351">"91413"</f>
        <v>91413</v>
      </c>
      <c r="H13051">
        <v>1</v>
      </c>
      <c r="I13051">
        <v>868</v>
      </c>
      <c r="J13051">
        <v>0</v>
      </c>
      <c r="K13051" t="str">
        <f t="shared" si="2349"/>
        <v>813</v>
      </c>
      <c r="L13051">
        <v>729.12</v>
      </c>
    </row>
    <row r="13052" spans="1:12" x14ac:dyDescent="0.25">
      <c r="A13052" t="str">
        <f t="shared" si="2340"/>
        <v>89301000</v>
      </c>
      <c r="B13052" t="str">
        <f t="shared" si="2341"/>
        <v>06539000</v>
      </c>
      <c r="C13052" t="str">
        <f t="shared" si="2348"/>
        <v>06539003</v>
      </c>
      <c r="D13052">
        <v>89301171</v>
      </c>
      <c r="E13052" t="str">
        <f t="shared" si="2350"/>
        <v>7102155698</v>
      </c>
      <c r="F13052" s="1">
        <v>45196</v>
      </c>
      <c r="G13052" t="str">
        <f t="shared" si="2351"/>
        <v>91413</v>
      </c>
      <c r="H13052">
        <v>1</v>
      </c>
      <c r="I13052">
        <v>868</v>
      </c>
      <c r="J13052">
        <v>0</v>
      </c>
      <c r="K13052" t="str">
        <f t="shared" si="2349"/>
        <v>813</v>
      </c>
      <c r="L13052">
        <v>729.12</v>
      </c>
    </row>
    <row r="13053" spans="1:12" x14ac:dyDescent="0.25">
      <c r="A13053" t="str">
        <f t="shared" si="2340"/>
        <v>89301000</v>
      </c>
      <c r="B13053" t="str">
        <f t="shared" si="2341"/>
        <v>06539000</v>
      </c>
      <c r="C13053" t="str">
        <f t="shared" si="2348"/>
        <v>06539003</v>
      </c>
      <c r="D13053">
        <v>89301171</v>
      </c>
      <c r="E13053" t="str">
        <f t="shared" si="2350"/>
        <v>7102155698</v>
      </c>
      <c r="F13053" s="1">
        <v>45217</v>
      </c>
      <c r="G13053" t="str">
        <f t="shared" si="2351"/>
        <v>91413</v>
      </c>
      <c r="H13053">
        <v>1</v>
      </c>
      <c r="I13053">
        <v>868</v>
      </c>
      <c r="J13053">
        <v>0</v>
      </c>
      <c r="K13053" t="str">
        <f t="shared" si="2349"/>
        <v>813</v>
      </c>
      <c r="L13053">
        <v>729.12</v>
      </c>
    </row>
    <row r="13054" spans="1:12" x14ac:dyDescent="0.25">
      <c r="A13054" t="str">
        <f t="shared" si="2340"/>
        <v>89301000</v>
      </c>
      <c r="B13054" t="str">
        <f t="shared" si="2341"/>
        <v>06539000</v>
      </c>
      <c r="C13054" t="str">
        <f t="shared" si="2348"/>
        <v>06539003</v>
      </c>
      <c r="D13054">
        <v>89301171</v>
      </c>
      <c r="E13054" t="str">
        <f t="shared" si="2350"/>
        <v>7102155698</v>
      </c>
      <c r="F13054" s="1">
        <v>45217</v>
      </c>
      <c r="G13054" t="str">
        <f t="shared" si="2351"/>
        <v>91413</v>
      </c>
      <c r="H13054">
        <v>1</v>
      </c>
      <c r="I13054">
        <v>868</v>
      </c>
      <c r="J13054">
        <v>0</v>
      </c>
      <c r="K13054" t="str">
        <f t="shared" si="2349"/>
        <v>813</v>
      </c>
      <c r="L13054">
        <v>729.12</v>
      </c>
    </row>
    <row r="13055" spans="1:12" x14ac:dyDescent="0.25">
      <c r="A13055" t="str">
        <f t="shared" si="2340"/>
        <v>89301000</v>
      </c>
      <c r="B13055" t="str">
        <f t="shared" si="2341"/>
        <v>06539000</v>
      </c>
      <c r="C13055" t="str">
        <f t="shared" si="2348"/>
        <v>06539003</v>
      </c>
      <c r="D13055">
        <v>89301171</v>
      </c>
      <c r="E13055" t="str">
        <f t="shared" si="2350"/>
        <v>7102155698</v>
      </c>
      <c r="F13055" s="1">
        <v>45211</v>
      </c>
      <c r="G13055" t="str">
        <f t="shared" si="2351"/>
        <v>91413</v>
      </c>
      <c r="H13055">
        <v>1</v>
      </c>
      <c r="I13055">
        <v>868</v>
      </c>
      <c r="J13055">
        <v>0</v>
      </c>
      <c r="K13055" t="str">
        <f t="shared" si="2349"/>
        <v>813</v>
      </c>
      <c r="L13055">
        <v>729.12</v>
      </c>
    </row>
    <row r="13056" spans="1:12" x14ac:dyDescent="0.25">
      <c r="A13056" t="str">
        <f t="shared" si="2340"/>
        <v>89301000</v>
      </c>
      <c r="B13056" t="str">
        <f t="shared" si="2341"/>
        <v>06539000</v>
      </c>
      <c r="C13056" t="str">
        <f t="shared" si="2348"/>
        <v>06539003</v>
      </c>
      <c r="D13056">
        <v>89301171</v>
      </c>
      <c r="E13056" t="str">
        <f t="shared" si="2350"/>
        <v>7102155698</v>
      </c>
      <c r="F13056" s="1">
        <v>45211</v>
      </c>
      <c r="G13056" t="str">
        <f t="shared" si="2351"/>
        <v>91413</v>
      </c>
      <c r="H13056">
        <v>1</v>
      </c>
      <c r="I13056">
        <v>868</v>
      </c>
      <c r="J13056">
        <v>0</v>
      </c>
      <c r="K13056" t="str">
        <f t="shared" si="2349"/>
        <v>813</v>
      </c>
      <c r="L13056">
        <v>729.12</v>
      </c>
    </row>
    <row r="13057" spans="1:12" x14ac:dyDescent="0.25">
      <c r="A13057" t="str">
        <f t="shared" si="2340"/>
        <v>89301000</v>
      </c>
      <c r="B13057" t="str">
        <f t="shared" si="2341"/>
        <v>06539000</v>
      </c>
      <c r="C13057" t="str">
        <f t="shared" si="2348"/>
        <v>06539003</v>
      </c>
      <c r="D13057">
        <v>89301171</v>
      </c>
      <c r="E13057" t="str">
        <f t="shared" si="2350"/>
        <v>7102155698</v>
      </c>
      <c r="F13057" s="1">
        <v>45217</v>
      </c>
      <c r="G13057" t="str">
        <f t="shared" si="2351"/>
        <v>91413</v>
      </c>
      <c r="H13057">
        <v>1</v>
      </c>
      <c r="I13057">
        <v>868</v>
      </c>
      <c r="J13057">
        <v>0</v>
      </c>
      <c r="K13057" t="str">
        <f t="shared" si="2349"/>
        <v>813</v>
      </c>
      <c r="L13057">
        <v>729.12</v>
      </c>
    </row>
    <row r="13058" spans="1:12" x14ac:dyDescent="0.25">
      <c r="A13058" t="str">
        <f t="shared" ref="A13058:A13121" si="2352">"89301000"</f>
        <v>89301000</v>
      </c>
      <c r="B13058" t="str">
        <f t="shared" si="2341"/>
        <v>06539000</v>
      </c>
      <c r="C13058" t="str">
        <f t="shared" si="2348"/>
        <v>06539003</v>
      </c>
      <c r="D13058">
        <v>89301171</v>
      </c>
      <c r="E13058" t="str">
        <f t="shared" si="2350"/>
        <v>7102155698</v>
      </c>
      <c r="F13058" s="1">
        <v>45217</v>
      </c>
      <c r="G13058" t="str">
        <f t="shared" si="2351"/>
        <v>91413</v>
      </c>
      <c r="H13058">
        <v>1</v>
      </c>
      <c r="I13058">
        <v>868</v>
      </c>
      <c r="J13058">
        <v>0</v>
      </c>
      <c r="K13058" t="str">
        <f t="shared" si="2349"/>
        <v>813</v>
      </c>
      <c r="L13058">
        <v>729.12</v>
      </c>
    </row>
    <row r="13059" spans="1:12" x14ac:dyDescent="0.25">
      <c r="A13059" t="str">
        <f t="shared" si="2352"/>
        <v>89301000</v>
      </c>
      <c r="B13059" t="str">
        <f t="shared" si="2341"/>
        <v>06539000</v>
      </c>
      <c r="C13059" t="str">
        <f t="shared" si="2348"/>
        <v>06539003</v>
      </c>
      <c r="D13059">
        <v>89301171</v>
      </c>
      <c r="E13059" t="str">
        <f t="shared" si="2350"/>
        <v>7102155698</v>
      </c>
      <c r="F13059" s="1">
        <v>45217</v>
      </c>
      <c r="G13059" t="str">
        <f t="shared" si="2351"/>
        <v>91413</v>
      </c>
      <c r="H13059">
        <v>1</v>
      </c>
      <c r="I13059">
        <v>868</v>
      </c>
      <c r="J13059">
        <v>0</v>
      </c>
      <c r="K13059" t="str">
        <f t="shared" si="2349"/>
        <v>813</v>
      </c>
      <c r="L13059">
        <v>729.12</v>
      </c>
    </row>
    <row r="13060" spans="1:12" x14ac:dyDescent="0.25">
      <c r="A13060" t="str">
        <f t="shared" si="2352"/>
        <v>89301000</v>
      </c>
      <c r="B13060" t="str">
        <f t="shared" si="2341"/>
        <v>06539000</v>
      </c>
      <c r="C13060" t="str">
        <f t="shared" si="2348"/>
        <v>06539003</v>
      </c>
      <c r="D13060">
        <v>89301171</v>
      </c>
      <c r="E13060" t="str">
        <f t="shared" si="2350"/>
        <v>7102155698</v>
      </c>
      <c r="F13060" s="1">
        <v>45217</v>
      </c>
      <c r="G13060" t="str">
        <f t="shared" si="2351"/>
        <v>91413</v>
      </c>
      <c r="H13060">
        <v>1</v>
      </c>
      <c r="I13060">
        <v>868</v>
      </c>
      <c r="J13060">
        <v>0</v>
      </c>
      <c r="K13060" t="str">
        <f t="shared" si="2349"/>
        <v>813</v>
      </c>
      <c r="L13060">
        <v>729.12</v>
      </c>
    </row>
    <row r="13061" spans="1:12" x14ac:dyDescent="0.25">
      <c r="A13061" t="str">
        <f t="shared" si="2352"/>
        <v>89301000</v>
      </c>
      <c r="B13061" t="str">
        <f t="shared" ref="B13061:B13124" si="2353">"06539000"</f>
        <v>06539000</v>
      </c>
      <c r="C13061" t="str">
        <f t="shared" si="2348"/>
        <v>06539003</v>
      </c>
      <c r="D13061">
        <v>89301171</v>
      </c>
      <c r="E13061" t="str">
        <f t="shared" si="2350"/>
        <v>7102155698</v>
      </c>
      <c r="F13061" s="1">
        <v>45194</v>
      </c>
      <c r="G13061" t="str">
        <f t="shared" ref="G13061:G13066" si="2354">"91197"</f>
        <v>91197</v>
      </c>
      <c r="H13061">
        <v>1</v>
      </c>
      <c r="I13061">
        <v>1048</v>
      </c>
      <c r="J13061">
        <v>0</v>
      </c>
      <c r="K13061" t="str">
        <f t="shared" si="2349"/>
        <v>813</v>
      </c>
      <c r="L13061">
        <v>880.32</v>
      </c>
    </row>
    <row r="13062" spans="1:12" x14ac:dyDescent="0.25">
      <c r="A13062" t="str">
        <f t="shared" si="2352"/>
        <v>89301000</v>
      </c>
      <c r="B13062" t="str">
        <f t="shared" si="2353"/>
        <v>06539000</v>
      </c>
      <c r="C13062" t="str">
        <f t="shared" si="2348"/>
        <v>06539003</v>
      </c>
      <c r="D13062">
        <v>89301171</v>
      </c>
      <c r="E13062" t="str">
        <f t="shared" si="2350"/>
        <v>7102155698</v>
      </c>
      <c r="F13062" s="1">
        <v>45194</v>
      </c>
      <c r="G13062" t="str">
        <f t="shared" si="2354"/>
        <v>91197</v>
      </c>
      <c r="H13062">
        <v>1</v>
      </c>
      <c r="I13062">
        <v>1048</v>
      </c>
      <c r="J13062">
        <v>0</v>
      </c>
      <c r="K13062" t="str">
        <f t="shared" si="2349"/>
        <v>813</v>
      </c>
      <c r="L13062">
        <v>880.32</v>
      </c>
    </row>
    <row r="13063" spans="1:12" x14ac:dyDescent="0.25">
      <c r="A13063" t="str">
        <f t="shared" si="2352"/>
        <v>89301000</v>
      </c>
      <c r="B13063" t="str">
        <f t="shared" si="2353"/>
        <v>06539000</v>
      </c>
      <c r="C13063" t="str">
        <f t="shared" si="2348"/>
        <v>06539003</v>
      </c>
      <c r="D13063">
        <v>89301171</v>
      </c>
      <c r="E13063" t="str">
        <f t="shared" si="2350"/>
        <v>7102155698</v>
      </c>
      <c r="F13063" s="1">
        <v>45193</v>
      </c>
      <c r="G13063" t="str">
        <f t="shared" si="2354"/>
        <v>91197</v>
      </c>
      <c r="H13063">
        <v>1</v>
      </c>
      <c r="I13063">
        <v>1048</v>
      </c>
      <c r="J13063">
        <v>0</v>
      </c>
      <c r="K13063" t="str">
        <f t="shared" si="2349"/>
        <v>813</v>
      </c>
      <c r="L13063">
        <v>880.32</v>
      </c>
    </row>
    <row r="13064" spans="1:12" x14ac:dyDescent="0.25">
      <c r="A13064" t="str">
        <f t="shared" si="2352"/>
        <v>89301000</v>
      </c>
      <c r="B13064" t="str">
        <f t="shared" si="2353"/>
        <v>06539000</v>
      </c>
      <c r="C13064" t="str">
        <f t="shared" si="2348"/>
        <v>06539003</v>
      </c>
      <c r="D13064">
        <v>89301171</v>
      </c>
      <c r="E13064" t="str">
        <f t="shared" si="2350"/>
        <v>7102155698</v>
      </c>
      <c r="F13064" s="1">
        <v>45193</v>
      </c>
      <c r="G13064" t="str">
        <f t="shared" si="2354"/>
        <v>91197</v>
      </c>
      <c r="H13064">
        <v>1</v>
      </c>
      <c r="I13064">
        <v>1048</v>
      </c>
      <c r="J13064">
        <v>0</v>
      </c>
      <c r="K13064" t="str">
        <f t="shared" si="2349"/>
        <v>813</v>
      </c>
      <c r="L13064">
        <v>880.32</v>
      </c>
    </row>
    <row r="13065" spans="1:12" x14ac:dyDescent="0.25">
      <c r="A13065" t="str">
        <f t="shared" si="2352"/>
        <v>89301000</v>
      </c>
      <c r="B13065" t="str">
        <f t="shared" si="2353"/>
        <v>06539000</v>
      </c>
      <c r="C13065" t="str">
        <f t="shared" ref="C13065:C13096" si="2355">"06539003"</f>
        <v>06539003</v>
      </c>
      <c r="D13065">
        <v>89301171</v>
      </c>
      <c r="E13065" t="str">
        <f t="shared" si="2350"/>
        <v>7102155698</v>
      </c>
      <c r="F13065" s="1">
        <v>45192</v>
      </c>
      <c r="G13065" t="str">
        <f t="shared" si="2354"/>
        <v>91197</v>
      </c>
      <c r="H13065">
        <v>1</v>
      </c>
      <c r="I13065">
        <v>1048</v>
      </c>
      <c r="J13065">
        <v>0</v>
      </c>
      <c r="K13065" t="str">
        <f t="shared" ref="K13065:K13096" si="2356">"813"</f>
        <v>813</v>
      </c>
      <c r="L13065">
        <v>880.32</v>
      </c>
    </row>
    <row r="13066" spans="1:12" x14ac:dyDescent="0.25">
      <c r="A13066" t="str">
        <f t="shared" si="2352"/>
        <v>89301000</v>
      </c>
      <c r="B13066" t="str">
        <f t="shared" si="2353"/>
        <v>06539000</v>
      </c>
      <c r="C13066" t="str">
        <f t="shared" si="2355"/>
        <v>06539003</v>
      </c>
      <c r="D13066">
        <v>89301171</v>
      </c>
      <c r="E13066" t="str">
        <f t="shared" si="2350"/>
        <v>7102155698</v>
      </c>
      <c r="F13066" s="1">
        <v>45192</v>
      </c>
      <c r="G13066" t="str">
        <f t="shared" si="2354"/>
        <v>91197</v>
      </c>
      <c r="H13066">
        <v>1</v>
      </c>
      <c r="I13066">
        <v>1048</v>
      </c>
      <c r="J13066">
        <v>0</v>
      </c>
      <c r="K13066" t="str">
        <f t="shared" si="2356"/>
        <v>813</v>
      </c>
      <c r="L13066">
        <v>880.32</v>
      </c>
    </row>
    <row r="13067" spans="1:12" x14ac:dyDescent="0.25">
      <c r="A13067" t="str">
        <f t="shared" si="2352"/>
        <v>89301000</v>
      </c>
      <c r="B13067" t="str">
        <f t="shared" si="2353"/>
        <v>06539000</v>
      </c>
      <c r="C13067" t="str">
        <f t="shared" si="2355"/>
        <v>06539003</v>
      </c>
      <c r="D13067">
        <v>89301171</v>
      </c>
      <c r="E13067" t="str">
        <f t="shared" si="2350"/>
        <v>7102155698</v>
      </c>
      <c r="F13067" s="1">
        <v>45195</v>
      </c>
      <c r="G13067" t="str">
        <f>"91329"</f>
        <v>91329</v>
      </c>
      <c r="H13067">
        <v>2</v>
      </c>
      <c r="I13067">
        <v>436</v>
      </c>
      <c r="J13067">
        <v>0</v>
      </c>
      <c r="K13067" t="str">
        <f t="shared" si="2356"/>
        <v>813</v>
      </c>
      <c r="L13067">
        <v>366.24</v>
      </c>
    </row>
    <row r="13068" spans="1:12" x14ac:dyDescent="0.25">
      <c r="A13068" t="str">
        <f t="shared" si="2352"/>
        <v>89301000</v>
      </c>
      <c r="B13068" t="str">
        <f t="shared" si="2353"/>
        <v>06539000</v>
      </c>
      <c r="C13068" t="str">
        <f t="shared" si="2355"/>
        <v>06539003</v>
      </c>
      <c r="D13068">
        <v>89301171</v>
      </c>
      <c r="E13068" t="str">
        <f t="shared" si="2350"/>
        <v>7102155698</v>
      </c>
      <c r="F13068" s="1">
        <v>45195</v>
      </c>
      <c r="G13068" t="str">
        <f>"91329"</f>
        <v>91329</v>
      </c>
      <c r="H13068">
        <v>2</v>
      </c>
      <c r="I13068">
        <v>436</v>
      </c>
      <c r="J13068">
        <v>0</v>
      </c>
      <c r="K13068" t="str">
        <f t="shared" si="2356"/>
        <v>813</v>
      </c>
      <c r="L13068">
        <v>366.24</v>
      </c>
    </row>
    <row r="13069" spans="1:12" x14ac:dyDescent="0.25">
      <c r="A13069" t="str">
        <f t="shared" si="2352"/>
        <v>89301000</v>
      </c>
      <c r="B13069" t="str">
        <f t="shared" si="2353"/>
        <v>06539000</v>
      </c>
      <c r="C13069" t="str">
        <f t="shared" si="2355"/>
        <v>06539003</v>
      </c>
      <c r="D13069">
        <v>89301171</v>
      </c>
      <c r="E13069" t="str">
        <f t="shared" si="2350"/>
        <v>7102155698</v>
      </c>
      <c r="F13069" s="1">
        <v>45195</v>
      </c>
      <c r="G13069" t="str">
        <f>"91329"</f>
        <v>91329</v>
      </c>
      <c r="H13069">
        <v>2</v>
      </c>
      <c r="I13069">
        <v>436</v>
      </c>
      <c r="J13069">
        <v>0</v>
      </c>
      <c r="K13069" t="str">
        <f t="shared" si="2356"/>
        <v>813</v>
      </c>
      <c r="L13069">
        <v>366.24</v>
      </c>
    </row>
    <row r="13070" spans="1:12" x14ac:dyDescent="0.25">
      <c r="A13070" t="str">
        <f t="shared" si="2352"/>
        <v>89301000</v>
      </c>
      <c r="B13070" t="str">
        <f t="shared" si="2353"/>
        <v>06539000</v>
      </c>
      <c r="C13070" t="str">
        <f t="shared" si="2355"/>
        <v>06539003</v>
      </c>
      <c r="D13070">
        <v>89301171</v>
      </c>
      <c r="E13070" t="str">
        <f t="shared" si="2350"/>
        <v>7102155698</v>
      </c>
      <c r="F13070" s="1">
        <v>45195</v>
      </c>
      <c r="G13070" t="str">
        <f>"91329"</f>
        <v>91329</v>
      </c>
      <c r="H13070">
        <v>2</v>
      </c>
      <c r="I13070">
        <v>436</v>
      </c>
      <c r="J13070">
        <v>0</v>
      </c>
      <c r="K13070" t="str">
        <f t="shared" si="2356"/>
        <v>813</v>
      </c>
      <c r="L13070">
        <v>366.24</v>
      </c>
    </row>
    <row r="13071" spans="1:12" x14ac:dyDescent="0.25">
      <c r="A13071" t="str">
        <f t="shared" si="2352"/>
        <v>89301000</v>
      </c>
      <c r="B13071" t="str">
        <f t="shared" si="2353"/>
        <v>06539000</v>
      </c>
      <c r="C13071" t="str">
        <f t="shared" si="2355"/>
        <v>06539003</v>
      </c>
      <c r="D13071">
        <v>89301171</v>
      </c>
      <c r="E13071" t="str">
        <f t="shared" si="2350"/>
        <v>7102155698</v>
      </c>
      <c r="F13071" s="1">
        <v>45194</v>
      </c>
      <c r="G13071" t="str">
        <f>"91129"</f>
        <v>91129</v>
      </c>
      <c r="H13071">
        <v>1</v>
      </c>
      <c r="I13071">
        <v>175</v>
      </c>
      <c r="J13071">
        <v>0</v>
      </c>
      <c r="K13071" t="str">
        <f t="shared" si="2356"/>
        <v>813</v>
      </c>
      <c r="L13071">
        <v>147</v>
      </c>
    </row>
    <row r="13072" spans="1:12" x14ac:dyDescent="0.25">
      <c r="A13072" t="str">
        <f t="shared" si="2352"/>
        <v>89301000</v>
      </c>
      <c r="B13072" t="str">
        <f t="shared" si="2353"/>
        <v>06539000</v>
      </c>
      <c r="C13072" t="str">
        <f t="shared" si="2355"/>
        <v>06539003</v>
      </c>
      <c r="D13072">
        <v>89301171</v>
      </c>
      <c r="E13072" t="str">
        <f t="shared" si="2350"/>
        <v>7102155698</v>
      </c>
      <c r="F13072" s="1">
        <v>45194</v>
      </c>
      <c r="G13072" t="str">
        <f>"91131"</f>
        <v>91131</v>
      </c>
      <c r="H13072">
        <v>1</v>
      </c>
      <c r="I13072">
        <v>171</v>
      </c>
      <c r="J13072">
        <v>0</v>
      </c>
      <c r="K13072" t="str">
        <f t="shared" si="2356"/>
        <v>813</v>
      </c>
      <c r="L13072">
        <v>143.63999999999999</v>
      </c>
    </row>
    <row r="13073" spans="1:12" x14ac:dyDescent="0.25">
      <c r="A13073" t="str">
        <f t="shared" si="2352"/>
        <v>89301000</v>
      </c>
      <c r="B13073" t="str">
        <f t="shared" si="2353"/>
        <v>06539000</v>
      </c>
      <c r="C13073" t="str">
        <f t="shared" si="2355"/>
        <v>06539003</v>
      </c>
      <c r="D13073">
        <v>89301171</v>
      </c>
      <c r="E13073" t="str">
        <f t="shared" si="2350"/>
        <v>7102155698</v>
      </c>
      <c r="F13073" s="1">
        <v>45194</v>
      </c>
      <c r="G13073" t="str">
        <f>"91133"</f>
        <v>91133</v>
      </c>
      <c r="H13073">
        <v>1</v>
      </c>
      <c r="I13073">
        <v>177</v>
      </c>
      <c r="J13073">
        <v>0</v>
      </c>
      <c r="K13073" t="str">
        <f t="shared" si="2356"/>
        <v>813</v>
      </c>
      <c r="L13073">
        <v>148.68</v>
      </c>
    </row>
    <row r="13074" spans="1:12" x14ac:dyDescent="0.25">
      <c r="A13074" t="str">
        <f t="shared" si="2352"/>
        <v>89301000</v>
      </c>
      <c r="B13074" t="str">
        <f t="shared" si="2353"/>
        <v>06539000</v>
      </c>
      <c r="C13074" t="str">
        <f t="shared" si="2355"/>
        <v>06539003</v>
      </c>
      <c r="D13074">
        <v>89301171</v>
      </c>
      <c r="E13074" t="str">
        <f t="shared" si="2350"/>
        <v>7102155698</v>
      </c>
      <c r="F13074" s="1">
        <v>45194</v>
      </c>
      <c r="G13074" t="str">
        <f>"91171"</f>
        <v>91171</v>
      </c>
      <c r="H13074">
        <v>1</v>
      </c>
      <c r="I13074">
        <v>362</v>
      </c>
      <c r="J13074">
        <v>0</v>
      </c>
      <c r="K13074" t="str">
        <f t="shared" si="2356"/>
        <v>813</v>
      </c>
      <c r="L13074">
        <v>304.08</v>
      </c>
    </row>
    <row r="13075" spans="1:12" x14ac:dyDescent="0.25">
      <c r="A13075" t="str">
        <f t="shared" si="2352"/>
        <v>89301000</v>
      </c>
      <c r="B13075" t="str">
        <f t="shared" si="2353"/>
        <v>06539000</v>
      </c>
      <c r="C13075" t="str">
        <f t="shared" si="2355"/>
        <v>06539003</v>
      </c>
      <c r="D13075">
        <v>89301171</v>
      </c>
      <c r="E13075" t="str">
        <f t="shared" si="2350"/>
        <v>7102155698</v>
      </c>
      <c r="F13075" s="1">
        <v>45194</v>
      </c>
      <c r="G13075" t="str">
        <f>"91175"</f>
        <v>91175</v>
      </c>
      <c r="H13075">
        <v>1</v>
      </c>
      <c r="I13075">
        <v>362</v>
      </c>
      <c r="J13075">
        <v>0</v>
      </c>
      <c r="K13075" t="str">
        <f t="shared" si="2356"/>
        <v>813</v>
      </c>
      <c r="L13075">
        <v>304.08</v>
      </c>
    </row>
    <row r="13076" spans="1:12" x14ac:dyDescent="0.25">
      <c r="A13076" t="str">
        <f t="shared" si="2352"/>
        <v>89301000</v>
      </c>
      <c r="B13076" t="str">
        <f t="shared" si="2353"/>
        <v>06539000</v>
      </c>
      <c r="C13076" t="str">
        <f t="shared" si="2355"/>
        <v>06539003</v>
      </c>
      <c r="D13076">
        <v>89301171</v>
      </c>
      <c r="E13076" t="str">
        <f t="shared" si="2350"/>
        <v>7102155698</v>
      </c>
      <c r="F13076" s="1">
        <v>45192</v>
      </c>
      <c r="G13076" t="str">
        <f>"91167"</f>
        <v>91167</v>
      </c>
      <c r="H13076">
        <v>1</v>
      </c>
      <c r="I13076">
        <v>426</v>
      </c>
      <c r="J13076">
        <v>0</v>
      </c>
      <c r="K13076" t="str">
        <f t="shared" si="2356"/>
        <v>813</v>
      </c>
      <c r="L13076">
        <v>357.84</v>
      </c>
    </row>
    <row r="13077" spans="1:12" x14ac:dyDescent="0.25">
      <c r="A13077" t="str">
        <f t="shared" si="2352"/>
        <v>89301000</v>
      </c>
      <c r="B13077" t="str">
        <f t="shared" si="2353"/>
        <v>06539000</v>
      </c>
      <c r="C13077" t="str">
        <f t="shared" si="2355"/>
        <v>06539003</v>
      </c>
      <c r="D13077">
        <v>89301171</v>
      </c>
      <c r="E13077" t="str">
        <f t="shared" si="2350"/>
        <v>7102155698</v>
      </c>
      <c r="F13077" s="1">
        <v>45192</v>
      </c>
      <c r="G13077" t="str">
        <f>"91169"</f>
        <v>91169</v>
      </c>
      <c r="H13077">
        <v>1</v>
      </c>
      <c r="I13077">
        <v>426</v>
      </c>
      <c r="J13077">
        <v>0</v>
      </c>
      <c r="K13077" t="str">
        <f t="shared" si="2356"/>
        <v>813</v>
      </c>
      <c r="L13077">
        <v>357.84</v>
      </c>
    </row>
    <row r="13078" spans="1:12" x14ac:dyDescent="0.25">
      <c r="A13078" t="str">
        <f t="shared" si="2352"/>
        <v>89301000</v>
      </c>
      <c r="B13078" t="str">
        <f t="shared" si="2353"/>
        <v>06539000</v>
      </c>
      <c r="C13078" t="str">
        <f t="shared" si="2355"/>
        <v>06539003</v>
      </c>
      <c r="D13078">
        <v>89301171</v>
      </c>
      <c r="E13078" t="str">
        <f t="shared" si="2350"/>
        <v>7102155698</v>
      </c>
      <c r="F13078" s="1">
        <v>45196</v>
      </c>
      <c r="G13078" t="str">
        <f>"91475"</f>
        <v>91475</v>
      </c>
      <c r="H13078">
        <v>1</v>
      </c>
      <c r="I13078">
        <v>213</v>
      </c>
      <c r="J13078">
        <v>0</v>
      </c>
      <c r="K13078" t="str">
        <f t="shared" si="2356"/>
        <v>813</v>
      </c>
      <c r="L13078">
        <v>178.92</v>
      </c>
    </row>
    <row r="13079" spans="1:12" x14ac:dyDescent="0.25">
      <c r="A13079" t="str">
        <f t="shared" si="2352"/>
        <v>89301000</v>
      </c>
      <c r="B13079" t="str">
        <f t="shared" si="2353"/>
        <v>06539000</v>
      </c>
      <c r="C13079" t="str">
        <f t="shared" si="2355"/>
        <v>06539003</v>
      </c>
      <c r="D13079">
        <v>89301171</v>
      </c>
      <c r="E13079" t="str">
        <f t="shared" ref="E13079:E13089" si="2357">"0056016224"</f>
        <v>0056016224</v>
      </c>
      <c r="F13079" s="1">
        <v>45196</v>
      </c>
      <c r="G13079" t="str">
        <f t="shared" ref="G13079:G13088" si="2358">"91413"</f>
        <v>91413</v>
      </c>
      <c r="H13079">
        <v>1</v>
      </c>
      <c r="I13079">
        <v>868</v>
      </c>
      <c r="J13079">
        <v>0</v>
      </c>
      <c r="K13079" t="str">
        <f t="shared" si="2356"/>
        <v>813</v>
      </c>
      <c r="L13079">
        <v>729.12</v>
      </c>
    </row>
    <row r="13080" spans="1:12" x14ac:dyDescent="0.25">
      <c r="A13080" t="str">
        <f t="shared" si="2352"/>
        <v>89301000</v>
      </c>
      <c r="B13080" t="str">
        <f t="shared" si="2353"/>
        <v>06539000</v>
      </c>
      <c r="C13080" t="str">
        <f t="shared" si="2355"/>
        <v>06539003</v>
      </c>
      <c r="D13080">
        <v>89301171</v>
      </c>
      <c r="E13080" t="str">
        <f t="shared" si="2357"/>
        <v>0056016224</v>
      </c>
      <c r="F13080" s="1">
        <v>45196</v>
      </c>
      <c r="G13080" t="str">
        <f t="shared" si="2358"/>
        <v>91413</v>
      </c>
      <c r="H13080">
        <v>1</v>
      </c>
      <c r="I13080">
        <v>868</v>
      </c>
      <c r="J13080">
        <v>0</v>
      </c>
      <c r="K13080" t="str">
        <f t="shared" si="2356"/>
        <v>813</v>
      </c>
      <c r="L13080">
        <v>729.12</v>
      </c>
    </row>
    <row r="13081" spans="1:12" x14ac:dyDescent="0.25">
      <c r="A13081" t="str">
        <f t="shared" si="2352"/>
        <v>89301000</v>
      </c>
      <c r="B13081" t="str">
        <f t="shared" si="2353"/>
        <v>06539000</v>
      </c>
      <c r="C13081" t="str">
        <f t="shared" si="2355"/>
        <v>06539003</v>
      </c>
      <c r="D13081">
        <v>89301171</v>
      </c>
      <c r="E13081" t="str">
        <f t="shared" si="2357"/>
        <v>0056016224</v>
      </c>
      <c r="F13081" s="1">
        <v>45217</v>
      </c>
      <c r="G13081" t="str">
        <f t="shared" si="2358"/>
        <v>91413</v>
      </c>
      <c r="H13081">
        <v>1</v>
      </c>
      <c r="I13081">
        <v>868</v>
      </c>
      <c r="J13081">
        <v>0</v>
      </c>
      <c r="K13081" t="str">
        <f t="shared" si="2356"/>
        <v>813</v>
      </c>
      <c r="L13081">
        <v>729.12</v>
      </c>
    </row>
    <row r="13082" spans="1:12" x14ac:dyDescent="0.25">
      <c r="A13082" t="str">
        <f t="shared" si="2352"/>
        <v>89301000</v>
      </c>
      <c r="B13082" t="str">
        <f t="shared" si="2353"/>
        <v>06539000</v>
      </c>
      <c r="C13082" t="str">
        <f t="shared" si="2355"/>
        <v>06539003</v>
      </c>
      <c r="D13082">
        <v>89301171</v>
      </c>
      <c r="E13082" t="str">
        <f t="shared" si="2357"/>
        <v>0056016224</v>
      </c>
      <c r="F13082" s="1">
        <v>45217</v>
      </c>
      <c r="G13082" t="str">
        <f t="shared" si="2358"/>
        <v>91413</v>
      </c>
      <c r="H13082">
        <v>1</v>
      </c>
      <c r="I13082">
        <v>868</v>
      </c>
      <c r="J13082">
        <v>0</v>
      </c>
      <c r="K13082" t="str">
        <f t="shared" si="2356"/>
        <v>813</v>
      </c>
      <c r="L13082">
        <v>729.12</v>
      </c>
    </row>
    <row r="13083" spans="1:12" x14ac:dyDescent="0.25">
      <c r="A13083" t="str">
        <f t="shared" si="2352"/>
        <v>89301000</v>
      </c>
      <c r="B13083" t="str">
        <f t="shared" si="2353"/>
        <v>06539000</v>
      </c>
      <c r="C13083" t="str">
        <f t="shared" si="2355"/>
        <v>06539003</v>
      </c>
      <c r="D13083">
        <v>89301171</v>
      </c>
      <c r="E13083" t="str">
        <f t="shared" si="2357"/>
        <v>0056016224</v>
      </c>
      <c r="F13083" s="1">
        <v>45212</v>
      </c>
      <c r="G13083" t="str">
        <f t="shared" si="2358"/>
        <v>91413</v>
      </c>
      <c r="H13083">
        <v>1</v>
      </c>
      <c r="I13083">
        <v>868</v>
      </c>
      <c r="J13083">
        <v>0</v>
      </c>
      <c r="K13083" t="str">
        <f t="shared" si="2356"/>
        <v>813</v>
      </c>
      <c r="L13083">
        <v>729.12</v>
      </c>
    </row>
    <row r="13084" spans="1:12" x14ac:dyDescent="0.25">
      <c r="A13084" t="str">
        <f t="shared" si="2352"/>
        <v>89301000</v>
      </c>
      <c r="B13084" t="str">
        <f t="shared" si="2353"/>
        <v>06539000</v>
      </c>
      <c r="C13084" t="str">
        <f t="shared" si="2355"/>
        <v>06539003</v>
      </c>
      <c r="D13084">
        <v>89301171</v>
      </c>
      <c r="E13084" t="str">
        <f t="shared" si="2357"/>
        <v>0056016224</v>
      </c>
      <c r="F13084" s="1">
        <v>45212</v>
      </c>
      <c r="G13084" t="str">
        <f t="shared" si="2358"/>
        <v>91413</v>
      </c>
      <c r="H13084">
        <v>1</v>
      </c>
      <c r="I13084">
        <v>868</v>
      </c>
      <c r="J13084">
        <v>0</v>
      </c>
      <c r="K13084" t="str">
        <f t="shared" si="2356"/>
        <v>813</v>
      </c>
      <c r="L13084">
        <v>729.12</v>
      </c>
    </row>
    <row r="13085" spans="1:12" x14ac:dyDescent="0.25">
      <c r="A13085" t="str">
        <f t="shared" si="2352"/>
        <v>89301000</v>
      </c>
      <c r="B13085" t="str">
        <f t="shared" si="2353"/>
        <v>06539000</v>
      </c>
      <c r="C13085" t="str">
        <f t="shared" si="2355"/>
        <v>06539003</v>
      </c>
      <c r="D13085">
        <v>89301171</v>
      </c>
      <c r="E13085" t="str">
        <f t="shared" si="2357"/>
        <v>0056016224</v>
      </c>
      <c r="F13085" s="1">
        <v>45217</v>
      </c>
      <c r="G13085" t="str">
        <f t="shared" si="2358"/>
        <v>91413</v>
      </c>
      <c r="H13085">
        <v>1</v>
      </c>
      <c r="I13085">
        <v>868</v>
      </c>
      <c r="J13085">
        <v>0</v>
      </c>
      <c r="K13085" t="str">
        <f t="shared" si="2356"/>
        <v>813</v>
      </c>
      <c r="L13085">
        <v>729.12</v>
      </c>
    </row>
    <row r="13086" spans="1:12" x14ac:dyDescent="0.25">
      <c r="A13086" t="str">
        <f t="shared" si="2352"/>
        <v>89301000</v>
      </c>
      <c r="B13086" t="str">
        <f t="shared" si="2353"/>
        <v>06539000</v>
      </c>
      <c r="C13086" t="str">
        <f t="shared" si="2355"/>
        <v>06539003</v>
      </c>
      <c r="D13086">
        <v>89301171</v>
      </c>
      <c r="E13086" t="str">
        <f t="shared" si="2357"/>
        <v>0056016224</v>
      </c>
      <c r="F13086" s="1">
        <v>45217</v>
      </c>
      <c r="G13086" t="str">
        <f t="shared" si="2358"/>
        <v>91413</v>
      </c>
      <c r="H13086">
        <v>1</v>
      </c>
      <c r="I13086">
        <v>868</v>
      </c>
      <c r="J13086">
        <v>0</v>
      </c>
      <c r="K13086" t="str">
        <f t="shared" si="2356"/>
        <v>813</v>
      </c>
      <c r="L13086">
        <v>729.12</v>
      </c>
    </row>
    <row r="13087" spans="1:12" x14ac:dyDescent="0.25">
      <c r="A13087" t="str">
        <f t="shared" si="2352"/>
        <v>89301000</v>
      </c>
      <c r="B13087" t="str">
        <f t="shared" si="2353"/>
        <v>06539000</v>
      </c>
      <c r="C13087" t="str">
        <f t="shared" si="2355"/>
        <v>06539003</v>
      </c>
      <c r="D13087">
        <v>89301171</v>
      </c>
      <c r="E13087" t="str">
        <f t="shared" si="2357"/>
        <v>0056016224</v>
      </c>
      <c r="F13087" s="1">
        <v>45217</v>
      </c>
      <c r="G13087" t="str">
        <f t="shared" si="2358"/>
        <v>91413</v>
      </c>
      <c r="H13087">
        <v>1</v>
      </c>
      <c r="I13087">
        <v>868</v>
      </c>
      <c r="J13087">
        <v>0</v>
      </c>
      <c r="K13087" t="str">
        <f t="shared" si="2356"/>
        <v>813</v>
      </c>
      <c r="L13087">
        <v>729.12</v>
      </c>
    </row>
    <row r="13088" spans="1:12" x14ac:dyDescent="0.25">
      <c r="A13088" t="str">
        <f t="shared" si="2352"/>
        <v>89301000</v>
      </c>
      <c r="B13088" t="str">
        <f t="shared" si="2353"/>
        <v>06539000</v>
      </c>
      <c r="C13088" t="str">
        <f t="shared" si="2355"/>
        <v>06539003</v>
      </c>
      <c r="D13088">
        <v>89301171</v>
      </c>
      <c r="E13088" t="str">
        <f t="shared" si="2357"/>
        <v>0056016224</v>
      </c>
      <c r="F13088" s="1">
        <v>45217</v>
      </c>
      <c r="G13088" t="str">
        <f t="shared" si="2358"/>
        <v>91413</v>
      </c>
      <c r="H13088">
        <v>1</v>
      </c>
      <c r="I13088">
        <v>868</v>
      </c>
      <c r="J13088">
        <v>0</v>
      </c>
      <c r="K13088" t="str">
        <f t="shared" si="2356"/>
        <v>813</v>
      </c>
      <c r="L13088">
        <v>729.12</v>
      </c>
    </row>
    <row r="13089" spans="1:12" x14ac:dyDescent="0.25">
      <c r="A13089" t="str">
        <f t="shared" si="2352"/>
        <v>89301000</v>
      </c>
      <c r="B13089" t="str">
        <f t="shared" si="2353"/>
        <v>06539000</v>
      </c>
      <c r="C13089" t="str">
        <f t="shared" si="2355"/>
        <v>06539003</v>
      </c>
      <c r="D13089">
        <v>89301171</v>
      </c>
      <c r="E13089" t="str">
        <f t="shared" si="2357"/>
        <v>0056016224</v>
      </c>
      <c r="F13089" s="1">
        <v>45217</v>
      </c>
      <c r="G13089" t="str">
        <f>"91475"</f>
        <v>91475</v>
      </c>
      <c r="H13089">
        <v>1</v>
      </c>
      <c r="I13089">
        <v>213</v>
      </c>
      <c r="J13089">
        <v>0</v>
      </c>
      <c r="K13089" t="str">
        <f t="shared" si="2356"/>
        <v>813</v>
      </c>
      <c r="L13089">
        <v>178.92</v>
      </c>
    </row>
    <row r="13090" spans="1:12" x14ac:dyDescent="0.25">
      <c r="A13090" t="str">
        <f t="shared" si="2352"/>
        <v>89301000</v>
      </c>
      <c r="B13090" t="str">
        <f t="shared" si="2353"/>
        <v>06539000</v>
      </c>
      <c r="C13090" t="str">
        <f t="shared" si="2355"/>
        <v>06539003</v>
      </c>
      <c r="D13090">
        <v>89301172</v>
      </c>
      <c r="E13090" t="str">
        <f>"7304074877"</f>
        <v>7304074877</v>
      </c>
      <c r="F13090" s="1">
        <v>45216</v>
      </c>
      <c r="G13090" t="str">
        <f>"91329"</f>
        <v>91329</v>
      </c>
      <c r="H13090">
        <v>2</v>
      </c>
      <c r="I13090">
        <v>436</v>
      </c>
      <c r="J13090">
        <v>0</v>
      </c>
      <c r="K13090" t="str">
        <f t="shared" si="2356"/>
        <v>813</v>
      </c>
      <c r="L13090">
        <v>366.24</v>
      </c>
    </row>
    <row r="13091" spans="1:12" x14ac:dyDescent="0.25">
      <c r="A13091" t="str">
        <f t="shared" si="2352"/>
        <v>89301000</v>
      </c>
      <c r="B13091" t="str">
        <f t="shared" si="2353"/>
        <v>06539000</v>
      </c>
      <c r="C13091" t="str">
        <f t="shared" si="2355"/>
        <v>06539003</v>
      </c>
      <c r="D13091">
        <v>89301172</v>
      </c>
      <c r="E13091" t="str">
        <f>"7304074877"</f>
        <v>7304074877</v>
      </c>
      <c r="F13091" s="1">
        <v>45216</v>
      </c>
      <c r="G13091" t="str">
        <f>"91329"</f>
        <v>91329</v>
      </c>
      <c r="H13091">
        <v>2</v>
      </c>
      <c r="I13091">
        <v>436</v>
      </c>
      <c r="J13091">
        <v>0</v>
      </c>
      <c r="K13091" t="str">
        <f t="shared" si="2356"/>
        <v>813</v>
      </c>
      <c r="L13091">
        <v>366.24</v>
      </c>
    </row>
    <row r="13092" spans="1:12" x14ac:dyDescent="0.25">
      <c r="A13092" t="str">
        <f t="shared" si="2352"/>
        <v>89301000</v>
      </c>
      <c r="B13092" t="str">
        <f t="shared" si="2353"/>
        <v>06539000</v>
      </c>
      <c r="C13092" t="str">
        <f t="shared" si="2355"/>
        <v>06539003</v>
      </c>
      <c r="D13092">
        <v>89301172</v>
      </c>
      <c r="E13092" t="str">
        <f>"7304074877"</f>
        <v>7304074877</v>
      </c>
      <c r="F13092" s="1">
        <v>45202</v>
      </c>
      <c r="G13092" t="str">
        <f>"91329"</f>
        <v>91329</v>
      </c>
      <c r="H13092">
        <v>2</v>
      </c>
      <c r="I13092">
        <v>436</v>
      </c>
      <c r="J13092">
        <v>0</v>
      </c>
      <c r="K13092" t="str">
        <f t="shared" si="2356"/>
        <v>813</v>
      </c>
      <c r="L13092">
        <v>366.24</v>
      </c>
    </row>
    <row r="13093" spans="1:12" x14ac:dyDescent="0.25">
      <c r="A13093" t="str">
        <f t="shared" si="2352"/>
        <v>89301000</v>
      </c>
      <c r="B13093" t="str">
        <f t="shared" si="2353"/>
        <v>06539000</v>
      </c>
      <c r="C13093" t="str">
        <f t="shared" si="2355"/>
        <v>06539003</v>
      </c>
      <c r="D13093">
        <v>89301172</v>
      </c>
      <c r="E13093" t="str">
        <f>"7304074877"</f>
        <v>7304074877</v>
      </c>
      <c r="F13093" s="1">
        <v>45202</v>
      </c>
      <c r="G13093" t="str">
        <f>"91329"</f>
        <v>91329</v>
      </c>
      <c r="H13093">
        <v>2</v>
      </c>
      <c r="I13093">
        <v>436</v>
      </c>
      <c r="J13093">
        <v>0</v>
      </c>
      <c r="K13093" t="str">
        <f t="shared" si="2356"/>
        <v>813</v>
      </c>
      <c r="L13093">
        <v>366.24</v>
      </c>
    </row>
    <row r="13094" spans="1:12" x14ac:dyDescent="0.25">
      <c r="A13094" t="str">
        <f t="shared" si="2352"/>
        <v>89301000</v>
      </c>
      <c r="B13094" t="str">
        <f t="shared" si="2353"/>
        <v>06539000</v>
      </c>
      <c r="C13094" t="str">
        <f t="shared" si="2355"/>
        <v>06539003</v>
      </c>
      <c r="D13094">
        <v>89301172</v>
      </c>
      <c r="E13094" t="str">
        <f>"7304074877"</f>
        <v>7304074877</v>
      </c>
      <c r="F13094" s="1">
        <v>45216</v>
      </c>
      <c r="G13094" t="str">
        <f>"91475"</f>
        <v>91475</v>
      </c>
      <c r="H13094">
        <v>1</v>
      </c>
      <c r="I13094">
        <v>213</v>
      </c>
      <c r="J13094">
        <v>0</v>
      </c>
      <c r="K13094" t="str">
        <f t="shared" si="2356"/>
        <v>813</v>
      </c>
      <c r="L13094">
        <v>178.92</v>
      </c>
    </row>
    <row r="13095" spans="1:12" x14ac:dyDescent="0.25">
      <c r="A13095" t="str">
        <f t="shared" si="2352"/>
        <v>89301000</v>
      </c>
      <c r="B13095" t="str">
        <f t="shared" si="2353"/>
        <v>06539000</v>
      </c>
      <c r="C13095" t="str">
        <f t="shared" si="2355"/>
        <v>06539003</v>
      </c>
      <c r="D13095">
        <v>89301103</v>
      </c>
      <c r="E13095" t="str">
        <f t="shared" ref="E13095:E13105" si="2359">"0906246077"</f>
        <v>0906246077</v>
      </c>
      <c r="F13095" s="1">
        <v>45225</v>
      </c>
      <c r="G13095" t="str">
        <f t="shared" ref="G13095:G13102" si="2360">"91413"</f>
        <v>91413</v>
      </c>
      <c r="H13095">
        <v>1</v>
      </c>
      <c r="I13095">
        <v>868</v>
      </c>
      <c r="J13095">
        <v>0</v>
      </c>
      <c r="K13095" t="str">
        <f t="shared" si="2356"/>
        <v>813</v>
      </c>
      <c r="L13095">
        <v>729.12</v>
      </c>
    </row>
    <row r="13096" spans="1:12" x14ac:dyDescent="0.25">
      <c r="A13096" t="str">
        <f t="shared" si="2352"/>
        <v>89301000</v>
      </c>
      <c r="B13096" t="str">
        <f t="shared" si="2353"/>
        <v>06539000</v>
      </c>
      <c r="C13096" t="str">
        <f t="shared" si="2355"/>
        <v>06539003</v>
      </c>
      <c r="D13096">
        <v>89301103</v>
      </c>
      <c r="E13096" t="str">
        <f t="shared" si="2359"/>
        <v>0906246077</v>
      </c>
      <c r="F13096" s="1">
        <v>45225</v>
      </c>
      <c r="G13096" t="str">
        <f t="shared" si="2360"/>
        <v>91413</v>
      </c>
      <c r="H13096">
        <v>1</v>
      </c>
      <c r="I13096">
        <v>868</v>
      </c>
      <c r="J13096">
        <v>0</v>
      </c>
      <c r="K13096" t="str">
        <f t="shared" si="2356"/>
        <v>813</v>
      </c>
      <c r="L13096">
        <v>729.12</v>
      </c>
    </row>
    <row r="13097" spans="1:12" x14ac:dyDescent="0.25">
      <c r="A13097" t="str">
        <f t="shared" si="2352"/>
        <v>89301000</v>
      </c>
      <c r="B13097" t="str">
        <f t="shared" si="2353"/>
        <v>06539000</v>
      </c>
      <c r="C13097" t="str">
        <f t="shared" ref="C13097:C13105" si="2361">"06539003"</f>
        <v>06539003</v>
      </c>
      <c r="D13097">
        <v>89301103</v>
      </c>
      <c r="E13097" t="str">
        <f t="shared" si="2359"/>
        <v>0906246077</v>
      </c>
      <c r="F13097" s="1">
        <v>45224</v>
      </c>
      <c r="G13097" t="str">
        <f t="shared" si="2360"/>
        <v>91413</v>
      </c>
      <c r="H13097">
        <v>1</v>
      </c>
      <c r="I13097">
        <v>868</v>
      </c>
      <c r="J13097">
        <v>0</v>
      </c>
      <c r="K13097" t="str">
        <f t="shared" ref="K13097:K13105" si="2362">"813"</f>
        <v>813</v>
      </c>
      <c r="L13097">
        <v>729.12</v>
      </c>
    </row>
    <row r="13098" spans="1:12" x14ac:dyDescent="0.25">
      <c r="A13098" t="str">
        <f t="shared" si="2352"/>
        <v>89301000</v>
      </c>
      <c r="B13098" t="str">
        <f t="shared" si="2353"/>
        <v>06539000</v>
      </c>
      <c r="C13098" t="str">
        <f t="shared" si="2361"/>
        <v>06539003</v>
      </c>
      <c r="D13098">
        <v>89301103</v>
      </c>
      <c r="E13098" t="str">
        <f t="shared" si="2359"/>
        <v>0906246077</v>
      </c>
      <c r="F13098" s="1">
        <v>45224</v>
      </c>
      <c r="G13098" t="str">
        <f t="shared" si="2360"/>
        <v>91413</v>
      </c>
      <c r="H13098">
        <v>1</v>
      </c>
      <c r="I13098">
        <v>868</v>
      </c>
      <c r="J13098">
        <v>0</v>
      </c>
      <c r="K13098" t="str">
        <f t="shared" si="2362"/>
        <v>813</v>
      </c>
      <c r="L13098">
        <v>729.12</v>
      </c>
    </row>
    <row r="13099" spans="1:12" x14ac:dyDescent="0.25">
      <c r="A13099" t="str">
        <f t="shared" si="2352"/>
        <v>89301000</v>
      </c>
      <c r="B13099" t="str">
        <f t="shared" si="2353"/>
        <v>06539000</v>
      </c>
      <c r="C13099" t="str">
        <f t="shared" si="2361"/>
        <v>06539003</v>
      </c>
      <c r="D13099">
        <v>89301103</v>
      </c>
      <c r="E13099" t="str">
        <f t="shared" si="2359"/>
        <v>0906246077</v>
      </c>
      <c r="F13099" s="1">
        <v>45225</v>
      </c>
      <c r="G13099" t="str">
        <f t="shared" si="2360"/>
        <v>91413</v>
      </c>
      <c r="H13099">
        <v>1</v>
      </c>
      <c r="I13099">
        <v>868</v>
      </c>
      <c r="J13099">
        <v>0</v>
      </c>
      <c r="K13099" t="str">
        <f t="shared" si="2362"/>
        <v>813</v>
      </c>
      <c r="L13099">
        <v>729.12</v>
      </c>
    </row>
    <row r="13100" spans="1:12" x14ac:dyDescent="0.25">
      <c r="A13100" t="str">
        <f t="shared" si="2352"/>
        <v>89301000</v>
      </c>
      <c r="B13100" t="str">
        <f t="shared" si="2353"/>
        <v>06539000</v>
      </c>
      <c r="C13100" t="str">
        <f t="shared" si="2361"/>
        <v>06539003</v>
      </c>
      <c r="D13100">
        <v>89301103</v>
      </c>
      <c r="E13100" t="str">
        <f t="shared" si="2359"/>
        <v>0906246077</v>
      </c>
      <c r="F13100" s="1">
        <v>45225</v>
      </c>
      <c r="G13100" t="str">
        <f t="shared" si="2360"/>
        <v>91413</v>
      </c>
      <c r="H13100">
        <v>1</v>
      </c>
      <c r="I13100">
        <v>868</v>
      </c>
      <c r="J13100">
        <v>0</v>
      </c>
      <c r="K13100" t="str">
        <f t="shared" si="2362"/>
        <v>813</v>
      </c>
      <c r="L13100">
        <v>729.12</v>
      </c>
    </row>
    <row r="13101" spans="1:12" x14ac:dyDescent="0.25">
      <c r="A13101" t="str">
        <f t="shared" si="2352"/>
        <v>89301000</v>
      </c>
      <c r="B13101" t="str">
        <f t="shared" si="2353"/>
        <v>06539000</v>
      </c>
      <c r="C13101" t="str">
        <f t="shared" si="2361"/>
        <v>06539003</v>
      </c>
      <c r="D13101">
        <v>89301103</v>
      </c>
      <c r="E13101" t="str">
        <f t="shared" si="2359"/>
        <v>0906246077</v>
      </c>
      <c r="F13101" s="1">
        <v>45225</v>
      </c>
      <c r="G13101" t="str">
        <f t="shared" si="2360"/>
        <v>91413</v>
      </c>
      <c r="H13101">
        <v>1</v>
      </c>
      <c r="I13101">
        <v>868</v>
      </c>
      <c r="J13101">
        <v>0</v>
      </c>
      <c r="K13101" t="str">
        <f t="shared" si="2362"/>
        <v>813</v>
      </c>
      <c r="L13101">
        <v>729.12</v>
      </c>
    </row>
    <row r="13102" spans="1:12" x14ac:dyDescent="0.25">
      <c r="A13102" t="str">
        <f t="shared" si="2352"/>
        <v>89301000</v>
      </c>
      <c r="B13102" t="str">
        <f t="shared" si="2353"/>
        <v>06539000</v>
      </c>
      <c r="C13102" t="str">
        <f t="shared" si="2361"/>
        <v>06539003</v>
      </c>
      <c r="D13102">
        <v>89301103</v>
      </c>
      <c r="E13102" t="str">
        <f t="shared" si="2359"/>
        <v>0906246077</v>
      </c>
      <c r="F13102" s="1">
        <v>45225</v>
      </c>
      <c r="G13102" t="str">
        <f t="shared" si="2360"/>
        <v>91413</v>
      </c>
      <c r="H13102">
        <v>1</v>
      </c>
      <c r="I13102">
        <v>868</v>
      </c>
      <c r="J13102">
        <v>0</v>
      </c>
      <c r="K13102" t="str">
        <f t="shared" si="2362"/>
        <v>813</v>
      </c>
      <c r="L13102">
        <v>729.12</v>
      </c>
    </row>
    <row r="13103" spans="1:12" x14ac:dyDescent="0.25">
      <c r="A13103" t="str">
        <f t="shared" si="2352"/>
        <v>89301000</v>
      </c>
      <c r="B13103" t="str">
        <f t="shared" si="2353"/>
        <v>06539000</v>
      </c>
      <c r="C13103" t="str">
        <f t="shared" si="2361"/>
        <v>06539003</v>
      </c>
      <c r="D13103">
        <v>89301103</v>
      </c>
      <c r="E13103" t="str">
        <f t="shared" si="2359"/>
        <v>0906246077</v>
      </c>
      <c r="F13103" s="1">
        <v>45225</v>
      </c>
      <c r="G13103" t="str">
        <f>"91329"</f>
        <v>91329</v>
      </c>
      <c r="H13103">
        <v>2</v>
      </c>
      <c r="I13103">
        <v>436</v>
      </c>
      <c r="J13103">
        <v>0</v>
      </c>
      <c r="K13103" t="str">
        <f t="shared" si="2362"/>
        <v>813</v>
      </c>
      <c r="L13103">
        <v>366.24</v>
      </c>
    </row>
    <row r="13104" spans="1:12" x14ac:dyDescent="0.25">
      <c r="A13104" t="str">
        <f t="shared" si="2352"/>
        <v>89301000</v>
      </c>
      <c r="B13104" t="str">
        <f t="shared" si="2353"/>
        <v>06539000</v>
      </c>
      <c r="C13104" t="str">
        <f t="shared" si="2361"/>
        <v>06539003</v>
      </c>
      <c r="D13104">
        <v>89301103</v>
      </c>
      <c r="E13104" t="str">
        <f t="shared" si="2359"/>
        <v>0906246077</v>
      </c>
      <c r="F13104" s="1">
        <v>45225</v>
      </c>
      <c r="G13104" t="str">
        <f>"91329"</f>
        <v>91329</v>
      </c>
      <c r="H13104">
        <v>2</v>
      </c>
      <c r="I13104">
        <v>436</v>
      </c>
      <c r="J13104">
        <v>0</v>
      </c>
      <c r="K13104" t="str">
        <f t="shared" si="2362"/>
        <v>813</v>
      </c>
      <c r="L13104">
        <v>366.24</v>
      </c>
    </row>
    <row r="13105" spans="1:12" x14ac:dyDescent="0.25">
      <c r="A13105" t="str">
        <f t="shared" si="2352"/>
        <v>89301000</v>
      </c>
      <c r="B13105" t="str">
        <f t="shared" si="2353"/>
        <v>06539000</v>
      </c>
      <c r="C13105" t="str">
        <f t="shared" si="2361"/>
        <v>06539003</v>
      </c>
      <c r="D13105">
        <v>89301103</v>
      </c>
      <c r="E13105" t="str">
        <f t="shared" si="2359"/>
        <v>0906246077</v>
      </c>
      <c r="F13105" s="1">
        <v>45225</v>
      </c>
      <c r="G13105" t="str">
        <f>"91475"</f>
        <v>91475</v>
      </c>
      <c r="H13105">
        <v>1</v>
      </c>
      <c r="I13105">
        <v>213</v>
      </c>
      <c r="J13105">
        <v>0</v>
      </c>
      <c r="K13105" t="str">
        <f t="shared" si="2362"/>
        <v>813</v>
      </c>
      <c r="L13105">
        <v>178.92</v>
      </c>
    </row>
    <row r="13106" spans="1:12" x14ac:dyDescent="0.25">
      <c r="A13106" t="str">
        <f t="shared" si="2352"/>
        <v>89301000</v>
      </c>
      <c r="B13106" t="str">
        <f t="shared" si="2353"/>
        <v>06539000</v>
      </c>
      <c r="C13106" t="str">
        <f>"06539001"</f>
        <v>06539001</v>
      </c>
      <c r="D13106">
        <v>89301171</v>
      </c>
      <c r="E13106" t="str">
        <f t="shared" ref="E13106:E13147" si="2363">"6910214894"</f>
        <v>6910214894</v>
      </c>
      <c r="F13106" s="1">
        <v>45205</v>
      </c>
      <c r="G13106" t="str">
        <f>"81329"</f>
        <v>81329</v>
      </c>
      <c r="H13106">
        <v>1</v>
      </c>
      <c r="I13106">
        <v>17</v>
      </c>
      <c r="J13106">
        <v>0</v>
      </c>
      <c r="K13106" t="str">
        <f>"801"</f>
        <v>801</v>
      </c>
      <c r="L13106">
        <v>14.28</v>
      </c>
    </row>
    <row r="13107" spans="1:12" x14ac:dyDescent="0.25">
      <c r="A13107" t="str">
        <f t="shared" si="2352"/>
        <v>89301000</v>
      </c>
      <c r="B13107" t="str">
        <f t="shared" si="2353"/>
        <v>06539000</v>
      </c>
      <c r="C13107" t="str">
        <f>"06539001"</f>
        <v>06539001</v>
      </c>
      <c r="D13107">
        <v>89301171</v>
      </c>
      <c r="E13107" t="str">
        <f t="shared" si="2363"/>
        <v>6910214894</v>
      </c>
      <c r="F13107" s="1">
        <v>45205</v>
      </c>
      <c r="G13107" t="str">
        <f>"81331"</f>
        <v>81331</v>
      </c>
      <c r="H13107">
        <v>1</v>
      </c>
      <c r="I13107">
        <v>193</v>
      </c>
      <c r="J13107">
        <v>0</v>
      </c>
      <c r="K13107" t="str">
        <f>"801"</f>
        <v>801</v>
      </c>
      <c r="L13107">
        <v>162.12</v>
      </c>
    </row>
    <row r="13108" spans="1:12" x14ac:dyDescent="0.25">
      <c r="A13108" t="str">
        <f t="shared" si="2352"/>
        <v>89301000</v>
      </c>
      <c r="B13108" t="str">
        <f t="shared" si="2353"/>
        <v>06539000</v>
      </c>
      <c r="C13108" t="str">
        <f t="shared" ref="C13108:C13115" si="2364">"06539002"</f>
        <v>06539002</v>
      </c>
      <c r="D13108">
        <v>89301171</v>
      </c>
      <c r="E13108" t="str">
        <f t="shared" si="2363"/>
        <v>6910214894</v>
      </c>
      <c r="F13108" s="1">
        <v>45205</v>
      </c>
      <c r="G13108" t="str">
        <f t="shared" ref="G13108:G13115" si="2365">"82097"</f>
        <v>82097</v>
      </c>
      <c r="H13108">
        <v>1</v>
      </c>
      <c r="I13108">
        <v>381</v>
      </c>
      <c r="J13108">
        <v>0</v>
      </c>
      <c r="K13108" t="str">
        <f t="shared" ref="K13108:K13115" si="2366">"802"</f>
        <v>802</v>
      </c>
      <c r="L13108">
        <v>369.57</v>
      </c>
    </row>
    <row r="13109" spans="1:12" x14ac:dyDescent="0.25">
      <c r="A13109" t="str">
        <f t="shared" si="2352"/>
        <v>89301000</v>
      </c>
      <c r="B13109" t="str">
        <f t="shared" si="2353"/>
        <v>06539000</v>
      </c>
      <c r="C13109" t="str">
        <f t="shared" si="2364"/>
        <v>06539002</v>
      </c>
      <c r="D13109">
        <v>89301171</v>
      </c>
      <c r="E13109" t="str">
        <f t="shared" si="2363"/>
        <v>6910214894</v>
      </c>
      <c r="F13109" s="1">
        <v>45205</v>
      </c>
      <c r="G13109" t="str">
        <f t="shared" si="2365"/>
        <v>82097</v>
      </c>
      <c r="H13109">
        <v>1</v>
      </c>
      <c r="I13109">
        <v>381</v>
      </c>
      <c r="J13109">
        <v>0</v>
      </c>
      <c r="K13109" t="str">
        <f t="shared" si="2366"/>
        <v>802</v>
      </c>
      <c r="L13109">
        <v>369.57</v>
      </c>
    </row>
    <row r="13110" spans="1:12" x14ac:dyDescent="0.25">
      <c r="A13110" t="str">
        <f t="shared" si="2352"/>
        <v>89301000</v>
      </c>
      <c r="B13110" t="str">
        <f t="shared" si="2353"/>
        <v>06539000</v>
      </c>
      <c r="C13110" t="str">
        <f t="shared" si="2364"/>
        <v>06539002</v>
      </c>
      <c r="D13110">
        <v>89301171</v>
      </c>
      <c r="E13110" t="str">
        <f t="shared" si="2363"/>
        <v>6910214894</v>
      </c>
      <c r="F13110" s="1">
        <v>45205</v>
      </c>
      <c r="G13110" t="str">
        <f t="shared" si="2365"/>
        <v>82097</v>
      </c>
      <c r="H13110">
        <v>1</v>
      </c>
      <c r="I13110">
        <v>381</v>
      </c>
      <c r="J13110">
        <v>0</v>
      </c>
      <c r="K13110" t="str">
        <f t="shared" si="2366"/>
        <v>802</v>
      </c>
      <c r="L13110">
        <v>369.57</v>
      </c>
    </row>
    <row r="13111" spans="1:12" x14ac:dyDescent="0.25">
      <c r="A13111" t="str">
        <f t="shared" si="2352"/>
        <v>89301000</v>
      </c>
      <c r="B13111" t="str">
        <f t="shared" si="2353"/>
        <v>06539000</v>
      </c>
      <c r="C13111" t="str">
        <f t="shared" si="2364"/>
        <v>06539002</v>
      </c>
      <c r="D13111">
        <v>89301171</v>
      </c>
      <c r="E13111" t="str">
        <f t="shared" si="2363"/>
        <v>6910214894</v>
      </c>
      <c r="F13111" s="1">
        <v>45205</v>
      </c>
      <c r="G13111" t="str">
        <f t="shared" si="2365"/>
        <v>82097</v>
      </c>
      <c r="H13111">
        <v>1</v>
      </c>
      <c r="I13111">
        <v>381</v>
      </c>
      <c r="J13111">
        <v>0</v>
      </c>
      <c r="K13111" t="str">
        <f t="shared" si="2366"/>
        <v>802</v>
      </c>
      <c r="L13111">
        <v>369.57</v>
      </c>
    </row>
    <row r="13112" spans="1:12" x14ac:dyDescent="0.25">
      <c r="A13112" t="str">
        <f t="shared" si="2352"/>
        <v>89301000</v>
      </c>
      <c r="B13112" t="str">
        <f t="shared" si="2353"/>
        <v>06539000</v>
      </c>
      <c r="C13112" t="str">
        <f t="shared" si="2364"/>
        <v>06539002</v>
      </c>
      <c r="D13112">
        <v>89301171</v>
      </c>
      <c r="E13112" t="str">
        <f t="shared" si="2363"/>
        <v>6910214894</v>
      </c>
      <c r="F13112" s="1">
        <v>45205</v>
      </c>
      <c r="G13112" t="str">
        <f t="shared" si="2365"/>
        <v>82097</v>
      </c>
      <c r="H13112">
        <v>1</v>
      </c>
      <c r="I13112">
        <v>381</v>
      </c>
      <c r="J13112">
        <v>0</v>
      </c>
      <c r="K13112" t="str">
        <f t="shared" si="2366"/>
        <v>802</v>
      </c>
      <c r="L13112">
        <v>369.57</v>
      </c>
    </row>
    <row r="13113" spans="1:12" x14ac:dyDescent="0.25">
      <c r="A13113" t="str">
        <f t="shared" si="2352"/>
        <v>89301000</v>
      </c>
      <c r="B13113" t="str">
        <f t="shared" si="2353"/>
        <v>06539000</v>
      </c>
      <c r="C13113" t="str">
        <f t="shared" si="2364"/>
        <v>06539002</v>
      </c>
      <c r="D13113">
        <v>89301171</v>
      </c>
      <c r="E13113" t="str">
        <f t="shared" si="2363"/>
        <v>6910214894</v>
      </c>
      <c r="F13113" s="1">
        <v>45205</v>
      </c>
      <c r="G13113" t="str">
        <f t="shared" si="2365"/>
        <v>82097</v>
      </c>
      <c r="H13113">
        <v>1</v>
      </c>
      <c r="I13113">
        <v>381</v>
      </c>
      <c r="J13113">
        <v>0</v>
      </c>
      <c r="K13113" t="str">
        <f t="shared" si="2366"/>
        <v>802</v>
      </c>
      <c r="L13113">
        <v>369.57</v>
      </c>
    </row>
    <row r="13114" spans="1:12" x14ac:dyDescent="0.25">
      <c r="A13114" t="str">
        <f t="shared" si="2352"/>
        <v>89301000</v>
      </c>
      <c r="B13114" t="str">
        <f t="shared" si="2353"/>
        <v>06539000</v>
      </c>
      <c r="C13114" t="str">
        <f t="shared" si="2364"/>
        <v>06539002</v>
      </c>
      <c r="D13114">
        <v>89301171</v>
      </c>
      <c r="E13114" t="str">
        <f t="shared" si="2363"/>
        <v>6910214894</v>
      </c>
      <c r="F13114" s="1">
        <v>45205</v>
      </c>
      <c r="G13114" t="str">
        <f t="shared" si="2365"/>
        <v>82097</v>
      </c>
      <c r="H13114">
        <v>1</v>
      </c>
      <c r="I13114">
        <v>381</v>
      </c>
      <c r="J13114">
        <v>0</v>
      </c>
      <c r="K13114" t="str">
        <f t="shared" si="2366"/>
        <v>802</v>
      </c>
      <c r="L13114">
        <v>369.57</v>
      </c>
    </row>
    <row r="13115" spans="1:12" x14ac:dyDescent="0.25">
      <c r="A13115" t="str">
        <f t="shared" si="2352"/>
        <v>89301000</v>
      </c>
      <c r="B13115" t="str">
        <f t="shared" si="2353"/>
        <v>06539000</v>
      </c>
      <c r="C13115" t="str">
        <f t="shared" si="2364"/>
        <v>06539002</v>
      </c>
      <c r="D13115">
        <v>89301171</v>
      </c>
      <c r="E13115" t="str">
        <f t="shared" si="2363"/>
        <v>6910214894</v>
      </c>
      <c r="F13115" s="1">
        <v>45205</v>
      </c>
      <c r="G13115" t="str">
        <f t="shared" si="2365"/>
        <v>82097</v>
      </c>
      <c r="H13115">
        <v>1</v>
      </c>
      <c r="I13115">
        <v>381</v>
      </c>
      <c r="J13115">
        <v>0</v>
      </c>
      <c r="K13115" t="str">
        <f t="shared" si="2366"/>
        <v>802</v>
      </c>
      <c r="L13115">
        <v>369.57</v>
      </c>
    </row>
    <row r="13116" spans="1:12" x14ac:dyDescent="0.25">
      <c r="A13116" t="str">
        <f t="shared" si="2352"/>
        <v>89301000</v>
      </c>
      <c r="B13116" t="str">
        <f t="shared" si="2353"/>
        <v>06539000</v>
      </c>
      <c r="C13116" t="str">
        <f t="shared" ref="C13116:C13157" si="2367">"06539003"</f>
        <v>06539003</v>
      </c>
      <c r="D13116">
        <v>89301171</v>
      </c>
      <c r="E13116" t="str">
        <f t="shared" si="2363"/>
        <v>6910214894</v>
      </c>
      <c r="F13116" s="1">
        <v>45210</v>
      </c>
      <c r="G13116" t="str">
        <f t="shared" ref="G13116:G13125" si="2368">"91413"</f>
        <v>91413</v>
      </c>
      <c r="H13116">
        <v>1</v>
      </c>
      <c r="I13116">
        <v>868</v>
      </c>
      <c r="J13116">
        <v>0</v>
      </c>
      <c r="K13116" t="str">
        <f t="shared" ref="K13116:K13157" si="2369">"813"</f>
        <v>813</v>
      </c>
      <c r="L13116">
        <v>729.12</v>
      </c>
    </row>
    <row r="13117" spans="1:12" x14ac:dyDescent="0.25">
      <c r="A13117" t="str">
        <f t="shared" si="2352"/>
        <v>89301000</v>
      </c>
      <c r="B13117" t="str">
        <f t="shared" si="2353"/>
        <v>06539000</v>
      </c>
      <c r="C13117" t="str">
        <f t="shared" si="2367"/>
        <v>06539003</v>
      </c>
      <c r="D13117">
        <v>89301171</v>
      </c>
      <c r="E13117" t="str">
        <f t="shared" si="2363"/>
        <v>6910214894</v>
      </c>
      <c r="F13117" s="1">
        <v>45210</v>
      </c>
      <c r="G13117" t="str">
        <f t="shared" si="2368"/>
        <v>91413</v>
      </c>
      <c r="H13117">
        <v>1</v>
      </c>
      <c r="I13117">
        <v>868</v>
      </c>
      <c r="J13117">
        <v>0</v>
      </c>
      <c r="K13117" t="str">
        <f t="shared" si="2369"/>
        <v>813</v>
      </c>
      <c r="L13117">
        <v>729.12</v>
      </c>
    </row>
    <row r="13118" spans="1:12" x14ac:dyDescent="0.25">
      <c r="A13118" t="str">
        <f t="shared" si="2352"/>
        <v>89301000</v>
      </c>
      <c r="B13118" t="str">
        <f t="shared" si="2353"/>
        <v>06539000</v>
      </c>
      <c r="C13118" t="str">
        <f t="shared" si="2367"/>
        <v>06539003</v>
      </c>
      <c r="D13118">
        <v>89301171</v>
      </c>
      <c r="E13118" t="str">
        <f t="shared" si="2363"/>
        <v>6910214894</v>
      </c>
      <c r="F13118" s="1">
        <v>45225</v>
      </c>
      <c r="G13118" t="str">
        <f t="shared" si="2368"/>
        <v>91413</v>
      </c>
      <c r="H13118">
        <v>1</v>
      </c>
      <c r="I13118">
        <v>868</v>
      </c>
      <c r="J13118">
        <v>0</v>
      </c>
      <c r="K13118" t="str">
        <f t="shared" si="2369"/>
        <v>813</v>
      </c>
      <c r="L13118">
        <v>729.12</v>
      </c>
    </row>
    <row r="13119" spans="1:12" x14ac:dyDescent="0.25">
      <c r="A13119" t="str">
        <f t="shared" si="2352"/>
        <v>89301000</v>
      </c>
      <c r="B13119" t="str">
        <f t="shared" si="2353"/>
        <v>06539000</v>
      </c>
      <c r="C13119" t="str">
        <f t="shared" si="2367"/>
        <v>06539003</v>
      </c>
      <c r="D13119">
        <v>89301171</v>
      </c>
      <c r="E13119" t="str">
        <f t="shared" si="2363"/>
        <v>6910214894</v>
      </c>
      <c r="F13119" s="1">
        <v>45225</v>
      </c>
      <c r="G13119" t="str">
        <f t="shared" si="2368"/>
        <v>91413</v>
      </c>
      <c r="H13119">
        <v>1</v>
      </c>
      <c r="I13119">
        <v>868</v>
      </c>
      <c r="J13119">
        <v>0</v>
      </c>
      <c r="K13119" t="str">
        <f t="shared" si="2369"/>
        <v>813</v>
      </c>
      <c r="L13119">
        <v>729.12</v>
      </c>
    </row>
    <row r="13120" spans="1:12" x14ac:dyDescent="0.25">
      <c r="A13120" t="str">
        <f t="shared" si="2352"/>
        <v>89301000</v>
      </c>
      <c r="B13120" t="str">
        <f t="shared" si="2353"/>
        <v>06539000</v>
      </c>
      <c r="C13120" t="str">
        <f t="shared" si="2367"/>
        <v>06539003</v>
      </c>
      <c r="D13120">
        <v>89301171</v>
      </c>
      <c r="E13120" t="str">
        <f t="shared" si="2363"/>
        <v>6910214894</v>
      </c>
      <c r="F13120" s="1">
        <v>45224</v>
      </c>
      <c r="G13120" t="str">
        <f t="shared" si="2368"/>
        <v>91413</v>
      </c>
      <c r="H13120">
        <v>1</v>
      </c>
      <c r="I13120">
        <v>868</v>
      </c>
      <c r="J13120">
        <v>0</v>
      </c>
      <c r="K13120" t="str">
        <f t="shared" si="2369"/>
        <v>813</v>
      </c>
      <c r="L13120">
        <v>729.12</v>
      </c>
    </row>
    <row r="13121" spans="1:12" x14ac:dyDescent="0.25">
      <c r="A13121" t="str">
        <f t="shared" si="2352"/>
        <v>89301000</v>
      </c>
      <c r="B13121" t="str">
        <f t="shared" si="2353"/>
        <v>06539000</v>
      </c>
      <c r="C13121" t="str">
        <f t="shared" si="2367"/>
        <v>06539003</v>
      </c>
      <c r="D13121">
        <v>89301171</v>
      </c>
      <c r="E13121" t="str">
        <f t="shared" si="2363"/>
        <v>6910214894</v>
      </c>
      <c r="F13121" s="1">
        <v>45224</v>
      </c>
      <c r="G13121" t="str">
        <f t="shared" si="2368"/>
        <v>91413</v>
      </c>
      <c r="H13121">
        <v>1</v>
      </c>
      <c r="I13121">
        <v>868</v>
      </c>
      <c r="J13121">
        <v>0</v>
      </c>
      <c r="K13121" t="str">
        <f t="shared" si="2369"/>
        <v>813</v>
      </c>
      <c r="L13121">
        <v>729.12</v>
      </c>
    </row>
    <row r="13122" spans="1:12" x14ac:dyDescent="0.25">
      <c r="A13122" t="str">
        <f t="shared" ref="A13122:A13185" si="2370">"89301000"</f>
        <v>89301000</v>
      </c>
      <c r="B13122" t="str">
        <f t="shared" si="2353"/>
        <v>06539000</v>
      </c>
      <c r="C13122" t="str">
        <f t="shared" si="2367"/>
        <v>06539003</v>
      </c>
      <c r="D13122">
        <v>89301171</v>
      </c>
      <c r="E13122" t="str">
        <f t="shared" si="2363"/>
        <v>6910214894</v>
      </c>
      <c r="F13122" s="1">
        <v>45225</v>
      </c>
      <c r="G13122" t="str">
        <f t="shared" si="2368"/>
        <v>91413</v>
      </c>
      <c r="H13122">
        <v>1</v>
      </c>
      <c r="I13122">
        <v>868</v>
      </c>
      <c r="J13122">
        <v>0</v>
      </c>
      <c r="K13122" t="str">
        <f t="shared" si="2369"/>
        <v>813</v>
      </c>
      <c r="L13122">
        <v>729.12</v>
      </c>
    </row>
    <row r="13123" spans="1:12" x14ac:dyDescent="0.25">
      <c r="A13123" t="str">
        <f t="shared" si="2370"/>
        <v>89301000</v>
      </c>
      <c r="B13123" t="str">
        <f t="shared" si="2353"/>
        <v>06539000</v>
      </c>
      <c r="C13123" t="str">
        <f t="shared" si="2367"/>
        <v>06539003</v>
      </c>
      <c r="D13123">
        <v>89301171</v>
      </c>
      <c r="E13123" t="str">
        <f t="shared" si="2363"/>
        <v>6910214894</v>
      </c>
      <c r="F13123" s="1">
        <v>45225</v>
      </c>
      <c r="G13123" t="str">
        <f t="shared" si="2368"/>
        <v>91413</v>
      </c>
      <c r="H13123">
        <v>1</v>
      </c>
      <c r="I13123">
        <v>868</v>
      </c>
      <c r="J13123">
        <v>0</v>
      </c>
      <c r="K13123" t="str">
        <f t="shared" si="2369"/>
        <v>813</v>
      </c>
      <c r="L13123">
        <v>729.12</v>
      </c>
    </row>
    <row r="13124" spans="1:12" x14ac:dyDescent="0.25">
      <c r="A13124" t="str">
        <f t="shared" si="2370"/>
        <v>89301000</v>
      </c>
      <c r="B13124" t="str">
        <f t="shared" si="2353"/>
        <v>06539000</v>
      </c>
      <c r="C13124" t="str">
        <f t="shared" si="2367"/>
        <v>06539003</v>
      </c>
      <c r="D13124">
        <v>89301171</v>
      </c>
      <c r="E13124" t="str">
        <f t="shared" si="2363"/>
        <v>6910214894</v>
      </c>
      <c r="F13124" s="1">
        <v>45225</v>
      </c>
      <c r="G13124" t="str">
        <f t="shared" si="2368"/>
        <v>91413</v>
      </c>
      <c r="H13124">
        <v>1</v>
      </c>
      <c r="I13124">
        <v>868</v>
      </c>
      <c r="J13124">
        <v>0</v>
      </c>
      <c r="K13124" t="str">
        <f t="shared" si="2369"/>
        <v>813</v>
      </c>
      <c r="L13124">
        <v>729.12</v>
      </c>
    </row>
    <row r="13125" spans="1:12" x14ac:dyDescent="0.25">
      <c r="A13125" t="str">
        <f t="shared" si="2370"/>
        <v>89301000</v>
      </c>
      <c r="B13125" t="str">
        <f t="shared" ref="B13125:B13161" si="2371">"06539000"</f>
        <v>06539000</v>
      </c>
      <c r="C13125" t="str">
        <f t="shared" si="2367"/>
        <v>06539003</v>
      </c>
      <c r="D13125">
        <v>89301171</v>
      </c>
      <c r="E13125" t="str">
        <f t="shared" si="2363"/>
        <v>6910214894</v>
      </c>
      <c r="F13125" s="1">
        <v>45225</v>
      </c>
      <c r="G13125" t="str">
        <f t="shared" si="2368"/>
        <v>91413</v>
      </c>
      <c r="H13125">
        <v>1</v>
      </c>
      <c r="I13125">
        <v>868</v>
      </c>
      <c r="J13125">
        <v>0</v>
      </c>
      <c r="K13125" t="str">
        <f t="shared" si="2369"/>
        <v>813</v>
      </c>
      <c r="L13125">
        <v>729.12</v>
      </c>
    </row>
    <row r="13126" spans="1:12" x14ac:dyDescent="0.25">
      <c r="A13126" t="str">
        <f t="shared" si="2370"/>
        <v>89301000</v>
      </c>
      <c r="B13126" t="str">
        <f t="shared" si="2371"/>
        <v>06539000</v>
      </c>
      <c r="C13126" t="str">
        <f t="shared" si="2367"/>
        <v>06539003</v>
      </c>
      <c r="D13126">
        <v>89301171</v>
      </c>
      <c r="E13126" t="str">
        <f t="shared" si="2363"/>
        <v>6910214894</v>
      </c>
      <c r="F13126" s="1">
        <v>45205</v>
      </c>
      <c r="G13126" t="str">
        <f t="shared" ref="G13126:G13132" si="2372">"91197"</f>
        <v>91197</v>
      </c>
      <c r="H13126">
        <v>1</v>
      </c>
      <c r="I13126">
        <v>1048</v>
      </c>
      <c r="J13126">
        <v>0</v>
      </c>
      <c r="K13126" t="str">
        <f t="shared" si="2369"/>
        <v>813</v>
      </c>
      <c r="L13126">
        <v>880.32</v>
      </c>
    </row>
    <row r="13127" spans="1:12" x14ac:dyDescent="0.25">
      <c r="A13127" t="str">
        <f t="shared" si="2370"/>
        <v>89301000</v>
      </c>
      <c r="B13127" t="str">
        <f t="shared" si="2371"/>
        <v>06539000</v>
      </c>
      <c r="C13127" t="str">
        <f t="shared" si="2367"/>
        <v>06539003</v>
      </c>
      <c r="D13127">
        <v>89301171</v>
      </c>
      <c r="E13127" t="str">
        <f t="shared" si="2363"/>
        <v>6910214894</v>
      </c>
      <c r="F13127" s="1">
        <v>45208</v>
      </c>
      <c r="G13127" t="str">
        <f t="shared" si="2372"/>
        <v>91197</v>
      </c>
      <c r="H13127">
        <v>1</v>
      </c>
      <c r="I13127">
        <v>1048</v>
      </c>
      <c r="J13127">
        <v>0</v>
      </c>
      <c r="K13127" t="str">
        <f t="shared" si="2369"/>
        <v>813</v>
      </c>
      <c r="L13127">
        <v>880.32</v>
      </c>
    </row>
    <row r="13128" spans="1:12" x14ac:dyDescent="0.25">
      <c r="A13128" t="str">
        <f t="shared" si="2370"/>
        <v>89301000</v>
      </c>
      <c r="B13128" t="str">
        <f t="shared" si="2371"/>
        <v>06539000</v>
      </c>
      <c r="C13128" t="str">
        <f t="shared" si="2367"/>
        <v>06539003</v>
      </c>
      <c r="D13128">
        <v>89301171</v>
      </c>
      <c r="E13128" t="str">
        <f t="shared" si="2363"/>
        <v>6910214894</v>
      </c>
      <c r="F13128" s="1">
        <v>45208</v>
      </c>
      <c r="G13128" t="str">
        <f t="shared" si="2372"/>
        <v>91197</v>
      </c>
      <c r="H13128">
        <v>1</v>
      </c>
      <c r="I13128">
        <v>1048</v>
      </c>
      <c r="J13128">
        <v>0</v>
      </c>
      <c r="K13128" t="str">
        <f t="shared" si="2369"/>
        <v>813</v>
      </c>
      <c r="L13128">
        <v>880.32</v>
      </c>
    </row>
    <row r="13129" spans="1:12" x14ac:dyDescent="0.25">
      <c r="A13129" t="str">
        <f t="shared" si="2370"/>
        <v>89301000</v>
      </c>
      <c r="B13129" t="str">
        <f t="shared" si="2371"/>
        <v>06539000</v>
      </c>
      <c r="C13129" t="str">
        <f t="shared" si="2367"/>
        <v>06539003</v>
      </c>
      <c r="D13129">
        <v>89301171</v>
      </c>
      <c r="E13129" t="str">
        <f t="shared" si="2363"/>
        <v>6910214894</v>
      </c>
      <c r="F13129" s="1">
        <v>45207</v>
      </c>
      <c r="G13129" t="str">
        <f t="shared" si="2372"/>
        <v>91197</v>
      </c>
      <c r="H13129">
        <v>1</v>
      </c>
      <c r="I13129">
        <v>1048</v>
      </c>
      <c r="J13129">
        <v>0</v>
      </c>
      <c r="K13129" t="str">
        <f t="shared" si="2369"/>
        <v>813</v>
      </c>
      <c r="L13129">
        <v>880.32</v>
      </c>
    </row>
    <row r="13130" spans="1:12" x14ac:dyDescent="0.25">
      <c r="A13130" t="str">
        <f t="shared" si="2370"/>
        <v>89301000</v>
      </c>
      <c r="B13130" t="str">
        <f t="shared" si="2371"/>
        <v>06539000</v>
      </c>
      <c r="C13130" t="str">
        <f t="shared" si="2367"/>
        <v>06539003</v>
      </c>
      <c r="D13130">
        <v>89301171</v>
      </c>
      <c r="E13130" t="str">
        <f t="shared" si="2363"/>
        <v>6910214894</v>
      </c>
      <c r="F13130" s="1">
        <v>45207</v>
      </c>
      <c r="G13130" t="str">
        <f t="shared" si="2372"/>
        <v>91197</v>
      </c>
      <c r="H13130">
        <v>1</v>
      </c>
      <c r="I13130">
        <v>1048</v>
      </c>
      <c r="J13130">
        <v>0</v>
      </c>
      <c r="K13130" t="str">
        <f t="shared" si="2369"/>
        <v>813</v>
      </c>
      <c r="L13130">
        <v>880.32</v>
      </c>
    </row>
    <row r="13131" spans="1:12" x14ac:dyDescent="0.25">
      <c r="A13131" t="str">
        <f t="shared" si="2370"/>
        <v>89301000</v>
      </c>
      <c r="B13131" t="str">
        <f t="shared" si="2371"/>
        <v>06539000</v>
      </c>
      <c r="C13131" t="str">
        <f t="shared" si="2367"/>
        <v>06539003</v>
      </c>
      <c r="D13131">
        <v>89301171</v>
      </c>
      <c r="E13131" t="str">
        <f t="shared" si="2363"/>
        <v>6910214894</v>
      </c>
      <c r="F13131" s="1">
        <v>45206</v>
      </c>
      <c r="G13131" t="str">
        <f t="shared" si="2372"/>
        <v>91197</v>
      </c>
      <c r="H13131">
        <v>1</v>
      </c>
      <c r="I13131">
        <v>1048</v>
      </c>
      <c r="J13131">
        <v>0</v>
      </c>
      <c r="K13131" t="str">
        <f t="shared" si="2369"/>
        <v>813</v>
      </c>
      <c r="L13131">
        <v>880.32</v>
      </c>
    </row>
    <row r="13132" spans="1:12" x14ac:dyDescent="0.25">
      <c r="A13132" t="str">
        <f t="shared" si="2370"/>
        <v>89301000</v>
      </c>
      <c r="B13132" t="str">
        <f t="shared" si="2371"/>
        <v>06539000</v>
      </c>
      <c r="C13132" t="str">
        <f t="shared" si="2367"/>
        <v>06539003</v>
      </c>
      <c r="D13132">
        <v>89301171</v>
      </c>
      <c r="E13132" t="str">
        <f t="shared" si="2363"/>
        <v>6910214894</v>
      </c>
      <c r="F13132" s="1">
        <v>45206</v>
      </c>
      <c r="G13132" t="str">
        <f t="shared" si="2372"/>
        <v>91197</v>
      </c>
      <c r="H13132">
        <v>1</v>
      </c>
      <c r="I13132">
        <v>1048</v>
      </c>
      <c r="J13132">
        <v>0</v>
      </c>
      <c r="K13132" t="str">
        <f t="shared" si="2369"/>
        <v>813</v>
      </c>
      <c r="L13132">
        <v>880.32</v>
      </c>
    </row>
    <row r="13133" spans="1:12" x14ac:dyDescent="0.25">
      <c r="A13133" t="str">
        <f t="shared" si="2370"/>
        <v>89301000</v>
      </c>
      <c r="B13133" t="str">
        <f t="shared" si="2371"/>
        <v>06539000</v>
      </c>
      <c r="C13133" t="str">
        <f t="shared" si="2367"/>
        <v>06539003</v>
      </c>
      <c r="D13133">
        <v>89301171</v>
      </c>
      <c r="E13133" t="str">
        <f t="shared" si="2363"/>
        <v>6910214894</v>
      </c>
      <c r="F13133" s="1">
        <v>45225</v>
      </c>
      <c r="G13133" t="str">
        <f>"91329"</f>
        <v>91329</v>
      </c>
      <c r="H13133">
        <v>2</v>
      </c>
      <c r="I13133">
        <v>436</v>
      </c>
      <c r="J13133">
        <v>0</v>
      </c>
      <c r="K13133" t="str">
        <f t="shared" si="2369"/>
        <v>813</v>
      </c>
      <c r="L13133">
        <v>366.24</v>
      </c>
    </row>
    <row r="13134" spans="1:12" x14ac:dyDescent="0.25">
      <c r="A13134" t="str">
        <f t="shared" si="2370"/>
        <v>89301000</v>
      </c>
      <c r="B13134" t="str">
        <f t="shared" si="2371"/>
        <v>06539000</v>
      </c>
      <c r="C13134" t="str">
        <f t="shared" si="2367"/>
        <v>06539003</v>
      </c>
      <c r="D13134">
        <v>89301171</v>
      </c>
      <c r="E13134" t="str">
        <f t="shared" si="2363"/>
        <v>6910214894</v>
      </c>
      <c r="F13134" s="1">
        <v>45225</v>
      </c>
      <c r="G13134" t="str">
        <f>"91329"</f>
        <v>91329</v>
      </c>
      <c r="H13134">
        <v>2</v>
      </c>
      <c r="I13134">
        <v>436</v>
      </c>
      <c r="J13134">
        <v>0</v>
      </c>
      <c r="K13134" t="str">
        <f t="shared" si="2369"/>
        <v>813</v>
      </c>
      <c r="L13134">
        <v>366.24</v>
      </c>
    </row>
    <row r="13135" spans="1:12" x14ac:dyDescent="0.25">
      <c r="A13135" t="str">
        <f t="shared" si="2370"/>
        <v>89301000</v>
      </c>
      <c r="B13135" t="str">
        <f t="shared" si="2371"/>
        <v>06539000</v>
      </c>
      <c r="C13135" t="str">
        <f t="shared" si="2367"/>
        <v>06539003</v>
      </c>
      <c r="D13135">
        <v>89301171</v>
      </c>
      <c r="E13135" t="str">
        <f t="shared" si="2363"/>
        <v>6910214894</v>
      </c>
      <c r="F13135" s="1">
        <v>45209</v>
      </c>
      <c r="G13135" t="str">
        <f>"91329"</f>
        <v>91329</v>
      </c>
      <c r="H13135">
        <v>2</v>
      </c>
      <c r="I13135">
        <v>436</v>
      </c>
      <c r="J13135">
        <v>0</v>
      </c>
      <c r="K13135" t="str">
        <f t="shared" si="2369"/>
        <v>813</v>
      </c>
      <c r="L13135">
        <v>366.24</v>
      </c>
    </row>
    <row r="13136" spans="1:12" x14ac:dyDescent="0.25">
      <c r="A13136" t="str">
        <f t="shared" si="2370"/>
        <v>89301000</v>
      </c>
      <c r="B13136" t="str">
        <f t="shared" si="2371"/>
        <v>06539000</v>
      </c>
      <c r="C13136" t="str">
        <f t="shared" si="2367"/>
        <v>06539003</v>
      </c>
      <c r="D13136">
        <v>89301171</v>
      </c>
      <c r="E13136" t="str">
        <f t="shared" si="2363"/>
        <v>6910214894</v>
      </c>
      <c r="F13136" s="1">
        <v>45209</v>
      </c>
      <c r="G13136" t="str">
        <f>"91329"</f>
        <v>91329</v>
      </c>
      <c r="H13136">
        <v>2</v>
      </c>
      <c r="I13136">
        <v>436</v>
      </c>
      <c r="J13136">
        <v>0</v>
      </c>
      <c r="K13136" t="str">
        <f t="shared" si="2369"/>
        <v>813</v>
      </c>
      <c r="L13136">
        <v>366.24</v>
      </c>
    </row>
    <row r="13137" spans="1:12" x14ac:dyDescent="0.25">
      <c r="A13137" t="str">
        <f t="shared" si="2370"/>
        <v>89301000</v>
      </c>
      <c r="B13137" t="str">
        <f t="shared" si="2371"/>
        <v>06539000</v>
      </c>
      <c r="C13137" t="str">
        <f t="shared" si="2367"/>
        <v>06539003</v>
      </c>
      <c r="D13137">
        <v>89301171</v>
      </c>
      <c r="E13137" t="str">
        <f t="shared" si="2363"/>
        <v>6910214894</v>
      </c>
      <c r="F13137" s="1">
        <v>45208</v>
      </c>
      <c r="G13137" t="str">
        <f>"91129"</f>
        <v>91129</v>
      </c>
      <c r="H13137">
        <v>1</v>
      </c>
      <c r="I13137">
        <v>175</v>
      </c>
      <c r="J13137">
        <v>0</v>
      </c>
      <c r="K13137" t="str">
        <f t="shared" si="2369"/>
        <v>813</v>
      </c>
      <c r="L13137">
        <v>147</v>
      </c>
    </row>
    <row r="13138" spans="1:12" x14ac:dyDescent="0.25">
      <c r="A13138" t="str">
        <f t="shared" si="2370"/>
        <v>89301000</v>
      </c>
      <c r="B13138" t="str">
        <f t="shared" si="2371"/>
        <v>06539000</v>
      </c>
      <c r="C13138" t="str">
        <f t="shared" si="2367"/>
        <v>06539003</v>
      </c>
      <c r="D13138">
        <v>89301171</v>
      </c>
      <c r="E13138" t="str">
        <f t="shared" si="2363"/>
        <v>6910214894</v>
      </c>
      <c r="F13138" s="1">
        <v>45208</v>
      </c>
      <c r="G13138" t="str">
        <f>"91131"</f>
        <v>91131</v>
      </c>
      <c r="H13138">
        <v>1</v>
      </c>
      <c r="I13138">
        <v>171</v>
      </c>
      <c r="J13138">
        <v>0</v>
      </c>
      <c r="K13138" t="str">
        <f t="shared" si="2369"/>
        <v>813</v>
      </c>
      <c r="L13138">
        <v>143.63999999999999</v>
      </c>
    </row>
    <row r="13139" spans="1:12" x14ac:dyDescent="0.25">
      <c r="A13139" t="str">
        <f t="shared" si="2370"/>
        <v>89301000</v>
      </c>
      <c r="B13139" t="str">
        <f t="shared" si="2371"/>
        <v>06539000</v>
      </c>
      <c r="C13139" t="str">
        <f t="shared" si="2367"/>
        <v>06539003</v>
      </c>
      <c r="D13139">
        <v>89301171</v>
      </c>
      <c r="E13139" t="str">
        <f t="shared" si="2363"/>
        <v>6910214894</v>
      </c>
      <c r="F13139" s="1">
        <v>45208</v>
      </c>
      <c r="G13139" t="str">
        <f>"91133"</f>
        <v>91133</v>
      </c>
      <c r="H13139">
        <v>1</v>
      </c>
      <c r="I13139">
        <v>177</v>
      </c>
      <c r="J13139">
        <v>0</v>
      </c>
      <c r="K13139" t="str">
        <f t="shared" si="2369"/>
        <v>813</v>
      </c>
      <c r="L13139">
        <v>148.68</v>
      </c>
    </row>
    <row r="13140" spans="1:12" x14ac:dyDescent="0.25">
      <c r="A13140" t="str">
        <f t="shared" si="2370"/>
        <v>89301000</v>
      </c>
      <c r="B13140" t="str">
        <f t="shared" si="2371"/>
        <v>06539000</v>
      </c>
      <c r="C13140" t="str">
        <f t="shared" si="2367"/>
        <v>06539003</v>
      </c>
      <c r="D13140">
        <v>89301171</v>
      </c>
      <c r="E13140" t="str">
        <f t="shared" si="2363"/>
        <v>6910214894</v>
      </c>
      <c r="F13140" s="1">
        <v>45208</v>
      </c>
      <c r="G13140" t="str">
        <f>"91171"</f>
        <v>91171</v>
      </c>
      <c r="H13140">
        <v>1</v>
      </c>
      <c r="I13140">
        <v>362</v>
      </c>
      <c r="J13140">
        <v>0</v>
      </c>
      <c r="K13140" t="str">
        <f t="shared" si="2369"/>
        <v>813</v>
      </c>
      <c r="L13140">
        <v>304.08</v>
      </c>
    </row>
    <row r="13141" spans="1:12" x14ac:dyDescent="0.25">
      <c r="A13141" t="str">
        <f t="shared" si="2370"/>
        <v>89301000</v>
      </c>
      <c r="B13141" t="str">
        <f t="shared" si="2371"/>
        <v>06539000</v>
      </c>
      <c r="C13141" t="str">
        <f t="shared" si="2367"/>
        <v>06539003</v>
      </c>
      <c r="D13141">
        <v>89301171</v>
      </c>
      <c r="E13141" t="str">
        <f t="shared" si="2363"/>
        <v>6910214894</v>
      </c>
      <c r="F13141" s="1">
        <v>45205</v>
      </c>
      <c r="G13141" t="str">
        <f>"91173"</f>
        <v>91173</v>
      </c>
      <c r="H13141">
        <v>1</v>
      </c>
      <c r="I13141">
        <v>337</v>
      </c>
      <c r="J13141">
        <v>0</v>
      </c>
      <c r="K13141" t="str">
        <f t="shared" si="2369"/>
        <v>813</v>
      </c>
      <c r="L13141">
        <v>283.08</v>
      </c>
    </row>
    <row r="13142" spans="1:12" x14ac:dyDescent="0.25">
      <c r="A13142" t="str">
        <f t="shared" si="2370"/>
        <v>89301000</v>
      </c>
      <c r="B13142" t="str">
        <f t="shared" si="2371"/>
        <v>06539000</v>
      </c>
      <c r="C13142" t="str">
        <f t="shared" si="2367"/>
        <v>06539003</v>
      </c>
      <c r="D13142">
        <v>89301171</v>
      </c>
      <c r="E13142" t="str">
        <f t="shared" si="2363"/>
        <v>6910214894</v>
      </c>
      <c r="F13142" s="1">
        <v>45208</v>
      </c>
      <c r="G13142" t="str">
        <f>"91175"</f>
        <v>91175</v>
      </c>
      <c r="H13142">
        <v>1</v>
      </c>
      <c r="I13142">
        <v>362</v>
      </c>
      <c r="J13142">
        <v>0</v>
      </c>
      <c r="K13142" t="str">
        <f t="shared" si="2369"/>
        <v>813</v>
      </c>
      <c r="L13142">
        <v>304.08</v>
      </c>
    </row>
    <row r="13143" spans="1:12" x14ac:dyDescent="0.25">
      <c r="A13143" t="str">
        <f t="shared" si="2370"/>
        <v>89301000</v>
      </c>
      <c r="B13143" t="str">
        <f t="shared" si="2371"/>
        <v>06539000</v>
      </c>
      <c r="C13143" t="str">
        <f t="shared" si="2367"/>
        <v>06539003</v>
      </c>
      <c r="D13143">
        <v>89301171</v>
      </c>
      <c r="E13143" t="str">
        <f t="shared" si="2363"/>
        <v>6910214894</v>
      </c>
      <c r="F13143" s="1">
        <v>45206</v>
      </c>
      <c r="G13143" t="str">
        <f>"91167"</f>
        <v>91167</v>
      </c>
      <c r="H13143">
        <v>1</v>
      </c>
      <c r="I13143">
        <v>426</v>
      </c>
      <c r="J13143">
        <v>0</v>
      </c>
      <c r="K13143" t="str">
        <f t="shared" si="2369"/>
        <v>813</v>
      </c>
      <c r="L13143">
        <v>357.84</v>
      </c>
    </row>
    <row r="13144" spans="1:12" x14ac:dyDescent="0.25">
      <c r="A13144" t="str">
        <f t="shared" si="2370"/>
        <v>89301000</v>
      </c>
      <c r="B13144" t="str">
        <f t="shared" si="2371"/>
        <v>06539000</v>
      </c>
      <c r="C13144" t="str">
        <f t="shared" si="2367"/>
        <v>06539003</v>
      </c>
      <c r="D13144">
        <v>89301171</v>
      </c>
      <c r="E13144" t="str">
        <f t="shared" si="2363"/>
        <v>6910214894</v>
      </c>
      <c r="F13144" s="1">
        <v>45206</v>
      </c>
      <c r="G13144" t="str">
        <f>"91169"</f>
        <v>91169</v>
      </c>
      <c r="H13144">
        <v>1</v>
      </c>
      <c r="I13144">
        <v>426</v>
      </c>
      <c r="J13144">
        <v>0</v>
      </c>
      <c r="K13144" t="str">
        <f t="shared" si="2369"/>
        <v>813</v>
      </c>
      <c r="L13144">
        <v>357.84</v>
      </c>
    </row>
    <row r="13145" spans="1:12" x14ac:dyDescent="0.25">
      <c r="A13145" t="str">
        <f t="shared" si="2370"/>
        <v>89301000</v>
      </c>
      <c r="B13145" t="str">
        <f t="shared" si="2371"/>
        <v>06539000</v>
      </c>
      <c r="C13145" t="str">
        <f t="shared" si="2367"/>
        <v>06539003</v>
      </c>
      <c r="D13145">
        <v>89301171</v>
      </c>
      <c r="E13145" t="str">
        <f t="shared" si="2363"/>
        <v>6910214894</v>
      </c>
      <c r="F13145" s="1">
        <v>45205</v>
      </c>
      <c r="G13145" t="str">
        <f>"91167"</f>
        <v>91167</v>
      </c>
      <c r="H13145">
        <v>1</v>
      </c>
      <c r="I13145">
        <v>426</v>
      </c>
      <c r="J13145">
        <v>0</v>
      </c>
      <c r="K13145" t="str">
        <f t="shared" si="2369"/>
        <v>813</v>
      </c>
      <c r="L13145">
        <v>357.84</v>
      </c>
    </row>
    <row r="13146" spans="1:12" x14ac:dyDescent="0.25">
      <c r="A13146" t="str">
        <f t="shared" si="2370"/>
        <v>89301000</v>
      </c>
      <c r="B13146" t="str">
        <f t="shared" si="2371"/>
        <v>06539000</v>
      </c>
      <c r="C13146" t="str">
        <f t="shared" si="2367"/>
        <v>06539003</v>
      </c>
      <c r="D13146">
        <v>89301171</v>
      </c>
      <c r="E13146" t="str">
        <f t="shared" si="2363"/>
        <v>6910214894</v>
      </c>
      <c r="F13146" s="1">
        <v>45205</v>
      </c>
      <c r="G13146" t="str">
        <f>"91169"</f>
        <v>91169</v>
      </c>
      <c r="H13146">
        <v>1</v>
      </c>
      <c r="I13146">
        <v>426</v>
      </c>
      <c r="J13146">
        <v>0</v>
      </c>
      <c r="K13146" t="str">
        <f t="shared" si="2369"/>
        <v>813</v>
      </c>
      <c r="L13146">
        <v>357.84</v>
      </c>
    </row>
    <row r="13147" spans="1:12" x14ac:dyDescent="0.25">
      <c r="A13147" t="str">
        <f t="shared" si="2370"/>
        <v>89301000</v>
      </c>
      <c r="B13147" t="str">
        <f t="shared" si="2371"/>
        <v>06539000</v>
      </c>
      <c r="C13147" t="str">
        <f t="shared" si="2367"/>
        <v>06539003</v>
      </c>
      <c r="D13147">
        <v>89301171</v>
      </c>
      <c r="E13147" t="str">
        <f t="shared" si="2363"/>
        <v>6910214894</v>
      </c>
      <c r="F13147" s="1">
        <v>45225</v>
      </c>
      <c r="G13147" t="str">
        <f>"91475"</f>
        <v>91475</v>
      </c>
      <c r="H13147">
        <v>1</v>
      </c>
      <c r="I13147">
        <v>213</v>
      </c>
      <c r="J13147">
        <v>0</v>
      </c>
      <c r="K13147" t="str">
        <f t="shared" si="2369"/>
        <v>813</v>
      </c>
      <c r="L13147">
        <v>178.92</v>
      </c>
    </row>
    <row r="13148" spans="1:12" x14ac:dyDescent="0.25">
      <c r="A13148" t="str">
        <f t="shared" si="2370"/>
        <v>89301000</v>
      </c>
      <c r="B13148" t="str">
        <f t="shared" si="2371"/>
        <v>06539000</v>
      </c>
      <c r="C13148" t="str">
        <f t="shared" si="2367"/>
        <v>06539003</v>
      </c>
      <c r="D13148">
        <v>89301172</v>
      </c>
      <c r="E13148" t="str">
        <f>"0461195262"</f>
        <v>0461195262</v>
      </c>
      <c r="F13148" s="1">
        <v>45225</v>
      </c>
      <c r="G13148" t="str">
        <f>"91329"</f>
        <v>91329</v>
      </c>
      <c r="H13148">
        <v>2</v>
      </c>
      <c r="I13148">
        <v>436</v>
      </c>
      <c r="J13148">
        <v>0</v>
      </c>
      <c r="K13148" t="str">
        <f t="shared" si="2369"/>
        <v>813</v>
      </c>
      <c r="L13148">
        <v>366.24</v>
      </c>
    </row>
    <row r="13149" spans="1:12" x14ac:dyDescent="0.25">
      <c r="A13149" t="str">
        <f t="shared" si="2370"/>
        <v>89301000</v>
      </c>
      <c r="B13149" t="str">
        <f t="shared" si="2371"/>
        <v>06539000</v>
      </c>
      <c r="C13149" t="str">
        <f t="shared" si="2367"/>
        <v>06539003</v>
      </c>
      <c r="D13149">
        <v>89301172</v>
      </c>
      <c r="E13149" t="str">
        <f>"0461195262"</f>
        <v>0461195262</v>
      </c>
      <c r="F13149" s="1">
        <v>45225</v>
      </c>
      <c r="G13149" t="str">
        <f>"91329"</f>
        <v>91329</v>
      </c>
      <c r="H13149">
        <v>2</v>
      </c>
      <c r="I13149">
        <v>436</v>
      </c>
      <c r="J13149">
        <v>0</v>
      </c>
      <c r="K13149" t="str">
        <f t="shared" si="2369"/>
        <v>813</v>
      </c>
      <c r="L13149">
        <v>366.24</v>
      </c>
    </row>
    <row r="13150" spans="1:12" x14ac:dyDescent="0.25">
      <c r="A13150" t="str">
        <f t="shared" si="2370"/>
        <v>89301000</v>
      </c>
      <c r="B13150" t="str">
        <f t="shared" si="2371"/>
        <v>06539000</v>
      </c>
      <c r="C13150" t="str">
        <f t="shared" si="2367"/>
        <v>06539003</v>
      </c>
      <c r="D13150">
        <v>89301172</v>
      </c>
      <c r="E13150" t="str">
        <f>"0461195262"</f>
        <v>0461195262</v>
      </c>
      <c r="F13150" s="1">
        <v>45209</v>
      </c>
      <c r="G13150" t="str">
        <f>"91329"</f>
        <v>91329</v>
      </c>
      <c r="H13150">
        <v>2</v>
      </c>
      <c r="I13150">
        <v>436</v>
      </c>
      <c r="J13150">
        <v>0</v>
      </c>
      <c r="K13150" t="str">
        <f t="shared" si="2369"/>
        <v>813</v>
      </c>
      <c r="L13150">
        <v>366.24</v>
      </c>
    </row>
    <row r="13151" spans="1:12" x14ac:dyDescent="0.25">
      <c r="A13151" t="str">
        <f t="shared" si="2370"/>
        <v>89301000</v>
      </c>
      <c r="B13151" t="str">
        <f t="shared" si="2371"/>
        <v>06539000</v>
      </c>
      <c r="C13151" t="str">
        <f t="shared" si="2367"/>
        <v>06539003</v>
      </c>
      <c r="D13151">
        <v>89301172</v>
      </c>
      <c r="E13151" t="str">
        <f>"0461195262"</f>
        <v>0461195262</v>
      </c>
      <c r="F13151" s="1">
        <v>45209</v>
      </c>
      <c r="G13151" t="str">
        <f>"91329"</f>
        <v>91329</v>
      </c>
      <c r="H13151">
        <v>2</v>
      </c>
      <c r="I13151">
        <v>436</v>
      </c>
      <c r="J13151">
        <v>0</v>
      </c>
      <c r="K13151" t="str">
        <f t="shared" si="2369"/>
        <v>813</v>
      </c>
      <c r="L13151">
        <v>366.24</v>
      </c>
    </row>
    <row r="13152" spans="1:12" x14ac:dyDescent="0.25">
      <c r="A13152" t="str">
        <f t="shared" si="2370"/>
        <v>89301000</v>
      </c>
      <c r="B13152" t="str">
        <f t="shared" si="2371"/>
        <v>06539000</v>
      </c>
      <c r="C13152" t="str">
        <f t="shared" si="2367"/>
        <v>06539003</v>
      </c>
      <c r="D13152">
        <v>89301172</v>
      </c>
      <c r="E13152" t="str">
        <f>"0461195262"</f>
        <v>0461195262</v>
      </c>
      <c r="F13152" s="1">
        <v>45225</v>
      </c>
      <c r="G13152" t="str">
        <f>"91475"</f>
        <v>91475</v>
      </c>
      <c r="H13152">
        <v>1</v>
      </c>
      <c r="I13152">
        <v>213</v>
      </c>
      <c r="J13152">
        <v>0</v>
      </c>
      <c r="K13152" t="str">
        <f t="shared" si="2369"/>
        <v>813</v>
      </c>
      <c r="L13152">
        <v>178.92</v>
      </c>
    </row>
    <row r="13153" spans="1:12" x14ac:dyDescent="0.25">
      <c r="A13153" t="str">
        <f t="shared" si="2370"/>
        <v>89301000</v>
      </c>
      <c r="B13153" t="str">
        <f t="shared" si="2371"/>
        <v>06539000</v>
      </c>
      <c r="C13153" t="str">
        <f t="shared" si="2367"/>
        <v>06539003</v>
      </c>
      <c r="D13153">
        <v>89301172</v>
      </c>
      <c r="E13153" t="str">
        <f>"8809045773"</f>
        <v>8809045773</v>
      </c>
      <c r="F13153" s="1">
        <v>45209</v>
      </c>
      <c r="G13153" t="str">
        <f>"91329"</f>
        <v>91329</v>
      </c>
      <c r="H13153">
        <v>2</v>
      </c>
      <c r="I13153">
        <v>436</v>
      </c>
      <c r="J13153">
        <v>0</v>
      </c>
      <c r="K13153" t="str">
        <f t="shared" si="2369"/>
        <v>813</v>
      </c>
      <c r="L13153">
        <v>366.24</v>
      </c>
    </row>
    <row r="13154" spans="1:12" x14ac:dyDescent="0.25">
      <c r="A13154" t="str">
        <f t="shared" si="2370"/>
        <v>89301000</v>
      </c>
      <c r="B13154" t="str">
        <f t="shared" si="2371"/>
        <v>06539000</v>
      </c>
      <c r="C13154" t="str">
        <f t="shared" si="2367"/>
        <v>06539003</v>
      </c>
      <c r="D13154">
        <v>89301172</v>
      </c>
      <c r="E13154" t="str">
        <f>"8809045773"</f>
        <v>8809045773</v>
      </c>
      <c r="F13154" s="1">
        <v>45209</v>
      </c>
      <c r="G13154" t="str">
        <f>"91329"</f>
        <v>91329</v>
      </c>
      <c r="H13154">
        <v>2</v>
      </c>
      <c r="I13154">
        <v>436</v>
      </c>
      <c r="J13154">
        <v>0</v>
      </c>
      <c r="K13154" t="str">
        <f t="shared" si="2369"/>
        <v>813</v>
      </c>
      <c r="L13154">
        <v>366.24</v>
      </c>
    </row>
    <row r="13155" spans="1:12" x14ac:dyDescent="0.25">
      <c r="A13155" t="str">
        <f t="shared" si="2370"/>
        <v>89301000</v>
      </c>
      <c r="B13155" t="str">
        <f t="shared" si="2371"/>
        <v>06539000</v>
      </c>
      <c r="C13155" t="str">
        <f t="shared" si="2367"/>
        <v>06539003</v>
      </c>
      <c r="D13155">
        <v>89301172</v>
      </c>
      <c r="E13155" t="str">
        <f>"8809045773"</f>
        <v>8809045773</v>
      </c>
      <c r="F13155" s="1">
        <v>45225</v>
      </c>
      <c r="G13155" t="str">
        <f>"91329"</f>
        <v>91329</v>
      </c>
      <c r="H13155">
        <v>2</v>
      </c>
      <c r="I13155">
        <v>436</v>
      </c>
      <c r="J13155">
        <v>0</v>
      </c>
      <c r="K13155" t="str">
        <f t="shared" si="2369"/>
        <v>813</v>
      </c>
      <c r="L13155">
        <v>366.24</v>
      </c>
    </row>
    <row r="13156" spans="1:12" x14ac:dyDescent="0.25">
      <c r="A13156" t="str">
        <f t="shared" si="2370"/>
        <v>89301000</v>
      </c>
      <c r="B13156" t="str">
        <f t="shared" si="2371"/>
        <v>06539000</v>
      </c>
      <c r="C13156" t="str">
        <f t="shared" si="2367"/>
        <v>06539003</v>
      </c>
      <c r="D13156">
        <v>89301172</v>
      </c>
      <c r="E13156" t="str">
        <f>"8809045773"</f>
        <v>8809045773</v>
      </c>
      <c r="F13156" s="1">
        <v>45225</v>
      </c>
      <c r="G13156" t="str">
        <f>"91329"</f>
        <v>91329</v>
      </c>
      <c r="H13156">
        <v>2</v>
      </c>
      <c r="I13156">
        <v>436</v>
      </c>
      <c r="J13156">
        <v>0</v>
      </c>
      <c r="K13156" t="str">
        <f t="shared" si="2369"/>
        <v>813</v>
      </c>
      <c r="L13156">
        <v>366.24</v>
      </c>
    </row>
    <row r="13157" spans="1:12" x14ac:dyDescent="0.25">
      <c r="A13157" t="str">
        <f t="shared" si="2370"/>
        <v>89301000</v>
      </c>
      <c r="B13157" t="str">
        <f t="shared" si="2371"/>
        <v>06539000</v>
      </c>
      <c r="C13157" t="str">
        <f t="shared" si="2367"/>
        <v>06539003</v>
      </c>
      <c r="D13157">
        <v>89301172</v>
      </c>
      <c r="E13157" t="str">
        <f>"8809045773"</f>
        <v>8809045773</v>
      </c>
      <c r="F13157" s="1">
        <v>45225</v>
      </c>
      <c r="G13157" t="str">
        <f>"91475"</f>
        <v>91475</v>
      </c>
      <c r="H13157">
        <v>1</v>
      </c>
      <c r="I13157">
        <v>213</v>
      </c>
      <c r="J13157">
        <v>0</v>
      </c>
      <c r="K13157" t="str">
        <f t="shared" si="2369"/>
        <v>813</v>
      </c>
      <c r="L13157">
        <v>178.92</v>
      </c>
    </row>
    <row r="13158" spans="1:12" x14ac:dyDescent="0.25">
      <c r="A13158" t="str">
        <f t="shared" si="2370"/>
        <v>89301000</v>
      </c>
      <c r="B13158" t="str">
        <f t="shared" si="2371"/>
        <v>06539000</v>
      </c>
      <c r="C13158" t="str">
        <f>"06539001"</f>
        <v>06539001</v>
      </c>
      <c r="D13158">
        <v>89301171</v>
      </c>
      <c r="E13158" t="str">
        <f>"5861240286"</f>
        <v>5861240286</v>
      </c>
      <c r="F13158" s="1">
        <v>45218</v>
      </c>
      <c r="G13158" t="str">
        <f>"81705"</f>
        <v>81705</v>
      </c>
      <c r="H13158">
        <v>1</v>
      </c>
      <c r="I13158">
        <v>348</v>
      </c>
      <c r="J13158">
        <v>0</v>
      </c>
      <c r="K13158" t="str">
        <f>"801"</f>
        <v>801</v>
      </c>
      <c r="L13158">
        <v>292.32</v>
      </c>
    </row>
    <row r="13159" spans="1:12" x14ac:dyDescent="0.25">
      <c r="A13159" t="str">
        <f t="shared" si="2370"/>
        <v>89301000</v>
      </c>
      <c r="B13159" t="str">
        <f t="shared" si="2371"/>
        <v>06539000</v>
      </c>
      <c r="C13159" t="str">
        <f>"06539001"</f>
        <v>06539001</v>
      </c>
      <c r="D13159">
        <v>89301171</v>
      </c>
      <c r="E13159" t="str">
        <f>"5861240286"</f>
        <v>5861240286</v>
      </c>
      <c r="F13159" s="1">
        <v>45223</v>
      </c>
      <c r="G13159" t="str">
        <f>"81705"</f>
        <v>81705</v>
      </c>
      <c r="H13159">
        <v>1</v>
      </c>
      <c r="I13159">
        <v>348</v>
      </c>
      <c r="J13159">
        <v>0</v>
      </c>
      <c r="K13159" t="str">
        <f>"801"</f>
        <v>801</v>
      </c>
      <c r="L13159">
        <v>292.32</v>
      </c>
    </row>
    <row r="13160" spans="1:12" x14ac:dyDescent="0.25">
      <c r="A13160" t="str">
        <f t="shared" si="2370"/>
        <v>89301000</v>
      </c>
      <c r="B13160" t="str">
        <f t="shared" si="2371"/>
        <v>06539000</v>
      </c>
      <c r="C13160" t="str">
        <f>"06539003"</f>
        <v>06539003</v>
      </c>
      <c r="D13160">
        <v>89301171</v>
      </c>
      <c r="E13160" t="str">
        <f>"5861240286"</f>
        <v>5861240286</v>
      </c>
      <c r="F13160" s="1">
        <v>45223</v>
      </c>
      <c r="G13160" t="str">
        <f>"91329"</f>
        <v>91329</v>
      </c>
      <c r="H13160">
        <v>2</v>
      </c>
      <c r="I13160">
        <v>436</v>
      </c>
      <c r="J13160">
        <v>0</v>
      </c>
      <c r="K13160" t="str">
        <f>"813"</f>
        <v>813</v>
      </c>
      <c r="L13160">
        <v>366.24</v>
      </c>
    </row>
    <row r="13161" spans="1:12" x14ac:dyDescent="0.25">
      <c r="A13161" t="str">
        <f t="shared" si="2370"/>
        <v>89301000</v>
      </c>
      <c r="B13161" t="str">
        <f t="shared" si="2371"/>
        <v>06539000</v>
      </c>
      <c r="C13161" t="str">
        <f>"06539003"</f>
        <v>06539003</v>
      </c>
      <c r="D13161">
        <v>89301171</v>
      </c>
      <c r="E13161" t="str">
        <f>"5861240286"</f>
        <v>5861240286</v>
      </c>
      <c r="F13161" s="1">
        <v>45217</v>
      </c>
      <c r="G13161" t="str">
        <f>"91475"</f>
        <v>91475</v>
      </c>
      <c r="H13161">
        <v>1</v>
      </c>
      <c r="I13161">
        <v>213</v>
      </c>
      <c r="J13161">
        <v>0</v>
      </c>
      <c r="K13161" t="str">
        <f>"813"</f>
        <v>813</v>
      </c>
      <c r="L13161">
        <v>178.92</v>
      </c>
    </row>
    <row r="13162" spans="1:12" x14ac:dyDescent="0.25">
      <c r="A13162" t="str">
        <f t="shared" si="2370"/>
        <v>89301000</v>
      </c>
      <c r="B13162" t="str">
        <f t="shared" ref="B13162:B13193" si="2373">"95202000"</f>
        <v>95202000</v>
      </c>
      <c r="C13162" t="str">
        <f>"95202818"</f>
        <v>95202818</v>
      </c>
      <c r="D13162">
        <v>89301167</v>
      </c>
      <c r="E13162" t="str">
        <f>"5709166199"</f>
        <v>5709166199</v>
      </c>
      <c r="F13162" s="1">
        <v>45202</v>
      </c>
      <c r="G13162" t="str">
        <f>"96167"</f>
        <v>96167</v>
      </c>
      <c r="H13162">
        <v>1</v>
      </c>
      <c r="I13162">
        <v>67</v>
      </c>
      <c r="J13162">
        <v>0</v>
      </c>
      <c r="K13162" t="str">
        <f>"818"</f>
        <v>818</v>
      </c>
      <c r="L13162">
        <v>64.989999999999995</v>
      </c>
    </row>
    <row r="13163" spans="1:12" x14ac:dyDescent="0.25">
      <c r="A13163" t="str">
        <f t="shared" si="2370"/>
        <v>89301000</v>
      </c>
      <c r="B13163" t="str">
        <f t="shared" si="2373"/>
        <v>95202000</v>
      </c>
      <c r="C13163" t="str">
        <f>"95202818"</f>
        <v>95202818</v>
      </c>
      <c r="D13163">
        <v>89301167</v>
      </c>
      <c r="E13163" t="str">
        <f>"5707200807"</f>
        <v>5707200807</v>
      </c>
      <c r="F13163" s="1">
        <v>45208</v>
      </c>
      <c r="G13163" t="str">
        <f>"96167"</f>
        <v>96167</v>
      </c>
      <c r="H13163">
        <v>1</v>
      </c>
      <c r="I13163">
        <v>67</v>
      </c>
      <c r="J13163">
        <v>0</v>
      </c>
      <c r="K13163" t="str">
        <f>"818"</f>
        <v>818</v>
      </c>
      <c r="L13163">
        <v>64.989999999999995</v>
      </c>
    </row>
    <row r="13164" spans="1:12" x14ac:dyDescent="0.25">
      <c r="A13164" t="str">
        <f t="shared" si="2370"/>
        <v>89301000</v>
      </c>
      <c r="B13164" t="str">
        <f t="shared" si="2373"/>
        <v>95202000</v>
      </c>
      <c r="C13164" t="str">
        <f>"95202818"</f>
        <v>95202818</v>
      </c>
      <c r="D13164">
        <v>89301167</v>
      </c>
      <c r="E13164" t="str">
        <f>"5709166199"</f>
        <v>5709166199</v>
      </c>
      <c r="F13164" s="1">
        <v>45230</v>
      </c>
      <c r="G13164" t="str">
        <f>"96167"</f>
        <v>96167</v>
      </c>
      <c r="H13164">
        <v>1</v>
      </c>
      <c r="I13164">
        <v>67</v>
      </c>
      <c r="J13164">
        <v>0</v>
      </c>
      <c r="K13164" t="str">
        <f>"818"</f>
        <v>818</v>
      </c>
      <c r="L13164">
        <v>64.989999999999995</v>
      </c>
    </row>
    <row r="13165" spans="1:12" x14ac:dyDescent="0.25">
      <c r="A13165" t="str">
        <f t="shared" si="2370"/>
        <v>89301000</v>
      </c>
      <c r="B13165" t="str">
        <f t="shared" si="2373"/>
        <v>95202000</v>
      </c>
      <c r="C13165" t="str">
        <f>"95202818"</f>
        <v>95202818</v>
      </c>
      <c r="D13165">
        <v>89301167</v>
      </c>
      <c r="E13165" t="str">
        <f>"521204004"</f>
        <v>521204004</v>
      </c>
      <c r="F13165" s="1">
        <v>45222</v>
      </c>
      <c r="G13165" t="str">
        <f>"96167"</f>
        <v>96167</v>
      </c>
      <c r="H13165">
        <v>1</v>
      </c>
      <c r="I13165">
        <v>67</v>
      </c>
      <c r="J13165">
        <v>0</v>
      </c>
      <c r="K13165" t="str">
        <f>"818"</f>
        <v>818</v>
      </c>
      <c r="L13165">
        <v>64.989999999999995</v>
      </c>
    </row>
    <row r="13166" spans="1:12" x14ac:dyDescent="0.25">
      <c r="A13166" t="str">
        <f t="shared" si="2370"/>
        <v>89301000</v>
      </c>
      <c r="B13166" t="str">
        <f t="shared" si="2373"/>
        <v>95202000</v>
      </c>
      <c r="C13166" t="str">
        <f>"95202818"</f>
        <v>95202818</v>
      </c>
      <c r="D13166">
        <v>89301167</v>
      </c>
      <c r="E13166" t="str">
        <f>"6109280386"</f>
        <v>6109280386</v>
      </c>
      <c r="F13166" s="1">
        <v>45218</v>
      </c>
      <c r="G13166" t="str">
        <f>"96167"</f>
        <v>96167</v>
      </c>
      <c r="H13166">
        <v>1</v>
      </c>
      <c r="I13166">
        <v>67</v>
      </c>
      <c r="J13166">
        <v>0</v>
      </c>
      <c r="K13166" t="str">
        <f>"818"</f>
        <v>818</v>
      </c>
      <c r="L13166">
        <v>64.989999999999995</v>
      </c>
    </row>
    <row r="13167" spans="1:12" x14ac:dyDescent="0.25">
      <c r="A13167" t="str">
        <f t="shared" si="2370"/>
        <v>89301000</v>
      </c>
      <c r="B13167" t="str">
        <f t="shared" si="2373"/>
        <v>95202000</v>
      </c>
      <c r="C13167" t="str">
        <f t="shared" ref="C13167:C13198" si="2374">"95202096"</f>
        <v>95202096</v>
      </c>
      <c r="D13167">
        <v>89301167</v>
      </c>
      <c r="E13167" t="str">
        <f t="shared" ref="E13167:E13186" si="2375">"5707200807"</f>
        <v>5707200807</v>
      </c>
      <c r="F13167" s="1">
        <v>45208</v>
      </c>
      <c r="G13167" t="str">
        <f>"81329"</f>
        <v>81329</v>
      </c>
      <c r="H13167">
        <v>1</v>
      </c>
      <c r="I13167">
        <v>17</v>
      </c>
      <c r="J13167">
        <v>0</v>
      </c>
      <c r="K13167" t="str">
        <f t="shared" ref="K13167:K13198" si="2376">"801"</f>
        <v>801</v>
      </c>
      <c r="L13167">
        <v>14.28</v>
      </c>
    </row>
    <row r="13168" spans="1:12" x14ac:dyDescent="0.25">
      <c r="A13168" t="str">
        <f t="shared" si="2370"/>
        <v>89301000</v>
      </c>
      <c r="B13168" t="str">
        <f t="shared" si="2373"/>
        <v>95202000</v>
      </c>
      <c r="C13168" t="str">
        <f t="shared" si="2374"/>
        <v>95202096</v>
      </c>
      <c r="D13168">
        <v>89301167</v>
      </c>
      <c r="E13168" t="str">
        <f t="shared" si="2375"/>
        <v>5707200807</v>
      </c>
      <c r="F13168" s="1">
        <v>45208</v>
      </c>
      <c r="G13168" t="str">
        <f>"81337"</f>
        <v>81337</v>
      </c>
      <c r="H13168">
        <v>1</v>
      </c>
      <c r="I13168">
        <v>20</v>
      </c>
      <c r="J13168">
        <v>0</v>
      </c>
      <c r="K13168" t="str">
        <f t="shared" si="2376"/>
        <v>801</v>
      </c>
      <c r="L13168">
        <v>16.8</v>
      </c>
    </row>
    <row r="13169" spans="1:12" x14ac:dyDescent="0.25">
      <c r="A13169" t="str">
        <f t="shared" si="2370"/>
        <v>89301000</v>
      </c>
      <c r="B13169" t="str">
        <f t="shared" si="2373"/>
        <v>95202000</v>
      </c>
      <c r="C13169" t="str">
        <f t="shared" si="2374"/>
        <v>95202096</v>
      </c>
      <c r="D13169">
        <v>89301167</v>
      </c>
      <c r="E13169" t="str">
        <f t="shared" si="2375"/>
        <v>5707200807</v>
      </c>
      <c r="F13169" s="1">
        <v>45208</v>
      </c>
      <c r="G13169" t="str">
        <f>"81357"</f>
        <v>81357</v>
      </c>
      <c r="H13169">
        <v>1</v>
      </c>
      <c r="I13169">
        <v>20</v>
      </c>
      <c r="J13169">
        <v>0</v>
      </c>
      <c r="K13169" t="str">
        <f t="shared" si="2376"/>
        <v>801</v>
      </c>
      <c r="L13169">
        <v>16.8</v>
      </c>
    </row>
    <row r="13170" spans="1:12" x14ac:dyDescent="0.25">
      <c r="A13170" t="str">
        <f t="shared" si="2370"/>
        <v>89301000</v>
      </c>
      <c r="B13170" t="str">
        <f t="shared" si="2373"/>
        <v>95202000</v>
      </c>
      <c r="C13170" t="str">
        <f t="shared" si="2374"/>
        <v>95202096</v>
      </c>
      <c r="D13170">
        <v>89301167</v>
      </c>
      <c r="E13170" t="str">
        <f t="shared" si="2375"/>
        <v>5707200807</v>
      </c>
      <c r="F13170" s="1">
        <v>45208</v>
      </c>
      <c r="G13170" t="str">
        <f>"81361"</f>
        <v>81361</v>
      </c>
      <c r="H13170">
        <v>1</v>
      </c>
      <c r="I13170">
        <v>17</v>
      </c>
      <c r="J13170">
        <v>0</v>
      </c>
      <c r="K13170" t="str">
        <f t="shared" si="2376"/>
        <v>801</v>
      </c>
      <c r="L13170">
        <v>14.28</v>
      </c>
    </row>
    <row r="13171" spans="1:12" x14ac:dyDescent="0.25">
      <c r="A13171" t="str">
        <f t="shared" si="2370"/>
        <v>89301000</v>
      </c>
      <c r="B13171" t="str">
        <f t="shared" si="2373"/>
        <v>95202000</v>
      </c>
      <c r="C13171" t="str">
        <f t="shared" si="2374"/>
        <v>95202096</v>
      </c>
      <c r="D13171">
        <v>89301167</v>
      </c>
      <c r="E13171" t="str">
        <f t="shared" si="2375"/>
        <v>5707200807</v>
      </c>
      <c r="F13171" s="1">
        <v>45208</v>
      </c>
      <c r="G13171" t="str">
        <f>"81365"</f>
        <v>81365</v>
      </c>
      <c r="H13171">
        <v>1</v>
      </c>
      <c r="I13171">
        <v>16</v>
      </c>
      <c r="J13171">
        <v>0</v>
      </c>
      <c r="K13171" t="str">
        <f t="shared" si="2376"/>
        <v>801</v>
      </c>
      <c r="L13171">
        <v>13.44</v>
      </c>
    </row>
    <row r="13172" spans="1:12" x14ac:dyDescent="0.25">
      <c r="A13172" t="str">
        <f t="shared" si="2370"/>
        <v>89301000</v>
      </c>
      <c r="B13172" t="str">
        <f t="shared" si="2373"/>
        <v>95202000</v>
      </c>
      <c r="C13172" t="str">
        <f t="shared" si="2374"/>
        <v>95202096</v>
      </c>
      <c r="D13172">
        <v>89301167</v>
      </c>
      <c r="E13172" t="str">
        <f t="shared" si="2375"/>
        <v>5707200807</v>
      </c>
      <c r="F13172" s="1">
        <v>45208</v>
      </c>
      <c r="G13172" t="str">
        <f>"81393"</f>
        <v>81393</v>
      </c>
      <c r="H13172">
        <v>1</v>
      </c>
      <c r="I13172">
        <v>24</v>
      </c>
      <c r="J13172">
        <v>0</v>
      </c>
      <c r="K13172" t="str">
        <f t="shared" si="2376"/>
        <v>801</v>
      </c>
      <c r="L13172">
        <v>20.16</v>
      </c>
    </row>
    <row r="13173" spans="1:12" x14ac:dyDescent="0.25">
      <c r="A13173" t="str">
        <f t="shared" si="2370"/>
        <v>89301000</v>
      </c>
      <c r="B13173" t="str">
        <f t="shared" si="2373"/>
        <v>95202000</v>
      </c>
      <c r="C13173" t="str">
        <f t="shared" si="2374"/>
        <v>95202096</v>
      </c>
      <c r="D13173">
        <v>89301167</v>
      </c>
      <c r="E13173" t="str">
        <f t="shared" si="2375"/>
        <v>5707200807</v>
      </c>
      <c r="F13173" s="1">
        <v>45208</v>
      </c>
      <c r="G13173" t="str">
        <f>"81421"</f>
        <v>81421</v>
      </c>
      <c r="H13173">
        <v>1</v>
      </c>
      <c r="I13173">
        <v>19</v>
      </c>
      <c r="J13173">
        <v>0</v>
      </c>
      <c r="K13173" t="str">
        <f t="shared" si="2376"/>
        <v>801</v>
      </c>
      <c r="L13173">
        <v>15.96</v>
      </c>
    </row>
    <row r="13174" spans="1:12" x14ac:dyDescent="0.25">
      <c r="A13174" t="str">
        <f t="shared" si="2370"/>
        <v>89301000</v>
      </c>
      <c r="B13174" t="str">
        <f t="shared" si="2373"/>
        <v>95202000</v>
      </c>
      <c r="C13174" t="str">
        <f t="shared" si="2374"/>
        <v>95202096</v>
      </c>
      <c r="D13174">
        <v>89301167</v>
      </c>
      <c r="E13174" t="str">
        <f t="shared" si="2375"/>
        <v>5707200807</v>
      </c>
      <c r="F13174" s="1">
        <v>45208</v>
      </c>
      <c r="G13174" t="str">
        <f>"81435"</f>
        <v>81435</v>
      </c>
      <c r="H13174">
        <v>1</v>
      </c>
      <c r="I13174">
        <v>22</v>
      </c>
      <c r="J13174">
        <v>0</v>
      </c>
      <c r="K13174" t="str">
        <f t="shared" si="2376"/>
        <v>801</v>
      </c>
      <c r="L13174">
        <v>18.48</v>
      </c>
    </row>
    <row r="13175" spans="1:12" x14ac:dyDescent="0.25">
      <c r="A13175" t="str">
        <f t="shared" si="2370"/>
        <v>89301000</v>
      </c>
      <c r="B13175" t="str">
        <f t="shared" si="2373"/>
        <v>95202000</v>
      </c>
      <c r="C13175" t="str">
        <f t="shared" si="2374"/>
        <v>95202096</v>
      </c>
      <c r="D13175">
        <v>89301167</v>
      </c>
      <c r="E13175" t="str">
        <f t="shared" si="2375"/>
        <v>5707200807</v>
      </c>
      <c r="F13175" s="1">
        <v>45208</v>
      </c>
      <c r="G13175" t="str">
        <f>"81439"</f>
        <v>81439</v>
      </c>
      <c r="H13175">
        <v>1</v>
      </c>
      <c r="I13175">
        <v>16</v>
      </c>
      <c r="J13175">
        <v>0</v>
      </c>
      <c r="K13175" t="str">
        <f t="shared" si="2376"/>
        <v>801</v>
      </c>
      <c r="L13175">
        <v>13.44</v>
      </c>
    </row>
    <row r="13176" spans="1:12" x14ac:dyDescent="0.25">
      <c r="A13176" t="str">
        <f t="shared" si="2370"/>
        <v>89301000</v>
      </c>
      <c r="B13176" t="str">
        <f t="shared" si="2373"/>
        <v>95202000</v>
      </c>
      <c r="C13176" t="str">
        <f t="shared" si="2374"/>
        <v>95202096</v>
      </c>
      <c r="D13176">
        <v>89301167</v>
      </c>
      <c r="E13176" t="str">
        <f t="shared" si="2375"/>
        <v>5707200807</v>
      </c>
      <c r="F13176" s="1">
        <v>45208</v>
      </c>
      <c r="G13176" t="str">
        <f>"81469"</f>
        <v>81469</v>
      </c>
      <c r="H13176">
        <v>1</v>
      </c>
      <c r="I13176">
        <v>16</v>
      </c>
      <c r="J13176">
        <v>0</v>
      </c>
      <c r="K13176" t="str">
        <f t="shared" si="2376"/>
        <v>801</v>
      </c>
      <c r="L13176">
        <v>13.44</v>
      </c>
    </row>
    <row r="13177" spans="1:12" x14ac:dyDescent="0.25">
      <c r="A13177" t="str">
        <f t="shared" si="2370"/>
        <v>89301000</v>
      </c>
      <c r="B13177" t="str">
        <f t="shared" si="2373"/>
        <v>95202000</v>
      </c>
      <c r="C13177" t="str">
        <f t="shared" si="2374"/>
        <v>95202096</v>
      </c>
      <c r="D13177">
        <v>89301167</v>
      </c>
      <c r="E13177" t="str">
        <f t="shared" si="2375"/>
        <v>5707200807</v>
      </c>
      <c r="F13177" s="1">
        <v>45208</v>
      </c>
      <c r="G13177" t="str">
        <f>"81499"</f>
        <v>81499</v>
      </c>
      <c r="H13177">
        <v>1</v>
      </c>
      <c r="I13177">
        <v>18</v>
      </c>
      <c r="J13177">
        <v>0</v>
      </c>
      <c r="K13177" t="str">
        <f t="shared" si="2376"/>
        <v>801</v>
      </c>
      <c r="L13177">
        <v>15.12</v>
      </c>
    </row>
    <row r="13178" spans="1:12" x14ac:dyDescent="0.25">
      <c r="A13178" t="str">
        <f t="shared" si="2370"/>
        <v>89301000</v>
      </c>
      <c r="B13178" t="str">
        <f t="shared" si="2373"/>
        <v>95202000</v>
      </c>
      <c r="C13178" t="str">
        <f t="shared" si="2374"/>
        <v>95202096</v>
      </c>
      <c r="D13178">
        <v>89301167</v>
      </c>
      <c r="E13178" t="str">
        <f t="shared" si="2375"/>
        <v>5707200807</v>
      </c>
      <c r="F13178" s="1">
        <v>45208</v>
      </c>
      <c r="G13178" t="str">
        <f>"81593"</f>
        <v>81593</v>
      </c>
      <c r="H13178">
        <v>1</v>
      </c>
      <c r="I13178">
        <v>22</v>
      </c>
      <c r="J13178">
        <v>0</v>
      </c>
      <c r="K13178" t="str">
        <f t="shared" si="2376"/>
        <v>801</v>
      </c>
      <c r="L13178">
        <v>18.48</v>
      </c>
    </row>
    <row r="13179" spans="1:12" x14ac:dyDescent="0.25">
      <c r="A13179" t="str">
        <f t="shared" si="2370"/>
        <v>89301000</v>
      </c>
      <c r="B13179" t="str">
        <f t="shared" si="2373"/>
        <v>95202000</v>
      </c>
      <c r="C13179" t="str">
        <f t="shared" si="2374"/>
        <v>95202096</v>
      </c>
      <c r="D13179">
        <v>89301167</v>
      </c>
      <c r="E13179" t="str">
        <f t="shared" si="2375"/>
        <v>5707200807</v>
      </c>
      <c r="F13179" s="1">
        <v>45208</v>
      </c>
      <c r="G13179" t="str">
        <f>"81621"</f>
        <v>81621</v>
      </c>
      <c r="H13179">
        <v>1</v>
      </c>
      <c r="I13179">
        <v>19</v>
      </c>
      <c r="J13179">
        <v>0</v>
      </c>
      <c r="K13179" t="str">
        <f t="shared" si="2376"/>
        <v>801</v>
      </c>
      <c r="L13179">
        <v>15.96</v>
      </c>
    </row>
    <row r="13180" spans="1:12" x14ac:dyDescent="0.25">
      <c r="A13180" t="str">
        <f t="shared" si="2370"/>
        <v>89301000</v>
      </c>
      <c r="B13180" t="str">
        <f t="shared" si="2373"/>
        <v>95202000</v>
      </c>
      <c r="C13180" t="str">
        <f t="shared" si="2374"/>
        <v>95202096</v>
      </c>
      <c r="D13180">
        <v>89301167</v>
      </c>
      <c r="E13180" t="str">
        <f t="shared" si="2375"/>
        <v>5707200807</v>
      </c>
      <c r="F13180" s="1">
        <v>45208</v>
      </c>
      <c r="G13180" t="str">
        <f>"81625"</f>
        <v>81625</v>
      </c>
      <c r="H13180">
        <v>1</v>
      </c>
      <c r="I13180">
        <v>21</v>
      </c>
      <c r="J13180">
        <v>0</v>
      </c>
      <c r="K13180" t="str">
        <f t="shared" si="2376"/>
        <v>801</v>
      </c>
      <c r="L13180">
        <v>17.64</v>
      </c>
    </row>
    <row r="13181" spans="1:12" x14ac:dyDescent="0.25">
      <c r="A13181" t="str">
        <f t="shared" si="2370"/>
        <v>89301000</v>
      </c>
      <c r="B13181" t="str">
        <f t="shared" si="2373"/>
        <v>95202000</v>
      </c>
      <c r="C13181" t="str">
        <f t="shared" si="2374"/>
        <v>95202096</v>
      </c>
      <c r="D13181">
        <v>89301167</v>
      </c>
      <c r="E13181" t="str">
        <f t="shared" si="2375"/>
        <v>5707200807</v>
      </c>
      <c r="F13181" s="1">
        <v>45208</v>
      </c>
      <c r="G13181" t="str">
        <f>"91153"</f>
        <v>91153</v>
      </c>
      <c r="H13181">
        <v>1</v>
      </c>
      <c r="I13181">
        <v>153</v>
      </c>
      <c r="J13181">
        <v>0</v>
      </c>
      <c r="K13181" t="str">
        <f t="shared" si="2376"/>
        <v>801</v>
      </c>
      <c r="L13181">
        <v>128.52000000000001</v>
      </c>
    </row>
    <row r="13182" spans="1:12" x14ac:dyDescent="0.25">
      <c r="A13182" t="str">
        <f t="shared" si="2370"/>
        <v>89301000</v>
      </c>
      <c r="B13182" t="str">
        <f t="shared" si="2373"/>
        <v>95202000</v>
      </c>
      <c r="C13182" t="str">
        <f t="shared" si="2374"/>
        <v>95202096</v>
      </c>
      <c r="D13182">
        <v>89301167</v>
      </c>
      <c r="E13182" t="str">
        <f t="shared" si="2375"/>
        <v>5707200807</v>
      </c>
      <c r="F13182" s="1">
        <v>45208</v>
      </c>
      <c r="G13182" t="str">
        <f>"93189"</f>
        <v>93189</v>
      </c>
      <c r="H13182">
        <v>1</v>
      </c>
      <c r="I13182">
        <v>191</v>
      </c>
      <c r="J13182">
        <v>0</v>
      </c>
      <c r="K13182" t="str">
        <f t="shared" si="2376"/>
        <v>801</v>
      </c>
      <c r="L13182">
        <v>160.44</v>
      </c>
    </row>
    <row r="13183" spans="1:12" x14ac:dyDescent="0.25">
      <c r="A13183" t="str">
        <f t="shared" si="2370"/>
        <v>89301000</v>
      </c>
      <c r="B13183" t="str">
        <f t="shared" si="2373"/>
        <v>95202000</v>
      </c>
      <c r="C13183" t="str">
        <f t="shared" si="2374"/>
        <v>95202096</v>
      </c>
      <c r="D13183">
        <v>89301167</v>
      </c>
      <c r="E13183" t="str">
        <f t="shared" si="2375"/>
        <v>5707200807</v>
      </c>
      <c r="F13183" s="1">
        <v>45208</v>
      </c>
      <c r="G13183" t="str">
        <f>"93195"</f>
        <v>93195</v>
      </c>
      <c r="H13183">
        <v>1</v>
      </c>
      <c r="I13183">
        <v>183</v>
      </c>
      <c r="J13183">
        <v>0</v>
      </c>
      <c r="K13183" t="str">
        <f t="shared" si="2376"/>
        <v>801</v>
      </c>
      <c r="L13183">
        <v>153.72</v>
      </c>
    </row>
    <row r="13184" spans="1:12" x14ac:dyDescent="0.25">
      <c r="A13184" t="str">
        <f t="shared" si="2370"/>
        <v>89301000</v>
      </c>
      <c r="B13184" t="str">
        <f t="shared" si="2373"/>
        <v>95202000</v>
      </c>
      <c r="C13184" t="str">
        <f t="shared" si="2374"/>
        <v>95202096</v>
      </c>
      <c r="D13184">
        <v>89301167</v>
      </c>
      <c r="E13184" t="str">
        <f t="shared" si="2375"/>
        <v>5707200807</v>
      </c>
      <c r="F13184" s="1">
        <v>45208</v>
      </c>
      <c r="G13184" t="str">
        <f>"93221"</f>
        <v>93221</v>
      </c>
      <c r="H13184">
        <v>1</v>
      </c>
      <c r="I13184">
        <v>190</v>
      </c>
      <c r="J13184">
        <v>0</v>
      </c>
      <c r="K13184" t="str">
        <f t="shared" si="2376"/>
        <v>801</v>
      </c>
      <c r="L13184">
        <v>159.6</v>
      </c>
    </row>
    <row r="13185" spans="1:12" x14ac:dyDescent="0.25">
      <c r="A13185" t="str">
        <f t="shared" si="2370"/>
        <v>89301000</v>
      </c>
      <c r="B13185" t="str">
        <f t="shared" si="2373"/>
        <v>95202000</v>
      </c>
      <c r="C13185" t="str">
        <f t="shared" si="2374"/>
        <v>95202096</v>
      </c>
      <c r="D13185">
        <v>89301167</v>
      </c>
      <c r="E13185" t="str">
        <f t="shared" si="2375"/>
        <v>5707200807</v>
      </c>
      <c r="F13185" s="1">
        <v>45208</v>
      </c>
      <c r="G13185" t="str">
        <f>"93245"</f>
        <v>93245</v>
      </c>
      <c r="H13185">
        <v>1</v>
      </c>
      <c r="I13185">
        <v>191</v>
      </c>
      <c r="J13185">
        <v>0</v>
      </c>
      <c r="K13185" t="str">
        <f t="shared" si="2376"/>
        <v>801</v>
      </c>
      <c r="L13185">
        <v>160.44</v>
      </c>
    </row>
    <row r="13186" spans="1:12" x14ac:dyDescent="0.25">
      <c r="A13186" t="str">
        <f t="shared" ref="A13186:A13249" si="2377">"89301000"</f>
        <v>89301000</v>
      </c>
      <c r="B13186" t="str">
        <f t="shared" si="2373"/>
        <v>95202000</v>
      </c>
      <c r="C13186" t="str">
        <f t="shared" si="2374"/>
        <v>95202096</v>
      </c>
      <c r="D13186">
        <v>89301167</v>
      </c>
      <c r="E13186" t="str">
        <f t="shared" si="2375"/>
        <v>5707200807</v>
      </c>
      <c r="F13186" s="1">
        <v>45208</v>
      </c>
      <c r="G13186" t="str">
        <f>"97111"</f>
        <v>97111</v>
      </c>
      <c r="H13186">
        <v>1</v>
      </c>
      <c r="I13186">
        <v>19</v>
      </c>
      <c r="J13186">
        <v>0</v>
      </c>
      <c r="K13186" t="str">
        <f t="shared" si="2376"/>
        <v>801</v>
      </c>
      <c r="L13186">
        <v>23.94</v>
      </c>
    </row>
    <row r="13187" spans="1:12" x14ac:dyDescent="0.25">
      <c r="A13187" t="str">
        <f t="shared" si="2377"/>
        <v>89301000</v>
      </c>
      <c r="B13187" t="str">
        <f t="shared" si="2373"/>
        <v>95202000</v>
      </c>
      <c r="C13187" t="str">
        <f t="shared" si="2374"/>
        <v>95202096</v>
      </c>
      <c r="D13187">
        <v>89301167</v>
      </c>
      <c r="E13187" t="str">
        <f t="shared" ref="E13187:E13205" si="2378">"5709166199"</f>
        <v>5709166199</v>
      </c>
      <c r="F13187" s="1">
        <v>45202</v>
      </c>
      <c r="G13187" t="str">
        <f>"81329"</f>
        <v>81329</v>
      </c>
      <c r="H13187">
        <v>1</v>
      </c>
      <c r="I13187">
        <v>17</v>
      </c>
      <c r="J13187">
        <v>0</v>
      </c>
      <c r="K13187" t="str">
        <f t="shared" si="2376"/>
        <v>801</v>
      </c>
      <c r="L13187">
        <v>14.28</v>
      </c>
    </row>
    <row r="13188" spans="1:12" x14ac:dyDescent="0.25">
      <c r="A13188" t="str">
        <f t="shared" si="2377"/>
        <v>89301000</v>
      </c>
      <c r="B13188" t="str">
        <f t="shared" si="2373"/>
        <v>95202000</v>
      </c>
      <c r="C13188" t="str">
        <f t="shared" si="2374"/>
        <v>95202096</v>
      </c>
      <c r="D13188">
        <v>89301167</v>
      </c>
      <c r="E13188" t="str">
        <f t="shared" si="2378"/>
        <v>5709166199</v>
      </c>
      <c r="F13188" s="1">
        <v>45202</v>
      </c>
      <c r="G13188" t="str">
        <f>"81337"</f>
        <v>81337</v>
      </c>
      <c r="H13188">
        <v>1</v>
      </c>
      <c r="I13188">
        <v>20</v>
      </c>
      <c r="J13188">
        <v>0</v>
      </c>
      <c r="K13188" t="str">
        <f t="shared" si="2376"/>
        <v>801</v>
      </c>
      <c r="L13188">
        <v>16.8</v>
      </c>
    </row>
    <row r="13189" spans="1:12" x14ac:dyDescent="0.25">
      <c r="A13189" t="str">
        <f t="shared" si="2377"/>
        <v>89301000</v>
      </c>
      <c r="B13189" t="str">
        <f t="shared" si="2373"/>
        <v>95202000</v>
      </c>
      <c r="C13189" t="str">
        <f t="shared" si="2374"/>
        <v>95202096</v>
      </c>
      <c r="D13189">
        <v>89301167</v>
      </c>
      <c r="E13189" t="str">
        <f t="shared" si="2378"/>
        <v>5709166199</v>
      </c>
      <c r="F13189" s="1">
        <v>45202</v>
      </c>
      <c r="G13189" t="str">
        <f>"81357"</f>
        <v>81357</v>
      </c>
      <c r="H13189">
        <v>1</v>
      </c>
      <c r="I13189">
        <v>20</v>
      </c>
      <c r="J13189">
        <v>0</v>
      </c>
      <c r="K13189" t="str">
        <f t="shared" si="2376"/>
        <v>801</v>
      </c>
      <c r="L13189">
        <v>16.8</v>
      </c>
    </row>
    <row r="13190" spans="1:12" x14ac:dyDescent="0.25">
      <c r="A13190" t="str">
        <f t="shared" si="2377"/>
        <v>89301000</v>
      </c>
      <c r="B13190" t="str">
        <f t="shared" si="2373"/>
        <v>95202000</v>
      </c>
      <c r="C13190" t="str">
        <f t="shared" si="2374"/>
        <v>95202096</v>
      </c>
      <c r="D13190">
        <v>89301167</v>
      </c>
      <c r="E13190" t="str">
        <f t="shared" si="2378"/>
        <v>5709166199</v>
      </c>
      <c r="F13190" s="1">
        <v>45202</v>
      </c>
      <c r="G13190" t="str">
        <f>"81361"</f>
        <v>81361</v>
      </c>
      <c r="H13190">
        <v>1</v>
      </c>
      <c r="I13190">
        <v>17</v>
      </c>
      <c r="J13190">
        <v>0</v>
      </c>
      <c r="K13190" t="str">
        <f t="shared" si="2376"/>
        <v>801</v>
      </c>
      <c r="L13190">
        <v>14.28</v>
      </c>
    </row>
    <row r="13191" spans="1:12" x14ac:dyDescent="0.25">
      <c r="A13191" t="str">
        <f t="shared" si="2377"/>
        <v>89301000</v>
      </c>
      <c r="B13191" t="str">
        <f t="shared" si="2373"/>
        <v>95202000</v>
      </c>
      <c r="C13191" t="str">
        <f t="shared" si="2374"/>
        <v>95202096</v>
      </c>
      <c r="D13191">
        <v>89301167</v>
      </c>
      <c r="E13191" t="str">
        <f t="shared" si="2378"/>
        <v>5709166199</v>
      </c>
      <c r="F13191" s="1">
        <v>45202</v>
      </c>
      <c r="G13191" t="str">
        <f>"81365"</f>
        <v>81365</v>
      </c>
      <c r="H13191">
        <v>1</v>
      </c>
      <c r="I13191">
        <v>16</v>
      </c>
      <c r="J13191">
        <v>0</v>
      </c>
      <c r="K13191" t="str">
        <f t="shared" si="2376"/>
        <v>801</v>
      </c>
      <c r="L13191">
        <v>13.44</v>
      </c>
    </row>
    <row r="13192" spans="1:12" x14ac:dyDescent="0.25">
      <c r="A13192" t="str">
        <f t="shared" si="2377"/>
        <v>89301000</v>
      </c>
      <c r="B13192" t="str">
        <f t="shared" si="2373"/>
        <v>95202000</v>
      </c>
      <c r="C13192" t="str">
        <f t="shared" si="2374"/>
        <v>95202096</v>
      </c>
      <c r="D13192">
        <v>89301167</v>
      </c>
      <c r="E13192" t="str">
        <f t="shared" si="2378"/>
        <v>5709166199</v>
      </c>
      <c r="F13192" s="1">
        <v>45202</v>
      </c>
      <c r="G13192" t="str">
        <f>"81383"</f>
        <v>81383</v>
      </c>
      <c r="H13192">
        <v>1</v>
      </c>
      <c r="I13192">
        <v>24</v>
      </c>
      <c r="J13192">
        <v>0</v>
      </c>
      <c r="K13192" t="str">
        <f t="shared" si="2376"/>
        <v>801</v>
      </c>
      <c r="L13192">
        <v>20.16</v>
      </c>
    </row>
    <row r="13193" spans="1:12" x14ac:dyDescent="0.25">
      <c r="A13193" t="str">
        <f t="shared" si="2377"/>
        <v>89301000</v>
      </c>
      <c r="B13193" t="str">
        <f t="shared" si="2373"/>
        <v>95202000</v>
      </c>
      <c r="C13193" t="str">
        <f t="shared" si="2374"/>
        <v>95202096</v>
      </c>
      <c r="D13193">
        <v>89301167</v>
      </c>
      <c r="E13193" t="str">
        <f t="shared" si="2378"/>
        <v>5709166199</v>
      </c>
      <c r="F13193" s="1">
        <v>45202</v>
      </c>
      <c r="G13193" t="str">
        <f>"81393"</f>
        <v>81393</v>
      </c>
      <c r="H13193">
        <v>1</v>
      </c>
      <c r="I13193">
        <v>24</v>
      </c>
      <c r="J13193">
        <v>0</v>
      </c>
      <c r="K13193" t="str">
        <f t="shared" si="2376"/>
        <v>801</v>
      </c>
      <c r="L13193">
        <v>20.16</v>
      </c>
    </row>
    <row r="13194" spans="1:12" x14ac:dyDescent="0.25">
      <c r="A13194" t="str">
        <f t="shared" si="2377"/>
        <v>89301000</v>
      </c>
      <c r="B13194" t="str">
        <f t="shared" ref="B13194:B13225" si="2379">"95202000"</f>
        <v>95202000</v>
      </c>
      <c r="C13194" t="str">
        <f t="shared" si="2374"/>
        <v>95202096</v>
      </c>
      <c r="D13194">
        <v>89301167</v>
      </c>
      <c r="E13194" t="str">
        <f t="shared" si="2378"/>
        <v>5709166199</v>
      </c>
      <c r="F13194" s="1">
        <v>45202</v>
      </c>
      <c r="G13194" t="str">
        <f>"81421"</f>
        <v>81421</v>
      </c>
      <c r="H13194">
        <v>1</v>
      </c>
      <c r="I13194">
        <v>19</v>
      </c>
      <c r="J13194">
        <v>0</v>
      </c>
      <c r="K13194" t="str">
        <f t="shared" si="2376"/>
        <v>801</v>
      </c>
      <c r="L13194">
        <v>15.96</v>
      </c>
    </row>
    <row r="13195" spans="1:12" x14ac:dyDescent="0.25">
      <c r="A13195" t="str">
        <f t="shared" si="2377"/>
        <v>89301000</v>
      </c>
      <c r="B13195" t="str">
        <f t="shared" si="2379"/>
        <v>95202000</v>
      </c>
      <c r="C13195" t="str">
        <f t="shared" si="2374"/>
        <v>95202096</v>
      </c>
      <c r="D13195">
        <v>89301167</v>
      </c>
      <c r="E13195" t="str">
        <f t="shared" si="2378"/>
        <v>5709166199</v>
      </c>
      <c r="F13195" s="1">
        <v>45202</v>
      </c>
      <c r="G13195" t="str">
        <f>"81435"</f>
        <v>81435</v>
      </c>
      <c r="H13195">
        <v>1</v>
      </c>
      <c r="I13195">
        <v>22</v>
      </c>
      <c r="J13195">
        <v>0</v>
      </c>
      <c r="K13195" t="str">
        <f t="shared" si="2376"/>
        <v>801</v>
      </c>
      <c r="L13195">
        <v>18.48</v>
      </c>
    </row>
    <row r="13196" spans="1:12" x14ac:dyDescent="0.25">
      <c r="A13196" t="str">
        <f t="shared" si="2377"/>
        <v>89301000</v>
      </c>
      <c r="B13196" t="str">
        <f t="shared" si="2379"/>
        <v>95202000</v>
      </c>
      <c r="C13196" t="str">
        <f t="shared" si="2374"/>
        <v>95202096</v>
      </c>
      <c r="D13196">
        <v>89301167</v>
      </c>
      <c r="E13196" t="str">
        <f t="shared" si="2378"/>
        <v>5709166199</v>
      </c>
      <c r="F13196" s="1">
        <v>45202</v>
      </c>
      <c r="G13196" t="str">
        <f>"81439"</f>
        <v>81439</v>
      </c>
      <c r="H13196">
        <v>1</v>
      </c>
      <c r="I13196">
        <v>16</v>
      </c>
      <c r="J13196">
        <v>0</v>
      </c>
      <c r="K13196" t="str">
        <f t="shared" si="2376"/>
        <v>801</v>
      </c>
      <c r="L13196">
        <v>13.44</v>
      </c>
    </row>
    <row r="13197" spans="1:12" x14ac:dyDescent="0.25">
      <c r="A13197" t="str">
        <f t="shared" si="2377"/>
        <v>89301000</v>
      </c>
      <c r="B13197" t="str">
        <f t="shared" si="2379"/>
        <v>95202000</v>
      </c>
      <c r="C13197" t="str">
        <f t="shared" si="2374"/>
        <v>95202096</v>
      </c>
      <c r="D13197">
        <v>89301167</v>
      </c>
      <c r="E13197" t="str">
        <f t="shared" si="2378"/>
        <v>5709166199</v>
      </c>
      <c r="F13197" s="1">
        <v>45202</v>
      </c>
      <c r="G13197" t="str">
        <f>"81469"</f>
        <v>81469</v>
      </c>
      <c r="H13197">
        <v>1</v>
      </c>
      <c r="I13197">
        <v>16</v>
      </c>
      <c r="J13197">
        <v>0</v>
      </c>
      <c r="K13197" t="str">
        <f t="shared" si="2376"/>
        <v>801</v>
      </c>
      <c r="L13197">
        <v>13.44</v>
      </c>
    </row>
    <row r="13198" spans="1:12" x14ac:dyDescent="0.25">
      <c r="A13198" t="str">
        <f t="shared" si="2377"/>
        <v>89301000</v>
      </c>
      <c r="B13198" t="str">
        <f t="shared" si="2379"/>
        <v>95202000</v>
      </c>
      <c r="C13198" t="str">
        <f t="shared" si="2374"/>
        <v>95202096</v>
      </c>
      <c r="D13198">
        <v>89301167</v>
      </c>
      <c r="E13198" t="str">
        <f t="shared" si="2378"/>
        <v>5709166199</v>
      </c>
      <c r="F13198" s="1">
        <v>45202</v>
      </c>
      <c r="G13198" t="str">
        <f>"81499"</f>
        <v>81499</v>
      </c>
      <c r="H13198">
        <v>1</v>
      </c>
      <c r="I13198">
        <v>18</v>
      </c>
      <c r="J13198">
        <v>0</v>
      </c>
      <c r="K13198" t="str">
        <f t="shared" si="2376"/>
        <v>801</v>
      </c>
      <c r="L13198">
        <v>15.12</v>
      </c>
    </row>
    <row r="13199" spans="1:12" x14ac:dyDescent="0.25">
      <c r="A13199" t="str">
        <f t="shared" si="2377"/>
        <v>89301000</v>
      </c>
      <c r="B13199" t="str">
        <f t="shared" si="2379"/>
        <v>95202000</v>
      </c>
      <c r="C13199" t="str">
        <f t="shared" ref="C13199:C13230" si="2380">"95202096"</f>
        <v>95202096</v>
      </c>
      <c r="D13199">
        <v>89301167</v>
      </c>
      <c r="E13199" t="str">
        <f t="shared" si="2378"/>
        <v>5709166199</v>
      </c>
      <c r="F13199" s="1">
        <v>45202</v>
      </c>
      <c r="G13199" t="str">
        <f>"81593"</f>
        <v>81593</v>
      </c>
      <c r="H13199">
        <v>1</v>
      </c>
      <c r="I13199">
        <v>22</v>
      </c>
      <c r="J13199">
        <v>0</v>
      </c>
      <c r="K13199" t="str">
        <f t="shared" ref="K13199:K13230" si="2381">"801"</f>
        <v>801</v>
      </c>
      <c r="L13199">
        <v>18.48</v>
      </c>
    </row>
    <row r="13200" spans="1:12" x14ac:dyDescent="0.25">
      <c r="A13200" t="str">
        <f t="shared" si="2377"/>
        <v>89301000</v>
      </c>
      <c r="B13200" t="str">
        <f t="shared" si="2379"/>
        <v>95202000</v>
      </c>
      <c r="C13200" t="str">
        <f t="shared" si="2380"/>
        <v>95202096</v>
      </c>
      <c r="D13200">
        <v>89301167</v>
      </c>
      <c r="E13200" t="str">
        <f t="shared" si="2378"/>
        <v>5709166199</v>
      </c>
      <c r="F13200" s="1">
        <v>45202</v>
      </c>
      <c r="G13200" t="str">
        <f>"81621"</f>
        <v>81621</v>
      </c>
      <c r="H13200">
        <v>1</v>
      </c>
      <c r="I13200">
        <v>19</v>
      </c>
      <c r="J13200">
        <v>0</v>
      </c>
      <c r="K13200" t="str">
        <f t="shared" si="2381"/>
        <v>801</v>
      </c>
      <c r="L13200">
        <v>15.96</v>
      </c>
    </row>
    <row r="13201" spans="1:12" x14ac:dyDescent="0.25">
      <c r="A13201" t="str">
        <f t="shared" si="2377"/>
        <v>89301000</v>
      </c>
      <c r="B13201" t="str">
        <f t="shared" si="2379"/>
        <v>95202000</v>
      </c>
      <c r="C13201" t="str">
        <f t="shared" si="2380"/>
        <v>95202096</v>
      </c>
      <c r="D13201">
        <v>89301167</v>
      </c>
      <c r="E13201" t="str">
        <f t="shared" si="2378"/>
        <v>5709166199</v>
      </c>
      <c r="F13201" s="1">
        <v>45202</v>
      </c>
      <c r="G13201" t="str">
        <f>"91153"</f>
        <v>91153</v>
      </c>
      <c r="H13201">
        <v>1</v>
      </c>
      <c r="I13201">
        <v>153</v>
      </c>
      <c r="J13201">
        <v>0</v>
      </c>
      <c r="K13201" t="str">
        <f t="shared" si="2381"/>
        <v>801</v>
      </c>
      <c r="L13201">
        <v>128.52000000000001</v>
      </c>
    </row>
    <row r="13202" spans="1:12" x14ac:dyDescent="0.25">
      <c r="A13202" t="str">
        <f t="shared" si="2377"/>
        <v>89301000</v>
      </c>
      <c r="B13202" t="str">
        <f t="shared" si="2379"/>
        <v>95202000</v>
      </c>
      <c r="C13202" t="str">
        <f t="shared" si="2380"/>
        <v>95202096</v>
      </c>
      <c r="D13202">
        <v>89301167</v>
      </c>
      <c r="E13202" t="str">
        <f t="shared" si="2378"/>
        <v>5709166199</v>
      </c>
      <c r="F13202" s="1">
        <v>45202</v>
      </c>
      <c r="G13202" t="str">
        <f>"93189"</f>
        <v>93189</v>
      </c>
      <c r="H13202">
        <v>1</v>
      </c>
      <c r="I13202">
        <v>191</v>
      </c>
      <c r="J13202">
        <v>0</v>
      </c>
      <c r="K13202" t="str">
        <f t="shared" si="2381"/>
        <v>801</v>
      </c>
      <c r="L13202">
        <v>160.44</v>
      </c>
    </row>
    <row r="13203" spans="1:12" x14ac:dyDescent="0.25">
      <c r="A13203" t="str">
        <f t="shared" si="2377"/>
        <v>89301000</v>
      </c>
      <c r="B13203" t="str">
        <f t="shared" si="2379"/>
        <v>95202000</v>
      </c>
      <c r="C13203" t="str">
        <f t="shared" si="2380"/>
        <v>95202096</v>
      </c>
      <c r="D13203">
        <v>89301167</v>
      </c>
      <c r="E13203" t="str">
        <f t="shared" si="2378"/>
        <v>5709166199</v>
      </c>
      <c r="F13203" s="1">
        <v>45202</v>
      </c>
      <c r="G13203" t="str">
        <f>"93195"</f>
        <v>93195</v>
      </c>
      <c r="H13203">
        <v>1</v>
      </c>
      <c r="I13203">
        <v>183</v>
      </c>
      <c r="J13203">
        <v>0</v>
      </c>
      <c r="K13203" t="str">
        <f t="shared" si="2381"/>
        <v>801</v>
      </c>
      <c r="L13203">
        <v>153.72</v>
      </c>
    </row>
    <row r="13204" spans="1:12" x14ac:dyDescent="0.25">
      <c r="A13204" t="str">
        <f t="shared" si="2377"/>
        <v>89301000</v>
      </c>
      <c r="B13204" t="str">
        <f t="shared" si="2379"/>
        <v>95202000</v>
      </c>
      <c r="C13204" t="str">
        <f t="shared" si="2380"/>
        <v>95202096</v>
      </c>
      <c r="D13204">
        <v>89301167</v>
      </c>
      <c r="E13204" t="str">
        <f t="shared" si="2378"/>
        <v>5709166199</v>
      </c>
      <c r="F13204" s="1">
        <v>45202</v>
      </c>
      <c r="G13204" t="str">
        <f>"93245"</f>
        <v>93245</v>
      </c>
      <c r="H13204">
        <v>1</v>
      </c>
      <c r="I13204">
        <v>191</v>
      </c>
      <c r="J13204">
        <v>0</v>
      </c>
      <c r="K13204" t="str">
        <f t="shared" si="2381"/>
        <v>801</v>
      </c>
      <c r="L13204">
        <v>160.44</v>
      </c>
    </row>
    <row r="13205" spans="1:12" x14ac:dyDescent="0.25">
      <c r="A13205" t="str">
        <f t="shared" si="2377"/>
        <v>89301000</v>
      </c>
      <c r="B13205" t="str">
        <f t="shared" si="2379"/>
        <v>95202000</v>
      </c>
      <c r="C13205" t="str">
        <f t="shared" si="2380"/>
        <v>95202096</v>
      </c>
      <c r="D13205">
        <v>89301167</v>
      </c>
      <c r="E13205" t="str">
        <f t="shared" si="2378"/>
        <v>5709166199</v>
      </c>
      <c r="F13205" s="1">
        <v>45202</v>
      </c>
      <c r="G13205" t="str">
        <f>"97111"</f>
        <v>97111</v>
      </c>
      <c r="H13205">
        <v>1</v>
      </c>
      <c r="I13205">
        <v>19</v>
      </c>
      <c r="J13205">
        <v>0</v>
      </c>
      <c r="K13205" t="str">
        <f t="shared" si="2381"/>
        <v>801</v>
      </c>
      <c r="L13205">
        <v>23.94</v>
      </c>
    </row>
    <row r="13206" spans="1:12" x14ac:dyDescent="0.25">
      <c r="A13206" t="str">
        <f t="shared" si="2377"/>
        <v>89301000</v>
      </c>
      <c r="B13206" t="str">
        <f t="shared" si="2379"/>
        <v>95202000</v>
      </c>
      <c r="C13206" t="str">
        <f t="shared" si="2380"/>
        <v>95202096</v>
      </c>
      <c r="D13206">
        <v>89301167</v>
      </c>
      <c r="E13206" t="str">
        <f t="shared" ref="E13206:E13223" si="2382">"521204004"</f>
        <v>521204004</v>
      </c>
      <c r="F13206" s="1">
        <v>45222</v>
      </c>
      <c r="G13206" t="str">
        <f>"81329"</f>
        <v>81329</v>
      </c>
      <c r="H13206">
        <v>1</v>
      </c>
      <c r="I13206">
        <v>17</v>
      </c>
      <c r="J13206">
        <v>0</v>
      </c>
      <c r="K13206" t="str">
        <f t="shared" si="2381"/>
        <v>801</v>
      </c>
      <c r="L13206">
        <v>14.28</v>
      </c>
    </row>
    <row r="13207" spans="1:12" x14ac:dyDescent="0.25">
      <c r="A13207" t="str">
        <f t="shared" si="2377"/>
        <v>89301000</v>
      </c>
      <c r="B13207" t="str">
        <f t="shared" si="2379"/>
        <v>95202000</v>
      </c>
      <c r="C13207" t="str">
        <f t="shared" si="2380"/>
        <v>95202096</v>
      </c>
      <c r="D13207">
        <v>89301167</v>
      </c>
      <c r="E13207" t="str">
        <f t="shared" si="2382"/>
        <v>521204004</v>
      </c>
      <c r="F13207" s="1">
        <v>45222</v>
      </c>
      <c r="G13207" t="str">
        <f>"81337"</f>
        <v>81337</v>
      </c>
      <c r="H13207">
        <v>1</v>
      </c>
      <c r="I13207">
        <v>20</v>
      </c>
      <c r="J13207">
        <v>0</v>
      </c>
      <c r="K13207" t="str">
        <f t="shared" si="2381"/>
        <v>801</v>
      </c>
      <c r="L13207">
        <v>16.8</v>
      </c>
    </row>
    <row r="13208" spans="1:12" x14ac:dyDescent="0.25">
      <c r="A13208" t="str">
        <f t="shared" si="2377"/>
        <v>89301000</v>
      </c>
      <c r="B13208" t="str">
        <f t="shared" si="2379"/>
        <v>95202000</v>
      </c>
      <c r="C13208" t="str">
        <f t="shared" si="2380"/>
        <v>95202096</v>
      </c>
      <c r="D13208">
        <v>89301167</v>
      </c>
      <c r="E13208" t="str">
        <f t="shared" si="2382"/>
        <v>521204004</v>
      </c>
      <c r="F13208" s="1">
        <v>45222</v>
      </c>
      <c r="G13208" t="str">
        <f>"81357"</f>
        <v>81357</v>
      </c>
      <c r="H13208">
        <v>1</v>
      </c>
      <c r="I13208">
        <v>20</v>
      </c>
      <c r="J13208">
        <v>0</v>
      </c>
      <c r="K13208" t="str">
        <f t="shared" si="2381"/>
        <v>801</v>
      </c>
      <c r="L13208">
        <v>16.8</v>
      </c>
    </row>
    <row r="13209" spans="1:12" x14ac:dyDescent="0.25">
      <c r="A13209" t="str">
        <f t="shared" si="2377"/>
        <v>89301000</v>
      </c>
      <c r="B13209" t="str">
        <f t="shared" si="2379"/>
        <v>95202000</v>
      </c>
      <c r="C13209" t="str">
        <f t="shared" si="2380"/>
        <v>95202096</v>
      </c>
      <c r="D13209">
        <v>89301167</v>
      </c>
      <c r="E13209" t="str">
        <f t="shared" si="2382"/>
        <v>521204004</v>
      </c>
      <c r="F13209" s="1">
        <v>45222</v>
      </c>
      <c r="G13209" t="str">
        <f>"81361"</f>
        <v>81361</v>
      </c>
      <c r="H13209">
        <v>1</v>
      </c>
      <c r="I13209">
        <v>17</v>
      </c>
      <c r="J13209">
        <v>0</v>
      </c>
      <c r="K13209" t="str">
        <f t="shared" si="2381"/>
        <v>801</v>
      </c>
      <c r="L13209">
        <v>14.28</v>
      </c>
    </row>
    <row r="13210" spans="1:12" x14ac:dyDescent="0.25">
      <c r="A13210" t="str">
        <f t="shared" si="2377"/>
        <v>89301000</v>
      </c>
      <c r="B13210" t="str">
        <f t="shared" si="2379"/>
        <v>95202000</v>
      </c>
      <c r="C13210" t="str">
        <f t="shared" si="2380"/>
        <v>95202096</v>
      </c>
      <c r="D13210">
        <v>89301167</v>
      </c>
      <c r="E13210" t="str">
        <f t="shared" si="2382"/>
        <v>521204004</v>
      </c>
      <c r="F13210" s="1">
        <v>45222</v>
      </c>
      <c r="G13210" t="str">
        <f>"81383"</f>
        <v>81383</v>
      </c>
      <c r="H13210">
        <v>1</v>
      </c>
      <c r="I13210">
        <v>24</v>
      </c>
      <c r="J13210">
        <v>0</v>
      </c>
      <c r="K13210" t="str">
        <f t="shared" si="2381"/>
        <v>801</v>
      </c>
      <c r="L13210">
        <v>20.16</v>
      </c>
    </row>
    <row r="13211" spans="1:12" x14ac:dyDescent="0.25">
      <c r="A13211" t="str">
        <f t="shared" si="2377"/>
        <v>89301000</v>
      </c>
      <c r="B13211" t="str">
        <f t="shared" si="2379"/>
        <v>95202000</v>
      </c>
      <c r="C13211" t="str">
        <f t="shared" si="2380"/>
        <v>95202096</v>
      </c>
      <c r="D13211">
        <v>89301167</v>
      </c>
      <c r="E13211" t="str">
        <f t="shared" si="2382"/>
        <v>521204004</v>
      </c>
      <c r="F13211" s="1">
        <v>45222</v>
      </c>
      <c r="G13211" t="str">
        <f>"81393"</f>
        <v>81393</v>
      </c>
      <c r="H13211">
        <v>1</v>
      </c>
      <c r="I13211">
        <v>24</v>
      </c>
      <c r="J13211">
        <v>0</v>
      </c>
      <c r="K13211" t="str">
        <f t="shared" si="2381"/>
        <v>801</v>
      </c>
      <c r="L13211">
        <v>20.16</v>
      </c>
    </row>
    <row r="13212" spans="1:12" x14ac:dyDescent="0.25">
      <c r="A13212" t="str">
        <f t="shared" si="2377"/>
        <v>89301000</v>
      </c>
      <c r="B13212" t="str">
        <f t="shared" si="2379"/>
        <v>95202000</v>
      </c>
      <c r="C13212" t="str">
        <f t="shared" si="2380"/>
        <v>95202096</v>
      </c>
      <c r="D13212">
        <v>89301167</v>
      </c>
      <c r="E13212" t="str">
        <f t="shared" si="2382"/>
        <v>521204004</v>
      </c>
      <c r="F13212" s="1">
        <v>45222</v>
      </c>
      <c r="G13212" t="str">
        <f>"81421"</f>
        <v>81421</v>
      </c>
      <c r="H13212">
        <v>1</v>
      </c>
      <c r="I13212">
        <v>19</v>
      </c>
      <c r="J13212">
        <v>0</v>
      </c>
      <c r="K13212" t="str">
        <f t="shared" si="2381"/>
        <v>801</v>
      </c>
      <c r="L13212">
        <v>15.96</v>
      </c>
    </row>
    <row r="13213" spans="1:12" x14ac:dyDescent="0.25">
      <c r="A13213" t="str">
        <f t="shared" si="2377"/>
        <v>89301000</v>
      </c>
      <c r="B13213" t="str">
        <f t="shared" si="2379"/>
        <v>95202000</v>
      </c>
      <c r="C13213" t="str">
        <f t="shared" si="2380"/>
        <v>95202096</v>
      </c>
      <c r="D13213">
        <v>89301167</v>
      </c>
      <c r="E13213" t="str">
        <f t="shared" si="2382"/>
        <v>521204004</v>
      </c>
      <c r="F13213" s="1">
        <v>45222</v>
      </c>
      <c r="G13213" t="str">
        <f>"81435"</f>
        <v>81435</v>
      </c>
      <c r="H13213">
        <v>1</v>
      </c>
      <c r="I13213">
        <v>22</v>
      </c>
      <c r="J13213">
        <v>0</v>
      </c>
      <c r="K13213" t="str">
        <f t="shared" si="2381"/>
        <v>801</v>
      </c>
      <c r="L13213">
        <v>18.48</v>
      </c>
    </row>
    <row r="13214" spans="1:12" x14ac:dyDescent="0.25">
      <c r="A13214" t="str">
        <f t="shared" si="2377"/>
        <v>89301000</v>
      </c>
      <c r="B13214" t="str">
        <f t="shared" si="2379"/>
        <v>95202000</v>
      </c>
      <c r="C13214" t="str">
        <f t="shared" si="2380"/>
        <v>95202096</v>
      </c>
      <c r="D13214">
        <v>89301167</v>
      </c>
      <c r="E13214" t="str">
        <f t="shared" si="2382"/>
        <v>521204004</v>
      </c>
      <c r="F13214" s="1">
        <v>45222</v>
      </c>
      <c r="G13214" t="str">
        <f>"81439"</f>
        <v>81439</v>
      </c>
      <c r="H13214">
        <v>1</v>
      </c>
      <c r="I13214">
        <v>16</v>
      </c>
      <c r="J13214">
        <v>0</v>
      </c>
      <c r="K13214" t="str">
        <f t="shared" si="2381"/>
        <v>801</v>
      </c>
      <c r="L13214">
        <v>13.44</v>
      </c>
    </row>
    <row r="13215" spans="1:12" x14ac:dyDescent="0.25">
      <c r="A13215" t="str">
        <f t="shared" si="2377"/>
        <v>89301000</v>
      </c>
      <c r="B13215" t="str">
        <f t="shared" si="2379"/>
        <v>95202000</v>
      </c>
      <c r="C13215" t="str">
        <f t="shared" si="2380"/>
        <v>95202096</v>
      </c>
      <c r="D13215">
        <v>89301167</v>
      </c>
      <c r="E13215" t="str">
        <f t="shared" si="2382"/>
        <v>521204004</v>
      </c>
      <c r="F13215" s="1">
        <v>45222</v>
      </c>
      <c r="G13215" t="str">
        <f>"81469"</f>
        <v>81469</v>
      </c>
      <c r="H13215">
        <v>1</v>
      </c>
      <c r="I13215">
        <v>16</v>
      </c>
      <c r="J13215">
        <v>0</v>
      </c>
      <c r="K13215" t="str">
        <f t="shared" si="2381"/>
        <v>801</v>
      </c>
      <c r="L13215">
        <v>13.44</v>
      </c>
    </row>
    <row r="13216" spans="1:12" x14ac:dyDescent="0.25">
      <c r="A13216" t="str">
        <f t="shared" si="2377"/>
        <v>89301000</v>
      </c>
      <c r="B13216" t="str">
        <f t="shared" si="2379"/>
        <v>95202000</v>
      </c>
      <c r="C13216" t="str">
        <f t="shared" si="2380"/>
        <v>95202096</v>
      </c>
      <c r="D13216">
        <v>89301167</v>
      </c>
      <c r="E13216" t="str">
        <f t="shared" si="2382"/>
        <v>521204004</v>
      </c>
      <c r="F13216" s="1">
        <v>45222</v>
      </c>
      <c r="G13216" t="str">
        <f>"81499"</f>
        <v>81499</v>
      </c>
      <c r="H13216">
        <v>1</v>
      </c>
      <c r="I13216">
        <v>18</v>
      </c>
      <c r="J13216">
        <v>0</v>
      </c>
      <c r="K13216" t="str">
        <f t="shared" si="2381"/>
        <v>801</v>
      </c>
      <c r="L13216">
        <v>15.12</v>
      </c>
    </row>
    <row r="13217" spans="1:12" x14ac:dyDescent="0.25">
      <c r="A13217" t="str">
        <f t="shared" si="2377"/>
        <v>89301000</v>
      </c>
      <c r="B13217" t="str">
        <f t="shared" si="2379"/>
        <v>95202000</v>
      </c>
      <c r="C13217" t="str">
        <f t="shared" si="2380"/>
        <v>95202096</v>
      </c>
      <c r="D13217">
        <v>89301167</v>
      </c>
      <c r="E13217" t="str">
        <f t="shared" si="2382"/>
        <v>521204004</v>
      </c>
      <c r="F13217" s="1">
        <v>45222</v>
      </c>
      <c r="G13217" t="str">
        <f>"81593"</f>
        <v>81593</v>
      </c>
      <c r="H13217">
        <v>1</v>
      </c>
      <c r="I13217">
        <v>22</v>
      </c>
      <c r="J13217">
        <v>0</v>
      </c>
      <c r="K13217" t="str">
        <f t="shared" si="2381"/>
        <v>801</v>
      </c>
      <c r="L13217">
        <v>18.48</v>
      </c>
    </row>
    <row r="13218" spans="1:12" x14ac:dyDescent="0.25">
      <c r="A13218" t="str">
        <f t="shared" si="2377"/>
        <v>89301000</v>
      </c>
      <c r="B13218" t="str">
        <f t="shared" si="2379"/>
        <v>95202000</v>
      </c>
      <c r="C13218" t="str">
        <f t="shared" si="2380"/>
        <v>95202096</v>
      </c>
      <c r="D13218">
        <v>89301167</v>
      </c>
      <c r="E13218" t="str">
        <f t="shared" si="2382"/>
        <v>521204004</v>
      </c>
      <c r="F13218" s="1">
        <v>45222</v>
      </c>
      <c r="G13218" t="str">
        <f>"81621"</f>
        <v>81621</v>
      </c>
      <c r="H13218">
        <v>1</v>
      </c>
      <c r="I13218">
        <v>19</v>
      </c>
      <c r="J13218">
        <v>0</v>
      </c>
      <c r="K13218" t="str">
        <f t="shared" si="2381"/>
        <v>801</v>
      </c>
      <c r="L13218">
        <v>15.96</v>
      </c>
    </row>
    <row r="13219" spans="1:12" x14ac:dyDescent="0.25">
      <c r="A13219" t="str">
        <f t="shared" si="2377"/>
        <v>89301000</v>
      </c>
      <c r="B13219" t="str">
        <f t="shared" si="2379"/>
        <v>95202000</v>
      </c>
      <c r="C13219" t="str">
        <f t="shared" si="2380"/>
        <v>95202096</v>
      </c>
      <c r="D13219">
        <v>89301167</v>
      </c>
      <c r="E13219" t="str">
        <f t="shared" si="2382"/>
        <v>521204004</v>
      </c>
      <c r="F13219" s="1">
        <v>45222</v>
      </c>
      <c r="G13219" t="str">
        <f>"81625"</f>
        <v>81625</v>
      </c>
      <c r="H13219">
        <v>1</v>
      </c>
      <c r="I13219">
        <v>21</v>
      </c>
      <c r="J13219">
        <v>0</v>
      </c>
      <c r="K13219" t="str">
        <f t="shared" si="2381"/>
        <v>801</v>
      </c>
      <c r="L13219">
        <v>17.64</v>
      </c>
    </row>
    <row r="13220" spans="1:12" x14ac:dyDescent="0.25">
      <c r="A13220" t="str">
        <f t="shared" si="2377"/>
        <v>89301000</v>
      </c>
      <c r="B13220" t="str">
        <f t="shared" si="2379"/>
        <v>95202000</v>
      </c>
      <c r="C13220" t="str">
        <f t="shared" si="2380"/>
        <v>95202096</v>
      </c>
      <c r="D13220">
        <v>89301167</v>
      </c>
      <c r="E13220" t="str">
        <f t="shared" si="2382"/>
        <v>521204004</v>
      </c>
      <c r="F13220" s="1">
        <v>45222</v>
      </c>
      <c r="G13220" t="str">
        <f>"91153"</f>
        <v>91153</v>
      </c>
      <c r="H13220">
        <v>1</v>
      </c>
      <c r="I13220">
        <v>153</v>
      </c>
      <c r="J13220">
        <v>0</v>
      </c>
      <c r="K13220" t="str">
        <f t="shared" si="2381"/>
        <v>801</v>
      </c>
      <c r="L13220">
        <v>128.52000000000001</v>
      </c>
    </row>
    <row r="13221" spans="1:12" x14ac:dyDescent="0.25">
      <c r="A13221" t="str">
        <f t="shared" si="2377"/>
        <v>89301000</v>
      </c>
      <c r="B13221" t="str">
        <f t="shared" si="2379"/>
        <v>95202000</v>
      </c>
      <c r="C13221" t="str">
        <f t="shared" si="2380"/>
        <v>95202096</v>
      </c>
      <c r="D13221">
        <v>89301167</v>
      </c>
      <c r="E13221" t="str">
        <f t="shared" si="2382"/>
        <v>521204004</v>
      </c>
      <c r="F13221" s="1">
        <v>45222</v>
      </c>
      <c r="G13221" t="str">
        <f>"93189"</f>
        <v>93189</v>
      </c>
      <c r="H13221">
        <v>1</v>
      </c>
      <c r="I13221">
        <v>191</v>
      </c>
      <c r="J13221">
        <v>0</v>
      </c>
      <c r="K13221" t="str">
        <f t="shared" si="2381"/>
        <v>801</v>
      </c>
      <c r="L13221">
        <v>160.44</v>
      </c>
    </row>
    <row r="13222" spans="1:12" x14ac:dyDescent="0.25">
      <c r="A13222" t="str">
        <f t="shared" si="2377"/>
        <v>89301000</v>
      </c>
      <c r="B13222" t="str">
        <f t="shared" si="2379"/>
        <v>95202000</v>
      </c>
      <c r="C13222" t="str">
        <f t="shared" si="2380"/>
        <v>95202096</v>
      </c>
      <c r="D13222">
        <v>89301167</v>
      </c>
      <c r="E13222" t="str">
        <f t="shared" si="2382"/>
        <v>521204004</v>
      </c>
      <c r="F13222" s="1">
        <v>45222</v>
      </c>
      <c r="G13222" t="str">
        <f>"93195"</f>
        <v>93195</v>
      </c>
      <c r="H13222">
        <v>1</v>
      </c>
      <c r="I13222">
        <v>183</v>
      </c>
      <c r="J13222">
        <v>0</v>
      </c>
      <c r="K13222" t="str">
        <f t="shared" si="2381"/>
        <v>801</v>
      </c>
      <c r="L13222">
        <v>153.72</v>
      </c>
    </row>
    <row r="13223" spans="1:12" x14ac:dyDescent="0.25">
      <c r="A13223" t="str">
        <f t="shared" si="2377"/>
        <v>89301000</v>
      </c>
      <c r="B13223" t="str">
        <f t="shared" si="2379"/>
        <v>95202000</v>
      </c>
      <c r="C13223" t="str">
        <f t="shared" si="2380"/>
        <v>95202096</v>
      </c>
      <c r="D13223">
        <v>89301167</v>
      </c>
      <c r="E13223" t="str">
        <f t="shared" si="2382"/>
        <v>521204004</v>
      </c>
      <c r="F13223" s="1">
        <v>45222</v>
      </c>
      <c r="G13223" t="str">
        <f>"97111"</f>
        <v>97111</v>
      </c>
      <c r="H13223">
        <v>1</v>
      </c>
      <c r="I13223">
        <v>19</v>
      </c>
      <c r="J13223">
        <v>0</v>
      </c>
      <c r="K13223" t="str">
        <f t="shared" si="2381"/>
        <v>801</v>
      </c>
      <c r="L13223">
        <v>23.94</v>
      </c>
    </row>
    <row r="13224" spans="1:12" x14ac:dyDescent="0.25">
      <c r="A13224" t="str">
        <f t="shared" si="2377"/>
        <v>89301000</v>
      </c>
      <c r="B13224" t="str">
        <f t="shared" si="2379"/>
        <v>95202000</v>
      </c>
      <c r="C13224" t="str">
        <f t="shared" si="2380"/>
        <v>95202096</v>
      </c>
      <c r="D13224">
        <v>89301167</v>
      </c>
      <c r="E13224" t="str">
        <f t="shared" ref="E13224:E13244" si="2383">"6109280386"</f>
        <v>6109280386</v>
      </c>
      <c r="F13224" s="1">
        <v>45218</v>
      </c>
      <c r="G13224" t="str">
        <f>"81329"</f>
        <v>81329</v>
      </c>
      <c r="H13224">
        <v>1</v>
      </c>
      <c r="I13224">
        <v>17</v>
      </c>
      <c r="J13224">
        <v>0</v>
      </c>
      <c r="K13224" t="str">
        <f t="shared" si="2381"/>
        <v>801</v>
      </c>
      <c r="L13224">
        <v>14.28</v>
      </c>
    </row>
    <row r="13225" spans="1:12" x14ac:dyDescent="0.25">
      <c r="A13225" t="str">
        <f t="shared" si="2377"/>
        <v>89301000</v>
      </c>
      <c r="B13225" t="str">
        <f t="shared" si="2379"/>
        <v>95202000</v>
      </c>
      <c r="C13225" t="str">
        <f t="shared" si="2380"/>
        <v>95202096</v>
      </c>
      <c r="D13225">
        <v>89301167</v>
      </c>
      <c r="E13225" t="str">
        <f t="shared" si="2383"/>
        <v>6109280386</v>
      </c>
      <c r="F13225" s="1">
        <v>45218</v>
      </c>
      <c r="G13225" t="str">
        <f>"81337"</f>
        <v>81337</v>
      </c>
      <c r="H13225">
        <v>1</v>
      </c>
      <c r="I13225">
        <v>20</v>
      </c>
      <c r="J13225">
        <v>0</v>
      </c>
      <c r="K13225" t="str">
        <f t="shared" si="2381"/>
        <v>801</v>
      </c>
      <c r="L13225">
        <v>16.8</v>
      </c>
    </row>
    <row r="13226" spans="1:12" x14ac:dyDescent="0.25">
      <c r="A13226" t="str">
        <f t="shared" si="2377"/>
        <v>89301000</v>
      </c>
      <c r="B13226" t="str">
        <f t="shared" ref="B13226:B13257" si="2384">"95202000"</f>
        <v>95202000</v>
      </c>
      <c r="C13226" t="str">
        <f t="shared" si="2380"/>
        <v>95202096</v>
      </c>
      <c r="D13226">
        <v>89301167</v>
      </c>
      <c r="E13226" t="str">
        <f t="shared" si="2383"/>
        <v>6109280386</v>
      </c>
      <c r="F13226" s="1">
        <v>45218</v>
      </c>
      <c r="G13226" t="str">
        <f>"81357"</f>
        <v>81357</v>
      </c>
      <c r="H13226">
        <v>1</v>
      </c>
      <c r="I13226">
        <v>20</v>
      </c>
      <c r="J13226">
        <v>0</v>
      </c>
      <c r="K13226" t="str">
        <f t="shared" si="2381"/>
        <v>801</v>
      </c>
      <c r="L13226">
        <v>16.8</v>
      </c>
    </row>
    <row r="13227" spans="1:12" x14ac:dyDescent="0.25">
      <c r="A13227" t="str">
        <f t="shared" si="2377"/>
        <v>89301000</v>
      </c>
      <c r="B13227" t="str">
        <f t="shared" si="2384"/>
        <v>95202000</v>
      </c>
      <c r="C13227" t="str">
        <f t="shared" si="2380"/>
        <v>95202096</v>
      </c>
      <c r="D13227">
        <v>89301167</v>
      </c>
      <c r="E13227" t="str">
        <f t="shared" si="2383"/>
        <v>6109280386</v>
      </c>
      <c r="F13227" s="1">
        <v>45218</v>
      </c>
      <c r="G13227" t="str">
        <f>"81361"</f>
        <v>81361</v>
      </c>
      <c r="H13227">
        <v>1</v>
      </c>
      <c r="I13227">
        <v>17</v>
      </c>
      <c r="J13227">
        <v>0</v>
      </c>
      <c r="K13227" t="str">
        <f t="shared" si="2381"/>
        <v>801</v>
      </c>
      <c r="L13227">
        <v>14.28</v>
      </c>
    </row>
    <row r="13228" spans="1:12" x14ac:dyDescent="0.25">
      <c r="A13228" t="str">
        <f t="shared" si="2377"/>
        <v>89301000</v>
      </c>
      <c r="B13228" t="str">
        <f t="shared" si="2384"/>
        <v>95202000</v>
      </c>
      <c r="C13228" t="str">
        <f t="shared" si="2380"/>
        <v>95202096</v>
      </c>
      <c r="D13228">
        <v>89301167</v>
      </c>
      <c r="E13228" t="str">
        <f t="shared" si="2383"/>
        <v>6109280386</v>
      </c>
      <c r="F13228" s="1">
        <v>45218</v>
      </c>
      <c r="G13228" t="str">
        <f>"81365"</f>
        <v>81365</v>
      </c>
      <c r="H13228">
        <v>1</v>
      </c>
      <c r="I13228">
        <v>16</v>
      </c>
      <c r="J13228">
        <v>0</v>
      </c>
      <c r="K13228" t="str">
        <f t="shared" si="2381"/>
        <v>801</v>
      </c>
      <c r="L13228">
        <v>13.44</v>
      </c>
    </row>
    <row r="13229" spans="1:12" x14ac:dyDescent="0.25">
      <c r="A13229" t="str">
        <f t="shared" si="2377"/>
        <v>89301000</v>
      </c>
      <c r="B13229" t="str">
        <f t="shared" si="2384"/>
        <v>95202000</v>
      </c>
      <c r="C13229" t="str">
        <f t="shared" si="2380"/>
        <v>95202096</v>
      </c>
      <c r="D13229">
        <v>89301167</v>
      </c>
      <c r="E13229" t="str">
        <f t="shared" si="2383"/>
        <v>6109280386</v>
      </c>
      <c r="F13229" s="1">
        <v>45218</v>
      </c>
      <c r="G13229" t="str">
        <f>"81383"</f>
        <v>81383</v>
      </c>
      <c r="H13229">
        <v>1</v>
      </c>
      <c r="I13229">
        <v>24</v>
      </c>
      <c r="J13229">
        <v>0</v>
      </c>
      <c r="K13229" t="str">
        <f t="shared" si="2381"/>
        <v>801</v>
      </c>
      <c r="L13229">
        <v>20.16</v>
      </c>
    </row>
    <row r="13230" spans="1:12" x14ac:dyDescent="0.25">
      <c r="A13230" t="str">
        <f t="shared" si="2377"/>
        <v>89301000</v>
      </c>
      <c r="B13230" t="str">
        <f t="shared" si="2384"/>
        <v>95202000</v>
      </c>
      <c r="C13230" t="str">
        <f t="shared" si="2380"/>
        <v>95202096</v>
      </c>
      <c r="D13230">
        <v>89301167</v>
      </c>
      <c r="E13230" t="str">
        <f t="shared" si="2383"/>
        <v>6109280386</v>
      </c>
      <c r="F13230" s="1">
        <v>45218</v>
      </c>
      <c r="G13230" t="str">
        <f>"81393"</f>
        <v>81393</v>
      </c>
      <c r="H13230">
        <v>1</v>
      </c>
      <c r="I13230">
        <v>24</v>
      </c>
      <c r="J13230">
        <v>0</v>
      </c>
      <c r="K13230" t="str">
        <f t="shared" si="2381"/>
        <v>801</v>
      </c>
      <c r="L13230">
        <v>20.16</v>
      </c>
    </row>
    <row r="13231" spans="1:12" x14ac:dyDescent="0.25">
      <c r="A13231" t="str">
        <f t="shared" si="2377"/>
        <v>89301000</v>
      </c>
      <c r="B13231" t="str">
        <f t="shared" si="2384"/>
        <v>95202000</v>
      </c>
      <c r="C13231" t="str">
        <f t="shared" ref="C13231:C13262" si="2385">"95202096"</f>
        <v>95202096</v>
      </c>
      <c r="D13231">
        <v>89301167</v>
      </c>
      <c r="E13231" t="str">
        <f t="shared" si="2383"/>
        <v>6109280386</v>
      </c>
      <c r="F13231" s="1">
        <v>45218</v>
      </c>
      <c r="G13231" t="str">
        <f>"81421"</f>
        <v>81421</v>
      </c>
      <c r="H13231">
        <v>1</v>
      </c>
      <c r="I13231">
        <v>19</v>
      </c>
      <c r="J13231">
        <v>0</v>
      </c>
      <c r="K13231" t="str">
        <f t="shared" ref="K13231:K13262" si="2386">"801"</f>
        <v>801</v>
      </c>
      <c r="L13231">
        <v>15.96</v>
      </c>
    </row>
    <row r="13232" spans="1:12" x14ac:dyDescent="0.25">
      <c r="A13232" t="str">
        <f t="shared" si="2377"/>
        <v>89301000</v>
      </c>
      <c r="B13232" t="str">
        <f t="shared" si="2384"/>
        <v>95202000</v>
      </c>
      <c r="C13232" t="str">
        <f t="shared" si="2385"/>
        <v>95202096</v>
      </c>
      <c r="D13232">
        <v>89301167</v>
      </c>
      <c r="E13232" t="str">
        <f t="shared" si="2383"/>
        <v>6109280386</v>
      </c>
      <c r="F13232" s="1">
        <v>45218</v>
      </c>
      <c r="G13232" t="str">
        <f>"81435"</f>
        <v>81435</v>
      </c>
      <c r="H13232">
        <v>1</v>
      </c>
      <c r="I13232">
        <v>22</v>
      </c>
      <c r="J13232">
        <v>0</v>
      </c>
      <c r="K13232" t="str">
        <f t="shared" si="2386"/>
        <v>801</v>
      </c>
      <c r="L13232">
        <v>18.48</v>
      </c>
    </row>
    <row r="13233" spans="1:12" x14ac:dyDescent="0.25">
      <c r="A13233" t="str">
        <f t="shared" si="2377"/>
        <v>89301000</v>
      </c>
      <c r="B13233" t="str">
        <f t="shared" si="2384"/>
        <v>95202000</v>
      </c>
      <c r="C13233" t="str">
        <f t="shared" si="2385"/>
        <v>95202096</v>
      </c>
      <c r="D13233">
        <v>89301167</v>
      </c>
      <c r="E13233" t="str">
        <f t="shared" si="2383"/>
        <v>6109280386</v>
      </c>
      <c r="F13233" s="1">
        <v>45218</v>
      </c>
      <c r="G13233" t="str">
        <f>"81439"</f>
        <v>81439</v>
      </c>
      <c r="H13233">
        <v>1</v>
      </c>
      <c r="I13233">
        <v>16</v>
      </c>
      <c r="J13233">
        <v>0</v>
      </c>
      <c r="K13233" t="str">
        <f t="shared" si="2386"/>
        <v>801</v>
      </c>
      <c r="L13233">
        <v>13.44</v>
      </c>
    </row>
    <row r="13234" spans="1:12" x14ac:dyDescent="0.25">
      <c r="A13234" t="str">
        <f t="shared" si="2377"/>
        <v>89301000</v>
      </c>
      <c r="B13234" t="str">
        <f t="shared" si="2384"/>
        <v>95202000</v>
      </c>
      <c r="C13234" t="str">
        <f t="shared" si="2385"/>
        <v>95202096</v>
      </c>
      <c r="D13234">
        <v>89301167</v>
      </c>
      <c r="E13234" t="str">
        <f t="shared" si="2383"/>
        <v>6109280386</v>
      </c>
      <c r="F13234" s="1">
        <v>45218</v>
      </c>
      <c r="G13234" t="str">
        <f>"81469"</f>
        <v>81469</v>
      </c>
      <c r="H13234">
        <v>1</v>
      </c>
      <c r="I13234">
        <v>16</v>
      </c>
      <c r="J13234">
        <v>0</v>
      </c>
      <c r="K13234" t="str">
        <f t="shared" si="2386"/>
        <v>801</v>
      </c>
      <c r="L13234">
        <v>13.44</v>
      </c>
    </row>
    <row r="13235" spans="1:12" x14ac:dyDescent="0.25">
      <c r="A13235" t="str">
        <f t="shared" si="2377"/>
        <v>89301000</v>
      </c>
      <c r="B13235" t="str">
        <f t="shared" si="2384"/>
        <v>95202000</v>
      </c>
      <c r="C13235" t="str">
        <f t="shared" si="2385"/>
        <v>95202096</v>
      </c>
      <c r="D13235">
        <v>89301167</v>
      </c>
      <c r="E13235" t="str">
        <f t="shared" si="2383"/>
        <v>6109280386</v>
      </c>
      <c r="F13235" s="1">
        <v>45218</v>
      </c>
      <c r="G13235" t="str">
        <f>"81499"</f>
        <v>81499</v>
      </c>
      <c r="H13235">
        <v>1</v>
      </c>
      <c r="I13235">
        <v>18</v>
      </c>
      <c r="J13235">
        <v>0</v>
      </c>
      <c r="K13235" t="str">
        <f t="shared" si="2386"/>
        <v>801</v>
      </c>
      <c r="L13235">
        <v>15.12</v>
      </c>
    </row>
    <row r="13236" spans="1:12" x14ac:dyDescent="0.25">
      <c r="A13236" t="str">
        <f t="shared" si="2377"/>
        <v>89301000</v>
      </c>
      <c r="B13236" t="str">
        <f t="shared" si="2384"/>
        <v>95202000</v>
      </c>
      <c r="C13236" t="str">
        <f t="shared" si="2385"/>
        <v>95202096</v>
      </c>
      <c r="D13236">
        <v>89301167</v>
      </c>
      <c r="E13236" t="str">
        <f t="shared" si="2383"/>
        <v>6109280386</v>
      </c>
      <c r="F13236" s="1">
        <v>45218</v>
      </c>
      <c r="G13236" t="str">
        <f>"81523"</f>
        <v>81523</v>
      </c>
      <c r="H13236">
        <v>1</v>
      </c>
      <c r="I13236">
        <v>23</v>
      </c>
      <c r="J13236">
        <v>0</v>
      </c>
      <c r="K13236" t="str">
        <f t="shared" si="2386"/>
        <v>801</v>
      </c>
      <c r="L13236">
        <v>19.32</v>
      </c>
    </row>
    <row r="13237" spans="1:12" x14ac:dyDescent="0.25">
      <c r="A13237" t="str">
        <f t="shared" si="2377"/>
        <v>89301000</v>
      </c>
      <c r="B13237" t="str">
        <f t="shared" si="2384"/>
        <v>95202000</v>
      </c>
      <c r="C13237" t="str">
        <f t="shared" si="2385"/>
        <v>95202096</v>
      </c>
      <c r="D13237">
        <v>89301167</v>
      </c>
      <c r="E13237" t="str">
        <f t="shared" si="2383"/>
        <v>6109280386</v>
      </c>
      <c r="F13237" s="1">
        <v>45218</v>
      </c>
      <c r="G13237" t="str">
        <f>"81563"</f>
        <v>81563</v>
      </c>
      <c r="H13237">
        <v>1</v>
      </c>
      <c r="I13237">
        <v>14</v>
      </c>
      <c r="J13237">
        <v>0</v>
      </c>
      <c r="K13237" t="str">
        <f t="shared" si="2386"/>
        <v>801</v>
      </c>
      <c r="L13237">
        <v>11.76</v>
      </c>
    </row>
    <row r="13238" spans="1:12" x14ac:dyDescent="0.25">
      <c r="A13238" t="str">
        <f t="shared" si="2377"/>
        <v>89301000</v>
      </c>
      <c r="B13238" t="str">
        <f t="shared" si="2384"/>
        <v>95202000</v>
      </c>
      <c r="C13238" t="str">
        <f t="shared" si="2385"/>
        <v>95202096</v>
      </c>
      <c r="D13238">
        <v>89301167</v>
      </c>
      <c r="E13238" t="str">
        <f t="shared" si="2383"/>
        <v>6109280386</v>
      </c>
      <c r="F13238" s="1">
        <v>45218</v>
      </c>
      <c r="G13238" t="str">
        <f>"81593"</f>
        <v>81593</v>
      </c>
      <c r="H13238">
        <v>1</v>
      </c>
      <c r="I13238">
        <v>22</v>
      </c>
      <c r="J13238">
        <v>0</v>
      </c>
      <c r="K13238" t="str">
        <f t="shared" si="2386"/>
        <v>801</v>
      </c>
      <c r="L13238">
        <v>18.48</v>
      </c>
    </row>
    <row r="13239" spans="1:12" x14ac:dyDescent="0.25">
      <c r="A13239" t="str">
        <f t="shared" si="2377"/>
        <v>89301000</v>
      </c>
      <c r="B13239" t="str">
        <f t="shared" si="2384"/>
        <v>95202000</v>
      </c>
      <c r="C13239" t="str">
        <f t="shared" si="2385"/>
        <v>95202096</v>
      </c>
      <c r="D13239">
        <v>89301167</v>
      </c>
      <c r="E13239" t="str">
        <f t="shared" si="2383"/>
        <v>6109280386</v>
      </c>
      <c r="F13239" s="1">
        <v>45218</v>
      </c>
      <c r="G13239" t="str">
        <f>"81621"</f>
        <v>81621</v>
      </c>
      <c r="H13239">
        <v>1</v>
      </c>
      <c r="I13239">
        <v>19</v>
      </c>
      <c r="J13239">
        <v>0</v>
      </c>
      <c r="K13239" t="str">
        <f t="shared" si="2386"/>
        <v>801</v>
      </c>
      <c r="L13239">
        <v>15.96</v>
      </c>
    </row>
    <row r="13240" spans="1:12" x14ac:dyDescent="0.25">
      <c r="A13240" t="str">
        <f t="shared" si="2377"/>
        <v>89301000</v>
      </c>
      <c r="B13240" t="str">
        <f t="shared" si="2384"/>
        <v>95202000</v>
      </c>
      <c r="C13240" t="str">
        <f t="shared" si="2385"/>
        <v>95202096</v>
      </c>
      <c r="D13240">
        <v>89301167</v>
      </c>
      <c r="E13240" t="str">
        <f t="shared" si="2383"/>
        <v>6109280386</v>
      </c>
      <c r="F13240" s="1">
        <v>45218</v>
      </c>
      <c r="G13240" t="str">
        <f>"81625"</f>
        <v>81625</v>
      </c>
      <c r="H13240">
        <v>1</v>
      </c>
      <c r="I13240">
        <v>21</v>
      </c>
      <c r="J13240">
        <v>0</v>
      </c>
      <c r="K13240" t="str">
        <f t="shared" si="2386"/>
        <v>801</v>
      </c>
      <c r="L13240">
        <v>17.64</v>
      </c>
    </row>
    <row r="13241" spans="1:12" x14ac:dyDescent="0.25">
      <c r="A13241" t="str">
        <f t="shared" si="2377"/>
        <v>89301000</v>
      </c>
      <c r="B13241" t="str">
        <f t="shared" si="2384"/>
        <v>95202000</v>
      </c>
      <c r="C13241" t="str">
        <f t="shared" si="2385"/>
        <v>95202096</v>
      </c>
      <c r="D13241">
        <v>89301167</v>
      </c>
      <c r="E13241" t="str">
        <f t="shared" si="2383"/>
        <v>6109280386</v>
      </c>
      <c r="F13241" s="1">
        <v>45218</v>
      </c>
      <c r="G13241" t="str">
        <f>"91153"</f>
        <v>91153</v>
      </c>
      <c r="H13241">
        <v>1</v>
      </c>
      <c r="I13241">
        <v>153</v>
      </c>
      <c r="J13241">
        <v>0</v>
      </c>
      <c r="K13241" t="str">
        <f t="shared" si="2386"/>
        <v>801</v>
      </c>
      <c r="L13241">
        <v>128.52000000000001</v>
      </c>
    </row>
    <row r="13242" spans="1:12" x14ac:dyDescent="0.25">
      <c r="A13242" t="str">
        <f t="shared" si="2377"/>
        <v>89301000</v>
      </c>
      <c r="B13242" t="str">
        <f t="shared" si="2384"/>
        <v>95202000</v>
      </c>
      <c r="C13242" t="str">
        <f t="shared" si="2385"/>
        <v>95202096</v>
      </c>
      <c r="D13242">
        <v>89301167</v>
      </c>
      <c r="E13242" t="str">
        <f t="shared" si="2383"/>
        <v>6109280386</v>
      </c>
      <c r="F13242" s="1">
        <v>45218</v>
      </c>
      <c r="G13242" t="str">
        <f>"93189"</f>
        <v>93189</v>
      </c>
      <c r="H13242">
        <v>1</v>
      </c>
      <c r="I13242">
        <v>191</v>
      </c>
      <c r="J13242">
        <v>0</v>
      </c>
      <c r="K13242" t="str">
        <f t="shared" si="2386"/>
        <v>801</v>
      </c>
      <c r="L13242">
        <v>160.44</v>
      </c>
    </row>
    <row r="13243" spans="1:12" x14ac:dyDescent="0.25">
      <c r="A13243" t="str">
        <f t="shared" si="2377"/>
        <v>89301000</v>
      </c>
      <c r="B13243" t="str">
        <f t="shared" si="2384"/>
        <v>95202000</v>
      </c>
      <c r="C13243" t="str">
        <f t="shared" si="2385"/>
        <v>95202096</v>
      </c>
      <c r="D13243">
        <v>89301167</v>
      </c>
      <c r="E13243" t="str">
        <f t="shared" si="2383"/>
        <v>6109280386</v>
      </c>
      <c r="F13243" s="1">
        <v>45218</v>
      </c>
      <c r="G13243" t="str">
        <f>"93195"</f>
        <v>93195</v>
      </c>
      <c r="H13243">
        <v>1</v>
      </c>
      <c r="I13243">
        <v>183</v>
      </c>
      <c r="J13243">
        <v>0</v>
      </c>
      <c r="K13243" t="str">
        <f t="shared" si="2386"/>
        <v>801</v>
      </c>
      <c r="L13243">
        <v>153.72</v>
      </c>
    </row>
    <row r="13244" spans="1:12" x14ac:dyDescent="0.25">
      <c r="A13244" t="str">
        <f t="shared" si="2377"/>
        <v>89301000</v>
      </c>
      <c r="B13244" t="str">
        <f t="shared" si="2384"/>
        <v>95202000</v>
      </c>
      <c r="C13244" t="str">
        <f t="shared" si="2385"/>
        <v>95202096</v>
      </c>
      <c r="D13244">
        <v>89301167</v>
      </c>
      <c r="E13244" t="str">
        <f t="shared" si="2383"/>
        <v>6109280386</v>
      </c>
      <c r="F13244" s="1">
        <v>45218</v>
      </c>
      <c r="G13244" t="str">
        <f>"97111"</f>
        <v>97111</v>
      </c>
      <c r="H13244">
        <v>1</v>
      </c>
      <c r="I13244">
        <v>19</v>
      </c>
      <c r="J13244">
        <v>0</v>
      </c>
      <c r="K13244" t="str">
        <f t="shared" si="2386"/>
        <v>801</v>
      </c>
      <c r="L13244">
        <v>23.94</v>
      </c>
    </row>
    <row r="13245" spans="1:12" x14ac:dyDescent="0.25">
      <c r="A13245" t="str">
        <f t="shared" si="2377"/>
        <v>89301000</v>
      </c>
      <c r="B13245" t="str">
        <f t="shared" si="2384"/>
        <v>95202000</v>
      </c>
      <c r="C13245" t="str">
        <f t="shared" si="2385"/>
        <v>95202096</v>
      </c>
      <c r="D13245">
        <v>89301167</v>
      </c>
      <c r="E13245" t="str">
        <f t="shared" ref="E13245:E13259" si="2387">"5709166199"</f>
        <v>5709166199</v>
      </c>
      <c r="F13245" s="1">
        <v>45230</v>
      </c>
      <c r="G13245" t="str">
        <f>"81337"</f>
        <v>81337</v>
      </c>
      <c r="H13245">
        <v>1</v>
      </c>
      <c r="I13245">
        <v>20</v>
      </c>
      <c r="J13245">
        <v>0</v>
      </c>
      <c r="K13245" t="str">
        <f t="shared" si="2386"/>
        <v>801</v>
      </c>
      <c r="L13245">
        <v>16.8</v>
      </c>
    </row>
    <row r="13246" spans="1:12" x14ac:dyDescent="0.25">
      <c r="A13246" t="str">
        <f t="shared" si="2377"/>
        <v>89301000</v>
      </c>
      <c r="B13246" t="str">
        <f t="shared" si="2384"/>
        <v>95202000</v>
      </c>
      <c r="C13246" t="str">
        <f t="shared" si="2385"/>
        <v>95202096</v>
      </c>
      <c r="D13246">
        <v>89301167</v>
      </c>
      <c r="E13246" t="str">
        <f t="shared" si="2387"/>
        <v>5709166199</v>
      </c>
      <c r="F13246" s="1">
        <v>45230</v>
      </c>
      <c r="G13246" t="str">
        <f>"81357"</f>
        <v>81357</v>
      </c>
      <c r="H13246">
        <v>1</v>
      </c>
      <c r="I13246">
        <v>20</v>
      </c>
      <c r="J13246">
        <v>0</v>
      </c>
      <c r="K13246" t="str">
        <f t="shared" si="2386"/>
        <v>801</v>
      </c>
      <c r="L13246">
        <v>16.8</v>
      </c>
    </row>
    <row r="13247" spans="1:12" x14ac:dyDescent="0.25">
      <c r="A13247" t="str">
        <f t="shared" si="2377"/>
        <v>89301000</v>
      </c>
      <c r="B13247" t="str">
        <f t="shared" si="2384"/>
        <v>95202000</v>
      </c>
      <c r="C13247" t="str">
        <f t="shared" si="2385"/>
        <v>95202096</v>
      </c>
      <c r="D13247">
        <v>89301167</v>
      </c>
      <c r="E13247" t="str">
        <f t="shared" si="2387"/>
        <v>5709166199</v>
      </c>
      <c r="F13247" s="1">
        <v>45230</v>
      </c>
      <c r="G13247" t="str">
        <f>"81383"</f>
        <v>81383</v>
      </c>
      <c r="H13247">
        <v>1</v>
      </c>
      <c r="I13247">
        <v>24</v>
      </c>
      <c r="J13247">
        <v>0</v>
      </c>
      <c r="K13247" t="str">
        <f t="shared" si="2386"/>
        <v>801</v>
      </c>
      <c r="L13247">
        <v>20.16</v>
      </c>
    </row>
    <row r="13248" spans="1:12" x14ac:dyDescent="0.25">
      <c r="A13248" t="str">
        <f t="shared" si="2377"/>
        <v>89301000</v>
      </c>
      <c r="B13248" t="str">
        <f t="shared" si="2384"/>
        <v>95202000</v>
      </c>
      <c r="C13248" t="str">
        <f t="shared" si="2385"/>
        <v>95202096</v>
      </c>
      <c r="D13248">
        <v>89301167</v>
      </c>
      <c r="E13248" t="str">
        <f t="shared" si="2387"/>
        <v>5709166199</v>
      </c>
      <c r="F13248" s="1">
        <v>45230</v>
      </c>
      <c r="G13248" t="str">
        <f>"81393"</f>
        <v>81393</v>
      </c>
      <c r="H13248">
        <v>1</v>
      </c>
      <c r="I13248">
        <v>24</v>
      </c>
      <c r="J13248">
        <v>0</v>
      </c>
      <c r="K13248" t="str">
        <f t="shared" si="2386"/>
        <v>801</v>
      </c>
      <c r="L13248">
        <v>20.16</v>
      </c>
    </row>
    <row r="13249" spans="1:12" x14ac:dyDescent="0.25">
      <c r="A13249" t="str">
        <f t="shared" si="2377"/>
        <v>89301000</v>
      </c>
      <c r="B13249" t="str">
        <f t="shared" si="2384"/>
        <v>95202000</v>
      </c>
      <c r="C13249" t="str">
        <f t="shared" si="2385"/>
        <v>95202096</v>
      </c>
      <c r="D13249">
        <v>89301167</v>
      </c>
      <c r="E13249" t="str">
        <f t="shared" si="2387"/>
        <v>5709166199</v>
      </c>
      <c r="F13249" s="1">
        <v>45230</v>
      </c>
      <c r="G13249" t="str">
        <f>"81421"</f>
        <v>81421</v>
      </c>
      <c r="H13249">
        <v>1</v>
      </c>
      <c r="I13249">
        <v>19</v>
      </c>
      <c r="J13249">
        <v>0</v>
      </c>
      <c r="K13249" t="str">
        <f t="shared" si="2386"/>
        <v>801</v>
      </c>
      <c r="L13249">
        <v>15.96</v>
      </c>
    </row>
    <row r="13250" spans="1:12" x14ac:dyDescent="0.25">
      <c r="A13250" t="str">
        <f t="shared" ref="A13250:A13313" si="2388">"89301000"</f>
        <v>89301000</v>
      </c>
      <c r="B13250" t="str">
        <f t="shared" si="2384"/>
        <v>95202000</v>
      </c>
      <c r="C13250" t="str">
        <f t="shared" si="2385"/>
        <v>95202096</v>
      </c>
      <c r="D13250">
        <v>89301167</v>
      </c>
      <c r="E13250" t="str">
        <f t="shared" si="2387"/>
        <v>5709166199</v>
      </c>
      <c r="F13250" s="1">
        <v>45230</v>
      </c>
      <c r="G13250" t="str">
        <f>"81435"</f>
        <v>81435</v>
      </c>
      <c r="H13250">
        <v>1</v>
      </c>
      <c r="I13250">
        <v>22</v>
      </c>
      <c r="J13250">
        <v>0</v>
      </c>
      <c r="K13250" t="str">
        <f t="shared" si="2386"/>
        <v>801</v>
      </c>
      <c r="L13250">
        <v>18.48</v>
      </c>
    </row>
    <row r="13251" spans="1:12" x14ac:dyDescent="0.25">
      <c r="A13251" t="str">
        <f t="shared" si="2388"/>
        <v>89301000</v>
      </c>
      <c r="B13251" t="str">
        <f t="shared" si="2384"/>
        <v>95202000</v>
      </c>
      <c r="C13251" t="str">
        <f t="shared" si="2385"/>
        <v>95202096</v>
      </c>
      <c r="D13251">
        <v>89301167</v>
      </c>
      <c r="E13251" t="str">
        <f t="shared" si="2387"/>
        <v>5709166199</v>
      </c>
      <c r="F13251" s="1">
        <v>45230</v>
      </c>
      <c r="G13251" t="str">
        <f>"81439"</f>
        <v>81439</v>
      </c>
      <c r="H13251">
        <v>1</v>
      </c>
      <c r="I13251">
        <v>16</v>
      </c>
      <c r="J13251">
        <v>0</v>
      </c>
      <c r="K13251" t="str">
        <f t="shared" si="2386"/>
        <v>801</v>
      </c>
      <c r="L13251">
        <v>13.44</v>
      </c>
    </row>
    <row r="13252" spans="1:12" x14ac:dyDescent="0.25">
      <c r="A13252" t="str">
        <f t="shared" si="2388"/>
        <v>89301000</v>
      </c>
      <c r="B13252" t="str">
        <f t="shared" si="2384"/>
        <v>95202000</v>
      </c>
      <c r="C13252" t="str">
        <f t="shared" si="2385"/>
        <v>95202096</v>
      </c>
      <c r="D13252">
        <v>89301167</v>
      </c>
      <c r="E13252" t="str">
        <f t="shared" si="2387"/>
        <v>5709166199</v>
      </c>
      <c r="F13252" s="1">
        <v>45230</v>
      </c>
      <c r="G13252" t="str">
        <f>"81469"</f>
        <v>81469</v>
      </c>
      <c r="H13252">
        <v>1</v>
      </c>
      <c r="I13252">
        <v>16</v>
      </c>
      <c r="J13252">
        <v>0</v>
      </c>
      <c r="K13252" t="str">
        <f t="shared" si="2386"/>
        <v>801</v>
      </c>
      <c r="L13252">
        <v>13.44</v>
      </c>
    </row>
    <row r="13253" spans="1:12" x14ac:dyDescent="0.25">
      <c r="A13253" t="str">
        <f t="shared" si="2388"/>
        <v>89301000</v>
      </c>
      <c r="B13253" t="str">
        <f t="shared" si="2384"/>
        <v>95202000</v>
      </c>
      <c r="C13253" t="str">
        <f t="shared" si="2385"/>
        <v>95202096</v>
      </c>
      <c r="D13253">
        <v>89301167</v>
      </c>
      <c r="E13253" t="str">
        <f t="shared" si="2387"/>
        <v>5709166199</v>
      </c>
      <c r="F13253" s="1">
        <v>45230</v>
      </c>
      <c r="G13253" t="str">
        <f>"81499"</f>
        <v>81499</v>
      </c>
      <c r="H13253">
        <v>1</v>
      </c>
      <c r="I13253">
        <v>18</v>
      </c>
      <c r="J13253">
        <v>0</v>
      </c>
      <c r="K13253" t="str">
        <f t="shared" si="2386"/>
        <v>801</v>
      </c>
      <c r="L13253">
        <v>15.12</v>
      </c>
    </row>
    <row r="13254" spans="1:12" x14ac:dyDescent="0.25">
      <c r="A13254" t="str">
        <f t="shared" si="2388"/>
        <v>89301000</v>
      </c>
      <c r="B13254" t="str">
        <f t="shared" si="2384"/>
        <v>95202000</v>
      </c>
      <c r="C13254" t="str">
        <f t="shared" si="2385"/>
        <v>95202096</v>
      </c>
      <c r="D13254">
        <v>89301167</v>
      </c>
      <c r="E13254" t="str">
        <f t="shared" si="2387"/>
        <v>5709166199</v>
      </c>
      <c r="F13254" s="1">
        <v>45230</v>
      </c>
      <c r="G13254" t="str">
        <f>"81593"</f>
        <v>81593</v>
      </c>
      <c r="H13254">
        <v>1</v>
      </c>
      <c r="I13254">
        <v>22</v>
      </c>
      <c r="J13254">
        <v>0</v>
      </c>
      <c r="K13254" t="str">
        <f t="shared" si="2386"/>
        <v>801</v>
      </c>
      <c r="L13254">
        <v>18.48</v>
      </c>
    </row>
    <row r="13255" spans="1:12" x14ac:dyDescent="0.25">
      <c r="A13255" t="str">
        <f t="shared" si="2388"/>
        <v>89301000</v>
      </c>
      <c r="B13255" t="str">
        <f t="shared" si="2384"/>
        <v>95202000</v>
      </c>
      <c r="C13255" t="str">
        <f t="shared" si="2385"/>
        <v>95202096</v>
      </c>
      <c r="D13255">
        <v>89301167</v>
      </c>
      <c r="E13255" t="str">
        <f t="shared" si="2387"/>
        <v>5709166199</v>
      </c>
      <c r="F13255" s="1">
        <v>45230</v>
      </c>
      <c r="G13255" t="str">
        <f>"81621"</f>
        <v>81621</v>
      </c>
      <c r="H13255">
        <v>1</v>
      </c>
      <c r="I13255">
        <v>19</v>
      </c>
      <c r="J13255">
        <v>0</v>
      </c>
      <c r="K13255" t="str">
        <f t="shared" si="2386"/>
        <v>801</v>
      </c>
      <c r="L13255">
        <v>15.96</v>
      </c>
    </row>
    <row r="13256" spans="1:12" x14ac:dyDescent="0.25">
      <c r="A13256" t="str">
        <f t="shared" si="2388"/>
        <v>89301000</v>
      </c>
      <c r="B13256" t="str">
        <f t="shared" si="2384"/>
        <v>95202000</v>
      </c>
      <c r="C13256" t="str">
        <f t="shared" si="2385"/>
        <v>95202096</v>
      </c>
      <c r="D13256">
        <v>89301167</v>
      </c>
      <c r="E13256" t="str">
        <f t="shared" si="2387"/>
        <v>5709166199</v>
      </c>
      <c r="F13256" s="1">
        <v>45230</v>
      </c>
      <c r="G13256" t="str">
        <f>"91153"</f>
        <v>91153</v>
      </c>
      <c r="H13256">
        <v>1</v>
      </c>
      <c r="I13256">
        <v>153</v>
      </c>
      <c r="J13256">
        <v>0</v>
      </c>
      <c r="K13256" t="str">
        <f t="shared" si="2386"/>
        <v>801</v>
      </c>
      <c r="L13256">
        <v>128.52000000000001</v>
      </c>
    </row>
    <row r="13257" spans="1:12" x14ac:dyDescent="0.25">
      <c r="A13257" t="str">
        <f t="shared" si="2388"/>
        <v>89301000</v>
      </c>
      <c r="B13257" t="str">
        <f t="shared" si="2384"/>
        <v>95202000</v>
      </c>
      <c r="C13257" t="str">
        <f t="shared" si="2385"/>
        <v>95202096</v>
      </c>
      <c r="D13257">
        <v>89301167</v>
      </c>
      <c r="E13257" t="str">
        <f t="shared" si="2387"/>
        <v>5709166199</v>
      </c>
      <c r="F13257" s="1">
        <v>45230</v>
      </c>
      <c r="G13257" t="str">
        <f>"93189"</f>
        <v>93189</v>
      </c>
      <c r="H13257">
        <v>1</v>
      </c>
      <c r="I13257">
        <v>191</v>
      </c>
      <c r="J13257">
        <v>0</v>
      </c>
      <c r="K13257" t="str">
        <f t="shared" si="2386"/>
        <v>801</v>
      </c>
      <c r="L13257">
        <v>160.44</v>
      </c>
    </row>
    <row r="13258" spans="1:12" x14ac:dyDescent="0.25">
      <c r="A13258" t="str">
        <f t="shared" si="2388"/>
        <v>89301000</v>
      </c>
      <c r="B13258" t="str">
        <f t="shared" ref="B13258:B13273" si="2389">"95202000"</f>
        <v>95202000</v>
      </c>
      <c r="C13258" t="str">
        <f t="shared" si="2385"/>
        <v>95202096</v>
      </c>
      <c r="D13258">
        <v>89301167</v>
      </c>
      <c r="E13258" t="str">
        <f t="shared" si="2387"/>
        <v>5709166199</v>
      </c>
      <c r="F13258" s="1">
        <v>45230</v>
      </c>
      <c r="G13258" t="str">
        <f>"93195"</f>
        <v>93195</v>
      </c>
      <c r="H13258">
        <v>1</v>
      </c>
      <c r="I13258">
        <v>183</v>
      </c>
      <c r="J13258">
        <v>0</v>
      </c>
      <c r="K13258" t="str">
        <f t="shared" si="2386"/>
        <v>801</v>
      </c>
      <c r="L13258">
        <v>153.72</v>
      </c>
    </row>
    <row r="13259" spans="1:12" x14ac:dyDescent="0.25">
      <c r="A13259" t="str">
        <f t="shared" si="2388"/>
        <v>89301000</v>
      </c>
      <c r="B13259" t="str">
        <f t="shared" si="2389"/>
        <v>95202000</v>
      </c>
      <c r="C13259" t="str">
        <f t="shared" si="2385"/>
        <v>95202096</v>
      </c>
      <c r="D13259">
        <v>89301167</v>
      </c>
      <c r="E13259" t="str">
        <f t="shared" si="2387"/>
        <v>5709166199</v>
      </c>
      <c r="F13259" s="1">
        <v>45230</v>
      </c>
      <c r="G13259" t="str">
        <f>"97111"</f>
        <v>97111</v>
      </c>
      <c r="H13259">
        <v>1</v>
      </c>
      <c r="I13259">
        <v>19</v>
      </c>
      <c r="J13259">
        <v>0</v>
      </c>
      <c r="K13259" t="str">
        <f t="shared" si="2386"/>
        <v>801</v>
      </c>
      <c r="L13259">
        <v>23.94</v>
      </c>
    </row>
    <row r="13260" spans="1:12" x14ac:dyDescent="0.25">
      <c r="A13260" t="str">
        <f t="shared" si="2388"/>
        <v>89301000</v>
      </c>
      <c r="B13260" t="str">
        <f t="shared" si="2389"/>
        <v>95202000</v>
      </c>
      <c r="C13260" t="str">
        <f t="shared" si="2385"/>
        <v>95202096</v>
      </c>
      <c r="D13260">
        <v>89301082</v>
      </c>
      <c r="E13260" t="str">
        <f>"8459215776"</f>
        <v>8459215776</v>
      </c>
      <c r="F13260" s="1">
        <v>45222</v>
      </c>
      <c r="G13260" t="str">
        <f>"93159"</f>
        <v>93159</v>
      </c>
      <c r="H13260">
        <v>1</v>
      </c>
      <c r="I13260">
        <v>197</v>
      </c>
      <c r="J13260">
        <v>0</v>
      </c>
      <c r="K13260" t="str">
        <f t="shared" si="2386"/>
        <v>801</v>
      </c>
      <c r="L13260">
        <v>165.48</v>
      </c>
    </row>
    <row r="13261" spans="1:12" x14ac:dyDescent="0.25">
      <c r="A13261" t="str">
        <f t="shared" si="2388"/>
        <v>89301000</v>
      </c>
      <c r="B13261" t="str">
        <f t="shared" si="2389"/>
        <v>95202000</v>
      </c>
      <c r="C13261" t="str">
        <f t="shared" si="2385"/>
        <v>95202096</v>
      </c>
      <c r="D13261">
        <v>89301082</v>
      </c>
      <c r="E13261" t="str">
        <f>"8459215776"</f>
        <v>8459215776</v>
      </c>
      <c r="F13261" s="1">
        <v>45222</v>
      </c>
      <c r="G13261" t="str">
        <f>"97111"</f>
        <v>97111</v>
      </c>
      <c r="H13261">
        <v>1</v>
      </c>
      <c r="I13261">
        <v>19</v>
      </c>
      <c r="J13261">
        <v>0</v>
      </c>
      <c r="K13261" t="str">
        <f t="shared" si="2386"/>
        <v>801</v>
      </c>
      <c r="L13261">
        <v>23.94</v>
      </c>
    </row>
    <row r="13262" spans="1:12" x14ac:dyDescent="0.25">
      <c r="A13262" t="str">
        <f t="shared" si="2388"/>
        <v>89301000</v>
      </c>
      <c r="B13262" t="str">
        <f t="shared" si="2389"/>
        <v>95202000</v>
      </c>
      <c r="C13262" t="str">
        <f t="shared" si="2385"/>
        <v>95202096</v>
      </c>
      <c r="D13262">
        <v>89301082</v>
      </c>
      <c r="E13262" t="str">
        <f>"7955105785"</f>
        <v>7955105785</v>
      </c>
      <c r="F13262" s="1">
        <v>45222</v>
      </c>
      <c r="G13262" t="str">
        <f>"93159"</f>
        <v>93159</v>
      </c>
      <c r="H13262">
        <v>1</v>
      </c>
      <c r="I13262">
        <v>197</v>
      </c>
      <c r="J13262">
        <v>0</v>
      </c>
      <c r="K13262" t="str">
        <f t="shared" si="2386"/>
        <v>801</v>
      </c>
      <c r="L13262">
        <v>165.48</v>
      </c>
    </row>
    <row r="13263" spans="1:12" x14ac:dyDescent="0.25">
      <c r="A13263" t="str">
        <f t="shared" si="2388"/>
        <v>89301000</v>
      </c>
      <c r="B13263" t="str">
        <f t="shared" si="2389"/>
        <v>95202000</v>
      </c>
      <c r="C13263" t="str">
        <f t="shared" ref="C13263:C13273" si="2390">"95202511"</f>
        <v>95202511</v>
      </c>
      <c r="D13263">
        <v>89301172</v>
      </c>
      <c r="E13263" t="str">
        <f>"7460125816"</f>
        <v>7460125816</v>
      </c>
      <c r="F13263" s="1">
        <v>45218</v>
      </c>
      <c r="G13263" t="str">
        <f>"89131"</f>
        <v>89131</v>
      </c>
      <c r="H13263">
        <v>1</v>
      </c>
      <c r="I13263">
        <v>190</v>
      </c>
      <c r="J13263">
        <v>0</v>
      </c>
      <c r="K13263" t="str">
        <f t="shared" ref="K13263:K13273" si="2391">"809"</f>
        <v>809</v>
      </c>
      <c r="L13263">
        <v>279.3</v>
      </c>
    </row>
    <row r="13264" spans="1:12" x14ac:dyDescent="0.25">
      <c r="A13264" t="str">
        <f t="shared" si="2388"/>
        <v>89301000</v>
      </c>
      <c r="B13264" t="str">
        <f t="shared" si="2389"/>
        <v>95202000</v>
      </c>
      <c r="C13264" t="str">
        <f t="shared" si="2390"/>
        <v>95202511</v>
      </c>
      <c r="D13264">
        <v>89301172</v>
      </c>
      <c r="E13264" t="str">
        <f>"7460125816"</f>
        <v>7460125816</v>
      </c>
      <c r="F13264" s="1">
        <v>45218</v>
      </c>
      <c r="G13264" t="str">
        <f>"09572"</f>
        <v>09572</v>
      </c>
      <c r="H13264">
        <v>1</v>
      </c>
      <c r="I13264">
        <v>0</v>
      </c>
      <c r="J13264">
        <v>0</v>
      </c>
      <c r="K13264" t="str">
        <f t="shared" si="2391"/>
        <v>809</v>
      </c>
      <c r="L13264">
        <v>0</v>
      </c>
    </row>
    <row r="13265" spans="1:12" x14ac:dyDescent="0.25">
      <c r="A13265" t="str">
        <f t="shared" si="2388"/>
        <v>89301000</v>
      </c>
      <c r="B13265" t="str">
        <f t="shared" si="2389"/>
        <v>95202000</v>
      </c>
      <c r="C13265" t="str">
        <f t="shared" si="2390"/>
        <v>95202511</v>
      </c>
      <c r="D13265">
        <v>89301172</v>
      </c>
      <c r="E13265" t="str">
        <f>"7460125816"</f>
        <v>7460125816</v>
      </c>
      <c r="F13265" s="1">
        <v>45218</v>
      </c>
      <c r="G13265" t="str">
        <f>"89513"</f>
        <v>89513</v>
      </c>
      <c r="H13265">
        <v>1</v>
      </c>
      <c r="I13265">
        <v>378</v>
      </c>
      <c r="J13265">
        <v>0</v>
      </c>
      <c r="K13265" t="str">
        <f t="shared" si="2391"/>
        <v>809</v>
      </c>
      <c r="L13265">
        <v>555.66</v>
      </c>
    </row>
    <row r="13266" spans="1:12" x14ac:dyDescent="0.25">
      <c r="A13266" t="str">
        <f t="shared" si="2388"/>
        <v>89301000</v>
      </c>
      <c r="B13266" t="str">
        <f t="shared" si="2389"/>
        <v>95202000</v>
      </c>
      <c r="C13266" t="str">
        <f t="shared" si="2390"/>
        <v>95202511</v>
      </c>
      <c r="D13266">
        <v>89301172</v>
      </c>
      <c r="E13266" t="str">
        <f>"7460125816"</f>
        <v>7460125816</v>
      </c>
      <c r="F13266" s="1">
        <v>45218</v>
      </c>
      <c r="G13266" t="str">
        <f>"89514"</f>
        <v>89514</v>
      </c>
      <c r="H13266">
        <v>1</v>
      </c>
      <c r="I13266">
        <v>378</v>
      </c>
      <c r="J13266">
        <v>0</v>
      </c>
      <c r="K13266" t="str">
        <f t="shared" si="2391"/>
        <v>809</v>
      </c>
      <c r="L13266">
        <v>555.66</v>
      </c>
    </row>
    <row r="13267" spans="1:12" x14ac:dyDescent="0.25">
      <c r="A13267" t="str">
        <f t="shared" si="2388"/>
        <v>89301000</v>
      </c>
      <c r="B13267" t="str">
        <f t="shared" si="2389"/>
        <v>95202000</v>
      </c>
      <c r="C13267" t="str">
        <f t="shared" si="2390"/>
        <v>95202511</v>
      </c>
      <c r="D13267">
        <v>89301062</v>
      </c>
      <c r="E13267" t="str">
        <f t="shared" ref="E13267:E13272" si="2392">"465506148"</f>
        <v>465506148</v>
      </c>
      <c r="F13267" s="1">
        <v>45224</v>
      </c>
      <c r="G13267" t="str">
        <f>"89311"</f>
        <v>89311</v>
      </c>
      <c r="H13267">
        <v>1</v>
      </c>
      <c r="I13267">
        <v>970</v>
      </c>
      <c r="J13267">
        <v>0</v>
      </c>
      <c r="K13267" t="str">
        <f t="shared" si="2391"/>
        <v>809</v>
      </c>
      <c r="L13267">
        <v>1425.9</v>
      </c>
    </row>
    <row r="13268" spans="1:12" x14ac:dyDescent="0.25">
      <c r="A13268" t="str">
        <f t="shared" si="2388"/>
        <v>89301000</v>
      </c>
      <c r="B13268" t="str">
        <f t="shared" si="2389"/>
        <v>95202000</v>
      </c>
      <c r="C13268" t="str">
        <f t="shared" si="2390"/>
        <v>95202511</v>
      </c>
      <c r="D13268">
        <v>89301062</v>
      </c>
      <c r="E13268" t="str">
        <f t="shared" si="2392"/>
        <v>465506148</v>
      </c>
      <c r="F13268" s="1">
        <v>45224</v>
      </c>
      <c r="G13268" t="str">
        <f>"89617"</f>
        <v>89617</v>
      </c>
      <c r="H13268">
        <v>1</v>
      </c>
      <c r="I13268">
        <v>1342</v>
      </c>
      <c r="J13268">
        <v>0</v>
      </c>
      <c r="K13268" t="str">
        <f t="shared" si="2391"/>
        <v>809</v>
      </c>
      <c r="L13268">
        <v>872.3</v>
      </c>
    </row>
    <row r="13269" spans="1:12" x14ac:dyDescent="0.25">
      <c r="A13269" t="str">
        <f t="shared" si="2388"/>
        <v>89301000</v>
      </c>
      <c r="B13269" t="str">
        <f t="shared" si="2389"/>
        <v>95202000</v>
      </c>
      <c r="C13269" t="str">
        <f t="shared" si="2390"/>
        <v>95202511</v>
      </c>
      <c r="D13269">
        <v>89301062</v>
      </c>
      <c r="E13269" t="str">
        <f t="shared" si="2392"/>
        <v>465506148</v>
      </c>
      <c r="F13269" s="1">
        <v>45224</v>
      </c>
      <c r="G13269" t="str">
        <f>"0022077"</f>
        <v>0022077</v>
      </c>
      <c r="H13269">
        <v>0.01</v>
      </c>
      <c r="J13269">
        <v>20.100000000000001</v>
      </c>
      <c r="K13269" t="str">
        <f t="shared" si="2391"/>
        <v>809</v>
      </c>
      <c r="L13269">
        <v>20.100000000000001</v>
      </c>
    </row>
    <row r="13270" spans="1:12" x14ac:dyDescent="0.25">
      <c r="A13270" t="str">
        <f t="shared" si="2388"/>
        <v>89301000</v>
      </c>
      <c r="B13270" t="str">
        <f t="shared" si="2389"/>
        <v>95202000</v>
      </c>
      <c r="C13270" t="str">
        <f t="shared" si="2390"/>
        <v>95202511</v>
      </c>
      <c r="D13270">
        <v>89301062</v>
      </c>
      <c r="E13270" t="str">
        <f t="shared" si="2392"/>
        <v>465506148</v>
      </c>
      <c r="F13270" s="1">
        <v>45224</v>
      </c>
      <c r="G13270" t="str">
        <f>"0151447"</f>
        <v>0151447</v>
      </c>
      <c r="H13270">
        <v>1</v>
      </c>
      <c r="J13270">
        <v>348</v>
      </c>
      <c r="K13270" t="str">
        <f t="shared" si="2391"/>
        <v>809</v>
      </c>
      <c r="L13270">
        <v>348</v>
      </c>
    </row>
    <row r="13271" spans="1:12" x14ac:dyDescent="0.25">
      <c r="A13271" t="str">
        <f t="shared" si="2388"/>
        <v>89301000</v>
      </c>
      <c r="B13271" t="str">
        <f t="shared" si="2389"/>
        <v>95202000</v>
      </c>
      <c r="C13271" t="str">
        <f t="shared" si="2390"/>
        <v>95202511</v>
      </c>
      <c r="D13271">
        <v>89301062</v>
      </c>
      <c r="E13271" t="str">
        <f t="shared" si="2392"/>
        <v>465506148</v>
      </c>
      <c r="F13271" s="1">
        <v>45224</v>
      </c>
      <c r="G13271" t="str">
        <f>"0000502"</f>
        <v>0000502</v>
      </c>
      <c r="H13271">
        <v>0.1</v>
      </c>
      <c r="J13271">
        <v>6.97</v>
      </c>
      <c r="K13271" t="str">
        <f t="shared" si="2391"/>
        <v>809</v>
      </c>
      <c r="L13271">
        <v>6.97</v>
      </c>
    </row>
    <row r="13272" spans="1:12" x14ac:dyDescent="0.25">
      <c r="A13272" t="str">
        <f t="shared" si="2388"/>
        <v>89301000</v>
      </c>
      <c r="B13272" t="str">
        <f t="shared" si="2389"/>
        <v>95202000</v>
      </c>
      <c r="C13272" t="str">
        <f t="shared" si="2390"/>
        <v>95202511</v>
      </c>
      <c r="D13272">
        <v>89301062</v>
      </c>
      <c r="E13272" t="str">
        <f t="shared" si="2392"/>
        <v>465506148</v>
      </c>
      <c r="F13272" s="1">
        <v>45224</v>
      </c>
      <c r="G13272" t="str">
        <f>"0084090"</f>
        <v>0084090</v>
      </c>
      <c r="H13272">
        <v>0.1</v>
      </c>
      <c r="J13272">
        <v>8.52</v>
      </c>
      <c r="K13272" t="str">
        <f t="shared" si="2391"/>
        <v>809</v>
      </c>
      <c r="L13272">
        <v>8.52</v>
      </c>
    </row>
    <row r="13273" spans="1:12" x14ac:dyDescent="0.25">
      <c r="A13273" t="str">
        <f t="shared" si="2388"/>
        <v>89301000</v>
      </c>
      <c r="B13273" t="str">
        <f t="shared" si="2389"/>
        <v>95202000</v>
      </c>
      <c r="C13273" t="str">
        <f t="shared" si="2390"/>
        <v>95202511</v>
      </c>
      <c r="D13273">
        <v>89301039</v>
      </c>
      <c r="E13273" t="str">
        <f>"6158202028"</f>
        <v>6158202028</v>
      </c>
      <c r="F13273" s="1">
        <v>45229</v>
      </c>
      <c r="G13273" t="str">
        <f>"89615"</f>
        <v>89615</v>
      </c>
      <c r="H13273">
        <v>1</v>
      </c>
      <c r="I13273">
        <v>2199</v>
      </c>
      <c r="J13273">
        <v>0</v>
      </c>
      <c r="K13273" t="str">
        <f t="shared" si="2391"/>
        <v>809</v>
      </c>
      <c r="L13273">
        <v>1429.35</v>
      </c>
    </row>
    <row r="13274" spans="1:12" x14ac:dyDescent="0.25">
      <c r="A13274" t="str">
        <f t="shared" si="2388"/>
        <v>89301000</v>
      </c>
      <c r="B13274" t="str">
        <f>"82001000"</f>
        <v>82001000</v>
      </c>
      <c r="C13274" t="str">
        <f>"82001848"</f>
        <v>82001848</v>
      </c>
      <c r="D13274">
        <v>89301112</v>
      </c>
      <c r="E13274" t="str">
        <f>"5755090594"</f>
        <v>5755090594</v>
      </c>
      <c r="F13274" s="1">
        <v>45230</v>
      </c>
      <c r="G13274" t="str">
        <f>"82075"</f>
        <v>82075</v>
      </c>
      <c r="H13274">
        <v>1</v>
      </c>
      <c r="I13274">
        <v>488</v>
      </c>
      <c r="J13274">
        <v>0</v>
      </c>
      <c r="K13274" t="str">
        <f>"222"</f>
        <v>222</v>
      </c>
      <c r="L13274">
        <v>409.92</v>
      </c>
    </row>
    <row r="13275" spans="1:12" x14ac:dyDescent="0.25">
      <c r="A13275" t="str">
        <f t="shared" si="2388"/>
        <v>89301000</v>
      </c>
      <c r="B13275" t="str">
        <f>"82001000"</f>
        <v>82001000</v>
      </c>
      <c r="C13275" t="str">
        <f>"82001848"</f>
        <v>82001848</v>
      </c>
      <c r="D13275">
        <v>89301112</v>
      </c>
      <c r="E13275" t="str">
        <f>"5755090594"</f>
        <v>5755090594</v>
      </c>
      <c r="F13275" s="1">
        <v>45230</v>
      </c>
      <c r="G13275" t="str">
        <f>"82077"</f>
        <v>82077</v>
      </c>
      <c r="H13275">
        <v>1</v>
      </c>
      <c r="I13275">
        <v>351</v>
      </c>
      <c r="J13275">
        <v>0</v>
      </c>
      <c r="K13275" t="str">
        <f>"222"</f>
        <v>222</v>
      </c>
      <c r="L13275">
        <v>294.83999999999997</v>
      </c>
    </row>
    <row r="13276" spans="1:12" x14ac:dyDescent="0.25">
      <c r="A13276" t="str">
        <f t="shared" si="2388"/>
        <v>89301000</v>
      </c>
      <c r="B13276" t="str">
        <f>"82001000"</f>
        <v>82001000</v>
      </c>
      <c r="C13276" t="str">
        <f>"82001848"</f>
        <v>82001848</v>
      </c>
      <c r="D13276">
        <v>89301112</v>
      </c>
      <c r="E13276" t="str">
        <f>"5755090594"</f>
        <v>5755090594</v>
      </c>
      <c r="F13276" s="1">
        <v>45230</v>
      </c>
      <c r="G13276" t="str">
        <f>"82079"</f>
        <v>82079</v>
      </c>
      <c r="H13276">
        <v>1</v>
      </c>
      <c r="I13276">
        <v>333</v>
      </c>
      <c r="J13276">
        <v>0</v>
      </c>
      <c r="K13276" t="str">
        <f>"222"</f>
        <v>222</v>
      </c>
      <c r="L13276">
        <v>279.72000000000003</v>
      </c>
    </row>
    <row r="13277" spans="1:12" x14ac:dyDescent="0.25">
      <c r="A13277" t="str">
        <f t="shared" si="2388"/>
        <v>89301000</v>
      </c>
      <c r="B13277" t="str">
        <f>"82001000"</f>
        <v>82001000</v>
      </c>
      <c r="C13277" t="str">
        <f>"82001848"</f>
        <v>82001848</v>
      </c>
      <c r="D13277">
        <v>89301112</v>
      </c>
      <c r="E13277" t="str">
        <f>"5755090594"</f>
        <v>5755090594</v>
      </c>
      <c r="F13277" s="1">
        <v>45230</v>
      </c>
      <c r="G13277" t="str">
        <f>"82119"</f>
        <v>82119</v>
      </c>
      <c r="H13277">
        <v>1</v>
      </c>
      <c r="I13277">
        <v>230</v>
      </c>
      <c r="J13277">
        <v>0</v>
      </c>
      <c r="K13277" t="str">
        <f>"222"</f>
        <v>222</v>
      </c>
      <c r="L13277">
        <v>193.2</v>
      </c>
    </row>
    <row r="13278" spans="1:12" x14ac:dyDescent="0.25">
      <c r="A13278" t="str">
        <f t="shared" si="2388"/>
        <v>89301000</v>
      </c>
      <c r="B13278" t="str">
        <f>"82001000"</f>
        <v>82001000</v>
      </c>
      <c r="C13278" t="str">
        <f>"82001848"</f>
        <v>82001848</v>
      </c>
      <c r="D13278">
        <v>89301112</v>
      </c>
      <c r="E13278" t="str">
        <f>"5755090594"</f>
        <v>5755090594</v>
      </c>
      <c r="F13278" s="1">
        <v>45230</v>
      </c>
      <c r="G13278" t="str">
        <f>"97111"</f>
        <v>97111</v>
      </c>
      <c r="H13278">
        <v>1</v>
      </c>
      <c r="I13278">
        <v>19</v>
      </c>
      <c r="J13278">
        <v>0</v>
      </c>
      <c r="K13278" t="str">
        <f>"222"</f>
        <v>222</v>
      </c>
      <c r="L13278">
        <v>23.94</v>
      </c>
    </row>
    <row r="13279" spans="1:12" x14ac:dyDescent="0.25">
      <c r="A13279" t="str">
        <f t="shared" si="2388"/>
        <v>89301000</v>
      </c>
      <c r="B13279" t="str">
        <f t="shared" ref="B13279:B13298" si="2393">"88805000"</f>
        <v>88805000</v>
      </c>
      <c r="C13279" t="str">
        <f>"88805001"</f>
        <v>88805001</v>
      </c>
      <c r="D13279">
        <v>89301167</v>
      </c>
      <c r="E13279" t="str">
        <f>"5707200807"</f>
        <v>5707200807</v>
      </c>
      <c r="F13279" s="1">
        <v>45208</v>
      </c>
      <c r="G13279" t="str">
        <f>"09119"</f>
        <v>09119</v>
      </c>
      <c r="H13279">
        <v>1</v>
      </c>
      <c r="I13279">
        <v>43</v>
      </c>
      <c r="J13279">
        <v>0</v>
      </c>
      <c r="K13279" t="str">
        <f>"801"</f>
        <v>801</v>
      </c>
      <c r="L13279">
        <v>54.18</v>
      </c>
    </row>
    <row r="13280" spans="1:12" x14ac:dyDescent="0.25">
      <c r="A13280" t="str">
        <f t="shared" si="2388"/>
        <v>89301000</v>
      </c>
      <c r="B13280" t="str">
        <f t="shared" si="2393"/>
        <v>88805000</v>
      </c>
      <c r="C13280" t="str">
        <f>"88805001"</f>
        <v>88805001</v>
      </c>
      <c r="D13280">
        <v>89301167</v>
      </c>
      <c r="E13280" t="str">
        <f>"5709166199"</f>
        <v>5709166199</v>
      </c>
      <c r="F13280" s="1">
        <v>45202</v>
      </c>
      <c r="G13280" t="str">
        <f>"09119"</f>
        <v>09119</v>
      </c>
      <c r="H13280">
        <v>1</v>
      </c>
      <c r="I13280">
        <v>43</v>
      </c>
      <c r="J13280">
        <v>0</v>
      </c>
      <c r="K13280" t="str">
        <f>"801"</f>
        <v>801</v>
      </c>
      <c r="L13280">
        <v>54.18</v>
      </c>
    </row>
    <row r="13281" spans="1:12" x14ac:dyDescent="0.25">
      <c r="A13281" t="str">
        <f t="shared" si="2388"/>
        <v>89301000</v>
      </c>
      <c r="B13281" t="str">
        <f t="shared" si="2393"/>
        <v>88805000</v>
      </c>
      <c r="C13281" t="str">
        <f>"88805001"</f>
        <v>88805001</v>
      </c>
      <c r="D13281">
        <v>89301167</v>
      </c>
      <c r="E13281" t="str">
        <f>"5709166199"</f>
        <v>5709166199</v>
      </c>
      <c r="F13281" s="1">
        <v>45230</v>
      </c>
      <c r="G13281" t="str">
        <f>"91153"</f>
        <v>91153</v>
      </c>
      <c r="H13281">
        <v>1</v>
      </c>
      <c r="I13281">
        <v>153</v>
      </c>
      <c r="J13281">
        <v>0</v>
      </c>
      <c r="K13281" t="str">
        <f>"801"</f>
        <v>801</v>
      </c>
      <c r="L13281">
        <v>128.52000000000001</v>
      </c>
    </row>
    <row r="13282" spans="1:12" x14ac:dyDescent="0.25">
      <c r="A13282" t="str">
        <f t="shared" si="2388"/>
        <v>89301000</v>
      </c>
      <c r="B13282" t="str">
        <f t="shared" si="2393"/>
        <v>88805000</v>
      </c>
      <c r="C13282" t="str">
        <f>"88805001"</f>
        <v>88805001</v>
      </c>
      <c r="D13282">
        <v>89301167</v>
      </c>
      <c r="E13282" t="str">
        <f>"5709166199"</f>
        <v>5709166199</v>
      </c>
      <c r="F13282" s="1">
        <v>45230</v>
      </c>
      <c r="G13282" t="str">
        <f>"09119"</f>
        <v>09119</v>
      </c>
      <c r="H13282">
        <v>1</v>
      </c>
      <c r="I13282">
        <v>43</v>
      </c>
      <c r="J13282">
        <v>0</v>
      </c>
      <c r="K13282" t="str">
        <f>"801"</f>
        <v>801</v>
      </c>
      <c r="L13282">
        <v>54.18</v>
      </c>
    </row>
    <row r="13283" spans="1:12" x14ac:dyDescent="0.25">
      <c r="A13283" t="str">
        <f t="shared" si="2388"/>
        <v>89301000</v>
      </c>
      <c r="B13283" t="str">
        <f t="shared" si="2393"/>
        <v>88805000</v>
      </c>
      <c r="C13283" t="str">
        <f t="shared" ref="C13283:C13294" si="2394">"88805014"</f>
        <v>88805014</v>
      </c>
      <c r="D13283">
        <v>89301282</v>
      </c>
      <c r="E13283" t="str">
        <f>"2111130417"</f>
        <v>2111130417</v>
      </c>
      <c r="F13283" s="1">
        <v>45218</v>
      </c>
      <c r="G13283" t="str">
        <f>"94345"</f>
        <v>94345</v>
      </c>
      <c r="H13283">
        <v>1</v>
      </c>
      <c r="I13283">
        <v>4662</v>
      </c>
      <c r="J13283">
        <v>0</v>
      </c>
      <c r="K13283" t="str">
        <f t="shared" ref="K13283:K13294" si="2395">"816"</f>
        <v>816</v>
      </c>
      <c r="L13283">
        <v>4195.8</v>
      </c>
    </row>
    <row r="13284" spans="1:12" x14ac:dyDescent="0.25">
      <c r="A13284" t="str">
        <f t="shared" si="2388"/>
        <v>89301000</v>
      </c>
      <c r="B13284" t="str">
        <f t="shared" si="2393"/>
        <v>88805000</v>
      </c>
      <c r="C13284" t="str">
        <f t="shared" si="2394"/>
        <v>88805014</v>
      </c>
      <c r="D13284">
        <v>89301282</v>
      </c>
      <c r="E13284" t="str">
        <f>"2111130417"</f>
        <v>2111130417</v>
      </c>
      <c r="F13284" s="1">
        <v>45218</v>
      </c>
      <c r="G13284" t="str">
        <f>"94948"</f>
        <v>94948</v>
      </c>
      <c r="H13284">
        <v>1</v>
      </c>
      <c r="I13284">
        <v>0</v>
      </c>
      <c r="J13284">
        <v>0</v>
      </c>
      <c r="K13284" t="str">
        <f t="shared" si="2395"/>
        <v>816</v>
      </c>
      <c r="L13284">
        <v>0</v>
      </c>
    </row>
    <row r="13285" spans="1:12" x14ac:dyDescent="0.25">
      <c r="A13285" t="str">
        <f t="shared" si="2388"/>
        <v>89301000</v>
      </c>
      <c r="B13285" t="str">
        <f t="shared" si="2393"/>
        <v>88805000</v>
      </c>
      <c r="C13285" t="str">
        <f t="shared" si="2394"/>
        <v>88805014</v>
      </c>
      <c r="D13285">
        <v>89301282</v>
      </c>
      <c r="E13285" t="str">
        <f>"8003135800"</f>
        <v>8003135800</v>
      </c>
      <c r="F13285" s="1">
        <v>45208</v>
      </c>
      <c r="G13285" t="str">
        <f>"94982"</f>
        <v>94982</v>
      </c>
      <c r="H13285">
        <v>1</v>
      </c>
      <c r="I13285">
        <v>0</v>
      </c>
      <c r="J13285">
        <v>27500</v>
      </c>
      <c r="K13285" t="str">
        <f t="shared" si="2395"/>
        <v>816</v>
      </c>
      <c r="L13285">
        <v>27500</v>
      </c>
    </row>
    <row r="13286" spans="1:12" x14ac:dyDescent="0.25">
      <c r="A13286" t="str">
        <f t="shared" si="2388"/>
        <v>89301000</v>
      </c>
      <c r="B13286" t="str">
        <f t="shared" si="2393"/>
        <v>88805000</v>
      </c>
      <c r="C13286" t="str">
        <f t="shared" si="2394"/>
        <v>88805014</v>
      </c>
      <c r="D13286">
        <v>89301282</v>
      </c>
      <c r="E13286" t="str">
        <f>"8003135800"</f>
        <v>8003135800</v>
      </c>
      <c r="F13286" s="1">
        <v>45208</v>
      </c>
      <c r="G13286" t="str">
        <f>"94996"</f>
        <v>94996</v>
      </c>
      <c r="H13286">
        <v>1</v>
      </c>
      <c r="I13286">
        <v>0</v>
      </c>
      <c r="J13286">
        <v>0</v>
      </c>
      <c r="K13286" t="str">
        <f t="shared" si="2395"/>
        <v>816</v>
      </c>
      <c r="L13286">
        <v>0</v>
      </c>
    </row>
    <row r="13287" spans="1:12" x14ac:dyDescent="0.25">
      <c r="A13287" t="str">
        <f t="shared" si="2388"/>
        <v>89301000</v>
      </c>
      <c r="B13287" t="str">
        <f t="shared" si="2393"/>
        <v>88805000</v>
      </c>
      <c r="C13287" t="str">
        <f t="shared" si="2394"/>
        <v>88805014</v>
      </c>
      <c r="D13287">
        <v>89301282</v>
      </c>
      <c r="E13287" t="str">
        <f>"1353160688"</f>
        <v>1353160688</v>
      </c>
      <c r="F13287" s="1">
        <v>45215</v>
      </c>
      <c r="G13287" t="str">
        <f>"94982"</f>
        <v>94982</v>
      </c>
      <c r="H13287">
        <v>1</v>
      </c>
      <c r="I13287">
        <v>0</v>
      </c>
      <c r="J13287">
        <v>27500</v>
      </c>
      <c r="K13287" t="str">
        <f t="shared" si="2395"/>
        <v>816</v>
      </c>
      <c r="L13287">
        <v>27500</v>
      </c>
    </row>
    <row r="13288" spans="1:12" x14ac:dyDescent="0.25">
      <c r="A13288" t="str">
        <f t="shared" si="2388"/>
        <v>89301000</v>
      </c>
      <c r="B13288" t="str">
        <f t="shared" si="2393"/>
        <v>88805000</v>
      </c>
      <c r="C13288" t="str">
        <f t="shared" si="2394"/>
        <v>88805014</v>
      </c>
      <c r="D13288">
        <v>89301282</v>
      </c>
      <c r="E13288" t="str">
        <f>"1353160688"</f>
        <v>1353160688</v>
      </c>
      <c r="F13288" s="1">
        <v>45215</v>
      </c>
      <c r="G13288" t="str">
        <f>"94996"</f>
        <v>94996</v>
      </c>
      <c r="H13288">
        <v>1</v>
      </c>
      <c r="I13288">
        <v>0</v>
      </c>
      <c r="J13288">
        <v>0</v>
      </c>
      <c r="K13288" t="str">
        <f t="shared" si="2395"/>
        <v>816</v>
      </c>
      <c r="L13288">
        <v>0</v>
      </c>
    </row>
    <row r="13289" spans="1:12" x14ac:dyDescent="0.25">
      <c r="A13289" t="str">
        <f t="shared" si="2388"/>
        <v>89301000</v>
      </c>
      <c r="B13289" t="str">
        <f t="shared" si="2393"/>
        <v>88805000</v>
      </c>
      <c r="C13289" t="str">
        <f t="shared" si="2394"/>
        <v>88805014</v>
      </c>
      <c r="D13289">
        <v>89301282</v>
      </c>
      <c r="E13289" t="str">
        <f>"8055255351"</f>
        <v>8055255351</v>
      </c>
      <c r="F13289" s="1">
        <v>45203</v>
      </c>
      <c r="G13289" t="str">
        <f>"94983"</f>
        <v>94983</v>
      </c>
      <c r="H13289">
        <v>1</v>
      </c>
      <c r="I13289">
        <v>0</v>
      </c>
      <c r="J13289">
        <v>39600</v>
      </c>
      <c r="K13289" t="str">
        <f t="shared" si="2395"/>
        <v>816</v>
      </c>
      <c r="L13289">
        <v>39600</v>
      </c>
    </row>
    <row r="13290" spans="1:12" x14ac:dyDescent="0.25">
      <c r="A13290" t="str">
        <f t="shared" si="2388"/>
        <v>89301000</v>
      </c>
      <c r="B13290" t="str">
        <f t="shared" si="2393"/>
        <v>88805000</v>
      </c>
      <c r="C13290" t="str">
        <f t="shared" si="2394"/>
        <v>88805014</v>
      </c>
      <c r="D13290">
        <v>89301282</v>
      </c>
      <c r="E13290" t="str">
        <f>"8055255351"</f>
        <v>8055255351</v>
      </c>
      <c r="F13290" s="1">
        <v>45203</v>
      </c>
      <c r="G13290" t="str">
        <f>"94996"</f>
        <v>94996</v>
      </c>
      <c r="H13290">
        <v>1</v>
      </c>
      <c r="I13290">
        <v>0</v>
      </c>
      <c r="J13290">
        <v>0</v>
      </c>
      <c r="K13290" t="str">
        <f t="shared" si="2395"/>
        <v>816</v>
      </c>
      <c r="L13290">
        <v>0</v>
      </c>
    </row>
    <row r="13291" spans="1:12" x14ac:dyDescent="0.25">
      <c r="A13291" t="str">
        <f t="shared" si="2388"/>
        <v>89301000</v>
      </c>
      <c r="B13291" t="str">
        <f t="shared" si="2393"/>
        <v>88805000</v>
      </c>
      <c r="C13291" t="str">
        <f t="shared" si="2394"/>
        <v>88805014</v>
      </c>
      <c r="D13291">
        <v>89301282</v>
      </c>
      <c r="E13291" t="str">
        <f>"1157100043"</f>
        <v>1157100043</v>
      </c>
      <c r="F13291" s="1">
        <v>45203</v>
      </c>
      <c r="G13291" t="str">
        <f>"94983"</f>
        <v>94983</v>
      </c>
      <c r="H13291">
        <v>1</v>
      </c>
      <c r="I13291">
        <v>0</v>
      </c>
      <c r="J13291">
        <v>39600</v>
      </c>
      <c r="K13291" t="str">
        <f t="shared" si="2395"/>
        <v>816</v>
      </c>
      <c r="L13291">
        <v>39600</v>
      </c>
    </row>
    <row r="13292" spans="1:12" x14ac:dyDescent="0.25">
      <c r="A13292" t="str">
        <f t="shared" si="2388"/>
        <v>89301000</v>
      </c>
      <c r="B13292" t="str">
        <f t="shared" si="2393"/>
        <v>88805000</v>
      </c>
      <c r="C13292" t="str">
        <f t="shared" si="2394"/>
        <v>88805014</v>
      </c>
      <c r="D13292">
        <v>89301282</v>
      </c>
      <c r="E13292" t="str">
        <f>"1157100043"</f>
        <v>1157100043</v>
      </c>
      <c r="F13292" s="1">
        <v>45203</v>
      </c>
      <c r="G13292" t="str">
        <f>"94996"</f>
        <v>94996</v>
      </c>
      <c r="H13292">
        <v>1</v>
      </c>
      <c r="I13292">
        <v>0</v>
      </c>
      <c r="J13292">
        <v>0</v>
      </c>
      <c r="K13292" t="str">
        <f t="shared" si="2395"/>
        <v>816</v>
      </c>
      <c r="L13292">
        <v>0</v>
      </c>
    </row>
    <row r="13293" spans="1:12" x14ac:dyDescent="0.25">
      <c r="A13293" t="str">
        <f t="shared" si="2388"/>
        <v>89301000</v>
      </c>
      <c r="B13293" t="str">
        <f t="shared" si="2393"/>
        <v>88805000</v>
      </c>
      <c r="C13293" t="str">
        <f t="shared" si="2394"/>
        <v>88805014</v>
      </c>
      <c r="D13293">
        <v>89301282</v>
      </c>
      <c r="E13293" t="str">
        <f>"7505314520"</f>
        <v>7505314520</v>
      </c>
      <c r="F13293" s="1">
        <v>45205</v>
      </c>
      <c r="G13293" t="str">
        <f>"94983"</f>
        <v>94983</v>
      </c>
      <c r="H13293">
        <v>1</v>
      </c>
      <c r="I13293">
        <v>0</v>
      </c>
      <c r="J13293">
        <v>39600</v>
      </c>
      <c r="K13293" t="str">
        <f t="shared" si="2395"/>
        <v>816</v>
      </c>
      <c r="L13293">
        <v>39600</v>
      </c>
    </row>
    <row r="13294" spans="1:12" x14ac:dyDescent="0.25">
      <c r="A13294" t="str">
        <f t="shared" si="2388"/>
        <v>89301000</v>
      </c>
      <c r="B13294" t="str">
        <f t="shared" si="2393"/>
        <v>88805000</v>
      </c>
      <c r="C13294" t="str">
        <f t="shared" si="2394"/>
        <v>88805014</v>
      </c>
      <c r="D13294">
        <v>89301282</v>
      </c>
      <c r="E13294" t="str">
        <f>"7505314520"</f>
        <v>7505314520</v>
      </c>
      <c r="F13294" s="1">
        <v>45205</v>
      </c>
      <c r="G13294" t="str">
        <f>"94996"</f>
        <v>94996</v>
      </c>
      <c r="H13294">
        <v>1</v>
      </c>
      <c r="I13294">
        <v>0</v>
      </c>
      <c r="J13294">
        <v>0</v>
      </c>
      <c r="K13294" t="str">
        <f t="shared" si="2395"/>
        <v>816</v>
      </c>
      <c r="L13294">
        <v>0</v>
      </c>
    </row>
    <row r="13295" spans="1:12" x14ac:dyDescent="0.25">
      <c r="A13295" t="str">
        <f t="shared" si="2388"/>
        <v>89301000</v>
      </c>
      <c r="B13295" t="str">
        <f t="shared" si="2393"/>
        <v>88805000</v>
      </c>
      <c r="C13295" t="str">
        <f>"88805001"</f>
        <v>88805001</v>
      </c>
      <c r="D13295">
        <v>89301108</v>
      </c>
      <c r="E13295" t="str">
        <f>"1257250170"</f>
        <v>1257250170</v>
      </c>
      <c r="F13295" s="1">
        <v>45218</v>
      </c>
      <c r="G13295" t="str">
        <f>"81631"</f>
        <v>81631</v>
      </c>
      <c r="H13295">
        <v>1</v>
      </c>
      <c r="I13295">
        <v>299</v>
      </c>
      <c r="J13295">
        <v>0</v>
      </c>
      <c r="K13295" t="str">
        <f>"801"</f>
        <v>801</v>
      </c>
      <c r="L13295">
        <v>251.16</v>
      </c>
    </row>
    <row r="13296" spans="1:12" x14ac:dyDescent="0.25">
      <c r="A13296" t="str">
        <f t="shared" si="2388"/>
        <v>89301000</v>
      </c>
      <c r="B13296" t="str">
        <f t="shared" si="2393"/>
        <v>88805000</v>
      </c>
      <c r="C13296" t="str">
        <f>"88805001"</f>
        <v>88805001</v>
      </c>
      <c r="D13296">
        <v>89301108</v>
      </c>
      <c r="E13296" t="str">
        <f>"1257250170"</f>
        <v>1257250170</v>
      </c>
      <c r="F13296" s="1">
        <v>45218</v>
      </c>
      <c r="G13296" t="str">
        <f>"92143"</f>
        <v>92143</v>
      </c>
      <c r="H13296">
        <v>1</v>
      </c>
      <c r="I13296">
        <v>1772</v>
      </c>
      <c r="J13296">
        <v>0</v>
      </c>
      <c r="K13296" t="str">
        <f>"801"</f>
        <v>801</v>
      </c>
      <c r="L13296">
        <v>1488.48</v>
      </c>
    </row>
    <row r="13297" spans="1:12" x14ac:dyDescent="0.25">
      <c r="A13297" t="str">
        <f t="shared" si="2388"/>
        <v>89301000</v>
      </c>
      <c r="B13297" t="str">
        <f t="shared" si="2393"/>
        <v>88805000</v>
      </c>
      <c r="C13297" t="str">
        <f>"88805001"</f>
        <v>88805001</v>
      </c>
      <c r="D13297">
        <v>89301108</v>
      </c>
      <c r="E13297" t="str">
        <f>"1257250170"</f>
        <v>1257250170</v>
      </c>
      <c r="F13297" s="1">
        <v>45218</v>
      </c>
      <c r="G13297" t="str">
        <f>"97111"</f>
        <v>97111</v>
      </c>
      <c r="H13297">
        <v>1</v>
      </c>
      <c r="I13297">
        <v>19</v>
      </c>
      <c r="J13297">
        <v>0</v>
      </c>
      <c r="K13297" t="str">
        <f>"801"</f>
        <v>801</v>
      </c>
      <c r="L13297">
        <v>23.94</v>
      </c>
    </row>
    <row r="13298" spans="1:12" x14ac:dyDescent="0.25">
      <c r="A13298" t="str">
        <f t="shared" si="2388"/>
        <v>89301000</v>
      </c>
      <c r="B13298" t="str">
        <f t="shared" si="2393"/>
        <v>88805000</v>
      </c>
      <c r="C13298" t="str">
        <f>"88805001"</f>
        <v>88805001</v>
      </c>
      <c r="D13298">
        <v>89301167</v>
      </c>
      <c r="E13298" t="str">
        <f>"5709166199"</f>
        <v>5709166199</v>
      </c>
      <c r="F13298" s="1">
        <v>45230</v>
      </c>
      <c r="G13298" t="str">
        <f>"97111"</f>
        <v>97111</v>
      </c>
      <c r="H13298">
        <v>1</v>
      </c>
      <c r="I13298">
        <v>19</v>
      </c>
      <c r="J13298">
        <v>0</v>
      </c>
      <c r="K13298" t="str">
        <f>"801"</f>
        <v>801</v>
      </c>
      <c r="L13298">
        <v>23.94</v>
      </c>
    </row>
    <row r="13299" spans="1:12" x14ac:dyDescent="0.25">
      <c r="A13299" t="str">
        <f t="shared" si="2388"/>
        <v>89301000</v>
      </c>
      <c r="B13299" t="str">
        <f t="shared" ref="B13299:B13312" si="2396">"93201000"</f>
        <v>93201000</v>
      </c>
      <c r="C13299" t="str">
        <f t="shared" ref="C13299:C13309" si="2397">"93201350"</f>
        <v>93201350</v>
      </c>
      <c r="D13299">
        <v>89301212</v>
      </c>
      <c r="E13299" t="str">
        <f>"5654271051"</f>
        <v>5654271051</v>
      </c>
      <c r="F13299" s="1">
        <v>45203</v>
      </c>
      <c r="G13299" t="str">
        <f>"89513"</f>
        <v>89513</v>
      </c>
      <c r="H13299">
        <v>1</v>
      </c>
      <c r="I13299">
        <v>378</v>
      </c>
      <c r="J13299">
        <v>0</v>
      </c>
      <c r="K13299" t="str">
        <f t="shared" ref="K13299:K13309" si="2398">"809"</f>
        <v>809</v>
      </c>
      <c r="L13299">
        <v>555.66</v>
      </c>
    </row>
    <row r="13300" spans="1:12" x14ac:dyDescent="0.25">
      <c r="A13300" t="str">
        <f t="shared" si="2388"/>
        <v>89301000</v>
      </c>
      <c r="B13300" t="str">
        <f t="shared" si="2396"/>
        <v>93201000</v>
      </c>
      <c r="C13300" t="str">
        <f t="shared" si="2397"/>
        <v>93201350</v>
      </c>
      <c r="D13300">
        <v>89301212</v>
      </c>
      <c r="E13300" t="str">
        <f>"5654271051"</f>
        <v>5654271051</v>
      </c>
      <c r="F13300" s="1">
        <v>45203</v>
      </c>
      <c r="G13300" t="str">
        <f>"89514"</f>
        <v>89514</v>
      </c>
      <c r="H13300">
        <v>1</v>
      </c>
      <c r="I13300">
        <v>378</v>
      </c>
      <c r="J13300">
        <v>0</v>
      </c>
      <c r="K13300" t="str">
        <f t="shared" si="2398"/>
        <v>809</v>
      </c>
      <c r="L13300">
        <v>555.66</v>
      </c>
    </row>
    <row r="13301" spans="1:12" x14ac:dyDescent="0.25">
      <c r="A13301" t="str">
        <f t="shared" si="2388"/>
        <v>89301000</v>
      </c>
      <c r="B13301" t="str">
        <f t="shared" si="2396"/>
        <v>93201000</v>
      </c>
      <c r="C13301" t="str">
        <f t="shared" si="2397"/>
        <v>93201350</v>
      </c>
      <c r="D13301">
        <v>89301172</v>
      </c>
      <c r="E13301" t="str">
        <f>"7656045760"</f>
        <v>7656045760</v>
      </c>
      <c r="F13301" s="1">
        <v>45204</v>
      </c>
      <c r="G13301" t="str">
        <f>"89513"</f>
        <v>89513</v>
      </c>
      <c r="H13301">
        <v>1</v>
      </c>
      <c r="I13301">
        <v>378</v>
      </c>
      <c r="J13301">
        <v>0</v>
      </c>
      <c r="K13301" t="str">
        <f t="shared" si="2398"/>
        <v>809</v>
      </c>
      <c r="L13301">
        <v>555.66</v>
      </c>
    </row>
    <row r="13302" spans="1:12" x14ac:dyDescent="0.25">
      <c r="A13302" t="str">
        <f t="shared" si="2388"/>
        <v>89301000</v>
      </c>
      <c r="B13302" t="str">
        <f t="shared" si="2396"/>
        <v>93201000</v>
      </c>
      <c r="C13302" t="str">
        <f t="shared" si="2397"/>
        <v>93201350</v>
      </c>
      <c r="D13302">
        <v>89301172</v>
      </c>
      <c r="E13302" t="str">
        <f>"7656045760"</f>
        <v>7656045760</v>
      </c>
      <c r="F13302" s="1">
        <v>45204</v>
      </c>
      <c r="G13302" t="str">
        <f>"89514"</f>
        <v>89514</v>
      </c>
      <c r="H13302">
        <v>1</v>
      </c>
      <c r="I13302">
        <v>378</v>
      </c>
      <c r="J13302">
        <v>0</v>
      </c>
      <c r="K13302" t="str">
        <f t="shared" si="2398"/>
        <v>809</v>
      </c>
      <c r="L13302">
        <v>555.66</v>
      </c>
    </row>
    <row r="13303" spans="1:12" x14ac:dyDescent="0.25">
      <c r="A13303" t="str">
        <f t="shared" si="2388"/>
        <v>89301000</v>
      </c>
      <c r="B13303" t="str">
        <f t="shared" si="2396"/>
        <v>93201000</v>
      </c>
      <c r="C13303" t="str">
        <f t="shared" si="2397"/>
        <v>93201350</v>
      </c>
      <c r="D13303">
        <v>89301212</v>
      </c>
      <c r="E13303" t="str">
        <f>"475727429"</f>
        <v>475727429</v>
      </c>
      <c r="F13303" s="1">
        <v>45203</v>
      </c>
      <c r="G13303" t="str">
        <f>"89180"</f>
        <v>89180</v>
      </c>
      <c r="H13303">
        <v>2</v>
      </c>
      <c r="I13303">
        <v>762</v>
      </c>
      <c r="J13303">
        <v>0</v>
      </c>
      <c r="K13303" t="str">
        <f t="shared" si="2398"/>
        <v>809</v>
      </c>
      <c r="L13303">
        <v>1120.1400000000001</v>
      </c>
    </row>
    <row r="13304" spans="1:12" x14ac:dyDescent="0.25">
      <c r="A13304" t="str">
        <f t="shared" si="2388"/>
        <v>89301000</v>
      </c>
      <c r="B13304" t="str">
        <f t="shared" si="2396"/>
        <v>93201000</v>
      </c>
      <c r="C13304" t="str">
        <f t="shared" si="2397"/>
        <v>93201350</v>
      </c>
      <c r="D13304">
        <v>89301212</v>
      </c>
      <c r="E13304" t="str">
        <f>"475727429"</f>
        <v>475727429</v>
      </c>
      <c r="F13304" s="1">
        <v>45203</v>
      </c>
      <c r="G13304" t="str">
        <f>"89512"</f>
        <v>89512</v>
      </c>
      <c r="H13304">
        <v>1</v>
      </c>
      <c r="I13304">
        <v>283</v>
      </c>
      <c r="J13304">
        <v>0</v>
      </c>
      <c r="K13304" t="str">
        <f t="shared" si="2398"/>
        <v>809</v>
      </c>
      <c r="L13304">
        <v>416.01</v>
      </c>
    </row>
    <row r="13305" spans="1:12" x14ac:dyDescent="0.25">
      <c r="A13305" t="str">
        <f t="shared" si="2388"/>
        <v>89301000</v>
      </c>
      <c r="B13305" t="str">
        <f t="shared" si="2396"/>
        <v>93201000</v>
      </c>
      <c r="C13305" t="str">
        <f t="shared" si="2397"/>
        <v>93201350</v>
      </c>
      <c r="D13305">
        <v>89301212</v>
      </c>
      <c r="E13305" t="str">
        <f>"475822490"</f>
        <v>475822490</v>
      </c>
      <c r="F13305" s="1">
        <v>45216</v>
      </c>
      <c r="G13305" t="str">
        <f>"89180"</f>
        <v>89180</v>
      </c>
      <c r="H13305">
        <v>2</v>
      </c>
      <c r="I13305">
        <v>762</v>
      </c>
      <c r="J13305">
        <v>0</v>
      </c>
      <c r="K13305" t="str">
        <f t="shared" si="2398"/>
        <v>809</v>
      </c>
      <c r="L13305">
        <v>1120.1400000000001</v>
      </c>
    </row>
    <row r="13306" spans="1:12" x14ac:dyDescent="0.25">
      <c r="A13306" t="str">
        <f t="shared" si="2388"/>
        <v>89301000</v>
      </c>
      <c r="B13306" t="str">
        <f t="shared" si="2396"/>
        <v>93201000</v>
      </c>
      <c r="C13306" t="str">
        <f t="shared" si="2397"/>
        <v>93201350</v>
      </c>
      <c r="D13306">
        <v>89301212</v>
      </c>
      <c r="E13306" t="str">
        <f>"475822490"</f>
        <v>475822490</v>
      </c>
      <c r="F13306" s="1">
        <v>45216</v>
      </c>
      <c r="G13306" t="str">
        <f>"89512"</f>
        <v>89512</v>
      </c>
      <c r="H13306">
        <v>1</v>
      </c>
      <c r="I13306">
        <v>283</v>
      </c>
      <c r="J13306">
        <v>0</v>
      </c>
      <c r="K13306" t="str">
        <f t="shared" si="2398"/>
        <v>809</v>
      </c>
      <c r="L13306">
        <v>416.01</v>
      </c>
    </row>
    <row r="13307" spans="1:12" x14ac:dyDescent="0.25">
      <c r="A13307" t="str">
        <f t="shared" si="2388"/>
        <v>89301000</v>
      </c>
      <c r="B13307" t="str">
        <f t="shared" si="2396"/>
        <v>93201000</v>
      </c>
      <c r="C13307" t="str">
        <f t="shared" si="2397"/>
        <v>93201350</v>
      </c>
      <c r="D13307">
        <v>89301212</v>
      </c>
      <c r="E13307" t="str">
        <f>"7852065826"</f>
        <v>7852065826</v>
      </c>
      <c r="F13307" s="1">
        <v>45202</v>
      </c>
      <c r="G13307" t="str">
        <f>"89180"</f>
        <v>89180</v>
      </c>
      <c r="H13307">
        <v>2</v>
      </c>
      <c r="I13307">
        <v>762</v>
      </c>
      <c r="J13307">
        <v>0</v>
      </c>
      <c r="K13307" t="str">
        <f t="shared" si="2398"/>
        <v>809</v>
      </c>
      <c r="L13307">
        <v>1120.1400000000001</v>
      </c>
    </row>
    <row r="13308" spans="1:12" x14ac:dyDescent="0.25">
      <c r="A13308" t="str">
        <f t="shared" si="2388"/>
        <v>89301000</v>
      </c>
      <c r="B13308" t="str">
        <f t="shared" si="2396"/>
        <v>93201000</v>
      </c>
      <c r="C13308" t="str">
        <f t="shared" si="2397"/>
        <v>93201350</v>
      </c>
      <c r="D13308">
        <v>89301212</v>
      </c>
      <c r="E13308" t="str">
        <f>"7852065826"</f>
        <v>7852065826</v>
      </c>
      <c r="F13308" s="1">
        <v>45202</v>
      </c>
      <c r="G13308" t="str">
        <f>"89512"</f>
        <v>89512</v>
      </c>
      <c r="H13308">
        <v>1</v>
      </c>
      <c r="I13308">
        <v>283</v>
      </c>
      <c r="J13308">
        <v>0</v>
      </c>
      <c r="K13308" t="str">
        <f t="shared" si="2398"/>
        <v>809</v>
      </c>
      <c r="L13308">
        <v>416.01</v>
      </c>
    </row>
    <row r="13309" spans="1:12" x14ac:dyDescent="0.25">
      <c r="A13309" t="str">
        <f t="shared" si="2388"/>
        <v>89301000</v>
      </c>
      <c r="B13309" t="str">
        <f t="shared" si="2396"/>
        <v>93201000</v>
      </c>
      <c r="C13309" t="str">
        <f t="shared" si="2397"/>
        <v>93201350</v>
      </c>
      <c r="D13309">
        <v>89301212</v>
      </c>
      <c r="E13309" t="str">
        <f>"7453025800"</f>
        <v>7453025800</v>
      </c>
      <c r="F13309" s="1">
        <v>45210</v>
      </c>
      <c r="G13309" t="str">
        <f>"89512"</f>
        <v>89512</v>
      </c>
      <c r="H13309">
        <v>1</v>
      </c>
      <c r="I13309">
        <v>283</v>
      </c>
      <c r="J13309">
        <v>0</v>
      </c>
      <c r="K13309" t="str">
        <f t="shared" si="2398"/>
        <v>809</v>
      </c>
      <c r="L13309">
        <v>416.01</v>
      </c>
    </row>
    <row r="13310" spans="1:12" x14ac:dyDescent="0.25">
      <c r="A13310" t="str">
        <f t="shared" si="2388"/>
        <v>89301000</v>
      </c>
      <c r="B13310" t="str">
        <f t="shared" si="2396"/>
        <v>93201000</v>
      </c>
      <c r="C13310" t="str">
        <f>"93201355"</f>
        <v>93201355</v>
      </c>
      <c r="D13310">
        <v>89301062</v>
      </c>
      <c r="E13310" t="str">
        <f>"7658115762"</f>
        <v>7658115762</v>
      </c>
      <c r="F13310" s="1">
        <v>45226</v>
      </c>
      <c r="G13310" t="str">
        <f>"89713"</f>
        <v>89713</v>
      </c>
      <c r="H13310">
        <v>1</v>
      </c>
      <c r="I13310">
        <v>5411</v>
      </c>
      <c r="J13310">
        <v>0</v>
      </c>
      <c r="K13310" t="str">
        <f>"810"</f>
        <v>810</v>
      </c>
      <c r="L13310">
        <v>3517.15</v>
      </c>
    </row>
    <row r="13311" spans="1:12" x14ac:dyDescent="0.25">
      <c r="A13311" t="str">
        <f t="shared" si="2388"/>
        <v>89301000</v>
      </c>
      <c r="B13311" t="str">
        <f t="shared" si="2396"/>
        <v>93201000</v>
      </c>
      <c r="C13311" t="str">
        <f>"93201355"</f>
        <v>93201355</v>
      </c>
      <c r="D13311">
        <v>89301062</v>
      </c>
      <c r="E13311" t="str">
        <f>"7658115762"</f>
        <v>7658115762</v>
      </c>
      <c r="F13311" s="1">
        <v>45226</v>
      </c>
      <c r="G13311" t="str">
        <f>"89725"</f>
        <v>89725</v>
      </c>
      <c r="H13311">
        <v>1</v>
      </c>
      <c r="I13311">
        <v>2863</v>
      </c>
      <c r="J13311">
        <v>0</v>
      </c>
      <c r="K13311" t="str">
        <f>"810"</f>
        <v>810</v>
      </c>
      <c r="L13311">
        <v>1860.95</v>
      </c>
    </row>
    <row r="13312" spans="1:12" x14ac:dyDescent="0.25">
      <c r="A13312" t="str">
        <f t="shared" si="2388"/>
        <v>89301000</v>
      </c>
      <c r="B13312" t="str">
        <f t="shared" si="2396"/>
        <v>93201000</v>
      </c>
      <c r="C13312" t="str">
        <f>"93201355"</f>
        <v>93201355</v>
      </c>
      <c r="D13312">
        <v>89301062</v>
      </c>
      <c r="E13312" t="str">
        <f>"7658115762"</f>
        <v>7658115762</v>
      </c>
      <c r="F13312" s="1">
        <v>45226</v>
      </c>
      <c r="G13312" t="str">
        <f>"0054255"</f>
        <v>0054255</v>
      </c>
      <c r="H13312">
        <v>1</v>
      </c>
      <c r="J13312">
        <v>1686.92</v>
      </c>
      <c r="K13312" t="str">
        <f>"810"</f>
        <v>810</v>
      </c>
      <c r="L13312">
        <v>1686.92</v>
      </c>
    </row>
    <row r="13313" spans="1:12" x14ac:dyDescent="0.25">
      <c r="A13313" t="str">
        <f t="shared" si="2388"/>
        <v>89301000</v>
      </c>
      <c r="B13313" t="str">
        <f t="shared" ref="B13313:B13344" si="2399">"89895000"</f>
        <v>89895000</v>
      </c>
      <c r="C13313" t="str">
        <f t="shared" ref="C13313:C13344" si="2400">"89895002"</f>
        <v>89895002</v>
      </c>
      <c r="D13313">
        <v>89301212</v>
      </c>
      <c r="E13313" t="str">
        <f>"416025416"</f>
        <v>416025416</v>
      </c>
      <c r="F13313" s="1">
        <v>45208</v>
      </c>
      <c r="G13313" t="str">
        <f>"89180"</f>
        <v>89180</v>
      </c>
      <c r="H13313">
        <v>2</v>
      </c>
      <c r="I13313">
        <v>762</v>
      </c>
      <c r="J13313">
        <v>0</v>
      </c>
      <c r="K13313" t="str">
        <f t="shared" ref="K13313:K13344" si="2401">"809"</f>
        <v>809</v>
      </c>
      <c r="L13313">
        <v>1120.1400000000001</v>
      </c>
    </row>
    <row r="13314" spans="1:12" x14ac:dyDescent="0.25">
      <c r="A13314" t="str">
        <f t="shared" ref="A13314:A13377" si="2402">"89301000"</f>
        <v>89301000</v>
      </c>
      <c r="B13314" t="str">
        <f t="shared" si="2399"/>
        <v>89895000</v>
      </c>
      <c r="C13314" t="str">
        <f t="shared" si="2400"/>
        <v>89895002</v>
      </c>
      <c r="D13314">
        <v>89301212</v>
      </c>
      <c r="E13314" t="str">
        <f>"416025416"</f>
        <v>416025416</v>
      </c>
      <c r="F13314" s="1">
        <v>45208</v>
      </c>
      <c r="G13314" t="str">
        <f>"89512"</f>
        <v>89512</v>
      </c>
      <c r="H13314">
        <v>1</v>
      </c>
      <c r="I13314">
        <v>283</v>
      </c>
      <c r="J13314">
        <v>0</v>
      </c>
      <c r="K13314" t="str">
        <f t="shared" si="2401"/>
        <v>809</v>
      </c>
      <c r="L13314">
        <v>416.01</v>
      </c>
    </row>
    <row r="13315" spans="1:12" x14ac:dyDescent="0.25">
      <c r="A13315" t="str">
        <f t="shared" si="2402"/>
        <v>89301000</v>
      </c>
      <c r="B13315" t="str">
        <f t="shared" si="2399"/>
        <v>89895000</v>
      </c>
      <c r="C13315" t="str">
        <f t="shared" si="2400"/>
        <v>89895002</v>
      </c>
      <c r="D13315">
        <v>89301212</v>
      </c>
      <c r="E13315" t="str">
        <f>"435702435"</f>
        <v>435702435</v>
      </c>
      <c r="F13315" s="1">
        <v>45222</v>
      </c>
      <c r="G13315" t="str">
        <f>"89514"</f>
        <v>89514</v>
      </c>
      <c r="H13315">
        <v>1</v>
      </c>
      <c r="I13315">
        <v>378</v>
      </c>
      <c r="J13315">
        <v>0</v>
      </c>
      <c r="K13315" t="str">
        <f t="shared" si="2401"/>
        <v>809</v>
      </c>
      <c r="L13315">
        <v>555.66</v>
      </c>
    </row>
    <row r="13316" spans="1:12" x14ac:dyDescent="0.25">
      <c r="A13316" t="str">
        <f t="shared" si="2402"/>
        <v>89301000</v>
      </c>
      <c r="B13316" t="str">
        <f t="shared" si="2399"/>
        <v>89895000</v>
      </c>
      <c r="C13316" t="str">
        <f t="shared" si="2400"/>
        <v>89895002</v>
      </c>
      <c r="D13316">
        <v>89301212</v>
      </c>
      <c r="E13316" t="str">
        <f>"435702435"</f>
        <v>435702435</v>
      </c>
      <c r="F13316" s="1">
        <v>45222</v>
      </c>
      <c r="G13316" t="str">
        <f>"89513"</f>
        <v>89513</v>
      </c>
      <c r="H13316">
        <v>1</v>
      </c>
      <c r="I13316">
        <v>378</v>
      </c>
      <c r="J13316">
        <v>0</v>
      </c>
      <c r="K13316" t="str">
        <f t="shared" si="2401"/>
        <v>809</v>
      </c>
      <c r="L13316">
        <v>555.66</v>
      </c>
    </row>
    <row r="13317" spans="1:12" x14ac:dyDescent="0.25">
      <c r="A13317" t="str">
        <f t="shared" si="2402"/>
        <v>89301000</v>
      </c>
      <c r="B13317" t="str">
        <f t="shared" si="2399"/>
        <v>89895000</v>
      </c>
      <c r="C13317" t="str">
        <f t="shared" si="2400"/>
        <v>89895002</v>
      </c>
      <c r="D13317">
        <v>89301212</v>
      </c>
      <c r="E13317" t="str">
        <f>"436229444"</f>
        <v>436229444</v>
      </c>
      <c r="F13317" s="1">
        <v>45218</v>
      </c>
      <c r="G13317" t="str">
        <f>"89180"</f>
        <v>89180</v>
      </c>
      <c r="H13317">
        <v>2</v>
      </c>
      <c r="I13317">
        <v>762</v>
      </c>
      <c r="J13317">
        <v>0</v>
      </c>
      <c r="K13317" t="str">
        <f t="shared" si="2401"/>
        <v>809</v>
      </c>
      <c r="L13317">
        <v>1120.1400000000001</v>
      </c>
    </row>
    <row r="13318" spans="1:12" x14ac:dyDescent="0.25">
      <c r="A13318" t="str">
        <f t="shared" si="2402"/>
        <v>89301000</v>
      </c>
      <c r="B13318" t="str">
        <f t="shared" si="2399"/>
        <v>89895000</v>
      </c>
      <c r="C13318" t="str">
        <f t="shared" si="2400"/>
        <v>89895002</v>
      </c>
      <c r="D13318">
        <v>89301212</v>
      </c>
      <c r="E13318" t="str">
        <f>"436229444"</f>
        <v>436229444</v>
      </c>
      <c r="F13318" s="1">
        <v>45218</v>
      </c>
      <c r="G13318" t="str">
        <f>"89513"</f>
        <v>89513</v>
      </c>
      <c r="H13318">
        <v>1</v>
      </c>
      <c r="I13318">
        <v>378</v>
      </c>
      <c r="J13318">
        <v>0</v>
      </c>
      <c r="K13318" t="str">
        <f t="shared" si="2401"/>
        <v>809</v>
      </c>
      <c r="L13318">
        <v>555.66</v>
      </c>
    </row>
    <row r="13319" spans="1:12" x14ac:dyDescent="0.25">
      <c r="A13319" t="str">
        <f t="shared" si="2402"/>
        <v>89301000</v>
      </c>
      <c r="B13319" t="str">
        <f t="shared" si="2399"/>
        <v>89895000</v>
      </c>
      <c r="C13319" t="str">
        <f t="shared" si="2400"/>
        <v>89895002</v>
      </c>
      <c r="D13319">
        <v>89301212</v>
      </c>
      <c r="E13319" t="str">
        <f>"436229444"</f>
        <v>436229444</v>
      </c>
      <c r="F13319" s="1">
        <v>45218</v>
      </c>
      <c r="G13319" t="str">
        <f>"89514"</f>
        <v>89514</v>
      </c>
      <c r="H13319">
        <v>1</v>
      </c>
      <c r="I13319">
        <v>378</v>
      </c>
      <c r="J13319">
        <v>0</v>
      </c>
      <c r="K13319" t="str">
        <f t="shared" si="2401"/>
        <v>809</v>
      </c>
      <c r="L13319">
        <v>555.66</v>
      </c>
    </row>
    <row r="13320" spans="1:12" x14ac:dyDescent="0.25">
      <c r="A13320" t="str">
        <f t="shared" si="2402"/>
        <v>89301000</v>
      </c>
      <c r="B13320" t="str">
        <f t="shared" si="2399"/>
        <v>89895000</v>
      </c>
      <c r="C13320" t="str">
        <f t="shared" si="2400"/>
        <v>89895002</v>
      </c>
      <c r="D13320">
        <v>89301212</v>
      </c>
      <c r="E13320" t="str">
        <f>"475507414"</f>
        <v>475507414</v>
      </c>
      <c r="F13320" s="1">
        <v>45230</v>
      </c>
      <c r="G13320" t="str">
        <f>"89512"</f>
        <v>89512</v>
      </c>
      <c r="H13320">
        <v>1</v>
      </c>
      <c r="I13320">
        <v>283</v>
      </c>
      <c r="J13320">
        <v>0</v>
      </c>
      <c r="K13320" t="str">
        <f t="shared" si="2401"/>
        <v>809</v>
      </c>
      <c r="L13320">
        <v>416.01</v>
      </c>
    </row>
    <row r="13321" spans="1:12" x14ac:dyDescent="0.25">
      <c r="A13321" t="str">
        <f t="shared" si="2402"/>
        <v>89301000</v>
      </c>
      <c r="B13321" t="str">
        <f t="shared" si="2399"/>
        <v>89895000</v>
      </c>
      <c r="C13321" t="str">
        <f t="shared" si="2400"/>
        <v>89895002</v>
      </c>
      <c r="D13321">
        <v>89301212</v>
      </c>
      <c r="E13321" t="str">
        <f>"475819437"</f>
        <v>475819437</v>
      </c>
      <c r="F13321" s="1">
        <v>45215</v>
      </c>
      <c r="G13321" t="str">
        <f>"89180"</f>
        <v>89180</v>
      </c>
      <c r="H13321">
        <v>1</v>
      </c>
      <c r="I13321">
        <v>381</v>
      </c>
      <c r="J13321">
        <v>0</v>
      </c>
      <c r="K13321" t="str">
        <f t="shared" si="2401"/>
        <v>809</v>
      </c>
      <c r="L13321">
        <v>560.07000000000005</v>
      </c>
    </row>
    <row r="13322" spans="1:12" x14ac:dyDescent="0.25">
      <c r="A13322" t="str">
        <f t="shared" si="2402"/>
        <v>89301000</v>
      </c>
      <c r="B13322" t="str">
        <f t="shared" si="2399"/>
        <v>89895000</v>
      </c>
      <c r="C13322" t="str">
        <f t="shared" si="2400"/>
        <v>89895002</v>
      </c>
      <c r="D13322">
        <v>89301212</v>
      </c>
      <c r="E13322" t="str">
        <f>"475819437"</f>
        <v>475819437</v>
      </c>
      <c r="F13322" s="1">
        <v>45215</v>
      </c>
      <c r="G13322" t="str">
        <f>"89512"</f>
        <v>89512</v>
      </c>
      <c r="H13322">
        <v>1</v>
      </c>
      <c r="I13322">
        <v>283</v>
      </c>
      <c r="J13322">
        <v>0</v>
      </c>
      <c r="K13322" t="str">
        <f t="shared" si="2401"/>
        <v>809</v>
      </c>
      <c r="L13322">
        <v>416.01</v>
      </c>
    </row>
    <row r="13323" spans="1:12" x14ac:dyDescent="0.25">
      <c r="A13323" t="str">
        <f t="shared" si="2402"/>
        <v>89301000</v>
      </c>
      <c r="B13323" t="str">
        <f t="shared" si="2399"/>
        <v>89895000</v>
      </c>
      <c r="C13323" t="str">
        <f t="shared" si="2400"/>
        <v>89895002</v>
      </c>
      <c r="D13323">
        <v>89301212</v>
      </c>
      <c r="E13323" t="str">
        <f>"485112152"</f>
        <v>485112152</v>
      </c>
      <c r="F13323" s="1">
        <v>45222</v>
      </c>
      <c r="G13323" t="str">
        <f>"89513"</f>
        <v>89513</v>
      </c>
      <c r="H13323">
        <v>1</v>
      </c>
      <c r="I13323">
        <v>378</v>
      </c>
      <c r="J13323">
        <v>0</v>
      </c>
      <c r="K13323" t="str">
        <f t="shared" si="2401"/>
        <v>809</v>
      </c>
      <c r="L13323">
        <v>555.66</v>
      </c>
    </row>
    <row r="13324" spans="1:12" x14ac:dyDescent="0.25">
      <c r="A13324" t="str">
        <f t="shared" si="2402"/>
        <v>89301000</v>
      </c>
      <c r="B13324" t="str">
        <f t="shared" si="2399"/>
        <v>89895000</v>
      </c>
      <c r="C13324" t="str">
        <f t="shared" si="2400"/>
        <v>89895002</v>
      </c>
      <c r="D13324">
        <v>89301212</v>
      </c>
      <c r="E13324" t="str">
        <f>"485112152"</f>
        <v>485112152</v>
      </c>
      <c r="F13324" s="1">
        <v>45222</v>
      </c>
      <c r="G13324" t="str">
        <f>"89514"</f>
        <v>89514</v>
      </c>
      <c r="H13324">
        <v>1</v>
      </c>
      <c r="I13324">
        <v>378</v>
      </c>
      <c r="J13324">
        <v>0</v>
      </c>
      <c r="K13324" t="str">
        <f t="shared" si="2401"/>
        <v>809</v>
      </c>
      <c r="L13324">
        <v>555.66</v>
      </c>
    </row>
    <row r="13325" spans="1:12" x14ac:dyDescent="0.25">
      <c r="A13325" t="str">
        <f t="shared" si="2402"/>
        <v>89301000</v>
      </c>
      <c r="B13325" t="str">
        <f t="shared" si="2399"/>
        <v>89895000</v>
      </c>
      <c r="C13325" t="str">
        <f t="shared" si="2400"/>
        <v>89895002</v>
      </c>
      <c r="D13325">
        <v>89301212</v>
      </c>
      <c r="E13325" t="str">
        <f>"486201170"</f>
        <v>486201170</v>
      </c>
      <c r="F13325" s="1">
        <v>45223</v>
      </c>
      <c r="G13325" t="str">
        <f>"89180"</f>
        <v>89180</v>
      </c>
      <c r="H13325">
        <v>2</v>
      </c>
      <c r="I13325">
        <v>762</v>
      </c>
      <c r="J13325">
        <v>0</v>
      </c>
      <c r="K13325" t="str">
        <f t="shared" si="2401"/>
        <v>809</v>
      </c>
      <c r="L13325">
        <v>1120.1400000000001</v>
      </c>
    </row>
    <row r="13326" spans="1:12" x14ac:dyDescent="0.25">
      <c r="A13326" t="str">
        <f t="shared" si="2402"/>
        <v>89301000</v>
      </c>
      <c r="B13326" t="str">
        <f t="shared" si="2399"/>
        <v>89895000</v>
      </c>
      <c r="C13326" t="str">
        <f t="shared" si="2400"/>
        <v>89895002</v>
      </c>
      <c r="D13326">
        <v>89301212</v>
      </c>
      <c r="E13326" t="str">
        <f>"486201170"</f>
        <v>486201170</v>
      </c>
      <c r="F13326" s="1">
        <v>45223</v>
      </c>
      <c r="G13326" t="str">
        <f>"89513"</f>
        <v>89513</v>
      </c>
      <c r="H13326">
        <v>1</v>
      </c>
      <c r="I13326">
        <v>378</v>
      </c>
      <c r="J13326">
        <v>0</v>
      </c>
      <c r="K13326" t="str">
        <f t="shared" si="2401"/>
        <v>809</v>
      </c>
      <c r="L13326">
        <v>555.66</v>
      </c>
    </row>
    <row r="13327" spans="1:12" x14ac:dyDescent="0.25">
      <c r="A13327" t="str">
        <f t="shared" si="2402"/>
        <v>89301000</v>
      </c>
      <c r="B13327" t="str">
        <f t="shared" si="2399"/>
        <v>89895000</v>
      </c>
      <c r="C13327" t="str">
        <f t="shared" si="2400"/>
        <v>89895002</v>
      </c>
      <c r="D13327">
        <v>89301212</v>
      </c>
      <c r="E13327" t="str">
        <f>"486201170"</f>
        <v>486201170</v>
      </c>
      <c r="F13327" s="1">
        <v>45223</v>
      </c>
      <c r="G13327" t="str">
        <f>"89514"</f>
        <v>89514</v>
      </c>
      <c r="H13327">
        <v>1</v>
      </c>
      <c r="I13327">
        <v>378</v>
      </c>
      <c r="J13327">
        <v>0</v>
      </c>
      <c r="K13327" t="str">
        <f t="shared" si="2401"/>
        <v>809</v>
      </c>
      <c r="L13327">
        <v>555.66</v>
      </c>
    </row>
    <row r="13328" spans="1:12" x14ac:dyDescent="0.25">
      <c r="A13328" t="str">
        <f t="shared" si="2402"/>
        <v>89301000</v>
      </c>
      <c r="B13328" t="str">
        <f t="shared" si="2399"/>
        <v>89895000</v>
      </c>
      <c r="C13328" t="str">
        <f t="shared" si="2400"/>
        <v>89895002</v>
      </c>
      <c r="D13328">
        <v>89301212</v>
      </c>
      <c r="E13328" t="str">
        <f>"486201170"</f>
        <v>486201170</v>
      </c>
      <c r="F13328" s="1">
        <v>45223</v>
      </c>
      <c r="G13328" t="str">
        <f>"89512"</f>
        <v>89512</v>
      </c>
      <c r="H13328">
        <v>1</v>
      </c>
      <c r="I13328">
        <v>283</v>
      </c>
      <c r="J13328">
        <v>0</v>
      </c>
      <c r="K13328" t="str">
        <f t="shared" si="2401"/>
        <v>809</v>
      </c>
      <c r="L13328">
        <v>416.01</v>
      </c>
    </row>
    <row r="13329" spans="1:12" x14ac:dyDescent="0.25">
      <c r="A13329" t="str">
        <f t="shared" si="2402"/>
        <v>89301000</v>
      </c>
      <c r="B13329" t="str">
        <f t="shared" si="2399"/>
        <v>89895000</v>
      </c>
      <c r="C13329" t="str">
        <f t="shared" si="2400"/>
        <v>89895002</v>
      </c>
      <c r="D13329">
        <v>89301212</v>
      </c>
      <c r="E13329" t="str">
        <f>"506227139"</f>
        <v>506227139</v>
      </c>
      <c r="F13329" s="1">
        <v>45201</v>
      </c>
      <c r="G13329" t="str">
        <f>"89180"</f>
        <v>89180</v>
      </c>
      <c r="H13329">
        <v>2</v>
      </c>
      <c r="I13329">
        <v>762</v>
      </c>
      <c r="J13329">
        <v>0</v>
      </c>
      <c r="K13329" t="str">
        <f t="shared" si="2401"/>
        <v>809</v>
      </c>
      <c r="L13329">
        <v>1120.1400000000001</v>
      </c>
    </row>
    <row r="13330" spans="1:12" x14ac:dyDescent="0.25">
      <c r="A13330" t="str">
        <f t="shared" si="2402"/>
        <v>89301000</v>
      </c>
      <c r="B13330" t="str">
        <f t="shared" si="2399"/>
        <v>89895000</v>
      </c>
      <c r="C13330" t="str">
        <f t="shared" si="2400"/>
        <v>89895002</v>
      </c>
      <c r="D13330">
        <v>89301212</v>
      </c>
      <c r="E13330" t="str">
        <f>"506227139"</f>
        <v>506227139</v>
      </c>
      <c r="F13330" s="1">
        <v>45201</v>
      </c>
      <c r="G13330" t="str">
        <f>"89512"</f>
        <v>89512</v>
      </c>
      <c r="H13330">
        <v>1</v>
      </c>
      <c r="I13330">
        <v>283</v>
      </c>
      <c r="J13330">
        <v>0</v>
      </c>
      <c r="K13330" t="str">
        <f t="shared" si="2401"/>
        <v>809</v>
      </c>
      <c r="L13330">
        <v>416.01</v>
      </c>
    </row>
    <row r="13331" spans="1:12" x14ac:dyDescent="0.25">
      <c r="A13331" t="str">
        <f t="shared" si="2402"/>
        <v>89301000</v>
      </c>
      <c r="B13331" t="str">
        <f t="shared" si="2399"/>
        <v>89895000</v>
      </c>
      <c r="C13331" t="str">
        <f t="shared" si="2400"/>
        <v>89895002</v>
      </c>
      <c r="D13331">
        <v>89301212</v>
      </c>
      <c r="E13331" t="str">
        <f>"506227139"</f>
        <v>506227139</v>
      </c>
      <c r="F13331" s="1">
        <v>45201</v>
      </c>
      <c r="G13331" t="str">
        <f>"09511"</f>
        <v>09511</v>
      </c>
      <c r="H13331">
        <v>1</v>
      </c>
      <c r="I13331">
        <v>45</v>
      </c>
      <c r="J13331">
        <v>0</v>
      </c>
      <c r="K13331" t="str">
        <f t="shared" si="2401"/>
        <v>809</v>
      </c>
      <c r="L13331">
        <v>66.150000000000006</v>
      </c>
    </row>
    <row r="13332" spans="1:12" x14ac:dyDescent="0.25">
      <c r="A13332" t="str">
        <f t="shared" si="2402"/>
        <v>89301000</v>
      </c>
      <c r="B13332" t="str">
        <f t="shared" si="2399"/>
        <v>89895000</v>
      </c>
      <c r="C13332" t="str">
        <f t="shared" si="2400"/>
        <v>89895002</v>
      </c>
      <c r="D13332">
        <v>89301212</v>
      </c>
      <c r="E13332" t="str">
        <f>"515610050"</f>
        <v>515610050</v>
      </c>
      <c r="F13332" s="1">
        <v>45215</v>
      </c>
      <c r="G13332" t="str">
        <f>"89180"</f>
        <v>89180</v>
      </c>
      <c r="H13332">
        <v>2</v>
      </c>
      <c r="I13332">
        <v>762</v>
      </c>
      <c r="J13332">
        <v>0</v>
      </c>
      <c r="K13332" t="str">
        <f t="shared" si="2401"/>
        <v>809</v>
      </c>
      <c r="L13332">
        <v>1120.1400000000001</v>
      </c>
    </row>
    <row r="13333" spans="1:12" x14ac:dyDescent="0.25">
      <c r="A13333" t="str">
        <f t="shared" si="2402"/>
        <v>89301000</v>
      </c>
      <c r="B13333" t="str">
        <f t="shared" si="2399"/>
        <v>89895000</v>
      </c>
      <c r="C13333" t="str">
        <f t="shared" si="2400"/>
        <v>89895002</v>
      </c>
      <c r="D13333">
        <v>89301212</v>
      </c>
      <c r="E13333" t="str">
        <f>"515610050"</f>
        <v>515610050</v>
      </c>
      <c r="F13333" s="1">
        <v>45215</v>
      </c>
      <c r="G13333" t="str">
        <f>"89514"</f>
        <v>89514</v>
      </c>
      <c r="H13333">
        <v>1</v>
      </c>
      <c r="I13333">
        <v>378</v>
      </c>
      <c r="J13333">
        <v>0</v>
      </c>
      <c r="K13333" t="str">
        <f t="shared" si="2401"/>
        <v>809</v>
      </c>
      <c r="L13333">
        <v>555.66</v>
      </c>
    </row>
    <row r="13334" spans="1:12" x14ac:dyDescent="0.25">
      <c r="A13334" t="str">
        <f t="shared" si="2402"/>
        <v>89301000</v>
      </c>
      <c r="B13334" t="str">
        <f t="shared" si="2399"/>
        <v>89895000</v>
      </c>
      <c r="C13334" t="str">
        <f t="shared" si="2400"/>
        <v>89895002</v>
      </c>
      <c r="D13334">
        <v>89301212</v>
      </c>
      <c r="E13334" t="str">
        <f>"515610050"</f>
        <v>515610050</v>
      </c>
      <c r="F13334" s="1">
        <v>45215</v>
      </c>
      <c r="G13334" t="str">
        <f>"89513"</f>
        <v>89513</v>
      </c>
      <c r="H13334">
        <v>1</v>
      </c>
      <c r="I13334">
        <v>378</v>
      </c>
      <c r="J13334">
        <v>0</v>
      </c>
      <c r="K13334" t="str">
        <f t="shared" si="2401"/>
        <v>809</v>
      </c>
      <c r="L13334">
        <v>555.66</v>
      </c>
    </row>
    <row r="13335" spans="1:12" x14ac:dyDescent="0.25">
      <c r="A13335" t="str">
        <f t="shared" si="2402"/>
        <v>89301000</v>
      </c>
      <c r="B13335" t="str">
        <f t="shared" si="2399"/>
        <v>89895000</v>
      </c>
      <c r="C13335" t="str">
        <f t="shared" si="2400"/>
        <v>89895002</v>
      </c>
      <c r="D13335">
        <v>89301212</v>
      </c>
      <c r="E13335" t="str">
        <f>"515610050"</f>
        <v>515610050</v>
      </c>
      <c r="F13335" s="1">
        <v>45215</v>
      </c>
      <c r="G13335" t="str">
        <f>"89512"</f>
        <v>89512</v>
      </c>
      <c r="H13335">
        <v>1</v>
      </c>
      <c r="I13335">
        <v>283</v>
      </c>
      <c r="J13335">
        <v>0</v>
      </c>
      <c r="K13335" t="str">
        <f t="shared" si="2401"/>
        <v>809</v>
      </c>
      <c r="L13335">
        <v>416.01</v>
      </c>
    </row>
    <row r="13336" spans="1:12" x14ac:dyDescent="0.25">
      <c r="A13336" t="str">
        <f t="shared" si="2402"/>
        <v>89301000</v>
      </c>
      <c r="B13336" t="str">
        <f t="shared" si="2399"/>
        <v>89895000</v>
      </c>
      <c r="C13336" t="str">
        <f t="shared" si="2400"/>
        <v>89895002</v>
      </c>
      <c r="D13336">
        <v>89301212</v>
      </c>
      <c r="E13336" t="str">
        <f>"515613185"</f>
        <v>515613185</v>
      </c>
      <c r="F13336" s="1">
        <v>45217</v>
      </c>
      <c r="G13336" t="str">
        <f>"89513"</f>
        <v>89513</v>
      </c>
      <c r="H13336">
        <v>1</v>
      </c>
      <c r="I13336">
        <v>378</v>
      </c>
      <c r="J13336">
        <v>0</v>
      </c>
      <c r="K13336" t="str">
        <f t="shared" si="2401"/>
        <v>809</v>
      </c>
      <c r="L13336">
        <v>555.66</v>
      </c>
    </row>
    <row r="13337" spans="1:12" x14ac:dyDescent="0.25">
      <c r="A13337" t="str">
        <f t="shared" si="2402"/>
        <v>89301000</v>
      </c>
      <c r="B13337" t="str">
        <f t="shared" si="2399"/>
        <v>89895000</v>
      </c>
      <c r="C13337" t="str">
        <f t="shared" si="2400"/>
        <v>89895002</v>
      </c>
      <c r="D13337">
        <v>89301212</v>
      </c>
      <c r="E13337" t="str">
        <f>"515613185"</f>
        <v>515613185</v>
      </c>
      <c r="F13337" s="1">
        <v>45217</v>
      </c>
      <c r="G13337" t="str">
        <f>"89514"</f>
        <v>89514</v>
      </c>
      <c r="H13337">
        <v>1</v>
      </c>
      <c r="I13337">
        <v>378</v>
      </c>
      <c r="J13337">
        <v>0</v>
      </c>
      <c r="K13337" t="str">
        <f t="shared" si="2401"/>
        <v>809</v>
      </c>
      <c r="L13337">
        <v>555.66</v>
      </c>
    </row>
    <row r="13338" spans="1:12" x14ac:dyDescent="0.25">
      <c r="A13338" t="str">
        <f t="shared" si="2402"/>
        <v>89301000</v>
      </c>
      <c r="B13338" t="str">
        <f t="shared" si="2399"/>
        <v>89895000</v>
      </c>
      <c r="C13338" t="str">
        <f t="shared" si="2400"/>
        <v>89895002</v>
      </c>
      <c r="D13338">
        <v>89301212</v>
      </c>
      <c r="E13338" t="str">
        <f>"525122064"</f>
        <v>525122064</v>
      </c>
      <c r="F13338" s="1">
        <v>45210</v>
      </c>
      <c r="G13338" t="str">
        <f>"89180"</f>
        <v>89180</v>
      </c>
      <c r="H13338">
        <v>2</v>
      </c>
      <c r="I13338">
        <v>762</v>
      </c>
      <c r="J13338">
        <v>0</v>
      </c>
      <c r="K13338" t="str">
        <f t="shared" si="2401"/>
        <v>809</v>
      </c>
      <c r="L13338">
        <v>1120.1400000000001</v>
      </c>
    </row>
    <row r="13339" spans="1:12" x14ac:dyDescent="0.25">
      <c r="A13339" t="str">
        <f t="shared" si="2402"/>
        <v>89301000</v>
      </c>
      <c r="B13339" t="str">
        <f t="shared" si="2399"/>
        <v>89895000</v>
      </c>
      <c r="C13339" t="str">
        <f t="shared" si="2400"/>
        <v>89895002</v>
      </c>
      <c r="D13339">
        <v>89301212</v>
      </c>
      <c r="E13339" t="str">
        <f>"525122064"</f>
        <v>525122064</v>
      </c>
      <c r="F13339" s="1">
        <v>45210</v>
      </c>
      <c r="G13339" t="str">
        <f>"89513"</f>
        <v>89513</v>
      </c>
      <c r="H13339">
        <v>1</v>
      </c>
      <c r="I13339">
        <v>378</v>
      </c>
      <c r="J13339">
        <v>0</v>
      </c>
      <c r="K13339" t="str">
        <f t="shared" si="2401"/>
        <v>809</v>
      </c>
      <c r="L13339">
        <v>555.66</v>
      </c>
    </row>
    <row r="13340" spans="1:12" x14ac:dyDescent="0.25">
      <c r="A13340" t="str">
        <f t="shared" si="2402"/>
        <v>89301000</v>
      </c>
      <c r="B13340" t="str">
        <f t="shared" si="2399"/>
        <v>89895000</v>
      </c>
      <c r="C13340" t="str">
        <f t="shared" si="2400"/>
        <v>89895002</v>
      </c>
      <c r="D13340">
        <v>89301212</v>
      </c>
      <c r="E13340" t="str">
        <f>"525122064"</f>
        <v>525122064</v>
      </c>
      <c r="F13340" s="1">
        <v>45210</v>
      </c>
      <c r="G13340" t="str">
        <f>"89514"</f>
        <v>89514</v>
      </c>
      <c r="H13340">
        <v>1</v>
      </c>
      <c r="I13340">
        <v>378</v>
      </c>
      <c r="J13340">
        <v>0</v>
      </c>
      <c r="K13340" t="str">
        <f t="shared" si="2401"/>
        <v>809</v>
      </c>
      <c r="L13340">
        <v>555.66</v>
      </c>
    </row>
    <row r="13341" spans="1:12" x14ac:dyDescent="0.25">
      <c r="A13341" t="str">
        <f t="shared" si="2402"/>
        <v>89301000</v>
      </c>
      <c r="B13341" t="str">
        <f t="shared" si="2399"/>
        <v>89895000</v>
      </c>
      <c r="C13341" t="str">
        <f t="shared" si="2400"/>
        <v>89895002</v>
      </c>
      <c r="D13341">
        <v>89301212</v>
      </c>
      <c r="E13341" t="str">
        <f>"525122064"</f>
        <v>525122064</v>
      </c>
      <c r="F13341" s="1">
        <v>45210</v>
      </c>
      <c r="G13341" t="str">
        <f>"89512"</f>
        <v>89512</v>
      </c>
      <c r="H13341">
        <v>1</v>
      </c>
      <c r="I13341">
        <v>283</v>
      </c>
      <c r="J13341">
        <v>0</v>
      </c>
      <c r="K13341" t="str">
        <f t="shared" si="2401"/>
        <v>809</v>
      </c>
      <c r="L13341">
        <v>416.01</v>
      </c>
    </row>
    <row r="13342" spans="1:12" x14ac:dyDescent="0.25">
      <c r="A13342" t="str">
        <f t="shared" si="2402"/>
        <v>89301000</v>
      </c>
      <c r="B13342" t="str">
        <f t="shared" si="2399"/>
        <v>89895000</v>
      </c>
      <c r="C13342" t="str">
        <f t="shared" si="2400"/>
        <v>89895002</v>
      </c>
      <c r="D13342">
        <v>89301212</v>
      </c>
      <c r="E13342" t="str">
        <f>"535823134"</f>
        <v>535823134</v>
      </c>
      <c r="F13342" s="1">
        <v>45201</v>
      </c>
      <c r="G13342" t="str">
        <f>"89180"</f>
        <v>89180</v>
      </c>
      <c r="H13342">
        <v>2</v>
      </c>
      <c r="I13342">
        <v>762</v>
      </c>
      <c r="J13342">
        <v>0</v>
      </c>
      <c r="K13342" t="str">
        <f t="shared" si="2401"/>
        <v>809</v>
      </c>
      <c r="L13342">
        <v>1120.1400000000001</v>
      </c>
    </row>
    <row r="13343" spans="1:12" x14ac:dyDescent="0.25">
      <c r="A13343" t="str">
        <f t="shared" si="2402"/>
        <v>89301000</v>
      </c>
      <c r="B13343" t="str">
        <f t="shared" si="2399"/>
        <v>89895000</v>
      </c>
      <c r="C13343" t="str">
        <f t="shared" si="2400"/>
        <v>89895002</v>
      </c>
      <c r="D13343">
        <v>89301212</v>
      </c>
      <c r="E13343" t="str">
        <f>"536126081"</f>
        <v>536126081</v>
      </c>
      <c r="F13343" s="1">
        <v>45203</v>
      </c>
      <c r="G13343" t="str">
        <f>"89180"</f>
        <v>89180</v>
      </c>
      <c r="H13343">
        <v>2</v>
      </c>
      <c r="I13343">
        <v>762</v>
      </c>
      <c r="J13343">
        <v>0</v>
      </c>
      <c r="K13343" t="str">
        <f t="shared" si="2401"/>
        <v>809</v>
      </c>
      <c r="L13343">
        <v>1120.1400000000001</v>
      </c>
    </row>
    <row r="13344" spans="1:12" x14ac:dyDescent="0.25">
      <c r="A13344" t="str">
        <f t="shared" si="2402"/>
        <v>89301000</v>
      </c>
      <c r="B13344" t="str">
        <f t="shared" si="2399"/>
        <v>89895000</v>
      </c>
      <c r="C13344" t="str">
        <f t="shared" si="2400"/>
        <v>89895002</v>
      </c>
      <c r="D13344">
        <v>89301212</v>
      </c>
      <c r="E13344" t="str">
        <f>"536126081"</f>
        <v>536126081</v>
      </c>
      <c r="F13344" s="1">
        <v>45203</v>
      </c>
      <c r="G13344" t="str">
        <f>"89512"</f>
        <v>89512</v>
      </c>
      <c r="H13344">
        <v>1</v>
      </c>
      <c r="I13344">
        <v>283</v>
      </c>
      <c r="J13344">
        <v>0</v>
      </c>
      <c r="K13344" t="str">
        <f t="shared" si="2401"/>
        <v>809</v>
      </c>
      <c r="L13344">
        <v>416.01</v>
      </c>
    </row>
    <row r="13345" spans="1:12" x14ac:dyDescent="0.25">
      <c r="A13345" t="str">
        <f t="shared" si="2402"/>
        <v>89301000</v>
      </c>
      <c r="B13345" t="str">
        <f t="shared" ref="B13345:B13375" si="2403">"89895000"</f>
        <v>89895000</v>
      </c>
      <c r="C13345" t="str">
        <f t="shared" ref="C13345:C13375" si="2404">"89895002"</f>
        <v>89895002</v>
      </c>
      <c r="D13345">
        <v>89301212</v>
      </c>
      <c r="E13345" t="str">
        <f>"536126081"</f>
        <v>536126081</v>
      </c>
      <c r="F13345" s="1">
        <v>45203</v>
      </c>
      <c r="G13345" t="str">
        <f>"09511"</f>
        <v>09511</v>
      </c>
      <c r="H13345">
        <v>1</v>
      </c>
      <c r="I13345">
        <v>45</v>
      </c>
      <c r="J13345">
        <v>0</v>
      </c>
      <c r="K13345" t="str">
        <f t="shared" ref="K13345:K13375" si="2405">"809"</f>
        <v>809</v>
      </c>
      <c r="L13345">
        <v>66.150000000000006</v>
      </c>
    </row>
    <row r="13346" spans="1:12" x14ac:dyDescent="0.25">
      <c r="A13346" t="str">
        <f t="shared" si="2402"/>
        <v>89301000</v>
      </c>
      <c r="B13346" t="str">
        <f t="shared" si="2403"/>
        <v>89895000</v>
      </c>
      <c r="C13346" t="str">
        <f t="shared" si="2404"/>
        <v>89895002</v>
      </c>
      <c r="D13346">
        <v>89301212</v>
      </c>
      <c r="E13346" t="str">
        <f>"5653172118"</f>
        <v>5653172118</v>
      </c>
      <c r="F13346" s="1">
        <v>45222</v>
      </c>
      <c r="G13346" t="str">
        <f>"89180"</f>
        <v>89180</v>
      </c>
      <c r="H13346">
        <v>2</v>
      </c>
      <c r="I13346">
        <v>762</v>
      </c>
      <c r="J13346">
        <v>0</v>
      </c>
      <c r="K13346" t="str">
        <f t="shared" si="2405"/>
        <v>809</v>
      </c>
      <c r="L13346">
        <v>1120.1400000000001</v>
      </c>
    </row>
    <row r="13347" spans="1:12" x14ac:dyDescent="0.25">
      <c r="A13347" t="str">
        <f t="shared" si="2402"/>
        <v>89301000</v>
      </c>
      <c r="B13347" t="str">
        <f t="shared" si="2403"/>
        <v>89895000</v>
      </c>
      <c r="C13347" t="str">
        <f t="shared" si="2404"/>
        <v>89895002</v>
      </c>
      <c r="D13347">
        <v>89301212</v>
      </c>
      <c r="E13347" t="str">
        <f>"5653172118"</f>
        <v>5653172118</v>
      </c>
      <c r="F13347" s="1">
        <v>45222</v>
      </c>
      <c r="G13347" t="str">
        <f>"89513"</f>
        <v>89513</v>
      </c>
      <c r="H13347">
        <v>1</v>
      </c>
      <c r="I13347">
        <v>378</v>
      </c>
      <c r="J13347">
        <v>0</v>
      </c>
      <c r="K13347" t="str">
        <f t="shared" si="2405"/>
        <v>809</v>
      </c>
      <c r="L13347">
        <v>555.66</v>
      </c>
    </row>
    <row r="13348" spans="1:12" x14ac:dyDescent="0.25">
      <c r="A13348" t="str">
        <f t="shared" si="2402"/>
        <v>89301000</v>
      </c>
      <c r="B13348" t="str">
        <f t="shared" si="2403"/>
        <v>89895000</v>
      </c>
      <c r="C13348" t="str">
        <f t="shared" si="2404"/>
        <v>89895002</v>
      </c>
      <c r="D13348">
        <v>89301212</v>
      </c>
      <c r="E13348" t="str">
        <f>"5653172118"</f>
        <v>5653172118</v>
      </c>
      <c r="F13348" s="1">
        <v>45222</v>
      </c>
      <c r="G13348" t="str">
        <f>"89514"</f>
        <v>89514</v>
      </c>
      <c r="H13348">
        <v>1</v>
      </c>
      <c r="I13348">
        <v>378</v>
      </c>
      <c r="J13348">
        <v>0</v>
      </c>
      <c r="K13348" t="str">
        <f t="shared" si="2405"/>
        <v>809</v>
      </c>
      <c r="L13348">
        <v>555.66</v>
      </c>
    </row>
    <row r="13349" spans="1:12" x14ac:dyDescent="0.25">
      <c r="A13349" t="str">
        <f t="shared" si="2402"/>
        <v>89301000</v>
      </c>
      <c r="B13349" t="str">
        <f t="shared" si="2403"/>
        <v>89895000</v>
      </c>
      <c r="C13349" t="str">
        <f t="shared" si="2404"/>
        <v>89895002</v>
      </c>
      <c r="D13349">
        <v>89301212</v>
      </c>
      <c r="E13349" t="str">
        <f>"5653172118"</f>
        <v>5653172118</v>
      </c>
      <c r="F13349" s="1">
        <v>45222</v>
      </c>
      <c r="G13349" t="str">
        <f>"89512"</f>
        <v>89512</v>
      </c>
      <c r="H13349">
        <v>1</v>
      </c>
      <c r="I13349">
        <v>283</v>
      </c>
      <c r="J13349">
        <v>0</v>
      </c>
      <c r="K13349" t="str">
        <f t="shared" si="2405"/>
        <v>809</v>
      </c>
      <c r="L13349">
        <v>416.01</v>
      </c>
    </row>
    <row r="13350" spans="1:12" x14ac:dyDescent="0.25">
      <c r="A13350" t="str">
        <f t="shared" si="2402"/>
        <v>89301000</v>
      </c>
      <c r="B13350" t="str">
        <f t="shared" si="2403"/>
        <v>89895000</v>
      </c>
      <c r="C13350" t="str">
        <f t="shared" si="2404"/>
        <v>89895002</v>
      </c>
      <c r="D13350">
        <v>89301212</v>
      </c>
      <c r="E13350" t="str">
        <f>"5662130474"</f>
        <v>5662130474</v>
      </c>
      <c r="F13350" s="1">
        <v>45226</v>
      </c>
      <c r="G13350" t="str">
        <f>"89313"</f>
        <v>89313</v>
      </c>
      <c r="H13350">
        <v>1</v>
      </c>
      <c r="I13350">
        <v>420</v>
      </c>
      <c r="J13350">
        <v>0</v>
      </c>
      <c r="K13350" t="str">
        <f t="shared" si="2405"/>
        <v>809</v>
      </c>
      <c r="L13350">
        <v>617.4</v>
      </c>
    </row>
    <row r="13351" spans="1:12" x14ac:dyDescent="0.25">
      <c r="A13351" t="str">
        <f t="shared" si="2402"/>
        <v>89301000</v>
      </c>
      <c r="B13351" t="str">
        <f t="shared" si="2403"/>
        <v>89895000</v>
      </c>
      <c r="C13351" t="str">
        <f t="shared" si="2404"/>
        <v>89895002</v>
      </c>
      <c r="D13351">
        <v>89301212</v>
      </c>
      <c r="E13351" t="str">
        <f>"5662130474"</f>
        <v>5662130474</v>
      </c>
      <c r="F13351" s="1">
        <v>45226</v>
      </c>
      <c r="G13351" t="str">
        <f>"89512"</f>
        <v>89512</v>
      </c>
      <c r="H13351">
        <v>1</v>
      </c>
      <c r="I13351">
        <v>283</v>
      </c>
      <c r="J13351">
        <v>0</v>
      </c>
      <c r="K13351" t="str">
        <f t="shared" si="2405"/>
        <v>809</v>
      </c>
      <c r="L13351">
        <v>416.01</v>
      </c>
    </row>
    <row r="13352" spans="1:12" x14ac:dyDescent="0.25">
      <c r="A13352" t="str">
        <f t="shared" si="2402"/>
        <v>89301000</v>
      </c>
      <c r="B13352" t="str">
        <f t="shared" si="2403"/>
        <v>89895000</v>
      </c>
      <c r="C13352" t="str">
        <f t="shared" si="2404"/>
        <v>89895002</v>
      </c>
      <c r="D13352">
        <v>89301212</v>
      </c>
      <c r="E13352" t="str">
        <f>"5662130474"</f>
        <v>5662130474</v>
      </c>
      <c r="F13352" s="1">
        <v>45226</v>
      </c>
      <c r="G13352" t="str">
        <f>"0082409"</f>
        <v>0082409</v>
      </c>
      <c r="H13352">
        <v>1</v>
      </c>
      <c r="J13352">
        <v>702</v>
      </c>
      <c r="K13352" t="str">
        <f t="shared" si="2405"/>
        <v>809</v>
      </c>
      <c r="L13352">
        <v>702</v>
      </c>
    </row>
    <row r="13353" spans="1:12" x14ac:dyDescent="0.25">
      <c r="A13353" t="str">
        <f t="shared" si="2402"/>
        <v>89301000</v>
      </c>
      <c r="B13353" t="str">
        <f t="shared" si="2403"/>
        <v>89895000</v>
      </c>
      <c r="C13353" t="str">
        <f t="shared" si="2404"/>
        <v>89895002</v>
      </c>
      <c r="D13353">
        <v>89301212</v>
      </c>
      <c r="E13353" t="str">
        <f>"5662130474"</f>
        <v>5662130474</v>
      </c>
      <c r="F13353" s="1">
        <v>45226</v>
      </c>
      <c r="G13353" t="str">
        <f>"0093109"</f>
        <v>0093109</v>
      </c>
      <c r="H13353">
        <v>0.1</v>
      </c>
      <c r="J13353">
        <v>26.08</v>
      </c>
      <c r="K13353" t="str">
        <f t="shared" si="2405"/>
        <v>809</v>
      </c>
      <c r="L13353">
        <v>26.08</v>
      </c>
    </row>
    <row r="13354" spans="1:12" x14ac:dyDescent="0.25">
      <c r="A13354" t="str">
        <f t="shared" si="2402"/>
        <v>89301000</v>
      </c>
      <c r="B13354" t="str">
        <f t="shared" si="2403"/>
        <v>89895000</v>
      </c>
      <c r="C13354" t="str">
        <f t="shared" si="2404"/>
        <v>89895002</v>
      </c>
      <c r="D13354">
        <v>89301212</v>
      </c>
      <c r="E13354" t="str">
        <f>"6160170929"</f>
        <v>6160170929</v>
      </c>
      <c r="F13354" s="1">
        <v>45215</v>
      </c>
      <c r="G13354" t="str">
        <f>"89513"</f>
        <v>89513</v>
      </c>
      <c r="H13354">
        <v>1</v>
      </c>
      <c r="I13354">
        <v>378</v>
      </c>
      <c r="J13354">
        <v>0</v>
      </c>
      <c r="K13354" t="str">
        <f t="shared" si="2405"/>
        <v>809</v>
      </c>
      <c r="L13354">
        <v>555.66</v>
      </c>
    </row>
    <row r="13355" spans="1:12" x14ac:dyDescent="0.25">
      <c r="A13355" t="str">
        <f t="shared" si="2402"/>
        <v>89301000</v>
      </c>
      <c r="B13355" t="str">
        <f t="shared" si="2403"/>
        <v>89895000</v>
      </c>
      <c r="C13355" t="str">
        <f t="shared" si="2404"/>
        <v>89895002</v>
      </c>
      <c r="D13355">
        <v>89301212</v>
      </c>
      <c r="E13355" t="str">
        <f>"6160170929"</f>
        <v>6160170929</v>
      </c>
      <c r="F13355" s="1">
        <v>45215</v>
      </c>
      <c r="G13355" t="str">
        <f>"89514"</f>
        <v>89514</v>
      </c>
      <c r="H13355">
        <v>1</v>
      </c>
      <c r="I13355">
        <v>378</v>
      </c>
      <c r="J13355">
        <v>0</v>
      </c>
      <c r="K13355" t="str">
        <f t="shared" si="2405"/>
        <v>809</v>
      </c>
      <c r="L13355">
        <v>555.66</v>
      </c>
    </row>
    <row r="13356" spans="1:12" x14ac:dyDescent="0.25">
      <c r="A13356" t="str">
        <f t="shared" si="2402"/>
        <v>89301000</v>
      </c>
      <c r="B13356" t="str">
        <f t="shared" si="2403"/>
        <v>89895000</v>
      </c>
      <c r="C13356" t="str">
        <f t="shared" si="2404"/>
        <v>89895002</v>
      </c>
      <c r="D13356">
        <v>89301212</v>
      </c>
      <c r="E13356" t="str">
        <f t="shared" ref="E13356:E13361" si="2406">"6557101265"</f>
        <v>6557101265</v>
      </c>
      <c r="F13356" s="1">
        <v>45210</v>
      </c>
      <c r="G13356" t="str">
        <f>"89180"</f>
        <v>89180</v>
      </c>
      <c r="H13356">
        <v>1</v>
      </c>
      <c r="I13356">
        <v>381</v>
      </c>
      <c r="J13356">
        <v>0</v>
      </c>
      <c r="K13356" t="str">
        <f t="shared" si="2405"/>
        <v>809</v>
      </c>
      <c r="L13356">
        <v>560.07000000000005</v>
      </c>
    </row>
    <row r="13357" spans="1:12" x14ac:dyDescent="0.25">
      <c r="A13357" t="str">
        <f t="shared" si="2402"/>
        <v>89301000</v>
      </c>
      <c r="B13357" t="str">
        <f t="shared" si="2403"/>
        <v>89895000</v>
      </c>
      <c r="C13357" t="str">
        <f t="shared" si="2404"/>
        <v>89895002</v>
      </c>
      <c r="D13357">
        <v>89301212</v>
      </c>
      <c r="E13357" t="str">
        <f t="shared" si="2406"/>
        <v>6557101265</v>
      </c>
      <c r="F13357" s="1">
        <v>45210</v>
      </c>
      <c r="G13357" t="str">
        <f>"09233"</f>
        <v>09233</v>
      </c>
      <c r="H13357">
        <v>1</v>
      </c>
      <c r="I13357">
        <v>102</v>
      </c>
      <c r="J13357">
        <v>0</v>
      </c>
      <c r="K13357" t="str">
        <f t="shared" si="2405"/>
        <v>809</v>
      </c>
      <c r="L13357">
        <v>149.94</v>
      </c>
    </row>
    <row r="13358" spans="1:12" x14ac:dyDescent="0.25">
      <c r="A13358" t="str">
        <f t="shared" si="2402"/>
        <v>89301000</v>
      </c>
      <c r="B13358" t="str">
        <f t="shared" si="2403"/>
        <v>89895000</v>
      </c>
      <c r="C13358" t="str">
        <f t="shared" si="2404"/>
        <v>89895002</v>
      </c>
      <c r="D13358">
        <v>89301212</v>
      </c>
      <c r="E13358" t="str">
        <f t="shared" si="2406"/>
        <v>6557101265</v>
      </c>
      <c r="F13358" s="1">
        <v>45210</v>
      </c>
      <c r="G13358" t="str">
        <f>"89335"</f>
        <v>89335</v>
      </c>
      <c r="H13358">
        <v>1</v>
      </c>
      <c r="I13358">
        <v>185</v>
      </c>
      <c r="J13358">
        <v>0</v>
      </c>
      <c r="K13358" t="str">
        <f t="shared" si="2405"/>
        <v>809</v>
      </c>
      <c r="L13358">
        <v>271.95</v>
      </c>
    </row>
    <row r="13359" spans="1:12" x14ac:dyDescent="0.25">
      <c r="A13359" t="str">
        <f t="shared" si="2402"/>
        <v>89301000</v>
      </c>
      <c r="B13359" t="str">
        <f t="shared" si="2403"/>
        <v>89895000</v>
      </c>
      <c r="C13359" t="str">
        <f t="shared" si="2404"/>
        <v>89895002</v>
      </c>
      <c r="D13359">
        <v>89301212</v>
      </c>
      <c r="E13359" t="str">
        <f t="shared" si="2406"/>
        <v>6557101265</v>
      </c>
      <c r="F13359" s="1">
        <v>45210</v>
      </c>
      <c r="G13359" t="str">
        <f>"89512"</f>
        <v>89512</v>
      </c>
      <c r="H13359">
        <v>1</v>
      </c>
      <c r="I13359">
        <v>283</v>
      </c>
      <c r="J13359">
        <v>0</v>
      </c>
      <c r="K13359" t="str">
        <f t="shared" si="2405"/>
        <v>809</v>
      </c>
      <c r="L13359">
        <v>416.01</v>
      </c>
    </row>
    <row r="13360" spans="1:12" x14ac:dyDescent="0.25">
      <c r="A13360" t="str">
        <f t="shared" si="2402"/>
        <v>89301000</v>
      </c>
      <c r="B13360" t="str">
        <f t="shared" si="2403"/>
        <v>89895000</v>
      </c>
      <c r="C13360" t="str">
        <f t="shared" si="2404"/>
        <v>89895002</v>
      </c>
      <c r="D13360">
        <v>89301212</v>
      </c>
      <c r="E13360" t="str">
        <f t="shared" si="2406"/>
        <v>6557101265</v>
      </c>
      <c r="F13360" s="1">
        <v>45210</v>
      </c>
      <c r="G13360" t="str">
        <f>"0142906"</f>
        <v>0142906</v>
      </c>
      <c r="H13360">
        <v>1</v>
      </c>
      <c r="J13360">
        <v>6990</v>
      </c>
      <c r="K13360" t="str">
        <f t="shared" si="2405"/>
        <v>809</v>
      </c>
      <c r="L13360">
        <v>6990</v>
      </c>
    </row>
    <row r="13361" spans="1:12" x14ac:dyDescent="0.25">
      <c r="A13361" t="str">
        <f t="shared" si="2402"/>
        <v>89301000</v>
      </c>
      <c r="B13361" t="str">
        <f t="shared" si="2403"/>
        <v>89895000</v>
      </c>
      <c r="C13361" t="str">
        <f t="shared" si="2404"/>
        <v>89895002</v>
      </c>
      <c r="D13361">
        <v>89301212</v>
      </c>
      <c r="E13361" t="str">
        <f t="shared" si="2406"/>
        <v>6557101265</v>
      </c>
      <c r="F13361" s="1">
        <v>45210</v>
      </c>
      <c r="G13361" t="str">
        <f>"0093109"</f>
        <v>0093109</v>
      </c>
      <c r="H13361">
        <v>0.1</v>
      </c>
      <c r="J13361">
        <v>26.08</v>
      </c>
      <c r="K13361" t="str">
        <f t="shared" si="2405"/>
        <v>809</v>
      </c>
      <c r="L13361">
        <v>26.08</v>
      </c>
    </row>
    <row r="13362" spans="1:12" x14ac:dyDescent="0.25">
      <c r="A13362" t="str">
        <f t="shared" si="2402"/>
        <v>89301000</v>
      </c>
      <c r="B13362" t="str">
        <f t="shared" si="2403"/>
        <v>89895000</v>
      </c>
      <c r="C13362" t="str">
        <f t="shared" si="2404"/>
        <v>89895002</v>
      </c>
      <c r="D13362">
        <v>89301212</v>
      </c>
      <c r="E13362" t="str">
        <f>"6558161368"</f>
        <v>6558161368</v>
      </c>
      <c r="F13362" s="1">
        <v>45230</v>
      </c>
      <c r="G13362" t="str">
        <f>"89180"</f>
        <v>89180</v>
      </c>
      <c r="H13362">
        <v>2</v>
      </c>
      <c r="I13362">
        <v>762</v>
      </c>
      <c r="J13362">
        <v>0</v>
      </c>
      <c r="K13362" t="str">
        <f t="shared" si="2405"/>
        <v>809</v>
      </c>
      <c r="L13362">
        <v>1120.1400000000001</v>
      </c>
    </row>
    <row r="13363" spans="1:12" x14ac:dyDescent="0.25">
      <c r="A13363" t="str">
        <f t="shared" si="2402"/>
        <v>89301000</v>
      </c>
      <c r="B13363" t="str">
        <f t="shared" si="2403"/>
        <v>89895000</v>
      </c>
      <c r="C13363" t="str">
        <f t="shared" si="2404"/>
        <v>89895002</v>
      </c>
      <c r="D13363">
        <v>89301212</v>
      </c>
      <c r="E13363" t="str">
        <f>"6558161368"</f>
        <v>6558161368</v>
      </c>
      <c r="F13363" s="1">
        <v>45230</v>
      </c>
      <c r="G13363" t="str">
        <f>"89512"</f>
        <v>89512</v>
      </c>
      <c r="H13363">
        <v>1</v>
      </c>
      <c r="I13363">
        <v>283</v>
      </c>
      <c r="J13363">
        <v>0</v>
      </c>
      <c r="K13363" t="str">
        <f t="shared" si="2405"/>
        <v>809</v>
      </c>
      <c r="L13363">
        <v>416.01</v>
      </c>
    </row>
    <row r="13364" spans="1:12" x14ac:dyDescent="0.25">
      <c r="A13364" t="str">
        <f t="shared" si="2402"/>
        <v>89301000</v>
      </c>
      <c r="B13364" t="str">
        <f t="shared" si="2403"/>
        <v>89895000</v>
      </c>
      <c r="C13364" t="str">
        <f t="shared" si="2404"/>
        <v>89895002</v>
      </c>
      <c r="D13364">
        <v>89301042</v>
      </c>
      <c r="E13364" t="str">
        <f>"6562231060"</f>
        <v>6562231060</v>
      </c>
      <c r="F13364" s="1">
        <v>45209</v>
      </c>
      <c r="G13364" t="str">
        <f>"89512"</f>
        <v>89512</v>
      </c>
      <c r="H13364">
        <v>1</v>
      </c>
      <c r="I13364">
        <v>283</v>
      </c>
      <c r="J13364">
        <v>0</v>
      </c>
      <c r="K13364" t="str">
        <f t="shared" si="2405"/>
        <v>809</v>
      </c>
      <c r="L13364">
        <v>416.01</v>
      </c>
    </row>
    <row r="13365" spans="1:12" x14ac:dyDescent="0.25">
      <c r="A13365" t="str">
        <f t="shared" si="2402"/>
        <v>89301000</v>
      </c>
      <c r="B13365" t="str">
        <f t="shared" si="2403"/>
        <v>89895000</v>
      </c>
      <c r="C13365" t="str">
        <f t="shared" si="2404"/>
        <v>89895002</v>
      </c>
      <c r="D13365">
        <v>89301212</v>
      </c>
      <c r="E13365" t="str">
        <f>"6562231060"</f>
        <v>6562231060</v>
      </c>
      <c r="F13365" s="1">
        <v>45219</v>
      </c>
      <c r="G13365" t="str">
        <f>"89313"</f>
        <v>89313</v>
      </c>
      <c r="H13365">
        <v>1</v>
      </c>
      <c r="I13365">
        <v>420</v>
      </c>
      <c r="J13365">
        <v>0</v>
      </c>
      <c r="K13365" t="str">
        <f t="shared" si="2405"/>
        <v>809</v>
      </c>
      <c r="L13365">
        <v>617.4</v>
      </c>
    </row>
    <row r="13366" spans="1:12" x14ac:dyDescent="0.25">
      <c r="A13366" t="str">
        <f t="shared" si="2402"/>
        <v>89301000</v>
      </c>
      <c r="B13366" t="str">
        <f t="shared" si="2403"/>
        <v>89895000</v>
      </c>
      <c r="C13366" t="str">
        <f t="shared" si="2404"/>
        <v>89895002</v>
      </c>
      <c r="D13366">
        <v>89301212</v>
      </c>
      <c r="E13366" t="str">
        <f>"6562231060"</f>
        <v>6562231060</v>
      </c>
      <c r="F13366" s="1">
        <v>45219</v>
      </c>
      <c r="G13366" t="str">
        <f>"89512"</f>
        <v>89512</v>
      </c>
      <c r="H13366">
        <v>1</v>
      </c>
      <c r="I13366">
        <v>283</v>
      </c>
      <c r="J13366">
        <v>0</v>
      </c>
      <c r="K13366" t="str">
        <f t="shared" si="2405"/>
        <v>809</v>
      </c>
      <c r="L13366">
        <v>416.01</v>
      </c>
    </row>
    <row r="13367" spans="1:12" x14ac:dyDescent="0.25">
      <c r="A13367" t="str">
        <f t="shared" si="2402"/>
        <v>89301000</v>
      </c>
      <c r="B13367" t="str">
        <f t="shared" si="2403"/>
        <v>89895000</v>
      </c>
      <c r="C13367" t="str">
        <f t="shared" si="2404"/>
        <v>89895002</v>
      </c>
      <c r="D13367">
        <v>89301212</v>
      </c>
      <c r="E13367" t="str">
        <f>"6562231060"</f>
        <v>6562231060</v>
      </c>
      <c r="F13367" s="1">
        <v>45219</v>
      </c>
      <c r="G13367" t="str">
        <f>"0000502"</f>
        <v>0000502</v>
      </c>
      <c r="H13367">
        <v>0.1</v>
      </c>
      <c r="J13367">
        <v>6.97</v>
      </c>
      <c r="K13367" t="str">
        <f t="shared" si="2405"/>
        <v>809</v>
      </c>
      <c r="L13367">
        <v>6.97</v>
      </c>
    </row>
    <row r="13368" spans="1:12" x14ac:dyDescent="0.25">
      <c r="A13368" t="str">
        <f t="shared" si="2402"/>
        <v>89301000</v>
      </c>
      <c r="B13368" t="str">
        <f t="shared" si="2403"/>
        <v>89895000</v>
      </c>
      <c r="C13368" t="str">
        <f t="shared" si="2404"/>
        <v>89895002</v>
      </c>
      <c r="D13368">
        <v>89301212</v>
      </c>
      <c r="E13368" t="str">
        <f>"6562231060"</f>
        <v>6562231060</v>
      </c>
      <c r="F13368" s="1">
        <v>45219</v>
      </c>
      <c r="G13368" t="str">
        <f>"0082409"</f>
        <v>0082409</v>
      </c>
      <c r="H13368">
        <v>1</v>
      </c>
      <c r="J13368">
        <v>702</v>
      </c>
      <c r="K13368" t="str">
        <f t="shared" si="2405"/>
        <v>809</v>
      </c>
      <c r="L13368">
        <v>702</v>
      </c>
    </row>
    <row r="13369" spans="1:12" x14ac:dyDescent="0.25">
      <c r="A13369" t="str">
        <f t="shared" si="2402"/>
        <v>89301000</v>
      </c>
      <c r="B13369" t="str">
        <f t="shared" si="2403"/>
        <v>89895000</v>
      </c>
      <c r="C13369" t="str">
        <f t="shared" si="2404"/>
        <v>89895002</v>
      </c>
      <c r="D13369">
        <v>89301215</v>
      </c>
      <c r="E13369" t="str">
        <f>"6862291953"</f>
        <v>6862291953</v>
      </c>
      <c r="F13369" s="1">
        <v>45222</v>
      </c>
      <c r="G13369" t="str">
        <f>"89512"</f>
        <v>89512</v>
      </c>
      <c r="H13369">
        <v>1</v>
      </c>
      <c r="I13369">
        <v>283</v>
      </c>
      <c r="J13369">
        <v>0</v>
      </c>
      <c r="K13369" t="str">
        <f t="shared" si="2405"/>
        <v>809</v>
      </c>
      <c r="L13369">
        <v>416.01</v>
      </c>
    </row>
    <row r="13370" spans="1:12" x14ac:dyDescent="0.25">
      <c r="A13370" t="str">
        <f t="shared" si="2402"/>
        <v>89301000</v>
      </c>
      <c r="B13370" t="str">
        <f t="shared" si="2403"/>
        <v>89895000</v>
      </c>
      <c r="C13370" t="str">
        <f t="shared" si="2404"/>
        <v>89895002</v>
      </c>
      <c r="D13370">
        <v>89301215</v>
      </c>
      <c r="E13370" t="str">
        <f>"6862291953"</f>
        <v>6862291953</v>
      </c>
      <c r="F13370" s="1">
        <v>45222</v>
      </c>
      <c r="G13370" t="str">
        <f>"89513"</f>
        <v>89513</v>
      </c>
      <c r="H13370">
        <v>1</v>
      </c>
      <c r="I13370">
        <v>378</v>
      </c>
      <c r="J13370">
        <v>0</v>
      </c>
      <c r="K13370" t="str">
        <f t="shared" si="2405"/>
        <v>809</v>
      </c>
      <c r="L13370">
        <v>555.66</v>
      </c>
    </row>
    <row r="13371" spans="1:12" x14ac:dyDescent="0.25">
      <c r="A13371" t="str">
        <f t="shared" si="2402"/>
        <v>89301000</v>
      </c>
      <c r="B13371" t="str">
        <f t="shared" si="2403"/>
        <v>89895000</v>
      </c>
      <c r="C13371" t="str">
        <f t="shared" si="2404"/>
        <v>89895002</v>
      </c>
      <c r="D13371">
        <v>89301215</v>
      </c>
      <c r="E13371" t="str">
        <f>"6862291953"</f>
        <v>6862291953</v>
      </c>
      <c r="F13371" s="1">
        <v>45222</v>
      </c>
      <c r="G13371" t="str">
        <f>"89514"</f>
        <v>89514</v>
      </c>
      <c r="H13371">
        <v>1</v>
      </c>
      <c r="I13371">
        <v>378</v>
      </c>
      <c r="J13371">
        <v>0</v>
      </c>
      <c r="K13371" t="str">
        <f t="shared" si="2405"/>
        <v>809</v>
      </c>
      <c r="L13371">
        <v>555.66</v>
      </c>
    </row>
    <row r="13372" spans="1:12" x14ac:dyDescent="0.25">
      <c r="A13372" t="str">
        <f t="shared" si="2402"/>
        <v>89301000</v>
      </c>
      <c r="B13372" t="str">
        <f t="shared" si="2403"/>
        <v>89895000</v>
      </c>
      <c r="C13372" t="str">
        <f t="shared" si="2404"/>
        <v>89895002</v>
      </c>
      <c r="D13372">
        <v>89301212</v>
      </c>
      <c r="E13372" t="str">
        <f>"7056165314"</f>
        <v>7056165314</v>
      </c>
      <c r="F13372" s="1">
        <v>45208</v>
      </c>
      <c r="G13372" t="str">
        <f>"89180"</f>
        <v>89180</v>
      </c>
      <c r="H13372">
        <v>2</v>
      </c>
      <c r="I13372">
        <v>762</v>
      </c>
      <c r="J13372">
        <v>0</v>
      </c>
      <c r="K13372" t="str">
        <f t="shared" si="2405"/>
        <v>809</v>
      </c>
      <c r="L13372">
        <v>1120.1400000000001</v>
      </c>
    </row>
    <row r="13373" spans="1:12" x14ac:dyDescent="0.25">
      <c r="A13373" t="str">
        <f t="shared" si="2402"/>
        <v>89301000</v>
      </c>
      <c r="B13373" t="str">
        <f t="shared" si="2403"/>
        <v>89895000</v>
      </c>
      <c r="C13373" t="str">
        <f t="shared" si="2404"/>
        <v>89895002</v>
      </c>
      <c r="D13373">
        <v>89301212</v>
      </c>
      <c r="E13373" t="str">
        <f>"7056165314"</f>
        <v>7056165314</v>
      </c>
      <c r="F13373" s="1">
        <v>45208</v>
      </c>
      <c r="G13373" t="str">
        <f>"89512"</f>
        <v>89512</v>
      </c>
      <c r="H13373">
        <v>1</v>
      </c>
      <c r="I13373">
        <v>283</v>
      </c>
      <c r="J13373">
        <v>0</v>
      </c>
      <c r="K13373" t="str">
        <f t="shared" si="2405"/>
        <v>809</v>
      </c>
      <c r="L13373">
        <v>416.01</v>
      </c>
    </row>
    <row r="13374" spans="1:12" x14ac:dyDescent="0.25">
      <c r="A13374" t="str">
        <f t="shared" si="2402"/>
        <v>89301000</v>
      </c>
      <c r="B13374" t="str">
        <f t="shared" si="2403"/>
        <v>89895000</v>
      </c>
      <c r="C13374" t="str">
        <f t="shared" si="2404"/>
        <v>89895002</v>
      </c>
      <c r="D13374">
        <v>89301292</v>
      </c>
      <c r="E13374" t="str">
        <f>"7353104484"</f>
        <v>7353104484</v>
      </c>
      <c r="F13374" s="1">
        <v>45215</v>
      </c>
      <c r="G13374" t="str">
        <f>"89512"</f>
        <v>89512</v>
      </c>
      <c r="H13374">
        <v>1</v>
      </c>
      <c r="I13374">
        <v>283</v>
      </c>
      <c r="J13374">
        <v>0</v>
      </c>
      <c r="K13374" t="str">
        <f t="shared" si="2405"/>
        <v>809</v>
      </c>
      <c r="L13374">
        <v>416.01</v>
      </c>
    </row>
    <row r="13375" spans="1:12" x14ac:dyDescent="0.25">
      <c r="A13375" t="str">
        <f t="shared" si="2402"/>
        <v>89301000</v>
      </c>
      <c r="B13375" t="str">
        <f t="shared" si="2403"/>
        <v>89895000</v>
      </c>
      <c r="C13375" t="str">
        <f t="shared" si="2404"/>
        <v>89895002</v>
      </c>
      <c r="D13375">
        <v>89301212</v>
      </c>
      <c r="E13375" t="str">
        <f>"7458155331"</f>
        <v>7458155331</v>
      </c>
      <c r="F13375" s="1">
        <v>45230</v>
      </c>
      <c r="G13375" t="str">
        <f>"89512"</f>
        <v>89512</v>
      </c>
      <c r="H13375">
        <v>1</v>
      </c>
      <c r="I13375">
        <v>283</v>
      </c>
      <c r="J13375">
        <v>0</v>
      </c>
      <c r="K13375" t="str">
        <f t="shared" si="2405"/>
        <v>809</v>
      </c>
      <c r="L13375">
        <v>416.01</v>
      </c>
    </row>
    <row r="13376" spans="1:12" x14ac:dyDescent="0.25">
      <c r="A13376" t="str">
        <f t="shared" si="2402"/>
        <v>89301000</v>
      </c>
      <c r="B13376" t="str">
        <f>"89148000"</f>
        <v>89148000</v>
      </c>
      <c r="C13376" t="str">
        <f>"89148212"</f>
        <v>89148212</v>
      </c>
      <c r="D13376">
        <v>89301082</v>
      </c>
      <c r="E13376" t="str">
        <f>"8560145781"</f>
        <v>8560145781</v>
      </c>
      <c r="F13376" s="1">
        <v>45224</v>
      </c>
      <c r="G13376" t="str">
        <f>"09119"</f>
        <v>09119</v>
      </c>
      <c r="H13376">
        <v>1</v>
      </c>
      <c r="I13376">
        <v>43</v>
      </c>
      <c r="J13376">
        <v>0</v>
      </c>
      <c r="K13376" t="str">
        <f>"801"</f>
        <v>801</v>
      </c>
      <c r="L13376">
        <v>54.18</v>
      </c>
    </row>
    <row r="13377" spans="1:12" x14ac:dyDescent="0.25">
      <c r="A13377" t="str">
        <f t="shared" si="2402"/>
        <v>89301000</v>
      </c>
      <c r="B13377" t="str">
        <f>"89148000"</f>
        <v>89148000</v>
      </c>
      <c r="C13377" t="str">
        <f>"89148212"</f>
        <v>89148212</v>
      </c>
      <c r="D13377">
        <v>89301082</v>
      </c>
      <c r="E13377" t="str">
        <f>"8560145781"</f>
        <v>8560145781</v>
      </c>
      <c r="F13377" s="1">
        <v>45224</v>
      </c>
      <c r="G13377" t="str">
        <f>"93159"</f>
        <v>93159</v>
      </c>
      <c r="H13377">
        <v>1</v>
      </c>
      <c r="I13377">
        <v>197</v>
      </c>
      <c r="J13377">
        <v>0</v>
      </c>
      <c r="K13377" t="str">
        <f>"801"</f>
        <v>801</v>
      </c>
      <c r="L13377">
        <v>165.48</v>
      </c>
    </row>
    <row r="13378" spans="1:12" x14ac:dyDescent="0.25">
      <c r="A13378" t="str">
        <f t="shared" ref="A13378:A13441" si="2407">"89301000"</f>
        <v>89301000</v>
      </c>
      <c r="B13378" t="str">
        <f>"89148000"</f>
        <v>89148000</v>
      </c>
      <c r="C13378" t="str">
        <f>"89148212"</f>
        <v>89148212</v>
      </c>
      <c r="D13378">
        <v>89301082</v>
      </c>
      <c r="E13378" t="str">
        <f>"8560145781"</f>
        <v>8560145781</v>
      </c>
      <c r="F13378" s="1">
        <v>45224</v>
      </c>
      <c r="G13378" t="str">
        <f>"97111"</f>
        <v>97111</v>
      </c>
      <c r="H13378">
        <v>1</v>
      </c>
      <c r="I13378">
        <v>19</v>
      </c>
      <c r="J13378">
        <v>0</v>
      </c>
      <c r="K13378" t="str">
        <f>"801"</f>
        <v>801</v>
      </c>
      <c r="L13378">
        <v>23.94</v>
      </c>
    </row>
    <row r="13379" spans="1:12" x14ac:dyDescent="0.25">
      <c r="A13379" t="str">
        <f t="shared" si="2407"/>
        <v>89301000</v>
      </c>
      <c r="B13379" t="str">
        <f>"72931000"</f>
        <v>72931000</v>
      </c>
      <c r="C13379" t="str">
        <f>"72931515"</f>
        <v>72931515</v>
      </c>
      <c r="D13379">
        <v>89301012</v>
      </c>
      <c r="E13379" t="str">
        <f>"6957034194"</f>
        <v>6957034194</v>
      </c>
      <c r="F13379" s="1">
        <v>45217</v>
      </c>
      <c r="G13379" t="str">
        <f>"89512"</f>
        <v>89512</v>
      </c>
      <c r="H13379">
        <v>1</v>
      </c>
      <c r="I13379">
        <v>283</v>
      </c>
      <c r="J13379">
        <v>0</v>
      </c>
      <c r="K13379" t="str">
        <f>"809"</f>
        <v>809</v>
      </c>
      <c r="L13379">
        <v>416.01</v>
      </c>
    </row>
    <row r="13380" spans="1:12" x14ac:dyDescent="0.25">
      <c r="A13380" t="str">
        <f t="shared" si="2407"/>
        <v>89301000</v>
      </c>
      <c r="B13380" t="str">
        <f>"61004000"</f>
        <v>61004000</v>
      </c>
      <c r="C13380" t="str">
        <f>"61004776"</f>
        <v>61004776</v>
      </c>
      <c r="D13380">
        <v>89301212</v>
      </c>
      <c r="E13380" t="str">
        <f>"5555021659"</f>
        <v>5555021659</v>
      </c>
      <c r="F13380" s="1">
        <v>45222</v>
      </c>
      <c r="G13380" t="str">
        <f>"87223"</f>
        <v>87223</v>
      </c>
      <c r="H13380">
        <v>1</v>
      </c>
      <c r="I13380">
        <v>398</v>
      </c>
      <c r="J13380">
        <v>0</v>
      </c>
      <c r="K13380" t="str">
        <f t="shared" ref="K13380:K13386" si="2408">"807"</f>
        <v>807</v>
      </c>
      <c r="L13380">
        <v>334.32</v>
      </c>
    </row>
    <row r="13381" spans="1:12" x14ac:dyDescent="0.25">
      <c r="A13381" t="str">
        <f t="shared" si="2407"/>
        <v>89301000</v>
      </c>
      <c r="B13381" t="str">
        <f>"61004000"</f>
        <v>61004000</v>
      </c>
      <c r="C13381" t="str">
        <f>"61004776"</f>
        <v>61004776</v>
      </c>
      <c r="D13381">
        <v>89301212</v>
      </c>
      <c r="E13381" t="str">
        <f>"5555021659"</f>
        <v>5555021659</v>
      </c>
      <c r="F13381" s="1">
        <v>45222</v>
      </c>
      <c r="G13381" t="str">
        <f>"87617"</f>
        <v>87617</v>
      </c>
      <c r="H13381">
        <v>1</v>
      </c>
      <c r="I13381">
        <v>3750</v>
      </c>
      <c r="J13381">
        <v>0</v>
      </c>
      <c r="K13381" t="str">
        <f t="shared" si="2408"/>
        <v>807</v>
      </c>
      <c r="L13381">
        <v>3150</v>
      </c>
    </row>
    <row r="13382" spans="1:12" x14ac:dyDescent="0.25">
      <c r="A13382" t="str">
        <f t="shared" si="2407"/>
        <v>89301000</v>
      </c>
      <c r="B13382" t="str">
        <f>"61004000"</f>
        <v>61004000</v>
      </c>
      <c r="C13382" t="str">
        <f>"61004776"</f>
        <v>61004776</v>
      </c>
      <c r="D13382">
        <v>89301212</v>
      </c>
      <c r="E13382" t="str">
        <f>"5555021659"</f>
        <v>5555021659</v>
      </c>
      <c r="F13382" s="1">
        <v>45222</v>
      </c>
      <c r="G13382" t="str">
        <f>"99798"</f>
        <v>99798</v>
      </c>
      <c r="H13382">
        <v>1</v>
      </c>
      <c r="I13382">
        <v>3199</v>
      </c>
      <c r="J13382">
        <v>0</v>
      </c>
      <c r="K13382" t="str">
        <f t="shared" si="2408"/>
        <v>807</v>
      </c>
      <c r="L13382">
        <v>2687.16</v>
      </c>
    </row>
    <row r="13383" spans="1:12" x14ac:dyDescent="0.25">
      <c r="A13383" t="str">
        <f t="shared" si="2407"/>
        <v>89301000</v>
      </c>
      <c r="B13383" t="str">
        <f>"44564000"</f>
        <v>44564000</v>
      </c>
      <c r="C13383" t="str">
        <f>"44564004"</f>
        <v>44564004</v>
      </c>
      <c r="D13383">
        <v>89301375</v>
      </c>
      <c r="E13383" t="str">
        <f>"6705260573"</f>
        <v>6705260573</v>
      </c>
      <c r="F13383" s="1">
        <v>45219</v>
      </c>
      <c r="G13383" t="str">
        <f>"87217"</f>
        <v>87217</v>
      </c>
      <c r="H13383">
        <v>1</v>
      </c>
      <c r="I13383">
        <v>215</v>
      </c>
      <c r="J13383">
        <v>0</v>
      </c>
      <c r="K13383" t="str">
        <f t="shared" si="2408"/>
        <v>807</v>
      </c>
      <c r="L13383">
        <v>180.6</v>
      </c>
    </row>
    <row r="13384" spans="1:12" x14ac:dyDescent="0.25">
      <c r="A13384" t="str">
        <f t="shared" si="2407"/>
        <v>89301000</v>
      </c>
      <c r="B13384" t="str">
        <f>"44564000"</f>
        <v>44564000</v>
      </c>
      <c r="C13384" t="str">
        <f>"44564004"</f>
        <v>44564004</v>
      </c>
      <c r="D13384">
        <v>89301375</v>
      </c>
      <c r="E13384" t="str">
        <f>"6705260573"</f>
        <v>6705260573</v>
      </c>
      <c r="F13384" s="1">
        <v>45219</v>
      </c>
      <c r="G13384" t="str">
        <f>"87231"</f>
        <v>87231</v>
      </c>
      <c r="H13384">
        <v>4</v>
      </c>
      <c r="I13384">
        <v>1524</v>
      </c>
      <c r="J13384">
        <v>0</v>
      </c>
      <c r="K13384" t="str">
        <f t="shared" si="2408"/>
        <v>807</v>
      </c>
      <c r="L13384">
        <v>1280.1600000000001</v>
      </c>
    </row>
    <row r="13385" spans="1:12" x14ac:dyDescent="0.25">
      <c r="A13385" t="str">
        <f t="shared" si="2407"/>
        <v>89301000</v>
      </c>
      <c r="B13385" t="str">
        <f>"44564000"</f>
        <v>44564000</v>
      </c>
      <c r="C13385" t="str">
        <f>"44564004"</f>
        <v>44564004</v>
      </c>
      <c r="D13385">
        <v>89301375</v>
      </c>
      <c r="E13385" t="str">
        <f>"6705260573"</f>
        <v>6705260573</v>
      </c>
      <c r="F13385" s="1">
        <v>45219</v>
      </c>
      <c r="G13385" t="str">
        <f>"87523"</f>
        <v>87523</v>
      </c>
      <c r="H13385">
        <v>1</v>
      </c>
      <c r="I13385">
        <v>606</v>
      </c>
      <c r="J13385">
        <v>0</v>
      </c>
      <c r="K13385" t="str">
        <f t="shared" si="2408"/>
        <v>807</v>
      </c>
      <c r="L13385">
        <v>509.04</v>
      </c>
    </row>
    <row r="13386" spans="1:12" x14ac:dyDescent="0.25">
      <c r="A13386" t="str">
        <f t="shared" si="2407"/>
        <v>89301000</v>
      </c>
      <c r="B13386" t="str">
        <f>"44564000"</f>
        <v>44564000</v>
      </c>
      <c r="C13386" t="str">
        <f>"44564004"</f>
        <v>44564004</v>
      </c>
      <c r="D13386">
        <v>89301375</v>
      </c>
      <c r="E13386" t="str">
        <f>"6705260573"</f>
        <v>6705260573</v>
      </c>
      <c r="F13386" s="1">
        <v>45219</v>
      </c>
      <c r="G13386" t="str">
        <f>"87613"</f>
        <v>87613</v>
      </c>
      <c r="H13386">
        <v>1</v>
      </c>
      <c r="I13386">
        <v>436</v>
      </c>
      <c r="J13386">
        <v>0</v>
      </c>
      <c r="K13386" t="str">
        <f t="shared" si="2408"/>
        <v>807</v>
      </c>
      <c r="L13386">
        <v>366.24</v>
      </c>
    </row>
    <row r="13387" spans="1:12" x14ac:dyDescent="0.25">
      <c r="A13387" t="str">
        <f t="shared" si="2407"/>
        <v>89301000</v>
      </c>
      <c r="B13387" t="str">
        <f>"89670000"</f>
        <v>89670000</v>
      </c>
      <c r="C13387" t="str">
        <f>"89670001"</f>
        <v>89670001</v>
      </c>
      <c r="D13387">
        <v>89301101</v>
      </c>
      <c r="E13387" t="str">
        <f>"0705195271"</f>
        <v>0705195271</v>
      </c>
      <c r="F13387" s="1">
        <v>45212</v>
      </c>
      <c r="G13387" t="str">
        <f>"82087"</f>
        <v>82087</v>
      </c>
      <c r="H13387">
        <v>2</v>
      </c>
      <c r="I13387">
        <v>106</v>
      </c>
      <c r="J13387">
        <v>0</v>
      </c>
      <c r="K13387" t="str">
        <f t="shared" ref="K13387:K13417" si="2409">"802"</f>
        <v>802</v>
      </c>
      <c r="L13387">
        <v>102.82</v>
      </c>
    </row>
    <row r="13388" spans="1:12" x14ac:dyDescent="0.25">
      <c r="A13388" t="str">
        <f t="shared" si="2407"/>
        <v>89301000</v>
      </c>
      <c r="B13388" t="str">
        <f>"89670000"</f>
        <v>89670000</v>
      </c>
      <c r="C13388" t="str">
        <f>"89670001"</f>
        <v>89670001</v>
      </c>
      <c r="D13388">
        <v>89301101</v>
      </c>
      <c r="E13388" t="str">
        <f>"0705195271"</f>
        <v>0705195271</v>
      </c>
      <c r="F13388" s="1">
        <v>45213</v>
      </c>
      <c r="G13388" t="str">
        <f>"82087"</f>
        <v>82087</v>
      </c>
      <c r="H13388">
        <v>2</v>
      </c>
      <c r="I13388">
        <v>106</v>
      </c>
      <c r="J13388">
        <v>0</v>
      </c>
      <c r="K13388" t="str">
        <f t="shared" si="2409"/>
        <v>802</v>
      </c>
      <c r="L13388">
        <v>102.82</v>
      </c>
    </row>
    <row r="13389" spans="1:12" x14ac:dyDescent="0.25">
      <c r="A13389" t="str">
        <f t="shared" si="2407"/>
        <v>89301000</v>
      </c>
      <c r="B13389" t="str">
        <f t="shared" ref="B13389:B13417" si="2410">"10510000"</f>
        <v>10510000</v>
      </c>
      <c r="C13389" t="str">
        <f t="shared" ref="C13389:C13417" si="2411">"10510001"</f>
        <v>10510001</v>
      </c>
      <c r="D13389">
        <v>89301202</v>
      </c>
      <c r="E13389" t="str">
        <f>"9006254884"</f>
        <v>9006254884</v>
      </c>
      <c r="F13389" s="1">
        <v>45222</v>
      </c>
      <c r="G13389" t="str">
        <f>"82113"</f>
        <v>82113</v>
      </c>
      <c r="H13389">
        <v>1</v>
      </c>
      <c r="I13389">
        <v>363</v>
      </c>
      <c r="J13389">
        <v>0</v>
      </c>
      <c r="K13389" t="str">
        <f t="shared" si="2409"/>
        <v>802</v>
      </c>
      <c r="L13389">
        <v>352.11</v>
      </c>
    </row>
    <row r="13390" spans="1:12" x14ac:dyDescent="0.25">
      <c r="A13390" t="str">
        <f t="shared" si="2407"/>
        <v>89301000</v>
      </c>
      <c r="B13390" t="str">
        <f t="shared" si="2410"/>
        <v>10510000</v>
      </c>
      <c r="C13390" t="str">
        <f t="shared" si="2411"/>
        <v>10510001</v>
      </c>
      <c r="D13390">
        <v>89301202</v>
      </c>
      <c r="E13390" t="str">
        <f>"9006254884"</f>
        <v>9006254884</v>
      </c>
      <c r="F13390" s="1">
        <v>45222</v>
      </c>
      <c r="G13390" t="str">
        <f>"82111"</f>
        <v>82111</v>
      </c>
      <c r="H13390">
        <v>1</v>
      </c>
      <c r="I13390">
        <v>37</v>
      </c>
      <c r="J13390">
        <v>0</v>
      </c>
      <c r="K13390" t="str">
        <f t="shared" si="2409"/>
        <v>802</v>
      </c>
      <c r="L13390">
        <v>35.89</v>
      </c>
    </row>
    <row r="13391" spans="1:12" x14ac:dyDescent="0.25">
      <c r="A13391" t="str">
        <f t="shared" si="2407"/>
        <v>89301000</v>
      </c>
      <c r="B13391" t="str">
        <f t="shared" si="2410"/>
        <v>10510000</v>
      </c>
      <c r="C13391" t="str">
        <f t="shared" si="2411"/>
        <v>10510001</v>
      </c>
      <c r="D13391">
        <v>89301202</v>
      </c>
      <c r="E13391" t="str">
        <f>"9006254884"</f>
        <v>9006254884</v>
      </c>
      <c r="F13391" s="1">
        <v>45222</v>
      </c>
      <c r="G13391" t="str">
        <f>"82079"</f>
        <v>82079</v>
      </c>
      <c r="H13391">
        <v>1</v>
      </c>
      <c r="I13391">
        <v>333</v>
      </c>
      <c r="J13391">
        <v>0</v>
      </c>
      <c r="K13391" t="str">
        <f t="shared" si="2409"/>
        <v>802</v>
      </c>
      <c r="L13391">
        <v>323.01</v>
      </c>
    </row>
    <row r="13392" spans="1:12" x14ac:dyDescent="0.25">
      <c r="A13392" t="str">
        <f t="shared" si="2407"/>
        <v>89301000</v>
      </c>
      <c r="B13392" t="str">
        <f t="shared" si="2410"/>
        <v>10510000</v>
      </c>
      <c r="C13392" t="str">
        <f t="shared" si="2411"/>
        <v>10510001</v>
      </c>
      <c r="D13392">
        <v>89301202</v>
      </c>
      <c r="E13392" t="str">
        <f>"9006254884"</f>
        <v>9006254884</v>
      </c>
      <c r="F13392" s="1">
        <v>45222</v>
      </c>
      <c r="G13392" t="str">
        <f>"82145"</f>
        <v>82145</v>
      </c>
      <c r="H13392">
        <v>1</v>
      </c>
      <c r="I13392">
        <v>59</v>
      </c>
      <c r="J13392">
        <v>0</v>
      </c>
      <c r="K13392" t="str">
        <f t="shared" si="2409"/>
        <v>802</v>
      </c>
      <c r="L13392">
        <v>57.23</v>
      </c>
    </row>
    <row r="13393" spans="1:12" x14ac:dyDescent="0.25">
      <c r="A13393" t="str">
        <f t="shared" si="2407"/>
        <v>89301000</v>
      </c>
      <c r="B13393" t="str">
        <f t="shared" si="2410"/>
        <v>10510000</v>
      </c>
      <c r="C13393" t="str">
        <f t="shared" si="2411"/>
        <v>10510001</v>
      </c>
      <c r="D13393">
        <v>89301355</v>
      </c>
      <c r="E13393" t="str">
        <f>"0509163237"</f>
        <v>0509163237</v>
      </c>
      <c r="F13393" s="1">
        <v>45210</v>
      </c>
      <c r="G13393" t="str">
        <f>"82077"</f>
        <v>82077</v>
      </c>
      <c r="H13393">
        <v>2</v>
      </c>
      <c r="I13393">
        <v>702</v>
      </c>
      <c r="J13393">
        <v>0</v>
      </c>
      <c r="K13393" t="str">
        <f t="shared" si="2409"/>
        <v>802</v>
      </c>
      <c r="L13393">
        <v>680.94</v>
      </c>
    </row>
    <row r="13394" spans="1:12" x14ac:dyDescent="0.25">
      <c r="A13394" t="str">
        <f t="shared" si="2407"/>
        <v>89301000</v>
      </c>
      <c r="B13394" t="str">
        <f t="shared" si="2410"/>
        <v>10510000</v>
      </c>
      <c r="C13394" t="str">
        <f t="shared" si="2411"/>
        <v>10510001</v>
      </c>
      <c r="D13394">
        <v>89301355</v>
      </c>
      <c r="E13394" t="str">
        <f>"0509163237"</f>
        <v>0509163237</v>
      </c>
      <c r="F13394" s="1">
        <v>45210</v>
      </c>
      <c r="G13394" t="str">
        <f>"82077"</f>
        <v>82077</v>
      </c>
      <c r="H13394">
        <v>2</v>
      </c>
      <c r="I13394">
        <v>702</v>
      </c>
      <c r="J13394">
        <v>0</v>
      </c>
      <c r="K13394" t="str">
        <f t="shared" si="2409"/>
        <v>802</v>
      </c>
      <c r="L13394">
        <v>680.94</v>
      </c>
    </row>
    <row r="13395" spans="1:12" x14ac:dyDescent="0.25">
      <c r="A13395" t="str">
        <f t="shared" si="2407"/>
        <v>89301000</v>
      </c>
      <c r="B13395" t="str">
        <f t="shared" si="2410"/>
        <v>10510000</v>
      </c>
      <c r="C13395" t="str">
        <f t="shared" si="2411"/>
        <v>10510001</v>
      </c>
      <c r="D13395">
        <v>89301355</v>
      </c>
      <c r="E13395" t="str">
        <f>"0509163237"</f>
        <v>0509163237</v>
      </c>
      <c r="F13395" s="1">
        <v>45209</v>
      </c>
      <c r="G13395" t="str">
        <f>"82077"</f>
        <v>82077</v>
      </c>
      <c r="H13395">
        <v>1</v>
      </c>
      <c r="I13395">
        <v>351</v>
      </c>
      <c r="J13395">
        <v>0</v>
      </c>
      <c r="K13395" t="str">
        <f t="shared" si="2409"/>
        <v>802</v>
      </c>
      <c r="L13395">
        <v>340.47</v>
      </c>
    </row>
    <row r="13396" spans="1:12" x14ac:dyDescent="0.25">
      <c r="A13396" t="str">
        <f t="shared" si="2407"/>
        <v>89301000</v>
      </c>
      <c r="B13396" t="str">
        <f t="shared" si="2410"/>
        <v>10510000</v>
      </c>
      <c r="C13396" t="str">
        <f t="shared" si="2411"/>
        <v>10510001</v>
      </c>
      <c r="D13396">
        <v>89301355</v>
      </c>
      <c r="E13396" t="str">
        <f>"0509163237"</f>
        <v>0509163237</v>
      </c>
      <c r="F13396" s="1">
        <v>45211</v>
      </c>
      <c r="G13396" t="str">
        <f>"82137"</f>
        <v>82137</v>
      </c>
      <c r="H13396">
        <v>1</v>
      </c>
      <c r="I13396">
        <v>1606</v>
      </c>
      <c r="J13396">
        <v>0</v>
      </c>
      <c r="K13396" t="str">
        <f t="shared" si="2409"/>
        <v>802</v>
      </c>
      <c r="L13396">
        <v>1557.82</v>
      </c>
    </row>
    <row r="13397" spans="1:12" x14ac:dyDescent="0.25">
      <c r="A13397" t="str">
        <f t="shared" si="2407"/>
        <v>89301000</v>
      </c>
      <c r="B13397" t="str">
        <f t="shared" si="2410"/>
        <v>10510000</v>
      </c>
      <c r="C13397" t="str">
        <f t="shared" si="2411"/>
        <v>10510001</v>
      </c>
      <c r="D13397">
        <v>89301172</v>
      </c>
      <c r="E13397" t="str">
        <f>"9258135711"</f>
        <v>9258135711</v>
      </c>
      <c r="F13397" s="1">
        <v>45202</v>
      </c>
      <c r="G13397" t="str">
        <f>"82034"</f>
        <v>82034</v>
      </c>
      <c r="H13397">
        <v>1</v>
      </c>
      <c r="I13397">
        <v>354</v>
      </c>
      <c r="J13397">
        <v>0</v>
      </c>
      <c r="K13397" t="str">
        <f t="shared" si="2409"/>
        <v>802</v>
      </c>
      <c r="L13397">
        <v>343.38</v>
      </c>
    </row>
    <row r="13398" spans="1:12" x14ac:dyDescent="0.25">
      <c r="A13398" t="str">
        <f t="shared" si="2407"/>
        <v>89301000</v>
      </c>
      <c r="B13398" t="str">
        <f t="shared" si="2410"/>
        <v>10510000</v>
      </c>
      <c r="C13398" t="str">
        <f t="shared" si="2411"/>
        <v>10510001</v>
      </c>
      <c r="D13398">
        <v>89301172</v>
      </c>
      <c r="E13398" t="str">
        <f>"9258135711"</f>
        <v>9258135711</v>
      </c>
      <c r="F13398" s="1">
        <v>45202</v>
      </c>
      <c r="G13398" t="str">
        <f>"82041"</f>
        <v>82041</v>
      </c>
      <c r="H13398">
        <v>1</v>
      </c>
      <c r="I13398">
        <v>1096</v>
      </c>
      <c r="J13398">
        <v>0</v>
      </c>
      <c r="K13398" t="str">
        <f t="shared" si="2409"/>
        <v>802</v>
      </c>
      <c r="L13398">
        <v>1063.1199999999999</v>
      </c>
    </row>
    <row r="13399" spans="1:12" x14ac:dyDescent="0.25">
      <c r="A13399" t="str">
        <f t="shared" si="2407"/>
        <v>89301000</v>
      </c>
      <c r="B13399" t="str">
        <f t="shared" si="2410"/>
        <v>10510000</v>
      </c>
      <c r="C13399" t="str">
        <f t="shared" si="2411"/>
        <v>10510001</v>
      </c>
      <c r="D13399">
        <v>89301172</v>
      </c>
      <c r="E13399" t="str">
        <f>"9258135711"</f>
        <v>9258135711</v>
      </c>
      <c r="F13399" s="1">
        <v>45202</v>
      </c>
      <c r="G13399" t="str">
        <f>"82041"</f>
        <v>82041</v>
      </c>
      <c r="H13399">
        <v>1</v>
      </c>
      <c r="I13399">
        <v>1096</v>
      </c>
      <c r="J13399">
        <v>0</v>
      </c>
      <c r="K13399" t="str">
        <f t="shared" si="2409"/>
        <v>802</v>
      </c>
      <c r="L13399">
        <v>1063.1199999999999</v>
      </c>
    </row>
    <row r="13400" spans="1:12" x14ac:dyDescent="0.25">
      <c r="A13400" t="str">
        <f t="shared" si="2407"/>
        <v>89301000</v>
      </c>
      <c r="B13400" t="str">
        <f t="shared" si="2410"/>
        <v>10510000</v>
      </c>
      <c r="C13400" t="str">
        <f t="shared" si="2411"/>
        <v>10510001</v>
      </c>
      <c r="D13400">
        <v>89301171</v>
      </c>
      <c r="E13400" t="str">
        <f>"7158185320"</f>
        <v>7158185320</v>
      </c>
      <c r="F13400" s="1">
        <v>45209</v>
      </c>
      <c r="G13400" t="str">
        <f>"82034"</f>
        <v>82034</v>
      </c>
      <c r="H13400">
        <v>1</v>
      </c>
      <c r="I13400">
        <v>354</v>
      </c>
      <c r="J13400">
        <v>0</v>
      </c>
      <c r="K13400" t="str">
        <f t="shared" si="2409"/>
        <v>802</v>
      </c>
      <c r="L13400">
        <v>343.38</v>
      </c>
    </row>
    <row r="13401" spans="1:12" x14ac:dyDescent="0.25">
      <c r="A13401" t="str">
        <f t="shared" si="2407"/>
        <v>89301000</v>
      </c>
      <c r="B13401" t="str">
        <f t="shared" si="2410"/>
        <v>10510000</v>
      </c>
      <c r="C13401" t="str">
        <f t="shared" si="2411"/>
        <v>10510001</v>
      </c>
      <c r="D13401">
        <v>89301171</v>
      </c>
      <c r="E13401" t="str">
        <f>"7158185320"</f>
        <v>7158185320</v>
      </c>
      <c r="F13401" s="1">
        <v>45209</v>
      </c>
      <c r="G13401" t="str">
        <f>"82041"</f>
        <v>82041</v>
      </c>
      <c r="H13401">
        <v>1</v>
      </c>
      <c r="I13401">
        <v>1096</v>
      </c>
      <c r="J13401">
        <v>0</v>
      </c>
      <c r="K13401" t="str">
        <f t="shared" si="2409"/>
        <v>802</v>
      </c>
      <c r="L13401">
        <v>1063.1199999999999</v>
      </c>
    </row>
    <row r="13402" spans="1:12" x14ac:dyDescent="0.25">
      <c r="A13402" t="str">
        <f t="shared" si="2407"/>
        <v>89301000</v>
      </c>
      <c r="B13402" t="str">
        <f t="shared" si="2410"/>
        <v>10510000</v>
      </c>
      <c r="C13402" t="str">
        <f t="shared" si="2411"/>
        <v>10510001</v>
      </c>
      <c r="D13402">
        <v>89301171</v>
      </c>
      <c r="E13402" t="str">
        <f>"7158185320"</f>
        <v>7158185320</v>
      </c>
      <c r="F13402" s="1">
        <v>45209</v>
      </c>
      <c r="G13402" t="str">
        <f>"82041"</f>
        <v>82041</v>
      </c>
      <c r="H13402">
        <v>1</v>
      </c>
      <c r="I13402">
        <v>1096</v>
      </c>
      <c r="J13402">
        <v>0</v>
      </c>
      <c r="K13402" t="str">
        <f t="shared" si="2409"/>
        <v>802</v>
      </c>
      <c r="L13402">
        <v>1063.1199999999999</v>
      </c>
    </row>
    <row r="13403" spans="1:12" x14ac:dyDescent="0.25">
      <c r="A13403" t="str">
        <f t="shared" si="2407"/>
        <v>89301000</v>
      </c>
      <c r="B13403" t="str">
        <f t="shared" si="2410"/>
        <v>10510000</v>
      </c>
      <c r="C13403" t="str">
        <f t="shared" si="2411"/>
        <v>10510001</v>
      </c>
      <c r="D13403">
        <v>89301171</v>
      </c>
      <c r="E13403" t="str">
        <f>"8659045802"</f>
        <v>8659045802</v>
      </c>
      <c r="F13403" s="1">
        <v>45209</v>
      </c>
      <c r="G13403" t="str">
        <f>"82034"</f>
        <v>82034</v>
      </c>
      <c r="H13403">
        <v>1</v>
      </c>
      <c r="I13403">
        <v>354</v>
      </c>
      <c r="J13403">
        <v>0</v>
      </c>
      <c r="K13403" t="str">
        <f t="shared" si="2409"/>
        <v>802</v>
      </c>
      <c r="L13403">
        <v>343.38</v>
      </c>
    </row>
    <row r="13404" spans="1:12" x14ac:dyDescent="0.25">
      <c r="A13404" t="str">
        <f t="shared" si="2407"/>
        <v>89301000</v>
      </c>
      <c r="B13404" t="str">
        <f t="shared" si="2410"/>
        <v>10510000</v>
      </c>
      <c r="C13404" t="str">
        <f t="shared" si="2411"/>
        <v>10510001</v>
      </c>
      <c r="D13404">
        <v>89301171</v>
      </c>
      <c r="E13404" t="str">
        <f>"8659045802"</f>
        <v>8659045802</v>
      </c>
      <c r="F13404" s="1">
        <v>45209</v>
      </c>
      <c r="G13404" t="str">
        <f>"82041"</f>
        <v>82041</v>
      </c>
      <c r="H13404">
        <v>1</v>
      </c>
      <c r="I13404">
        <v>1096</v>
      </c>
      <c r="J13404">
        <v>0</v>
      </c>
      <c r="K13404" t="str">
        <f t="shared" si="2409"/>
        <v>802</v>
      </c>
      <c r="L13404">
        <v>1063.1199999999999</v>
      </c>
    </row>
    <row r="13405" spans="1:12" x14ac:dyDescent="0.25">
      <c r="A13405" t="str">
        <f t="shared" si="2407"/>
        <v>89301000</v>
      </c>
      <c r="B13405" t="str">
        <f t="shared" si="2410"/>
        <v>10510000</v>
      </c>
      <c r="C13405" t="str">
        <f t="shared" si="2411"/>
        <v>10510001</v>
      </c>
      <c r="D13405">
        <v>89301171</v>
      </c>
      <c r="E13405" t="str">
        <f>"8659045802"</f>
        <v>8659045802</v>
      </c>
      <c r="F13405" s="1">
        <v>45209</v>
      </c>
      <c r="G13405" t="str">
        <f>"82041"</f>
        <v>82041</v>
      </c>
      <c r="H13405">
        <v>1</v>
      </c>
      <c r="I13405">
        <v>1096</v>
      </c>
      <c r="J13405">
        <v>0</v>
      </c>
      <c r="K13405" t="str">
        <f t="shared" si="2409"/>
        <v>802</v>
      </c>
      <c r="L13405">
        <v>1063.1199999999999</v>
      </c>
    </row>
    <row r="13406" spans="1:12" x14ac:dyDescent="0.25">
      <c r="A13406" t="str">
        <f t="shared" si="2407"/>
        <v>89301000</v>
      </c>
      <c r="B13406" t="str">
        <f t="shared" si="2410"/>
        <v>10510000</v>
      </c>
      <c r="C13406" t="str">
        <f t="shared" si="2411"/>
        <v>10510001</v>
      </c>
      <c r="D13406">
        <v>89301171</v>
      </c>
      <c r="E13406" t="str">
        <f>"6910214894"</f>
        <v>6910214894</v>
      </c>
      <c r="F13406" s="1">
        <v>45209</v>
      </c>
      <c r="G13406" t="str">
        <f>"82034"</f>
        <v>82034</v>
      </c>
      <c r="H13406">
        <v>1</v>
      </c>
      <c r="I13406">
        <v>354</v>
      </c>
      <c r="J13406">
        <v>0</v>
      </c>
      <c r="K13406" t="str">
        <f t="shared" si="2409"/>
        <v>802</v>
      </c>
      <c r="L13406">
        <v>343.38</v>
      </c>
    </row>
    <row r="13407" spans="1:12" x14ac:dyDescent="0.25">
      <c r="A13407" t="str">
        <f t="shared" si="2407"/>
        <v>89301000</v>
      </c>
      <c r="B13407" t="str">
        <f t="shared" si="2410"/>
        <v>10510000</v>
      </c>
      <c r="C13407" t="str">
        <f t="shared" si="2411"/>
        <v>10510001</v>
      </c>
      <c r="D13407">
        <v>89301171</v>
      </c>
      <c r="E13407" t="str">
        <f>"6910214894"</f>
        <v>6910214894</v>
      </c>
      <c r="F13407" s="1">
        <v>45209</v>
      </c>
      <c r="G13407" t="str">
        <f>"82041"</f>
        <v>82041</v>
      </c>
      <c r="H13407">
        <v>1</v>
      </c>
      <c r="I13407">
        <v>1096</v>
      </c>
      <c r="J13407">
        <v>0</v>
      </c>
      <c r="K13407" t="str">
        <f t="shared" si="2409"/>
        <v>802</v>
      </c>
      <c r="L13407">
        <v>1063.1199999999999</v>
      </c>
    </row>
    <row r="13408" spans="1:12" x14ac:dyDescent="0.25">
      <c r="A13408" t="str">
        <f t="shared" si="2407"/>
        <v>89301000</v>
      </c>
      <c r="B13408" t="str">
        <f t="shared" si="2410"/>
        <v>10510000</v>
      </c>
      <c r="C13408" t="str">
        <f t="shared" si="2411"/>
        <v>10510001</v>
      </c>
      <c r="D13408">
        <v>89301171</v>
      </c>
      <c r="E13408" t="str">
        <f>"6910214894"</f>
        <v>6910214894</v>
      </c>
      <c r="F13408" s="1">
        <v>45209</v>
      </c>
      <c r="G13408" t="str">
        <f>"82041"</f>
        <v>82041</v>
      </c>
      <c r="H13408">
        <v>1</v>
      </c>
      <c r="I13408">
        <v>1096</v>
      </c>
      <c r="J13408">
        <v>0</v>
      </c>
      <c r="K13408" t="str">
        <f t="shared" si="2409"/>
        <v>802</v>
      </c>
      <c r="L13408">
        <v>1063.1199999999999</v>
      </c>
    </row>
    <row r="13409" spans="1:12" x14ac:dyDescent="0.25">
      <c r="A13409" t="str">
        <f t="shared" si="2407"/>
        <v>89301000</v>
      </c>
      <c r="B13409" t="str">
        <f t="shared" si="2410"/>
        <v>10510000</v>
      </c>
      <c r="C13409" t="str">
        <f t="shared" si="2411"/>
        <v>10510001</v>
      </c>
      <c r="D13409">
        <v>89301171</v>
      </c>
      <c r="E13409" t="str">
        <f>"5557090825"</f>
        <v>5557090825</v>
      </c>
      <c r="F13409" s="1">
        <v>45215</v>
      </c>
      <c r="G13409" t="str">
        <f>"82034"</f>
        <v>82034</v>
      </c>
      <c r="H13409">
        <v>1</v>
      </c>
      <c r="I13409">
        <v>354</v>
      </c>
      <c r="J13409">
        <v>0</v>
      </c>
      <c r="K13409" t="str">
        <f t="shared" si="2409"/>
        <v>802</v>
      </c>
      <c r="L13409">
        <v>343.38</v>
      </c>
    </row>
    <row r="13410" spans="1:12" x14ac:dyDescent="0.25">
      <c r="A13410" t="str">
        <f t="shared" si="2407"/>
        <v>89301000</v>
      </c>
      <c r="B13410" t="str">
        <f t="shared" si="2410"/>
        <v>10510000</v>
      </c>
      <c r="C13410" t="str">
        <f t="shared" si="2411"/>
        <v>10510001</v>
      </c>
      <c r="D13410">
        <v>89301171</v>
      </c>
      <c r="E13410" t="str">
        <f>"5557090825"</f>
        <v>5557090825</v>
      </c>
      <c r="F13410" s="1">
        <v>45215</v>
      </c>
      <c r="G13410" t="str">
        <f>"82041"</f>
        <v>82041</v>
      </c>
      <c r="H13410">
        <v>1</v>
      </c>
      <c r="I13410">
        <v>1096</v>
      </c>
      <c r="J13410">
        <v>0</v>
      </c>
      <c r="K13410" t="str">
        <f t="shared" si="2409"/>
        <v>802</v>
      </c>
      <c r="L13410">
        <v>1063.1199999999999</v>
      </c>
    </row>
    <row r="13411" spans="1:12" x14ac:dyDescent="0.25">
      <c r="A13411" t="str">
        <f t="shared" si="2407"/>
        <v>89301000</v>
      </c>
      <c r="B13411" t="str">
        <f t="shared" si="2410"/>
        <v>10510000</v>
      </c>
      <c r="C13411" t="str">
        <f t="shared" si="2411"/>
        <v>10510001</v>
      </c>
      <c r="D13411">
        <v>89301171</v>
      </c>
      <c r="E13411" t="str">
        <f>"5557090825"</f>
        <v>5557090825</v>
      </c>
      <c r="F13411" s="1">
        <v>45215</v>
      </c>
      <c r="G13411" t="str">
        <f>"82041"</f>
        <v>82041</v>
      </c>
      <c r="H13411">
        <v>1</v>
      </c>
      <c r="I13411">
        <v>1096</v>
      </c>
      <c r="J13411">
        <v>0</v>
      </c>
      <c r="K13411" t="str">
        <f t="shared" si="2409"/>
        <v>802</v>
      </c>
      <c r="L13411">
        <v>1063.1199999999999</v>
      </c>
    </row>
    <row r="13412" spans="1:12" x14ac:dyDescent="0.25">
      <c r="A13412" t="str">
        <f t="shared" si="2407"/>
        <v>89301000</v>
      </c>
      <c r="B13412" t="str">
        <f t="shared" si="2410"/>
        <v>10510000</v>
      </c>
      <c r="C13412" t="str">
        <f t="shared" si="2411"/>
        <v>10510001</v>
      </c>
      <c r="D13412">
        <v>89301171</v>
      </c>
      <c r="E13412" t="str">
        <f>"8255035316"</f>
        <v>8255035316</v>
      </c>
      <c r="F13412" s="1">
        <v>45215</v>
      </c>
      <c r="G13412" t="str">
        <f>"82034"</f>
        <v>82034</v>
      </c>
      <c r="H13412">
        <v>1</v>
      </c>
      <c r="I13412">
        <v>354</v>
      </c>
      <c r="J13412">
        <v>0</v>
      </c>
      <c r="K13412" t="str">
        <f t="shared" si="2409"/>
        <v>802</v>
      </c>
      <c r="L13412">
        <v>343.38</v>
      </c>
    </row>
    <row r="13413" spans="1:12" x14ac:dyDescent="0.25">
      <c r="A13413" t="str">
        <f t="shared" si="2407"/>
        <v>89301000</v>
      </c>
      <c r="B13413" t="str">
        <f t="shared" si="2410"/>
        <v>10510000</v>
      </c>
      <c r="C13413" t="str">
        <f t="shared" si="2411"/>
        <v>10510001</v>
      </c>
      <c r="D13413">
        <v>89301171</v>
      </c>
      <c r="E13413" t="str">
        <f>"8255035316"</f>
        <v>8255035316</v>
      </c>
      <c r="F13413" s="1">
        <v>45215</v>
      </c>
      <c r="G13413" t="str">
        <f>"82041"</f>
        <v>82041</v>
      </c>
      <c r="H13413">
        <v>1</v>
      </c>
      <c r="I13413">
        <v>1096</v>
      </c>
      <c r="J13413">
        <v>0</v>
      </c>
      <c r="K13413" t="str">
        <f t="shared" si="2409"/>
        <v>802</v>
      </c>
      <c r="L13413">
        <v>1063.1199999999999</v>
      </c>
    </row>
    <row r="13414" spans="1:12" x14ac:dyDescent="0.25">
      <c r="A13414" t="str">
        <f t="shared" si="2407"/>
        <v>89301000</v>
      </c>
      <c r="B13414" t="str">
        <f t="shared" si="2410"/>
        <v>10510000</v>
      </c>
      <c r="C13414" t="str">
        <f t="shared" si="2411"/>
        <v>10510001</v>
      </c>
      <c r="D13414">
        <v>89301171</v>
      </c>
      <c r="E13414" t="str">
        <f>"8255035316"</f>
        <v>8255035316</v>
      </c>
      <c r="F13414" s="1">
        <v>45215</v>
      </c>
      <c r="G13414" t="str">
        <f>"82041"</f>
        <v>82041</v>
      </c>
      <c r="H13414">
        <v>1</v>
      </c>
      <c r="I13414">
        <v>1096</v>
      </c>
      <c r="J13414">
        <v>0</v>
      </c>
      <c r="K13414" t="str">
        <f t="shared" si="2409"/>
        <v>802</v>
      </c>
      <c r="L13414">
        <v>1063.1199999999999</v>
      </c>
    </row>
    <row r="13415" spans="1:12" x14ac:dyDescent="0.25">
      <c r="A13415" t="str">
        <f t="shared" si="2407"/>
        <v>89301000</v>
      </c>
      <c r="B13415" t="str">
        <f t="shared" si="2410"/>
        <v>10510000</v>
      </c>
      <c r="C13415" t="str">
        <f t="shared" si="2411"/>
        <v>10510001</v>
      </c>
      <c r="D13415">
        <v>89301171</v>
      </c>
      <c r="E13415" t="str">
        <f>"6212276114"</f>
        <v>6212276114</v>
      </c>
      <c r="F13415" s="1">
        <v>45223</v>
      </c>
      <c r="G13415" t="str">
        <f>"82034"</f>
        <v>82034</v>
      </c>
      <c r="H13415">
        <v>1</v>
      </c>
      <c r="I13415">
        <v>354</v>
      </c>
      <c r="J13415">
        <v>0</v>
      </c>
      <c r="K13415" t="str">
        <f t="shared" si="2409"/>
        <v>802</v>
      </c>
      <c r="L13415">
        <v>343.38</v>
      </c>
    </row>
    <row r="13416" spans="1:12" x14ac:dyDescent="0.25">
      <c r="A13416" t="str">
        <f t="shared" si="2407"/>
        <v>89301000</v>
      </c>
      <c r="B13416" t="str">
        <f t="shared" si="2410"/>
        <v>10510000</v>
      </c>
      <c r="C13416" t="str">
        <f t="shared" si="2411"/>
        <v>10510001</v>
      </c>
      <c r="D13416">
        <v>89301171</v>
      </c>
      <c r="E13416" t="str">
        <f>"6212276114"</f>
        <v>6212276114</v>
      </c>
      <c r="F13416" s="1">
        <v>45223</v>
      </c>
      <c r="G13416" t="str">
        <f>"82041"</f>
        <v>82041</v>
      </c>
      <c r="H13416">
        <v>1</v>
      </c>
      <c r="I13416">
        <v>1096</v>
      </c>
      <c r="J13416">
        <v>0</v>
      </c>
      <c r="K13416" t="str">
        <f t="shared" si="2409"/>
        <v>802</v>
      </c>
      <c r="L13416">
        <v>1063.1199999999999</v>
      </c>
    </row>
    <row r="13417" spans="1:12" x14ac:dyDescent="0.25">
      <c r="A13417" t="str">
        <f t="shared" si="2407"/>
        <v>89301000</v>
      </c>
      <c r="B13417" t="str">
        <f t="shared" si="2410"/>
        <v>10510000</v>
      </c>
      <c r="C13417" t="str">
        <f t="shared" si="2411"/>
        <v>10510001</v>
      </c>
      <c r="D13417">
        <v>89301171</v>
      </c>
      <c r="E13417" t="str">
        <f>"6212276114"</f>
        <v>6212276114</v>
      </c>
      <c r="F13417" s="1">
        <v>45223</v>
      </c>
      <c r="G13417" t="str">
        <f>"82041"</f>
        <v>82041</v>
      </c>
      <c r="H13417">
        <v>1</v>
      </c>
      <c r="I13417">
        <v>1096</v>
      </c>
      <c r="J13417">
        <v>0</v>
      </c>
      <c r="K13417" t="str">
        <f t="shared" si="2409"/>
        <v>802</v>
      </c>
      <c r="L13417">
        <v>1063.1199999999999</v>
      </c>
    </row>
    <row r="13418" spans="1:12" x14ac:dyDescent="0.25">
      <c r="A13418" t="str">
        <f t="shared" si="2407"/>
        <v>89301000</v>
      </c>
      <c r="B13418" t="str">
        <f>"80001000"</f>
        <v>80001000</v>
      </c>
      <c r="C13418" t="str">
        <f>"80001985"</f>
        <v>80001985</v>
      </c>
      <c r="D13418">
        <v>89301034</v>
      </c>
      <c r="E13418" t="str">
        <f>"5953270213"</f>
        <v>5953270213</v>
      </c>
      <c r="F13418" s="1">
        <v>45208</v>
      </c>
      <c r="G13418" t="str">
        <f>"09135"</f>
        <v>09135</v>
      </c>
      <c r="H13418">
        <v>1</v>
      </c>
      <c r="I13418">
        <v>179</v>
      </c>
      <c r="J13418">
        <v>0</v>
      </c>
      <c r="K13418" t="str">
        <f t="shared" ref="K13418:K13451" si="2412">"809"</f>
        <v>809</v>
      </c>
      <c r="L13418">
        <v>263.13</v>
      </c>
    </row>
    <row r="13419" spans="1:12" x14ac:dyDescent="0.25">
      <c r="A13419" t="str">
        <f t="shared" si="2407"/>
        <v>89301000</v>
      </c>
      <c r="B13419" t="str">
        <f>"80001000"</f>
        <v>80001000</v>
      </c>
      <c r="C13419" t="str">
        <f>"80001985"</f>
        <v>80001985</v>
      </c>
      <c r="D13419">
        <v>89301215</v>
      </c>
      <c r="E13419" t="str">
        <f>"7052014607"</f>
        <v>7052014607</v>
      </c>
      <c r="F13419" s="1">
        <v>45223</v>
      </c>
      <c r="G13419" t="str">
        <f>"89512"</f>
        <v>89512</v>
      </c>
      <c r="H13419">
        <v>1</v>
      </c>
      <c r="I13419">
        <v>283</v>
      </c>
      <c r="J13419">
        <v>0</v>
      </c>
      <c r="K13419" t="str">
        <f t="shared" si="2412"/>
        <v>809</v>
      </c>
      <c r="L13419">
        <v>416.01</v>
      </c>
    </row>
    <row r="13420" spans="1:12" x14ac:dyDescent="0.25">
      <c r="A13420" t="str">
        <f t="shared" si="2407"/>
        <v>89301000</v>
      </c>
      <c r="B13420" t="str">
        <f>"90001000"</f>
        <v>90001000</v>
      </c>
      <c r="C13420" t="str">
        <f>"90001525"</f>
        <v>90001525</v>
      </c>
      <c r="D13420">
        <v>89301172</v>
      </c>
      <c r="E13420" t="str">
        <f>"7460125816"</f>
        <v>7460125816</v>
      </c>
      <c r="F13420" s="1">
        <v>45202</v>
      </c>
      <c r="G13420" t="str">
        <f>"89180"</f>
        <v>89180</v>
      </c>
      <c r="H13420">
        <v>2</v>
      </c>
      <c r="I13420">
        <v>762</v>
      </c>
      <c r="J13420">
        <v>0</v>
      </c>
      <c r="K13420" t="str">
        <f t="shared" si="2412"/>
        <v>809</v>
      </c>
      <c r="L13420">
        <v>1120.1400000000001</v>
      </c>
    </row>
    <row r="13421" spans="1:12" x14ac:dyDescent="0.25">
      <c r="A13421" t="str">
        <f t="shared" si="2407"/>
        <v>89301000</v>
      </c>
      <c r="B13421" t="str">
        <f t="shared" ref="B13421:B13452" si="2413">"89903000"</f>
        <v>89903000</v>
      </c>
      <c r="C13421" t="str">
        <f t="shared" ref="C13421:C13451" si="2414">"89903503"</f>
        <v>89903503</v>
      </c>
      <c r="D13421">
        <v>89301062</v>
      </c>
      <c r="E13421" t="str">
        <f t="shared" ref="E13421:E13426" si="2415">"6507190052"</f>
        <v>6507190052</v>
      </c>
      <c r="F13421" s="1">
        <v>45209</v>
      </c>
      <c r="G13421" t="str">
        <f>"09233"</f>
        <v>09233</v>
      </c>
      <c r="H13421">
        <v>1</v>
      </c>
      <c r="I13421">
        <v>102</v>
      </c>
      <c r="J13421">
        <v>0</v>
      </c>
      <c r="K13421" t="str">
        <f t="shared" si="2412"/>
        <v>809</v>
      </c>
      <c r="L13421">
        <v>149.94</v>
      </c>
    </row>
    <row r="13422" spans="1:12" x14ac:dyDescent="0.25">
      <c r="A13422" t="str">
        <f t="shared" si="2407"/>
        <v>89301000</v>
      </c>
      <c r="B13422" t="str">
        <f t="shared" si="2413"/>
        <v>89903000</v>
      </c>
      <c r="C13422" t="str">
        <f t="shared" si="2414"/>
        <v>89903503</v>
      </c>
      <c r="D13422">
        <v>89301062</v>
      </c>
      <c r="E13422" t="str">
        <f t="shared" si="2415"/>
        <v>6507190052</v>
      </c>
      <c r="F13422" s="1">
        <v>45209</v>
      </c>
      <c r="G13422" t="str">
        <f>"89311"</f>
        <v>89311</v>
      </c>
      <c r="H13422">
        <v>1</v>
      </c>
      <c r="I13422">
        <v>970</v>
      </c>
      <c r="J13422">
        <v>0</v>
      </c>
      <c r="K13422" t="str">
        <f t="shared" si="2412"/>
        <v>809</v>
      </c>
      <c r="L13422">
        <v>1425.9</v>
      </c>
    </row>
    <row r="13423" spans="1:12" x14ac:dyDescent="0.25">
      <c r="A13423" t="str">
        <f t="shared" si="2407"/>
        <v>89301000</v>
      </c>
      <c r="B13423" t="str">
        <f t="shared" si="2413"/>
        <v>89903000</v>
      </c>
      <c r="C13423" t="str">
        <f t="shared" si="2414"/>
        <v>89903503</v>
      </c>
      <c r="D13423">
        <v>89301062</v>
      </c>
      <c r="E13423" t="str">
        <f t="shared" si="2415"/>
        <v>6507190052</v>
      </c>
      <c r="F13423" s="1">
        <v>45209</v>
      </c>
      <c r="G13423" t="str">
        <f>"89615"</f>
        <v>89615</v>
      </c>
      <c r="H13423">
        <v>1</v>
      </c>
      <c r="I13423">
        <v>2199</v>
      </c>
      <c r="J13423">
        <v>0</v>
      </c>
      <c r="K13423" t="str">
        <f t="shared" si="2412"/>
        <v>809</v>
      </c>
      <c r="L13423">
        <v>1429.35</v>
      </c>
    </row>
    <row r="13424" spans="1:12" x14ac:dyDescent="0.25">
      <c r="A13424" t="str">
        <f t="shared" si="2407"/>
        <v>89301000</v>
      </c>
      <c r="B13424" t="str">
        <f t="shared" si="2413"/>
        <v>89903000</v>
      </c>
      <c r="C13424" t="str">
        <f t="shared" si="2414"/>
        <v>89903503</v>
      </c>
      <c r="D13424">
        <v>89301062</v>
      </c>
      <c r="E13424" t="str">
        <f t="shared" si="2415"/>
        <v>6507190052</v>
      </c>
      <c r="F13424" s="1">
        <v>45209</v>
      </c>
      <c r="G13424" t="str">
        <f>"0000502"</f>
        <v>0000502</v>
      </c>
      <c r="H13424">
        <v>0.1</v>
      </c>
      <c r="J13424">
        <v>6.97</v>
      </c>
      <c r="K13424" t="str">
        <f t="shared" si="2412"/>
        <v>809</v>
      </c>
      <c r="L13424">
        <v>6.97</v>
      </c>
    </row>
    <row r="13425" spans="1:12" x14ac:dyDescent="0.25">
      <c r="A13425" t="str">
        <f t="shared" si="2407"/>
        <v>89301000</v>
      </c>
      <c r="B13425" t="str">
        <f t="shared" si="2413"/>
        <v>89903000</v>
      </c>
      <c r="C13425" t="str">
        <f t="shared" si="2414"/>
        <v>89903503</v>
      </c>
      <c r="D13425">
        <v>89301062</v>
      </c>
      <c r="E13425" t="str">
        <f t="shared" si="2415"/>
        <v>6507190052</v>
      </c>
      <c r="F13425" s="1">
        <v>45209</v>
      </c>
      <c r="G13425" t="str">
        <f>"0096251"</f>
        <v>0096251</v>
      </c>
      <c r="H13425">
        <v>8.0000000000000002E-3</v>
      </c>
      <c r="J13425">
        <v>9.36</v>
      </c>
      <c r="K13425" t="str">
        <f t="shared" si="2412"/>
        <v>809</v>
      </c>
      <c r="L13425">
        <v>9.36</v>
      </c>
    </row>
    <row r="13426" spans="1:12" x14ac:dyDescent="0.25">
      <c r="A13426" t="str">
        <f t="shared" si="2407"/>
        <v>89301000</v>
      </c>
      <c r="B13426" t="str">
        <f t="shared" si="2413"/>
        <v>89903000</v>
      </c>
      <c r="C13426" t="str">
        <f t="shared" si="2414"/>
        <v>89903503</v>
      </c>
      <c r="D13426">
        <v>89301062</v>
      </c>
      <c r="E13426" t="str">
        <f t="shared" si="2415"/>
        <v>6507190052</v>
      </c>
      <c r="F13426" s="1">
        <v>45209</v>
      </c>
      <c r="G13426" t="str">
        <f>"0194183"</f>
        <v>0194183</v>
      </c>
      <c r="H13426">
        <v>6</v>
      </c>
      <c r="J13426">
        <v>318</v>
      </c>
      <c r="K13426" t="str">
        <f t="shared" si="2412"/>
        <v>809</v>
      </c>
      <c r="L13426">
        <v>318</v>
      </c>
    </row>
    <row r="13427" spans="1:12" x14ac:dyDescent="0.25">
      <c r="A13427" t="str">
        <f t="shared" si="2407"/>
        <v>89301000</v>
      </c>
      <c r="B13427" t="str">
        <f t="shared" si="2413"/>
        <v>89903000</v>
      </c>
      <c r="C13427" t="str">
        <f t="shared" si="2414"/>
        <v>89903503</v>
      </c>
      <c r="D13427">
        <v>89301017</v>
      </c>
      <c r="E13427" t="str">
        <f>"510818311"</f>
        <v>510818311</v>
      </c>
      <c r="F13427" s="1">
        <v>45215</v>
      </c>
      <c r="G13427" t="str">
        <f>"89513"</f>
        <v>89513</v>
      </c>
      <c r="H13427">
        <v>1</v>
      </c>
      <c r="I13427">
        <v>378</v>
      </c>
      <c r="J13427">
        <v>0</v>
      </c>
      <c r="K13427" t="str">
        <f t="shared" si="2412"/>
        <v>809</v>
      </c>
      <c r="L13427">
        <v>555.66</v>
      </c>
    </row>
    <row r="13428" spans="1:12" x14ac:dyDescent="0.25">
      <c r="A13428" t="str">
        <f t="shared" si="2407"/>
        <v>89301000</v>
      </c>
      <c r="B13428" t="str">
        <f t="shared" si="2413"/>
        <v>89903000</v>
      </c>
      <c r="C13428" t="str">
        <f t="shared" si="2414"/>
        <v>89903503</v>
      </c>
      <c r="D13428">
        <v>89301062</v>
      </c>
      <c r="E13428" t="str">
        <f t="shared" ref="E13428:E13434" si="2416">"7404145309"</f>
        <v>7404145309</v>
      </c>
      <c r="F13428" s="1">
        <v>45215</v>
      </c>
      <c r="G13428" t="str">
        <f>"09233"</f>
        <v>09233</v>
      </c>
      <c r="H13428">
        <v>1</v>
      </c>
      <c r="I13428">
        <v>102</v>
      </c>
      <c r="J13428">
        <v>0</v>
      </c>
      <c r="K13428" t="str">
        <f t="shared" si="2412"/>
        <v>809</v>
      </c>
      <c r="L13428">
        <v>149.94</v>
      </c>
    </row>
    <row r="13429" spans="1:12" x14ac:dyDescent="0.25">
      <c r="A13429" t="str">
        <f t="shared" si="2407"/>
        <v>89301000</v>
      </c>
      <c r="B13429" t="str">
        <f t="shared" si="2413"/>
        <v>89903000</v>
      </c>
      <c r="C13429" t="str">
        <f t="shared" si="2414"/>
        <v>89903503</v>
      </c>
      <c r="D13429">
        <v>89301062</v>
      </c>
      <c r="E13429" t="str">
        <f t="shared" si="2416"/>
        <v>7404145309</v>
      </c>
      <c r="F13429" s="1">
        <v>45215</v>
      </c>
      <c r="G13429" t="str">
        <f>"89311"</f>
        <v>89311</v>
      </c>
      <c r="H13429">
        <v>1</v>
      </c>
      <c r="I13429">
        <v>970</v>
      </c>
      <c r="J13429">
        <v>0</v>
      </c>
      <c r="K13429" t="str">
        <f t="shared" si="2412"/>
        <v>809</v>
      </c>
      <c r="L13429">
        <v>1425.9</v>
      </c>
    </row>
    <row r="13430" spans="1:12" x14ac:dyDescent="0.25">
      <c r="A13430" t="str">
        <f t="shared" si="2407"/>
        <v>89301000</v>
      </c>
      <c r="B13430" t="str">
        <f t="shared" si="2413"/>
        <v>89903000</v>
      </c>
      <c r="C13430" t="str">
        <f t="shared" si="2414"/>
        <v>89903503</v>
      </c>
      <c r="D13430">
        <v>89301062</v>
      </c>
      <c r="E13430" t="str">
        <f t="shared" si="2416"/>
        <v>7404145309</v>
      </c>
      <c r="F13430" s="1">
        <v>45215</v>
      </c>
      <c r="G13430" t="str">
        <f>"89615"</f>
        <v>89615</v>
      </c>
      <c r="H13430">
        <v>1</v>
      </c>
      <c r="I13430">
        <v>2199</v>
      </c>
      <c r="J13430">
        <v>0</v>
      </c>
      <c r="K13430" t="str">
        <f t="shared" si="2412"/>
        <v>809</v>
      </c>
      <c r="L13430">
        <v>1429.35</v>
      </c>
    </row>
    <row r="13431" spans="1:12" x14ac:dyDescent="0.25">
      <c r="A13431" t="str">
        <f t="shared" si="2407"/>
        <v>89301000</v>
      </c>
      <c r="B13431" t="str">
        <f t="shared" si="2413"/>
        <v>89903000</v>
      </c>
      <c r="C13431" t="str">
        <f t="shared" si="2414"/>
        <v>89903503</v>
      </c>
      <c r="D13431">
        <v>89301062</v>
      </c>
      <c r="E13431" t="str">
        <f t="shared" si="2416"/>
        <v>7404145309</v>
      </c>
      <c r="F13431" s="1">
        <v>45215</v>
      </c>
      <c r="G13431" t="str">
        <f>"0000502"</f>
        <v>0000502</v>
      </c>
      <c r="H13431">
        <v>0.1</v>
      </c>
      <c r="J13431">
        <v>6.97</v>
      </c>
      <c r="K13431" t="str">
        <f t="shared" si="2412"/>
        <v>809</v>
      </c>
      <c r="L13431">
        <v>6.97</v>
      </c>
    </row>
    <row r="13432" spans="1:12" x14ac:dyDescent="0.25">
      <c r="A13432" t="str">
        <f t="shared" si="2407"/>
        <v>89301000</v>
      </c>
      <c r="B13432" t="str">
        <f t="shared" si="2413"/>
        <v>89903000</v>
      </c>
      <c r="C13432" t="str">
        <f t="shared" si="2414"/>
        <v>89903503</v>
      </c>
      <c r="D13432">
        <v>89301062</v>
      </c>
      <c r="E13432" t="str">
        <f t="shared" si="2416"/>
        <v>7404145309</v>
      </c>
      <c r="F13432" s="1">
        <v>45215</v>
      </c>
      <c r="G13432" t="str">
        <f>"0084090"</f>
        <v>0084090</v>
      </c>
      <c r="H13432">
        <v>0.1</v>
      </c>
      <c r="J13432">
        <v>8.52</v>
      </c>
      <c r="K13432" t="str">
        <f t="shared" si="2412"/>
        <v>809</v>
      </c>
      <c r="L13432">
        <v>8.52</v>
      </c>
    </row>
    <row r="13433" spans="1:12" x14ac:dyDescent="0.25">
      <c r="A13433" t="str">
        <f t="shared" si="2407"/>
        <v>89301000</v>
      </c>
      <c r="B13433" t="str">
        <f t="shared" si="2413"/>
        <v>89903000</v>
      </c>
      <c r="C13433" t="str">
        <f t="shared" si="2414"/>
        <v>89903503</v>
      </c>
      <c r="D13433">
        <v>89301062</v>
      </c>
      <c r="E13433" t="str">
        <f t="shared" si="2416"/>
        <v>7404145309</v>
      </c>
      <c r="F13433" s="1">
        <v>45215</v>
      </c>
      <c r="G13433" t="str">
        <f>"0096251"</f>
        <v>0096251</v>
      </c>
      <c r="H13433">
        <v>8.0000000000000002E-3</v>
      </c>
      <c r="J13433">
        <v>9.36</v>
      </c>
      <c r="K13433" t="str">
        <f t="shared" si="2412"/>
        <v>809</v>
      </c>
      <c r="L13433">
        <v>9.36</v>
      </c>
    </row>
    <row r="13434" spans="1:12" x14ac:dyDescent="0.25">
      <c r="A13434" t="str">
        <f t="shared" si="2407"/>
        <v>89301000</v>
      </c>
      <c r="B13434" t="str">
        <f t="shared" si="2413"/>
        <v>89903000</v>
      </c>
      <c r="C13434" t="str">
        <f t="shared" si="2414"/>
        <v>89903503</v>
      </c>
      <c r="D13434">
        <v>89301062</v>
      </c>
      <c r="E13434" t="str">
        <f t="shared" si="2416"/>
        <v>7404145309</v>
      </c>
      <c r="F13434" s="1">
        <v>45215</v>
      </c>
      <c r="G13434" t="str">
        <f>"0194183"</f>
        <v>0194183</v>
      </c>
      <c r="H13434">
        <v>1</v>
      </c>
      <c r="J13434">
        <v>53</v>
      </c>
      <c r="K13434" t="str">
        <f t="shared" si="2412"/>
        <v>809</v>
      </c>
      <c r="L13434">
        <v>53</v>
      </c>
    </row>
    <row r="13435" spans="1:12" x14ac:dyDescent="0.25">
      <c r="A13435" t="str">
        <f t="shared" si="2407"/>
        <v>89301000</v>
      </c>
      <c r="B13435" t="str">
        <f t="shared" si="2413"/>
        <v>89903000</v>
      </c>
      <c r="C13435" t="str">
        <f t="shared" si="2414"/>
        <v>89903503</v>
      </c>
      <c r="D13435">
        <v>89301215</v>
      </c>
      <c r="E13435" t="str">
        <f>"520406106"</f>
        <v>520406106</v>
      </c>
      <c r="F13435" s="1">
        <v>45218</v>
      </c>
      <c r="G13435" t="str">
        <f>"09233"</f>
        <v>09233</v>
      </c>
      <c r="H13435">
        <v>1</v>
      </c>
      <c r="I13435">
        <v>102</v>
      </c>
      <c r="J13435">
        <v>0</v>
      </c>
      <c r="K13435" t="str">
        <f t="shared" si="2412"/>
        <v>809</v>
      </c>
      <c r="L13435">
        <v>149.94</v>
      </c>
    </row>
    <row r="13436" spans="1:12" x14ac:dyDescent="0.25">
      <c r="A13436" t="str">
        <f t="shared" si="2407"/>
        <v>89301000</v>
      </c>
      <c r="B13436" t="str">
        <f t="shared" si="2413"/>
        <v>89903000</v>
      </c>
      <c r="C13436" t="str">
        <f t="shared" si="2414"/>
        <v>89903503</v>
      </c>
      <c r="D13436">
        <v>89301215</v>
      </c>
      <c r="E13436" t="str">
        <f>"520406106"</f>
        <v>520406106</v>
      </c>
      <c r="F13436" s="1">
        <v>45218</v>
      </c>
      <c r="G13436" t="str">
        <f>"89611"</f>
        <v>89611</v>
      </c>
      <c r="H13436">
        <v>2</v>
      </c>
      <c r="I13436">
        <v>4524</v>
      </c>
      <c r="J13436">
        <v>0</v>
      </c>
      <c r="K13436" t="str">
        <f t="shared" si="2412"/>
        <v>809</v>
      </c>
      <c r="L13436">
        <v>2940.6</v>
      </c>
    </row>
    <row r="13437" spans="1:12" x14ac:dyDescent="0.25">
      <c r="A13437" t="str">
        <f t="shared" si="2407"/>
        <v>89301000</v>
      </c>
      <c r="B13437" t="str">
        <f t="shared" si="2413"/>
        <v>89903000</v>
      </c>
      <c r="C13437" t="str">
        <f t="shared" si="2414"/>
        <v>89903503</v>
      </c>
      <c r="D13437">
        <v>89301215</v>
      </c>
      <c r="E13437" t="str">
        <f>"520406106"</f>
        <v>520406106</v>
      </c>
      <c r="F13437" s="1">
        <v>45218</v>
      </c>
      <c r="G13437" t="str">
        <f>"0022075"</f>
        <v>0022075</v>
      </c>
      <c r="H13437">
        <v>1</v>
      </c>
      <c r="J13437">
        <v>1004.83</v>
      </c>
      <c r="K13437" t="str">
        <f t="shared" si="2412"/>
        <v>809</v>
      </c>
      <c r="L13437">
        <v>1004.83</v>
      </c>
    </row>
    <row r="13438" spans="1:12" x14ac:dyDescent="0.25">
      <c r="A13438" t="str">
        <f t="shared" si="2407"/>
        <v>89301000</v>
      </c>
      <c r="B13438" t="str">
        <f t="shared" si="2413"/>
        <v>89903000</v>
      </c>
      <c r="C13438" t="str">
        <f t="shared" si="2414"/>
        <v>89903503</v>
      </c>
      <c r="D13438">
        <v>89301215</v>
      </c>
      <c r="E13438" t="str">
        <f>"520406106"</f>
        <v>520406106</v>
      </c>
      <c r="F13438" s="1">
        <v>45218</v>
      </c>
      <c r="G13438" t="str">
        <f>"0059496"</f>
        <v>0059496</v>
      </c>
      <c r="H13438">
        <v>0.2</v>
      </c>
      <c r="J13438">
        <v>50.95</v>
      </c>
      <c r="K13438" t="str">
        <f t="shared" si="2412"/>
        <v>809</v>
      </c>
      <c r="L13438">
        <v>50.95</v>
      </c>
    </row>
    <row r="13439" spans="1:12" x14ac:dyDescent="0.25">
      <c r="A13439" t="str">
        <f t="shared" si="2407"/>
        <v>89301000</v>
      </c>
      <c r="B13439" t="str">
        <f t="shared" si="2413"/>
        <v>89903000</v>
      </c>
      <c r="C13439" t="str">
        <f t="shared" si="2414"/>
        <v>89903503</v>
      </c>
      <c r="D13439">
        <v>89301062</v>
      </c>
      <c r="E13439" t="str">
        <f t="shared" ref="E13439:E13444" si="2417">"6507190052"</f>
        <v>6507190052</v>
      </c>
      <c r="F13439" s="1">
        <v>45230</v>
      </c>
      <c r="G13439" t="str">
        <f>"09233"</f>
        <v>09233</v>
      </c>
      <c r="H13439">
        <v>1</v>
      </c>
      <c r="I13439">
        <v>102</v>
      </c>
      <c r="J13439">
        <v>0</v>
      </c>
      <c r="K13439" t="str">
        <f t="shared" si="2412"/>
        <v>809</v>
      </c>
      <c r="L13439">
        <v>149.94</v>
      </c>
    </row>
    <row r="13440" spans="1:12" x14ac:dyDescent="0.25">
      <c r="A13440" t="str">
        <f t="shared" si="2407"/>
        <v>89301000</v>
      </c>
      <c r="B13440" t="str">
        <f t="shared" si="2413"/>
        <v>89903000</v>
      </c>
      <c r="C13440" t="str">
        <f t="shared" si="2414"/>
        <v>89903503</v>
      </c>
      <c r="D13440">
        <v>89301062</v>
      </c>
      <c r="E13440" t="str">
        <f t="shared" si="2417"/>
        <v>6507190052</v>
      </c>
      <c r="F13440" s="1">
        <v>45230</v>
      </c>
      <c r="G13440" t="str">
        <f>"89311"</f>
        <v>89311</v>
      </c>
      <c r="H13440">
        <v>1</v>
      </c>
      <c r="I13440">
        <v>970</v>
      </c>
      <c r="J13440">
        <v>0</v>
      </c>
      <c r="K13440" t="str">
        <f t="shared" si="2412"/>
        <v>809</v>
      </c>
      <c r="L13440">
        <v>1425.9</v>
      </c>
    </row>
    <row r="13441" spans="1:12" x14ac:dyDescent="0.25">
      <c r="A13441" t="str">
        <f t="shared" si="2407"/>
        <v>89301000</v>
      </c>
      <c r="B13441" t="str">
        <f t="shared" si="2413"/>
        <v>89903000</v>
      </c>
      <c r="C13441" t="str">
        <f t="shared" si="2414"/>
        <v>89903503</v>
      </c>
      <c r="D13441">
        <v>89301062</v>
      </c>
      <c r="E13441" t="str">
        <f t="shared" si="2417"/>
        <v>6507190052</v>
      </c>
      <c r="F13441" s="1">
        <v>45230</v>
      </c>
      <c r="G13441" t="str">
        <f>"89615"</f>
        <v>89615</v>
      </c>
      <c r="H13441">
        <v>1</v>
      </c>
      <c r="I13441">
        <v>2199</v>
      </c>
      <c r="J13441">
        <v>0</v>
      </c>
      <c r="K13441" t="str">
        <f t="shared" si="2412"/>
        <v>809</v>
      </c>
      <c r="L13441">
        <v>1429.35</v>
      </c>
    </row>
    <row r="13442" spans="1:12" x14ac:dyDescent="0.25">
      <c r="A13442" t="str">
        <f t="shared" ref="A13442:A13505" si="2418">"89301000"</f>
        <v>89301000</v>
      </c>
      <c r="B13442" t="str">
        <f t="shared" si="2413"/>
        <v>89903000</v>
      </c>
      <c r="C13442" t="str">
        <f t="shared" si="2414"/>
        <v>89903503</v>
      </c>
      <c r="D13442">
        <v>89301062</v>
      </c>
      <c r="E13442" t="str">
        <f t="shared" si="2417"/>
        <v>6507190052</v>
      </c>
      <c r="F13442" s="1">
        <v>45230</v>
      </c>
      <c r="G13442" t="str">
        <f>"0000502"</f>
        <v>0000502</v>
      </c>
      <c r="H13442">
        <v>0.1</v>
      </c>
      <c r="J13442">
        <v>6.97</v>
      </c>
      <c r="K13442" t="str">
        <f t="shared" si="2412"/>
        <v>809</v>
      </c>
      <c r="L13442">
        <v>6.97</v>
      </c>
    </row>
    <row r="13443" spans="1:12" x14ac:dyDescent="0.25">
      <c r="A13443" t="str">
        <f t="shared" si="2418"/>
        <v>89301000</v>
      </c>
      <c r="B13443" t="str">
        <f t="shared" si="2413"/>
        <v>89903000</v>
      </c>
      <c r="C13443" t="str">
        <f t="shared" si="2414"/>
        <v>89903503</v>
      </c>
      <c r="D13443">
        <v>89301062</v>
      </c>
      <c r="E13443" t="str">
        <f t="shared" si="2417"/>
        <v>6507190052</v>
      </c>
      <c r="F13443" s="1">
        <v>45230</v>
      </c>
      <c r="G13443" t="str">
        <f>"0096251"</f>
        <v>0096251</v>
      </c>
      <c r="H13443">
        <v>8.0000000000000002E-3</v>
      </c>
      <c r="J13443">
        <v>9.36</v>
      </c>
      <c r="K13443" t="str">
        <f t="shared" si="2412"/>
        <v>809</v>
      </c>
      <c r="L13443">
        <v>9.36</v>
      </c>
    </row>
    <row r="13444" spans="1:12" x14ac:dyDescent="0.25">
      <c r="A13444" t="str">
        <f t="shared" si="2418"/>
        <v>89301000</v>
      </c>
      <c r="B13444" t="str">
        <f t="shared" si="2413"/>
        <v>89903000</v>
      </c>
      <c r="C13444" t="str">
        <f t="shared" si="2414"/>
        <v>89903503</v>
      </c>
      <c r="D13444">
        <v>89301062</v>
      </c>
      <c r="E13444" t="str">
        <f t="shared" si="2417"/>
        <v>6507190052</v>
      </c>
      <c r="F13444" s="1">
        <v>45230</v>
      </c>
      <c r="G13444" t="str">
        <f>"0194183"</f>
        <v>0194183</v>
      </c>
      <c r="H13444">
        <v>6</v>
      </c>
      <c r="J13444">
        <v>318</v>
      </c>
      <c r="K13444" t="str">
        <f t="shared" si="2412"/>
        <v>809</v>
      </c>
      <c r="L13444">
        <v>318</v>
      </c>
    </row>
    <row r="13445" spans="1:12" x14ac:dyDescent="0.25">
      <c r="A13445" t="str">
        <f t="shared" si="2418"/>
        <v>89301000</v>
      </c>
      <c r="B13445" t="str">
        <f t="shared" si="2413"/>
        <v>89903000</v>
      </c>
      <c r="C13445" t="str">
        <f t="shared" si="2414"/>
        <v>89903503</v>
      </c>
      <c r="D13445">
        <v>89301062</v>
      </c>
      <c r="E13445" t="str">
        <f t="shared" ref="E13445:E13451" si="2419">"7404145309"</f>
        <v>7404145309</v>
      </c>
      <c r="F13445" s="1">
        <v>45230</v>
      </c>
      <c r="G13445" t="str">
        <f>"09233"</f>
        <v>09233</v>
      </c>
      <c r="H13445">
        <v>1</v>
      </c>
      <c r="I13445">
        <v>102</v>
      </c>
      <c r="J13445">
        <v>0</v>
      </c>
      <c r="K13445" t="str">
        <f t="shared" si="2412"/>
        <v>809</v>
      </c>
      <c r="L13445">
        <v>149.94</v>
      </c>
    </row>
    <row r="13446" spans="1:12" x14ac:dyDescent="0.25">
      <c r="A13446" t="str">
        <f t="shared" si="2418"/>
        <v>89301000</v>
      </c>
      <c r="B13446" t="str">
        <f t="shared" si="2413"/>
        <v>89903000</v>
      </c>
      <c r="C13446" t="str">
        <f t="shared" si="2414"/>
        <v>89903503</v>
      </c>
      <c r="D13446">
        <v>89301062</v>
      </c>
      <c r="E13446" t="str">
        <f t="shared" si="2419"/>
        <v>7404145309</v>
      </c>
      <c r="F13446" s="1">
        <v>45230</v>
      </c>
      <c r="G13446" t="str">
        <f>"89311"</f>
        <v>89311</v>
      </c>
      <c r="H13446">
        <v>1</v>
      </c>
      <c r="I13446">
        <v>970</v>
      </c>
      <c r="J13446">
        <v>0</v>
      </c>
      <c r="K13446" t="str">
        <f t="shared" si="2412"/>
        <v>809</v>
      </c>
      <c r="L13446">
        <v>1425.9</v>
      </c>
    </row>
    <row r="13447" spans="1:12" x14ac:dyDescent="0.25">
      <c r="A13447" t="str">
        <f t="shared" si="2418"/>
        <v>89301000</v>
      </c>
      <c r="B13447" t="str">
        <f t="shared" si="2413"/>
        <v>89903000</v>
      </c>
      <c r="C13447" t="str">
        <f t="shared" si="2414"/>
        <v>89903503</v>
      </c>
      <c r="D13447">
        <v>89301062</v>
      </c>
      <c r="E13447" t="str">
        <f t="shared" si="2419"/>
        <v>7404145309</v>
      </c>
      <c r="F13447" s="1">
        <v>45230</v>
      </c>
      <c r="G13447" t="str">
        <f>"89615"</f>
        <v>89615</v>
      </c>
      <c r="H13447">
        <v>1</v>
      </c>
      <c r="I13447">
        <v>2199</v>
      </c>
      <c r="J13447">
        <v>0</v>
      </c>
      <c r="K13447" t="str">
        <f t="shared" si="2412"/>
        <v>809</v>
      </c>
      <c r="L13447">
        <v>1429.35</v>
      </c>
    </row>
    <row r="13448" spans="1:12" x14ac:dyDescent="0.25">
      <c r="A13448" t="str">
        <f t="shared" si="2418"/>
        <v>89301000</v>
      </c>
      <c r="B13448" t="str">
        <f t="shared" si="2413"/>
        <v>89903000</v>
      </c>
      <c r="C13448" t="str">
        <f t="shared" si="2414"/>
        <v>89903503</v>
      </c>
      <c r="D13448">
        <v>89301062</v>
      </c>
      <c r="E13448" t="str">
        <f t="shared" si="2419"/>
        <v>7404145309</v>
      </c>
      <c r="F13448" s="1">
        <v>45230</v>
      </c>
      <c r="G13448" t="str">
        <f>"0000502"</f>
        <v>0000502</v>
      </c>
      <c r="H13448">
        <v>0.1</v>
      </c>
      <c r="J13448">
        <v>6.97</v>
      </c>
      <c r="K13448" t="str">
        <f t="shared" si="2412"/>
        <v>809</v>
      </c>
      <c r="L13448">
        <v>6.97</v>
      </c>
    </row>
    <row r="13449" spans="1:12" x14ac:dyDescent="0.25">
      <c r="A13449" t="str">
        <f t="shared" si="2418"/>
        <v>89301000</v>
      </c>
      <c r="B13449" t="str">
        <f t="shared" si="2413"/>
        <v>89903000</v>
      </c>
      <c r="C13449" t="str">
        <f t="shared" si="2414"/>
        <v>89903503</v>
      </c>
      <c r="D13449">
        <v>89301062</v>
      </c>
      <c r="E13449" t="str">
        <f t="shared" si="2419"/>
        <v>7404145309</v>
      </c>
      <c r="F13449" s="1">
        <v>45230</v>
      </c>
      <c r="G13449" t="str">
        <f>"0084090"</f>
        <v>0084090</v>
      </c>
      <c r="H13449">
        <v>0.1</v>
      </c>
      <c r="J13449">
        <v>8.52</v>
      </c>
      <c r="K13449" t="str">
        <f t="shared" si="2412"/>
        <v>809</v>
      </c>
      <c r="L13449">
        <v>8.52</v>
      </c>
    </row>
    <row r="13450" spans="1:12" x14ac:dyDescent="0.25">
      <c r="A13450" t="str">
        <f t="shared" si="2418"/>
        <v>89301000</v>
      </c>
      <c r="B13450" t="str">
        <f t="shared" si="2413"/>
        <v>89903000</v>
      </c>
      <c r="C13450" t="str">
        <f t="shared" si="2414"/>
        <v>89903503</v>
      </c>
      <c r="D13450">
        <v>89301062</v>
      </c>
      <c r="E13450" t="str">
        <f t="shared" si="2419"/>
        <v>7404145309</v>
      </c>
      <c r="F13450" s="1">
        <v>45230</v>
      </c>
      <c r="G13450" t="str">
        <f>"0096251"</f>
        <v>0096251</v>
      </c>
      <c r="H13450">
        <v>8.0000000000000002E-3</v>
      </c>
      <c r="J13450">
        <v>9.36</v>
      </c>
      <c r="K13450" t="str">
        <f t="shared" si="2412"/>
        <v>809</v>
      </c>
      <c r="L13450">
        <v>9.36</v>
      </c>
    </row>
    <row r="13451" spans="1:12" x14ac:dyDescent="0.25">
      <c r="A13451" t="str">
        <f t="shared" si="2418"/>
        <v>89301000</v>
      </c>
      <c r="B13451" t="str">
        <f t="shared" si="2413"/>
        <v>89903000</v>
      </c>
      <c r="C13451" t="str">
        <f t="shared" si="2414"/>
        <v>89903503</v>
      </c>
      <c r="D13451">
        <v>89301062</v>
      </c>
      <c r="E13451" t="str">
        <f t="shared" si="2419"/>
        <v>7404145309</v>
      </c>
      <c r="F13451" s="1">
        <v>45230</v>
      </c>
      <c r="G13451" t="str">
        <f>"0194183"</f>
        <v>0194183</v>
      </c>
      <c r="H13451">
        <v>1</v>
      </c>
      <c r="J13451">
        <v>53</v>
      </c>
      <c r="K13451" t="str">
        <f t="shared" si="2412"/>
        <v>809</v>
      </c>
      <c r="L13451">
        <v>53</v>
      </c>
    </row>
    <row r="13452" spans="1:12" x14ac:dyDescent="0.25">
      <c r="A13452" t="str">
        <f t="shared" si="2418"/>
        <v>89301000</v>
      </c>
      <c r="B13452" t="str">
        <f t="shared" si="2413"/>
        <v>89903000</v>
      </c>
      <c r="C13452" t="str">
        <f>"89903504"</f>
        <v>89903504</v>
      </c>
      <c r="D13452">
        <v>89301112</v>
      </c>
      <c r="E13452" t="str">
        <f>"7162015322"</f>
        <v>7162015322</v>
      </c>
      <c r="F13452" s="1">
        <v>45208</v>
      </c>
      <c r="G13452" t="str">
        <f>"89713"</f>
        <v>89713</v>
      </c>
      <c r="H13452">
        <v>1</v>
      </c>
      <c r="I13452">
        <v>5411</v>
      </c>
      <c r="J13452">
        <v>0</v>
      </c>
      <c r="K13452" t="str">
        <f>"810"</f>
        <v>810</v>
      </c>
      <c r="L13452">
        <v>3517.15</v>
      </c>
    </row>
    <row r="13453" spans="1:12" x14ac:dyDescent="0.25">
      <c r="A13453" t="str">
        <f t="shared" si="2418"/>
        <v>89301000</v>
      </c>
      <c r="B13453" t="str">
        <f t="shared" ref="B13453:B13484" si="2420">"78006000"</f>
        <v>78006000</v>
      </c>
      <c r="C13453" t="str">
        <f t="shared" ref="C13453:C13460" si="2421">"78006207"</f>
        <v>78006207</v>
      </c>
      <c r="D13453">
        <v>89301167</v>
      </c>
      <c r="E13453" t="str">
        <f>"5854210813"</f>
        <v>5854210813</v>
      </c>
      <c r="F13453" s="1">
        <v>45223</v>
      </c>
      <c r="G13453" t="str">
        <f>"91153"</f>
        <v>91153</v>
      </c>
      <c r="H13453">
        <v>1</v>
      </c>
      <c r="I13453">
        <v>153</v>
      </c>
      <c r="J13453">
        <v>0</v>
      </c>
      <c r="K13453" t="str">
        <f t="shared" ref="K13453:K13460" si="2422">"813"</f>
        <v>813</v>
      </c>
      <c r="L13453">
        <v>128.52000000000001</v>
      </c>
    </row>
    <row r="13454" spans="1:12" x14ac:dyDescent="0.25">
      <c r="A13454" t="str">
        <f t="shared" si="2418"/>
        <v>89301000</v>
      </c>
      <c r="B13454" t="str">
        <f t="shared" si="2420"/>
        <v>78006000</v>
      </c>
      <c r="C13454" t="str">
        <f t="shared" si="2421"/>
        <v>78006207</v>
      </c>
      <c r="D13454">
        <v>89301171</v>
      </c>
      <c r="E13454" t="str">
        <f>"7611115336"</f>
        <v>7611115336</v>
      </c>
      <c r="F13454" s="1">
        <v>45205</v>
      </c>
      <c r="G13454" t="str">
        <f t="shared" ref="G13454:G13460" si="2423">"91197"</f>
        <v>91197</v>
      </c>
      <c r="H13454">
        <v>6</v>
      </c>
      <c r="I13454">
        <v>6288</v>
      </c>
      <c r="J13454">
        <v>0</v>
      </c>
      <c r="K13454" t="str">
        <f t="shared" si="2422"/>
        <v>813</v>
      </c>
      <c r="L13454">
        <v>5281.92</v>
      </c>
    </row>
    <row r="13455" spans="1:12" x14ac:dyDescent="0.25">
      <c r="A13455" t="str">
        <f t="shared" si="2418"/>
        <v>89301000</v>
      </c>
      <c r="B13455" t="str">
        <f t="shared" si="2420"/>
        <v>78006000</v>
      </c>
      <c r="C13455" t="str">
        <f t="shared" si="2421"/>
        <v>78006207</v>
      </c>
      <c r="D13455">
        <v>89301171</v>
      </c>
      <c r="E13455" t="str">
        <f>"490617025"</f>
        <v>490617025</v>
      </c>
      <c r="F13455" s="1">
        <v>45224</v>
      </c>
      <c r="G13455" t="str">
        <f t="shared" si="2423"/>
        <v>91197</v>
      </c>
      <c r="H13455">
        <v>6</v>
      </c>
      <c r="I13455">
        <v>6288</v>
      </c>
      <c r="J13455">
        <v>0</v>
      </c>
      <c r="K13455" t="str">
        <f t="shared" si="2422"/>
        <v>813</v>
      </c>
      <c r="L13455">
        <v>5281.92</v>
      </c>
    </row>
    <row r="13456" spans="1:12" x14ac:dyDescent="0.25">
      <c r="A13456" t="str">
        <f t="shared" si="2418"/>
        <v>89301000</v>
      </c>
      <c r="B13456" t="str">
        <f t="shared" si="2420"/>
        <v>78006000</v>
      </c>
      <c r="C13456" t="str">
        <f t="shared" si="2421"/>
        <v>78006207</v>
      </c>
      <c r="D13456">
        <v>89301171</v>
      </c>
      <c r="E13456" t="str">
        <f>"8255035316"</f>
        <v>8255035316</v>
      </c>
      <c r="F13456" s="1">
        <v>45224</v>
      </c>
      <c r="G13456" t="str">
        <f t="shared" si="2423"/>
        <v>91197</v>
      </c>
      <c r="H13456">
        <v>6</v>
      </c>
      <c r="I13456">
        <v>6288</v>
      </c>
      <c r="J13456">
        <v>0</v>
      </c>
      <c r="K13456" t="str">
        <f t="shared" si="2422"/>
        <v>813</v>
      </c>
      <c r="L13456">
        <v>5281.92</v>
      </c>
    </row>
    <row r="13457" spans="1:12" x14ac:dyDescent="0.25">
      <c r="A13457" t="str">
        <f t="shared" si="2418"/>
        <v>89301000</v>
      </c>
      <c r="B13457" t="str">
        <f t="shared" si="2420"/>
        <v>78006000</v>
      </c>
      <c r="C13457" t="str">
        <f t="shared" si="2421"/>
        <v>78006207</v>
      </c>
      <c r="D13457">
        <v>89301171</v>
      </c>
      <c r="E13457" t="str">
        <f>"7102155698"</f>
        <v>7102155698</v>
      </c>
      <c r="F13457" s="1">
        <v>45205</v>
      </c>
      <c r="G13457" t="str">
        <f t="shared" si="2423"/>
        <v>91197</v>
      </c>
      <c r="H13457">
        <v>6</v>
      </c>
      <c r="I13457">
        <v>6288</v>
      </c>
      <c r="J13457">
        <v>0</v>
      </c>
      <c r="K13457" t="str">
        <f t="shared" si="2422"/>
        <v>813</v>
      </c>
      <c r="L13457">
        <v>5281.92</v>
      </c>
    </row>
    <row r="13458" spans="1:12" x14ac:dyDescent="0.25">
      <c r="A13458" t="str">
        <f t="shared" si="2418"/>
        <v>89301000</v>
      </c>
      <c r="B13458" t="str">
        <f t="shared" si="2420"/>
        <v>78006000</v>
      </c>
      <c r="C13458" t="str">
        <f t="shared" si="2421"/>
        <v>78006207</v>
      </c>
      <c r="D13458">
        <v>89301171</v>
      </c>
      <c r="E13458" t="str">
        <f>"6910214894"</f>
        <v>6910214894</v>
      </c>
      <c r="F13458" s="1">
        <v>45224</v>
      </c>
      <c r="G13458" t="str">
        <f t="shared" si="2423"/>
        <v>91197</v>
      </c>
      <c r="H13458">
        <v>6</v>
      </c>
      <c r="I13458">
        <v>6288</v>
      </c>
      <c r="J13458">
        <v>0</v>
      </c>
      <c r="K13458" t="str">
        <f t="shared" si="2422"/>
        <v>813</v>
      </c>
      <c r="L13458">
        <v>5281.92</v>
      </c>
    </row>
    <row r="13459" spans="1:12" x14ac:dyDescent="0.25">
      <c r="A13459" t="str">
        <f t="shared" si="2418"/>
        <v>89301000</v>
      </c>
      <c r="B13459" t="str">
        <f t="shared" si="2420"/>
        <v>78006000</v>
      </c>
      <c r="C13459" t="str">
        <f t="shared" si="2421"/>
        <v>78006207</v>
      </c>
      <c r="D13459">
        <v>89301171</v>
      </c>
      <c r="E13459" t="str">
        <f>"455717078"</f>
        <v>455717078</v>
      </c>
      <c r="F13459" s="1">
        <v>45224</v>
      </c>
      <c r="G13459" t="str">
        <f t="shared" si="2423"/>
        <v>91197</v>
      </c>
      <c r="H13459">
        <v>6</v>
      </c>
      <c r="I13459">
        <v>6288</v>
      </c>
      <c r="J13459">
        <v>0</v>
      </c>
      <c r="K13459" t="str">
        <f t="shared" si="2422"/>
        <v>813</v>
      </c>
      <c r="L13459">
        <v>5281.92</v>
      </c>
    </row>
    <row r="13460" spans="1:12" x14ac:dyDescent="0.25">
      <c r="A13460" t="str">
        <f t="shared" si="2418"/>
        <v>89301000</v>
      </c>
      <c r="B13460" t="str">
        <f t="shared" si="2420"/>
        <v>78006000</v>
      </c>
      <c r="C13460" t="str">
        <f t="shared" si="2421"/>
        <v>78006207</v>
      </c>
      <c r="D13460">
        <v>89301171</v>
      </c>
      <c r="E13460" t="str">
        <f>"0056016224"</f>
        <v>0056016224</v>
      </c>
      <c r="F13460" s="1">
        <v>45205</v>
      </c>
      <c r="G13460" t="str">
        <f t="shared" si="2423"/>
        <v>91197</v>
      </c>
      <c r="H13460">
        <v>6</v>
      </c>
      <c r="I13460">
        <v>6288</v>
      </c>
      <c r="J13460">
        <v>0</v>
      </c>
      <c r="K13460" t="str">
        <f t="shared" si="2422"/>
        <v>813</v>
      </c>
      <c r="L13460">
        <v>5281.92</v>
      </c>
    </row>
    <row r="13461" spans="1:12" x14ac:dyDescent="0.25">
      <c r="A13461" t="str">
        <f t="shared" si="2418"/>
        <v>89301000</v>
      </c>
      <c r="B13461" t="str">
        <f t="shared" si="2420"/>
        <v>78006000</v>
      </c>
      <c r="C13461" t="str">
        <f t="shared" ref="C13461:C13472" si="2424">"78006832"</f>
        <v>78006832</v>
      </c>
      <c r="D13461">
        <v>89301062</v>
      </c>
      <c r="E13461" t="str">
        <f>"8751251146"</f>
        <v>8751251146</v>
      </c>
      <c r="F13461" s="1">
        <v>45204</v>
      </c>
      <c r="G13461" t="str">
        <f>"89713"</f>
        <v>89713</v>
      </c>
      <c r="H13461">
        <v>1</v>
      </c>
      <c r="I13461">
        <v>5411</v>
      </c>
      <c r="J13461">
        <v>0</v>
      </c>
      <c r="K13461" t="str">
        <f t="shared" ref="K13461:K13472" si="2425">"810"</f>
        <v>810</v>
      </c>
      <c r="L13461">
        <v>3517.15</v>
      </c>
    </row>
    <row r="13462" spans="1:12" x14ac:dyDescent="0.25">
      <c r="A13462" t="str">
        <f t="shared" si="2418"/>
        <v>89301000</v>
      </c>
      <c r="B13462" t="str">
        <f t="shared" si="2420"/>
        <v>78006000</v>
      </c>
      <c r="C13462" t="str">
        <f t="shared" si="2424"/>
        <v>78006832</v>
      </c>
      <c r="D13462">
        <v>89301062</v>
      </c>
      <c r="E13462" t="str">
        <f>"8751251146"</f>
        <v>8751251146</v>
      </c>
      <c r="F13462" s="1">
        <v>45204</v>
      </c>
      <c r="G13462" t="str">
        <f>"89725"</f>
        <v>89725</v>
      </c>
      <c r="H13462">
        <v>1</v>
      </c>
      <c r="I13462">
        <v>2863</v>
      </c>
      <c r="J13462">
        <v>0</v>
      </c>
      <c r="K13462" t="str">
        <f t="shared" si="2425"/>
        <v>810</v>
      </c>
      <c r="L13462">
        <v>1860.95</v>
      </c>
    </row>
    <row r="13463" spans="1:12" x14ac:dyDescent="0.25">
      <c r="A13463" t="str">
        <f t="shared" si="2418"/>
        <v>89301000</v>
      </c>
      <c r="B13463" t="str">
        <f t="shared" si="2420"/>
        <v>78006000</v>
      </c>
      <c r="C13463" t="str">
        <f t="shared" si="2424"/>
        <v>78006832</v>
      </c>
      <c r="D13463">
        <v>89301112</v>
      </c>
      <c r="E13463" t="str">
        <f>"7660135340"</f>
        <v>7660135340</v>
      </c>
      <c r="F13463" s="1">
        <v>45204</v>
      </c>
      <c r="G13463" t="str">
        <f>"89713"</f>
        <v>89713</v>
      </c>
      <c r="H13463">
        <v>1</v>
      </c>
      <c r="I13463">
        <v>5411</v>
      </c>
      <c r="J13463">
        <v>0</v>
      </c>
      <c r="K13463" t="str">
        <f t="shared" si="2425"/>
        <v>810</v>
      </c>
      <c r="L13463">
        <v>3517.15</v>
      </c>
    </row>
    <row r="13464" spans="1:12" x14ac:dyDescent="0.25">
      <c r="A13464" t="str">
        <f t="shared" si="2418"/>
        <v>89301000</v>
      </c>
      <c r="B13464" t="str">
        <f t="shared" si="2420"/>
        <v>78006000</v>
      </c>
      <c r="C13464" t="str">
        <f t="shared" si="2424"/>
        <v>78006832</v>
      </c>
      <c r="D13464">
        <v>89301172</v>
      </c>
      <c r="E13464" t="str">
        <f>"8809045773"</f>
        <v>8809045773</v>
      </c>
      <c r="F13464" s="1">
        <v>45210</v>
      </c>
      <c r="G13464" t="str">
        <f>"89713"</f>
        <v>89713</v>
      </c>
      <c r="H13464">
        <v>1</v>
      </c>
      <c r="I13464">
        <v>5411</v>
      </c>
      <c r="J13464">
        <v>0</v>
      </c>
      <c r="K13464" t="str">
        <f t="shared" si="2425"/>
        <v>810</v>
      </c>
      <c r="L13464">
        <v>3517.15</v>
      </c>
    </row>
    <row r="13465" spans="1:12" x14ac:dyDescent="0.25">
      <c r="A13465" t="str">
        <f t="shared" si="2418"/>
        <v>89301000</v>
      </c>
      <c r="B13465" t="str">
        <f t="shared" si="2420"/>
        <v>78006000</v>
      </c>
      <c r="C13465" t="str">
        <f t="shared" si="2424"/>
        <v>78006832</v>
      </c>
      <c r="D13465">
        <v>89301172</v>
      </c>
      <c r="E13465" t="str">
        <f>"8809045773"</f>
        <v>8809045773</v>
      </c>
      <c r="F13465" s="1">
        <v>45210</v>
      </c>
      <c r="G13465" t="str">
        <f>"89725"</f>
        <v>89725</v>
      </c>
      <c r="H13465">
        <v>1</v>
      </c>
      <c r="I13465">
        <v>2863</v>
      </c>
      <c r="J13465">
        <v>0</v>
      </c>
      <c r="K13465" t="str">
        <f t="shared" si="2425"/>
        <v>810</v>
      </c>
      <c r="L13465">
        <v>1860.95</v>
      </c>
    </row>
    <row r="13466" spans="1:12" x14ac:dyDescent="0.25">
      <c r="A13466" t="str">
        <f t="shared" si="2418"/>
        <v>89301000</v>
      </c>
      <c r="B13466" t="str">
        <f t="shared" si="2420"/>
        <v>78006000</v>
      </c>
      <c r="C13466" t="str">
        <f t="shared" si="2424"/>
        <v>78006832</v>
      </c>
      <c r="D13466">
        <v>89301062</v>
      </c>
      <c r="E13466" t="str">
        <f>"9204155741"</f>
        <v>9204155741</v>
      </c>
      <c r="F13466" s="1">
        <v>45217</v>
      </c>
      <c r="G13466" t="str">
        <f>"89713"</f>
        <v>89713</v>
      </c>
      <c r="H13466">
        <v>1</v>
      </c>
      <c r="I13466">
        <v>5411</v>
      </c>
      <c r="J13466">
        <v>0</v>
      </c>
      <c r="K13466" t="str">
        <f t="shared" si="2425"/>
        <v>810</v>
      </c>
      <c r="L13466">
        <v>3517.15</v>
      </c>
    </row>
    <row r="13467" spans="1:12" x14ac:dyDescent="0.25">
      <c r="A13467" t="str">
        <f t="shared" si="2418"/>
        <v>89301000</v>
      </c>
      <c r="B13467" t="str">
        <f t="shared" si="2420"/>
        <v>78006000</v>
      </c>
      <c r="C13467" t="str">
        <f t="shared" si="2424"/>
        <v>78006832</v>
      </c>
      <c r="D13467">
        <v>89301062</v>
      </c>
      <c r="E13467" t="str">
        <f>"9204155741"</f>
        <v>9204155741</v>
      </c>
      <c r="F13467" s="1">
        <v>45217</v>
      </c>
      <c r="G13467" t="str">
        <f>"89725"</f>
        <v>89725</v>
      </c>
      <c r="H13467">
        <v>1</v>
      </c>
      <c r="I13467">
        <v>2863</v>
      </c>
      <c r="J13467">
        <v>0</v>
      </c>
      <c r="K13467" t="str">
        <f t="shared" si="2425"/>
        <v>810</v>
      </c>
      <c r="L13467">
        <v>1860.95</v>
      </c>
    </row>
    <row r="13468" spans="1:12" x14ac:dyDescent="0.25">
      <c r="A13468" t="str">
        <f t="shared" si="2418"/>
        <v>89301000</v>
      </c>
      <c r="B13468" t="str">
        <f t="shared" si="2420"/>
        <v>78006000</v>
      </c>
      <c r="C13468" t="str">
        <f t="shared" si="2424"/>
        <v>78006832</v>
      </c>
      <c r="D13468">
        <v>89301172</v>
      </c>
      <c r="E13468" t="str">
        <f>"535329037"</f>
        <v>535329037</v>
      </c>
      <c r="F13468" s="1">
        <v>45218</v>
      </c>
      <c r="G13468" t="str">
        <f>"89713"</f>
        <v>89713</v>
      </c>
      <c r="H13468">
        <v>1</v>
      </c>
      <c r="I13468">
        <v>5411</v>
      </c>
      <c r="J13468">
        <v>0</v>
      </c>
      <c r="K13468" t="str">
        <f t="shared" si="2425"/>
        <v>810</v>
      </c>
      <c r="L13468">
        <v>3517.15</v>
      </c>
    </row>
    <row r="13469" spans="1:12" x14ac:dyDescent="0.25">
      <c r="A13469" t="str">
        <f t="shared" si="2418"/>
        <v>89301000</v>
      </c>
      <c r="B13469" t="str">
        <f t="shared" si="2420"/>
        <v>78006000</v>
      </c>
      <c r="C13469" t="str">
        <f t="shared" si="2424"/>
        <v>78006832</v>
      </c>
      <c r="D13469">
        <v>89301172</v>
      </c>
      <c r="E13469" t="str">
        <f>"535329037"</f>
        <v>535329037</v>
      </c>
      <c r="F13469" s="1">
        <v>45218</v>
      </c>
      <c r="G13469" t="str">
        <f>"89725"</f>
        <v>89725</v>
      </c>
      <c r="H13469">
        <v>1</v>
      </c>
      <c r="I13469">
        <v>2863</v>
      </c>
      <c r="J13469">
        <v>0</v>
      </c>
      <c r="K13469" t="str">
        <f t="shared" si="2425"/>
        <v>810</v>
      </c>
      <c r="L13469">
        <v>1860.95</v>
      </c>
    </row>
    <row r="13470" spans="1:12" x14ac:dyDescent="0.25">
      <c r="A13470" t="str">
        <f t="shared" si="2418"/>
        <v>89301000</v>
      </c>
      <c r="B13470" t="str">
        <f t="shared" si="2420"/>
        <v>78006000</v>
      </c>
      <c r="C13470" t="str">
        <f t="shared" si="2424"/>
        <v>78006832</v>
      </c>
      <c r="D13470">
        <v>89301062</v>
      </c>
      <c r="E13470" t="str">
        <f>"515227285"</f>
        <v>515227285</v>
      </c>
      <c r="F13470" s="1">
        <v>45230</v>
      </c>
      <c r="G13470" t="str">
        <f>"89713"</f>
        <v>89713</v>
      </c>
      <c r="H13470">
        <v>1</v>
      </c>
      <c r="I13470">
        <v>5411</v>
      </c>
      <c r="J13470">
        <v>0</v>
      </c>
      <c r="K13470" t="str">
        <f t="shared" si="2425"/>
        <v>810</v>
      </c>
      <c r="L13470">
        <v>3517.15</v>
      </c>
    </row>
    <row r="13471" spans="1:12" x14ac:dyDescent="0.25">
      <c r="A13471" t="str">
        <f t="shared" si="2418"/>
        <v>89301000</v>
      </c>
      <c r="B13471" t="str">
        <f t="shared" si="2420"/>
        <v>78006000</v>
      </c>
      <c r="C13471" t="str">
        <f t="shared" si="2424"/>
        <v>78006832</v>
      </c>
      <c r="D13471">
        <v>89301062</v>
      </c>
      <c r="E13471" t="str">
        <f>"515227285"</f>
        <v>515227285</v>
      </c>
      <c r="F13471" s="1">
        <v>45230</v>
      </c>
      <c r="G13471" t="str">
        <f>"89713"</f>
        <v>89713</v>
      </c>
      <c r="H13471">
        <v>1</v>
      </c>
      <c r="I13471">
        <v>5411</v>
      </c>
      <c r="J13471">
        <v>0</v>
      </c>
      <c r="K13471" t="str">
        <f t="shared" si="2425"/>
        <v>810</v>
      </c>
      <c r="L13471">
        <v>3517.15</v>
      </c>
    </row>
    <row r="13472" spans="1:12" x14ac:dyDescent="0.25">
      <c r="A13472" t="str">
        <f t="shared" si="2418"/>
        <v>89301000</v>
      </c>
      <c r="B13472" t="str">
        <f t="shared" si="2420"/>
        <v>78006000</v>
      </c>
      <c r="C13472" t="str">
        <f t="shared" si="2424"/>
        <v>78006832</v>
      </c>
      <c r="D13472">
        <v>89301062</v>
      </c>
      <c r="E13472" t="str">
        <f>"515227285"</f>
        <v>515227285</v>
      </c>
      <c r="F13472" s="1">
        <v>45230</v>
      </c>
      <c r="G13472" t="str">
        <f>"89725"</f>
        <v>89725</v>
      </c>
      <c r="H13472">
        <v>1</v>
      </c>
      <c r="I13472">
        <v>2863</v>
      </c>
      <c r="J13472">
        <v>0</v>
      </c>
      <c r="K13472" t="str">
        <f t="shared" si="2425"/>
        <v>810</v>
      </c>
      <c r="L13472">
        <v>1860.95</v>
      </c>
    </row>
    <row r="13473" spans="1:12" x14ac:dyDescent="0.25">
      <c r="A13473" t="str">
        <f t="shared" si="2418"/>
        <v>89301000</v>
      </c>
      <c r="B13473" t="str">
        <f t="shared" si="2420"/>
        <v>78006000</v>
      </c>
      <c r="C13473" t="str">
        <f t="shared" ref="C13473:C13478" si="2426">"78006831"</f>
        <v>78006831</v>
      </c>
      <c r="D13473">
        <v>89301212</v>
      </c>
      <c r="E13473" t="str">
        <f>"5412223762"</f>
        <v>5412223762</v>
      </c>
      <c r="F13473" s="1">
        <v>45229</v>
      </c>
      <c r="G13473" t="str">
        <f>"89611"</f>
        <v>89611</v>
      </c>
      <c r="H13473">
        <v>1</v>
      </c>
      <c r="I13473">
        <v>2262</v>
      </c>
      <c r="J13473">
        <v>0</v>
      </c>
      <c r="K13473" t="str">
        <f t="shared" ref="K13473:K13478" si="2427">"809"</f>
        <v>809</v>
      </c>
      <c r="L13473">
        <v>1470.3</v>
      </c>
    </row>
    <row r="13474" spans="1:12" x14ac:dyDescent="0.25">
      <c r="A13474" t="str">
        <f t="shared" si="2418"/>
        <v>89301000</v>
      </c>
      <c r="B13474" t="str">
        <f t="shared" si="2420"/>
        <v>78006000</v>
      </c>
      <c r="C13474" t="str">
        <f t="shared" si="2426"/>
        <v>78006831</v>
      </c>
      <c r="D13474">
        <v>89301212</v>
      </c>
      <c r="E13474" t="str">
        <f>"5412223762"</f>
        <v>5412223762</v>
      </c>
      <c r="F13474" s="1">
        <v>45229</v>
      </c>
      <c r="G13474" t="str">
        <f>"89619"</f>
        <v>89619</v>
      </c>
      <c r="H13474">
        <v>1</v>
      </c>
      <c r="I13474">
        <v>1218</v>
      </c>
      <c r="J13474">
        <v>0</v>
      </c>
      <c r="K13474" t="str">
        <f t="shared" si="2427"/>
        <v>809</v>
      </c>
      <c r="L13474">
        <v>791.7</v>
      </c>
    </row>
    <row r="13475" spans="1:12" x14ac:dyDescent="0.25">
      <c r="A13475" t="str">
        <f t="shared" si="2418"/>
        <v>89301000</v>
      </c>
      <c r="B13475" t="str">
        <f t="shared" si="2420"/>
        <v>78006000</v>
      </c>
      <c r="C13475" t="str">
        <f t="shared" si="2426"/>
        <v>78006831</v>
      </c>
      <c r="D13475">
        <v>89301212</v>
      </c>
      <c r="E13475" t="str">
        <f>"5412223762"</f>
        <v>5412223762</v>
      </c>
      <c r="F13475" s="1">
        <v>45229</v>
      </c>
      <c r="G13475" t="str">
        <f>"0137480"</f>
        <v>0137480</v>
      </c>
      <c r="H13475">
        <v>0.2</v>
      </c>
      <c r="J13475">
        <v>1004.83</v>
      </c>
      <c r="K13475" t="str">
        <f t="shared" si="2427"/>
        <v>809</v>
      </c>
      <c r="L13475">
        <v>1004.83</v>
      </c>
    </row>
    <row r="13476" spans="1:12" x14ac:dyDescent="0.25">
      <c r="A13476" t="str">
        <f t="shared" si="2418"/>
        <v>89301000</v>
      </c>
      <c r="B13476" t="str">
        <f t="shared" si="2420"/>
        <v>78006000</v>
      </c>
      <c r="C13476" t="str">
        <f t="shared" si="2426"/>
        <v>78006831</v>
      </c>
      <c r="D13476">
        <v>89301212</v>
      </c>
      <c r="E13476" t="str">
        <f>"5412223762"</f>
        <v>5412223762</v>
      </c>
      <c r="F13476" s="1">
        <v>45229</v>
      </c>
      <c r="G13476" t="str">
        <f>"0059496"</f>
        <v>0059496</v>
      </c>
      <c r="H13476">
        <v>0.15</v>
      </c>
      <c r="J13476">
        <v>38.21</v>
      </c>
      <c r="K13476" t="str">
        <f t="shared" si="2427"/>
        <v>809</v>
      </c>
      <c r="L13476">
        <v>38.21</v>
      </c>
    </row>
    <row r="13477" spans="1:12" x14ac:dyDescent="0.25">
      <c r="A13477" t="str">
        <f t="shared" si="2418"/>
        <v>89301000</v>
      </c>
      <c r="B13477" t="str">
        <f t="shared" si="2420"/>
        <v>78006000</v>
      </c>
      <c r="C13477" t="str">
        <f t="shared" si="2426"/>
        <v>78006831</v>
      </c>
      <c r="D13477">
        <v>89301212</v>
      </c>
      <c r="E13477" t="str">
        <f>"485118401"</f>
        <v>485118401</v>
      </c>
      <c r="F13477" s="1">
        <v>45202</v>
      </c>
      <c r="G13477" t="str">
        <f>"89131"</f>
        <v>89131</v>
      </c>
      <c r="H13477">
        <v>1</v>
      </c>
      <c r="I13477">
        <v>190</v>
      </c>
      <c r="J13477">
        <v>0</v>
      </c>
      <c r="K13477" t="str">
        <f t="shared" si="2427"/>
        <v>809</v>
      </c>
      <c r="L13477">
        <v>279.3</v>
      </c>
    </row>
    <row r="13478" spans="1:12" x14ac:dyDescent="0.25">
      <c r="A13478" t="str">
        <f t="shared" si="2418"/>
        <v>89301000</v>
      </c>
      <c r="B13478" t="str">
        <f t="shared" si="2420"/>
        <v>78006000</v>
      </c>
      <c r="C13478" t="str">
        <f t="shared" si="2426"/>
        <v>78006831</v>
      </c>
      <c r="D13478">
        <v>89301212</v>
      </c>
      <c r="E13478" t="str">
        <f>"520719006"</f>
        <v>520719006</v>
      </c>
      <c r="F13478" s="1">
        <v>45208</v>
      </c>
      <c r="G13478" t="str">
        <f>"89131"</f>
        <v>89131</v>
      </c>
      <c r="H13478">
        <v>1</v>
      </c>
      <c r="I13478">
        <v>190</v>
      </c>
      <c r="J13478">
        <v>0</v>
      </c>
      <c r="K13478" t="str">
        <f t="shared" si="2427"/>
        <v>809</v>
      </c>
      <c r="L13478">
        <v>279.3</v>
      </c>
    </row>
    <row r="13479" spans="1:12" x14ac:dyDescent="0.25">
      <c r="A13479" t="str">
        <f t="shared" si="2418"/>
        <v>89301000</v>
      </c>
      <c r="B13479" t="str">
        <f t="shared" si="2420"/>
        <v>78006000</v>
      </c>
      <c r="C13479" t="str">
        <f t="shared" ref="C13479:C13484" si="2428">"78006532"</f>
        <v>78006532</v>
      </c>
      <c r="D13479">
        <v>89301062</v>
      </c>
      <c r="E13479" t="str">
        <f>"5961271404"</f>
        <v>5961271404</v>
      </c>
      <c r="F13479" s="1">
        <v>45202</v>
      </c>
      <c r="G13479" t="str">
        <f>"89713"</f>
        <v>89713</v>
      </c>
      <c r="H13479">
        <v>1</v>
      </c>
      <c r="I13479">
        <v>5411</v>
      </c>
      <c r="J13479">
        <v>0</v>
      </c>
      <c r="K13479" t="str">
        <f t="shared" ref="K13479:K13484" si="2429">"810"</f>
        <v>810</v>
      </c>
      <c r="L13479">
        <v>3517.15</v>
      </c>
    </row>
    <row r="13480" spans="1:12" x14ac:dyDescent="0.25">
      <c r="A13480" t="str">
        <f t="shared" si="2418"/>
        <v>89301000</v>
      </c>
      <c r="B13480" t="str">
        <f t="shared" si="2420"/>
        <v>78006000</v>
      </c>
      <c r="C13480" t="str">
        <f t="shared" si="2428"/>
        <v>78006532</v>
      </c>
      <c r="D13480">
        <v>89301062</v>
      </c>
      <c r="E13480" t="str">
        <f>"8602136136"</f>
        <v>8602136136</v>
      </c>
      <c r="F13480" s="1">
        <v>45203</v>
      </c>
      <c r="G13480" t="str">
        <f>"89713"</f>
        <v>89713</v>
      </c>
      <c r="H13480">
        <v>1</v>
      </c>
      <c r="I13480">
        <v>5411</v>
      </c>
      <c r="J13480">
        <v>0</v>
      </c>
      <c r="K13480" t="str">
        <f t="shared" si="2429"/>
        <v>810</v>
      </c>
      <c r="L13480">
        <v>3517.15</v>
      </c>
    </row>
    <row r="13481" spans="1:12" x14ac:dyDescent="0.25">
      <c r="A13481" t="str">
        <f t="shared" si="2418"/>
        <v>89301000</v>
      </c>
      <c r="B13481" t="str">
        <f t="shared" si="2420"/>
        <v>78006000</v>
      </c>
      <c r="C13481" t="str">
        <f t="shared" si="2428"/>
        <v>78006532</v>
      </c>
      <c r="D13481">
        <v>89301062</v>
      </c>
      <c r="E13481" t="str">
        <f>"8602136136"</f>
        <v>8602136136</v>
      </c>
      <c r="F13481" s="1">
        <v>45203</v>
      </c>
      <c r="G13481" t="str">
        <f>"89725"</f>
        <v>89725</v>
      </c>
      <c r="H13481">
        <v>1</v>
      </c>
      <c r="I13481">
        <v>2863</v>
      </c>
      <c r="J13481">
        <v>0</v>
      </c>
      <c r="K13481" t="str">
        <f t="shared" si="2429"/>
        <v>810</v>
      </c>
      <c r="L13481">
        <v>1860.95</v>
      </c>
    </row>
    <row r="13482" spans="1:12" x14ac:dyDescent="0.25">
      <c r="A13482" t="str">
        <f t="shared" si="2418"/>
        <v>89301000</v>
      </c>
      <c r="B13482" t="str">
        <f t="shared" si="2420"/>
        <v>78006000</v>
      </c>
      <c r="C13482" t="str">
        <f t="shared" si="2428"/>
        <v>78006532</v>
      </c>
      <c r="D13482">
        <v>89301062</v>
      </c>
      <c r="E13482" t="str">
        <f>"8602136136"</f>
        <v>8602136136</v>
      </c>
      <c r="F13482" s="1">
        <v>45203</v>
      </c>
      <c r="G13482" t="str">
        <f>"0207746"</f>
        <v>0207746</v>
      </c>
      <c r="H13482">
        <v>0.2</v>
      </c>
      <c r="J13482">
        <v>1727.02</v>
      </c>
      <c r="K13482" t="str">
        <f t="shared" si="2429"/>
        <v>810</v>
      </c>
      <c r="L13482">
        <v>1727.02</v>
      </c>
    </row>
    <row r="13483" spans="1:12" x14ac:dyDescent="0.25">
      <c r="A13483" t="str">
        <f t="shared" si="2418"/>
        <v>89301000</v>
      </c>
      <c r="B13483" t="str">
        <f t="shared" si="2420"/>
        <v>78006000</v>
      </c>
      <c r="C13483" t="str">
        <f t="shared" si="2428"/>
        <v>78006532</v>
      </c>
      <c r="D13483">
        <v>89301112</v>
      </c>
      <c r="E13483" t="str">
        <f>"8055135319"</f>
        <v>8055135319</v>
      </c>
      <c r="F13483" s="1">
        <v>45219</v>
      </c>
      <c r="G13483" t="str">
        <f>"89713"</f>
        <v>89713</v>
      </c>
      <c r="H13483">
        <v>1</v>
      </c>
      <c r="I13483">
        <v>5411</v>
      </c>
      <c r="J13483">
        <v>0</v>
      </c>
      <c r="K13483" t="str">
        <f t="shared" si="2429"/>
        <v>810</v>
      </c>
      <c r="L13483">
        <v>3517.15</v>
      </c>
    </row>
    <row r="13484" spans="1:12" x14ac:dyDescent="0.25">
      <c r="A13484" t="str">
        <f t="shared" si="2418"/>
        <v>89301000</v>
      </c>
      <c r="B13484" t="str">
        <f t="shared" si="2420"/>
        <v>78006000</v>
      </c>
      <c r="C13484" t="str">
        <f t="shared" si="2428"/>
        <v>78006532</v>
      </c>
      <c r="D13484">
        <v>89301112</v>
      </c>
      <c r="E13484" t="str">
        <f>"8055135319"</f>
        <v>8055135319</v>
      </c>
      <c r="F13484" s="1">
        <v>45219</v>
      </c>
      <c r="G13484" t="str">
        <f>"89725"</f>
        <v>89725</v>
      </c>
      <c r="H13484">
        <v>1</v>
      </c>
      <c r="I13484">
        <v>2863</v>
      </c>
      <c r="J13484">
        <v>0</v>
      </c>
      <c r="K13484" t="str">
        <f t="shared" si="2429"/>
        <v>810</v>
      </c>
      <c r="L13484">
        <v>1860.95</v>
      </c>
    </row>
    <row r="13485" spans="1:12" x14ac:dyDescent="0.25">
      <c r="A13485" t="str">
        <f t="shared" si="2418"/>
        <v>89301000</v>
      </c>
      <c r="B13485" t="str">
        <f t="shared" ref="B13485:B13516" si="2430">"78006000"</f>
        <v>78006000</v>
      </c>
      <c r="C13485" t="str">
        <f>"78006231"</f>
        <v>78006231</v>
      </c>
      <c r="D13485">
        <v>89301215</v>
      </c>
      <c r="E13485" t="str">
        <f>"480914131"</f>
        <v>480914131</v>
      </c>
      <c r="F13485" s="1">
        <v>45210</v>
      </c>
      <c r="G13485" t="str">
        <f>"89617"</f>
        <v>89617</v>
      </c>
      <c r="H13485">
        <v>1</v>
      </c>
      <c r="I13485">
        <v>1342</v>
      </c>
      <c r="J13485">
        <v>0</v>
      </c>
      <c r="K13485" t="str">
        <f t="shared" ref="K13485:K13490" si="2431">"809"</f>
        <v>809</v>
      </c>
      <c r="L13485">
        <v>872.3</v>
      </c>
    </row>
    <row r="13486" spans="1:12" x14ac:dyDescent="0.25">
      <c r="A13486" t="str">
        <f t="shared" si="2418"/>
        <v>89301000</v>
      </c>
      <c r="B13486" t="str">
        <f t="shared" si="2430"/>
        <v>78006000</v>
      </c>
      <c r="C13486" t="str">
        <f>"78006231"</f>
        <v>78006231</v>
      </c>
      <c r="D13486">
        <v>89301215</v>
      </c>
      <c r="E13486" t="str">
        <f>"480914131"</f>
        <v>480914131</v>
      </c>
      <c r="F13486" s="1">
        <v>45210</v>
      </c>
      <c r="G13486" t="str">
        <f>"0022075"</f>
        <v>0022075</v>
      </c>
      <c r="H13486">
        <v>1</v>
      </c>
      <c r="J13486">
        <v>1004.83</v>
      </c>
      <c r="K13486" t="str">
        <f t="shared" si="2431"/>
        <v>809</v>
      </c>
      <c r="L13486">
        <v>1004.83</v>
      </c>
    </row>
    <row r="13487" spans="1:12" x14ac:dyDescent="0.25">
      <c r="A13487" t="str">
        <f t="shared" si="2418"/>
        <v>89301000</v>
      </c>
      <c r="B13487" t="str">
        <f t="shared" si="2430"/>
        <v>78006000</v>
      </c>
      <c r="C13487" t="str">
        <f>"78006231"</f>
        <v>78006231</v>
      </c>
      <c r="D13487">
        <v>89301212</v>
      </c>
      <c r="E13487" t="str">
        <f>"5858041629"</f>
        <v>5858041629</v>
      </c>
      <c r="F13487" s="1">
        <v>45210</v>
      </c>
      <c r="G13487" t="str">
        <f>"89617"</f>
        <v>89617</v>
      </c>
      <c r="H13487">
        <v>1</v>
      </c>
      <c r="I13487">
        <v>1342</v>
      </c>
      <c r="J13487">
        <v>0</v>
      </c>
      <c r="K13487" t="str">
        <f t="shared" si="2431"/>
        <v>809</v>
      </c>
      <c r="L13487">
        <v>872.3</v>
      </c>
    </row>
    <row r="13488" spans="1:12" x14ac:dyDescent="0.25">
      <c r="A13488" t="str">
        <f t="shared" si="2418"/>
        <v>89301000</v>
      </c>
      <c r="B13488" t="str">
        <f t="shared" si="2430"/>
        <v>78006000</v>
      </c>
      <c r="C13488" t="str">
        <f>"78006231"</f>
        <v>78006231</v>
      </c>
      <c r="D13488">
        <v>89301212</v>
      </c>
      <c r="E13488" t="str">
        <f>"5858041629"</f>
        <v>5858041629</v>
      </c>
      <c r="F13488" s="1">
        <v>45210</v>
      </c>
      <c r="G13488" t="str">
        <f>"0022075"</f>
        <v>0022075</v>
      </c>
      <c r="H13488">
        <v>1</v>
      </c>
      <c r="J13488">
        <v>1004.83</v>
      </c>
      <c r="K13488" t="str">
        <f t="shared" si="2431"/>
        <v>809</v>
      </c>
      <c r="L13488">
        <v>1004.83</v>
      </c>
    </row>
    <row r="13489" spans="1:12" x14ac:dyDescent="0.25">
      <c r="A13489" t="str">
        <f t="shared" si="2418"/>
        <v>89301000</v>
      </c>
      <c r="B13489" t="str">
        <f t="shared" si="2430"/>
        <v>78006000</v>
      </c>
      <c r="C13489" t="str">
        <f>"78006531"</f>
        <v>78006531</v>
      </c>
      <c r="D13489">
        <v>89301212</v>
      </c>
      <c r="E13489" t="str">
        <f>"7558175713"</f>
        <v>7558175713</v>
      </c>
      <c r="F13489" s="1">
        <v>45218</v>
      </c>
      <c r="G13489" t="str">
        <f>"89513"</f>
        <v>89513</v>
      </c>
      <c r="H13489">
        <v>1</v>
      </c>
      <c r="I13489">
        <v>378</v>
      </c>
      <c r="J13489">
        <v>0</v>
      </c>
      <c r="K13489" t="str">
        <f t="shared" si="2431"/>
        <v>809</v>
      </c>
      <c r="L13489">
        <v>555.66</v>
      </c>
    </row>
    <row r="13490" spans="1:12" x14ac:dyDescent="0.25">
      <c r="A13490" t="str">
        <f t="shared" si="2418"/>
        <v>89301000</v>
      </c>
      <c r="B13490" t="str">
        <f t="shared" si="2430"/>
        <v>78006000</v>
      </c>
      <c r="C13490" t="str">
        <f>"78006531"</f>
        <v>78006531</v>
      </c>
      <c r="D13490">
        <v>89301212</v>
      </c>
      <c r="E13490" t="str">
        <f>"7558175713"</f>
        <v>7558175713</v>
      </c>
      <c r="F13490" s="1">
        <v>45218</v>
      </c>
      <c r="G13490" t="str">
        <f>"89514"</f>
        <v>89514</v>
      </c>
      <c r="H13490">
        <v>1</v>
      </c>
      <c r="I13490">
        <v>378</v>
      </c>
      <c r="J13490">
        <v>0</v>
      </c>
      <c r="K13490" t="str">
        <f t="shared" si="2431"/>
        <v>809</v>
      </c>
      <c r="L13490">
        <v>555.66</v>
      </c>
    </row>
    <row r="13491" spans="1:12" x14ac:dyDescent="0.25">
      <c r="A13491" t="str">
        <f t="shared" si="2418"/>
        <v>89301000</v>
      </c>
      <c r="B13491" t="str">
        <f t="shared" si="2430"/>
        <v>78006000</v>
      </c>
      <c r="C13491" t="str">
        <f t="shared" ref="C13491:C13508" si="2432">"78006201"</f>
        <v>78006201</v>
      </c>
      <c r="D13491">
        <v>89301167</v>
      </c>
      <c r="E13491" t="str">
        <f>"5854210813"</f>
        <v>5854210813</v>
      </c>
      <c r="F13491" s="1">
        <v>45223</v>
      </c>
      <c r="G13491" t="str">
        <f>"81329"</f>
        <v>81329</v>
      </c>
      <c r="H13491">
        <v>1</v>
      </c>
      <c r="I13491">
        <v>17</v>
      </c>
      <c r="J13491">
        <v>0</v>
      </c>
      <c r="K13491" t="str">
        <f t="shared" ref="K13491:K13508" si="2433">"801"</f>
        <v>801</v>
      </c>
      <c r="L13491">
        <v>14.28</v>
      </c>
    </row>
    <row r="13492" spans="1:12" x14ac:dyDescent="0.25">
      <c r="A13492" t="str">
        <f t="shared" si="2418"/>
        <v>89301000</v>
      </c>
      <c r="B13492" t="str">
        <f t="shared" si="2430"/>
        <v>78006000</v>
      </c>
      <c r="C13492" t="str">
        <f t="shared" si="2432"/>
        <v>78006201</v>
      </c>
      <c r="D13492">
        <v>89301167</v>
      </c>
      <c r="E13492" t="str">
        <f>"5854210813"</f>
        <v>5854210813</v>
      </c>
      <c r="F13492" s="1">
        <v>45223</v>
      </c>
      <c r="G13492" t="str">
        <f>"81383"</f>
        <v>81383</v>
      </c>
      <c r="H13492">
        <v>1</v>
      </c>
      <c r="I13492">
        <v>24</v>
      </c>
      <c r="J13492">
        <v>0</v>
      </c>
      <c r="K13492" t="str">
        <f t="shared" si="2433"/>
        <v>801</v>
      </c>
      <c r="L13492">
        <v>20.16</v>
      </c>
    </row>
    <row r="13493" spans="1:12" x14ac:dyDescent="0.25">
      <c r="A13493" t="str">
        <f t="shared" si="2418"/>
        <v>89301000</v>
      </c>
      <c r="B13493" t="str">
        <f t="shared" si="2430"/>
        <v>78006000</v>
      </c>
      <c r="C13493" t="str">
        <f t="shared" si="2432"/>
        <v>78006201</v>
      </c>
      <c r="D13493">
        <v>89301167</v>
      </c>
      <c r="E13493" t="str">
        <f>"5854210813"</f>
        <v>5854210813</v>
      </c>
      <c r="F13493" s="1">
        <v>45223</v>
      </c>
      <c r="G13493" t="str">
        <f>"93189"</f>
        <v>93189</v>
      </c>
      <c r="H13493">
        <v>1</v>
      </c>
      <c r="I13493">
        <v>191</v>
      </c>
      <c r="J13493">
        <v>0</v>
      </c>
      <c r="K13493" t="str">
        <f t="shared" si="2433"/>
        <v>801</v>
      </c>
      <c r="L13493">
        <v>160.44</v>
      </c>
    </row>
    <row r="13494" spans="1:12" x14ac:dyDescent="0.25">
      <c r="A13494" t="str">
        <f t="shared" si="2418"/>
        <v>89301000</v>
      </c>
      <c r="B13494" t="str">
        <f t="shared" si="2430"/>
        <v>78006000</v>
      </c>
      <c r="C13494" t="str">
        <f t="shared" si="2432"/>
        <v>78006201</v>
      </c>
      <c r="D13494">
        <v>89301167</v>
      </c>
      <c r="E13494" t="str">
        <f>"5854210813"</f>
        <v>5854210813</v>
      </c>
      <c r="F13494" s="1">
        <v>45223</v>
      </c>
      <c r="G13494" t="str">
        <f>"93195"</f>
        <v>93195</v>
      </c>
      <c r="H13494">
        <v>1</v>
      </c>
      <c r="I13494">
        <v>183</v>
      </c>
      <c r="J13494">
        <v>0</v>
      </c>
      <c r="K13494" t="str">
        <f t="shared" si="2433"/>
        <v>801</v>
      </c>
      <c r="L13494">
        <v>153.72</v>
      </c>
    </row>
    <row r="13495" spans="1:12" x14ac:dyDescent="0.25">
      <c r="A13495" t="str">
        <f t="shared" si="2418"/>
        <v>89301000</v>
      </c>
      <c r="B13495" t="str">
        <f t="shared" si="2430"/>
        <v>78006000</v>
      </c>
      <c r="C13495" t="str">
        <f t="shared" si="2432"/>
        <v>78006201</v>
      </c>
      <c r="D13495">
        <v>89301167</v>
      </c>
      <c r="E13495" t="str">
        <f>"5854210813"</f>
        <v>5854210813</v>
      </c>
      <c r="F13495" s="1">
        <v>45223</v>
      </c>
      <c r="G13495" t="str">
        <f>"97111"</f>
        <v>97111</v>
      </c>
      <c r="H13495">
        <v>1</v>
      </c>
      <c r="I13495">
        <v>19</v>
      </c>
      <c r="J13495">
        <v>0</v>
      </c>
      <c r="K13495" t="str">
        <f t="shared" si="2433"/>
        <v>801</v>
      </c>
      <c r="L13495">
        <v>23.94</v>
      </c>
    </row>
    <row r="13496" spans="1:12" x14ac:dyDescent="0.25">
      <c r="A13496" t="str">
        <f t="shared" si="2418"/>
        <v>89301000</v>
      </c>
      <c r="B13496" t="str">
        <f t="shared" si="2430"/>
        <v>78006000</v>
      </c>
      <c r="C13496" t="str">
        <f t="shared" si="2432"/>
        <v>78006201</v>
      </c>
      <c r="D13496">
        <v>89301171</v>
      </c>
      <c r="E13496" t="str">
        <f>"8255035316"</f>
        <v>8255035316</v>
      </c>
      <c r="F13496" s="1">
        <v>45215</v>
      </c>
      <c r="G13496" t="str">
        <f>"81703"</f>
        <v>81703</v>
      </c>
      <c r="H13496">
        <v>2</v>
      </c>
      <c r="I13496">
        <v>556</v>
      </c>
      <c r="J13496">
        <v>0</v>
      </c>
      <c r="K13496" t="str">
        <f t="shared" si="2433"/>
        <v>801</v>
      </c>
      <c r="L13496">
        <v>467.04</v>
      </c>
    </row>
    <row r="13497" spans="1:12" x14ac:dyDescent="0.25">
      <c r="A13497" t="str">
        <f t="shared" si="2418"/>
        <v>89301000</v>
      </c>
      <c r="B13497" t="str">
        <f t="shared" si="2430"/>
        <v>78006000</v>
      </c>
      <c r="C13497" t="str">
        <f t="shared" si="2432"/>
        <v>78006201</v>
      </c>
      <c r="D13497">
        <v>89301167</v>
      </c>
      <c r="E13497" t="str">
        <f t="shared" ref="E13497:E13508" si="2434">"5854210813"</f>
        <v>5854210813</v>
      </c>
      <c r="F13497" s="1">
        <v>45223</v>
      </c>
      <c r="G13497" t="str">
        <f>"81337"</f>
        <v>81337</v>
      </c>
      <c r="H13497">
        <v>1</v>
      </c>
      <c r="I13497">
        <v>20</v>
      </c>
      <c r="J13497">
        <v>0</v>
      </c>
      <c r="K13497" t="str">
        <f t="shared" si="2433"/>
        <v>801</v>
      </c>
      <c r="L13497">
        <v>16.8</v>
      </c>
    </row>
    <row r="13498" spans="1:12" x14ac:dyDescent="0.25">
      <c r="A13498" t="str">
        <f t="shared" si="2418"/>
        <v>89301000</v>
      </c>
      <c r="B13498" t="str">
        <f t="shared" si="2430"/>
        <v>78006000</v>
      </c>
      <c r="C13498" t="str">
        <f t="shared" si="2432"/>
        <v>78006201</v>
      </c>
      <c r="D13498">
        <v>89301167</v>
      </c>
      <c r="E13498" t="str">
        <f t="shared" si="2434"/>
        <v>5854210813</v>
      </c>
      <c r="F13498" s="1">
        <v>45223</v>
      </c>
      <c r="G13498" t="str">
        <f>"81357"</f>
        <v>81357</v>
      </c>
      <c r="H13498">
        <v>1</v>
      </c>
      <c r="I13498">
        <v>20</v>
      </c>
      <c r="J13498">
        <v>0</v>
      </c>
      <c r="K13498" t="str">
        <f t="shared" si="2433"/>
        <v>801</v>
      </c>
      <c r="L13498">
        <v>16.8</v>
      </c>
    </row>
    <row r="13499" spans="1:12" x14ac:dyDescent="0.25">
      <c r="A13499" t="str">
        <f t="shared" si="2418"/>
        <v>89301000</v>
      </c>
      <c r="B13499" t="str">
        <f t="shared" si="2430"/>
        <v>78006000</v>
      </c>
      <c r="C13499" t="str">
        <f t="shared" si="2432"/>
        <v>78006201</v>
      </c>
      <c r="D13499">
        <v>89301167</v>
      </c>
      <c r="E13499" t="str">
        <f t="shared" si="2434"/>
        <v>5854210813</v>
      </c>
      <c r="F13499" s="1">
        <v>45223</v>
      </c>
      <c r="G13499" t="str">
        <f>"81361"</f>
        <v>81361</v>
      </c>
      <c r="H13499">
        <v>1</v>
      </c>
      <c r="I13499">
        <v>17</v>
      </c>
      <c r="J13499">
        <v>0</v>
      </c>
      <c r="K13499" t="str">
        <f t="shared" si="2433"/>
        <v>801</v>
      </c>
      <c r="L13499">
        <v>14.28</v>
      </c>
    </row>
    <row r="13500" spans="1:12" x14ac:dyDescent="0.25">
      <c r="A13500" t="str">
        <f t="shared" si="2418"/>
        <v>89301000</v>
      </c>
      <c r="B13500" t="str">
        <f t="shared" si="2430"/>
        <v>78006000</v>
      </c>
      <c r="C13500" t="str">
        <f t="shared" si="2432"/>
        <v>78006201</v>
      </c>
      <c r="D13500">
        <v>89301167</v>
      </c>
      <c r="E13500" t="str">
        <f t="shared" si="2434"/>
        <v>5854210813</v>
      </c>
      <c r="F13500" s="1">
        <v>45223</v>
      </c>
      <c r="G13500" t="str">
        <f>"81365"</f>
        <v>81365</v>
      </c>
      <c r="H13500">
        <v>1</v>
      </c>
      <c r="I13500">
        <v>16</v>
      </c>
      <c r="J13500">
        <v>0</v>
      </c>
      <c r="K13500" t="str">
        <f t="shared" si="2433"/>
        <v>801</v>
      </c>
      <c r="L13500">
        <v>13.44</v>
      </c>
    </row>
    <row r="13501" spans="1:12" x14ac:dyDescent="0.25">
      <c r="A13501" t="str">
        <f t="shared" si="2418"/>
        <v>89301000</v>
      </c>
      <c r="B13501" t="str">
        <f t="shared" si="2430"/>
        <v>78006000</v>
      </c>
      <c r="C13501" t="str">
        <f t="shared" si="2432"/>
        <v>78006201</v>
      </c>
      <c r="D13501">
        <v>89301167</v>
      </c>
      <c r="E13501" t="str">
        <f t="shared" si="2434"/>
        <v>5854210813</v>
      </c>
      <c r="F13501" s="1">
        <v>45223</v>
      </c>
      <c r="G13501" t="str">
        <f>"81393"</f>
        <v>81393</v>
      </c>
      <c r="H13501">
        <v>1</v>
      </c>
      <c r="I13501">
        <v>24</v>
      </c>
      <c r="J13501">
        <v>0</v>
      </c>
      <c r="K13501" t="str">
        <f t="shared" si="2433"/>
        <v>801</v>
      </c>
      <c r="L13501">
        <v>20.16</v>
      </c>
    </row>
    <row r="13502" spans="1:12" x14ac:dyDescent="0.25">
      <c r="A13502" t="str">
        <f t="shared" si="2418"/>
        <v>89301000</v>
      </c>
      <c r="B13502" t="str">
        <f t="shared" si="2430"/>
        <v>78006000</v>
      </c>
      <c r="C13502" t="str">
        <f t="shared" si="2432"/>
        <v>78006201</v>
      </c>
      <c r="D13502">
        <v>89301167</v>
      </c>
      <c r="E13502" t="str">
        <f t="shared" si="2434"/>
        <v>5854210813</v>
      </c>
      <c r="F13502" s="1">
        <v>45223</v>
      </c>
      <c r="G13502" t="str">
        <f>"81421"</f>
        <v>81421</v>
      </c>
      <c r="H13502">
        <v>1</v>
      </c>
      <c r="I13502">
        <v>19</v>
      </c>
      <c r="J13502">
        <v>0</v>
      </c>
      <c r="K13502" t="str">
        <f t="shared" si="2433"/>
        <v>801</v>
      </c>
      <c r="L13502">
        <v>15.96</v>
      </c>
    </row>
    <row r="13503" spans="1:12" x14ac:dyDescent="0.25">
      <c r="A13503" t="str">
        <f t="shared" si="2418"/>
        <v>89301000</v>
      </c>
      <c r="B13503" t="str">
        <f t="shared" si="2430"/>
        <v>78006000</v>
      </c>
      <c r="C13503" t="str">
        <f t="shared" si="2432"/>
        <v>78006201</v>
      </c>
      <c r="D13503">
        <v>89301167</v>
      </c>
      <c r="E13503" t="str">
        <f t="shared" si="2434"/>
        <v>5854210813</v>
      </c>
      <c r="F13503" s="1">
        <v>45223</v>
      </c>
      <c r="G13503" t="str">
        <f>"81435"</f>
        <v>81435</v>
      </c>
      <c r="H13503">
        <v>1</v>
      </c>
      <c r="I13503">
        <v>22</v>
      </c>
      <c r="J13503">
        <v>0</v>
      </c>
      <c r="K13503" t="str">
        <f t="shared" si="2433"/>
        <v>801</v>
      </c>
      <c r="L13503">
        <v>18.48</v>
      </c>
    </row>
    <row r="13504" spans="1:12" x14ac:dyDescent="0.25">
      <c r="A13504" t="str">
        <f t="shared" si="2418"/>
        <v>89301000</v>
      </c>
      <c r="B13504" t="str">
        <f t="shared" si="2430"/>
        <v>78006000</v>
      </c>
      <c r="C13504" t="str">
        <f t="shared" si="2432"/>
        <v>78006201</v>
      </c>
      <c r="D13504">
        <v>89301167</v>
      </c>
      <c r="E13504" t="str">
        <f t="shared" si="2434"/>
        <v>5854210813</v>
      </c>
      <c r="F13504" s="1">
        <v>45223</v>
      </c>
      <c r="G13504" t="str">
        <f>"81439"</f>
        <v>81439</v>
      </c>
      <c r="H13504">
        <v>1</v>
      </c>
      <c r="I13504">
        <v>16</v>
      </c>
      <c r="J13504">
        <v>0</v>
      </c>
      <c r="K13504" t="str">
        <f t="shared" si="2433"/>
        <v>801</v>
      </c>
      <c r="L13504">
        <v>13.44</v>
      </c>
    </row>
    <row r="13505" spans="1:12" x14ac:dyDescent="0.25">
      <c r="A13505" t="str">
        <f t="shared" si="2418"/>
        <v>89301000</v>
      </c>
      <c r="B13505" t="str">
        <f t="shared" si="2430"/>
        <v>78006000</v>
      </c>
      <c r="C13505" t="str">
        <f t="shared" si="2432"/>
        <v>78006201</v>
      </c>
      <c r="D13505">
        <v>89301167</v>
      </c>
      <c r="E13505" t="str">
        <f t="shared" si="2434"/>
        <v>5854210813</v>
      </c>
      <c r="F13505" s="1">
        <v>45223</v>
      </c>
      <c r="G13505" t="str">
        <f>"81469"</f>
        <v>81469</v>
      </c>
      <c r="H13505">
        <v>1</v>
      </c>
      <c r="I13505">
        <v>16</v>
      </c>
      <c r="J13505">
        <v>0</v>
      </c>
      <c r="K13505" t="str">
        <f t="shared" si="2433"/>
        <v>801</v>
      </c>
      <c r="L13505">
        <v>13.44</v>
      </c>
    </row>
    <row r="13506" spans="1:12" x14ac:dyDescent="0.25">
      <c r="A13506" t="str">
        <f t="shared" ref="A13506:A13569" si="2435">"89301000"</f>
        <v>89301000</v>
      </c>
      <c r="B13506" t="str">
        <f t="shared" si="2430"/>
        <v>78006000</v>
      </c>
      <c r="C13506" t="str">
        <f t="shared" si="2432"/>
        <v>78006201</v>
      </c>
      <c r="D13506">
        <v>89301167</v>
      </c>
      <c r="E13506" t="str">
        <f t="shared" si="2434"/>
        <v>5854210813</v>
      </c>
      <c r="F13506" s="1">
        <v>45223</v>
      </c>
      <c r="G13506" t="str">
        <f>"81499"</f>
        <v>81499</v>
      </c>
      <c r="H13506">
        <v>1</v>
      </c>
      <c r="I13506">
        <v>18</v>
      </c>
      <c r="J13506">
        <v>0</v>
      </c>
      <c r="K13506" t="str">
        <f t="shared" si="2433"/>
        <v>801</v>
      </c>
      <c r="L13506">
        <v>15.12</v>
      </c>
    </row>
    <row r="13507" spans="1:12" x14ac:dyDescent="0.25">
      <c r="A13507" t="str">
        <f t="shared" si="2435"/>
        <v>89301000</v>
      </c>
      <c r="B13507" t="str">
        <f t="shared" si="2430"/>
        <v>78006000</v>
      </c>
      <c r="C13507" t="str">
        <f t="shared" si="2432"/>
        <v>78006201</v>
      </c>
      <c r="D13507">
        <v>89301167</v>
      </c>
      <c r="E13507" t="str">
        <f t="shared" si="2434"/>
        <v>5854210813</v>
      </c>
      <c r="F13507" s="1">
        <v>45223</v>
      </c>
      <c r="G13507" t="str">
        <f>"81593"</f>
        <v>81593</v>
      </c>
      <c r="H13507">
        <v>1</v>
      </c>
      <c r="I13507">
        <v>22</v>
      </c>
      <c r="J13507">
        <v>0</v>
      </c>
      <c r="K13507" t="str">
        <f t="shared" si="2433"/>
        <v>801</v>
      </c>
      <c r="L13507">
        <v>18.48</v>
      </c>
    </row>
    <row r="13508" spans="1:12" x14ac:dyDescent="0.25">
      <c r="A13508" t="str">
        <f t="shared" si="2435"/>
        <v>89301000</v>
      </c>
      <c r="B13508" t="str">
        <f t="shared" si="2430"/>
        <v>78006000</v>
      </c>
      <c r="C13508" t="str">
        <f t="shared" si="2432"/>
        <v>78006201</v>
      </c>
      <c r="D13508">
        <v>89301167</v>
      </c>
      <c r="E13508" t="str">
        <f t="shared" si="2434"/>
        <v>5854210813</v>
      </c>
      <c r="F13508" s="1">
        <v>45223</v>
      </c>
      <c r="G13508" t="str">
        <f>"81621"</f>
        <v>81621</v>
      </c>
      <c r="H13508">
        <v>1</v>
      </c>
      <c r="I13508">
        <v>19</v>
      </c>
      <c r="J13508">
        <v>0</v>
      </c>
      <c r="K13508" t="str">
        <f t="shared" si="2433"/>
        <v>801</v>
      </c>
      <c r="L13508">
        <v>15.96</v>
      </c>
    </row>
    <row r="13509" spans="1:12" x14ac:dyDescent="0.25">
      <c r="A13509" t="str">
        <f t="shared" si="2435"/>
        <v>89301000</v>
      </c>
      <c r="B13509" t="str">
        <f t="shared" si="2430"/>
        <v>78006000</v>
      </c>
      <c r="C13509" t="str">
        <f t="shared" ref="C13509:C13515" si="2436">"78006231"</f>
        <v>78006231</v>
      </c>
      <c r="D13509">
        <v>89301212</v>
      </c>
      <c r="E13509" t="str">
        <f>"7755224488"</f>
        <v>7755224488</v>
      </c>
      <c r="F13509" s="1">
        <v>45202</v>
      </c>
      <c r="G13509" t="str">
        <f>"89131"</f>
        <v>89131</v>
      </c>
      <c r="H13509">
        <v>2</v>
      </c>
      <c r="I13509">
        <v>380</v>
      </c>
      <c r="J13509">
        <v>0</v>
      </c>
      <c r="K13509" t="str">
        <f t="shared" ref="K13509:K13524" si="2437">"809"</f>
        <v>809</v>
      </c>
      <c r="L13509">
        <v>558.6</v>
      </c>
    </row>
    <row r="13510" spans="1:12" x14ac:dyDescent="0.25">
      <c r="A13510" t="str">
        <f t="shared" si="2435"/>
        <v>89301000</v>
      </c>
      <c r="B13510" t="str">
        <f t="shared" si="2430"/>
        <v>78006000</v>
      </c>
      <c r="C13510" t="str">
        <f t="shared" si="2436"/>
        <v>78006231</v>
      </c>
      <c r="D13510">
        <v>89301172</v>
      </c>
      <c r="E13510" t="str">
        <f>"7360144473"</f>
        <v>7360144473</v>
      </c>
      <c r="F13510" s="1">
        <v>45219</v>
      </c>
      <c r="G13510" t="str">
        <f>"89513"</f>
        <v>89513</v>
      </c>
      <c r="H13510">
        <v>1</v>
      </c>
      <c r="I13510">
        <v>378</v>
      </c>
      <c r="J13510">
        <v>0</v>
      </c>
      <c r="K13510" t="str">
        <f t="shared" si="2437"/>
        <v>809</v>
      </c>
      <c r="L13510">
        <v>555.66</v>
      </c>
    </row>
    <row r="13511" spans="1:12" x14ac:dyDescent="0.25">
      <c r="A13511" t="str">
        <f t="shared" si="2435"/>
        <v>89301000</v>
      </c>
      <c r="B13511" t="str">
        <f t="shared" si="2430"/>
        <v>78006000</v>
      </c>
      <c r="C13511" t="str">
        <f t="shared" si="2436"/>
        <v>78006231</v>
      </c>
      <c r="D13511">
        <v>89301172</v>
      </c>
      <c r="E13511" t="str">
        <f>"7360144473"</f>
        <v>7360144473</v>
      </c>
      <c r="F13511" s="1">
        <v>45219</v>
      </c>
      <c r="G13511" t="str">
        <f>"89514"</f>
        <v>89514</v>
      </c>
      <c r="H13511">
        <v>1</v>
      </c>
      <c r="I13511">
        <v>378</v>
      </c>
      <c r="J13511">
        <v>0</v>
      </c>
      <c r="K13511" t="str">
        <f t="shared" si="2437"/>
        <v>809</v>
      </c>
      <c r="L13511">
        <v>555.66</v>
      </c>
    </row>
    <row r="13512" spans="1:12" x14ac:dyDescent="0.25">
      <c r="A13512" t="str">
        <f t="shared" si="2435"/>
        <v>89301000</v>
      </c>
      <c r="B13512" t="str">
        <f t="shared" si="2430"/>
        <v>78006000</v>
      </c>
      <c r="C13512" t="str">
        <f t="shared" si="2436"/>
        <v>78006231</v>
      </c>
      <c r="D13512">
        <v>89301212</v>
      </c>
      <c r="E13512" t="str">
        <f>"395504442"</f>
        <v>395504442</v>
      </c>
      <c r="F13512" s="1">
        <v>45230</v>
      </c>
      <c r="G13512" t="str">
        <f>"89513"</f>
        <v>89513</v>
      </c>
      <c r="H13512">
        <v>1</v>
      </c>
      <c r="I13512">
        <v>378</v>
      </c>
      <c r="J13512">
        <v>0</v>
      </c>
      <c r="K13512" t="str">
        <f t="shared" si="2437"/>
        <v>809</v>
      </c>
      <c r="L13512">
        <v>555.66</v>
      </c>
    </row>
    <row r="13513" spans="1:12" x14ac:dyDescent="0.25">
      <c r="A13513" t="str">
        <f t="shared" si="2435"/>
        <v>89301000</v>
      </c>
      <c r="B13513" t="str">
        <f t="shared" si="2430"/>
        <v>78006000</v>
      </c>
      <c r="C13513" t="str">
        <f t="shared" si="2436"/>
        <v>78006231</v>
      </c>
      <c r="D13513">
        <v>89301212</v>
      </c>
      <c r="E13513" t="str">
        <f>"395504442"</f>
        <v>395504442</v>
      </c>
      <c r="F13513" s="1">
        <v>45230</v>
      </c>
      <c r="G13513" t="str">
        <f>"89514"</f>
        <v>89514</v>
      </c>
      <c r="H13513">
        <v>1</v>
      </c>
      <c r="I13513">
        <v>378</v>
      </c>
      <c r="J13513">
        <v>0</v>
      </c>
      <c r="K13513" t="str">
        <f t="shared" si="2437"/>
        <v>809</v>
      </c>
      <c r="L13513">
        <v>555.66</v>
      </c>
    </row>
    <row r="13514" spans="1:12" x14ac:dyDescent="0.25">
      <c r="A13514" t="str">
        <f t="shared" si="2435"/>
        <v>89301000</v>
      </c>
      <c r="B13514" t="str">
        <f t="shared" si="2430"/>
        <v>78006000</v>
      </c>
      <c r="C13514" t="str">
        <f t="shared" si="2436"/>
        <v>78006231</v>
      </c>
      <c r="D13514">
        <v>89301039</v>
      </c>
      <c r="E13514" t="str">
        <f>"0001124860"</f>
        <v>0001124860</v>
      </c>
      <c r="F13514" s="1">
        <v>45217</v>
      </c>
      <c r="G13514" t="str">
        <f>"89180"</f>
        <v>89180</v>
      </c>
      <c r="H13514">
        <v>2</v>
      </c>
      <c r="I13514">
        <v>762</v>
      </c>
      <c r="J13514">
        <v>0</v>
      </c>
      <c r="K13514" t="str">
        <f t="shared" si="2437"/>
        <v>809</v>
      </c>
      <c r="L13514">
        <v>1120.1400000000001</v>
      </c>
    </row>
    <row r="13515" spans="1:12" x14ac:dyDescent="0.25">
      <c r="A13515" t="str">
        <f t="shared" si="2435"/>
        <v>89301000</v>
      </c>
      <c r="B13515" t="str">
        <f t="shared" si="2430"/>
        <v>78006000</v>
      </c>
      <c r="C13515" t="str">
        <f t="shared" si="2436"/>
        <v>78006231</v>
      </c>
      <c r="D13515">
        <v>89301212</v>
      </c>
      <c r="E13515" t="str">
        <f>"7462035350"</f>
        <v>7462035350</v>
      </c>
      <c r="F13515" s="1">
        <v>45215</v>
      </c>
      <c r="G13515" t="str">
        <f>"89512"</f>
        <v>89512</v>
      </c>
      <c r="H13515">
        <v>1</v>
      </c>
      <c r="I13515">
        <v>283</v>
      </c>
      <c r="J13515">
        <v>0</v>
      </c>
      <c r="K13515" t="str">
        <f t="shared" si="2437"/>
        <v>809</v>
      </c>
      <c r="L13515">
        <v>416.01</v>
      </c>
    </row>
    <row r="13516" spans="1:12" x14ac:dyDescent="0.25">
      <c r="A13516" t="str">
        <f t="shared" si="2435"/>
        <v>89301000</v>
      </c>
      <c r="B13516" t="str">
        <f t="shared" si="2430"/>
        <v>78006000</v>
      </c>
      <c r="C13516" t="str">
        <f>"78006531"</f>
        <v>78006531</v>
      </c>
      <c r="D13516">
        <v>89301062</v>
      </c>
      <c r="E13516" t="str">
        <f>"510112207"</f>
        <v>510112207</v>
      </c>
      <c r="F13516" s="1">
        <v>45225</v>
      </c>
      <c r="G13516" t="str">
        <f>"89119"</f>
        <v>89119</v>
      </c>
      <c r="H13516">
        <v>1</v>
      </c>
      <c r="I13516">
        <v>204</v>
      </c>
      <c r="J13516">
        <v>0</v>
      </c>
      <c r="K13516" t="str">
        <f t="shared" si="2437"/>
        <v>809</v>
      </c>
      <c r="L13516">
        <v>299.88</v>
      </c>
    </row>
    <row r="13517" spans="1:12" x14ac:dyDescent="0.25">
      <c r="A13517" t="str">
        <f t="shared" si="2435"/>
        <v>89301000</v>
      </c>
      <c r="B13517" t="str">
        <f t="shared" ref="B13517:B13525" si="2438">"78006000"</f>
        <v>78006000</v>
      </c>
      <c r="C13517" t="str">
        <f>"78006531"</f>
        <v>78006531</v>
      </c>
      <c r="D13517">
        <v>89301062</v>
      </c>
      <c r="E13517" t="str">
        <f>"510112207"</f>
        <v>510112207</v>
      </c>
      <c r="F13517" s="1">
        <v>45225</v>
      </c>
      <c r="G13517" t="str">
        <f>"89119"</f>
        <v>89119</v>
      </c>
      <c r="H13517">
        <v>1</v>
      </c>
      <c r="I13517">
        <v>204</v>
      </c>
      <c r="J13517">
        <v>0</v>
      </c>
      <c r="K13517" t="str">
        <f t="shared" si="2437"/>
        <v>809</v>
      </c>
      <c r="L13517">
        <v>299.88</v>
      </c>
    </row>
    <row r="13518" spans="1:12" x14ac:dyDescent="0.25">
      <c r="A13518" t="str">
        <f t="shared" si="2435"/>
        <v>89301000</v>
      </c>
      <c r="B13518" t="str">
        <f t="shared" si="2438"/>
        <v>78006000</v>
      </c>
      <c r="C13518" t="str">
        <f t="shared" ref="C13518:C13524" si="2439">"78006831"</f>
        <v>78006831</v>
      </c>
      <c r="D13518">
        <v>89301322</v>
      </c>
      <c r="E13518" t="str">
        <f>"530925089"</f>
        <v>530925089</v>
      </c>
      <c r="F13518" s="1">
        <v>45229</v>
      </c>
      <c r="G13518" t="str">
        <f>"89513"</f>
        <v>89513</v>
      </c>
      <c r="H13518">
        <v>1</v>
      </c>
      <c r="I13518">
        <v>378</v>
      </c>
      <c r="J13518">
        <v>0</v>
      </c>
      <c r="K13518" t="str">
        <f t="shared" si="2437"/>
        <v>809</v>
      </c>
      <c r="L13518">
        <v>555.66</v>
      </c>
    </row>
    <row r="13519" spans="1:12" x14ac:dyDescent="0.25">
      <c r="A13519" t="str">
        <f t="shared" si="2435"/>
        <v>89301000</v>
      </c>
      <c r="B13519" t="str">
        <f t="shared" si="2438"/>
        <v>78006000</v>
      </c>
      <c r="C13519" t="str">
        <f t="shared" si="2439"/>
        <v>78006831</v>
      </c>
      <c r="D13519">
        <v>89301322</v>
      </c>
      <c r="E13519" t="str">
        <f>"530925089"</f>
        <v>530925089</v>
      </c>
      <c r="F13519" s="1">
        <v>45229</v>
      </c>
      <c r="G13519" t="str">
        <f>"89514"</f>
        <v>89514</v>
      </c>
      <c r="H13519">
        <v>1</v>
      </c>
      <c r="I13519">
        <v>378</v>
      </c>
      <c r="J13519">
        <v>0</v>
      </c>
      <c r="K13519" t="str">
        <f t="shared" si="2437"/>
        <v>809</v>
      </c>
      <c r="L13519">
        <v>555.66</v>
      </c>
    </row>
    <row r="13520" spans="1:12" x14ac:dyDescent="0.25">
      <c r="A13520" t="str">
        <f t="shared" si="2435"/>
        <v>89301000</v>
      </c>
      <c r="B13520" t="str">
        <f t="shared" si="2438"/>
        <v>78006000</v>
      </c>
      <c r="C13520" t="str">
        <f t="shared" si="2439"/>
        <v>78006831</v>
      </c>
      <c r="D13520">
        <v>89301212</v>
      </c>
      <c r="E13520" t="str">
        <f>"505214230"</f>
        <v>505214230</v>
      </c>
      <c r="F13520" s="1">
        <v>45201</v>
      </c>
      <c r="G13520" t="str">
        <f>"89513"</f>
        <v>89513</v>
      </c>
      <c r="H13520">
        <v>1</v>
      </c>
      <c r="I13520">
        <v>378</v>
      </c>
      <c r="J13520">
        <v>0</v>
      </c>
      <c r="K13520" t="str">
        <f t="shared" si="2437"/>
        <v>809</v>
      </c>
      <c r="L13520">
        <v>555.66</v>
      </c>
    </row>
    <row r="13521" spans="1:12" x14ac:dyDescent="0.25">
      <c r="A13521" t="str">
        <f t="shared" si="2435"/>
        <v>89301000</v>
      </c>
      <c r="B13521" t="str">
        <f t="shared" si="2438"/>
        <v>78006000</v>
      </c>
      <c r="C13521" t="str">
        <f t="shared" si="2439"/>
        <v>78006831</v>
      </c>
      <c r="D13521">
        <v>89301212</v>
      </c>
      <c r="E13521" t="str">
        <f>"505214230"</f>
        <v>505214230</v>
      </c>
      <c r="F13521" s="1">
        <v>45201</v>
      </c>
      <c r="G13521" t="str">
        <f>"89514"</f>
        <v>89514</v>
      </c>
      <c r="H13521">
        <v>1</v>
      </c>
      <c r="I13521">
        <v>378</v>
      </c>
      <c r="J13521">
        <v>0</v>
      </c>
      <c r="K13521" t="str">
        <f t="shared" si="2437"/>
        <v>809</v>
      </c>
      <c r="L13521">
        <v>555.66</v>
      </c>
    </row>
    <row r="13522" spans="1:12" x14ac:dyDescent="0.25">
      <c r="A13522" t="str">
        <f t="shared" si="2435"/>
        <v>89301000</v>
      </c>
      <c r="B13522" t="str">
        <f t="shared" si="2438"/>
        <v>78006000</v>
      </c>
      <c r="C13522" t="str">
        <f t="shared" si="2439"/>
        <v>78006831</v>
      </c>
      <c r="D13522">
        <v>89301212</v>
      </c>
      <c r="E13522" t="str">
        <f>"520719006"</f>
        <v>520719006</v>
      </c>
      <c r="F13522" s="1">
        <v>45208</v>
      </c>
      <c r="G13522" t="str">
        <f>"89513"</f>
        <v>89513</v>
      </c>
      <c r="H13522">
        <v>1</v>
      </c>
      <c r="I13522">
        <v>378</v>
      </c>
      <c r="J13522">
        <v>0</v>
      </c>
      <c r="K13522" t="str">
        <f t="shared" si="2437"/>
        <v>809</v>
      </c>
      <c r="L13522">
        <v>555.66</v>
      </c>
    </row>
    <row r="13523" spans="1:12" x14ac:dyDescent="0.25">
      <c r="A13523" t="str">
        <f t="shared" si="2435"/>
        <v>89301000</v>
      </c>
      <c r="B13523" t="str">
        <f t="shared" si="2438"/>
        <v>78006000</v>
      </c>
      <c r="C13523" t="str">
        <f t="shared" si="2439"/>
        <v>78006831</v>
      </c>
      <c r="D13523">
        <v>89301212</v>
      </c>
      <c r="E13523" t="str">
        <f>"520719006"</f>
        <v>520719006</v>
      </c>
      <c r="F13523" s="1">
        <v>45208</v>
      </c>
      <c r="G13523" t="str">
        <f>"89514"</f>
        <v>89514</v>
      </c>
      <c r="H13523">
        <v>1</v>
      </c>
      <c r="I13523">
        <v>378</v>
      </c>
      <c r="J13523">
        <v>0</v>
      </c>
      <c r="K13523" t="str">
        <f t="shared" si="2437"/>
        <v>809</v>
      </c>
      <c r="L13523">
        <v>555.66</v>
      </c>
    </row>
    <row r="13524" spans="1:12" x14ac:dyDescent="0.25">
      <c r="A13524" t="str">
        <f t="shared" si="2435"/>
        <v>89301000</v>
      </c>
      <c r="B13524" t="str">
        <f t="shared" si="2438"/>
        <v>78006000</v>
      </c>
      <c r="C13524" t="str">
        <f t="shared" si="2439"/>
        <v>78006831</v>
      </c>
      <c r="D13524">
        <v>89301322</v>
      </c>
      <c r="E13524" t="str">
        <f>"7651075311"</f>
        <v>7651075311</v>
      </c>
      <c r="F13524" s="1">
        <v>45230</v>
      </c>
      <c r="G13524" t="str">
        <f>"09135"</f>
        <v>09135</v>
      </c>
      <c r="H13524">
        <v>1</v>
      </c>
      <c r="I13524">
        <v>179</v>
      </c>
      <c r="J13524">
        <v>0</v>
      </c>
      <c r="K13524" t="str">
        <f t="shared" si="2437"/>
        <v>809</v>
      </c>
      <c r="L13524">
        <v>263.13</v>
      </c>
    </row>
    <row r="13525" spans="1:12" x14ac:dyDescent="0.25">
      <c r="A13525" t="str">
        <f t="shared" si="2435"/>
        <v>89301000</v>
      </c>
      <c r="B13525" t="str">
        <f t="shared" si="2438"/>
        <v>78006000</v>
      </c>
      <c r="C13525" t="str">
        <f>"78006205"</f>
        <v>78006205</v>
      </c>
      <c r="D13525">
        <v>89301167</v>
      </c>
      <c r="E13525" t="str">
        <f>"5854210813"</f>
        <v>5854210813</v>
      </c>
      <c r="F13525" s="1">
        <v>45223</v>
      </c>
      <c r="G13525" t="str">
        <f>"96167"</f>
        <v>96167</v>
      </c>
      <c r="H13525">
        <v>1</v>
      </c>
      <c r="I13525">
        <v>67</v>
      </c>
      <c r="J13525">
        <v>0</v>
      </c>
      <c r="K13525" t="str">
        <f>"818"</f>
        <v>818</v>
      </c>
      <c r="L13525">
        <v>64.989999999999995</v>
      </c>
    </row>
    <row r="13526" spans="1:12" x14ac:dyDescent="0.25">
      <c r="A13526" t="str">
        <f t="shared" si="2435"/>
        <v>89301000</v>
      </c>
      <c r="B13526" t="str">
        <f t="shared" ref="B13526:B13557" si="2440">"72100000"</f>
        <v>72100000</v>
      </c>
      <c r="C13526" t="str">
        <f t="shared" ref="C13526:C13564" si="2441">"72100632"</f>
        <v>72100632</v>
      </c>
      <c r="D13526">
        <v>89301091</v>
      </c>
      <c r="E13526" t="str">
        <f>"9251740531"</f>
        <v>9251740531</v>
      </c>
      <c r="F13526" s="1">
        <v>44965</v>
      </c>
      <c r="G13526" t="str">
        <f>"94297"</f>
        <v>94297</v>
      </c>
      <c r="H13526">
        <v>1</v>
      </c>
      <c r="I13526">
        <v>304</v>
      </c>
      <c r="J13526">
        <v>0</v>
      </c>
      <c r="K13526" t="str">
        <f t="shared" ref="K13526:K13564" si="2442">"816"</f>
        <v>816</v>
      </c>
      <c r="L13526">
        <v>304</v>
      </c>
    </row>
    <row r="13527" spans="1:12" x14ac:dyDescent="0.25">
      <c r="A13527" t="str">
        <f t="shared" si="2435"/>
        <v>89301000</v>
      </c>
      <c r="B13527" t="str">
        <f t="shared" si="2440"/>
        <v>72100000</v>
      </c>
      <c r="C13527" t="str">
        <f t="shared" si="2441"/>
        <v>72100632</v>
      </c>
      <c r="D13527">
        <v>89301282</v>
      </c>
      <c r="E13527" t="str">
        <f>"0110266167"</f>
        <v>0110266167</v>
      </c>
      <c r="F13527" s="1">
        <v>45093</v>
      </c>
      <c r="G13527" t="str">
        <f>"94331"</f>
        <v>94331</v>
      </c>
      <c r="H13527">
        <v>1</v>
      </c>
      <c r="I13527">
        <v>7866</v>
      </c>
      <c r="J13527">
        <v>0</v>
      </c>
      <c r="K13527" t="str">
        <f t="shared" si="2442"/>
        <v>816</v>
      </c>
      <c r="L13527">
        <v>7079.4</v>
      </c>
    </row>
    <row r="13528" spans="1:12" x14ac:dyDescent="0.25">
      <c r="A13528" t="str">
        <f t="shared" si="2435"/>
        <v>89301000</v>
      </c>
      <c r="B13528" t="str">
        <f t="shared" si="2440"/>
        <v>72100000</v>
      </c>
      <c r="C13528" t="str">
        <f t="shared" si="2441"/>
        <v>72100632</v>
      </c>
      <c r="D13528">
        <v>89301092</v>
      </c>
      <c r="E13528" t="str">
        <f>"2308270217"</f>
        <v>2308270217</v>
      </c>
      <c r="F13528" s="1">
        <v>45170</v>
      </c>
      <c r="G13528" t="str">
        <f t="shared" ref="G13528:G13564" si="2443">"94297"</f>
        <v>94297</v>
      </c>
      <c r="H13528">
        <v>1</v>
      </c>
      <c r="I13528">
        <v>304</v>
      </c>
      <c r="J13528">
        <v>0</v>
      </c>
      <c r="K13528" t="str">
        <f t="shared" si="2442"/>
        <v>816</v>
      </c>
      <c r="L13528">
        <v>304</v>
      </c>
    </row>
    <row r="13529" spans="1:12" x14ac:dyDescent="0.25">
      <c r="A13529" t="str">
        <f t="shared" si="2435"/>
        <v>89301000</v>
      </c>
      <c r="B13529" t="str">
        <f t="shared" si="2440"/>
        <v>72100000</v>
      </c>
      <c r="C13529" t="str">
        <f t="shared" si="2441"/>
        <v>72100632</v>
      </c>
      <c r="D13529">
        <v>89301091</v>
      </c>
      <c r="E13529" t="str">
        <f>"2358270178"</f>
        <v>2358270178</v>
      </c>
      <c r="F13529" s="1">
        <v>45170</v>
      </c>
      <c r="G13529" t="str">
        <f t="shared" si="2443"/>
        <v>94297</v>
      </c>
      <c r="H13529">
        <v>1</v>
      </c>
      <c r="I13529">
        <v>304</v>
      </c>
      <c r="J13529">
        <v>0</v>
      </c>
      <c r="K13529" t="str">
        <f t="shared" si="2442"/>
        <v>816</v>
      </c>
      <c r="L13529">
        <v>304</v>
      </c>
    </row>
    <row r="13530" spans="1:12" x14ac:dyDescent="0.25">
      <c r="A13530" t="str">
        <f t="shared" si="2435"/>
        <v>89301000</v>
      </c>
      <c r="B13530" t="str">
        <f t="shared" si="2440"/>
        <v>72100000</v>
      </c>
      <c r="C13530" t="str">
        <f t="shared" si="2441"/>
        <v>72100632</v>
      </c>
      <c r="D13530">
        <v>89301091</v>
      </c>
      <c r="E13530" t="str">
        <f>"2308270250"</f>
        <v>2308270250</v>
      </c>
      <c r="F13530" s="1">
        <v>45170</v>
      </c>
      <c r="G13530" t="str">
        <f t="shared" si="2443"/>
        <v>94297</v>
      </c>
      <c r="H13530">
        <v>1</v>
      </c>
      <c r="I13530">
        <v>304</v>
      </c>
      <c r="J13530">
        <v>0</v>
      </c>
      <c r="K13530" t="str">
        <f t="shared" si="2442"/>
        <v>816</v>
      </c>
      <c r="L13530">
        <v>304</v>
      </c>
    </row>
    <row r="13531" spans="1:12" x14ac:dyDescent="0.25">
      <c r="A13531" t="str">
        <f t="shared" si="2435"/>
        <v>89301000</v>
      </c>
      <c r="B13531" t="str">
        <f t="shared" si="2440"/>
        <v>72100000</v>
      </c>
      <c r="C13531" t="str">
        <f t="shared" si="2441"/>
        <v>72100632</v>
      </c>
      <c r="D13531">
        <v>89301091</v>
      </c>
      <c r="E13531" t="str">
        <f>"2358270189"</f>
        <v>2358270189</v>
      </c>
      <c r="F13531" s="1">
        <v>45173</v>
      </c>
      <c r="G13531" t="str">
        <f t="shared" si="2443"/>
        <v>94297</v>
      </c>
      <c r="H13531">
        <v>1</v>
      </c>
      <c r="I13531">
        <v>304</v>
      </c>
      <c r="J13531">
        <v>0</v>
      </c>
      <c r="K13531" t="str">
        <f t="shared" si="2442"/>
        <v>816</v>
      </c>
      <c r="L13531">
        <v>304</v>
      </c>
    </row>
    <row r="13532" spans="1:12" x14ac:dyDescent="0.25">
      <c r="A13532" t="str">
        <f t="shared" si="2435"/>
        <v>89301000</v>
      </c>
      <c r="B13532" t="str">
        <f t="shared" si="2440"/>
        <v>72100000</v>
      </c>
      <c r="C13532" t="str">
        <f t="shared" si="2441"/>
        <v>72100632</v>
      </c>
      <c r="D13532">
        <v>89301091</v>
      </c>
      <c r="E13532" t="str">
        <f>"8262272579"</f>
        <v>8262272579</v>
      </c>
      <c r="F13532" s="1">
        <v>45173</v>
      </c>
      <c r="G13532" t="str">
        <f t="shared" si="2443"/>
        <v>94297</v>
      </c>
      <c r="H13532">
        <v>1</v>
      </c>
      <c r="I13532">
        <v>304</v>
      </c>
      <c r="J13532">
        <v>0</v>
      </c>
      <c r="K13532" t="str">
        <f t="shared" si="2442"/>
        <v>816</v>
      </c>
      <c r="L13532">
        <v>304</v>
      </c>
    </row>
    <row r="13533" spans="1:12" x14ac:dyDescent="0.25">
      <c r="A13533" t="str">
        <f t="shared" si="2435"/>
        <v>89301000</v>
      </c>
      <c r="B13533" t="str">
        <f t="shared" si="2440"/>
        <v>72100000</v>
      </c>
      <c r="C13533" t="str">
        <f t="shared" si="2441"/>
        <v>72100632</v>
      </c>
      <c r="D13533">
        <v>89301091</v>
      </c>
      <c r="E13533" t="str">
        <f>"9060155753"</f>
        <v>9060155753</v>
      </c>
      <c r="F13533" s="1">
        <v>45175</v>
      </c>
      <c r="G13533" t="str">
        <f t="shared" si="2443"/>
        <v>94297</v>
      </c>
      <c r="H13533">
        <v>1</v>
      </c>
      <c r="I13533">
        <v>304</v>
      </c>
      <c r="J13533">
        <v>0</v>
      </c>
      <c r="K13533" t="str">
        <f t="shared" si="2442"/>
        <v>816</v>
      </c>
      <c r="L13533">
        <v>304</v>
      </c>
    </row>
    <row r="13534" spans="1:12" x14ac:dyDescent="0.25">
      <c r="A13534" t="str">
        <f t="shared" si="2435"/>
        <v>89301000</v>
      </c>
      <c r="B13534" t="str">
        <f t="shared" si="2440"/>
        <v>72100000</v>
      </c>
      <c r="C13534" t="str">
        <f t="shared" si="2441"/>
        <v>72100632</v>
      </c>
      <c r="D13534">
        <v>89301091</v>
      </c>
      <c r="E13534" t="str">
        <f>"2358310735"</f>
        <v>2358310735</v>
      </c>
      <c r="F13534" s="1">
        <v>45175</v>
      </c>
      <c r="G13534" t="str">
        <f t="shared" si="2443"/>
        <v>94297</v>
      </c>
      <c r="H13534">
        <v>1</v>
      </c>
      <c r="I13534">
        <v>304</v>
      </c>
      <c r="J13534">
        <v>0</v>
      </c>
      <c r="K13534" t="str">
        <f t="shared" si="2442"/>
        <v>816</v>
      </c>
      <c r="L13534">
        <v>304</v>
      </c>
    </row>
    <row r="13535" spans="1:12" x14ac:dyDescent="0.25">
      <c r="A13535" t="str">
        <f t="shared" si="2435"/>
        <v>89301000</v>
      </c>
      <c r="B13535" t="str">
        <f t="shared" si="2440"/>
        <v>72100000</v>
      </c>
      <c r="C13535" t="str">
        <f t="shared" si="2441"/>
        <v>72100632</v>
      </c>
      <c r="D13535">
        <v>89301091</v>
      </c>
      <c r="E13535" t="str">
        <f>"8862041595"</f>
        <v>8862041595</v>
      </c>
      <c r="F13535" s="1">
        <v>45175</v>
      </c>
      <c r="G13535" t="str">
        <f t="shared" si="2443"/>
        <v>94297</v>
      </c>
      <c r="H13535">
        <v>1</v>
      </c>
      <c r="I13535">
        <v>304</v>
      </c>
      <c r="J13535">
        <v>0</v>
      </c>
      <c r="K13535" t="str">
        <f t="shared" si="2442"/>
        <v>816</v>
      </c>
      <c r="L13535">
        <v>304</v>
      </c>
    </row>
    <row r="13536" spans="1:12" x14ac:dyDescent="0.25">
      <c r="A13536" t="str">
        <f t="shared" si="2435"/>
        <v>89301000</v>
      </c>
      <c r="B13536" t="str">
        <f t="shared" si="2440"/>
        <v>72100000</v>
      </c>
      <c r="C13536" t="str">
        <f t="shared" si="2441"/>
        <v>72100632</v>
      </c>
      <c r="D13536">
        <v>89301091</v>
      </c>
      <c r="E13536" t="str">
        <f>"2309030284"</f>
        <v>2309030284</v>
      </c>
      <c r="F13536" s="1">
        <v>45177</v>
      </c>
      <c r="G13536" t="str">
        <f t="shared" si="2443"/>
        <v>94297</v>
      </c>
      <c r="H13536">
        <v>1</v>
      </c>
      <c r="I13536">
        <v>304</v>
      </c>
      <c r="J13536">
        <v>0</v>
      </c>
      <c r="K13536" t="str">
        <f t="shared" si="2442"/>
        <v>816</v>
      </c>
      <c r="L13536">
        <v>304</v>
      </c>
    </row>
    <row r="13537" spans="1:12" x14ac:dyDescent="0.25">
      <c r="A13537" t="str">
        <f t="shared" si="2435"/>
        <v>89301000</v>
      </c>
      <c r="B13537" t="str">
        <f t="shared" si="2440"/>
        <v>72100000</v>
      </c>
      <c r="C13537" t="str">
        <f t="shared" si="2441"/>
        <v>72100632</v>
      </c>
      <c r="D13537">
        <v>89301091</v>
      </c>
      <c r="E13537" t="str">
        <f>"2309030317"</f>
        <v>2309030317</v>
      </c>
      <c r="F13537" s="1">
        <v>45177</v>
      </c>
      <c r="G13537" t="str">
        <f t="shared" si="2443"/>
        <v>94297</v>
      </c>
      <c r="H13537">
        <v>1</v>
      </c>
      <c r="I13537">
        <v>304</v>
      </c>
      <c r="J13537">
        <v>0</v>
      </c>
      <c r="K13537" t="str">
        <f t="shared" si="2442"/>
        <v>816</v>
      </c>
      <c r="L13537">
        <v>304</v>
      </c>
    </row>
    <row r="13538" spans="1:12" x14ac:dyDescent="0.25">
      <c r="A13538" t="str">
        <f t="shared" si="2435"/>
        <v>89301000</v>
      </c>
      <c r="B13538" t="str">
        <f t="shared" si="2440"/>
        <v>72100000</v>
      </c>
      <c r="C13538" t="str">
        <f t="shared" si="2441"/>
        <v>72100632</v>
      </c>
      <c r="D13538">
        <v>89301091</v>
      </c>
      <c r="E13538" t="str">
        <f>"2359040486"</f>
        <v>2359040486</v>
      </c>
      <c r="F13538" s="1">
        <v>45180</v>
      </c>
      <c r="G13538" t="str">
        <f t="shared" si="2443"/>
        <v>94297</v>
      </c>
      <c r="H13538">
        <v>1</v>
      </c>
      <c r="I13538">
        <v>304</v>
      </c>
      <c r="J13538">
        <v>0</v>
      </c>
      <c r="K13538" t="str">
        <f t="shared" si="2442"/>
        <v>816</v>
      </c>
      <c r="L13538">
        <v>304</v>
      </c>
    </row>
    <row r="13539" spans="1:12" x14ac:dyDescent="0.25">
      <c r="A13539" t="str">
        <f t="shared" si="2435"/>
        <v>89301000</v>
      </c>
      <c r="B13539" t="str">
        <f t="shared" si="2440"/>
        <v>72100000</v>
      </c>
      <c r="C13539" t="str">
        <f t="shared" si="2441"/>
        <v>72100632</v>
      </c>
      <c r="D13539">
        <v>89301091</v>
      </c>
      <c r="E13539" t="str">
        <f>"2359040497"</f>
        <v>2359040497</v>
      </c>
      <c r="F13539" s="1">
        <v>45180</v>
      </c>
      <c r="G13539" t="str">
        <f t="shared" si="2443"/>
        <v>94297</v>
      </c>
      <c r="H13539">
        <v>1</v>
      </c>
      <c r="I13539">
        <v>304</v>
      </c>
      <c r="J13539">
        <v>0</v>
      </c>
      <c r="K13539" t="str">
        <f t="shared" si="2442"/>
        <v>816</v>
      </c>
      <c r="L13539">
        <v>304</v>
      </c>
    </row>
    <row r="13540" spans="1:12" x14ac:dyDescent="0.25">
      <c r="A13540" t="str">
        <f t="shared" si="2435"/>
        <v>89301000</v>
      </c>
      <c r="B13540" t="str">
        <f t="shared" si="2440"/>
        <v>72100000</v>
      </c>
      <c r="C13540" t="str">
        <f t="shared" si="2441"/>
        <v>72100632</v>
      </c>
      <c r="D13540">
        <v>89301091</v>
      </c>
      <c r="E13540" t="str">
        <f>"2359050232"</f>
        <v>2359050232</v>
      </c>
      <c r="F13540" s="1">
        <v>45181</v>
      </c>
      <c r="G13540" t="str">
        <f t="shared" si="2443"/>
        <v>94297</v>
      </c>
      <c r="H13540">
        <v>1</v>
      </c>
      <c r="I13540">
        <v>304</v>
      </c>
      <c r="J13540">
        <v>0</v>
      </c>
      <c r="K13540" t="str">
        <f t="shared" si="2442"/>
        <v>816</v>
      </c>
      <c r="L13540">
        <v>304</v>
      </c>
    </row>
    <row r="13541" spans="1:12" x14ac:dyDescent="0.25">
      <c r="A13541" t="str">
        <f t="shared" si="2435"/>
        <v>89301000</v>
      </c>
      <c r="B13541" t="str">
        <f t="shared" si="2440"/>
        <v>72100000</v>
      </c>
      <c r="C13541" t="str">
        <f t="shared" si="2441"/>
        <v>72100632</v>
      </c>
      <c r="D13541">
        <v>89301091</v>
      </c>
      <c r="E13541" t="str">
        <f>"2309050436"</f>
        <v>2309050436</v>
      </c>
      <c r="F13541" s="1">
        <v>45181</v>
      </c>
      <c r="G13541" t="str">
        <f t="shared" si="2443"/>
        <v>94297</v>
      </c>
      <c r="H13541">
        <v>1</v>
      </c>
      <c r="I13541">
        <v>304</v>
      </c>
      <c r="J13541">
        <v>0</v>
      </c>
      <c r="K13541" t="str">
        <f t="shared" si="2442"/>
        <v>816</v>
      </c>
      <c r="L13541">
        <v>304</v>
      </c>
    </row>
    <row r="13542" spans="1:12" x14ac:dyDescent="0.25">
      <c r="A13542" t="str">
        <f t="shared" si="2435"/>
        <v>89301000</v>
      </c>
      <c r="B13542" t="str">
        <f t="shared" si="2440"/>
        <v>72100000</v>
      </c>
      <c r="C13542" t="str">
        <f t="shared" si="2441"/>
        <v>72100632</v>
      </c>
      <c r="D13542">
        <v>89301091</v>
      </c>
      <c r="E13542" t="str">
        <f>"9152255717"</f>
        <v>9152255717</v>
      </c>
      <c r="F13542" s="1">
        <v>45183</v>
      </c>
      <c r="G13542" t="str">
        <f t="shared" si="2443"/>
        <v>94297</v>
      </c>
      <c r="H13542">
        <v>1</v>
      </c>
      <c r="I13542">
        <v>304</v>
      </c>
      <c r="J13542">
        <v>0</v>
      </c>
      <c r="K13542" t="str">
        <f t="shared" si="2442"/>
        <v>816</v>
      </c>
      <c r="L13542">
        <v>304</v>
      </c>
    </row>
    <row r="13543" spans="1:12" x14ac:dyDescent="0.25">
      <c r="A13543" t="str">
        <f t="shared" si="2435"/>
        <v>89301000</v>
      </c>
      <c r="B13543" t="str">
        <f t="shared" si="2440"/>
        <v>72100000</v>
      </c>
      <c r="C13543" t="str">
        <f t="shared" si="2441"/>
        <v>72100632</v>
      </c>
      <c r="D13543">
        <v>89301091</v>
      </c>
      <c r="E13543" t="str">
        <f>"9857266067"</f>
        <v>9857266067</v>
      </c>
      <c r="F13543" s="1">
        <v>45183</v>
      </c>
      <c r="G13543" t="str">
        <f t="shared" si="2443"/>
        <v>94297</v>
      </c>
      <c r="H13543">
        <v>1</v>
      </c>
      <c r="I13543">
        <v>304</v>
      </c>
      <c r="J13543">
        <v>0</v>
      </c>
      <c r="K13543" t="str">
        <f t="shared" si="2442"/>
        <v>816</v>
      </c>
      <c r="L13543">
        <v>304</v>
      </c>
    </row>
    <row r="13544" spans="1:12" x14ac:dyDescent="0.25">
      <c r="A13544" t="str">
        <f t="shared" si="2435"/>
        <v>89301000</v>
      </c>
      <c r="B13544" t="str">
        <f t="shared" si="2440"/>
        <v>72100000</v>
      </c>
      <c r="C13544" t="str">
        <f t="shared" si="2441"/>
        <v>72100632</v>
      </c>
      <c r="D13544">
        <v>89301091</v>
      </c>
      <c r="E13544" t="str">
        <f>"8857255825"</f>
        <v>8857255825</v>
      </c>
      <c r="F13544" s="1">
        <v>45183</v>
      </c>
      <c r="G13544" t="str">
        <f t="shared" si="2443"/>
        <v>94297</v>
      </c>
      <c r="H13544">
        <v>1</v>
      </c>
      <c r="I13544">
        <v>304</v>
      </c>
      <c r="J13544">
        <v>0</v>
      </c>
      <c r="K13544" t="str">
        <f t="shared" si="2442"/>
        <v>816</v>
      </c>
      <c r="L13544">
        <v>304</v>
      </c>
    </row>
    <row r="13545" spans="1:12" x14ac:dyDescent="0.25">
      <c r="A13545" t="str">
        <f t="shared" si="2435"/>
        <v>89301000</v>
      </c>
      <c r="B13545" t="str">
        <f t="shared" si="2440"/>
        <v>72100000</v>
      </c>
      <c r="C13545" t="str">
        <f t="shared" si="2441"/>
        <v>72100632</v>
      </c>
      <c r="D13545">
        <v>89301091</v>
      </c>
      <c r="E13545" t="str">
        <f>"9561025914"</f>
        <v>9561025914</v>
      </c>
      <c r="F13545" s="1">
        <v>45183</v>
      </c>
      <c r="G13545" t="str">
        <f t="shared" si="2443"/>
        <v>94297</v>
      </c>
      <c r="H13545">
        <v>1</v>
      </c>
      <c r="I13545">
        <v>304</v>
      </c>
      <c r="J13545">
        <v>0</v>
      </c>
      <c r="K13545" t="str">
        <f t="shared" si="2442"/>
        <v>816</v>
      </c>
      <c r="L13545">
        <v>304</v>
      </c>
    </row>
    <row r="13546" spans="1:12" x14ac:dyDescent="0.25">
      <c r="A13546" t="str">
        <f t="shared" si="2435"/>
        <v>89301000</v>
      </c>
      <c r="B13546" t="str">
        <f t="shared" si="2440"/>
        <v>72100000</v>
      </c>
      <c r="C13546" t="str">
        <f t="shared" si="2441"/>
        <v>72100632</v>
      </c>
      <c r="D13546">
        <v>89301091</v>
      </c>
      <c r="E13546" t="str">
        <f>"9253094851"</f>
        <v>9253094851</v>
      </c>
      <c r="F13546" s="1">
        <v>45187</v>
      </c>
      <c r="G13546" t="str">
        <f t="shared" si="2443"/>
        <v>94297</v>
      </c>
      <c r="H13546">
        <v>1</v>
      </c>
      <c r="I13546">
        <v>304</v>
      </c>
      <c r="J13546">
        <v>0</v>
      </c>
      <c r="K13546" t="str">
        <f t="shared" si="2442"/>
        <v>816</v>
      </c>
      <c r="L13546">
        <v>304</v>
      </c>
    </row>
    <row r="13547" spans="1:12" x14ac:dyDescent="0.25">
      <c r="A13547" t="str">
        <f t="shared" si="2435"/>
        <v>89301000</v>
      </c>
      <c r="B13547" t="str">
        <f t="shared" si="2440"/>
        <v>72100000</v>
      </c>
      <c r="C13547" t="str">
        <f t="shared" si="2441"/>
        <v>72100632</v>
      </c>
      <c r="D13547">
        <v>89301091</v>
      </c>
      <c r="E13547" t="str">
        <f>"8953256147"</f>
        <v>8953256147</v>
      </c>
      <c r="F13547" s="1">
        <v>45187</v>
      </c>
      <c r="G13547" t="str">
        <f t="shared" si="2443"/>
        <v>94297</v>
      </c>
      <c r="H13547">
        <v>1</v>
      </c>
      <c r="I13547">
        <v>304</v>
      </c>
      <c r="J13547">
        <v>0</v>
      </c>
      <c r="K13547" t="str">
        <f t="shared" si="2442"/>
        <v>816</v>
      </c>
      <c r="L13547">
        <v>304</v>
      </c>
    </row>
    <row r="13548" spans="1:12" x14ac:dyDescent="0.25">
      <c r="A13548" t="str">
        <f t="shared" si="2435"/>
        <v>89301000</v>
      </c>
      <c r="B13548" t="str">
        <f t="shared" si="2440"/>
        <v>72100000</v>
      </c>
      <c r="C13548" t="str">
        <f t="shared" si="2441"/>
        <v>72100632</v>
      </c>
      <c r="D13548">
        <v>89301091</v>
      </c>
      <c r="E13548" t="str">
        <f>"8758016223"</f>
        <v>8758016223</v>
      </c>
      <c r="F13548" s="1">
        <v>45188</v>
      </c>
      <c r="G13548" t="str">
        <f t="shared" si="2443"/>
        <v>94297</v>
      </c>
      <c r="H13548">
        <v>1</v>
      </c>
      <c r="I13548">
        <v>304</v>
      </c>
      <c r="J13548">
        <v>0</v>
      </c>
      <c r="K13548" t="str">
        <f t="shared" si="2442"/>
        <v>816</v>
      </c>
      <c r="L13548">
        <v>304</v>
      </c>
    </row>
    <row r="13549" spans="1:12" x14ac:dyDescent="0.25">
      <c r="A13549" t="str">
        <f t="shared" si="2435"/>
        <v>89301000</v>
      </c>
      <c r="B13549" t="str">
        <f t="shared" si="2440"/>
        <v>72100000</v>
      </c>
      <c r="C13549" t="str">
        <f t="shared" si="2441"/>
        <v>72100632</v>
      </c>
      <c r="D13549">
        <v>89301091</v>
      </c>
      <c r="E13549" t="str">
        <f>"8855144914"</f>
        <v>8855144914</v>
      </c>
      <c r="F13549" s="1">
        <v>45189</v>
      </c>
      <c r="G13549" t="str">
        <f t="shared" si="2443"/>
        <v>94297</v>
      </c>
      <c r="H13549">
        <v>1</v>
      </c>
      <c r="I13549">
        <v>304</v>
      </c>
      <c r="J13549">
        <v>0</v>
      </c>
      <c r="K13549" t="str">
        <f t="shared" si="2442"/>
        <v>816</v>
      </c>
      <c r="L13549">
        <v>304</v>
      </c>
    </row>
    <row r="13550" spans="1:12" x14ac:dyDescent="0.25">
      <c r="A13550" t="str">
        <f t="shared" si="2435"/>
        <v>89301000</v>
      </c>
      <c r="B13550" t="str">
        <f t="shared" si="2440"/>
        <v>72100000</v>
      </c>
      <c r="C13550" t="str">
        <f t="shared" si="2441"/>
        <v>72100632</v>
      </c>
      <c r="D13550">
        <v>89301091</v>
      </c>
      <c r="E13550" t="str">
        <f>"8753194912"</f>
        <v>8753194912</v>
      </c>
      <c r="F13550" s="1">
        <v>45189</v>
      </c>
      <c r="G13550" t="str">
        <f t="shared" si="2443"/>
        <v>94297</v>
      </c>
      <c r="H13550">
        <v>1</v>
      </c>
      <c r="I13550">
        <v>304</v>
      </c>
      <c r="J13550">
        <v>0</v>
      </c>
      <c r="K13550" t="str">
        <f t="shared" si="2442"/>
        <v>816</v>
      </c>
      <c r="L13550">
        <v>304</v>
      </c>
    </row>
    <row r="13551" spans="1:12" x14ac:dyDescent="0.25">
      <c r="A13551" t="str">
        <f t="shared" si="2435"/>
        <v>89301000</v>
      </c>
      <c r="B13551" t="str">
        <f t="shared" si="2440"/>
        <v>72100000</v>
      </c>
      <c r="C13551" t="str">
        <f t="shared" si="2441"/>
        <v>72100632</v>
      </c>
      <c r="D13551">
        <v>89301091</v>
      </c>
      <c r="E13551" t="str">
        <f>"9454145734"</f>
        <v>9454145734</v>
      </c>
      <c r="F13551" s="1">
        <v>45189</v>
      </c>
      <c r="G13551" t="str">
        <f t="shared" si="2443"/>
        <v>94297</v>
      </c>
      <c r="H13551">
        <v>1</v>
      </c>
      <c r="I13551">
        <v>304</v>
      </c>
      <c r="J13551">
        <v>0</v>
      </c>
      <c r="K13551" t="str">
        <f t="shared" si="2442"/>
        <v>816</v>
      </c>
      <c r="L13551">
        <v>304</v>
      </c>
    </row>
    <row r="13552" spans="1:12" x14ac:dyDescent="0.25">
      <c r="A13552" t="str">
        <f t="shared" si="2435"/>
        <v>89301000</v>
      </c>
      <c r="B13552" t="str">
        <f t="shared" si="2440"/>
        <v>72100000</v>
      </c>
      <c r="C13552" t="str">
        <f t="shared" si="2441"/>
        <v>72100632</v>
      </c>
      <c r="D13552">
        <v>89301091</v>
      </c>
      <c r="E13552" t="str">
        <f>"9458035730"</f>
        <v>9458035730</v>
      </c>
      <c r="F13552" s="1">
        <v>45189</v>
      </c>
      <c r="G13552" t="str">
        <f t="shared" si="2443"/>
        <v>94297</v>
      </c>
      <c r="H13552">
        <v>1</v>
      </c>
      <c r="I13552">
        <v>304</v>
      </c>
      <c r="J13552">
        <v>0</v>
      </c>
      <c r="K13552" t="str">
        <f t="shared" si="2442"/>
        <v>816</v>
      </c>
      <c r="L13552">
        <v>304</v>
      </c>
    </row>
    <row r="13553" spans="1:12" x14ac:dyDescent="0.25">
      <c r="A13553" t="str">
        <f t="shared" si="2435"/>
        <v>89301000</v>
      </c>
      <c r="B13553" t="str">
        <f t="shared" si="2440"/>
        <v>72100000</v>
      </c>
      <c r="C13553" t="str">
        <f t="shared" si="2441"/>
        <v>72100632</v>
      </c>
      <c r="D13553">
        <v>89301091</v>
      </c>
      <c r="E13553" t="str">
        <f>"9360246159"</f>
        <v>9360246159</v>
      </c>
      <c r="F13553" s="1">
        <v>45189</v>
      </c>
      <c r="G13553" t="str">
        <f t="shared" si="2443"/>
        <v>94297</v>
      </c>
      <c r="H13553">
        <v>1</v>
      </c>
      <c r="I13553">
        <v>304</v>
      </c>
      <c r="J13553">
        <v>0</v>
      </c>
      <c r="K13553" t="str">
        <f t="shared" si="2442"/>
        <v>816</v>
      </c>
      <c r="L13553">
        <v>304</v>
      </c>
    </row>
    <row r="13554" spans="1:12" x14ac:dyDescent="0.25">
      <c r="A13554" t="str">
        <f t="shared" si="2435"/>
        <v>89301000</v>
      </c>
      <c r="B13554" t="str">
        <f t="shared" si="2440"/>
        <v>72100000</v>
      </c>
      <c r="C13554" t="str">
        <f t="shared" si="2441"/>
        <v>72100632</v>
      </c>
      <c r="D13554">
        <v>89301091</v>
      </c>
      <c r="E13554" t="str">
        <f>"8155195367"</f>
        <v>8155195367</v>
      </c>
      <c r="F13554" s="1">
        <v>45189</v>
      </c>
      <c r="G13554" t="str">
        <f t="shared" si="2443"/>
        <v>94297</v>
      </c>
      <c r="H13554">
        <v>1</v>
      </c>
      <c r="I13554">
        <v>304</v>
      </c>
      <c r="J13554">
        <v>0</v>
      </c>
      <c r="K13554" t="str">
        <f t="shared" si="2442"/>
        <v>816</v>
      </c>
      <c r="L13554">
        <v>304</v>
      </c>
    </row>
    <row r="13555" spans="1:12" x14ac:dyDescent="0.25">
      <c r="A13555" t="str">
        <f t="shared" si="2435"/>
        <v>89301000</v>
      </c>
      <c r="B13555" t="str">
        <f t="shared" si="2440"/>
        <v>72100000</v>
      </c>
      <c r="C13555" t="str">
        <f t="shared" si="2441"/>
        <v>72100632</v>
      </c>
      <c r="D13555">
        <v>89301091</v>
      </c>
      <c r="E13555" t="str">
        <f>"8658015817"</f>
        <v>8658015817</v>
      </c>
      <c r="F13555" s="1">
        <v>45190</v>
      </c>
      <c r="G13555" t="str">
        <f t="shared" si="2443"/>
        <v>94297</v>
      </c>
      <c r="H13555">
        <v>1</v>
      </c>
      <c r="I13555">
        <v>304</v>
      </c>
      <c r="J13555">
        <v>0</v>
      </c>
      <c r="K13555" t="str">
        <f t="shared" si="2442"/>
        <v>816</v>
      </c>
      <c r="L13555">
        <v>304</v>
      </c>
    </row>
    <row r="13556" spans="1:12" x14ac:dyDescent="0.25">
      <c r="A13556" t="str">
        <f t="shared" si="2435"/>
        <v>89301000</v>
      </c>
      <c r="B13556" t="str">
        <f t="shared" si="2440"/>
        <v>72100000</v>
      </c>
      <c r="C13556" t="str">
        <f t="shared" si="2441"/>
        <v>72100632</v>
      </c>
      <c r="D13556">
        <v>89301091</v>
      </c>
      <c r="E13556" t="str">
        <f>"8654255797"</f>
        <v>8654255797</v>
      </c>
      <c r="F13556" s="1">
        <v>45194</v>
      </c>
      <c r="G13556" t="str">
        <f t="shared" si="2443"/>
        <v>94297</v>
      </c>
      <c r="H13556">
        <v>1</v>
      </c>
      <c r="I13556">
        <v>304</v>
      </c>
      <c r="J13556">
        <v>0</v>
      </c>
      <c r="K13556" t="str">
        <f t="shared" si="2442"/>
        <v>816</v>
      </c>
      <c r="L13556">
        <v>304</v>
      </c>
    </row>
    <row r="13557" spans="1:12" x14ac:dyDescent="0.25">
      <c r="A13557" t="str">
        <f t="shared" si="2435"/>
        <v>89301000</v>
      </c>
      <c r="B13557" t="str">
        <f t="shared" si="2440"/>
        <v>72100000</v>
      </c>
      <c r="C13557" t="str">
        <f t="shared" si="2441"/>
        <v>72100632</v>
      </c>
      <c r="D13557">
        <v>89301091</v>
      </c>
      <c r="E13557" t="str">
        <f>"0159046151"</f>
        <v>0159046151</v>
      </c>
      <c r="F13557" s="1">
        <v>45195</v>
      </c>
      <c r="G13557" t="str">
        <f t="shared" si="2443"/>
        <v>94297</v>
      </c>
      <c r="H13557">
        <v>1</v>
      </c>
      <c r="I13557">
        <v>304</v>
      </c>
      <c r="J13557">
        <v>0</v>
      </c>
      <c r="K13557" t="str">
        <f t="shared" si="2442"/>
        <v>816</v>
      </c>
      <c r="L13557">
        <v>304</v>
      </c>
    </row>
    <row r="13558" spans="1:12" x14ac:dyDescent="0.25">
      <c r="A13558" t="str">
        <f t="shared" si="2435"/>
        <v>89301000</v>
      </c>
      <c r="B13558" t="str">
        <f t="shared" ref="B13558:B13587" si="2444">"72100000"</f>
        <v>72100000</v>
      </c>
      <c r="C13558" t="str">
        <f t="shared" si="2441"/>
        <v>72100632</v>
      </c>
      <c r="D13558">
        <v>89301091</v>
      </c>
      <c r="E13558" t="str">
        <f>"9057226178"</f>
        <v>9057226178</v>
      </c>
      <c r="F13558" s="1">
        <v>45196</v>
      </c>
      <c r="G13558" t="str">
        <f t="shared" si="2443"/>
        <v>94297</v>
      </c>
      <c r="H13558">
        <v>1</v>
      </c>
      <c r="I13558">
        <v>304</v>
      </c>
      <c r="J13558">
        <v>0</v>
      </c>
      <c r="K13558" t="str">
        <f t="shared" si="2442"/>
        <v>816</v>
      </c>
      <c r="L13558">
        <v>304</v>
      </c>
    </row>
    <row r="13559" spans="1:12" x14ac:dyDescent="0.25">
      <c r="A13559" t="str">
        <f t="shared" si="2435"/>
        <v>89301000</v>
      </c>
      <c r="B13559" t="str">
        <f t="shared" si="2444"/>
        <v>72100000</v>
      </c>
      <c r="C13559" t="str">
        <f t="shared" si="2441"/>
        <v>72100632</v>
      </c>
      <c r="D13559">
        <v>89301091</v>
      </c>
      <c r="E13559" t="str">
        <f>"9554016164"</f>
        <v>9554016164</v>
      </c>
      <c r="F13559" s="1">
        <v>45196</v>
      </c>
      <c r="G13559" t="str">
        <f t="shared" si="2443"/>
        <v>94297</v>
      </c>
      <c r="H13559">
        <v>1</v>
      </c>
      <c r="I13559">
        <v>304</v>
      </c>
      <c r="J13559">
        <v>0</v>
      </c>
      <c r="K13559" t="str">
        <f t="shared" si="2442"/>
        <v>816</v>
      </c>
      <c r="L13559">
        <v>304</v>
      </c>
    </row>
    <row r="13560" spans="1:12" x14ac:dyDescent="0.25">
      <c r="A13560" t="str">
        <f t="shared" si="2435"/>
        <v>89301000</v>
      </c>
      <c r="B13560" t="str">
        <f t="shared" si="2444"/>
        <v>72100000</v>
      </c>
      <c r="C13560" t="str">
        <f t="shared" si="2441"/>
        <v>72100632</v>
      </c>
      <c r="D13560">
        <v>89301091</v>
      </c>
      <c r="E13560" t="str">
        <f>"9554016164"</f>
        <v>9554016164</v>
      </c>
      <c r="F13560" s="1">
        <v>45196</v>
      </c>
      <c r="G13560" t="str">
        <f t="shared" si="2443"/>
        <v>94297</v>
      </c>
      <c r="H13560">
        <v>1</v>
      </c>
      <c r="I13560">
        <v>304</v>
      </c>
      <c r="J13560">
        <v>0</v>
      </c>
      <c r="K13560" t="str">
        <f t="shared" si="2442"/>
        <v>816</v>
      </c>
      <c r="L13560">
        <v>304</v>
      </c>
    </row>
    <row r="13561" spans="1:12" x14ac:dyDescent="0.25">
      <c r="A13561" t="str">
        <f t="shared" si="2435"/>
        <v>89301000</v>
      </c>
      <c r="B13561" t="str">
        <f t="shared" si="2444"/>
        <v>72100000</v>
      </c>
      <c r="C13561" t="str">
        <f t="shared" si="2441"/>
        <v>72100632</v>
      </c>
      <c r="D13561">
        <v>89301091</v>
      </c>
      <c r="E13561" t="str">
        <f>"9855194844"</f>
        <v>9855194844</v>
      </c>
      <c r="F13561" s="1">
        <v>45196</v>
      </c>
      <c r="G13561" t="str">
        <f t="shared" si="2443"/>
        <v>94297</v>
      </c>
      <c r="H13561">
        <v>1</v>
      </c>
      <c r="I13561">
        <v>304</v>
      </c>
      <c r="J13561">
        <v>0</v>
      </c>
      <c r="K13561" t="str">
        <f t="shared" si="2442"/>
        <v>816</v>
      </c>
      <c r="L13561">
        <v>304</v>
      </c>
    </row>
    <row r="13562" spans="1:12" x14ac:dyDescent="0.25">
      <c r="A13562" t="str">
        <f t="shared" si="2435"/>
        <v>89301000</v>
      </c>
      <c r="B13562" t="str">
        <f t="shared" si="2444"/>
        <v>72100000</v>
      </c>
      <c r="C13562" t="str">
        <f t="shared" si="2441"/>
        <v>72100632</v>
      </c>
      <c r="D13562">
        <v>89301091</v>
      </c>
      <c r="E13562" t="str">
        <f>"9262055704"</f>
        <v>9262055704</v>
      </c>
      <c r="F13562" s="1">
        <v>45196</v>
      </c>
      <c r="G13562" t="str">
        <f t="shared" si="2443"/>
        <v>94297</v>
      </c>
      <c r="H13562">
        <v>1</v>
      </c>
      <c r="I13562">
        <v>304</v>
      </c>
      <c r="J13562">
        <v>0</v>
      </c>
      <c r="K13562" t="str">
        <f t="shared" si="2442"/>
        <v>816</v>
      </c>
      <c r="L13562">
        <v>304</v>
      </c>
    </row>
    <row r="13563" spans="1:12" x14ac:dyDescent="0.25">
      <c r="A13563" t="str">
        <f t="shared" si="2435"/>
        <v>89301000</v>
      </c>
      <c r="B13563" t="str">
        <f t="shared" si="2444"/>
        <v>72100000</v>
      </c>
      <c r="C13563" t="str">
        <f t="shared" si="2441"/>
        <v>72100632</v>
      </c>
      <c r="D13563">
        <v>89301091</v>
      </c>
      <c r="E13563" t="str">
        <f>"0052056103"</f>
        <v>0052056103</v>
      </c>
      <c r="F13563" s="1">
        <v>45196</v>
      </c>
      <c r="G13563" t="str">
        <f t="shared" si="2443"/>
        <v>94297</v>
      </c>
      <c r="H13563">
        <v>1</v>
      </c>
      <c r="I13563">
        <v>304</v>
      </c>
      <c r="J13563">
        <v>0</v>
      </c>
      <c r="K13563" t="str">
        <f t="shared" si="2442"/>
        <v>816</v>
      </c>
      <c r="L13563">
        <v>304</v>
      </c>
    </row>
    <row r="13564" spans="1:12" x14ac:dyDescent="0.25">
      <c r="A13564" t="str">
        <f t="shared" si="2435"/>
        <v>89301000</v>
      </c>
      <c r="B13564" t="str">
        <f t="shared" si="2444"/>
        <v>72100000</v>
      </c>
      <c r="C13564" t="str">
        <f t="shared" si="2441"/>
        <v>72100632</v>
      </c>
      <c r="D13564">
        <v>89301091</v>
      </c>
      <c r="E13564" t="str">
        <f>"9254025704"</f>
        <v>9254025704</v>
      </c>
      <c r="F13564" s="1">
        <v>45198</v>
      </c>
      <c r="G13564" t="str">
        <f t="shared" si="2443"/>
        <v>94297</v>
      </c>
      <c r="H13564">
        <v>1</v>
      </c>
      <c r="I13564">
        <v>304</v>
      </c>
      <c r="J13564">
        <v>0</v>
      </c>
      <c r="K13564" t="str">
        <f t="shared" si="2442"/>
        <v>816</v>
      </c>
      <c r="L13564">
        <v>304</v>
      </c>
    </row>
    <row r="13565" spans="1:12" x14ac:dyDescent="0.25">
      <c r="A13565" t="str">
        <f t="shared" si="2435"/>
        <v>89301000</v>
      </c>
      <c r="B13565" t="str">
        <f t="shared" si="2444"/>
        <v>72100000</v>
      </c>
      <c r="C13565" t="str">
        <f>"72100659"</f>
        <v>72100659</v>
      </c>
      <c r="D13565">
        <v>89301109</v>
      </c>
      <c r="E13565" t="str">
        <f>"2109170943"</f>
        <v>2109170943</v>
      </c>
      <c r="F13565" s="1">
        <v>45196</v>
      </c>
      <c r="G13565" t="str">
        <f>"99141"</f>
        <v>99141</v>
      </c>
      <c r="H13565">
        <v>1</v>
      </c>
      <c r="I13565">
        <v>460</v>
      </c>
      <c r="J13565">
        <v>0</v>
      </c>
      <c r="K13565" t="str">
        <f>"801"</f>
        <v>801</v>
      </c>
      <c r="L13565">
        <v>386.4</v>
      </c>
    </row>
    <row r="13566" spans="1:12" x14ac:dyDescent="0.25">
      <c r="A13566" t="str">
        <f t="shared" si="2435"/>
        <v>89301000</v>
      </c>
      <c r="B13566" t="str">
        <f t="shared" si="2444"/>
        <v>72100000</v>
      </c>
      <c r="C13566" t="str">
        <f t="shared" ref="C13566:C13587" si="2445">"72100632"</f>
        <v>72100632</v>
      </c>
      <c r="D13566">
        <v>89301282</v>
      </c>
      <c r="E13566" t="str">
        <f>"1956070358"</f>
        <v>1956070358</v>
      </c>
      <c r="F13566" s="1">
        <v>45145</v>
      </c>
      <c r="G13566" t="str">
        <f>"94983"</f>
        <v>94983</v>
      </c>
      <c r="H13566">
        <v>1</v>
      </c>
      <c r="I13566">
        <v>0</v>
      </c>
      <c r="J13566">
        <v>39600</v>
      </c>
      <c r="K13566" t="str">
        <f t="shared" ref="K13566:K13587" si="2446">"816"</f>
        <v>816</v>
      </c>
      <c r="L13566">
        <v>39600</v>
      </c>
    </row>
    <row r="13567" spans="1:12" x14ac:dyDescent="0.25">
      <c r="A13567" t="str">
        <f t="shared" si="2435"/>
        <v>89301000</v>
      </c>
      <c r="B13567" t="str">
        <f t="shared" si="2444"/>
        <v>72100000</v>
      </c>
      <c r="C13567" t="str">
        <f t="shared" si="2445"/>
        <v>72100632</v>
      </c>
      <c r="D13567">
        <v>89301282</v>
      </c>
      <c r="E13567" t="str">
        <f>"1956070358"</f>
        <v>1956070358</v>
      </c>
      <c r="F13567" s="1">
        <v>45145</v>
      </c>
      <c r="G13567" t="str">
        <f>"94996"</f>
        <v>94996</v>
      </c>
      <c r="H13567">
        <v>1</v>
      </c>
      <c r="I13567">
        <v>0</v>
      </c>
      <c r="J13567">
        <v>0</v>
      </c>
      <c r="K13567" t="str">
        <f t="shared" si="2446"/>
        <v>816</v>
      </c>
      <c r="L13567">
        <v>0</v>
      </c>
    </row>
    <row r="13568" spans="1:12" x14ac:dyDescent="0.25">
      <c r="A13568" t="str">
        <f t="shared" si="2435"/>
        <v>89301000</v>
      </c>
      <c r="B13568" t="str">
        <f t="shared" si="2444"/>
        <v>72100000</v>
      </c>
      <c r="C13568" t="str">
        <f t="shared" si="2445"/>
        <v>72100632</v>
      </c>
      <c r="D13568">
        <v>89301282</v>
      </c>
      <c r="E13568" t="str">
        <f>"7955105763"</f>
        <v>7955105763</v>
      </c>
      <c r="F13568" s="1">
        <v>45145</v>
      </c>
      <c r="G13568" t="str">
        <f t="shared" ref="G13568:G13573" si="2447">"94221"</f>
        <v>94221</v>
      </c>
      <c r="H13568">
        <v>1</v>
      </c>
      <c r="I13568">
        <v>2467</v>
      </c>
      <c r="J13568">
        <v>0</v>
      </c>
      <c r="K13568" t="str">
        <f t="shared" si="2446"/>
        <v>816</v>
      </c>
      <c r="L13568">
        <v>2220.3000000000002</v>
      </c>
    </row>
    <row r="13569" spans="1:12" x14ac:dyDescent="0.25">
      <c r="A13569" t="str">
        <f t="shared" si="2435"/>
        <v>89301000</v>
      </c>
      <c r="B13569" t="str">
        <f t="shared" si="2444"/>
        <v>72100000</v>
      </c>
      <c r="C13569" t="str">
        <f t="shared" si="2445"/>
        <v>72100632</v>
      </c>
      <c r="D13569">
        <v>89301282</v>
      </c>
      <c r="E13569" t="str">
        <f>"7556295769"</f>
        <v>7556295769</v>
      </c>
      <c r="F13569" s="1">
        <v>45145</v>
      </c>
      <c r="G13569" t="str">
        <f t="shared" si="2447"/>
        <v>94221</v>
      </c>
      <c r="H13569">
        <v>1</v>
      </c>
      <c r="I13569">
        <v>2467</v>
      </c>
      <c r="J13569">
        <v>0</v>
      </c>
      <c r="K13569" t="str">
        <f t="shared" si="2446"/>
        <v>816</v>
      </c>
      <c r="L13569">
        <v>2220.3000000000002</v>
      </c>
    </row>
    <row r="13570" spans="1:12" x14ac:dyDescent="0.25">
      <c r="A13570" t="str">
        <f t="shared" ref="A13570:A13633" si="2448">"89301000"</f>
        <v>89301000</v>
      </c>
      <c r="B13570" t="str">
        <f t="shared" si="2444"/>
        <v>72100000</v>
      </c>
      <c r="C13570" t="str">
        <f t="shared" si="2445"/>
        <v>72100632</v>
      </c>
      <c r="D13570">
        <v>89301282</v>
      </c>
      <c r="E13570" t="str">
        <f>"415820440"</f>
        <v>415820440</v>
      </c>
      <c r="F13570" s="1">
        <v>45166</v>
      </c>
      <c r="G13570" t="str">
        <f t="shared" si="2447"/>
        <v>94221</v>
      </c>
      <c r="H13570">
        <v>1</v>
      </c>
      <c r="I13570">
        <v>2467</v>
      </c>
      <c r="J13570">
        <v>0</v>
      </c>
      <c r="K13570" t="str">
        <f t="shared" si="2446"/>
        <v>816</v>
      </c>
      <c r="L13570">
        <v>2220.3000000000002</v>
      </c>
    </row>
    <row r="13571" spans="1:12" x14ac:dyDescent="0.25">
      <c r="A13571" t="str">
        <f t="shared" si="2448"/>
        <v>89301000</v>
      </c>
      <c r="B13571" t="str">
        <f t="shared" si="2444"/>
        <v>72100000</v>
      </c>
      <c r="C13571" t="str">
        <f t="shared" si="2445"/>
        <v>72100632</v>
      </c>
      <c r="D13571">
        <v>89301282</v>
      </c>
      <c r="E13571" t="str">
        <f>"415820440"</f>
        <v>415820440</v>
      </c>
      <c r="F13571" s="1">
        <v>45166</v>
      </c>
      <c r="G13571" t="str">
        <f t="shared" si="2447"/>
        <v>94221</v>
      </c>
      <c r="H13571">
        <v>1</v>
      </c>
      <c r="I13571">
        <v>2467</v>
      </c>
      <c r="J13571">
        <v>0</v>
      </c>
      <c r="K13571" t="str">
        <f t="shared" si="2446"/>
        <v>816</v>
      </c>
      <c r="L13571">
        <v>2220.3000000000002</v>
      </c>
    </row>
    <row r="13572" spans="1:12" x14ac:dyDescent="0.25">
      <c r="A13572" t="str">
        <f t="shared" si="2448"/>
        <v>89301000</v>
      </c>
      <c r="B13572" t="str">
        <f t="shared" si="2444"/>
        <v>72100000</v>
      </c>
      <c r="C13572" t="str">
        <f t="shared" si="2445"/>
        <v>72100632</v>
      </c>
      <c r="D13572">
        <v>89301282</v>
      </c>
      <c r="E13572" t="str">
        <f>"390516414"</f>
        <v>390516414</v>
      </c>
      <c r="F13572" s="1">
        <v>45166</v>
      </c>
      <c r="G13572" t="str">
        <f t="shared" si="2447"/>
        <v>94221</v>
      </c>
      <c r="H13572">
        <v>1</v>
      </c>
      <c r="I13572">
        <v>2467</v>
      </c>
      <c r="J13572">
        <v>0</v>
      </c>
      <c r="K13572" t="str">
        <f t="shared" si="2446"/>
        <v>816</v>
      </c>
      <c r="L13572">
        <v>2220.3000000000002</v>
      </c>
    </row>
    <row r="13573" spans="1:12" x14ac:dyDescent="0.25">
      <c r="A13573" t="str">
        <f t="shared" si="2448"/>
        <v>89301000</v>
      </c>
      <c r="B13573" t="str">
        <f t="shared" si="2444"/>
        <v>72100000</v>
      </c>
      <c r="C13573" t="str">
        <f t="shared" si="2445"/>
        <v>72100632</v>
      </c>
      <c r="D13573">
        <v>89301282</v>
      </c>
      <c r="E13573" t="str">
        <f>"390516414"</f>
        <v>390516414</v>
      </c>
      <c r="F13573" s="1">
        <v>45166</v>
      </c>
      <c r="G13573" t="str">
        <f t="shared" si="2447"/>
        <v>94221</v>
      </c>
      <c r="H13573">
        <v>1</v>
      </c>
      <c r="I13573">
        <v>2467</v>
      </c>
      <c r="J13573">
        <v>0</v>
      </c>
      <c r="K13573" t="str">
        <f t="shared" si="2446"/>
        <v>816</v>
      </c>
      <c r="L13573">
        <v>2220.3000000000002</v>
      </c>
    </row>
    <row r="13574" spans="1:12" x14ac:dyDescent="0.25">
      <c r="A13574" t="str">
        <f t="shared" si="2448"/>
        <v>89301000</v>
      </c>
      <c r="B13574" t="str">
        <f t="shared" si="2444"/>
        <v>72100000</v>
      </c>
      <c r="C13574" t="str">
        <f t="shared" si="2445"/>
        <v>72100632</v>
      </c>
      <c r="D13574">
        <v>89301091</v>
      </c>
      <c r="E13574" t="str">
        <f>"9462275966"</f>
        <v>9462275966</v>
      </c>
      <c r="F13574" s="1">
        <v>45169</v>
      </c>
      <c r="G13574" t="str">
        <f t="shared" ref="G13574:G13587" si="2449">"94297"</f>
        <v>94297</v>
      </c>
      <c r="H13574">
        <v>1</v>
      </c>
      <c r="I13574">
        <v>304</v>
      </c>
      <c r="J13574">
        <v>0</v>
      </c>
      <c r="K13574" t="str">
        <f t="shared" si="2446"/>
        <v>816</v>
      </c>
      <c r="L13574">
        <v>304</v>
      </c>
    </row>
    <row r="13575" spans="1:12" x14ac:dyDescent="0.25">
      <c r="A13575" t="str">
        <f t="shared" si="2448"/>
        <v>89301000</v>
      </c>
      <c r="B13575" t="str">
        <f t="shared" si="2444"/>
        <v>72100000</v>
      </c>
      <c r="C13575" t="str">
        <f t="shared" si="2445"/>
        <v>72100632</v>
      </c>
      <c r="D13575">
        <v>89301091</v>
      </c>
      <c r="E13575" t="str">
        <f>"9261065385"</f>
        <v>9261065385</v>
      </c>
      <c r="F13575" s="1">
        <v>45169</v>
      </c>
      <c r="G13575" t="str">
        <f t="shared" si="2449"/>
        <v>94297</v>
      </c>
      <c r="H13575">
        <v>1</v>
      </c>
      <c r="I13575">
        <v>304</v>
      </c>
      <c r="J13575">
        <v>0</v>
      </c>
      <c r="K13575" t="str">
        <f t="shared" si="2446"/>
        <v>816</v>
      </c>
      <c r="L13575">
        <v>304</v>
      </c>
    </row>
    <row r="13576" spans="1:12" x14ac:dyDescent="0.25">
      <c r="A13576" t="str">
        <f t="shared" si="2448"/>
        <v>89301000</v>
      </c>
      <c r="B13576" t="str">
        <f t="shared" si="2444"/>
        <v>72100000</v>
      </c>
      <c r="C13576" t="str">
        <f t="shared" si="2445"/>
        <v>72100632</v>
      </c>
      <c r="D13576">
        <v>89301091</v>
      </c>
      <c r="E13576" t="str">
        <f>"9354155701"</f>
        <v>9354155701</v>
      </c>
      <c r="F13576" s="1">
        <v>45201</v>
      </c>
      <c r="G13576" t="str">
        <f t="shared" si="2449"/>
        <v>94297</v>
      </c>
      <c r="H13576">
        <v>1</v>
      </c>
      <c r="I13576">
        <v>304</v>
      </c>
      <c r="J13576">
        <v>0</v>
      </c>
      <c r="K13576" t="str">
        <f t="shared" si="2446"/>
        <v>816</v>
      </c>
      <c r="L13576">
        <v>304</v>
      </c>
    </row>
    <row r="13577" spans="1:12" x14ac:dyDescent="0.25">
      <c r="A13577" t="str">
        <f t="shared" si="2448"/>
        <v>89301000</v>
      </c>
      <c r="B13577" t="str">
        <f t="shared" si="2444"/>
        <v>72100000</v>
      </c>
      <c r="C13577" t="str">
        <f t="shared" si="2445"/>
        <v>72100632</v>
      </c>
      <c r="D13577">
        <v>89301091</v>
      </c>
      <c r="E13577" t="str">
        <f>"9651225573"</f>
        <v>9651225573</v>
      </c>
      <c r="F13577" s="1">
        <v>45202</v>
      </c>
      <c r="G13577" t="str">
        <f t="shared" si="2449"/>
        <v>94297</v>
      </c>
      <c r="H13577">
        <v>1</v>
      </c>
      <c r="I13577">
        <v>304</v>
      </c>
      <c r="J13577">
        <v>0</v>
      </c>
      <c r="K13577" t="str">
        <f t="shared" si="2446"/>
        <v>816</v>
      </c>
      <c r="L13577">
        <v>304</v>
      </c>
    </row>
    <row r="13578" spans="1:12" x14ac:dyDescent="0.25">
      <c r="A13578" t="str">
        <f t="shared" si="2448"/>
        <v>89301000</v>
      </c>
      <c r="B13578" t="str">
        <f t="shared" si="2444"/>
        <v>72100000</v>
      </c>
      <c r="C13578" t="str">
        <f t="shared" si="2445"/>
        <v>72100632</v>
      </c>
      <c r="D13578">
        <v>89301091</v>
      </c>
      <c r="E13578" t="str">
        <f>"9661296161"</f>
        <v>9661296161</v>
      </c>
      <c r="F13578" s="1">
        <v>45203</v>
      </c>
      <c r="G13578" t="str">
        <f t="shared" si="2449"/>
        <v>94297</v>
      </c>
      <c r="H13578">
        <v>1</v>
      </c>
      <c r="I13578">
        <v>304</v>
      </c>
      <c r="J13578">
        <v>0</v>
      </c>
      <c r="K13578" t="str">
        <f t="shared" si="2446"/>
        <v>816</v>
      </c>
      <c r="L13578">
        <v>304</v>
      </c>
    </row>
    <row r="13579" spans="1:12" x14ac:dyDescent="0.25">
      <c r="A13579" t="str">
        <f t="shared" si="2448"/>
        <v>89301000</v>
      </c>
      <c r="B13579" t="str">
        <f t="shared" si="2444"/>
        <v>72100000</v>
      </c>
      <c r="C13579" t="str">
        <f t="shared" si="2445"/>
        <v>72100632</v>
      </c>
      <c r="D13579">
        <v>89301091</v>
      </c>
      <c r="E13579" t="str">
        <f>"9261254310"</f>
        <v>9261254310</v>
      </c>
      <c r="F13579" s="1">
        <v>45203</v>
      </c>
      <c r="G13579" t="str">
        <f t="shared" si="2449"/>
        <v>94297</v>
      </c>
      <c r="H13579">
        <v>1</v>
      </c>
      <c r="I13579">
        <v>304</v>
      </c>
      <c r="J13579">
        <v>0</v>
      </c>
      <c r="K13579" t="str">
        <f t="shared" si="2446"/>
        <v>816</v>
      </c>
      <c r="L13579">
        <v>304</v>
      </c>
    </row>
    <row r="13580" spans="1:12" x14ac:dyDescent="0.25">
      <c r="A13580" t="str">
        <f t="shared" si="2448"/>
        <v>89301000</v>
      </c>
      <c r="B13580" t="str">
        <f t="shared" si="2444"/>
        <v>72100000</v>
      </c>
      <c r="C13580" t="str">
        <f t="shared" si="2445"/>
        <v>72100632</v>
      </c>
      <c r="D13580">
        <v>89301091</v>
      </c>
      <c r="E13580" t="str">
        <f>"8954255640"</f>
        <v>8954255640</v>
      </c>
      <c r="F13580" s="1">
        <v>45203</v>
      </c>
      <c r="G13580" t="str">
        <f t="shared" si="2449"/>
        <v>94297</v>
      </c>
      <c r="H13580">
        <v>1</v>
      </c>
      <c r="I13580">
        <v>304</v>
      </c>
      <c r="J13580">
        <v>0</v>
      </c>
      <c r="K13580" t="str">
        <f t="shared" si="2446"/>
        <v>816</v>
      </c>
      <c r="L13580">
        <v>304</v>
      </c>
    </row>
    <row r="13581" spans="1:12" x14ac:dyDescent="0.25">
      <c r="A13581" t="str">
        <f t="shared" si="2448"/>
        <v>89301000</v>
      </c>
      <c r="B13581" t="str">
        <f t="shared" si="2444"/>
        <v>72100000</v>
      </c>
      <c r="C13581" t="str">
        <f t="shared" si="2445"/>
        <v>72100632</v>
      </c>
      <c r="D13581">
        <v>89301091</v>
      </c>
      <c r="E13581" t="str">
        <f>"9852065707"</f>
        <v>9852065707</v>
      </c>
      <c r="F13581" s="1">
        <v>45205</v>
      </c>
      <c r="G13581" t="str">
        <f t="shared" si="2449"/>
        <v>94297</v>
      </c>
      <c r="H13581">
        <v>1</v>
      </c>
      <c r="I13581">
        <v>304</v>
      </c>
      <c r="J13581">
        <v>0</v>
      </c>
      <c r="K13581" t="str">
        <f t="shared" si="2446"/>
        <v>816</v>
      </c>
      <c r="L13581">
        <v>304</v>
      </c>
    </row>
    <row r="13582" spans="1:12" x14ac:dyDescent="0.25">
      <c r="A13582" t="str">
        <f t="shared" si="2448"/>
        <v>89301000</v>
      </c>
      <c r="B13582" t="str">
        <f t="shared" si="2444"/>
        <v>72100000</v>
      </c>
      <c r="C13582" t="str">
        <f t="shared" si="2445"/>
        <v>72100632</v>
      </c>
      <c r="D13582">
        <v>89301091</v>
      </c>
      <c r="E13582" t="str">
        <f>"8855085767"</f>
        <v>8855085767</v>
      </c>
      <c r="F13582" s="1">
        <v>45208</v>
      </c>
      <c r="G13582" t="str">
        <f t="shared" si="2449"/>
        <v>94297</v>
      </c>
      <c r="H13582">
        <v>1</v>
      </c>
      <c r="I13582">
        <v>304</v>
      </c>
      <c r="J13582">
        <v>0</v>
      </c>
      <c r="K13582" t="str">
        <f t="shared" si="2446"/>
        <v>816</v>
      </c>
      <c r="L13582">
        <v>304</v>
      </c>
    </row>
    <row r="13583" spans="1:12" x14ac:dyDescent="0.25">
      <c r="A13583" t="str">
        <f t="shared" si="2448"/>
        <v>89301000</v>
      </c>
      <c r="B13583" t="str">
        <f t="shared" si="2444"/>
        <v>72100000</v>
      </c>
      <c r="C13583" t="str">
        <f t="shared" si="2445"/>
        <v>72100632</v>
      </c>
      <c r="D13583">
        <v>89301091</v>
      </c>
      <c r="E13583" t="str">
        <f>"9954224841"</f>
        <v>9954224841</v>
      </c>
      <c r="F13583" s="1">
        <v>45208</v>
      </c>
      <c r="G13583" t="str">
        <f t="shared" si="2449"/>
        <v>94297</v>
      </c>
      <c r="H13583">
        <v>1</v>
      </c>
      <c r="I13583">
        <v>304</v>
      </c>
      <c r="J13583">
        <v>0</v>
      </c>
      <c r="K13583" t="str">
        <f t="shared" si="2446"/>
        <v>816</v>
      </c>
      <c r="L13583">
        <v>304</v>
      </c>
    </row>
    <row r="13584" spans="1:12" x14ac:dyDescent="0.25">
      <c r="A13584" t="str">
        <f t="shared" si="2448"/>
        <v>89301000</v>
      </c>
      <c r="B13584" t="str">
        <f t="shared" si="2444"/>
        <v>72100000</v>
      </c>
      <c r="C13584" t="str">
        <f t="shared" si="2445"/>
        <v>72100632</v>
      </c>
      <c r="D13584">
        <v>89301091</v>
      </c>
      <c r="E13584" t="str">
        <f>"9553026153"</f>
        <v>9553026153</v>
      </c>
      <c r="F13584" s="1">
        <v>45210</v>
      </c>
      <c r="G13584" t="str">
        <f t="shared" si="2449"/>
        <v>94297</v>
      </c>
      <c r="H13584">
        <v>1</v>
      </c>
      <c r="I13584">
        <v>304</v>
      </c>
      <c r="J13584">
        <v>0</v>
      </c>
      <c r="K13584" t="str">
        <f t="shared" si="2446"/>
        <v>816</v>
      </c>
      <c r="L13584">
        <v>304</v>
      </c>
    </row>
    <row r="13585" spans="1:12" x14ac:dyDescent="0.25">
      <c r="A13585" t="str">
        <f t="shared" si="2448"/>
        <v>89301000</v>
      </c>
      <c r="B13585" t="str">
        <f t="shared" si="2444"/>
        <v>72100000</v>
      </c>
      <c r="C13585" t="str">
        <f t="shared" si="2445"/>
        <v>72100632</v>
      </c>
      <c r="D13585">
        <v>89301091</v>
      </c>
      <c r="E13585" t="str">
        <f>"0655075278"</f>
        <v>0655075278</v>
      </c>
      <c r="F13585" s="1">
        <v>45210</v>
      </c>
      <c r="G13585" t="str">
        <f t="shared" si="2449"/>
        <v>94297</v>
      </c>
      <c r="H13585">
        <v>1</v>
      </c>
      <c r="I13585">
        <v>304</v>
      </c>
      <c r="J13585">
        <v>0</v>
      </c>
      <c r="K13585" t="str">
        <f t="shared" si="2446"/>
        <v>816</v>
      </c>
      <c r="L13585">
        <v>304</v>
      </c>
    </row>
    <row r="13586" spans="1:12" x14ac:dyDescent="0.25">
      <c r="A13586" t="str">
        <f t="shared" si="2448"/>
        <v>89301000</v>
      </c>
      <c r="B13586" t="str">
        <f t="shared" si="2444"/>
        <v>72100000</v>
      </c>
      <c r="C13586" t="str">
        <f t="shared" si="2445"/>
        <v>72100632</v>
      </c>
      <c r="D13586">
        <v>89301091</v>
      </c>
      <c r="E13586" t="str">
        <f>"8157025437"</f>
        <v>8157025437</v>
      </c>
      <c r="F13586" s="1">
        <v>45210</v>
      </c>
      <c r="G13586" t="str">
        <f t="shared" si="2449"/>
        <v>94297</v>
      </c>
      <c r="H13586">
        <v>1</v>
      </c>
      <c r="I13586">
        <v>304</v>
      </c>
      <c r="J13586">
        <v>0</v>
      </c>
      <c r="K13586" t="str">
        <f t="shared" si="2446"/>
        <v>816</v>
      </c>
      <c r="L13586">
        <v>304</v>
      </c>
    </row>
    <row r="13587" spans="1:12" x14ac:dyDescent="0.25">
      <c r="A13587" t="str">
        <f t="shared" si="2448"/>
        <v>89301000</v>
      </c>
      <c r="B13587" t="str">
        <f t="shared" si="2444"/>
        <v>72100000</v>
      </c>
      <c r="C13587" t="str">
        <f t="shared" si="2445"/>
        <v>72100632</v>
      </c>
      <c r="D13587">
        <v>89301091</v>
      </c>
      <c r="E13587" t="str">
        <f>"9552154458"</f>
        <v>9552154458</v>
      </c>
      <c r="F13587" s="1">
        <v>45211</v>
      </c>
      <c r="G13587" t="str">
        <f t="shared" si="2449"/>
        <v>94297</v>
      </c>
      <c r="H13587">
        <v>1</v>
      </c>
      <c r="I13587">
        <v>304</v>
      </c>
      <c r="J13587">
        <v>0</v>
      </c>
      <c r="K13587" t="str">
        <f t="shared" si="2446"/>
        <v>816</v>
      </c>
      <c r="L13587">
        <v>304</v>
      </c>
    </row>
    <row r="13588" spans="1:12" x14ac:dyDescent="0.25">
      <c r="A13588" t="str">
        <f t="shared" si="2448"/>
        <v>89301000</v>
      </c>
      <c r="B13588" t="str">
        <f>"10002000"</f>
        <v>10002000</v>
      </c>
      <c r="C13588" t="str">
        <f>"10002725"</f>
        <v>10002725</v>
      </c>
      <c r="D13588">
        <v>89301375</v>
      </c>
      <c r="E13588" t="str">
        <f>"9161045740"</f>
        <v>9161045740</v>
      </c>
      <c r="F13588" s="1">
        <v>45188</v>
      </c>
      <c r="G13588" t="str">
        <f>"87217"</f>
        <v>87217</v>
      </c>
      <c r="H13588">
        <v>2</v>
      </c>
      <c r="I13588">
        <v>430</v>
      </c>
      <c r="J13588">
        <v>0</v>
      </c>
      <c r="K13588" t="str">
        <f>"807"</f>
        <v>807</v>
      </c>
      <c r="L13588">
        <v>361.2</v>
      </c>
    </row>
    <row r="13589" spans="1:12" x14ac:dyDescent="0.25">
      <c r="A13589" t="str">
        <f t="shared" si="2448"/>
        <v>89301000</v>
      </c>
      <c r="B13589" t="str">
        <f>"10002000"</f>
        <v>10002000</v>
      </c>
      <c r="C13589" t="str">
        <f>"10002725"</f>
        <v>10002725</v>
      </c>
      <c r="D13589">
        <v>89301375</v>
      </c>
      <c r="E13589" t="str">
        <f>"9161045740"</f>
        <v>9161045740</v>
      </c>
      <c r="F13589" s="1">
        <v>45188</v>
      </c>
      <c r="G13589" t="str">
        <f>"87231"</f>
        <v>87231</v>
      </c>
      <c r="H13589">
        <v>8</v>
      </c>
      <c r="I13589">
        <v>3048</v>
      </c>
      <c r="J13589">
        <v>0</v>
      </c>
      <c r="K13589" t="str">
        <f>"807"</f>
        <v>807</v>
      </c>
      <c r="L13589">
        <v>2560.3200000000002</v>
      </c>
    </row>
    <row r="13590" spans="1:12" x14ac:dyDescent="0.25">
      <c r="A13590" t="str">
        <f t="shared" si="2448"/>
        <v>89301000</v>
      </c>
      <c r="B13590" t="str">
        <f>"10002000"</f>
        <v>10002000</v>
      </c>
      <c r="C13590" t="str">
        <f>"10002725"</f>
        <v>10002725</v>
      </c>
      <c r="D13590">
        <v>89301375</v>
      </c>
      <c r="E13590" t="str">
        <f>"9161045740"</f>
        <v>9161045740</v>
      </c>
      <c r="F13590" s="1">
        <v>45188</v>
      </c>
      <c r="G13590" t="str">
        <f>"87617"</f>
        <v>87617</v>
      </c>
      <c r="H13590">
        <v>1</v>
      </c>
      <c r="I13590">
        <v>3750</v>
      </c>
      <c r="J13590">
        <v>0</v>
      </c>
      <c r="K13590" t="str">
        <f>"807"</f>
        <v>807</v>
      </c>
      <c r="L13590">
        <v>3150</v>
      </c>
    </row>
    <row r="13591" spans="1:12" x14ac:dyDescent="0.25">
      <c r="A13591" t="str">
        <f t="shared" si="2448"/>
        <v>89301000</v>
      </c>
      <c r="B13591" t="str">
        <f>"10002000"</f>
        <v>10002000</v>
      </c>
      <c r="C13591" t="str">
        <f>"10002725"</f>
        <v>10002725</v>
      </c>
      <c r="D13591">
        <v>89301375</v>
      </c>
      <c r="E13591" t="str">
        <f>"9161045740"</f>
        <v>9161045740</v>
      </c>
      <c r="F13591" s="1">
        <v>45189</v>
      </c>
      <c r="G13591" t="str">
        <f>"87231"</f>
        <v>87231</v>
      </c>
      <c r="H13591">
        <v>4</v>
      </c>
      <c r="I13591">
        <v>1524</v>
      </c>
      <c r="J13591">
        <v>0</v>
      </c>
      <c r="K13591" t="str">
        <f>"807"</f>
        <v>807</v>
      </c>
      <c r="L13591">
        <v>1280.1600000000001</v>
      </c>
    </row>
    <row r="13592" spans="1:12" x14ac:dyDescent="0.25">
      <c r="A13592" t="str">
        <f t="shared" si="2448"/>
        <v>89301000</v>
      </c>
      <c r="B13592" t="str">
        <f t="shared" ref="B13592:B13605" si="2450">"91009000"</f>
        <v>91009000</v>
      </c>
      <c r="C13592" t="str">
        <f>"91009581"</f>
        <v>91009581</v>
      </c>
      <c r="D13592">
        <v>89301212</v>
      </c>
      <c r="E13592" t="str">
        <f>"8556125776"</f>
        <v>8556125776</v>
      </c>
      <c r="F13592" s="1">
        <v>45216</v>
      </c>
      <c r="G13592" t="str">
        <f>"97111"</f>
        <v>97111</v>
      </c>
      <c r="H13592">
        <v>1</v>
      </c>
      <c r="I13592">
        <v>19</v>
      </c>
      <c r="J13592">
        <v>0</v>
      </c>
      <c r="K13592" t="str">
        <f>"801"</f>
        <v>801</v>
      </c>
      <c r="L13592">
        <v>23.94</v>
      </c>
    </row>
    <row r="13593" spans="1:12" x14ac:dyDescent="0.25">
      <c r="A13593" t="str">
        <f t="shared" si="2448"/>
        <v>89301000</v>
      </c>
      <c r="B13593" t="str">
        <f t="shared" si="2450"/>
        <v>91009000</v>
      </c>
      <c r="C13593" t="str">
        <f>"91009132"</f>
        <v>91009132</v>
      </c>
      <c r="D13593">
        <v>89301212</v>
      </c>
      <c r="E13593" t="str">
        <f>"8556125776"</f>
        <v>8556125776</v>
      </c>
      <c r="F13593" s="1">
        <v>45216</v>
      </c>
      <c r="G13593" t="str">
        <f>"92157"</f>
        <v>92157</v>
      </c>
      <c r="H13593">
        <v>1</v>
      </c>
      <c r="I13593">
        <v>1778</v>
      </c>
      <c r="J13593">
        <v>0</v>
      </c>
      <c r="K13593" t="str">
        <f>"812"</f>
        <v>812</v>
      </c>
      <c r="L13593">
        <v>1493.52</v>
      </c>
    </row>
    <row r="13594" spans="1:12" x14ac:dyDescent="0.25">
      <c r="A13594" t="str">
        <f t="shared" si="2448"/>
        <v>89301000</v>
      </c>
      <c r="B13594" t="str">
        <f t="shared" si="2450"/>
        <v>91009000</v>
      </c>
      <c r="C13594" t="str">
        <f>"91009132"</f>
        <v>91009132</v>
      </c>
      <c r="D13594">
        <v>89301212</v>
      </c>
      <c r="E13594" t="str">
        <f>"8556125776"</f>
        <v>8556125776</v>
      </c>
      <c r="F13594" s="1">
        <v>45216</v>
      </c>
      <c r="G13594" t="str">
        <f>"99111"</f>
        <v>99111</v>
      </c>
      <c r="H13594">
        <v>1</v>
      </c>
      <c r="I13594">
        <v>213</v>
      </c>
      <c r="J13594">
        <v>0</v>
      </c>
      <c r="K13594" t="str">
        <f>"812"</f>
        <v>812</v>
      </c>
      <c r="L13594">
        <v>178.92</v>
      </c>
    </row>
    <row r="13595" spans="1:12" x14ac:dyDescent="0.25">
      <c r="A13595" t="str">
        <f t="shared" si="2448"/>
        <v>89301000</v>
      </c>
      <c r="B13595" t="str">
        <f t="shared" si="2450"/>
        <v>91009000</v>
      </c>
      <c r="C13595" t="str">
        <f>"91009132"</f>
        <v>91009132</v>
      </c>
      <c r="D13595">
        <v>89301167</v>
      </c>
      <c r="E13595" t="str">
        <f>"7506255636"</f>
        <v>7506255636</v>
      </c>
      <c r="F13595" s="1">
        <v>45201</v>
      </c>
      <c r="G13595" t="str">
        <f>"92157"</f>
        <v>92157</v>
      </c>
      <c r="H13595">
        <v>1</v>
      </c>
      <c r="I13595">
        <v>1778</v>
      </c>
      <c r="J13595">
        <v>0</v>
      </c>
      <c r="K13595" t="str">
        <f>"812"</f>
        <v>812</v>
      </c>
      <c r="L13595">
        <v>1493.52</v>
      </c>
    </row>
    <row r="13596" spans="1:12" x14ac:dyDescent="0.25">
      <c r="A13596" t="str">
        <f t="shared" si="2448"/>
        <v>89301000</v>
      </c>
      <c r="B13596" t="str">
        <f t="shared" si="2450"/>
        <v>91009000</v>
      </c>
      <c r="C13596" t="str">
        <f>"91009132"</f>
        <v>91009132</v>
      </c>
      <c r="D13596">
        <v>89301167</v>
      </c>
      <c r="E13596" t="str">
        <f>"7506255636"</f>
        <v>7506255636</v>
      </c>
      <c r="F13596" s="1">
        <v>45201</v>
      </c>
      <c r="G13596" t="str">
        <f>"99111"</f>
        <v>99111</v>
      </c>
      <c r="H13596">
        <v>1</v>
      </c>
      <c r="I13596">
        <v>213</v>
      </c>
      <c r="J13596">
        <v>0</v>
      </c>
      <c r="K13596" t="str">
        <f>"812"</f>
        <v>812</v>
      </c>
      <c r="L13596">
        <v>178.92</v>
      </c>
    </row>
    <row r="13597" spans="1:12" x14ac:dyDescent="0.25">
      <c r="A13597" t="str">
        <f t="shared" si="2448"/>
        <v>89301000</v>
      </c>
      <c r="B13597" t="str">
        <f t="shared" si="2450"/>
        <v>91009000</v>
      </c>
      <c r="C13597" t="str">
        <f t="shared" ref="C13597:C13602" si="2451">"91009605"</f>
        <v>91009605</v>
      </c>
      <c r="D13597">
        <v>89301109</v>
      </c>
      <c r="E13597" t="str">
        <f>"1057080662"</f>
        <v>1057080662</v>
      </c>
      <c r="F13597" s="1">
        <v>45202</v>
      </c>
      <c r="G13597" t="str">
        <f>"91431"</f>
        <v>91431</v>
      </c>
      <c r="H13597">
        <v>1</v>
      </c>
      <c r="I13597">
        <v>543</v>
      </c>
      <c r="J13597">
        <v>0</v>
      </c>
      <c r="K13597" t="str">
        <f t="shared" ref="K13597:K13602" si="2452">"818"</f>
        <v>818</v>
      </c>
      <c r="L13597">
        <v>526.71</v>
      </c>
    </row>
    <row r="13598" spans="1:12" x14ac:dyDescent="0.25">
      <c r="A13598" t="str">
        <f t="shared" si="2448"/>
        <v>89301000</v>
      </c>
      <c r="B13598" t="str">
        <f t="shared" si="2450"/>
        <v>91009000</v>
      </c>
      <c r="C13598" t="str">
        <f t="shared" si="2451"/>
        <v>91009605</v>
      </c>
      <c r="D13598">
        <v>89301109</v>
      </c>
      <c r="E13598" t="str">
        <f>"1057080662"</f>
        <v>1057080662</v>
      </c>
      <c r="F13598" s="1">
        <v>45204</v>
      </c>
      <c r="G13598" t="str">
        <f>"22122"</f>
        <v>22122</v>
      </c>
      <c r="H13598">
        <v>1</v>
      </c>
      <c r="I13598">
        <v>588</v>
      </c>
      <c r="J13598">
        <v>0</v>
      </c>
      <c r="K13598" t="str">
        <f t="shared" si="2452"/>
        <v>818</v>
      </c>
      <c r="L13598">
        <v>570.36</v>
      </c>
    </row>
    <row r="13599" spans="1:12" x14ac:dyDescent="0.25">
      <c r="A13599" t="str">
        <f t="shared" si="2448"/>
        <v>89301000</v>
      </c>
      <c r="B13599" t="str">
        <f t="shared" si="2450"/>
        <v>91009000</v>
      </c>
      <c r="C13599" t="str">
        <f t="shared" si="2451"/>
        <v>91009605</v>
      </c>
      <c r="D13599">
        <v>89301109</v>
      </c>
      <c r="E13599" t="str">
        <f>"1057080662"</f>
        <v>1057080662</v>
      </c>
      <c r="F13599" s="1">
        <v>45204</v>
      </c>
      <c r="G13599" t="str">
        <f>"22123"</f>
        <v>22123</v>
      </c>
      <c r="H13599">
        <v>1</v>
      </c>
      <c r="I13599">
        <v>334</v>
      </c>
      <c r="J13599">
        <v>0</v>
      </c>
      <c r="K13599" t="str">
        <f t="shared" si="2452"/>
        <v>818</v>
      </c>
      <c r="L13599">
        <v>323.98</v>
      </c>
    </row>
    <row r="13600" spans="1:12" x14ac:dyDescent="0.25">
      <c r="A13600" t="str">
        <f t="shared" si="2448"/>
        <v>89301000</v>
      </c>
      <c r="B13600" t="str">
        <f t="shared" si="2450"/>
        <v>91009000</v>
      </c>
      <c r="C13600" t="str">
        <f t="shared" si="2451"/>
        <v>91009605</v>
      </c>
      <c r="D13600">
        <v>89301704</v>
      </c>
      <c r="E13600" t="str">
        <f>"1253230396"</f>
        <v>1253230396</v>
      </c>
      <c r="F13600" s="1">
        <v>45202</v>
      </c>
      <c r="G13600" t="str">
        <f>"91431"</f>
        <v>91431</v>
      </c>
      <c r="H13600">
        <v>1</v>
      </c>
      <c r="I13600">
        <v>543</v>
      </c>
      <c r="J13600">
        <v>0</v>
      </c>
      <c r="K13600" t="str">
        <f t="shared" si="2452"/>
        <v>818</v>
      </c>
      <c r="L13600">
        <v>526.71</v>
      </c>
    </row>
    <row r="13601" spans="1:12" x14ac:dyDescent="0.25">
      <c r="A13601" t="str">
        <f t="shared" si="2448"/>
        <v>89301000</v>
      </c>
      <c r="B13601" t="str">
        <f t="shared" si="2450"/>
        <v>91009000</v>
      </c>
      <c r="C13601" t="str">
        <f t="shared" si="2451"/>
        <v>91009605</v>
      </c>
      <c r="D13601">
        <v>89301704</v>
      </c>
      <c r="E13601" t="str">
        <f>"1253230396"</f>
        <v>1253230396</v>
      </c>
      <c r="F13601" s="1">
        <v>45204</v>
      </c>
      <c r="G13601" t="str">
        <f>"22122"</f>
        <v>22122</v>
      </c>
      <c r="H13601">
        <v>1</v>
      </c>
      <c r="I13601">
        <v>588</v>
      </c>
      <c r="J13601">
        <v>0</v>
      </c>
      <c r="K13601" t="str">
        <f t="shared" si="2452"/>
        <v>818</v>
      </c>
      <c r="L13601">
        <v>570.36</v>
      </c>
    </row>
    <row r="13602" spans="1:12" x14ac:dyDescent="0.25">
      <c r="A13602" t="str">
        <f t="shared" si="2448"/>
        <v>89301000</v>
      </c>
      <c r="B13602" t="str">
        <f t="shared" si="2450"/>
        <v>91009000</v>
      </c>
      <c r="C13602" t="str">
        <f t="shared" si="2451"/>
        <v>91009605</v>
      </c>
      <c r="D13602">
        <v>89301704</v>
      </c>
      <c r="E13602" t="str">
        <f>"1253230396"</f>
        <v>1253230396</v>
      </c>
      <c r="F13602" s="1">
        <v>45204</v>
      </c>
      <c r="G13602" t="str">
        <f>"22123"</f>
        <v>22123</v>
      </c>
      <c r="H13602">
        <v>1</v>
      </c>
      <c r="I13602">
        <v>334</v>
      </c>
      <c r="J13602">
        <v>0</v>
      </c>
      <c r="K13602" t="str">
        <f t="shared" si="2452"/>
        <v>818</v>
      </c>
      <c r="L13602">
        <v>323.98</v>
      </c>
    </row>
    <row r="13603" spans="1:12" x14ac:dyDescent="0.25">
      <c r="A13603" t="str">
        <f t="shared" si="2448"/>
        <v>89301000</v>
      </c>
      <c r="B13603" t="str">
        <f t="shared" si="2450"/>
        <v>91009000</v>
      </c>
      <c r="C13603" t="str">
        <f>"91009522"</f>
        <v>91009522</v>
      </c>
      <c r="D13603">
        <v>89301282</v>
      </c>
      <c r="E13603" t="str">
        <f>"7603285393"</f>
        <v>7603285393</v>
      </c>
      <c r="F13603" s="1">
        <v>45225</v>
      </c>
      <c r="G13603" t="str">
        <f>"94948"</f>
        <v>94948</v>
      </c>
      <c r="H13603">
        <v>2</v>
      </c>
      <c r="I13603">
        <v>0</v>
      </c>
      <c r="J13603">
        <v>0</v>
      </c>
      <c r="K13603" t="str">
        <f>"816"</f>
        <v>816</v>
      </c>
      <c r="L13603">
        <v>0</v>
      </c>
    </row>
    <row r="13604" spans="1:12" x14ac:dyDescent="0.25">
      <c r="A13604" t="str">
        <f t="shared" si="2448"/>
        <v>89301000</v>
      </c>
      <c r="B13604" t="str">
        <f t="shared" si="2450"/>
        <v>91009000</v>
      </c>
      <c r="C13604" t="str">
        <f>"91009522"</f>
        <v>91009522</v>
      </c>
      <c r="D13604">
        <v>89301282</v>
      </c>
      <c r="E13604" t="str">
        <f>"7603285393"</f>
        <v>7603285393</v>
      </c>
      <c r="F13604" s="1">
        <v>45225</v>
      </c>
      <c r="G13604" t="str">
        <f>"94984"</f>
        <v>94984</v>
      </c>
      <c r="H13604">
        <v>1</v>
      </c>
      <c r="I13604">
        <v>0</v>
      </c>
      <c r="J13604">
        <v>57200</v>
      </c>
      <c r="K13604" t="str">
        <f>"816"</f>
        <v>816</v>
      </c>
      <c r="L13604">
        <v>57200</v>
      </c>
    </row>
    <row r="13605" spans="1:12" x14ac:dyDescent="0.25">
      <c r="A13605" t="str">
        <f t="shared" si="2448"/>
        <v>89301000</v>
      </c>
      <c r="B13605" t="str">
        <f t="shared" si="2450"/>
        <v>91009000</v>
      </c>
      <c r="C13605" t="str">
        <f>"91009522"</f>
        <v>91009522</v>
      </c>
      <c r="D13605">
        <v>89301282</v>
      </c>
      <c r="E13605" t="str">
        <f>"7603285393"</f>
        <v>7603285393</v>
      </c>
      <c r="F13605" s="1">
        <v>45225</v>
      </c>
      <c r="G13605" t="str">
        <f>"94996"</f>
        <v>94996</v>
      </c>
      <c r="H13605">
        <v>1</v>
      </c>
      <c r="I13605">
        <v>0</v>
      </c>
      <c r="J13605">
        <v>0</v>
      </c>
      <c r="K13605" t="str">
        <f>"816"</f>
        <v>816</v>
      </c>
      <c r="L13605">
        <v>0</v>
      </c>
    </row>
    <row r="13606" spans="1:12" x14ac:dyDescent="0.25">
      <c r="A13606" t="str">
        <f t="shared" si="2448"/>
        <v>89301000</v>
      </c>
      <c r="B13606" t="str">
        <f t="shared" ref="B13606:B13626" si="2453">"02004000"</f>
        <v>02004000</v>
      </c>
      <c r="C13606" t="str">
        <f>"02004153"</f>
        <v>02004153</v>
      </c>
      <c r="D13606">
        <v>89301282</v>
      </c>
      <c r="E13606" t="str">
        <f>"7806195474"</f>
        <v>7806195474</v>
      </c>
      <c r="F13606" s="1">
        <v>44958</v>
      </c>
      <c r="G13606" t="str">
        <f>"94221"</f>
        <v>94221</v>
      </c>
      <c r="H13606">
        <v>1</v>
      </c>
      <c r="I13606">
        <v>2467</v>
      </c>
      <c r="J13606">
        <v>0</v>
      </c>
      <c r="K13606" t="str">
        <f>"816"</f>
        <v>816</v>
      </c>
      <c r="L13606">
        <v>2220.3000000000002</v>
      </c>
    </row>
    <row r="13607" spans="1:12" x14ac:dyDescent="0.25">
      <c r="A13607" t="str">
        <f t="shared" si="2448"/>
        <v>89301000</v>
      </c>
      <c r="B13607" t="str">
        <f t="shared" si="2453"/>
        <v>02004000</v>
      </c>
      <c r="C13607" t="str">
        <f>"02004545"</f>
        <v>02004545</v>
      </c>
      <c r="D13607">
        <v>89301282</v>
      </c>
      <c r="E13607" t="str">
        <f>"0057144923"</f>
        <v>0057144923</v>
      </c>
      <c r="F13607" s="1">
        <v>45204</v>
      </c>
      <c r="G13607" t="str">
        <f>"94221"</f>
        <v>94221</v>
      </c>
      <c r="H13607">
        <v>1</v>
      </c>
      <c r="I13607">
        <v>2467</v>
      </c>
      <c r="J13607">
        <v>0</v>
      </c>
      <c r="K13607" t="str">
        <f>"816"</f>
        <v>816</v>
      </c>
      <c r="L13607">
        <v>2220.3000000000002</v>
      </c>
    </row>
    <row r="13608" spans="1:12" x14ac:dyDescent="0.25">
      <c r="A13608" t="str">
        <f t="shared" si="2448"/>
        <v>89301000</v>
      </c>
      <c r="B13608" t="str">
        <f t="shared" si="2453"/>
        <v>02004000</v>
      </c>
      <c r="C13608" t="str">
        <f t="shared" ref="C13608:C13625" si="2454">"02004556"</f>
        <v>02004556</v>
      </c>
      <c r="D13608">
        <v>89301102</v>
      </c>
      <c r="E13608" t="str">
        <f>"0606161380"</f>
        <v>0606161380</v>
      </c>
      <c r="F13608" s="1">
        <v>45194</v>
      </c>
      <c r="G13608" t="str">
        <f>"91249"</f>
        <v>91249</v>
      </c>
      <c r="H13608">
        <v>1</v>
      </c>
      <c r="I13608">
        <v>1495</v>
      </c>
      <c r="J13608">
        <v>0</v>
      </c>
      <c r="K13608" t="str">
        <f t="shared" ref="K13608:K13625" si="2455">"813"</f>
        <v>813</v>
      </c>
      <c r="L13608">
        <v>1255.8</v>
      </c>
    </row>
    <row r="13609" spans="1:12" x14ac:dyDescent="0.25">
      <c r="A13609" t="str">
        <f t="shared" si="2448"/>
        <v>89301000</v>
      </c>
      <c r="B13609" t="str">
        <f t="shared" si="2453"/>
        <v>02004000</v>
      </c>
      <c r="C13609" t="str">
        <f t="shared" si="2454"/>
        <v>02004556</v>
      </c>
      <c r="D13609">
        <v>89301102</v>
      </c>
      <c r="E13609" t="str">
        <f>"0606161380"</f>
        <v>0606161380</v>
      </c>
      <c r="F13609" s="1">
        <v>45194</v>
      </c>
      <c r="G13609" t="str">
        <f>"91251"</f>
        <v>91251</v>
      </c>
      <c r="H13609">
        <v>1</v>
      </c>
      <c r="I13609">
        <v>1495</v>
      </c>
      <c r="J13609">
        <v>0</v>
      </c>
      <c r="K13609" t="str">
        <f t="shared" si="2455"/>
        <v>813</v>
      </c>
      <c r="L13609">
        <v>1255.8</v>
      </c>
    </row>
    <row r="13610" spans="1:12" x14ac:dyDescent="0.25">
      <c r="A13610" t="str">
        <f t="shared" si="2448"/>
        <v>89301000</v>
      </c>
      <c r="B13610" t="str">
        <f t="shared" si="2453"/>
        <v>02004000</v>
      </c>
      <c r="C13610" t="str">
        <f t="shared" si="2454"/>
        <v>02004556</v>
      </c>
      <c r="D13610">
        <v>89301028</v>
      </c>
      <c r="E13610" t="str">
        <f>"9407154856"</f>
        <v>9407154856</v>
      </c>
      <c r="F13610" s="1">
        <v>45211</v>
      </c>
      <c r="G13610" t="str">
        <f>"91249"</f>
        <v>91249</v>
      </c>
      <c r="H13610">
        <v>1</v>
      </c>
      <c r="I13610">
        <v>1495</v>
      </c>
      <c r="J13610">
        <v>0</v>
      </c>
      <c r="K13610" t="str">
        <f t="shared" si="2455"/>
        <v>813</v>
      </c>
      <c r="L13610">
        <v>1255.8</v>
      </c>
    </row>
    <row r="13611" spans="1:12" x14ac:dyDescent="0.25">
      <c r="A13611" t="str">
        <f t="shared" si="2448"/>
        <v>89301000</v>
      </c>
      <c r="B13611" t="str">
        <f t="shared" si="2453"/>
        <v>02004000</v>
      </c>
      <c r="C13611" t="str">
        <f t="shared" si="2454"/>
        <v>02004556</v>
      </c>
      <c r="D13611">
        <v>89301028</v>
      </c>
      <c r="E13611" t="str">
        <f>"9407154856"</f>
        <v>9407154856</v>
      </c>
      <c r="F13611" s="1">
        <v>45211</v>
      </c>
      <c r="G13611" t="str">
        <f>"91251"</f>
        <v>91251</v>
      </c>
      <c r="H13611">
        <v>1</v>
      </c>
      <c r="I13611">
        <v>1495</v>
      </c>
      <c r="J13611">
        <v>0</v>
      </c>
      <c r="K13611" t="str">
        <f t="shared" si="2455"/>
        <v>813</v>
      </c>
      <c r="L13611">
        <v>1255.8</v>
      </c>
    </row>
    <row r="13612" spans="1:12" x14ac:dyDescent="0.25">
      <c r="A13612" t="str">
        <f t="shared" si="2448"/>
        <v>89301000</v>
      </c>
      <c r="B13612" t="str">
        <f t="shared" si="2453"/>
        <v>02004000</v>
      </c>
      <c r="C13612" t="str">
        <f t="shared" si="2454"/>
        <v>02004556</v>
      </c>
      <c r="D13612">
        <v>89301028</v>
      </c>
      <c r="E13612" t="str">
        <f>"9012294852"</f>
        <v>9012294852</v>
      </c>
      <c r="F13612" s="1">
        <v>45204</v>
      </c>
      <c r="G13612" t="str">
        <f>"91249"</f>
        <v>91249</v>
      </c>
      <c r="H13612">
        <v>1</v>
      </c>
      <c r="I13612">
        <v>1495</v>
      </c>
      <c r="J13612">
        <v>0</v>
      </c>
      <c r="K13612" t="str">
        <f t="shared" si="2455"/>
        <v>813</v>
      </c>
      <c r="L13612">
        <v>1255.8</v>
      </c>
    </row>
    <row r="13613" spans="1:12" x14ac:dyDescent="0.25">
      <c r="A13613" t="str">
        <f t="shared" si="2448"/>
        <v>89301000</v>
      </c>
      <c r="B13613" t="str">
        <f t="shared" si="2453"/>
        <v>02004000</v>
      </c>
      <c r="C13613" t="str">
        <f t="shared" si="2454"/>
        <v>02004556</v>
      </c>
      <c r="D13613">
        <v>89301028</v>
      </c>
      <c r="E13613" t="str">
        <f>"9012294852"</f>
        <v>9012294852</v>
      </c>
      <c r="F13613" s="1">
        <v>45204</v>
      </c>
      <c r="G13613" t="str">
        <f>"91251"</f>
        <v>91251</v>
      </c>
      <c r="H13613">
        <v>1</v>
      </c>
      <c r="I13613">
        <v>1495</v>
      </c>
      <c r="J13613">
        <v>0</v>
      </c>
      <c r="K13613" t="str">
        <f t="shared" si="2455"/>
        <v>813</v>
      </c>
      <c r="L13613">
        <v>1255.8</v>
      </c>
    </row>
    <row r="13614" spans="1:12" x14ac:dyDescent="0.25">
      <c r="A13614" t="str">
        <f t="shared" si="2448"/>
        <v>89301000</v>
      </c>
      <c r="B13614" t="str">
        <f t="shared" si="2453"/>
        <v>02004000</v>
      </c>
      <c r="C13614" t="str">
        <f t="shared" si="2454"/>
        <v>02004556</v>
      </c>
      <c r="D13614">
        <v>89301102</v>
      </c>
      <c r="E13614" t="str">
        <f>"0707116157"</f>
        <v>0707116157</v>
      </c>
      <c r="F13614" s="1">
        <v>45201</v>
      </c>
      <c r="G13614" t="str">
        <f>"91249"</f>
        <v>91249</v>
      </c>
      <c r="H13614">
        <v>1</v>
      </c>
      <c r="I13614">
        <v>1495</v>
      </c>
      <c r="J13614">
        <v>0</v>
      </c>
      <c r="K13614" t="str">
        <f t="shared" si="2455"/>
        <v>813</v>
      </c>
      <c r="L13614">
        <v>1255.8</v>
      </c>
    </row>
    <row r="13615" spans="1:12" x14ac:dyDescent="0.25">
      <c r="A13615" t="str">
        <f t="shared" si="2448"/>
        <v>89301000</v>
      </c>
      <c r="B13615" t="str">
        <f t="shared" si="2453"/>
        <v>02004000</v>
      </c>
      <c r="C13615" t="str">
        <f t="shared" si="2454"/>
        <v>02004556</v>
      </c>
      <c r="D13615">
        <v>89301102</v>
      </c>
      <c r="E13615" t="str">
        <f>"0707116157"</f>
        <v>0707116157</v>
      </c>
      <c r="F13615" s="1">
        <v>45201</v>
      </c>
      <c r="G13615" t="str">
        <f>"91251"</f>
        <v>91251</v>
      </c>
      <c r="H13615">
        <v>1</v>
      </c>
      <c r="I13615">
        <v>1495</v>
      </c>
      <c r="J13615">
        <v>0</v>
      </c>
      <c r="K13615" t="str">
        <f t="shared" si="2455"/>
        <v>813</v>
      </c>
      <c r="L13615">
        <v>1255.8</v>
      </c>
    </row>
    <row r="13616" spans="1:12" x14ac:dyDescent="0.25">
      <c r="A13616" t="str">
        <f t="shared" si="2448"/>
        <v>89301000</v>
      </c>
      <c r="B13616" t="str">
        <f t="shared" si="2453"/>
        <v>02004000</v>
      </c>
      <c r="C13616" t="str">
        <f t="shared" si="2454"/>
        <v>02004556</v>
      </c>
      <c r="D13616">
        <v>89301102</v>
      </c>
      <c r="E13616" t="str">
        <f>"0658303239"</f>
        <v>0658303239</v>
      </c>
      <c r="F13616" s="1">
        <v>45212</v>
      </c>
      <c r="G13616" t="str">
        <f>"91249"</f>
        <v>91249</v>
      </c>
      <c r="H13616">
        <v>1</v>
      </c>
      <c r="I13616">
        <v>1495</v>
      </c>
      <c r="J13616">
        <v>0</v>
      </c>
      <c r="K13616" t="str">
        <f t="shared" si="2455"/>
        <v>813</v>
      </c>
      <c r="L13616">
        <v>1255.8</v>
      </c>
    </row>
    <row r="13617" spans="1:12" x14ac:dyDescent="0.25">
      <c r="A13617" t="str">
        <f t="shared" si="2448"/>
        <v>89301000</v>
      </c>
      <c r="B13617" t="str">
        <f t="shared" si="2453"/>
        <v>02004000</v>
      </c>
      <c r="C13617" t="str">
        <f t="shared" si="2454"/>
        <v>02004556</v>
      </c>
      <c r="D13617">
        <v>89301102</v>
      </c>
      <c r="E13617" t="str">
        <f>"0658303239"</f>
        <v>0658303239</v>
      </c>
      <c r="F13617" s="1">
        <v>45212</v>
      </c>
      <c r="G13617" t="str">
        <f>"91251"</f>
        <v>91251</v>
      </c>
      <c r="H13617">
        <v>1</v>
      </c>
      <c r="I13617">
        <v>1495</v>
      </c>
      <c r="J13617">
        <v>0</v>
      </c>
      <c r="K13617" t="str">
        <f t="shared" si="2455"/>
        <v>813</v>
      </c>
      <c r="L13617">
        <v>1255.8</v>
      </c>
    </row>
    <row r="13618" spans="1:12" x14ac:dyDescent="0.25">
      <c r="A13618" t="str">
        <f t="shared" si="2448"/>
        <v>89301000</v>
      </c>
      <c r="B13618" t="str">
        <f t="shared" si="2453"/>
        <v>02004000</v>
      </c>
      <c r="C13618" t="str">
        <f t="shared" si="2454"/>
        <v>02004556</v>
      </c>
      <c r="D13618">
        <v>89301102</v>
      </c>
      <c r="E13618" t="str">
        <f>"1754070054"</f>
        <v>1754070054</v>
      </c>
      <c r="F13618" s="1">
        <v>45201</v>
      </c>
      <c r="G13618" t="str">
        <f>"91249"</f>
        <v>91249</v>
      </c>
      <c r="H13618">
        <v>1</v>
      </c>
      <c r="I13618">
        <v>1495</v>
      </c>
      <c r="J13618">
        <v>0</v>
      </c>
      <c r="K13618" t="str">
        <f t="shared" si="2455"/>
        <v>813</v>
      </c>
      <c r="L13618">
        <v>1255.8</v>
      </c>
    </row>
    <row r="13619" spans="1:12" x14ac:dyDescent="0.25">
      <c r="A13619" t="str">
        <f t="shared" si="2448"/>
        <v>89301000</v>
      </c>
      <c r="B13619" t="str">
        <f t="shared" si="2453"/>
        <v>02004000</v>
      </c>
      <c r="C13619" t="str">
        <f t="shared" si="2454"/>
        <v>02004556</v>
      </c>
      <c r="D13619">
        <v>89301102</v>
      </c>
      <c r="E13619" t="str">
        <f>"1754070054"</f>
        <v>1754070054</v>
      </c>
      <c r="F13619" s="1">
        <v>45201</v>
      </c>
      <c r="G13619" t="str">
        <f>"91251"</f>
        <v>91251</v>
      </c>
      <c r="H13619">
        <v>1</v>
      </c>
      <c r="I13619">
        <v>1495</v>
      </c>
      <c r="J13619">
        <v>0</v>
      </c>
      <c r="K13619" t="str">
        <f t="shared" si="2455"/>
        <v>813</v>
      </c>
      <c r="L13619">
        <v>1255.8</v>
      </c>
    </row>
    <row r="13620" spans="1:12" x14ac:dyDescent="0.25">
      <c r="A13620" t="str">
        <f t="shared" si="2448"/>
        <v>89301000</v>
      </c>
      <c r="B13620" t="str">
        <f t="shared" si="2453"/>
        <v>02004000</v>
      </c>
      <c r="C13620" t="str">
        <f t="shared" si="2454"/>
        <v>02004556</v>
      </c>
      <c r="D13620">
        <v>89301028</v>
      </c>
      <c r="E13620" t="str">
        <f>"0060196147"</f>
        <v>0060196147</v>
      </c>
      <c r="F13620" s="1">
        <v>45216</v>
      </c>
      <c r="G13620" t="str">
        <f>"91249"</f>
        <v>91249</v>
      </c>
      <c r="H13620">
        <v>1</v>
      </c>
      <c r="I13620">
        <v>1495</v>
      </c>
      <c r="J13620">
        <v>0</v>
      </c>
      <c r="K13620" t="str">
        <f t="shared" si="2455"/>
        <v>813</v>
      </c>
      <c r="L13620">
        <v>1255.8</v>
      </c>
    </row>
    <row r="13621" spans="1:12" x14ac:dyDescent="0.25">
      <c r="A13621" t="str">
        <f t="shared" si="2448"/>
        <v>89301000</v>
      </c>
      <c r="B13621" t="str">
        <f t="shared" si="2453"/>
        <v>02004000</v>
      </c>
      <c r="C13621" t="str">
        <f t="shared" si="2454"/>
        <v>02004556</v>
      </c>
      <c r="D13621">
        <v>89301028</v>
      </c>
      <c r="E13621" t="str">
        <f>"0060196147"</f>
        <v>0060196147</v>
      </c>
      <c r="F13621" s="1">
        <v>45216</v>
      </c>
      <c r="G13621" t="str">
        <f>"91251"</f>
        <v>91251</v>
      </c>
      <c r="H13621">
        <v>1</v>
      </c>
      <c r="I13621">
        <v>1495</v>
      </c>
      <c r="J13621">
        <v>0</v>
      </c>
      <c r="K13621" t="str">
        <f t="shared" si="2455"/>
        <v>813</v>
      </c>
      <c r="L13621">
        <v>1255.8</v>
      </c>
    </row>
    <row r="13622" spans="1:12" x14ac:dyDescent="0.25">
      <c r="A13622" t="str">
        <f t="shared" si="2448"/>
        <v>89301000</v>
      </c>
      <c r="B13622" t="str">
        <f t="shared" si="2453"/>
        <v>02004000</v>
      </c>
      <c r="C13622" t="str">
        <f t="shared" si="2454"/>
        <v>02004556</v>
      </c>
      <c r="D13622">
        <v>89301102</v>
      </c>
      <c r="E13622" t="str">
        <f>"0909103272"</f>
        <v>0909103272</v>
      </c>
      <c r="F13622" s="1">
        <v>45216</v>
      </c>
      <c r="G13622" t="str">
        <f>"91249"</f>
        <v>91249</v>
      </c>
      <c r="H13622">
        <v>1</v>
      </c>
      <c r="I13622">
        <v>1495</v>
      </c>
      <c r="J13622">
        <v>0</v>
      </c>
      <c r="K13622" t="str">
        <f t="shared" si="2455"/>
        <v>813</v>
      </c>
      <c r="L13622">
        <v>1255.8</v>
      </c>
    </row>
    <row r="13623" spans="1:12" x14ac:dyDescent="0.25">
      <c r="A13623" t="str">
        <f t="shared" si="2448"/>
        <v>89301000</v>
      </c>
      <c r="B13623" t="str">
        <f t="shared" si="2453"/>
        <v>02004000</v>
      </c>
      <c r="C13623" t="str">
        <f t="shared" si="2454"/>
        <v>02004556</v>
      </c>
      <c r="D13623">
        <v>89301102</v>
      </c>
      <c r="E13623" t="str">
        <f>"0909103272"</f>
        <v>0909103272</v>
      </c>
      <c r="F13623" s="1">
        <v>45216</v>
      </c>
      <c r="G13623" t="str">
        <f>"91251"</f>
        <v>91251</v>
      </c>
      <c r="H13623">
        <v>1</v>
      </c>
      <c r="I13623">
        <v>1495</v>
      </c>
      <c r="J13623">
        <v>0</v>
      </c>
      <c r="K13623" t="str">
        <f t="shared" si="2455"/>
        <v>813</v>
      </c>
      <c r="L13623">
        <v>1255.8</v>
      </c>
    </row>
    <row r="13624" spans="1:12" x14ac:dyDescent="0.25">
      <c r="A13624" t="str">
        <f t="shared" si="2448"/>
        <v>89301000</v>
      </c>
      <c r="B13624" t="str">
        <f t="shared" si="2453"/>
        <v>02004000</v>
      </c>
      <c r="C13624" t="str">
        <f t="shared" si="2454"/>
        <v>02004556</v>
      </c>
      <c r="D13624">
        <v>89301102</v>
      </c>
      <c r="E13624" t="str">
        <f>"0705263240"</f>
        <v>0705263240</v>
      </c>
      <c r="F13624" s="1">
        <v>45211</v>
      </c>
      <c r="G13624" t="str">
        <f>"91249"</f>
        <v>91249</v>
      </c>
      <c r="H13624">
        <v>1</v>
      </c>
      <c r="I13624">
        <v>1495</v>
      </c>
      <c r="J13624">
        <v>0</v>
      </c>
      <c r="K13624" t="str">
        <f t="shared" si="2455"/>
        <v>813</v>
      </c>
      <c r="L13624">
        <v>1255.8</v>
      </c>
    </row>
    <row r="13625" spans="1:12" x14ac:dyDescent="0.25">
      <c r="A13625" t="str">
        <f t="shared" si="2448"/>
        <v>89301000</v>
      </c>
      <c r="B13625" t="str">
        <f t="shared" si="2453"/>
        <v>02004000</v>
      </c>
      <c r="C13625" t="str">
        <f t="shared" si="2454"/>
        <v>02004556</v>
      </c>
      <c r="D13625">
        <v>89301102</v>
      </c>
      <c r="E13625" t="str">
        <f>"0705263240"</f>
        <v>0705263240</v>
      </c>
      <c r="F13625" s="1">
        <v>45211</v>
      </c>
      <c r="G13625" t="str">
        <f>"91251"</f>
        <v>91251</v>
      </c>
      <c r="H13625">
        <v>1</v>
      </c>
      <c r="I13625">
        <v>1495</v>
      </c>
      <c r="J13625">
        <v>0</v>
      </c>
      <c r="K13625" t="str">
        <f t="shared" si="2455"/>
        <v>813</v>
      </c>
      <c r="L13625">
        <v>1255.8</v>
      </c>
    </row>
    <row r="13626" spans="1:12" x14ac:dyDescent="0.25">
      <c r="A13626" t="str">
        <f t="shared" si="2448"/>
        <v>89301000</v>
      </c>
      <c r="B13626" t="str">
        <f t="shared" si="2453"/>
        <v>02004000</v>
      </c>
      <c r="C13626" t="str">
        <f>"02004561"</f>
        <v>02004561</v>
      </c>
      <c r="D13626">
        <v>89301702</v>
      </c>
      <c r="E13626" t="str">
        <f>"0854013226"</f>
        <v>0854013226</v>
      </c>
      <c r="F13626" s="1">
        <v>45177</v>
      </c>
      <c r="G13626" t="str">
        <f>"81655"</f>
        <v>81655</v>
      </c>
      <c r="H13626">
        <v>2</v>
      </c>
      <c r="I13626">
        <v>1146</v>
      </c>
      <c r="J13626">
        <v>0</v>
      </c>
      <c r="K13626" t="str">
        <f t="shared" ref="K13626:K13642" si="2456">"801"</f>
        <v>801</v>
      </c>
      <c r="L13626">
        <v>962.64</v>
      </c>
    </row>
    <row r="13627" spans="1:12" x14ac:dyDescent="0.25">
      <c r="A13627" t="str">
        <f t="shared" si="2448"/>
        <v>89301000</v>
      </c>
      <c r="B13627" t="str">
        <f t="shared" ref="B13627:B13642" si="2457">"06223000"</f>
        <v>06223000</v>
      </c>
      <c r="C13627" t="str">
        <f>"06223043"</f>
        <v>06223043</v>
      </c>
      <c r="D13627">
        <v>89301122</v>
      </c>
      <c r="E13627" t="str">
        <f>"8001244482"</f>
        <v>8001244482</v>
      </c>
      <c r="F13627" s="1">
        <v>45222</v>
      </c>
      <c r="G13627" t="str">
        <f>"81485"</f>
        <v>81485</v>
      </c>
      <c r="H13627">
        <v>1</v>
      </c>
      <c r="I13627">
        <v>461</v>
      </c>
      <c r="J13627">
        <v>0</v>
      </c>
      <c r="K13627" t="str">
        <f t="shared" si="2456"/>
        <v>801</v>
      </c>
      <c r="L13627">
        <v>387.24</v>
      </c>
    </row>
    <row r="13628" spans="1:12" x14ac:dyDescent="0.25">
      <c r="A13628" t="str">
        <f t="shared" si="2448"/>
        <v>89301000</v>
      </c>
      <c r="B13628" t="str">
        <f t="shared" si="2457"/>
        <v>06223000</v>
      </c>
      <c r="C13628" t="str">
        <f>"06223043"</f>
        <v>06223043</v>
      </c>
      <c r="D13628">
        <v>89301122</v>
      </c>
      <c r="E13628" t="str">
        <f>"510207114"</f>
        <v>510207114</v>
      </c>
      <c r="F13628" s="1">
        <v>45222</v>
      </c>
      <c r="G13628" t="str">
        <f>"81485"</f>
        <v>81485</v>
      </c>
      <c r="H13628">
        <v>1</v>
      </c>
      <c r="I13628">
        <v>461</v>
      </c>
      <c r="J13628">
        <v>0</v>
      </c>
      <c r="K13628" t="str">
        <f t="shared" si="2456"/>
        <v>801</v>
      </c>
      <c r="L13628">
        <v>387.24</v>
      </c>
    </row>
    <row r="13629" spans="1:12" x14ac:dyDescent="0.25">
      <c r="A13629" t="str">
        <f t="shared" si="2448"/>
        <v>89301000</v>
      </c>
      <c r="B13629" t="str">
        <f t="shared" si="2457"/>
        <v>06223000</v>
      </c>
      <c r="C13629" t="str">
        <f>"06223043"</f>
        <v>06223043</v>
      </c>
      <c r="D13629">
        <v>89301122</v>
      </c>
      <c r="E13629" t="str">
        <f>"530424172"</f>
        <v>530424172</v>
      </c>
      <c r="F13629" s="1">
        <v>45222</v>
      </c>
      <c r="G13629" t="str">
        <f>"81485"</f>
        <v>81485</v>
      </c>
      <c r="H13629">
        <v>1</v>
      </c>
      <c r="I13629">
        <v>461</v>
      </c>
      <c r="J13629">
        <v>0</v>
      </c>
      <c r="K13629" t="str">
        <f t="shared" si="2456"/>
        <v>801</v>
      </c>
      <c r="L13629">
        <v>387.24</v>
      </c>
    </row>
    <row r="13630" spans="1:12" x14ac:dyDescent="0.25">
      <c r="A13630" t="str">
        <f t="shared" si="2448"/>
        <v>89301000</v>
      </c>
      <c r="B13630" t="str">
        <f t="shared" si="2457"/>
        <v>06223000</v>
      </c>
      <c r="C13630" t="str">
        <f>"06223030"</f>
        <v>06223030</v>
      </c>
      <c r="D13630">
        <v>89301082</v>
      </c>
      <c r="E13630" t="str">
        <f>"8851075783"</f>
        <v>8851075783</v>
      </c>
      <c r="F13630" s="1">
        <v>45229</v>
      </c>
      <c r="G13630" t="str">
        <f>"97111"</f>
        <v>97111</v>
      </c>
      <c r="H13630">
        <v>1</v>
      </c>
      <c r="I13630">
        <v>19</v>
      </c>
      <c r="J13630">
        <v>0</v>
      </c>
      <c r="K13630" t="str">
        <f t="shared" si="2456"/>
        <v>801</v>
      </c>
      <c r="L13630">
        <v>23.94</v>
      </c>
    </row>
    <row r="13631" spans="1:12" x14ac:dyDescent="0.25">
      <c r="A13631" t="str">
        <f t="shared" si="2448"/>
        <v>89301000</v>
      </c>
      <c r="B13631" t="str">
        <f t="shared" si="2457"/>
        <v>06223000</v>
      </c>
      <c r="C13631" t="str">
        <f>"06223030"</f>
        <v>06223030</v>
      </c>
      <c r="D13631">
        <v>89301082</v>
      </c>
      <c r="E13631" t="str">
        <f>"8851075783"</f>
        <v>8851075783</v>
      </c>
      <c r="F13631" s="1">
        <v>45229</v>
      </c>
      <c r="G13631" t="str">
        <f>"81175"</f>
        <v>81175</v>
      </c>
      <c r="H13631">
        <v>1</v>
      </c>
      <c r="I13631">
        <v>140</v>
      </c>
      <c r="J13631">
        <v>0</v>
      </c>
      <c r="K13631" t="str">
        <f t="shared" si="2456"/>
        <v>801</v>
      </c>
      <c r="L13631">
        <v>117.6</v>
      </c>
    </row>
    <row r="13632" spans="1:12" x14ac:dyDescent="0.25">
      <c r="A13632" t="str">
        <f t="shared" si="2448"/>
        <v>89301000</v>
      </c>
      <c r="B13632" t="str">
        <f t="shared" si="2457"/>
        <v>06223000</v>
      </c>
      <c r="C13632" t="str">
        <f t="shared" ref="C13632:C13642" si="2458">"06223043"</f>
        <v>06223043</v>
      </c>
      <c r="D13632">
        <v>89301122</v>
      </c>
      <c r="E13632" t="str">
        <f>"490925287"</f>
        <v>490925287</v>
      </c>
      <c r="F13632" s="1">
        <v>45202</v>
      </c>
      <c r="G13632" t="str">
        <f>"81485"</f>
        <v>81485</v>
      </c>
      <c r="H13632">
        <v>1</v>
      </c>
      <c r="I13632">
        <v>461</v>
      </c>
      <c r="J13632">
        <v>0</v>
      </c>
      <c r="K13632" t="str">
        <f t="shared" si="2456"/>
        <v>801</v>
      </c>
      <c r="L13632">
        <v>387.24</v>
      </c>
    </row>
    <row r="13633" spans="1:12" x14ac:dyDescent="0.25">
      <c r="A13633" t="str">
        <f t="shared" si="2448"/>
        <v>89301000</v>
      </c>
      <c r="B13633" t="str">
        <f t="shared" si="2457"/>
        <v>06223000</v>
      </c>
      <c r="C13633" t="str">
        <f t="shared" si="2458"/>
        <v>06223043</v>
      </c>
      <c r="D13633">
        <v>89301122</v>
      </c>
      <c r="E13633" t="str">
        <f>"5759201052"</f>
        <v>5759201052</v>
      </c>
      <c r="F13633" s="1">
        <v>45209</v>
      </c>
      <c r="G13633" t="str">
        <f>"81485"</f>
        <v>81485</v>
      </c>
      <c r="H13633">
        <v>1</v>
      </c>
      <c r="I13633">
        <v>461</v>
      </c>
      <c r="J13633">
        <v>0</v>
      </c>
      <c r="K13633" t="str">
        <f t="shared" si="2456"/>
        <v>801</v>
      </c>
      <c r="L13633">
        <v>387.24</v>
      </c>
    </row>
    <row r="13634" spans="1:12" x14ac:dyDescent="0.25">
      <c r="A13634" t="str">
        <f t="shared" ref="A13634:A13697" si="2459">"89301000"</f>
        <v>89301000</v>
      </c>
      <c r="B13634" t="str">
        <f t="shared" si="2457"/>
        <v>06223000</v>
      </c>
      <c r="C13634" t="str">
        <f t="shared" si="2458"/>
        <v>06223043</v>
      </c>
      <c r="D13634">
        <v>89301122</v>
      </c>
      <c r="E13634" t="str">
        <f>"480413405"</f>
        <v>480413405</v>
      </c>
      <c r="F13634" s="1">
        <v>45209</v>
      </c>
      <c r="G13634" t="str">
        <f>"81485"</f>
        <v>81485</v>
      </c>
      <c r="H13634">
        <v>1</v>
      </c>
      <c r="I13634">
        <v>461</v>
      </c>
      <c r="J13634">
        <v>0</v>
      </c>
      <c r="K13634" t="str">
        <f t="shared" si="2456"/>
        <v>801</v>
      </c>
      <c r="L13634">
        <v>387.24</v>
      </c>
    </row>
    <row r="13635" spans="1:12" x14ac:dyDescent="0.25">
      <c r="A13635" t="str">
        <f t="shared" si="2459"/>
        <v>89301000</v>
      </c>
      <c r="B13635" t="str">
        <f t="shared" si="2457"/>
        <v>06223000</v>
      </c>
      <c r="C13635" t="str">
        <f t="shared" si="2458"/>
        <v>06223043</v>
      </c>
      <c r="D13635">
        <v>89301122</v>
      </c>
      <c r="E13635" t="str">
        <f>"8606193871"</f>
        <v>8606193871</v>
      </c>
      <c r="F13635" s="1">
        <v>45230</v>
      </c>
      <c r="G13635" t="str">
        <f>"81485"</f>
        <v>81485</v>
      </c>
      <c r="H13635">
        <v>1</v>
      </c>
      <c r="I13635">
        <v>461</v>
      </c>
      <c r="J13635">
        <v>0</v>
      </c>
      <c r="K13635" t="str">
        <f t="shared" si="2456"/>
        <v>801</v>
      </c>
      <c r="L13635">
        <v>387.24</v>
      </c>
    </row>
    <row r="13636" spans="1:12" x14ac:dyDescent="0.25">
      <c r="A13636" t="str">
        <f t="shared" si="2459"/>
        <v>89301000</v>
      </c>
      <c r="B13636" t="str">
        <f t="shared" si="2457"/>
        <v>06223000</v>
      </c>
      <c r="C13636" t="str">
        <f t="shared" si="2458"/>
        <v>06223043</v>
      </c>
      <c r="D13636">
        <v>89301122</v>
      </c>
      <c r="E13636" t="str">
        <f>"7657135321"</f>
        <v>7657135321</v>
      </c>
      <c r="F13636" s="1">
        <v>45203</v>
      </c>
      <c r="G13636" t="str">
        <f>"92165"</f>
        <v>92165</v>
      </c>
      <c r="H13636">
        <v>1</v>
      </c>
      <c r="I13636">
        <v>2162</v>
      </c>
      <c r="J13636">
        <v>0</v>
      </c>
      <c r="K13636" t="str">
        <f t="shared" si="2456"/>
        <v>801</v>
      </c>
      <c r="L13636">
        <v>1816.08</v>
      </c>
    </row>
    <row r="13637" spans="1:12" x14ac:dyDescent="0.25">
      <c r="A13637" t="str">
        <f t="shared" si="2459"/>
        <v>89301000</v>
      </c>
      <c r="B13637" t="str">
        <f t="shared" si="2457"/>
        <v>06223000</v>
      </c>
      <c r="C13637" t="str">
        <f t="shared" si="2458"/>
        <v>06223043</v>
      </c>
      <c r="D13637">
        <v>89301122</v>
      </c>
      <c r="E13637" t="str">
        <f>"9251250910"</f>
        <v>9251250910</v>
      </c>
      <c r="F13637" s="1">
        <v>45209</v>
      </c>
      <c r="G13637" t="str">
        <f>"81485"</f>
        <v>81485</v>
      </c>
      <c r="H13637">
        <v>1</v>
      </c>
      <c r="I13637">
        <v>461</v>
      </c>
      <c r="J13637">
        <v>0</v>
      </c>
      <c r="K13637" t="str">
        <f t="shared" si="2456"/>
        <v>801</v>
      </c>
      <c r="L13637">
        <v>387.24</v>
      </c>
    </row>
    <row r="13638" spans="1:12" x14ac:dyDescent="0.25">
      <c r="A13638" t="str">
        <f t="shared" si="2459"/>
        <v>89301000</v>
      </c>
      <c r="B13638" t="str">
        <f t="shared" si="2457"/>
        <v>06223000</v>
      </c>
      <c r="C13638" t="str">
        <f t="shared" si="2458"/>
        <v>06223043</v>
      </c>
      <c r="D13638">
        <v>89301122</v>
      </c>
      <c r="E13638" t="str">
        <f>"7801235772"</f>
        <v>7801235772</v>
      </c>
      <c r="F13638" s="1">
        <v>45209</v>
      </c>
      <c r="G13638" t="str">
        <f>"81485"</f>
        <v>81485</v>
      </c>
      <c r="H13638">
        <v>1</v>
      </c>
      <c r="I13638">
        <v>461</v>
      </c>
      <c r="J13638">
        <v>0</v>
      </c>
      <c r="K13638" t="str">
        <f t="shared" si="2456"/>
        <v>801</v>
      </c>
      <c r="L13638">
        <v>387.24</v>
      </c>
    </row>
    <row r="13639" spans="1:12" x14ac:dyDescent="0.25">
      <c r="A13639" t="str">
        <f t="shared" si="2459"/>
        <v>89301000</v>
      </c>
      <c r="B13639" t="str">
        <f t="shared" si="2457"/>
        <v>06223000</v>
      </c>
      <c r="C13639" t="str">
        <f t="shared" si="2458"/>
        <v>06223043</v>
      </c>
      <c r="D13639">
        <v>89301122</v>
      </c>
      <c r="E13639" t="str">
        <f>"8262265308"</f>
        <v>8262265308</v>
      </c>
      <c r="F13639" s="1">
        <v>45202</v>
      </c>
      <c r="G13639" t="str">
        <f>"81485"</f>
        <v>81485</v>
      </c>
      <c r="H13639">
        <v>1</v>
      </c>
      <c r="I13639">
        <v>461</v>
      </c>
      <c r="J13639">
        <v>0</v>
      </c>
      <c r="K13639" t="str">
        <f t="shared" si="2456"/>
        <v>801</v>
      </c>
      <c r="L13639">
        <v>387.24</v>
      </c>
    </row>
    <row r="13640" spans="1:12" x14ac:dyDescent="0.25">
      <c r="A13640" t="str">
        <f t="shared" si="2459"/>
        <v>89301000</v>
      </c>
      <c r="B13640" t="str">
        <f t="shared" si="2457"/>
        <v>06223000</v>
      </c>
      <c r="C13640" t="str">
        <f t="shared" si="2458"/>
        <v>06223043</v>
      </c>
      <c r="D13640">
        <v>89301122</v>
      </c>
      <c r="E13640" t="str">
        <f>"7751014458"</f>
        <v>7751014458</v>
      </c>
      <c r="F13640" s="1">
        <v>45230</v>
      </c>
      <c r="G13640" t="str">
        <f>"81485"</f>
        <v>81485</v>
      </c>
      <c r="H13640">
        <v>1</v>
      </c>
      <c r="I13640">
        <v>461</v>
      </c>
      <c r="J13640">
        <v>0</v>
      </c>
      <c r="K13640" t="str">
        <f t="shared" si="2456"/>
        <v>801</v>
      </c>
      <c r="L13640">
        <v>387.24</v>
      </c>
    </row>
    <row r="13641" spans="1:12" x14ac:dyDescent="0.25">
      <c r="A13641" t="str">
        <f t="shared" si="2459"/>
        <v>89301000</v>
      </c>
      <c r="B13641" t="str">
        <f t="shared" si="2457"/>
        <v>06223000</v>
      </c>
      <c r="C13641" t="str">
        <f t="shared" si="2458"/>
        <v>06223043</v>
      </c>
      <c r="D13641">
        <v>89301122</v>
      </c>
      <c r="E13641" t="str">
        <f>"5401040579"</f>
        <v>5401040579</v>
      </c>
      <c r="F13641" s="1">
        <v>45230</v>
      </c>
      <c r="G13641" t="str">
        <f>"81485"</f>
        <v>81485</v>
      </c>
      <c r="H13641">
        <v>1</v>
      </c>
      <c r="I13641">
        <v>461</v>
      </c>
      <c r="J13641">
        <v>0</v>
      </c>
      <c r="K13641" t="str">
        <f t="shared" si="2456"/>
        <v>801</v>
      </c>
      <c r="L13641">
        <v>387.24</v>
      </c>
    </row>
    <row r="13642" spans="1:12" x14ac:dyDescent="0.25">
      <c r="A13642" t="str">
        <f t="shared" si="2459"/>
        <v>89301000</v>
      </c>
      <c r="B13642" t="str">
        <f t="shared" si="2457"/>
        <v>06223000</v>
      </c>
      <c r="C13642" t="str">
        <f t="shared" si="2458"/>
        <v>06223043</v>
      </c>
      <c r="D13642">
        <v>89301122</v>
      </c>
      <c r="E13642" t="str">
        <f>"515729143"</f>
        <v>515729143</v>
      </c>
      <c r="F13642" s="1">
        <v>45203</v>
      </c>
      <c r="G13642" t="str">
        <f>"92165"</f>
        <v>92165</v>
      </c>
      <c r="H13642">
        <v>1</v>
      </c>
      <c r="I13642">
        <v>2162</v>
      </c>
      <c r="J13642">
        <v>0</v>
      </c>
      <c r="K13642" t="str">
        <f t="shared" si="2456"/>
        <v>801</v>
      </c>
      <c r="L13642">
        <v>1816.08</v>
      </c>
    </row>
    <row r="13643" spans="1:12" x14ac:dyDescent="0.25">
      <c r="A13643" t="str">
        <f t="shared" si="2459"/>
        <v>89301000</v>
      </c>
      <c r="B13643" t="str">
        <f>"02001000"</f>
        <v>02001000</v>
      </c>
      <c r="C13643" t="str">
        <f>"02001171"</f>
        <v>02001171</v>
      </c>
      <c r="D13643">
        <v>89301032</v>
      </c>
      <c r="E13643" t="str">
        <f>"5906290621"</f>
        <v>5906290621</v>
      </c>
      <c r="F13643" s="1">
        <v>45224</v>
      </c>
      <c r="G13643" t="str">
        <f>"91197"</f>
        <v>91197</v>
      </c>
      <c r="H13643">
        <v>1</v>
      </c>
      <c r="I13643">
        <v>1048</v>
      </c>
      <c r="J13643">
        <v>0</v>
      </c>
      <c r="K13643" t="str">
        <f>"813"</f>
        <v>813</v>
      </c>
      <c r="L13643">
        <v>880.32</v>
      </c>
    </row>
    <row r="13644" spans="1:12" x14ac:dyDescent="0.25">
      <c r="A13644" t="str">
        <f t="shared" si="2459"/>
        <v>89301000</v>
      </c>
      <c r="B13644" t="str">
        <f>"92002000"</f>
        <v>92002000</v>
      </c>
      <c r="C13644" t="str">
        <f>"92002175"</f>
        <v>92002175</v>
      </c>
      <c r="D13644">
        <v>89301082</v>
      </c>
      <c r="E13644" t="str">
        <f>"8161205701"</f>
        <v>8161205701</v>
      </c>
      <c r="F13644" s="1">
        <v>45230</v>
      </c>
      <c r="G13644" t="str">
        <f>"89512"</f>
        <v>89512</v>
      </c>
      <c r="H13644">
        <v>1</v>
      </c>
      <c r="I13644">
        <v>283</v>
      </c>
      <c r="J13644">
        <v>0</v>
      </c>
      <c r="K13644" t="str">
        <f>"809"</f>
        <v>809</v>
      </c>
      <c r="L13644">
        <v>416.01</v>
      </c>
    </row>
    <row r="13645" spans="1:12" x14ac:dyDescent="0.25">
      <c r="A13645" t="str">
        <f t="shared" si="2459"/>
        <v>89301000</v>
      </c>
      <c r="B13645" t="str">
        <f t="shared" ref="B13645:B13651" si="2460">"05002000"</f>
        <v>05002000</v>
      </c>
      <c r="C13645" t="str">
        <f>"05002397"</f>
        <v>05002397</v>
      </c>
      <c r="D13645">
        <v>89301109</v>
      </c>
      <c r="E13645" t="str">
        <f>"0707173269"</f>
        <v>0707173269</v>
      </c>
      <c r="F13645" s="1">
        <v>45210</v>
      </c>
      <c r="G13645" t="str">
        <f>"94225"</f>
        <v>94225</v>
      </c>
      <c r="H13645">
        <v>1</v>
      </c>
      <c r="I13645">
        <v>1208</v>
      </c>
      <c r="J13645">
        <v>0</v>
      </c>
      <c r="K13645" t="str">
        <f>"818"</f>
        <v>818</v>
      </c>
      <c r="L13645">
        <v>1171.76</v>
      </c>
    </row>
    <row r="13646" spans="1:12" x14ac:dyDescent="0.25">
      <c r="A13646" t="str">
        <f t="shared" si="2459"/>
        <v>89301000</v>
      </c>
      <c r="B13646" t="str">
        <f t="shared" si="2460"/>
        <v>05002000</v>
      </c>
      <c r="C13646" t="str">
        <f>"05002397"</f>
        <v>05002397</v>
      </c>
      <c r="D13646">
        <v>89301109</v>
      </c>
      <c r="E13646" t="str">
        <f>"0707173269"</f>
        <v>0707173269</v>
      </c>
      <c r="F13646" s="1">
        <v>45210</v>
      </c>
      <c r="G13646" t="str">
        <f>"94337"</f>
        <v>94337</v>
      </c>
      <c r="H13646">
        <v>6</v>
      </c>
      <c r="I13646">
        <v>53994</v>
      </c>
      <c r="J13646">
        <v>0</v>
      </c>
      <c r="K13646" t="str">
        <f>"818"</f>
        <v>818</v>
      </c>
      <c r="L13646">
        <v>52374.18</v>
      </c>
    </row>
    <row r="13647" spans="1:12" x14ac:dyDescent="0.25">
      <c r="A13647" t="str">
        <f t="shared" si="2459"/>
        <v>89301000</v>
      </c>
      <c r="B13647" t="str">
        <f t="shared" si="2460"/>
        <v>05002000</v>
      </c>
      <c r="C13647" t="str">
        <f>"05002397"</f>
        <v>05002397</v>
      </c>
      <c r="D13647">
        <v>89301109</v>
      </c>
      <c r="E13647" t="str">
        <f>"0905183224"</f>
        <v>0905183224</v>
      </c>
      <c r="F13647" s="1">
        <v>45215</v>
      </c>
      <c r="G13647" t="str">
        <f>"94225"</f>
        <v>94225</v>
      </c>
      <c r="H13647">
        <v>2</v>
      </c>
      <c r="I13647">
        <v>2416</v>
      </c>
      <c r="J13647">
        <v>0</v>
      </c>
      <c r="K13647" t="str">
        <f>"818"</f>
        <v>818</v>
      </c>
      <c r="L13647">
        <v>2343.52</v>
      </c>
    </row>
    <row r="13648" spans="1:12" x14ac:dyDescent="0.25">
      <c r="A13648" t="str">
        <f t="shared" si="2459"/>
        <v>89301000</v>
      </c>
      <c r="B13648" t="str">
        <f t="shared" si="2460"/>
        <v>05002000</v>
      </c>
      <c r="C13648" t="str">
        <f>"05002397"</f>
        <v>05002397</v>
      </c>
      <c r="D13648">
        <v>89301109</v>
      </c>
      <c r="E13648" t="str">
        <f>"0905183224"</f>
        <v>0905183224</v>
      </c>
      <c r="F13648" s="1">
        <v>45215</v>
      </c>
      <c r="G13648" t="str">
        <f>"94195"</f>
        <v>94195</v>
      </c>
      <c r="H13648">
        <v>1</v>
      </c>
      <c r="I13648">
        <v>384</v>
      </c>
      <c r="J13648">
        <v>0</v>
      </c>
      <c r="K13648" t="str">
        <f>"818"</f>
        <v>818</v>
      </c>
      <c r="L13648">
        <v>372.48</v>
      </c>
    </row>
    <row r="13649" spans="1:12" x14ac:dyDescent="0.25">
      <c r="A13649" t="str">
        <f t="shared" si="2459"/>
        <v>89301000</v>
      </c>
      <c r="B13649" t="str">
        <f t="shared" si="2460"/>
        <v>05002000</v>
      </c>
      <c r="C13649" t="str">
        <f>"05002397"</f>
        <v>05002397</v>
      </c>
      <c r="D13649">
        <v>89301109</v>
      </c>
      <c r="E13649" t="str">
        <f>"0905183224"</f>
        <v>0905183224</v>
      </c>
      <c r="F13649" s="1">
        <v>45215</v>
      </c>
      <c r="G13649" t="str">
        <f>"94337"</f>
        <v>94337</v>
      </c>
      <c r="H13649">
        <v>4</v>
      </c>
      <c r="I13649">
        <v>35996</v>
      </c>
      <c r="J13649">
        <v>0</v>
      </c>
      <c r="K13649" t="str">
        <f>"818"</f>
        <v>818</v>
      </c>
      <c r="L13649">
        <v>34916.120000000003</v>
      </c>
    </row>
    <row r="13650" spans="1:12" x14ac:dyDescent="0.25">
      <c r="A13650" t="str">
        <f t="shared" si="2459"/>
        <v>89301000</v>
      </c>
      <c r="B13650" t="str">
        <f t="shared" si="2460"/>
        <v>05002000</v>
      </c>
      <c r="C13650" t="str">
        <f>"05002141"</f>
        <v>05002141</v>
      </c>
      <c r="D13650">
        <v>89301282</v>
      </c>
      <c r="E13650" t="str">
        <f>"5711162105"</f>
        <v>5711162105</v>
      </c>
      <c r="F13650" s="1">
        <v>45217</v>
      </c>
      <c r="G13650" t="str">
        <f>"94351"</f>
        <v>94351</v>
      </c>
      <c r="H13650">
        <v>9</v>
      </c>
      <c r="I13650">
        <v>15570</v>
      </c>
      <c r="J13650">
        <v>0</v>
      </c>
      <c r="K13650" t="str">
        <f>"816"</f>
        <v>816</v>
      </c>
      <c r="L13650">
        <v>14013</v>
      </c>
    </row>
    <row r="13651" spans="1:12" x14ac:dyDescent="0.25">
      <c r="A13651" t="str">
        <f t="shared" si="2459"/>
        <v>89301000</v>
      </c>
      <c r="B13651" t="str">
        <f t="shared" si="2460"/>
        <v>05002000</v>
      </c>
      <c r="C13651" t="str">
        <f>"05002141"</f>
        <v>05002141</v>
      </c>
      <c r="D13651">
        <v>89301282</v>
      </c>
      <c r="E13651" t="str">
        <f>"9353315730"</f>
        <v>9353315730</v>
      </c>
      <c r="F13651" s="1">
        <v>45201</v>
      </c>
      <c r="G13651" t="str">
        <f>"94331"</f>
        <v>94331</v>
      </c>
      <c r="H13651">
        <v>1</v>
      </c>
      <c r="I13651">
        <v>7866</v>
      </c>
      <c r="J13651">
        <v>0</v>
      </c>
      <c r="K13651" t="str">
        <f>"816"</f>
        <v>816</v>
      </c>
      <c r="L13651">
        <v>7079.4</v>
      </c>
    </row>
    <row r="13652" spans="1:12" x14ac:dyDescent="0.25">
      <c r="A13652" t="str">
        <f t="shared" si="2459"/>
        <v>89301000</v>
      </c>
      <c r="B13652" t="str">
        <f t="shared" ref="B13652:C13654" si="2461">"92327000"</f>
        <v>92327000</v>
      </c>
      <c r="C13652" t="str">
        <f t="shared" si="2461"/>
        <v>92327000</v>
      </c>
      <c r="D13652">
        <v>89301212</v>
      </c>
      <c r="E13652" t="str">
        <f>"7005015688"</f>
        <v>7005015688</v>
      </c>
      <c r="F13652" s="1">
        <v>45224</v>
      </c>
      <c r="G13652" t="str">
        <f>"89131"</f>
        <v>89131</v>
      </c>
      <c r="H13652">
        <v>1</v>
      </c>
      <c r="I13652">
        <v>190</v>
      </c>
      <c r="J13652">
        <v>0</v>
      </c>
      <c r="K13652" t="str">
        <f>"809"</f>
        <v>809</v>
      </c>
      <c r="L13652">
        <v>279.3</v>
      </c>
    </row>
    <row r="13653" spans="1:12" x14ac:dyDescent="0.25">
      <c r="A13653" t="str">
        <f t="shared" si="2459"/>
        <v>89301000</v>
      </c>
      <c r="B13653" t="str">
        <f t="shared" si="2461"/>
        <v>92327000</v>
      </c>
      <c r="C13653" t="str">
        <f t="shared" si="2461"/>
        <v>92327000</v>
      </c>
      <c r="D13653">
        <v>89301212</v>
      </c>
      <c r="E13653" t="str">
        <f>"7005015688"</f>
        <v>7005015688</v>
      </c>
      <c r="F13653" s="1">
        <v>45224</v>
      </c>
      <c r="G13653" t="str">
        <f>"89513"</f>
        <v>89513</v>
      </c>
      <c r="H13653">
        <v>1</v>
      </c>
      <c r="I13653">
        <v>378</v>
      </c>
      <c r="J13653">
        <v>0</v>
      </c>
      <c r="K13653" t="str">
        <f>"809"</f>
        <v>809</v>
      </c>
      <c r="L13653">
        <v>555.66</v>
      </c>
    </row>
    <row r="13654" spans="1:12" x14ac:dyDescent="0.25">
      <c r="A13654" t="str">
        <f t="shared" si="2459"/>
        <v>89301000</v>
      </c>
      <c r="B13654" t="str">
        <f t="shared" si="2461"/>
        <v>92327000</v>
      </c>
      <c r="C13654" t="str">
        <f t="shared" si="2461"/>
        <v>92327000</v>
      </c>
      <c r="D13654">
        <v>89301212</v>
      </c>
      <c r="E13654" t="str">
        <f>"7005015688"</f>
        <v>7005015688</v>
      </c>
      <c r="F13654" s="1">
        <v>45224</v>
      </c>
      <c r="G13654" t="str">
        <f>"89514"</f>
        <v>89514</v>
      </c>
      <c r="H13654">
        <v>1</v>
      </c>
      <c r="I13654">
        <v>378</v>
      </c>
      <c r="J13654">
        <v>0</v>
      </c>
      <c r="K13654" t="str">
        <f>"809"</f>
        <v>809</v>
      </c>
      <c r="L13654">
        <v>555.66</v>
      </c>
    </row>
    <row r="13655" spans="1:12" x14ac:dyDescent="0.25">
      <c r="A13655" t="str">
        <f t="shared" si="2459"/>
        <v>89301000</v>
      </c>
      <c r="B13655" t="str">
        <f>"05002000"</f>
        <v>05002000</v>
      </c>
      <c r="C13655" t="str">
        <f>"05002174"</f>
        <v>05002174</v>
      </c>
      <c r="D13655">
        <v>89301172</v>
      </c>
      <c r="E13655" t="str">
        <f>"9752166083"</f>
        <v>9752166083</v>
      </c>
      <c r="F13655" s="1">
        <v>45163</v>
      </c>
      <c r="G13655" t="str">
        <f>"85115"</f>
        <v>85115</v>
      </c>
      <c r="H13655">
        <v>1</v>
      </c>
      <c r="I13655">
        <v>2450</v>
      </c>
      <c r="J13655">
        <v>0</v>
      </c>
      <c r="K13655" t="str">
        <f>"802"</f>
        <v>802</v>
      </c>
      <c r="L13655">
        <v>2376.5</v>
      </c>
    </row>
    <row r="13656" spans="1:12" x14ac:dyDescent="0.25">
      <c r="A13656" t="str">
        <f t="shared" si="2459"/>
        <v>89301000</v>
      </c>
      <c r="B13656" t="str">
        <f>"05002000"</f>
        <v>05002000</v>
      </c>
      <c r="C13656" t="str">
        <f>"05002174"</f>
        <v>05002174</v>
      </c>
      <c r="D13656">
        <v>89301172</v>
      </c>
      <c r="E13656" t="str">
        <f>"7552114394"</f>
        <v>7552114394</v>
      </c>
      <c r="F13656" s="1">
        <v>45191</v>
      </c>
      <c r="G13656" t="str">
        <f>"85115"</f>
        <v>85115</v>
      </c>
      <c r="H13656">
        <v>1</v>
      </c>
      <c r="I13656">
        <v>2450</v>
      </c>
      <c r="J13656">
        <v>0</v>
      </c>
      <c r="K13656" t="str">
        <f>"802"</f>
        <v>802</v>
      </c>
      <c r="L13656">
        <v>2376.5</v>
      </c>
    </row>
    <row r="13657" spans="1:12" x14ac:dyDescent="0.25">
      <c r="A13657" t="str">
        <f t="shared" si="2459"/>
        <v>89301000</v>
      </c>
      <c r="B13657" t="str">
        <f>"75002000"</f>
        <v>75002000</v>
      </c>
      <c r="C13657" t="str">
        <f>"75002418"</f>
        <v>75002418</v>
      </c>
      <c r="D13657">
        <v>89301062</v>
      </c>
      <c r="E13657" t="str">
        <f>"6702012130"</f>
        <v>6702012130</v>
      </c>
      <c r="F13657" s="1">
        <v>45204</v>
      </c>
      <c r="G13657" t="str">
        <f>"89615"</f>
        <v>89615</v>
      </c>
      <c r="H13657">
        <v>1</v>
      </c>
      <c r="I13657">
        <v>2199</v>
      </c>
      <c r="J13657">
        <v>0</v>
      </c>
      <c r="K13657" t="str">
        <f>"809"</f>
        <v>809</v>
      </c>
      <c r="L13657">
        <v>1429.35</v>
      </c>
    </row>
    <row r="13658" spans="1:12" x14ac:dyDescent="0.25">
      <c r="A13658" t="str">
        <f t="shared" si="2459"/>
        <v>89301000</v>
      </c>
      <c r="B13658" t="str">
        <f>"75002000"</f>
        <v>75002000</v>
      </c>
      <c r="C13658" t="str">
        <f>"75002810"</f>
        <v>75002810</v>
      </c>
      <c r="D13658">
        <v>89301172</v>
      </c>
      <c r="E13658" t="str">
        <f>"7557214247"</f>
        <v>7557214247</v>
      </c>
      <c r="F13658" s="1">
        <v>45219</v>
      </c>
      <c r="G13658" t="str">
        <f>"89713"</f>
        <v>89713</v>
      </c>
      <c r="H13658">
        <v>1</v>
      </c>
      <c r="I13658">
        <v>5411</v>
      </c>
      <c r="J13658">
        <v>0</v>
      </c>
      <c r="K13658" t="str">
        <f>"810"</f>
        <v>810</v>
      </c>
      <c r="L13658">
        <v>3517.15</v>
      </c>
    </row>
    <row r="13659" spans="1:12" x14ac:dyDescent="0.25">
      <c r="A13659" t="str">
        <f t="shared" si="2459"/>
        <v>89301000</v>
      </c>
      <c r="B13659" t="str">
        <f>"75002000"</f>
        <v>75002000</v>
      </c>
      <c r="C13659" t="str">
        <f>"75002810"</f>
        <v>75002810</v>
      </c>
      <c r="D13659">
        <v>89301172</v>
      </c>
      <c r="E13659" t="str">
        <f>"7557214247"</f>
        <v>7557214247</v>
      </c>
      <c r="F13659" s="1">
        <v>45219</v>
      </c>
      <c r="G13659" t="str">
        <f>"89725"</f>
        <v>89725</v>
      </c>
      <c r="H13659">
        <v>1</v>
      </c>
      <c r="I13659">
        <v>2863</v>
      </c>
      <c r="J13659">
        <v>0</v>
      </c>
      <c r="K13659" t="str">
        <f>"810"</f>
        <v>810</v>
      </c>
      <c r="L13659">
        <v>1860.95</v>
      </c>
    </row>
    <row r="13660" spans="1:12" x14ac:dyDescent="0.25">
      <c r="A13660" t="str">
        <f t="shared" si="2459"/>
        <v>89301000</v>
      </c>
      <c r="B13660" t="str">
        <f>"93641000"</f>
        <v>93641000</v>
      </c>
      <c r="C13660" t="str">
        <f>"93641001"</f>
        <v>93641001</v>
      </c>
      <c r="D13660">
        <v>89301212</v>
      </c>
      <c r="E13660" t="str">
        <f>"475822490"</f>
        <v>475822490</v>
      </c>
      <c r="F13660" s="1">
        <v>45244</v>
      </c>
      <c r="G13660" t="str">
        <f>"89312"</f>
        <v>89312</v>
      </c>
      <c r="H13660">
        <v>2</v>
      </c>
      <c r="I13660">
        <v>624</v>
      </c>
      <c r="J13660">
        <v>0</v>
      </c>
      <c r="K13660" t="str">
        <f>"809"</f>
        <v>809</v>
      </c>
      <c r="L13660">
        <v>680.16</v>
      </c>
    </row>
    <row r="13661" spans="1:12" x14ac:dyDescent="0.25">
      <c r="A13661" t="str">
        <f t="shared" si="2459"/>
        <v>89301000</v>
      </c>
      <c r="B13661" t="str">
        <f>"93641000"</f>
        <v>93641000</v>
      </c>
      <c r="C13661" t="str">
        <f>"93641001"</f>
        <v>93641001</v>
      </c>
      <c r="D13661">
        <v>89301212</v>
      </c>
      <c r="E13661" t="str">
        <f>"5555111650"</f>
        <v>5555111650</v>
      </c>
      <c r="F13661" s="1">
        <v>45259</v>
      </c>
      <c r="G13661" t="str">
        <f>"89312"</f>
        <v>89312</v>
      </c>
      <c r="H13661">
        <v>2</v>
      </c>
      <c r="I13661">
        <v>624</v>
      </c>
      <c r="J13661">
        <v>0</v>
      </c>
      <c r="K13661" t="str">
        <f>"809"</f>
        <v>809</v>
      </c>
      <c r="L13661">
        <v>680.16</v>
      </c>
    </row>
    <row r="13662" spans="1:12" x14ac:dyDescent="0.25">
      <c r="A13662" t="str">
        <f t="shared" si="2459"/>
        <v>89301000</v>
      </c>
      <c r="B13662" t="str">
        <f>"92394000"</f>
        <v>92394000</v>
      </c>
      <c r="C13662" t="str">
        <f>"92394001"</f>
        <v>92394001</v>
      </c>
      <c r="D13662">
        <v>89301172</v>
      </c>
      <c r="E13662" t="str">
        <f>"7656063514"</f>
        <v>7656063514</v>
      </c>
      <c r="F13662" s="1">
        <v>45259</v>
      </c>
      <c r="G13662" t="str">
        <f>"89513"</f>
        <v>89513</v>
      </c>
      <c r="H13662">
        <v>1</v>
      </c>
      <c r="I13662">
        <v>378</v>
      </c>
      <c r="J13662">
        <v>0</v>
      </c>
      <c r="K13662" t="str">
        <f>"809"</f>
        <v>809</v>
      </c>
      <c r="L13662">
        <v>555.66</v>
      </c>
    </row>
    <row r="13663" spans="1:12" x14ac:dyDescent="0.25">
      <c r="A13663" t="str">
        <f t="shared" si="2459"/>
        <v>89301000</v>
      </c>
      <c r="B13663" t="str">
        <f>"92394000"</f>
        <v>92394000</v>
      </c>
      <c r="C13663" t="str">
        <f>"92394001"</f>
        <v>92394001</v>
      </c>
      <c r="D13663">
        <v>89301172</v>
      </c>
      <c r="E13663" t="str">
        <f>"7656063514"</f>
        <v>7656063514</v>
      </c>
      <c r="F13663" s="1">
        <v>45259</v>
      </c>
      <c r="G13663" t="str">
        <f>"89514"</f>
        <v>89514</v>
      </c>
      <c r="H13663">
        <v>1</v>
      </c>
      <c r="I13663">
        <v>378</v>
      </c>
      <c r="J13663">
        <v>0</v>
      </c>
      <c r="K13663" t="str">
        <f>"809"</f>
        <v>809</v>
      </c>
      <c r="L13663">
        <v>555.66</v>
      </c>
    </row>
    <row r="13664" spans="1:12" x14ac:dyDescent="0.25">
      <c r="A13664" t="str">
        <f t="shared" si="2459"/>
        <v>89301000</v>
      </c>
      <c r="B13664" t="str">
        <f>"91996600"</f>
        <v>91996600</v>
      </c>
      <c r="C13664" t="str">
        <f>"91996601"</f>
        <v>91996601</v>
      </c>
      <c r="D13664">
        <v>89301212</v>
      </c>
      <c r="E13664" t="str">
        <f>"6211110697"</f>
        <v>6211110697</v>
      </c>
      <c r="F13664" s="1">
        <v>45236</v>
      </c>
      <c r="G13664" t="str">
        <f>"87613"</f>
        <v>87613</v>
      </c>
      <c r="H13664">
        <v>1</v>
      </c>
      <c r="I13664">
        <v>436</v>
      </c>
      <c r="J13664">
        <v>0</v>
      </c>
      <c r="K13664" t="str">
        <f>"807"</f>
        <v>807</v>
      </c>
      <c r="L13664">
        <v>366.24</v>
      </c>
    </row>
    <row r="13665" spans="1:12" x14ac:dyDescent="0.25">
      <c r="A13665" t="str">
        <f t="shared" si="2459"/>
        <v>89301000</v>
      </c>
      <c r="B13665" t="str">
        <f>"91996600"</f>
        <v>91996600</v>
      </c>
      <c r="C13665" t="str">
        <f>"91996601"</f>
        <v>91996601</v>
      </c>
      <c r="D13665">
        <v>89301212</v>
      </c>
      <c r="E13665" t="str">
        <f>"6211110697"</f>
        <v>6211110697</v>
      </c>
      <c r="F13665" s="1">
        <v>45236</v>
      </c>
      <c r="G13665" t="str">
        <f>"87231"</f>
        <v>87231</v>
      </c>
      <c r="H13665">
        <v>8</v>
      </c>
      <c r="I13665">
        <v>3048</v>
      </c>
      <c r="J13665">
        <v>0</v>
      </c>
      <c r="K13665" t="str">
        <f>"807"</f>
        <v>807</v>
      </c>
      <c r="L13665">
        <v>2560.3200000000002</v>
      </c>
    </row>
    <row r="13666" spans="1:12" x14ac:dyDescent="0.25">
      <c r="A13666" t="str">
        <f t="shared" si="2459"/>
        <v>89301000</v>
      </c>
      <c r="B13666" t="str">
        <f>"91996600"</f>
        <v>91996600</v>
      </c>
      <c r="C13666" t="str">
        <f>"91996601"</f>
        <v>91996601</v>
      </c>
      <c r="D13666">
        <v>89301212</v>
      </c>
      <c r="E13666" t="str">
        <f>"6211110697"</f>
        <v>6211110697</v>
      </c>
      <c r="F13666" s="1">
        <v>45236</v>
      </c>
      <c r="G13666" t="str">
        <f>"87617"</f>
        <v>87617</v>
      </c>
      <c r="H13666">
        <v>1</v>
      </c>
      <c r="I13666">
        <v>3750</v>
      </c>
      <c r="J13666">
        <v>0</v>
      </c>
      <c r="K13666" t="str">
        <f>"807"</f>
        <v>807</v>
      </c>
      <c r="L13666">
        <v>3150</v>
      </c>
    </row>
    <row r="13667" spans="1:12" x14ac:dyDescent="0.25">
      <c r="A13667" t="str">
        <f t="shared" si="2459"/>
        <v>89301000</v>
      </c>
      <c r="B13667" t="str">
        <f t="shared" ref="B13667:B13710" si="2462">"78915000"</f>
        <v>78915000</v>
      </c>
      <c r="C13667" t="str">
        <f t="shared" ref="C13667:C13710" si="2463">"78915001"</f>
        <v>78915001</v>
      </c>
      <c r="D13667">
        <v>89301112</v>
      </c>
      <c r="E13667" t="str">
        <f>"0153305713"</f>
        <v>0153305713</v>
      </c>
      <c r="F13667" s="1">
        <v>45252</v>
      </c>
      <c r="G13667" t="str">
        <f>"09567"</f>
        <v>09567</v>
      </c>
      <c r="H13667">
        <v>1</v>
      </c>
      <c r="I13667">
        <v>0</v>
      </c>
      <c r="J13667">
        <v>0</v>
      </c>
      <c r="K13667" t="str">
        <f t="shared" ref="K13667:K13698" si="2464">"809"</f>
        <v>809</v>
      </c>
      <c r="L13667">
        <v>0</v>
      </c>
    </row>
    <row r="13668" spans="1:12" x14ac:dyDescent="0.25">
      <c r="A13668" t="str">
        <f t="shared" si="2459"/>
        <v>89301000</v>
      </c>
      <c r="B13668" t="str">
        <f t="shared" si="2462"/>
        <v>78915000</v>
      </c>
      <c r="C13668" t="str">
        <f t="shared" si="2463"/>
        <v>78915001</v>
      </c>
      <c r="D13668">
        <v>89301112</v>
      </c>
      <c r="E13668" t="str">
        <f>"0153305713"</f>
        <v>0153305713</v>
      </c>
      <c r="F13668" s="1">
        <v>45252</v>
      </c>
      <c r="G13668" t="str">
        <f>"89713"</f>
        <v>89713</v>
      </c>
      <c r="H13668">
        <v>1</v>
      </c>
      <c r="I13668">
        <v>5411</v>
      </c>
      <c r="J13668">
        <v>0</v>
      </c>
      <c r="K13668" t="str">
        <f t="shared" si="2464"/>
        <v>809</v>
      </c>
      <c r="L13668">
        <v>3517.15</v>
      </c>
    </row>
    <row r="13669" spans="1:12" x14ac:dyDescent="0.25">
      <c r="A13669" t="str">
        <f t="shared" si="2459"/>
        <v>89301000</v>
      </c>
      <c r="B13669" t="str">
        <f t="shared" si="2462"/>
        <v>78915000</v>
      </c>
      <c r="C13669" t="str">
        <f t="shared" si="2463"/>
        <v>78915001</v>
      </c>
      <c r="D13669">
        <v>89301062</v>
      </c>
      <c r="E13669" t="str">
        <f>"0754055302"</f>
        <v>0754055302</v>
      </c>
      <c r="F13669" s="1">
        <v>45243</v>
      </c>
      <c r="G13669" t="str">
        <f>"89713"</f>
        <v>89713</v>
      </c>
      <c r="H13669">
        <v>1</v>
      </c>
      <c r="I13669">
        <v>5411</v>
      </c>
      <c r="J13669">
        <v>0</v>
      </c>
      <c r="K13669" t="str">
        <f t="shared" si="2464"/>
        <v>809</v>
      </c>
      <c r="L13669">
        <v>3517.15</v>
      </c>
    </row>
    <row r="13670" spans="1:12" x14ac:dyDescent="0.25">
      <c r="A13670" t="str">
        <f t="shared" si="2459"/>
        <v>89301000</v>
      </c>
      <c r="B13670" t="str">
        <f t="shared" si="2462"/>
        <v>78915000</v>
      </c>
      <c r="C13670" t="str">
        <f t="shared" si="2463"/>
        <v>78915001</v>
      </c>
      <c r="D13670">
        <v>89301062</v>
      </c>
      <c r="E13670" t="str">
        <f>"0754055302"</f>
        <v>0754055302</v>
      </c>
      <c r="F13670" s="1">
        <v>45243</v>
      </c>
      <c r="G13670" t="str">
        <f>"89725"</f>
        <v>89725</v>
      </c>
      <c r="H13670">
        <v>1</v>
      </c>
      <c r="I13670">
        <v>2863</v>
      </c>
      <c r="J13670">
        <v>0</v>
      </c>
      <c r="K13670" t="str">
        <f t="shared" si="2464"/>
        <v>809</v>
      </c>
      <c r="L13670">
        <v>1860.95</v>
      </c>
    </row>
    <row r="13671" spans="1:12" x14ac:dyDescent="0.25">
      <c r="A13671" t="str">
        <f t="shared" si="2459"/>
        <v>89301000</v>
      </c>
      <c r="B13671" t="str">
        <f t="shared" si="2462"/>
        <v>78915000</v>
      </c>
      <c r="C13671" t="str">
        <f t="shared" si="2463"/>
        <v>78915001</v>
      </c>
      <c r="D13671">
        <v>89301112</v>
      </c>
      <c r="E13671" t="str">
        <f>"1251250132"</f>
        <v>1251250132</v>
      </c>
      <c r="F13671" s="1">
        <v>45257</v>
      </c>
      <c r="G13671" t="str">
        <f>"09569"</f>
        <v>09569</v>
      </c>
      <c r="H13671">
        <v>1</v>
      </c>
      <c r="I13671">
        <v>0</v>
      </c>
      <c r="J13671">
        <v>0</v>
      </c>
      <c r="K13671" t="str">
        <f t="shared" si="2464"/>
        <v>809</v>
      </c>
      <c r="L13671">
        <v>0</v>
      </c>
    </row>
    <row r="13672" spans="1:12" x14ac:dyDescent="0.25">
      <c r="A13672" t="str">
        <f t="shared" si="2459"/>
        <v>89301000</v>
      </c>
      <c r="B13672" t="str">
        <f t="shared" si="2462"/>
        <v>78915000</v>
      </c>
      <c r="C13672" t="str">
        <f t="shared" si="2463"/>
        <v>78915001</v>
      </c>
      <c r="D13672">
        <v>89301112</v>
      </c>
      <c r="E13672" t="str">
        <f>"1251250132"</f>
        <v>1251250132</v>
      </c>
      <c r="F13672" s="1">
        <v>45257</v>
      </c>
      <c r="G13672" t="str">
        <f>"89713"</f>
        <v>89713</v>
      </c>
      <c r="H13672">
        <v>1</v>
      </c>
      <c r="I13672">
        <v>5411</v>
      </c>
      <c r="J13672">
        <v>0</v>
      </c>
      <c r="K13672" t="str">
        <f t="shared" si="2464"/>
        <v>809</v>
      </c>
      <c r="L13672">
        <v>3517.15</v>
      </c>
    </row>
    <row r="13673" spans="1:12" x14ac:dyDescent="0.25">
      <c r="A13673" t="str">
        <f t="shared" si="2459"/>
        <v>89301000</v>
      </c>
      <c r="B13673" t="str">
        <f t="shared" si="2462"/>
        <v>78915000</v>
      </c>
      <c r="C13673" t="str">
        <f t="shared" si="2463"/>
        <v>78915001</v>
      </c>
      <c r="D13673">
        <v>89301212</v>
      </c>
      <c r="E13673" t="str">
        <f>"426218451"</f>
        <v>426218451</v>
      </c>
      <c r="F13673" s="1">
        <v>45252</v>
      </c>
      <c r="G13673" t="str">
        <f>"89715"</f>
        <v>89715</v>
      </c>
      <c r="H13673">
        <v>1</v>
      </c>
      <c r="I13673">
        <v>5523</v>
      </c>
      <c r="J13673">
        <v>0</v>
      </c>
      <c r="K13673" t="str">
        <f t="shared" si="2464"/>
        <v>809</v>
      </c>
      <c r="L13673">
        <v>3589.95</v>
      </c>
    </row>
    <row r="13674" spans="1:12" x14ac:dyDescent="0.25">
      <c r="A13674" t="str">
        <f t="shared" si="2459"/>
        <v>89301000</v>
      </c>
      <c r="B13674" t="str">
        <f t="shared" si="2462"/>
        <v>78915000</v>
      </c>
      <c r="C13674" t="str">
        <f t="shared" si="2463"/>
        <v>78915001</v>
      </c>
      <c r="D13674">
        <v>89301212</v>
      </c>
      <c r="E13674" t="str">
        <f>"426218451"</f>
        <v>426218451</v>
      </c>
      <c r="F13674" s="1">
        <v>45252</v>
      </c>
      <c r="G13674" t="str">
        <f>"89725"</f>
        <v>89725</v>
      </c>
      <c r="H13674">
        <v>1</v>
      </c>
      <c r="I13674">
        <v>2863</v>
      </c>
      <c r="J13674">
        <v>0</v>
      </c>
      <c r="K13674" t="str">
        <f t="shared" si="2464"/>
        <v>809</v>
      </c>
      <c r="L13674">
        <v>1860.95</v>
      </c>
    </row>
    <row r="13675" spans="1:12" x14ac:dyDescent="0.25">
      <c r="A13675" t="str">
        <f t="shared" si="2459"/>
        <v>89301000</v>
      </c>
      <c r="B13675" t="str">
        <f t="shared" si="2462"/>
        <v>78915000</v>
      </c>
      <c r="C13675" t="str">
        <f t="shared" si="2463"/>
        <v>78915001</v>
      </c>
      <c r="D13675">
        <v>89301212</v>
      </c>
      <c r="E13675" t="str">
        <f>"426218451"</f>
        <v>426218451</v>
      </c>
      <c r="F13675" s="1">
        <v>45252</v>
      </c>
      <c r="G13675" t="str">
        <f>"0207733"</f>
        <v>0207733</v>
      </c>
      <c r="H13675">
        <v>1.2</v>
      </c>
      <c r="J13675">
        <v>3108.64</v>
      </c>
      <c r="K13675" t="str">
        <f t="shared" si="2464"/>
        <v>809</v>
      </c>
      <c r="L13675">
        <v>3108.64</v>
      </c>
    </row>
    <row r="13676" spans="1:12" x14ac:dyDescent="0.25">
      <c r="A13676" t="str">
        <f t="shared" si="2459"/>
        <v>89301000</v>
      </c>
      <c r="B13676" t="str">
        <f t="shared" si="2462"/>
        <v>78915000</v>
      </c>
      <c r="C13676" t="str">
        <f t="shared" si="2463"/>
        <v>78915001</v>
      </c>
      <c r="D13676">
        <v>89301212</v>
      </c>
      <c r="E13676" t="str">
        <f>"5462163025"</f>
        <v>5462163025</v>
      </c>
      <c r="F13676" s="1">
        <v>45252</v>
      </c>
      <c r="G13676" t="str">
        <f>"89715"</f>
        <v>89715</v>
      </c>
      <c r="H13676">
        <v>1</v>
      </c>
      <c r="I13676">
        <v>5523</v>
      </c>
      <c r="J13676">
        <v>0</v>
      </c>
      <c r="K13676" t="str">
        <f t="shared" si="2464"/>
        <v>809</v>
      </c>
      <c r="L13676">
        <v>3589.95</v>
      </c>
    </row>
    <row r="13677" spans="1:12" x14ac:dyDescent="0.25">
      <c r="A13677" t="str">
        <f t="shared" si="2459"/>
        <v>89301000</v>
      </c>
      <c r="B13677" t="str">
        <f t="shared" si="2462"/>
        <v>78915000</v>
      </c>
      <c r="C13677" t="str">
        <f t="shared" si="2463"/>
        <v>78915001</v>
      </c>
      <c r="D13677">
        <v>89301212</v>
      </c>
      <c r="E13677" t="str">
        <f>"5462163025"</f>
        <v>5462163025</v>
      </c>
      <c r="F13677" s="1">
        <v>45252</v>
      </c>
      <c r="G13677" t="str">
        <f>"89725"</f>
        <v>89725</v>
      </c>
      <c r="H13677">
        <v>1</v>
      </c>
      <c r="I13677">
        <v>2863</v>
      </c>
      <c r="J13677">
        <v>0</v>
      </c>
      <c r="K13677" t="str">
        <f t="shared" si="2464"/>
        <v>809</v>
      </c>
      <c r="L13677">
        <v>1860.95</v>
      </c>
    </row>
    <row r="13678" spans="1:12" x14ac:dyDescent="0.25">
      <c r="A13678" t="str">
        <f t="shared" si="2459"/>
        <v>89301000</v>
      </c>
      <c r="B13678" t="str">
        <f t="shared" si="2462"/>
        <v>78915000</v>
      </c>
      <c r="C13678" t="str">
        <f t="shared" si="2463"/>
        <v>78915001</v>
      </c>
      <c r="D13678">
        <v>89301212</v>
      </c>
      <c r="E13678" t="str">
        <f>"5462163025"</f>
        <v>5462163025</v>
      </c>
      <c r="F13678" s="1">
        <v>45252</v>
      </c>
      <c r="G13678" t="str">
        <f>"0207733"</f>
        <v>0207733</v>
      </c>
      <c r="H13678">
        <v>1</v>
      </c>
      <c r="J13678">
        <v>2590.5300000000002</v>
      </c>
      <c r="K13678" t="str">
        <f t="shared" si="2464"/>
        <v>809</v>
      </c>
      <c r="L13678">
        <v>2590.5300000000002</v>
      </c>
    </row>
    <row r="13679" spans="1:12" x14ac:dyDescent="0.25">
      <c r="A13679" t="str">
        <f t="shared" si="2459"/>
        <v>89301000</v>
      </c>
      <c r="B13679" t="str">
        <f t="shared" si="2462"/>
        <v>78915000</v>
      </c>
      <c r="C13679" t="str">
        <f t="shared" si="2463"/>
        <v>78915001</v>
      </c>
      <c r="D13679">
        <v>89301062</v>
      </c>
      <c r="E13679" t="str">
        <f>"5709171094"</f>
        <v>5709171094</v>
      </c>
      <c r="F13679" s="1">
        <v>45237</v>
      </c>
      <c r="G13679" t="str">
        <f>"89713"</f>
        <v>89713</v>
      </c>
      <c r="H13679">
        <v>2</v>
      </c>
      <c r="I13679">
        <v>10822</v>
      </c>
      <c r="J13679">
        <v>0</v>
      </c>
      <c r="K13679" t="str">
        <f t="shared" si="2464"/>
        <v>809</v>
      </c>
      <c r="L13679">
        <v>7034.3</v>
      </c>
    </row>
    <row r="13680" spans="1:12" x14ac:dyDescent="0.25">
      <c r="A13680" t="str">
        <f t="shared" si="2459"/>
        <v>89301000</v>
      </c>
      <c r="B13680" t="str">
        <f t="shared" si="2462"/>
        <v>78915000</v>
      </c>
      <c r="C13680" t="str">
        <f t="shared" si="2463"/>
        <v>78915001</v>
      </c>
      <c r="D13680">
        <v>89301062</v>
      </c>
      <c r="E13680" t="str">
        <f>"5709171094"</f>
        <v>5709171094</v>
      </c>
      <c r="F13680" s="1">
        <v>45237</v>
      </c>
      <c r="G13680" t="str">
        <f>"89725"</f>
        <v>89725</v>
      </c>
      <c r="H13680">
        <v>1</v>
      </c>
      <c r="I13680">
        <v>2863</v>
      </c>
      <c r="J13680">
        <v>0</v>
      </c>
      <c r="K13680" t="str">
        <f t="shared" si="2464"/>
        <v>809</v>
      </c>
      <c r="L13680">
        <v>1860.95</v>
      </c>
    </row>
    <row r="13681" spans="1:12" x14ac:dyDescent="0.25">
      <c r="A13681" t="str">
        <f t="shared" si="2459"/>
        <v>89301000</v>
      </c>
      <c r="B13681" t="str">
        <f t="shared" si="2462"/>
        <v>78915000</v>
      </c>
      <c r="C13681" t="str">
        <f t="shared" si="2463"/>
        <v>78915001</v>
      </c>
      <c r="D13681">
        <v>89301112</v>
      </c>
      <c r="E13681" t="str">
        <f>"6901295324"</f>
        <v>6901295324</v>
      </c>
      <c r="F13681" s="1">
        <v>45245</v>
      </c>
      <c r="G13681" t="str">
        <f>"09567"</f>
        <v>09567</v>
      </c>
      <c r="H13681">
        <v>1</v>
      </c>
      <c r="I13681">
        <v>0</v>
      </c>
      <c r="J13681">
        <v>0</v>
      </c>
      <c r="K13681" t="str">
        <f t="shared" si="2464"/>
        <v>809</v>
      </c>
      <c r="L13681">
        <v>0</v>
      </c>
    </row>
    <row r="13682" spans="1:12" x14ac:dyDescent="0.25">
      <c r="A13682" t="str">
        <f t="shared" si="2459"/>
        <v>89301000</v>
      </c>
      <c r="B13682" t="str">
        <f t="shared" si="2462"/>
        <v>78915000</v>
      </c>
      <c r="C13682" t="str">
        <f t="shared" si="2463"/>
        <v>78915001</v>
      </c>
      <c r="D13682">
        <v>89301112</v>
      </c>
      <c r="E13682" t="str">
        <f>"6901295324"</f>
        <v>6901295324</v>
      </c>
      <c r="F13682" s="1">
        <v>45245</v>
      </c>
      <c r="G13682" t="str">
        <f>"89713"</f>
        <v>89713</v>
      </c>
      <c r="H13682">
        <v>1</v>
      </c>
      <c r="I13682">
        <v>5411</v>
      </c>
      <c r="J13682">
        <v>0</v>
      </c>
      <c r="K13682" t="str">
        <f t="shared" si="2464"/>
        <v>809</v>
      </c>
      <c r="L13682">
        <v>3517.15</v>
      </c>
    </row>
    <row r="13683" spans="1:12" x14ac:dyDescent="0.25">
      <c r="A13683" t="str">
        <f t="shared" si="2459"/>
        <v>89301000</v>
      </c>
      <c r="B13683" t="str">
        <f t="shared" si="2462"/>
        <v>78915000</v>
      </c>
      <c r="C13683" t="str">
        <f t="shared" si="2463"/>
        <v>78915001</v>
      </c>
      <c r="D13683">
        <v>89301312</v>
      </c>
      <c r="E13683" t="str">
        <f>"7007137126"</f>
        <v>7007137126</v>
      </c>
      <c r="F13683" s="1">
        <v>45237</v>
      </c>
      <c r="G13683" t="str">
        <f>"89715"</f>
        <v>89715</v>
      </c>
      <c r="H13683">
        <v>1</v>
      </c>
      <c r="I13683">
        <v>5523</v>
      </c>
      <c r="J13683">
        <v>0</v>
      </c>
      <c r="K13683" t="str">
        <f t="shared" si="2464"/>
        <v>809</v>
      </c>
      <c r="L13683">
        <v>3589.95</v>
      </c>
    </row>
    <row r="13684" spans="1:12" x14ac:dyDescent="0.25">
      <c r="A13684" t="str">
        <f t="shared" si="2459"/>
        <v>89301000</v>
      </c>
      <c r="B13684" t="str">
        <f t="shared" si="2462"/>
        <v>78915000</v>
      </c>
      <c r="C13684" t="str">
        <f t="shared" si="2463"/>
        <v>78915001</v>
      </c>
      <c r="D13684">
        <v>89301062</v>
      </c>
      <c r="E13684" t="str">
        <f>"7108174469"</f>
        <v>7108174469</v>
      </c>
      <c r="F13684" s="1">
        <v>45237</v>
      </c>
      <c r="G13684" t="str">
        <f>"89715"</f>
        <v>89715</v>
      </c>
      <c r="H13684">
        <v>1</v>
      </c>
      <c r="I13684">
        <v>5523</v>
      </c>
      <c r="J13684">
        <v>0</v>
      </c>
      <c r="K13684" t="str">
        <f t="shared" si="2464"/>
        <v>809</v>
      </c>
      <c r="L13684">
        <v>3589.95</v>
      </c>
    </row>
    <row r="13685" spans="1:12" x14ac:dyDescent="0.25">
      <c r="A13685" t="str">
        <f t="shared" si="2459"/>
        <v>89301000</v>
      </c>
      <c r="B13685" t="str">
        <f t="shared" si="2462"/>
        <v>78915000</v>
      </c>
      <c r="C13685" t="str">
        <f t="shared" si="2463"/>
        <v>78915001</v>
      </c>
      <c r="D13685">
        <v>89301062</v>
      </c>
      <c r="E13685" t="str">
        <f>"7108174469"</f>
        <v>7108174469</v>
      </c>
      <c r="F13685" s="1">
        <v>45237</v>
      </c>
      <c r="G13685" t="str">
        <f>"89725"</f>
        <v>89725</v>
      </c>
      <c r="H13685">
        <v>1</v>
      </c>
      <c r="I13685">
        <v>2863</v>
      </c>
      <c r="J13685">
        <v>0</v>
      </c>
      <c r="K13685" t="str">
        <f t="shared" si="2464"/>
        <v>809</v>
      </c>
      <c r="L13685">
        <v>1860.95</v>
      </c>
    </row>
    <row r="13686" spans="1:12" x14ac:dyDescent="0.25">
      <c r="A13686" t="str">
        <f t="shared" si="2459"/>
        <v>89301000</v>
      </c>
      <c r="B13686" t="str">
        <f t="shared" si="2462"/>
        <v>78915000</v>
      </c>
      <c r="C13686" t="str">
        <f t="shared" si="2463"/>
        <v>78915001</v>
      </c>
      <c r="D13686">
        <v>89301062</v>
      </c>
      <c r="E13686" t="str">
        <f>"7108174469"</f>
        <v>7108174469</v>
      </c>
      <c r="F13686" s="1">
        <v>45237</v>
      </c>
      <c r="G13686" t="str">
        <f>"0207733"</f>
        <v>0207733</v>
      </c>
      <c r="H13686">
        <v>1.2</v>
      </c>
      <c r="J13686">
        <v>3108.64</v>
      </c>
      <c r="K13686" t="str">
        <f t="shared" si="2464"/>
        <v>809</v>
      </c>
      <c r="L13686">
        <v>3108.64</v>
      </c>
    </row>
    <row r="13687" spans="1:12" x14ac:dyDescent="0.25">
      <c r="A13687" t="str">
        <f t="shared" si="2459"/>
        <v>89301000</v>
      </c>
      <c r="B13687" t="str">
        <f t="shared" si="2462"/>
        <v>78915000</v>
      </c>
      <c r="C13687" t="str">
        <f t="shared" si="2463"/>
        <v>78915001</v>
      </c>
      <c r="D13687">
        <v>89301607</v>
      </c>
      <c r="E13687" t="str">
        <f>"7358074691"</f>
        <v>7358074691</v>
      </c>
      <c r="F13687" s="1">
        <v>45238</v>
      </c>
      <c r="G13687" t="str">
        <f>"09572"</f>
        <v>09572</v>
      </c>
      <c r="H13687">
        <v>1</v>
      </c>
      <c r="I13687">
        <v>0</v>
      </c>
      <c r="J13687">
        <v>0</v>
      </c>
      <c r="K13687" t="str">
        <f t="shared" si="2464"/>
        <v>809</v>
      </c>
      <c r="L13687">
        <v>0</v>
      </c>
    </row>
    <row r="13688" spans="1:12" x14ac:dyDescent="0.25">
      <c r="A13688" t="str">
        <f t="shared" si="2459"/>
        <v>89301000</v>
      </c>
      <c r="B13688" t="str">
        <f t="shared" si="2462"/>
        <v>78915000</v>
      </c>
      <c r="C13688" t="str">
        <f t="shared" si="2463"/>
        <v>78915001</v>
      </c>
      <c r="D13688">
        <v>89301607</v>
      </c>
      <c r="E13688" t="str">
        <f>"7358074691"</f>
        <v>7358074691</v>
      </c>
      <c r="F13688" s="1">
        <v>45238</v>
      </c>
      <c r="G13688" t="str">
        <f>"89713"</f>
        <v>89713</v>
      </c>
      <c r="H13688">
        <v>2</v>
      </c>
      <c r="I13688">
        <v>10822</v>
      </c>
      <c r="J13688">
        <v>0</v>
      </c>
      <c r="K13688" t="str">
        <f t="shared" si="2464"/>
        <v>809</v>
      </c>
      <c r="L13688">
        <v>7034.3</v>
      </c>
    </row>
    <row r="13689" spans="1:12" x14ac:dyDescent="0.25">
      <c r="A13689" t="str">
        <f t="shared" si="2459"/>
        <v>89301000</v>
      </c>
      <c r="B13689" t="str">
        <f t="shared" si="2462"/>
        <v>78915000</v>
      </c>
      <c r="C13689" t="str">
        <f t="shared" si="2463"/>
        <v>78915001</v>
      </c>
      <c r="D13689">
        <v>89301215</v>
      </c>
      <c r="E13689" t="str">
        <f>"7454275312"</f>
        <v>7454275312</v>
      </c>
      <c r="F13689" s="1">
        <v>45245</v>
      </c>
      <c r="G13689" t="str">
        <f>"89715"</f>
        <v>89715</v>
      </c>
      <c r="H13689">
        <v>1</v>
      </c>
      <c r="I13689">
        <v>5523</v>
      </c>
      <c r="J13689">
        <v>0</v>
      </c>
      <c r="K13689" t="str">
        <f t="shared" si="2464"/>
        <v>809</v>
      </c>
      <c r="L13689">
        <v>3589.95</v>
      </c>
    </row>
    <row r="13690" spans="1:12" x14ac:dyDescent="0.25">
      <c r="A13690" t="str">
        <f t="shared" si="2459"/>
        <v>89301000</v>
      </c>
      <c r="B13690" t="str">
        <f t="shared" si="2462"/>
        <v>78915000</v>
      </c>
      <c r="C13690" t="str">
        <f t="shared" si="2463"/>
        <v>78915001</v>
      </c>
      <c r="D13690">
        <v>89301215</v>
      </c>
      <c r="E13690" t="str">
        <f>"7454275312"</f>
        <v>7454275312</v>
      </c>
      <c r="F13690" s="1">
        <v>45245</v>
      </c>
      <c r="G13690" t="str">
        <f>"89725"</f>
        <v>89725</v>
      </c>
      <c r="H13690">
        <v>1</v>
      </c>
      <c r="I13690">
        <v>2863</v>
      </c>
      <c r="J13690">
        <v>0</v>
      </c>
      <c r="K13690" t="str">
        <f t="shared" si="2464"/>
        <v>809</v>
      </c>
      <c r="L13690">
        <v>1860.95</v>
      </c>
    </row>
    <row r="13691" spans="1:12" x14ac:dyDescent="0.25">
      <c r="A13691" t="str">
        <f t="shared" si="2459"/>
        <v>89301000</v>
      </c>
      <c r="B13691" t="str">
        <f t="shared" si="2462"/>
        <v>78915000</v>
      </c>
      <c r="C13691" t="str">
        <f t="shared" si="2463"/>
        <v>78915001</v>
      </c>
      <c r="D13691">
        <v>89301215</v>
      </c>
      <c r="E13691" t="str">
        <f>"7454275312"</f>
        <v>7454275312</v>
      </c>
      <c r="F13691" s="1">
        <v>45245</v>
      </c>
      <c r="G13691" t="str">
        <f>"0207733"</f>
        <v>0207733</v>
      </c>
      <c r="H13691">
        <v>1</v>
      </c>
      <c r="J13691">
        <v>2590.5300000000002</v>
      </c>
      <c r="K13691" t="str">
        <f t="shared" si="2464"/>
        <v>809</v>
      </c>
      <c r="L13691">
        <v>2590.5300000000002</v>
      </c>
    </row>
    <row r="13692" spans="1:12" x14ac:dyDescent="0.25">
      <c r="A13692" t="str">
        <f t="shared" si="2459"/>
        <v>89301000</v>
      </c>
      <c r="B13692" t="str">
        <f t="shared" si="2462"/>
        <v>78915000</v>
      </c>
      <c r="C13692" t="str">
        <f t="shared" si="2463"/>
        <v>78915001</v>
      </c>
      <c r="D13692">
        <v>89301112</v>
      </c>
      <c r="E13692" t="str">
        <f>"7460055790"</f>
        <v>7460055790</v>
      </c>
      <c r="F13692" s="1">
        <v>45236</v>
      </c>
      <c r="G13692" t="str">
        <f>"09567"</f>
        <v>09567</v>
      </c>
      <c r="H13692">
        <v>1</v>
      </c>
      <c r="I13692">
        <v>0</v>
      </c>
      <c r="J13692">
        <v>0</v>
      </c>
      <c r="K13692" t="str">
        <f t="shared" si="2464"/>
        <v>809</v>
      </c>
      <c r="L13692">
        <v>0</v>
      </c>
    </row>
    <row r="13693" spans="1:12" x14ac:dyDescent="0.25">
      <c r="A13693" t="str">
        <f t="shared" si="2459"/>
        <v>89301000</v>
      </c>
      <c r="B13693" t="str">
        <f t="shared" si="2462"/>
        <v>78915000</v>
      </c>
      <c r="C13693" t="str">
        <f t="shared" si="2463"/>
        <v>78915001</v>
      </c>
      <c r="D13693">
        <v>89301112</v>
      </c>
      <c r="E13693" t="str">
        <f>"7460055790"</f>
        <v>7460055790</v>
      </c>
      <c r="F13693" s="1">
        <v>45236</v>
      </c>
      <c r="G13693" t="str">
        <f>"89713"</f>
        <v>89713</v>
      </c>
      <c r="H13693">
        <v>1</v>
      </c>
      <c r="I13693">
        <v>5411</v>
      </c>
      <c r="J13693">
        <v>0</v>
      </c>
      <c r="K13693" t="str">
        <f t="shared" si="2464"/>
        <v>809</v>
      </c>
      <c r="L13693">
        <v>3517.15</v>
      </c>
    </row>
    <row r="13694" spans="1:12" x14ac:dyDescent="0.25">
      <c r="A13694" t="str">
        <f t="shared" si="2459"/>
        <v>89301000</v>
      </c>
      <c r="B13694" t="str">
        <f t="shared" si="2462"/>
        <v>78915000</v>
      </c>
      <c r="C13694" t="str">
        <f t="shared" si="2463"/>
        <v>78915001</v>
      </c>
      <c r="D13694">
        <v>89301074</v>
      </c>
      <c r="E13694" t="str">
        <f>"7601305305"</f>
        <v>7601305305</v>
      </c>
      <c r="F13694" s="1">
        <v>45237</v>
      </c>
      <c r="G13694" t="str">
        <f>"89713"</f>
        <v>89713</v>
      </c>
      <c r="H13694">
        <v>1</v>
      </c>
      <c r="I13694">
        <v>5411</v>
      </c>
      <c r="J13694">
        <v>0</v>
      </c>
      <c r="K13694" t="str">
        <f t="shared" si="2464"/>
        <v>809</v>
      </c>
      <c r="L13694">
        <v>3517.15</v>
      </c>
    </row>
    <row r="13695" spans="1:12" x14ac:dyDescent="0.25">
      <c r="A13695" t="str">
        <f t="shared" si="2459"/>
        <v>89301000</v>
      </c>
      <c r="B13695" t="str">
        <f t="shared" si="2462"/>
        <v>78915000</v>
      </c>
      <c r="C13695" t="str">
        <f t="shared" si="2463"/>
        <v>78915001</v>
      </c>
      <c r="D13695">
        <v>89301074</v>
      </c>
      <c r="E13695" t="str">
        <f>"7601305305"</f>
        <v>7601305305</v>
      </c>
      <c r="F13695" s="1">
        <v>45237</v>
      </c>
      <c r="G13695" t="str">
        <f>"89725"</f>
        <v>89725</v>
      </c>
      <c r="H13695">
        <v>1</v>
      </c>
      <c r="I13695">
        <v>2863</v>
      </c>
      <c r="J13695">
        <v>0</v>
      </c>
      <c r="K13695" t="str">
        <f t="shared" si="2464"/>
        <v>809</v>
      </c>
      <c r="L13695">
        <v>1860.95</v>
      </c>
    </row>
    <row r="13696" spans="1:12" x14ac:dyDescent="0.25">
      <c r="A13696" t="str">
        <f t="shared" si="2459"/>
        <v>89301000</v>
      </c>
      <c r="B13696" t="str">
        <f t="shared" si="2462"/>
        <v>78915000</v>
      </c>
      <c r="C13696" t="str">
        <f t="shared" si="2463"/>
        <v>78915001</v>
      </c>
      <c r="D13696">
        <v>89301112</v>
      </c>
      <c r="E13696" t="str">
        <f>"7807115349"</f>
        <v>7807115349</v>
      </c>
      <c r="F13696" s="1">
        <v>45251</v>
      </c>
      <c r="G13696" t="str">
        <f>"09567"</f>
        <v>09567</v>
      </c>
      <c r="H13696">
        <v>1</v>
      </c>
      <c r="I13696">
        <v>0</v>
      </c>
      <c r="J13696">
        <v>0</v>
      </c>
      <c r="K13696" t="str">
        <f t="shared" si="2464"/>
        <v>809</v>
      </c>
      <c r="L13696">
        <v>0</v>
      </c>
    </row>
    <row r="13697" spans="1:12" x14ac:dyDescent="0.25">
      <c r="A13697" t="str">
        <f t="shared" si="2459"/>
        <v>89301000</v>
      </c>
      <c r="B13697" t="str">
        <f t="shared" si="2462"/>
        <v>78915000</v>
      </c>
      <c r="C13697" t="str">
        <f t="shared" si="2463"/>
        <v>78915001</v>
      </c>
      <c r="D13697">
        <v>89301112</v>
      </c>
      <c r="E13697" t="str">
        <f>"7807115349"</f>
        <v>7807115349</v>
      </c>
      <c r="F13697" s="1">
        <v>45251</v>
      </c>
      <c r="G13697" t="str">
        <f>"89713"</f>
        <v>89713</v>
      </c>
      <c r="H13697">
        <v>1</v>
      </c>
      <c r="I13697">
        <v>5411</v>
      </c>
      <c r="J13697">
        <v>0</v>
      </c>
      <c r="K13697" t="str">
        <f t="shared" si="2464"/>
        <v>809</v>
      </c>
      <c r="L13697">
        <v>3517.15</v>
      </c>
    </row>
    <row r="13698" spans="1:12" x14ac:dyDescent="0.25">
      <c r="A13698" t="str">
        <f t="shared" ref="A13698:A13761" si="2465">"89301000"</f>
        <v>89301000</v>
      </c>
      <c r="B13698" t="str">
        <f t="shared" si="2462"/>
        <v>78915000</v>
      </c>
      <c r="C13698" t="str">
        <f t="shared" si="2463"/>
        <v>78915001</v>
      </c>
      <c r="D13698">
        <v>89301172</v>
      </c>
      <c r="E13698" t="str">
        <f>"8259304493"</f>
        <v>8259304493</v>
      </c>
      <c r="F13698" s="1">
        <v>45255</v>
      </c>
      <c r="G13698" t="str">
        <f>"89713"</f>
        <v>89713</v>
      </c>
      <c r="H13698">
        <v>2</v>
      </c>
      <c r="I13698">
        <v>10822</v>
      </c>
      <c r="J13698">
        <v>0</v>
      </c>
      <c r="K13698" t="str">
        <f t="shared" si="2464"/>
        <v>809</v>
      </c>
      <c r="L13698">
        <v>7034.3</v>
      </c>
    </row>
    <row r="13699" spans="1:12" x14ac:dyDescent="0.25">
      <c r="A13699" t="str">
        <f t="shared" si="2465"/>
        <v>89301000</v>
      </c>
      <c r="B13699" t="str">
        <f t="shared" si="2462"/>
        <v>78915000</v>
      </c>
      <c r="C13699" t="str">
        <f t="shared" si="2463"/>
        <v>78915001</v>
      </c>
      <c r="D13699">
        <v>89301172</v>
      </c>
      <c r="E13699" t="str">
        <f>"8259304493"</f>
        <v>8259304493</v>
      </c>
      <c r="F13699" s="1">
        <v>45255</v>
      </c>
      <c r="G13699" t="str">
        <f>"89725"</f>
        <v>89725</v>
      </c>
      <c r="H13699">
        <v>1</v>
      </c>
      <c r="I13699">
        <v>2863</v>
      </c>
      <c r="J13699">
        <v>0</v>
      </c>
      <c r="K13699" t="str">
        <f t="shared" ref="K13699:K13715" si="2466">"809"</f>
        <v>809</v>
      </c>
      <c r="L13699">
        <v>1860.95</v>
      </c>
    </row>
    <row r="13700" spans="1:12" x14ac:dyDescent="0.25">
      <c r="A13700" t="str">
        <f t="shared" si="2465"/>
        <v>89301000</v>
      </c>
      <c r="B13700" t="str">
        <f t="shared" si="2462"/>
        <v>78915000</v>
      </c>
      <c r="C13700" t="str">
        <f t="shared" si="2463"/>
        <v>78915001</v>
      </c>
      <c r="D13700">
        <v>89301212</v>
      </c>
      <c r="E13700" t="str">
        <f>"8904105705"</f>
        <v>8904105705</v>
      </c>
      <c r="F13700" s="1">
        <v>45260</v>
      </c>
      <c r="G13700" t="str">
        <f>"89715"</f>
        <v>89715</v>
      </c>
      <c r="H13700">
        <v>1</v>
      </c>
      <c r="I13700">
        <v>5523</v>
      </c>
      <c r="J13700">
        <v>0</v>
      </c>
      <c r="K13700" t="str">
        <f t="shared" si="2466"/>
        <v>809</v>
      </c>
      <c r="L13700">
        <v>3589.95</v>
      </c>
    </row>
    <row r="13701" spans="1:12" x14ac:dyDescent="0.25">
      <c r="A13701" t="str">
        <f t="shared" si="2465"/>
        <v>89301000</v>
      </c>
      <c r="B13701" t="str">
        <f t="shared" si="2462"/>
        <v>78915000</v>
      </c>
      <c r="C13701" t="str">
        <f t="shared" si="2463"/>
        <v>78915001</v>
      </c>
      <c r="D13701">
        <v>89301212</v>
      </c>
      <c r="E13701" t="str">
        <f>"8904105705"</f>
        <v>8904105705</v>
      </c>
      <c r="F13701" s="1">
        <v>45260</v>
      </c>
      <c r="G13701" t="str">
        <f>"89725"</f>
        <v>89725</v>
      </c>
      <c r="H13701">
        <v>1</v>
      </c>
      <c r="I13701">
        <v>2863</v>
      </c>
      <c r="J13701">
        <v>0</v>
      </c>
      <c r="K13701" t="str">
        <f t="shared" si="2466"/>
        <v>809</v>
      </c>
      <c r="L13701">
        <v>1860.95</v>
      </c>
    </row>
    <row r="13702" spans="1:12" x14ac:dyDescent="0.25">
      <c r="A13702" t="str">
        <f t="shared" si="2465"/>
        <v>89301000</v>
      </c>
      <c r="B13702" t="str">
        <f t="shared" si="2462"/>
        <v>78915000</v>
      </c>
      <c r="C13702" t="str">
        <f t="shared" si="2463"/>
        <v>78915001</v>
      </c>
      <c r="D13702">
        <v>89301212</v>
      </c>
      <c r="E13702" t="str">
        <f>"8904105705"</f>
        <v>8904105705</v>
      </c>
      <c r="F13702" s="1">
        <v>45260</v>
      </c>
      <c r="G13702" t="str">
        <f>"0207733"</f>
        <v>0207733</v>
      </c>
      <c r="H13702">
        <v>1.2</v>
      </c>
      <c r="J13702">
        <v>3108.64</v>
      </c>
      <c r="K13702" t="str">
        <f t="shared" si="2466"/>
        <v>809</v>
      </c>
      <c r="L13702">
        <v>3108.64</v>
      </c>
    </row>
    <row r="13703" spans="1:12" x14ac:dyDescent="0.25">
      <c r="A13703" t="str">
        <f t="shared" si="2465"/>
        <v>89301000</v>
      </c>
      <c r="B13703" t="str">
        <f t="shared" si="2462"/>
        <v>78915000</v>
      </c>
      <c r="C13703" t="str">
        <f t="shared" si="2463"/>
        <v>78915001</v>
      </c>
      <c r="D13703">
        <v>89301606</v>
      </c>
      <c r="E13703" t="str">
        <f>"9104045753"</f>
        <v>9104045753</v>
      </c>
      <c r="F13703" s="1">
        <v>45247</v>
      </c>
      <c r="G13703" t="str">
        <f>"89713"</f>
        <v>89713</v>
      </c>
      <c r="H13703">
        <v>1</v>
      </c>
      <c r="I13703">
        <v>5411</v>
      </c>
      <c r="J13703">
        <v>0</v>
      </c>
      <c r="K13703" t="str">
        <f t="shared" si="2466"/>
        <v>809</v>
      </c>
      <c r="L13703">
        <v>3517.15</v>
      </c>
    </row>
    <row r="13704" spans="1:12" x14ac:dyDescent="0.25">
      <c r="A13704" t="str">
        <f t="shared" si="2465"/>
        <v>89301000</v>
      </c>
      <c r="B13704" t="str">
        <f t="shared" si="2462"/>
        <v>78915000</v>
      </c>
      <c r="C13704" t="str">
        <f t="shared" si="2463"/>
        <v>78915001</v>
      </c>
      <c r="D13704">
        <v>89301606</v>
      </c>
      <c r="E13704" t="str">
        <f>"9104045753"</f>
        <v>9104045753</v>
      </c>
      <c r="F13704" s="1">
        <v>45247</v>
      </c>
      <c r="G13704" t="str">
        <f>"89725"</f>
        <v>89725</v>
      </c>
      <c r="H13704">
        <v>1</v>
      </c>
      <c r="I13704">
        <v>2863</v>
      </c>
      <c r="J13704">
        <v>0</v>
      </c>
      <c r="K13704" t="str">
        <f t="shared" si="2466"/>
        <v>809</v>
      </c>
      <c r="L13704">
        <v>1860.95</v>
      </c>
    </row>
    <row r="13705" spans="1:12" x14ac:dyDescent="0.25">
      <c r="A13705" t="str">
        <f t="shared" si="2465"/>
        <v>89301000</v>
      </c>
      <c r="B13705" t="str">
        <f t="shared" si="2462"/>
        <v>78915000</v>
      </c>
      <c r="C13705" t="str">
        <f t="shared" si="2463"/>
        <v>78915001</v>
      </c>
      <c r="D13705">
        <v>89301112</v>
      </c>
      <c r="E13705" t="str">
        <f>"9311124845"</f>
        <v>9311124845</v>
      </c>
      <c r="F13705" s="1">
        <v>45238</v>
      </c>
      <c r="G13705" t="str">
        <f>"09569"</f>
        <v>09569</v>
      </c>
      <c r="H13705">
        <v>1</v>
      </c>
      <c r="I13705">
        <v>0</v>
      </c>
      <c r="J13705">
        <v>0</v>
      </c>
      <c r="K13705" t="str">
        <f t="shared" si="2466"/>
        <v>809</v>
      </c>
      <c r="L13705">
        <v>0</v>
      </c>
    </row>
    <row r="13706" spans="1:12" x14ac:dyDescent="0.25">
      <c r="A13706" t="str">
        <f t="shared" si="2465"/>
        <v>89301000</v>
      </c>
      <c r="B13706" t="str">
        <f t="shared" si="2462"/>
        <v>78915000</v>
      </c>
      <c r="C13706" t="str">
        <f t="shared" si="2463"/>
        <v>78915001</v>
      </c>
      <c r="D13706">
        <v>89301112</v>
      </c>
      <c r="E13706" t="str">
        <f>"9311124845"</f>
        <v>9311124845</v>
      </c>
      <c r="F13706" s="1">
        <v>45238</v>
      </c>
      <c r="G13706" t="str">
        <f>"89713"</f>
        <v>89713</v>
      </c>
      <c r="H13706">
        <v>1</v>
      </c>
      <c r="I13706">
        <v>5411</v>
      </c>
      <c r="J13706">
        <v>0</v>
      </c>
      <c r="K13706" t="str">
        <f t="shared" si="2466"/>
        <v>809</v>
      </c>
      <c r="L13706">
        <v>3517.15</v>
      </c>
    </row>
    <row r="13707" spans="1:12" x14ac:dyDescent="0.25">
      <c r="A13707" t="str">
        <f t="shared" si="2465"/>
        <v>89301000</v>
      </c>
      <c r="B13707" t="str">
        <f t="shared" si="2462"/>
        <v>78915000</v>
      </c>
      <c r="C13707" t="str">
        <f t="shared" si="2463"/>
        <v>78915001</v>
      </c>
      <c r="D13707">
        <v>89301112</v>
      </c>
      <c r="E13707" t="str">
        <f>"9554155710"</f>
        <v>9554155710</v>
      </c>
      <c r="F13707" s="1">
        <v>45252</v>
      </c>
      <c r="G13707" t="str">
        <f>"09567"</f>
        <v>09567</v>
      </c>
      <c r="H13707">
        <v>1</v>
      </c>
      <c r="I13707">
        <v>0</v>
      </c>
      <c r="J13707">
        <v>0</v>
      </c>
      <c r="K13707" t="str">
        <f t="shared" si="2466"/>
        <v>809</v>
      </c>
      <c r="L13707">
        <v>0</v>
      </c>
    </row>
    <row r="13708" spans="1:12" x14ac:dyDescent="0.25">
      <c r="A13708" t="str">
        <f t="shared" si="2465"/>
        <v>89301000</v>
      </c>
      <c r="B13708" t="str">
        <f t="shared" si="2462"/>
        <v>78915000</v>
      </c>
      <c r="C13708" t="str">
        <f t="shared" si="2463"/>
        <v>78915001</v>
      </c>
      <c r="D13708">
        <v>89301112</v>
      </c>
      <c r="E13708" t="str">
        <f>"9554155710"</f>
        <v>9554155710</v>
      </c>
      <c r="F13708" s="1">
        <v>45252</v>
      </c>
      <c r="G13708" t="str">
        <f>"89713"</f>
        <v>89713</v>
      </c>
      <c r="H13708">
        <v>1</v>
      </c>
      <c r="I13708">
        <v>5411</v>
      </c>
      <c r="J13708">
        <v>0</v>
      </c>
      <c r="K13708" t="str">
        <f t="shared" si="2466"/>
        <v>809</v>
      </c>
      <c r="L13708">
        <v>3517.15</v>
      </c>
    </row>
    <row r="13709" spans="1:12" x14ac:dyDescent="0.25">
      <c r="A13709" t="str">
        <f t="shared" si="2465"/>
        <v>89301000</v>
      </c>
      <c r="B13709" t="str">
        <f t="shared" si="2462"/>
        <v>78915000</v>
      </c>
      <c r="C13709" t="str">
        <f t="shared" si="2463"/>
        <v>78915001</v>
      </c>
      <c r="D13709">
        <v>89301112</v>
      </c>
      <c r="E13709" t="str">
        <f>"9910315701"</f>
        <v>9910315701</v>
      </c>
      <c r="F13709" s="1">
        <v>45247</v>
      </c>
      <c r="G13709" t="str">
        <f>"09567"</f>
        <v>09567</v>
      </c>
      <c r="H13709">
        <v>1</v>
      </c>
      <c r="I13709">
        <v>0</v>
      </c>
      <c r="J13709">
        <v>0</v>
      </c>
      <c r="K13709" t="str">
        <f t="shared" si="2466"/>
        <v>809</v>
      </c>
      <c r="L13709">
        <v>0</v>
      </c>
    </row>
    <row r="13710" spans="1:12" x14ac:dyDescent="0.25">
      <c r="A13710" t="str">
        <f t="shared" si="2465"/>
        <v>89301000</v>
      </c>
      <c r="B13710" t="str">
        <f t="shared" si="2462"/>
        <v>78915000</v>
      </c>
      <c r="C13710" t="str">
        <f t="shared" si="2463"/>
        <v>78915001</v>
      </c>
      <c r="D13710">
        <v>89301112</v>
      </c>
      <c r="E13710" t="str">
        <f>"9910315701"</f>
        <v>9910315701</v>
      </c>
      <c r="F13710" s="1">
        <v>45247</v>
      </c>
      <c r="G13710" t="str">
        <f>"89713"</f>
        <v>89713</v>
      </c>
      <c r="H13710">
        <v>1</v>
      </c>
      <c r="I13710">
        <v>5411</v>
      </c>
      <c r="J13710">
        <v>0</v>
      </c>
      <c r="K13710" t="str">
        <f t="shared" si="2466"/>
        <v>809</v>
      </c>
      <c r="L13710">
        <v>3517.15</v>
      </c>
    </row>
    <row r="13711" spans="1:12" x14ac:dyDescent="0.25">
      <c r="A13711" t="str">
        <f t="shared" si="2465"/>
        <v>89301000</v>
      </c>
      <c r="B13711" t="str">
        <f t="shared" ref="B13711:C13713" si="2467">"89345401"</f>
        <v>89345401</v>
      </c>
      <c r="C13711" t="str">
        <f t="shared" si="2467"/>
        <v>89345401</v>
      </c>
      <c r="D13711">
        <v>89301212</v>
      </c>
      <c r="E13711" t="str">
        <f>"7251235376"</f>
        <v>7251235376</v>
      </c>
      <c r="F13711" s="1">
        <v>45240</v>
      </c>
      <c r="G13711" t="str">
        <f>"09135"</f>
        <v>09135</v>
      </c>
      <c r="H13711">
        <v>1</v>
      </c>
      <c r="I13711">
        <v>179</v>
      </c>
      <c r="J13711">
        <v>0</v>
      </c>
      <c r="K13711" t="str">
        <f t="shared" si="2466"/>
        <v>809</v>
      </c>
      <c r="L13711">
        <v>263.13</v>
      </c>
    </row>
    <row r="13712" spans="1:12" x14ac:dyDescent="0.25">
      <c r="A13712" t="str">
        <f t="shared" si="2465"/>
        <v>89301000</v>
      </c>
      <c r="B13712" t="str">
        <f t="shared" si="2467"/>
        <v>89345401</v>
      </c>
      <c r="C13712" t="str">
        <f t="shared" si="2467"/>
        <v>89345401</v>
      </c>
      <c r="D13712">
        <v>89301212</v>
      </c>
      <c r="E13712" t="str">
        <f>"7657075349"</f>
        <v>7657075349</v>
      </c>
      <c r="F13712" s="1">
        <v>45233</v>
      </c>
      <c r="G13712" t="str">
        <f>"09139"</f>
        <v>09139</v>
      </c>
      <c r="H13712">
        <v>1</v>
      </c>
      <c r="I13712">
        <v>356</v>
      </c>
      <c r="J13712">
        <v>0</v>
      </c>
      <c r="K13712" t="str">
        <f t="shared" si="2466"/>
        <v>809</v>
      </c>
      <c r="L13712">
        <v>523.32000000000005</v>
      </c>
    </row>
    <row r="13713" spans="1:12" x14ac:dyDescent="0.25">
      <c r="A13713" t="str">
        <f t="shared" si="2465"/>
        <v>89301000</v>
      </c>
      <c r="B13713" t="str">
        <f t="shared" si="2467"/>
        <v>89345401</v>
      </c>
      <c r="C13713" t="str">
        <f t="shared" si="2467"/>
        <v>89345401</v>
      </c>
      <c r="D13713">
        <v>89301212</v>
      </c>
      <c r="E13713" t="str">
        <f>"6452210721"</f>
        <v>6452210721</v>
      </c>
      <c r="F13713" s="1">
        <v>45258</v>
      </c>
      <c r="G13713" t="str">
        <f>"89131"</f>
        <v>89131</v>
      </c>
      <c r="H13713">
        <v>1</v>
      </c>
      <c r="I13713">
        <v>190</v>
      </c>
      <c r="J13713">
        <v>0</v>
      </c>
      <c r="K13713" t="str">
        <f t="shared" si="2466"/>
        <v>809</v>
      </c>
      <c r="L13713">
        <v>279.3</v>
      </c>
    </row>
    <row r="13714" spans="1:12" x14ac:dyDescent="0.25">
      <c r="A13714" t="str">
        <f t="shared" si="2465"/>
        <v>89301000</v>
      </c>
      <c r="B13714" t="str">
        <f>"78610000"</f>
        <v>78610000</v>
      </c>
      <c r="C13714" t="str">
        <f>"78610001"</f>
        <v>78610001</v>
      </c>
      <c r="D13714">
        <v>89301322</v>
      </c>
      <c r="E13714" t="str">
        <f>"470723420"</f>
        <v>470723420</v>
      </c>
      <c r="F13714" s="1">
        <v>45231</v>
      </c>
      <c r="G13714" t="str">
        <f>"89513"</f>
        <v>89513</v>
      </c>
      <c r="H13714">
        <v>1</v>
      </c>
      <c r="I13714">
        <v>378</v>
      </c>
      <c r="J13714">
        <v>0</v>
      </c>
      <c r="K13714" t="str">
        <f t="shared" si="2466"/>
        <v>809</v>
      </c>
      <c r="L13714">
        <v>555.66</v>
      </c>
    </row>
    <row r="13715" spans="1:12" x14ac:dyDescent="0.25">
      <c r="A13715" t="str">
        <f t="shared" si="2465"/>
        <v>89301000</v>
      </c>
      <c r="B13715" t="str">
        <f>"78610000"</f>
        <v>78610000</v>
      </c>
      <c r="C13715" t="str">
        <f>"78610001"</f>
        <v>78610001</v>
      </c>
      <c r="D13715">
        <v>89301322</v>
      </c>
      <c r="E13715" t="str">
        <f>"470723420"</f>
        <v>470723420</v>
      </c>
      <c r="F13715" s="1">
        <v>45231</v>
      </c>
      <c r="G13715" t="str">
        <f>"89514"</f>
        <v>89514</v>
      </c>
      <c r="H13715">
        <v>1</v>
      </c>
      <c r="I13715">
        <v>378</v>
      </c>
      <c r="J13715">
        <v>0</v>
      </c>
      <c r="K13715" t="str">
        <f t="shared" si="2466"/>
        <v>809</v>
      </c>
      <c r="L13715">
        <v>555.66</v>
      </c>
    </row>
    <row r="13716" spans="1:12" x14ac:dyDescent="0.25">
      <c r="A13716" t="str">
        <f t="shared" si="2465"/>
        <v>89301000</v>
      </c>
      <c r="B13716" t="str">
        <f t="shared" ref="B13716:B13747" si="2468">"93501000"</f>
        <v>93501000</v>
      </c>
      <c r="C13716" t="str">
        <f t="shared" ref="C13716:C13747" si="2469">"93501001"</f>
        <v>93501001</v>
      </c>
      <c r="D13716">
        <v>89301167</v>
      </c>
      <c r="E13716" t="str">
        <f t="shared" ref="E13716:E13756" si="2470">"420102444"</f>
        <v>420102444</v>
      </c>
      <c r="F13716" s="1">
        <v>45232</v>
      </c>
      <c r="G13716" t="str">
        <f>"09119"</f>
        <v>09119</v>
      </c>
      <c r="H13716">
        <v>1</v>
      </c>
      <c r="I13716">
        <v>43</v>
      </c>
      <c r="J13716">
        <v>0</v>
      </c>
      <c r="K13716" t="str">
        <f t="shared" ref="K13716:K13747" si="2471">"801"</f>
        <v>801</v>
      </c>
      <c r="L13716">
        <v>54.18</v>
      </c>
    </row>
    <row r="13717" spans="1:12" x14ac:dyDescent="0.25">
      <c r="A13717" t="str">
        <f t="shared" si="2465"/>
        <v>89301000</v>
      </c>
      <c r="B13717" t="str">
        <f t="shared" si="2468"/>
        <v>93501000</v>
      </c>
      <c r="C13717" t="str">
        <f t="shared" si="2469"/>
        <v>93501001</v>
      </c>
      <c r="D13717">
        <v>89301167</v>
      </c>
      <c r="E13717" t="str">
        <f t="shared" si="2470"/>
        <v>420102444</v>
      </c>
      <c r="F13717" s="1">
        <v>45232</v>
      </c>
      <c r="G13717" t="str">
        <f>"81329"</f>
        <v>81329</v>
      </c>
      <c r="H13717">
        <v>1</v>
      </c>
      <c r="I13717">
        <v>17</v>
      </c>
      <c r="J13717">
        <v>0</v>
      </c>
      <c r="K13717" t="str">
        <f t="shared" si="2471"/>
        <v>801</v>
      </c>
      <c r="L13717">
        <v>14.28</v>
      </c>
    </row>
    <row r="13718" spans="1:12" x14ac:dyDescent="0.25">
      <c r="A13718" t="str">
        <f t="shared" si="2465"/>
        <v>89301000</v>
      </c>
      <c r="B13718" t="str">
        <f t="shared" si="2468"/>
        <v>93501000</v>
      </c>
      <c r="C13718" t="str">
        <f t="shared" si="2469"/>
        <v>93501001</v>
      </c>
      <c r="D13718">
        <v>89301167</v>
      </c>
      <c r="E13718" t="str">
        <f t="shared" si="2470"/>
        <v>420102444</v>
      </c>
      <c r="F13718" s="1">
        <v>45232</v>
      </c>
      <c r="G13718" t="str">
        <f>"81337"</f>
        <v>81337</v>
      </c>
      <c r="H13718">
        <v>1</v>
      </c>
      <c r="I13718">
        <v>20</v>
      </c>
      <c r="J13718">
        <v>0</v>
      </c>
      <c r="K13718" t="str">
        <f t="shared" si="2471"/>
        <v>801</v>
      </c>
      <c r="L13718">
        <v>16.8</v>
      </c>
    </row>
    <row r="13719" spans="1:12" x14ac:dyDescent="0.25">
      <c r="A13719" t="str">
        <f t="shared" si="2465"/>
        <v>89301000</v>
      </c>
      <c r="B13719" t="str">
        <f t="shared" si="2468"/>
        <v>93501000</v>
      </c>
      <c r="C13719" t="str">
        <f t="shared" si="2469"/>
        <v>93501001</v>
      </c>
      <c r="D13719">
        <v>89301167</v>
      </c>
      <c r="E13719" t="str">
        <f t="shared" si="2470"/>
        <v>420102444</v>
      </c>
      <c r="F13719" s="1">
        <v>45232</v>
      </c>
      <c r="G13719" t="str">
        <f>"81357"</f>
        <v>81357</v>
      </c>
      <c r="H13719">
        <v>1</v>
      </c>
      <c r="I13719">
        <v>20</v>
      </c>
      <c r="J13719">
        <v>0</v>
      </c>
      <c r="K13719" t="str">
        <f t="shared" si="2471"/>
        <v>801</v>
      </c>
      <c r="L13719">
        <v>16.8</v>
      </c>
    </row>
    <row r="13720" spans="1:12" x14ac:dyDescent="0.25">
      <c r="A13720" t="str">
        <f t="shared" si="2465"/>
        <v>89301000</v>
      </c>
      <c r="B13720" t="str">
        <f t="shared" si="2468"/>
        <v>93501000</v>
      </c>
      <c r="C13720" t="str">
        <f t="shared" si="2469"/>
        <v>93501001</v>
      </c>
      <c r="D13720">
        <v>89301167</v>
      </c>
      <c r="E13720" t="str">
        <f t="shared" si="2470"/>
        <v>420102444</v>
      </c>
      <c r="F13720" s="1">
        <v>45232</v>
      </c>
      <c r="G13720" t="str">
        <f>"81361"</f>
        <v>81361</v>
      </c>
      <c r="H13720">
        <v>1</v>
      </c>
      <c r="I13720">
        <v>17</v>
      </c>
      <c r="J13720">
        <v>0</v>
      </c>
      <c r="K13720" t="str">
        <f t="shared" si="2471"/>
        <v>801</v>
      </c>
      <c r="L13720">
        <v>14.28</v>
      </c>
    </row>
    <row r="13721" spans="1:12" x14ac:dyDescent="0.25">
      <c r="A13721" t="str">
        <f t="shared" si="2465"/>
        <v>89301000</v>
      </c>
      <c r="B13721" t="str">
        <f t="shared" si="2468"/>
        <v>93501000</v>
      </c>
      <c r="C13721" t="str">
        <f t="shared" si="2469"/>
        <v>93501001</v>
      </c>
      <c r="D13721">
        <v>89301167</v>
      </c>
      <c r="E13721" t="str">
        <f t="shared" si="2470"/>
        <v>420102444</v>
      </c>
      <c r="F13721" s="1">
        <v>45232</v>
      </c>
      <c r="G13721" t="str">
        <f>"81365"</f>
        <v>81365</v>
      </c>
      <c r="H13721">
        <v>1</v>
      </c>
      <c r="I13721">
        <v>16</v>
      </c>
      <c r="J13721">
        <v>0</v>
      </c>
      <c r="K13721" t="str">
        <f t="shared" si="2471"/>
        <v>801</v>
      </c>
      <c r="L13721">
        <v>13.44</v>
      </c>
    </row>
    <row r="13722" spans="1:12" x14ac:dyDescent="0.25">
      <c r="A13722" t="str">
        <f t="shared" si="2465"/>
        <v>89301000</v>
      </c>
      <c r="B13722" t="str">
        <f t="shared" si="2468"/>
        <v>93501000</v>
      </c>
      <c r="C13722" t="str">
        <f t="shared" si="2469"/>
        <v>93501001</v>
      </c>
      <c r="D13722">
        <v>89301167</v>
      </c>
      <c r="E13722" t="str">
        <f t="shared" si="2470"/>
        <v>420102444</v>
      </c>
      <c r="F13722" s="1">
        <v>45232</v>
      </c>
      <c r="G13722" t="str">
        <f>"81383"</f>
        <v>81383</v>
      </c>
      <c r="H13722">
        <v>1</v>
      </c>
      <c r="I13722">
        <v>24</v>
      </c>
      <c r="J13722">
        <v>0</v>
      </c>
      <c r="K13722" t="str">
        <f t="shared" si="2471"/>
        <v>801</v>
      </c>
      <c r="L13722">
        <v>20.16</v>
      </c>
    </row>
    <row r="13723" spans="1:12" x14ac:dyDescent="0.25">
      <c r="A13723" t="str">
        <f t="shared" si="2465"/>
        <v>89301000</v>
      </c>
      <c r="B13723" t="str">
        <f t="shared" si="2468"/>
        <v>93501000</v>
      </c>
      <c r="C13723" t="str">
        <f t="shared" si="2469"/>
        <v>93501001</v>
      </c>
      <c r="D13723">
        <v>89301167</v>
      </c>
      <c r="E13723" t="str">
        <f t="shared" si="2470"/>
        <v>420102444</v>
      </c>
      <c r="F13723" s="1">
        <v>45232</v>
      </c>
      <c r="G13723" t="str">
        <f>"81393"</f>
        <v>81393</v>
      </c>
      <c r="H13723">
        <v>1</v>
      </c>
      <c r="I13723">
        <v>24</v>
      </c>
      <c r="J13723">
        <v>0</v>
      </c>
      <c r="K13723" t="str">
        <f t="shared" si="2471"/>
        <v>801</v>
      </c>
      <c r="L13723">
        <v>20.16</v>
      </c>
    </row>
    <row r="13724" spans="1:12" x14ac:dyDescent="0.25">
      <c r="A13724" t="str">
        <f t="shared" si="2465"/>
        <v>89301000</v>
      </c>
      <c r="B13724" t="str">
        <f t="shared" si="2468"/>
        <v>93501000</v>
      </c>
      <c r="C13724" t="str">
        <f t="shared" si="2469"/>
        <v>93501001</v>
      </c>
      <c r="D13724">
        <v>89301167</v>
      </c>
      <c r="E13724" t="str">
        <f t="shared" si="2470"/>
        <v>420102444</v>
      </c>
      <c r="F13724" s="1">
        <v>45232</v>
      </c>
      <c r="G13724" t="str">
        <f>"81421"</f>
        <v>81421</v>
      </c>
      <c r="H13724">
        <v>1</v>
      </c>
      <c r="I13724">
        <v>19</v>
      </c>
      <c r="J13724">
        <v>0</v>
      </c>
      <c r="K13724" t="str">
        <f t="shared" si="2471"/>
        <v>801</v>
      </c>
      <c r="L13724">
        <v>15.96</v>
      </c>
    </row>
    <row r="13725" spans="1:12" x14ac:dyDescent="0.25">
      <c r="A13725" t="str">
        <f t="shared" si="2465"/>
        <v>89301000</v>
      </c>
      <c r="B13725" t="str">
        <f t="shared" si="2468"/>
        <v>93501000</v>
      </c>
      <c r="C13725" t="str">
        <f t="shared" si="2469"/>
        <v>93501001</v>
      </c>
      <c r="D13725">
        <v>89301167</v>
      </c>
      <c r="E13725" t="str">
        <f t="shared" si="2470"/>
        <v>420102444</v>
      </c>
      <c r="F13725" s="1">
        <v>45232</v>
      </c>
      <c r="G13725" t="str">
        <f>"81435"</f>
        <v>81435</v>
      </c>
      <c r="H13725">
        <v>1</v>
      </c>
      <c r="I13725">
        <v>22</v>
      </c>
      <c r="J13725">
        <v>0</v>
      </c>
      <c r="K13725" t="str">
        <f t="shared" si="2471"/>
        <v>801</v>
      </c>
      <c r="L13725">
        <v>18.48</v>
      </c>
    </row>
    <row r="13726" spans="1:12" x14ac:dyDescent="0.25">
      <c r="A13726" t="str">
        <f t="shared" si="2465"/>
        <v>89301000</v>
      </c>
      <c r="B13726" t="str">
        <f t="shared" si="2468"/>
        <v>93501000</v>
      </c>
      <c r="C13726" t="str">
        <f t="shared" si="2469"/>
        <v>93501001</v>
      </c>
      <c r="D13726">
        <v>89301167</v>
      </c>
      <c r="E13726" t="str">
        <f t="shared" si="2470"/>
        <v>420102444</v>
      </c>
      <c r="F13726" s="1">
        <v>45232</v>
      </c>
      <c r="G13726" t="str">
        <f>"81439"</f>
        <v>81439</v>
      </c>
      <c r="H13726">
        <v>1</v>
      </c>
      <c r="I13726">
        <v>16</v>
      </c>
      <c r="J13726">
        <v>0</v>
      </c>
      <c r="K13726" t="str">
        <f t="shared" si="2471"/>
        <v>801</v>
      </c>
      <c r="L13726">
        <v>13.44</v>
      </c>
    </row>
    <row r="13727" spans="1:12" x14ac:dyDescent="0.25">
      <c r="A13727" t="str">
        <f t="shared" si="2465"/>
        <v>89301000</v>
      </c>
      <c r="B13727" t="str">
        <f t="shared" si="2468"/>
        <v>93501000</v>
      </c>
      <c r="C13727" t="str">
        <f t="shared" si="2469"/>
        <v>93501001</v>
      </c>
      <c r="D13727">
        <v>89301167</v>
      </c>
      <c r="E13727" t="str">
        <f t="shared" si="2470"/>
        <v>420102444</v>
      </c>
      <c r="F13727" s="1">
        <v>45232</v>
      </c>
      <c r="G13727" t="str">
        <f>"81469"</f>
        <v>81469</v>
      </c>
      <c r="H13727">
        <v>1</v>
      </c>
      <c r="I13727">
        <v>16</v>
      </c>
      <c r="J13727">
        <v>0</v>
      </c>
      <c r="K13727" t="str">
        <f t="shared" si="2471"/>
        <v>801</v>
      </c>
      <c r="L13727">
        <v>13.44</v>
      </c>
    </row>
    <row r="13728" spans="1:12" x14ac:dyDescent="0.25">
      <c r="A13728" t="str">
        <f t="shared" si="2465"/>
        <v>89301000</v>
      </c>
      <c r="B13728" t="str">
        <f t="shared" si="2468"/>
        <v>93501000</v>
      </c>
      <c r="C13728" t="str">
        <f t="shared" si="2469"/>
        <v>93501001</v>
      </c>
      <c r="D13728">
        <v>89301167</v>
      </c>
      <c r="E13728" t="str">
        <f t="shared" si="2470"/>
        <v>420102444</v>
      </c>
      <c r="F13728" s="1">
        <v>45232</v>
      </c>
      <c r="G13728" t="str">
        <f>"81499"</f>
        <v>81499</v>
      </c>
      <c r="H13728">
        <v>1</v>
      </c>
      <c r="I13728">
        <v>18</v>
      </c>
      <c r="J13728">
        <v>0</v>
      </c>
      <c r="K13728" t="str">
        <f t="shared" si="2471"/>
        <v>801</v>
      </c>
      <c r="L13728">
        <v>15.12</v>
      </c>
    </row>
    <row r="13729" spans="1:12" x14ac:dyDescent="0.25">
      <c r="A13729" t="str">
        <f t="shared" si="2465"/>
        <v>89301000</v>
      </c>
      <c r="B13729" t="str">
        <f t="shared" si="2468"/>
        <v>93501000</v>
      </c>
      <c r="C13729" t="str">
        <f t="shared" si="2469"/>
        <v>93501001</v>
      </c>
      <c r="D13729">
        <v>89301167</v>
      </c>
      <c r="E13729" t="str">
        <f t="shared" si="2470"/>
        <v>420102444</v>
      </c>
      <c r="F13729" s="1">
        <v>45232</v>
      </c>
      <c r="G13729" t="str">
        <f>"81523"</f>
        <v>81523</v>
      </c>
      <c r="H13729">
        <v>1</v>
      </c>
      <c r="I13729">
        <v>23</v>
      </c>
      <c r="J13729">
        <v>0</v>
      </c>
      <c r="K13729" t="str">
        <f t="shared" si="2471"/>
        <v>801</v>
      </c>
      <c r="L13729">
        <v>19.32</v>
      </c>
    </row>
    <row r="13730" spans="1:12" x14ac:dyDescent="0.25">
      <c r="A13730" t="str">
        <f t="shared" si="2465"/>
        <v>89301000</v>
      </c>
      <c r="B13730" t="str">
        <f t="shared" si="2468"/>
        <v>93501000</v>
      </c>
      <c r="C13730" t="str">
        <f t="shared" si="2469"/>
        <v>93501001</v>
      </c>
      <c r="D13730">
        <v>89301167</v>
      </c>
      <c r="E13730" t="str">
        <f t="shared" si="2470"/>
        <v>420102444</v>
      </c>
      <c r="F13730" s="1">
        <v>45232</v>
      </c>
      <c r="G13730" t="str">
        <f>"81593"</f>
        <v>81593</v>
      </c>
      <c r="H13730">
        <v>1</v>
      </c>
      <c r="I13730">
        <v>22</v>
      </c>
      <c r="J13730">
        <v>0</v>
      </c>
      <c r="K13730" t="str">
        <f t="shared" si="2471"/>
        <v>801</v>
      </c>
      <c r="L13730">
        <v>18.48</v>
      </c>
    </row>
    <row r="13731" spans="1:12" x14ac:dyDescent="0.25">
      <c r="A13731" t="str">
        <f t="shared" si="2465"/>
        <v>89301000</v>
      </c>
      <c r="B13731" t="str">
        <f t="shared" si="2468"/>
        <v>93501000</v>
      </c>
      <c r="C13731" t="str">
        <f t="shared" si="2469"/>
        <v>93501001</v>
      </c>
      <c r="D13731">
        <v>89301167</v>
      </c>
      <c r="E13731" t="str">
        <f t="shared" si="2470"/>
        <v>420102444</v>
      </c>
      <c r="F13731" s="1">
        <v>45232</v>
      </c>
      <c r="G13731" t="str">
        <f>"81621"</f>
        <v>81621</v>
      </c>
      <c r="H13731">
        <v>1</v>
      </c>
      <c r="I13731">
        <v>19</v>
      </c>
      <c r="J13731">
        <v>0</v>
      </c>
      <c r="K13731" t="str">
        <f t="shared" si="2471"/>
        <v>801</v>
      </c>
      <c r="L13731">
        <v>15.96</v>
      </c>
    </row>
    <row r="13732" spans="1:12" x14ac:dyDescent="0.25">
      <c r="A13732" t="str">
        <f t="shared" si="2465"/>
        <v>89301000</v>
      </c>
      <c r="B13732" t="str">
        <f t="shared" si="2468"/>
        <v>93501000</v>
      </c>
      <c r="C13732" t="str">
        <f t="shared" si="2469"/>
        <v>93501001</v>
      </c>
      <c r="D13732">
        <v>89301167</v>
      </c>
      <c r="E13732" t="str">
        <f t="shared" si="2470"/>
        <v>420102444</v>
      </c>
      <c r="F13732" s="1">
        <v>45232</v>
      </c>
      <c r="G13732" t="str">
        <f>"81625"</f>
        <v>81625</v>
      </c>
      <c r="H13732">
        <v>1</v>
      </c>
      <c r="I13732">
        <v>21</v>
      </c>
      <c r="J13732">
        <v>0</v>
      </c>
      <c r="K13732" t="str">
        <f t="shared" si="2471"/>
        <v>801</v>
      </c>
      <c r="L13732">
        <v>17.64</v>
      </c>
    </row>
    <row r="13733" spans="1:12" x14ac:dyDescent="0.25">
      <c r="A13733" t="str">
        <f t="shared" si="2465"/>
        <v>89301000</v>
      </c>
      <c r="B13733" t="str">
        <f t="shared" si="2468"/>
        <v>93501000</v>
      </c>
      <c r="C13733" t="str">
        <f t="shared" si="2469"/>
        <v>93501001</v>
      </c>
      <c r="D13733">
        <v>89301167</v>
      </c>
      <c r="E13733" t="str">
        <f t="shared" si="2470"/>
        <v>420102444</v>
      </c>
      <c r="F13733" s="1">
        <v>45232</v>
      </c>
      <c r="G13733" t="str">
        <f>"91153"</f>
        <v>91153</v>
      </c>
      <c r="H13733">
        <v>1</v>
      </c>
      <c r="I13733">
        <v>153</v>
      </c>
      <c r="J13733">
        <v>0</v>
      </c>
      <c r="K13733" t="str">
        <f t="shared" si="2471"/>
        <v>801</v>
      </c>
      <c r="L13733">
        <v>128.52000000000001</v>
      </c>
    </row>
    <row r="13734" spans="1:12" x14ac:dyDescent="0.25">
      <c r="A13734" t="str">
        <f t="shared" si="2465"/>
        <v>89301000</v>
      </c>
      <c r="B13734" t="str">
        <f t="shared" si="2468"/>
        <v>93501000</v>
      </c>
      <c r="C13734" t="str">
        <f t="shared" si="2469"/>
        <v>93501001</v>
      </c>
      <c r="D13734">
        <v>89301167</v>
      </c>
      <c r="E13734" t="str">
        <f t="shared" si="2470"/>
        <v>420102444</v>
      </c>
      <c r="F13734" s="1">
        <v>45232</v>
      </c>
      <c r="G13734" t="str">
        <f>"93189"</f>
        <v>93189</v>
      </c>
      <c r="H13734">
        <v>1</v>
      </c>
      <c r="I13734">
        <v>191</v>
      </c>
      <c r="J13734">
        <v>0</v>
      </c>
      <c r="K13734" t="str">
        <f t="shared" si="2471"/>
        <v>801</v>
      </c>
      <c r="L13734">
        <v>160.44</v>
      </c>
    </row>
    <row r="13735" spans="1:12" x14ac:dyDescent="0.25">
      <c r="A13735" t="str">
        <f t="shared" si="2465"/>
        <v>89301000</v>
      </c>
      <c r="B13735" t="str">
        <f t="shared" si="2468"/>
        <v>93501000</v>
      </c>
      <c r="C13735" t="str">
        <f t="shared" si="2469"/>
        <v>93501001</v>
      </c>
      <c r="D13735">
        <v>89301167</v>
      </c>
      <c r="E13735" t="str">
        <f t="shared" si="2470"/>
        <v>420102444</v>
      </c>
      <c r="F13735" s="1">
        <v>45232</v>
      </c>
      <c r="G13735" t="str">
        <f>"93195"</f>
        <v>93195</v>
      </c>
      <c r="H13735">
        <v>1</v>
      </c>
      <c r="I13735">
        <v>183</v>
      </c>
      <c r="J13735">
        <v>0</v>
      </c>
      <c r="K13735" t="str">
        <f t="shared" si="2471"/>
        <v>801</v>
      </c>
      <c r="L13735">
        <v>153.72</v>
      </c>
    </row>
    <row r="13736" spans="1:12" x14ac:dyDescent="0.25">
      <c r="A13736" t="str">
        <f t="shared" si="2465"/>
        <v>89301000</v>
      </c>
      <c r="B13736" t="str">
        <f t="shared" si="2468"/>
        <v>93501000</v>
      </c>
      <c r="C13736" t="str">
        <f t="shared" si="2469"/>
        <v>93501001</v>
      </c>
      <c r="D13736">
        <v>89301167</v>
      </c>
      <c r="E13736" t="str">
        <f t="shared" si="2470"/>
        <v>420102444</v>
      </c>
      <c r="F13736" s="1">
        <v>45232</v>
      </c>
      <c r="G13736" t="str">
        <f>"97111"</f>
        <v>97111</v>
      </c>
      <c r="H13736">
        <v>1</v>
      </c>
      <c r="I13736">
        <v>19</v>
      </c>
      <c r="J13736">
        <v>0</v>
      </c>
      <c r="K13736" t="str">
        <f t="shared" si="2471"/>
        <v>801</v>
      </c>
      <c r="L13736">
        <v>23.94</v>
      </c>
    </row>
    <row r="13737" spans="1:12" x14ac:dyDescent="0.25">
      <c r="A13737" t="str">
        <f t="shared" si="2465"/>
        <v>89301000</v>
      </c>
      <c r="B13737" t="str">
        <f t="shared" si="2468"/>
        <v>93501000</v>
      </c>
      <c r="C13737" t="str">
        <f t="shared" si="2469"/>
        <v>93501001</v>
      </c>
      <c r="D13737">
        <v>89301167</v>
      </c>
      <c r="E13737" t="str">
        <f t="shared" si="2470"/>
        <v>420102444</v>
      </c>
      <c r="F13737" s="1">
        <v>45253</v>
      </c>
      <c r="G13737" t="str">
        <f>"09119"</f>
        <v>09119</v>
      </c>
      <c r="H13737">
        <v>1</v>
      </c>
      <c r="I13737">
        <v>43</v>
      </c>
      <c r="J13737">
        <v>0</v>
      </c>
      <c r="K13737" t="str">
        <f t="shared" si="2471"/>
        <v>801</v>
      </c>
      <c r="L13737">
        <v>54.18</v>
      </c>
    </row>
    <row r="13738" spans="1:12" x14ac:dyDescent="0.25">
      <c r="A13738" t="str">
        <f t="shared" si="2465"/>
        <v>89301000</v>
      </c>
      <c r="B13738" t="str">
        <f t="shared" si="2468"/>
        <v>93501000</v>
      </c>
      <c r="C13738" t="str">
        <f t="shared" si="2469"/>
        <v>93501001</v>
      </c>
      <c r="D13738">
        <v>89301167</v>
      </c>
      <c r="E13738" t="str">
        <f t="shared" si="2470"/>
        <v>420102444</v>
      </c>
      <c r="F13738" s="1">
        <v>45253</v>
      </c>
      <c r="G13738" t="str">
        <f>"81329"</f>
        <v>81329</v>
      </c>
      <c r="H13738">
        <v>1</v>
      </c>
      <c r="I13738">
        <v>17</v>
      </c>
      <c r="J13738">
        <v>0</v>
      </c>
      <c r="K13738" t="str">
        <f t="shared" si="2471"/>
        <v>801</v>
      </c>
      <c r="L13738">
        <v>14.28</v>
      </c>
    </row>
    <row r="13739" spans="1:12" x14ac:dyDescent="0.25">
      <c r="A13739" t="str">
        <f t="shared" si="2465"/>
        <v>89301000</v>
      </c>
      <c r="B13739" t="str">
        <f t="shared" si="2468"/>
        <v>93501000</v>
      </c>
      <c r="C13739" t="str">
        <f t="shared" si="2469"/>
        <v>93501001</v>
      </c>
      <c r="D13739">
        <v>89301167</v>
      </c>
      <c r="E13739" t="str">
        <f t="shared" si="2470"/>
        <v>420102444</v>
      </c>
      <c r="F13739" s="1">
        <v>45253</v>
      </c>
      <c r="G13739" t="str">
        <f>"81337"</f>
        <v>81337</v>
      </c>
      <c r="H13739">
        <v>1</v>
      </c>
      <c r="I13739">
        <v>20</v>
      </c>
      <c r="J13739">
        <v>0</v>
      </c>
      <c r="K13739" t="str">
        <f t="shared" si="2471"/>
        <v>801</v>
      </c>
      <c r="L13739">
        <v>16.8</v>
      </c>
    </row>
    <row r="13740" spans="1:12" x14ac:dyDescent="0.25">
      <c r="A13740" t="str">
        <f t="shared" si="2465"/>
        <v>89301000</v>
      </c>
      <c r="B13740" t="str">
        <f t="shared" si="2468"/>
        <v>93501000</v>
      </c>
      <c r="C13740" t="str">
        <f t="shared" si="2469"/>
        <v>93501001</v>
      </c>
      <c r="D13740">
        <v>89301167</v>
      </c>
      <c r="E13740" t="str">
        <f t="shared" si="2470"/>
        <v>420102444</v>
      </c>
      <c r="F13740" s="1">
        <v>45253</v>
      </c>
      <c r="G13740" t="str">
        <f>"81357"</f>
        <v>81357</v>
      </c>
      <c r="H13740">
        <v>1</v>
      </c>
      <c r="I13740">
        <v>20</v>
      </c>
      <c r="J13740">
        <v>0</v>
      </c>
      <c r="K13740" t="str">
        <f t="shared" si="2471"/>
        <v>801</v>
      </c>
      <c r="L13740">
        <v>16.8</v>
      </c>
    </row>
    <row r="13741" spans="1:12" x14ac:dyDescent="0.25">
      <c r="A13741" t="str">
        <f t="shared" si="2465"/>
        <v>89301000</v>
      </c>
      <c r="B13741" t="str">
        <f t="shared" si="2468"/>
        <v>93501000</v>
      </c>
      <c r="C13741" t="str">
        <f t="shared" si="2469"/>
        <v>93501001</v>
      </c>
      <c r="D13741">
        <v>89301167</v>
      </c>
      <c r="E13741" t="str">
        <f t="shared" si="2470"/>
        <v>420102444</v>
      </c>
      <c r="F13741" s="1">
        <v>45253</v>
      </c>
      <c r="G13741" t="str">
        <f>"81361"</f>
        <v>81361</v>
      </c>
      <c r="H13741">
        <v>1</v>
      </c>
      <c r="I13741">
        <v>17</v>
      </c>
      <c r="J13741">
        <v>0</v>
      </c>
      <c r="K13741" t="str">
        <f t="shared" si="2471"/>
        <v>801</v>
      </c>
      <c r="L13741">
        <v>14.28</v>
      </c>
    </row>
    <row r="13742" spans="1:12" x14ac:dyDescent="0.25">
      <c r="A13742" t="str">
        <f t="shared" si="2465"/>
        <v>89301000</v>
      </c>
      <c r="B13742" t="str">
        <f t="shared" si="2468"/>
        <v>93501000</v>
      </c>
      <c r="C13742" t="str">
        <f t="shared" si="2469"/>
        <v>93501001</v>
      </c>
      <c r="D13742">
        <v>89301167</v>
      </c>
      <c r="E13742" t="str">
        <f t="shared" si="2470"/>
        <v>420102444</v>
      </c>
      <c r="F13742" s="1">
        <v>45253</v>
      </c>
      <c r="G13742" t="str">
        <f>"81365"</f>
        <v>81365</v>
      </c>
      <c r="H13742">
        <v>1</v>
      </c>
      <c r="I13742">
        <v>16</v>
      </c>
      <c r="J13742">
        <v>0</v>
      </c>
      <c r="K13742" t="str">
        <f t="shared" si="2471"/>
        <v>801</v>
      </c>
      <c r="L13742">
        <v>13.44</v>
      </c>
    </row>
    <row r="13743" spans="1:12" x14ac:dyDescent="0.25">
      <c r="A13743" t="str">
        <f t="shared" si="2465"/>
        <v>89301000</v>
      </c>
      <c r="B13743" t="str">
        <f t="shared" si="2468"/>
        <v>93501000</v>
      </c>
      <c r="C13743" t="str">
        <f t="shared" si="2469"/>
        <v>93501001</v>
      </c>
      <c r="D13743">
        <v>89301167</v>
      </c>
      <c r="E13743" t="str">
        <f t="shared" si="2470"/>
        <v>420102444</v>
      </c>
      <c r="F13743" s="1">
        <v>45253</v>
      </c>
      <c r="G13743" t="str">
        <f>"81383"</f>
        <v>81383</v>
      </c>
      <c r="H13743">
        <v>1</v>
      </c>
      <c r="I13743">
        <v>24</v>
      </c>
      <c r="J13743">
        <v>0</v>
      </c>
      <c r="K13743" t="str">
        <f t="shared" si="2471"/>
        <v>801</v>
      </c>
      <c r="L13743">
        <v>20.16</v>
      </c>
    </row>
    <row r="13744" spans="1:12" x14ac:dyDescent="0.25">
      <c r="A13744" t="str">
        <f t="shared" si="2465"/>
        <v>89301000</v>
      </c>
      <c r="B13744" t="str">
        <f t="shared" si="2468"/>
        <v>93501000</v>
      </c>
      <c r="C13744" t="str">
        <f t="shared" si="2469"/>
        <v>93501001</v>
      </c>
      <c r="D13744">
        <v>89301167</v>
      </c>
      <c r="E13744" t="str">
        <f t="shared" si="2470"/>
        <v>420102444</v>
      </c>
      <c r="F13744" s="1">
        <v>45253</v>
      </c>
      <c r="G13744" t="str">
        <f>"81393"</f>
        <v>81393</v>
      </c>
      <c r="H13744">
        <v>1</v>
      </c>
      <c r="I13744">
        <v>24</v>
      </c>
      <c r="J13744">
        <v>0</v>
      </c>
      <c r="K13744" t="str">
        <f t="shared" si="2471"/>
        <v>801</v>
      </c>
      <c r="L13744">
        <v>20.16</v>
      </c>
    </row>
    <row r="13745" spans="1:12" x14ac:dyDescent="0.25">
      <c r="A13745" t="str">
        <f t="shared" si="2465"/>
        <v>89301000</v>
      </c>
      <c r="B13745" t="str">
        <f t="shared" si="2468"/>
        <v>93501000</v>
      </c>
      <c r="C13745" t="str">
        <f t="shared" si="2469"/>
        <v>93501001</v>
      </c>
      <c r="D13745">
        <v>89301167</v>
      </c>
      <c r="E13745" t="str">
        <f t="shared" si="2470"/>
        <v>420102444</v>
      </c>
      <c r="F13745" s="1">
        <v>45253</v>
      </c>
      <c r="G13745" t="str">
        <f>"81421"</f>
        <v>81421</v>
      </c>
      <c r="H13745">
        <v>1</v>
      </c>
      <c r="I13745">
        <v>19</v>
      </c>
      <c r="J13745">
        <v>0</v>
      </c>
      <c r="K13745" t="str">
        <f t="shared" si="2471"/>
        <v>801</v>
      </c>
      <c r="L13745">
        <v>15.96</v>
      </c>
    </row>
    <row r="13746" spans="1:12" x14ac:dyDescent="0.25">
      <c r="A13746" t="str">
        <f t="shared" si="2465"/>
        <v>89301000</v>
      </c>
      <c r="B13746" t="str">
        <f t="shared" si="2468"/>
        <v>93501000</v>
      </c>
      <c r="C13746" t="str">
        <f t="shared" si="2469"/>
        <v>93501001</v>
      </c>
      <c r="D13746">
        <v>89301167</v>
      </c>
      <c r="E13746" t="str">
        <f t="shared" si="2470"/>
        <v>420102444</v>
      </c>
      <c r="F13746" s="1">
        <v>45253</v>
      </c>
      <c r="G13746" t="str">
        <f>"81435"</f>
        <v>81435</v>
      </c>
      <c r="H13746">
        <v>1</v>
      </c>
      <c r="I13746">
        <v>22</v>
      </c>
      <c r="J13746">
        <v>0</v>
      </c>
      <c r="K13746" t="str">
        <f t="shared" si="2471"/>
        <v>801</v>
      </c>
      <c r="L13746">
        <v>18.48</v>
      </c>
    </row>
    <row r="13747" spans="1:12" x14ac:dyDescent="0.25">
      <c r="A13747" t="str">
        <f t="shared" si="2465"/>
        <v>89301000</v>
      </c>
      <c r="B13747" t="str">
        <f t="shared" si="2468"/>
        <v>93501000</v>
      </c>
      <c r="C13747" t="str">
        <f t="shared" si="2469"/>
        <v>93501001</v>
      </c>
      <c r="D13747">
        <v>89301167</v>
      </c>
      <c r="E13747" t="str">
        <f t="shared" si="2470"/>
        <v>420102444</v>
      </c>
      <c r="F13747" s="1">
        <v>45253</v>
      </c>
      <c r="G13747" t="str">
        <f>"81439"</f>
        <v>81439</v>
      </c>
      <c r="H13747">
        <v>1</v>
      </c>
      <c r="I13747">
        <v>16</v>
      </c>
      <c r="J13747">
        <v>0</v>
      </c>
      <c r="K13747" t="str">
        <f t="shared" si="2471"/>
        <v>801</v>
      </c>
      <c r="L13747">
        <v>13.44</v>
      </c>
    </row>
    <row r="13748" spans="1:12" x14ac:dyDescent="0.25">
      <c r="A13748" t="str">
        <f t="shared" si="2465"/>
        <v>89301000</v>
      </c>
      <c r="B13748" t="str">
        <f t="shared" ref="B13748:B13774" si="2472">"93501000"</f>
        <v>93501000</v>
      </c>
      <c r="C13748" t="str">
        <f t="shared" ref="C13748:C13771" si="2473">"93501001"</f>
        <v>93501001</v>
      </c>
      <c r="D13748">
        <v>89301167</v>
      </c>
      <c r="E13748" t="str">
        <f t="shared" si="2470"/>
        <v>420102444</v>
      </c>
      <c r="F13748" s="1">
        <v>45253</v>
      </c>
      <c r="G13748" t="str">
        <f>"81469"</f>
        <v>81469</v>
      </c>
      <c r="H13748">
        <v>1</v>
      </c>
      <c r="I13748">
        <v>16</v>
      </c>
      <c r="J13748">
        <v>0</v>
      </c>
      <c r="K13748" t="str">
        <f t="shared" ref="K13748:K13771" si="2474">"801"</f>
        <v>801</v>
      </c>
      <c r="L13748">
        <v>13.44</v>
      </c>
    </row>
    <row r="13749" spans="1:12" x14ac:dyDescent="0.25">
      <c r="A13749" t="str">
        <f t="shared" si="2465"/>
        <v>89301000</v>
      </c>
      <c r="B13749" t="str">
        <f t="shared" si="2472"/>
        <v>93501000</v>
      </c>
      <c r="C13749" t="str">
        <f t="shared" si="2473"/>
        <v>93501001</v>
      </c>
      <c r="D13749">
        <v>89301167</v>
      </c>
      <c r="E13749" t="str">
        <f t="shared" si="2470"/>
        <v>420102444</v>
      </c>
      <c r="F13749" s="1">
        <v>45253</v>
      </c>
      <c r="G13749" t="str">
        <f>"81499"</f>
        <v>81499</v>
      </c>
      <c r="H13749">
        <v>1</v>
      </c>
      <c r="I13749">
        <v>18</v>
      </c>
      <c r="J13749">
        <v>0</v>
      </c>
      <c r="K13749" t="str">
        <f t="shared" si="2474"/>
        <v>801</v>
      </c>
      <c r="L13749">
        <v>15.12</v>
      </c>
    </row>
    <row r="13750" spans="1:12" x14ac:dyDescent="0.25">
      <c r="A13750" t="str">
        <f t="shared" si="2465"/>
        <v>89301000</v>
      </c>
      <c r="B13750" t="str">
        <f t="shared" si="2472"/>
        <v>93501000</v>
      </c>
      <c r="C13750" t="str">
        <f t="shared" si="2473"/>
        <v>93501001</v>
      </c>
      <c r="D13750">
        <v>89301167</v>
      </c>
      <c r="E13750" t="str">
        <f t="shared" si="2470"/>
        <v>420102444</v>
      </c>
      <c r="F13750" s="1">
        <v>45253</v>
      </c>
      <c r="G13750" t="str">
        <f>"81593"</f>
        <v>81593</v>
      </c>
      <c r="H13750">
        <v>1</v>
      </c>
      <c r="I13750">
        <v>22</v>
      </c>
      <c r="J13750">
        <v>0</v>
      </c>
      <c r="K13750" t="str">
        <f t="shared" si="2474"/>
        <v>801</v>
      </c>
      <c r="L13750">
        <v>18.48</v>
      </c>
    </row>
    <row r="13751" spans="1:12" x14ac:dyDescent="0.25">
      <c r="A13751" t="str">
        <f t="shared" si="2465"/>
        <v>89301000</v>
      </c>
      <c r="B13751" t="str">
        <f t="shared" si="2472"/>
        <v>93501000</v>
      </c>
      <c r="C13751" t="str">
        <f t="shared" si="2473"/>
        <v>93501001</v>
      </c>
      <c r="D13751">
        <v>89301167</v>
      </c>
      <c r="E13751" t="str">
        <f t="shared" si="2470"/>
        <v>420102444</v>
      </c>
      <c r="F13751" s="1">
        <v>45253</v>
      </c>
      <c r="G13751" t="str">
        <f>"81621"</f>
        <v>81621</v>
      </c>
      <c r="H13751">
        <v>1</v>
      </c>
      <c r="I13751">
        <v>19</v>
      </c>
      <c r="J13751">
        <v>0</v>
      </c>
      <c r="K13751" t="str">
        <f t="shared" si="2474"/>
        <v>801</v>
      </c>
      <c r="L13751">
        <v>15.96</v>
      </c>
    </row>
    <row r="13752" spans="1:12" x14ac:dyDescent="0.25">
      <c r="A13752" t="str">
        <f t="shared" si="2465"/>
        <v>89301000</v>
      </c>
      <c r="B13752" t="str">
        <f t="shared" si="2472"/>
        <v>93501000</v>
      </c>
      <c r="C13752" t="str">
        <f t="shared" si="2473"/>
        <v>93501001</v>
      </c>
      <c r="D13752">
        <v>89301167</v>
      </c>
      <c r="E13752" t="str">
        <f t="shared" si="2470"/>
        <v>420102444</v>
      </c>
      <c r="F13752" s="1">
        <v>45253</v>
      </c>
      <c r="G13752" t="str">
        <f>"81625"</f>
        <v>81625</v>
      </c>
      <c r="H13752">
        <v>1</v>
      </c>
      <c r="I13752">
        <v>21</v>
      </c>
      <c r="J13752">
        <v>0</v>
      </c>
      <c r="K13752" t="str">
        <f t="shared" si="2474"/>
        <v>801</v>
      </c>
      <c r="L13752">
        <v>17.64</v>
      </c>
    </row>
    <row r="13753" spans="1:12" x14ac:dyDescent="0.25">
      <c r="A13753" t="str">
        <f t="shared" si="2465"/>
        <v>89301000</v>
      </c>
      <c r="B13753" t="str">
        <f t="shared" si="2472"/>
        <v>93501000</v>
      </c>
      <c r="C13753" t="str">
        <f t="shared" si="2473"/>
        <v>93501001</v>
      </c>
      <c r="D13753">
        <v>89301167</v>
      </c>
      <c r="E13753" t="str">
        <f t="shared" si="2470"/>
        <v>420102444</v>
      </c>
      <c r="F13753" s="1">
        <v>45253</v>
      </c>
      <c r="G13753" t="str">
        <f>"91153"</f>
        <v>91153</v>
      </c>
      <c r="H13753">
        <v>1</v>
      </c>
      <c r="I13753">
        <v>153</v>
      </c>
      <c r="J13753">
        <v>0</v>
      </c>
      <c r="K13753" t="str">
        <f t="shared" si="2474"/>
        <v>801</v>
      </c>
      <c r="L13753">
        <v>128.52000000000001</v>
      </c>
    </row>
    <row r="13754" spans="1:12" x14ac:dyDescent="0.25">
      <c r="A13754" t="str">
        <f t="shared" si="2465"/>
        <v>89301000</v>
      </c>
      <c r="B13754" t="str">
        <f t="shared" si="2472"/>
        <v>93501000</v>
      </c>
      <c r="C13754" t="str">
        <f t="shared" si="2473"/>
        <v>93501001</v>
      </c>
      <c r="D13754">
        <v>89301167</v>
      </c>
      <c r="E13754" t="str">
        <f t="shared" si="2470"/>
        <v>420102444</v>
      </c>
      <c r="F13754" s="1">
        <v>45253</v>
      </c>
      <c r="G13754" t="str">
        <f>"93189"</f>
        <v>93189</v>
      </c>
      <c r="H13754">
        <v>1</v>
      </c>
      <c r="I13754">
        <v>191</v>
      </c>
      <c r="J13754">
        <v>0</v>
      </c>
      <c r="K13754" t="str">
        <f t="shared" si="2474"/>
        <v>801</v>
      </c>
      <c r="L13754">
        <v>160.44</v>
      </c>
    </row>
    <row r="13755" spans="1:12" x14ac:dyDescent="0.25">
      <c r="A13755" t="str">
        <f t="shared" si="2465"/>
        <v>89301000</v>
      </c>
      <c r="B13755" t="str">
        <f t="shared" si="2472"/>
        <v>93501000</v>
      </c>
      <c r="C13755" t="str">
        <f t="shared" si="2473"/>
        <v>93501001</v>
      </c>
      <c r="D13755">
        <v>89301167</v>
      </c>
      <c r="E13755" t="str">
        <f t="shared" si="2470"/>
        <v>420102444</v>
      </c>
      <c r="F13755" s="1">
        <v>45253</v>
      </c>
      <c r="G13755" t="str">
        <f>"93195"</f>
        <v>93195</v>
      </c>
      <c r="H13755">
        <v>1</v>
      </c>
      <c r="I13755">
        <v>183</v>
      </c>
      <c r="J13755">
        <v>0</v>
      </c>
      <c r="K13755" t="str">
        <f t="shared" si="2474"/>
        <v>801</v>
      </c>
      <c r="L13755">
        <v>153.72</v>
      </c>
    </row>
    <row r="13756" spans="1:12" x14ac:dyDescent="0.25">
      <c r="A13756" t="str">
        <f t="shared" si="2465"/>
        <v>89301000</v>
      </c>
      <c r="B13756" t="str">
        <f t="shared" si="2472"/>
        <v>93501000</v>
      </c>
      <c r="C13756" t="str">
        <f t="shared" si="2473"/>
        <v>93501001</v>
      </c>
      <c r="D13756">
        <v>89301167</v>
      </c>
      <c r="E13756" t="str">
        <f t="shared" si="2470"/>
        <v>420102444</v>
      </c>
      <c r="F13756" s="1">
        <v>45253</v>
      </c>
      <c r="G13756" t="str">
        <f>"97111"</f>
        <v>97111</v>
      </c>
      <c r="H13756">
        <v>1</v>
      </c>
      <c r="I13756">
        <v>19</v>
      </c>
      <c r="J13756">
        <v>0</v>
      </c>
      <c r="K13756" t="str">
        <f t="shared" si="2474"/>
        <v>801</v>
      </c>
      <c r="L13756">
        <v>23.94</v>
      </c>
    </row>
    <row r="13757" spans="1:12" x14ac:dyDescent="0.25">
      <c r="A13757" t="str">
        <f t="shared" si="2465"/>
        <v>89301000</v>
      </c>
      <c r="B13757" t="str">
        <f t="shared" si="2472"/>
        <v>93501000</v>
      </c>
      <c r="C13757" t="str">
        <f t="shared" si="2473"/>
        <v>93501001</v>
      </c>
      <c r="D13757">
        <v>89301037</v>
      </c>
      <c r="E13757" t="str">
        <f t="shared" ref="E13757:E13772" si="2475">"6461161542"</f>
        <v>6461161542</v>
      </c>
      <c r="F13757" s="1">
        <v>45253</v>
      </c>
      <c r="G13757" t="str">
        <f>"09133"</f>
        <v>09133</v>
      </c>
      <c r="H13757">
        <v>1</v>
      </c>
      <c r="I13757">
        <v>34</v>
      </c>
      <c r="J13757">
        <v>0</v>
      </c>
      <c r="K13757" t="str">
        <f t="shared" si="2474"/>
        <v>801</v>
      </c>
      <c r="L13757">
        <v>42.84</v>
      </c>
    </row>
    <row r="13758" spans="1:12" x14ac:dyDescent="0.25">
      <c r="A13758" t="str">
        <f t="shared" si="2465"/>
        <v>89301000</v>
      </c>
      <c r="B13758" t="str">
        <f t="shared" si="2472"/>
        <v>93501000</v>
      </c>
      <c r="C13758" t="str">
        <f t="shared" si="2473"/>
        <v>93501001</v>
      </c>
      <c r="D13758">
        <v>89301037</v>
      </c>
      <c r="E13758" t="str">
        <f t="shared" si="2475"/>
        <v>6461161542</v>
      </c>
      <c r="F13758" s="1">
        <v>45253</v>
      </c>
      <c r="G13758" t="str">
        <f>"81337"</f>
        <v>81337</v>
      </c>
      <c r="H13758">
        <v>1</v>
      </c>
      <c r="I13758">
        <v>20</v>
      </c>
      <c r="J13758">
        <v>0</v>
      </c>
      <c r="K13758" t="str">
        <f t="shared" si="2474"/>
        <v>801</v>
      </c>
      <c r="L13758">
        <v>16.8</v>
      </c>
    </row>
    <row r="13759" spans="1:12" x14ac:dyDescent="0.25">
      <c r="A13759" t="str">
        <f t="shared" si="2465"/>
        <v>89301000</v>
      </c>
      <c r="B13759" t="str">
        <f t="shared" si="2472"/>
        <v>93501000</v>
      </c>
      <c r="C13759" t="str">
        <f t="shared" si="2473"/>
        <v>93501001</v>
      </c>
      <c r="D13759">
        <v>89301037</v>
      </c>
      <c r="E13759" t="str">
        <f t="shared" si="2475"/>
        <v>6461161542</v>
      </c>
      <c r="F13759" s="1">
        <v>45253</v>
      </c>
      <c r="G13759" t="str">
        <f>"81357"</f>
        <v>81357</v>
      </c>
      <c r="H13759">
        <v>1</v>
      </c>
      <c r="I13759">
        <v>20</v>
      </c>
      <c r="J13759">
        <v>0</v>
      </c>
      <c r="K13759" t="str">
        <f t="shared" si="2474"/>
        <v>801</v>
      </c>
      <c r="L13759">
        <v>16.8</v>
      </c>
    </row>
    <row r="13760" spans="1:12" x14ac:dyDescent="0.25">
      <c r="A13760" t="str">
        <f t="shared" si="2465"/>
        <v>89301000</v>
      </c>
      <c r="B13760" t="str">
        <f t="shared" si="2472"/>
        <v>93501000</v>
      </c>
      <c r="C13760" t="str">
        <f t="shared" si="2473"/>
        <v>93501001</v>
      </c>
      <c r="D13760">
        <v>89301037</v>
      </c>
      <c r="E13760" t="str">
        <f t="shared" si="2475"/>
        <v>6461161542</v>
      </c>
      <c r="F13760" s="1">
        <v>45253</v>
      </c>
      <c r="G13760" t="str">
        <f>"81361"</f>
        <v>81361</v>
      </c>
      <c r="H13760">
        <v>1</v>
      </c>
      <c r="I13760">
        <v>17</v>
      </c>
      <c r="J13760">
        <v>0</v>
      </c>
      <c r="K13760" t="str">
        <f t="shared" si="2474"/>
        <v>801</v>
      </c>
      <c r="L13760">
        <v>14.28</v>
      </c>
    </row>
    <row r="13761" spans="1:12" x14ac:dyDescent="0.25">
      <c r="A13761" t="str">
        <f t="shared" si="2465"/>
        <v>89301000</v>
      </c>
      <c r="B13761" t="str">
        <f t="shared" si="2472"/>
        <v>93501000</v>
      </c>
      <c r="C13761" t="str">
        <f t="shared" si="2473"/>
        <v>93501001</v>
      </c>
      <c r="D13761">
        <v>89301037</v>
      </c>
      <c r="E13761" t="str">
        <f t="shared" si="2475"/>
        <v>6461161542</v>
      </c>
      <c r="F13761" s="1">
        <v>45253</v>
      </c>
      <c r="G13761" t="str">
        <f>"81393"</f>
        <v>81393</v>
      </c>
      <c r="H13761">
        <v>1</v>
      </c>
      <c r="I13761">
        <v>24</v>
      </c>
      <c r="J13761">
        <v>0</v>
      </c>
      <c r="K13761" t="str">
        <f t="shared" si="2474"/>
        <v>801</v>
      </c>
      <c r="L13761">
        <v>20.16</v>
      </c>
    </row>
    <row r="13762" spans="1:12" x14ac:dyDescent="0.25">
      <c r="A13762" t="str">
        <f t="shared" ref="A13762:A13825" si="2476">"89301000"</f>
        <v>89301000</v>
      </c>
      <c r="B13762" t="str">
        <f t="shared" si="2472"/>
        <v>93501000</v>
      </c>
      <c r="C13762" t="str">
        <f t="shared" si="2473"/>
        <v>93501001</v>
      </c>
      <c r="D13762">
        <v>89301037</v>
      </c>
      <c r="E13762" t="str">
        <f t="shared" si="2475"/>
        <v>6461161542</v>
      </c>
      <c r="F13762" s="1">
        <v>45253</v>
      </c>
      <c r="G13762" t="str">
        <f>"81421"</f>
        <v>81421</v>
      </c>
      <c r="H13762">
        <v>1</v>
      </c>
      <c r="I13762">
        <v>19</v>
      </c>
      <c r="J13762">
        <v>0</v>
      </c>
      <c r="K13762" t="str">
        <f t="shared" si="2474"/>
        <v>801</v>
      </c>
      <c r="L13762">
        <v>15.96</v>
      </c>
    </row>
    <row r="13763" spans="1:12" x14ac:dyDescent="0.25">
      <c r="A13763" t="str">
        <f t="shared" si="2476"/>
        <v>89301000</v>
      </c>
      <c r="B13763" t="str">
        <f t="shared" si="2472"/>
        <v>93501000</v>
      </c>
      <c r="C13763" t="str">
        <f t="shared" si="2473"/>
        <v>93501001</v>
      </c>
      <c r="D13763">
        <v>89301037</v>
      </c>
      <c r="E13763" t="str">
        <f t="shared" si="2475"/>
        <v>6461161542</v>
      </c>
      <c r="F13763" s="1">
        <v>45253</v>
      </c>
      <c r="G13763" t="str">
        <f>"81435"</f>
        <v>81435</v>
      </c>
      <c r="H13763">
        <v>1</v>
      </c>
      <c r="I13763">
        <v>22</v>
      </c>
      <c r="J13763">
        <v>0</v>
      </c>
      <c r="K13763" t="str">
        <f t="shared" si="2474"/>
        <v>801</v>
      </c>
      <c r="L13763">
        <v>18.48</v>
      </c>
    </row>
    <row r="13764" spans="1:12" x14ac:dyDescent="0.25">
      <c r="A13764" t="str">
        <f t="shared" si="2476"/>
        <v>89301000</v>
      </c>
      <c r="B13764" t="str">
        <f t="shared" si="2472"/>
        <v>93501000</v>
      </c>
      <c r="C13764" t="str">
        <f t="shared" si="2473"/>
        <v>93501001</v>
      </c>
      <c r="D13764">
        <v>89301037</v>
      </c>
      <c r="E13764" t="str">
        <f t="shared" si="2475"/>
        <v>6461161542</v>
      </c>
      <c r="F13764" s="1">
        <v>45253</v>
      </c>
      <c r="G13764" t="str">
        <f>"81439"</f>
        <v>81439</v>
      </c>
      <c r="H13764">
        <v>1</v>
      </c>
      <c r="I13764">
        <v>16</v>
      </c>
      <c r="J13764">
        <v>0</v>
      </c>
      <c r="K13764" t="str">
        <f t="shared" si="2474"/>
        <v>801</v>
      </c>
      <c r="L13764">
        <v>13.44</v>
      </c>
    </row>
    <row r="13765" spans="1:12" x14ac:dyDescent="0.25">
      <c r="A13765" t="str">
        <f t="shared" si="2476"/>
        <v>89301000</v>
      </c>
      <c r="B13765" t="str">
        <f t="shared" si="2472"/>
        <v>93501000</v>
      </c>
      <c r="C13765" t="str">
        <f t="shared" si="2473"/>
        <v>93501001</v>
      </c>
      <c r="D13765">
        <v>89301037</v>
      </c>
      <c r="E13765" t="str">
        <f t="shared" si="2475"/>
        <v>6461161542</v>
      </c>
      <c r="F13765" s="1">
        <v>45253</v>
      </c>
      <c r="G13765" t="str">
        <f>"81469"</f>
        <v>81469</v>
      </c>
      <c r="H13765">
        <v>1</v>
      </c>
      <c r="I13765">
        <v>16</v>
      </c>
      <c r="J13765">
        <v>0</v>
      </c>
      <c r="K13765" t="str">
        <f t="shared" si="2474"/>
        <v>801</v>
      </c>
      <c r="L13765">
        <v>13.44</v>
      </c>
    </row>
    <row r="13766" spans="1:12" x14ac:dyDescent="0.25">
      <c r="A13766" t="str">
        <f t="shared" si="2476"/>
        <v>89301000</v>
      </c>
      <c r="B13766" t="str">
        <f t="shared" si="2472"/>
        <v>93501000</v>
      </c>
      <c r="C13766" t="str">
        <f t="shared" si="2473"/>
        <v>93501001</v>
      </c>
      <c r="D13766">
        <v>89301037</v>
      </c>
      <c r="E13766" t="str">
        <f t="shared" si="2475"/>
        <v>6461161542</v>
      </c>
      <c r="F13766" s="1">
        <v>45253</v>
      </c>
      <c r="G13766" t="str">
        <f>"81499"</f>
        <v>81499</v>
      </c>
      <c r="H13766">
        <v>1</v>
      </c>
      <c r="I13766">
        <v>18</v>
      </c>
      <c r="J13766">
        <v>0</v>
      </c>
      <c r="K13766" t="str">
        <f t="shared" si="2474"/>
        <v>801</v>
      </c>
      <c r="L13766">
        <v>15.12</v>
      </c>
    </row>
    <row r="13767" spans="1:12" x14ac:dyDescent="0.25">
      <c r="A13767" t="str">
        <f t="shared" si="2476"/>
        <v>89301000</v>
      </c>
      <c r="B13767" t="str">
        <f t="shared" si="2472"/>
        <v>93501000</v>
      </c>
      <c r="C13767" t="str">
        <f t="shared" si="2473"/>
        <v>93501001</v>
      </c>
      <c r="D13767">
        <v>89301037</v>
      </c>
      <c r="E13767" t="str">
        <f t="shared" si="2475"/>
        <v>6461161542</v>
      </c>
      <c r="F13767" s="1">
        <v>45253</v>
      </c>
      <c r="G13767" t="str">
        <f>"81523"</f>
        <v>81523</v>
      </c>
      <c r="H13767">
        <v>1</v>
      </c>
      <c r="I13767">
        <v>23</v>
      </c>
      <c r="J13767">
        <v>0</v>
      </c>
      <c r="K13767" t="str">
        <f t="shared" si="2474"/>
        <v>801</v>
      </c>
      <c r="L13767">
        <v>19.32</v>
      </c>
    </row>
    <row r="13768" spans="1:12" x14ac:dyDescent="0.25">
      <c r="A13768" t="str">
        <f t="shared" si="2476"/>
        <v>89301000</v>
      </c>
      <c r="B13768" t="str">
        <f t="shared" si="2472"/>
        <v>93501000</v>
      </c>
      <c r="C13768" t="str">
        <f t="shared" si="2473"/>
        <v>93501001</v>
      </c>
      <c r="D13768">
        <v>89301037</v>
      </c>
      <c r="E13768" t="str">
        <f t="shared" si="2475"/>
        <v>6461161542</v>
      </c>
      <c r="F13768" s="1">
        <v>45253</v>
      </c>
      <c r="G13768" t="str">
        <f>"81593"</f>
        <v>81593</v>
      </c>
      <c r="H13768">
        <v>1</v>
      </c>
      <c r="I13768">
        <v>22</v>
      </c>
      <c r="J13768">
        <v>0</v>
      </c>
      <c r="K13768" t="str">
        <f t="shared" si="2474"/>
        <v>801</v>
      </c>
      <c r="L13768">
        <v>18.48</v>
      </c>
    </row>
    <row r="13769" spans="1:12" x14ac:dyDescent="0.25">
      <c r="A13769" t="str">
        <f t="shared" si="2476"/>
        <v>89301000</v>
      </c>
      <c r="B13769" t="str">
        <f t="shared" si="2472"/>
        <v>93501000</v>
      </c>
      <c r="C13769" t="str">
        <f t="shared" si="2473"/>
        <v>93501001</v>
      </c>
      <c r="D13769">
        <v>89301037</v>
      </c>
      <c r="E13769" t="str">
        <f t="shared" si="2475"/>
        <v>6461161542</v>
      </c>
      <c r="F13769" s="1">
        <v>45253</v>
      </c>
      <c r="G13769" t="str">
        <f>"81621"</f>
        <v>81621</v>
      </c>
      <c r="H13769">
        <v>1</v>
      </c>
      <c r="I13769">
        <v>19</v>
      </c>
      <c r="J13769">
        <v>0</v>
      </c>
      <c r="K13769" t="str">
        <f t="shared" si="2474"/>
        <v>801</v>
      </c>
      <c r="L13769">
        <v>15.96</v>
      </c>
    </row>
    <row r="13770" spans="1:12" x14ac:dyDescent="0.25">
      <c r="A13770" t="str">
        <f t="shared" si="2476"/>
        <v>89301000</v>
      </c>
      <c r="B13770" t="str">
        <f t="shared" si="2472"/>
        <v>93501000</v>
      </c>
      <c r="C13770" t="str">
        <f t="shared" si="2473"/>
        <v>93501001</v>
      </c>
      <c r="D13770">
        <v>89301037</v>
      </c>
      <c r="E13770" t="str">
        <f t="shared" si="2475"/>
        <v>6461161542</v>
      </c>
      <c r="F13770" s="1">
        <v>45253</v>
      </c>
      <c r="G13770" t="str">
        <f>"91153"</f>
        <v>91153</v>
      </c>
      <c r="H13770">
        <v>1</v>
      </c>
      <c r="I13770">
        <v>153</v>
      </c>
      <c r="J13770">
        <v>0</v>
      </c>
      <c r="K13770" t="str">
        <f t="shared" si="2474"/>
        <v>801</v>
      </c>
      <c r="L13770">
        <v>128.52000000000001</v>
      </c>
    </row>
    <row r="13771" spans="1:12" x14ac:dyDescent="0.25">
      <c r="A13771" t="str">
        <f t="shared" si="2476"/>
        <v>89301000</v>
      </c>
      <c r="B13771" t="str">
        <f t="shared" si="2472"/>
        <v>93501000</v>
      </c>
      <c r="C13771" t="str">
        <f t="shared" si="2473"/>
        <v>93501001</v>
      </c>
      <c r="D13771">
        <v>89301037</v>
      </c>
      <c r="E13771" t="str">
        <f t="shared" si="2475"/>
        <v>6461161542</v>
      </c>
      <c r="F13771" s="1">
        <v>45253</v>
      </c>
      <c r="G13771" t="str">
        <f>"97111"</f>
        <v>97111</v>
      </c>
      <c r="H13771">
        <v>1</v>
      </c>
      <c r="I13771">
        <v>19</v>
      </c>
      <c r="J13771">
        <v>0</v>
      </c>
      <c r="K13771" t="str">
        <f t="shared" si="2474"/>
        <v>801</v>
      </c>
      <c r="L13771">
        <v>23.94</v>
      </c>
    </row>
    <row r="13772" spans="1:12" x14ac:dyDescent="0.25">
      <c r="A13772" t="str">
        <f t="shared" si="2476"/>
        <v>89301000</v>
      </c>
      <c r="B13772" t="str">
        <f t="shared" si="2472"/>
        <v>93501000</v>
      </c>
      <c r="C13772" t="str">
        <f>"93501005"</f>
        <v>93501005</v>
      </c>
      <c r="D13772">
        <v>89301037</v>
      </c>
      <c r="E13772" t="str">
        <f t="shared" si="2475"/>
        <v>6461161542</v>
      </c>
      <c r="F13772" s="1">
        <v>45253</v>
      </c>
      <c r="G13772" t="str">
        <f>"96163"</f>
        <v>96163</v>
      </c>
      <c r="H13772">
        <v>1</v>
      </c>
      <c r="I13772">
        <v>28</v>
      </c>
      <c r="J13772">
        <v>0</v>
      </c>
      <c r="K13772" t="str">
        <f>"818"</f>
        <v>818</v>
      </c>
      <c r="L13772">
        <v>27.16</v>
      </c>
    </row>
    <row r="13773" spans="1:12" x14ac:dyDescent="0.25">
      <c r="A13773" t="str">
        <f t="shared" si="2476"/>
        <v>89301000</v>
      </c>
      <c r="B13773" t="str">
        <f t="shared" si="2472"/>
        <v>93501000</v>
      </c>
      <c r="C13773" t="str">
        <f>"93501005"</f>
        <v>93501005</v>
      </c>
      <c r="D13773">
        <v>89301167</v>
      </c>
      <c r="E13773" t="str">
        <f>"420102444"</f>
        <v>420102444</v>
      </c>
      <c r="F13773" s="1">
        <v>45232</v>
      </c>
      <c r="G13773" t="str">
        <f>"96167"</f>
        <v>96167</v>
      </c>
      <c r="H13773">
        <v>1</v>
      </c>
      <c r="I13773">
        <v>67</v>
      </c>
      <c r="J13773">
        <v>0</v>
      </c>
      <c r="K13773" t="str">
        <f>"818"</f>
        <v>818</v>
      </c>
      <c r="L13773">
        <v>64.989999999999995</v>
      </c>
    </row>
    <row r="13774" spans="1:12" x14ac:dyDescent="0.25">
      <c r="A13774" t="str">
        <f t="shared" si="2476"/>
        <v>89301000</v>
      </c>
      <c r="B13774" t="str">
        <f t="shared" si="2472"/>
        <v>93501000</v>
      </c>
      <c r="C13774" t="str">
        <f>"93501005"</f>
        <v>93501005</v>
      </c>
      <c r="D13774">
        <v>89301167</v>
      </c>
      <c r="E13774" t="str">
        <f>"420102444"</f>
        <v>420102444</v>
      </c>
      <c r="F13774" s="1">
        <v>45253</v>
      </c>
      <c r="G13774" t="str">
        <f>"96167"</f>
        <v>96167</v>
      </c>
      <c r="H13774">
        <v>1</v>
      </c>
      <c r="I13774">
        <v>67</v>
      </c>
      <c r="J13774">
        <v>0</v>
      </c>
      <c r="K13774" t="str">
        <f>"818"</f>
        <v>818</v>
      </c>
      <c r="L13774">
        <v>64.989999999999995</v>
      </c>
    </row>
    <row r="13775" spans="1:12" x14ac:dyDescent="0.25">
      <c r="A13775" t="str">
        <f t="shared" si="2476"/>
        <v>89301000</v>
      </c>
      <c r="B13775" t="str">
        <f t="shared" ref="B13775:B13806" si="2477">"78051000"</f>
        <v>78051000</v>
      </c>
      <c r="C13775" t="str">
        <f t="shared" ref="C13775:C13806" si="2478">"78051004"</f>
        <v>78051004</v>
      </c>
      <c r="D13775">
        <v>89301062</v>
      </c>
      <c r="E13775" t="str">
        <f>"475428404"</f>
        <v>475428404</v>
      </c>
      <c r="F13775" s="1">
        <v>45237</v>
      </c>
      <c r="G13775" t="str">
        <f>"89311"</f>
        <v>89311</v>
      </c>
      <c r="H13775">
        <v>1</v>
      </c>
      <c r="I13775">
        <v>970</v>
      </c>
      <c r="J13775">
        <v>0</v>
      </c>
      <c r="K13775" t="str">
        <f t="shared" ref="K13775:K13806" si="2479">"809"</f>
        <v>809</v>
      </c>
      <c r="L13775">
        <v>1425.9</v>
      </c>
    </row>
    <row r="13776" spans="1:12" x14ac:dyDescent="0.25">
      <c r="A13776" t="str">
        <f t="shared" si="2476"/>
        <v>89301000</v>
      </c>
      <c r="B13776" t="str">
        <f t="shared" si="2477"/>
        <v>78051000</v>
      </c>
      <c r="C13776" t="str">
        <f t="shared" si="2478"/>
        <v>78051004</v>
      </c>
      <c r="D13776">
        <v>89301062</v>
      </c>
      <c r="E13776" t="str">
        <f>"475428404"</f>
        <v>475428404</v>
      </c>
      <c r="F13776" s="1">
        <v>45237</v>
      </c>
      <c r="G13776" t="str">
        <f>"0090044"</f>
        <v>0090044</v>
      </c>
      <c r="H13776">
        <v>1</v>
      </c>
      <c r="J13776">
        <v>16.8</v>
      </c>
      <c r="K13776" t="str">
        <f t="shared" si="2479"/>
        <v>809</v>
      </c>
      <c r="L13776">
        <v>16.8</v>
      </c>
    </row>
    <row r="13777" spans="1:12" x14ac:dyDescent="0.25">
      <c r="A13777" t="str">
        <f t="shared" si="2476"/>
        <v>89301000</v>
      </c>
      <c r="B13777" t="str">
        <f t="shared" si="2477"/>
        <v>78051000</v>
      </c>
      <c r="C13777" t="str">
        <f t="shared" si="2478"/>
        <v>78051004</v>
      </c>
      <c r="D13777">
        <v>89301062</v>
      </c>
      <c r="E13777" t="str">
        <f>"475428404"</f>
        <v>475428404</v>
      </c>
      <c r="F13777" s="1">
        <v>45237</v>
      </c>
      <c r="G13777" t="str">
        <f>"0225891"</f>
        <v>0225891</v>
      </c>
      <c r="H13777">
        <v>0.2</v>
      </c>
      <c r="J13777">
        <v>44.65</v>
      </c>
      <c r="K13777" t="str">
        <f t="shared" si="2479"/>
        <v>809</v>
      </c>
      <c r="L13777">
        <v>44.65</v>
      </c>
    </row>
    <row r="13778" spans="1:12" x14ac:dyDescent="0.25">
      <c r="A13778" t="str">
        <f t="shared" si="2476"/>
        <v>89301000</v>
      </c>
      <c r="B13778" t="str">
        <f t="shared" si="2477"/>
        <v>78051000</v>
      </c>
      <c r="C13778" t="str">
        <f t="shared" si="2478"/>
        <v>78051004</v>
      </c>
      <c r="D13778">
        <v>89301062</v>
      </c>
      <c r="E13778" t="str">
        <f>"475428404"</f>
        <v>475428404</v>
      </c>
      <c r="F13778" s="1">
        <v>45237</v>
      </c>
      <c r="G13778" t="str">
        <f>"0096251"</f>
        <v>0096251</v>
      </c>
      <c r="H13778">
        <v>0.17</v>
      </c>
      <c r="J13778">
        <v>198.83</v>
      </c>
      <c r="K13778" t="str">
        <f t="shared" si="2479"/>
        <v>809</v>
      </c>
      <c r="L13778">
        <v>198.83</v>
      </c>
    </row>
    <row r="13779" spans="1:12" x14ac:dyDescent="0.25">
      <c r="A13779" t="str">
        <f t="shared" si="2476"/>
        <v>89301000</v>
      </c>
      <c r="B13779" t="str">
        <f t="shared" si="2477"/>
        <v>78051000</v>
      </c>
      <c r="C13779" t="str">
        <f t="shared" si="2478"/>
        <v>78051004</v>
      </c>
      <c r="D13779">
        <v>89301062</v>
      </c>
      <c r="E13779" t="str">
        <f>"475428404"</f>
        <v>475428404</v>
      </c>
      <c r="F13779" s="1">
        <v>45237</v>
      </c>
      <c r="G13779" t="str">
        <f>"0098943"</f>
        <v>0098943</v>
      </c>
      <c r="H13779">
        <v>1</v>
      </c>
      <c r="J13779">
        <v>293.81</v>
      </c>
      <c r="K13779" t="str">
        <f t="shared" si="2479"/>
        <v>809</v>
      </c>
      <c r="L13779">
        <v>293.81</v>
      </c>
    </row>
    <row r="13780" spans="1:12" x14ac:dyDescent="0.25">
      <c r="A13780" t="str">
        <f t="shared" si="2476"/>
        <v>89301000</v>
      </c>
      <c r="B13780" t="str">
        <f t="shared" si="2477"/>
        <v>78051000</v>
      </c>
      <c r="C13780" t="str">
        <f t="shared" si="2478"/>
        <v>78051004</v>
      </c>
      <c r="D13780">
        <v>89301062</v>
      </c>
      <c r="E13780" t="str">
        <f>"510312183"</f>
        <v>510312183</v>
      </c>
      <c r="F13780" s="1">
        <v>45237</v>
      </c>
      <c r="G13780" t="str">
        <f>"89311"</f>
        <v>89311</v>
      </c>
      <c r="H13780">
        <v>1</v>
      </c>
      <c r="I13780">
        <v>970</v>
      </c>
      <c r="J13780">
        <v>0</v>
      </c>
      <c r="K13780" t="str">
        <f t="shared" si="2479"/>
        <v>809</v>
      </c>
      <c r="L13780">
        <v>1425.9</v>
      </c>
    </row>
    <row r="13781" spans="1:12" x14ac:dyDescent="0.25">
      <c r="A13781" t="str">
        <f t="shared" si="2476"/>
        <v>89301000</v>
      </c>
      <c r="B13781" t="str">
        <f t="shared" si="2477"/>
        <v>78051000</v>
      </c>
      <c r="C13781" t="str">
        <f t="shared" si="2478"/>
        <v>78051004</v>
      </c>
      <c r="D13781">
        <v>89301062</v>
      </c>
      <c r="E13781" t="str">
        <f>"510312183"</f>
        <v>510312183</v>
      </c>
      <c r="F13781" s="1">
        <v>45237</v>
      </c>
      <c r="G13781" t="str">
        <f>"0090044"</f>
        <v>0090044</v>
      </c>
      <c r="H13781">
        <v>1</v>
      </c>
      <c r="J13781">
        <v>16.8</v>
      </c>
      <c r="K13781" t="str">
        <f t="shared" si="2479"/>
        <v>809</v>
      </c>
      <c r="L13781">
        <v>16.8</v>
      </c>
    </row>
    <row r="13782" spans="1:12" x14ac:dyDescent="0.25">
      <c r="A13782" t="str">
        <f t="shared" si="2476"/>
        <v>89301000</v>
      </c>
      <c r="B13782" t="str">
        <f t="shared" si="2477"/>
        <v>78051000</v>
      </c>
      <c r="C13782" t="str">
        <f t="shared" si="2478"/>
        <v>78051004</v>
      </c>
      <c r="D13782">
        <v>89301062</v>
      </c>
      <c r="E13782" t="str">
        <f>"510312183"</f>
        <v>510312183</v>
      </c>
      <c r="F13782" s="1">
        <v>45237</v>
      </c>
      <c r="G13782" t="str">
        <f>"0225891"</f>
        <v>0225891</v>
      </c>
      <c r="H13782">
        <v>0.2</v>
      </c>
      <c r="J13782">
        <v>44.65</v>
      </c>
      <c r="K13782" t="str">
        <f t="shared" si="2479"/>
        <v>809</v>
      </c>
      <c r="L13782">
        <v>44.65</v>
      </c>
    </row>
    <row r="13783" spans="1:12" x14ac:dyDescent="0.25">
      <c r="A13783" t="str">
        <f t="shared" si="2476"/>
        <v>89301000</v>
      </c>
      <c r="B13783" t="str">
        <f t="shared" si="2477"/>
        <v>78051000</v>
      </c>
      <c r="C13783" t="str">
        <f t="shared" si="2478"/>
        <v>78051004</v>
      </c>
      <c r="D13783">
        <v>89301062</v>
      </c>
      <c r="E13783" t="str">
        <f>"510312183"</f>
        <v>510312183</v>
      </c>
      <c r="F13783" s="1">
        <v>45237</v>
      </c>
      <c r="G13783" t="str">
        <f>"0096251"</f>
        <v>0096251</v>
      </c>
      <c r="H13783">
        <v>0.17</v>
      </c>
      <c r="J13783">
        <v>198.83</v>
      </c>
      <c r="K13783" t="str">
        <f t="shared" si="2479"/>
        <v>809</v>
      </c>
      <c r="L13783">
        <v>198.83</v>
      </c>
    </row>
    <row r="13784" spans="1:12" x14ac:dyDescent="0.25">
      <c r="A13784" t="str">
        <f t="shared" si="2476"/>
        <v>89301000</v>
      </c>
      <c r="B13784" t="str">
        <f t="shared" si="2477"/>
        <v>78051000</v>
      </c>
      <c r="C13784" t="str">
        <f t="shared" si="2478"/>
        <v>78051004</v>
      </c>
      <c r="D13784">
        <v>89301062</v>
      </c>
      <c r="E13784" t="str">
        <f>"510312183"</f>
        <v>510312183</v>
      </c>
      <c r="F13784" s="1">
        <v>45237</v>
      </c>
      <c r="G13784" t="str">
        <f>"0098943"</f>
        <v>0098943</v>
      </c>
      <c r="H13784">
        <v>1</v>
      </c>
      <c r="J13784">
        <v>293.81</v>
      </c>
      <c r="K13784" t="str">
        <f t="shared" si="2479"/>
        <v>809</v>
      </c>
      <c r="L13784">
        <v>293.81</v>
      </c>
    </row>
    <row r="13785" spans="1:12" x14ac:dyDescent="0.25">
      <c r="A13785" t="str">
        <f t="shared" si="2476"/>
        <v>89301000</v>
      </c>
      <c r="B13785" t="str">
        <f t="shared" si="2477"/>
        <v>78051000</v>
      </c>
      <c r="C13785" t="str">
        <f t="shared" si="2478"/>
        <v>78051004</v>
      </c>
      <c r="D13785">
        <v>89301062</v>
      </c>
      <c r="E13785" t="str">
        <f>"6658060189"</f>
        <v>6658060189</v>
      </c>
      <c r="F13785" s="1">
        <v>45237</v>
      </c>
      <c r="G13785" t="str">
        <f>"89311"</f>
        <v>89311</v>
      </c>
      <c r="H13785">
        <v>1</v>
      </c>
      <c r="I13785">
        <v>970</v>
      </c>
      <c r="J13785">
        <v>0</v>
      </c>
      <c r="K13785" t="str">
        <f t="shared" si="2479"/>
        <v>809</v>
      </c>
      <c r="L13785">
        <v>1425.9</v>
      </c>
    </row>
    <row r="13786" spans="1:12" x14ac:dyDescent="0.25">
      <c r="A13786" t="str">
        <f t="shared" si="2476"/>
        <v>89301000</v>
      </c>
      <c r="B13786" t="str">
        <f t="shared" si="2477"/>
        <v>78051000</v>
      </c>
      <c r="C13786" t="str">
        <f t="shared" si="2478"/>
        <v>78051004</v>
      </c>
      <c r="D13786">
        <v>89301062</v>
      </c>
      <c r="E13786" t="str">
        <f>"6658060189"</f>
        <v>6658060189</v>
      </c>
      <c r="F13786" s="1">
        <v>45237</v>
      </c>
      <c r="G13786" t="str">
        <f>"0090044"</f>
        <v>0090044</v>
      </c>
      <c r="H13786">
        <v>1</v>
      </c>
      <c r="J13786">
        <v>16.8</v>
      </c>
      <c r="K13786" t="str">
        <f t="shared" si="2479"/>
        <v>809</v>
      </c>
      <c r="L13786">
        <v>16.8</v>
      </c>
    </row>
    <row r="13787" spans="1:12" x14ac:dyDescent="0.25">
      <c r="A13787" t="str">
        <f t="shared" si="2476"/>
        <v>89301000</v>
      </c>
      <c r="B13787" t="str">
        <f t="shared" si="2477"/>
        <v>78051000</v>
      </c>
      <c r="C13787" t="str">
        <f t="shared" si="2478"/>
        <v>78051004</v>
      </c>
      <c r="D13787">
        <v>89301062</v>
      </c>
      <c r="E13787" t="str">
        <f>"6658060189"</f>
        <v>6658060189</v>
      </c>
      <c r="F13787" s="1">
        <v>45237</v>
      </c>
      <c r="G13787" t="str">
        <f>"0225891"</f>
        <v>0225891</v>
      </c>
      <c r="H13787">
        <v>0.2</v>
      </c>
      <c r="J13787">
        <v>44.65</v>
      </c>
      <c r="K13787" t="str">
        <f t="shared" si="2479"/>
        <v>809</v>
      </c>
      <c r="L13787">
        <v>44.65</v>
      </c>
    </row>
    <row r="13788" spans="1:12" x14ac:dyDescent="0.25">
      <c r="A13788" t="str">
        <f t="shared" si="2476"/>
        <v>89301000</v>
      </c>
      <c r="B13788" t="str">
        <f t="shared" si="2477"/>
        <v>78051000</v>
      </c>
      <c r="C13788" t="str">
        <f t="shared" si="2478"/>
        <v>78051004</v>
      </c>
      <c r="D13788">
        <v>89301062</v>
      </c>
      <c r="E13788" t="str">
        <f>"6658060189"</f>
        <v>6658060189</v>
      </c>
      <c r="F13788" s="1">
        <v>45237</v>
      </c>
      <c r="G13788" t="str">
        <f>"0096251"</f>
        <v>0096251</v>
      </c>
      <c r="H13788">
        <v>0.17</v>
      </c>
      <c r="J13788">
        <v>198.83</v>
      </c>
      <c r="K13788" t="str">
        <f t="shared" si="2479"/>
        <v>809</v>
      </c>
      <c r="L13788">
        <v>198.83</v>
      </c>
    </row>
    <row r="13789" spans="1:12" x14ac:dyDescent="0.25">
      <c r="A13789" t="str">
        <f t="shared" si="2476"/>
        <v>89301000</v>
      </c>
      <c r="B13789" t="str">
        <f t="shared" si="2477"/>
        <v>78051000</v>
      </c>
      <c r="C13789" t="str">
        <f t="shared" si="2478"/>
        <v>78051004</v>
      </c>
      <c r="D13789">
        <v>89301062</v>
      </c>
      <c r="E13789" t="str">
        <f>"6658060189"</f>
        <v>6658060189</v>
      </c>
      <c r="F13789" s="1">
        <v>45237</v>
      </c>
      <c r="G13789" t="str">
        <f>"0098943"</f>
        <v>0098943</v>
      </c>
      <c r="H13789">
        <v>1</v>
      </c>
      <c r="J13789">
        <v>293.81</v>
      </c>
      <c r="K13789" t="str">
        <f t="shared" si="2479"/>
        <v>809</v>
      </c>
      <c r="L13789">
        <v>293.81</v>
      </c>
    </row>
    <row r="13790" spans="1:12" x14ac:dyDescent="0.25">
      <c r="A13790" t="str">
        <f t="shared" si="2476"/>
        <v>89301000</v>
      </c>
      <c r="B13790" t="str">
        <f t="shared" si="2477"/>
        <v>78051000</v>
      </c>
      <c r="C13790" t="str">
        <f t="shared" si="2478"/>
        <v>78051004</v>
      </c>
      <c r="D13790">
        <v>89301062</v>
      </c>
      <c r="E13790" t="str">
        <f>"450317493"</f>
        <v>450317493</v>
      </c>
      <c r="F13790" s="1">
        <v>45251</v>
      </c>
      <c r="G13790" t="str">
        <f>"89311"</f>
        <v>89311</v>
      </c>
      <c r="H13790">
        <v>1</v>
      </c>
      <c r="I13790">
        <v>970</v>
      </c>
      <c r="J13790">
        <v>0</v>
      </c>
      <c r="K13790" t="str">
        <f t="shared" si="2479"/>
        <v>809</v>
      </c>
      <c r="L13790">
        <v>1425.9</v>
      </c>
    </row>
    <row r="13791" spans="1:12" x14ac:dyDescent="0.25">
      <c r="A13791" t="str">
        <f t="shared" si="2476"/>
        <v>89301000</v>
      </c>
      <c r="B13791" t="str">
        <f t="shared" si="2477"/>
        <v>78051000</v>
      </c>
      <c r="C13791" t="str">
        <f t="shared" si="2478"/>
        <v>78051004</v>
      </c>
      <c r="D13791">
        <v>89301062</v>
      </c>
      <c r="E13791" t="str">
        <f>"450317493"</f>
        <v>450317493</v>
      </c>
      <c r="F13791" s="1">
        <v>45251</v>
      </c>
      <c r="G13791" t="str">
        <f>"0090044"</f>
        <v>0090044</v>
      </c>
      <c r="H13791">
        <v>1</v>
      </c>
      <c r="J13791">
        <v>16.8</v>
      </c>
      <c r="K13791" t="str">
        <f t="shared" si="2479"/>
        <v>809</v>
      </c>
      <c r="L13791">
        <v>16.8</v>
      </c>
    </row>
    <row r="13792" spans="1:12" x14ac:dyDescent="0.25">
      <c r="A13792" t="str">
        <f t="shared" si="2476"/>
        <v>89301000</v>
      </c>
      <c r="B13792" t="str">
        <f t="shared" si="2477"/>
        <v>78051000</v>
      </c>
      <c r="C13792" t="str">
        <f t="shared" si="2478"/>
        <v>78051004</v>
      </c>
      <c r="D13792">
        <v>89301062</v>
      </c>
      <c r="E13792" t="str">
        <f>"450317493"</f>
        <v>450317493</v>
      </c>
      <c r="F13792" s="1">
        <v>45251</v>
      </c>
      <c r="G13792" t="str">
        <f>"0225891"</f>
        <v>0225891</v>
      </c>
      <c r="H13792">
        <v>0.2</v>
      </c>
      <c r="J13792">
        <v>44.65</v>
      </c>
      <c r="K13792" t="str">
        <f t="shared" si="2479"/>
        <v>809</v>
      </c>
      <c r="L13792">
        <v>44.65</v>
      </c>
    </row>
    <row r="13793" spans="1:12" x14ac:dyDescent="0.25">
      <c r="A13793" t="str">
        <f t="shared" si="2476"/>
        <v>89301000</v>
      </c>
      <c r="B13793" t="str">
        <f t="shared" si="2477"/>
        <v>78051000</v>
      </c>
      <c r="C13793" t="str">
        <f t="shared" si="2478"/>
        <v>78051004</v>
      </c>
      <c r="D13793">
        <v>89301062</v>
      </c>
      <c r="E13793" t="str">
        <f>"450317493"</f>
        <v>450317493</v>
      </c>
      <c r="F13793" s="1">
        <v>45251</v>
      </c>
      <c r="G13793" t="str">
        <f>"0096251"</f>
        <v>0096251</v>
      </c>
      <c r="H13793">
        <v>0.17</v>
      </c>
      <c r="J13793">
        <v>198.83</v>
      </c>
      <c r="K13793" t="str">
        <f t="shared" si="2479"/>
        <v>809</v>
      </c>
      <c r="L13793">
        <v>198.83</v>
      </c>
    </row>
    <row r="13794" spans="1:12" x14ac:dyDescent="0.25">
      <c r="A13794" t="str">
        <f t="shared" si="2476"/>
        <v>89301000</v>
      </c>
      <c r="B13794" t="str">
        <f t="shared" si="2477"/>
        <v>78051000</v>
      </c>
      <c r="C13794" t="str">
        <f t="shared" si="2478"/>
        <v>78051004</v>
      </c>
      <c r="D13794">
        <v>89301062</v>
      </c>
      <c r="E13794" t="str">
        <f>"450317493"</f>
        <v>450317493</v>
      </c>
      <c r="F13794" s="1">
        <v>45251</v>
      </c>
      <c r="G13794" t="str">
        <f>"0098943"</f>
        <v>0098943</v>
      </c>
      <c r="H13794">
        <v>1</v>
      </c>
      <c r="J13794">
        <v>293.81</v>
      </c>
      <c r="K13794" t="str">
        <f t="shared" si="2479"/>
        <v>809</v>
      </c>
      <c r="L13794">
        <v>293.81</v>
      </c>
    </row>
    <row r="13795" spans="1:12" x14ac:dyDescent="0.25">
      <c r="A13795" t="str">
        <f t="shared" si="2476"/>
        <v>89301000</v>
      </c>
      <c r="B13795" t="str">
        <f t="shared" si="2477"/>
        <v>78051000</v>
      </c>
      <c r="C13795" t="str">
        <f t="shared" si="2478"/>
        <v>78051004</v>
      </c>
      <c r="D13795">
        <v>89301062</v>
      </c>
      <c r="E13795" t="str">
        <f>"7456095328"</f>
        <v>7456095328</v>
      </c>
      <c r="F13795" s="1">
        <v>45251</v>
      </c>
      <c r="G13795" t="str">
        <f>"89311"</f>
        <v>89311</v>
      </c>
      <c r="H13795">
        <v>1</v>
      </c>
      <c r="I13795">
        <v>970</v>
      </c>
      <c r="J13795">
        <v>0</v>
      </c>
      <c r="K13795" t="str">
        <f t="shared" si="2479"/>
        <v>809</v>
      </c>
      <c r="L13795">
        <v>1425.9</v>
      </c>
    </row>
    <row r="13796" spans="1:12" x14ac:dyDescent="0.25">
      <c r="A13796" t="str">
        <f t="shared" si="2476"/>
        <v>89301000</v>
      </c>
      <c r="B13796" t="str">
        <f t="shared" si="2477"/>
        <v>78051000</v>
      </c>
      <c r="C13796" t="str">
        <f t="shared" si="2478"/>
        <v>78051004</v>
      </c>
      <c r="D13796">
        <v>89301062</v>
      </c>
      <c r="E13796" t="str">
        <f>"7456095328"</f>
        <v>7456095328</v>
      </c>
      <c r="F13796" s="1">
        <v>45251</v>
      </c>
      <c r="G13796" t="str">
        <f>"0090044"</f>
        <v>0090044</v>
      </c>
      <c r="H13796">
        <v>1</v>
      </c>
      <c r="J13796">
        <v>16.8</v>
      </c>
      <c r="K13796" t="str">
        <f t="shared" si="2479"/>
        <v>809</v>
      </c>
      <c r="L13796">
        <v>16.8</v>
      </c>
    </row>
    <row r="13797" spans="1:12" x14ac:dyDescent="0.25">
      <c r="A13797" t="str">
        <f t="shared" si="2476"/>
        <v>89301000</v>
      </c>
      <c r="B13797" t="str">
        <f t="shared" si="2477"/>
        <v>78051000</v>
      </c>
      <c r="C13797" t="str">
        <f t="shared" si="2478"/>
        <v>78051004</v>
      </c>
      <c r="D13797">
        <v>89301062</v>
      </c>
      <c r="E13797" t="str">
        <f>"7456095328"</f>
        <v>7456095328</v>
      </c>
      <c r="F13797" s="1">
        <v>45251</v>
      </c>
      <c r="G13797" t="str">
        <f>"0225891"</f>
        <v>0225891</v>
      </c>
      <c r="H13797">
        <v>0.2</v>
      </c>
      <c r="J13797">
        <v>44.65</v>
      </c>
      <c r="K13797" t="str">
        <f t="shared" si="2479"/>
        <v>809</v>
      </c>
      <c r="L13797">
        <v>44.65</v>
      </c>
    </row>
    <row r="13798" spans="1:12" x14ac:dyDescent="0.25">
      <c r="A13798" t="str">
        <f t="shared" si="2476"/>
        <v>89301000</v>
      </c>
      <c r="B13798" t="str">
        <f t="shared" si="2477"/>
        <v>78051000</v>
      </c>
      <c r="C13798" t="str">
        <f t="shared" si="2478"/>
        <v>78051004</v>
      </c>
      <c r="D13798">
        <v>89301062</v>
      </c>
      <c r="E13798" t="str">
        <f>"7456095328"</f>
        <v>7456095328</v>
      </c>
      <c r="F13798" s="1">
        <v>45251</v>
      </c>
      <c r="G13798" t="str">
        <f>"0096251"</f>
        <v>0096251</v>
      </c>
      <c r="H13798">
        <v>0.17</v>
      </c>
      <c r="J13798">
        <v>198.83</v>
      </c>
      <c r="K13798" t="str">
        <f t="shared" si="2479"/>
        <v>809</v>
      </c>
      <c r="L13798">
        <v>198.83</v>
      </c>
    </row>
    <row r="13799" spans="1:12" x14ac:dyDescent="0.25">
      <c r="A13799" t="str">
        <f t="shared" si="2476"/>
        <v>89301000</v>
      </c>
      <c r="B13799" t="str">
        <f t="shared" si="2477"/>
        <v>78051000</v>
      </c>
      <c r="C13799" t="str">
        <f t="shared" si="2478"/>
        <v>78051004</v>
      </c>
      <c r="D13799">
        <v>89301062</v>
      </c>
      <c r="E13799" t="str">
        <f>"7456095328"</f>
        <v>7456095328</v>
      </c>
      <c r="F13799" s="1">
        <v>45251</v>
      </c>
      <c r="G13799" t="str">
        <f>"0098943"</f>
        <v>0098943</v>
      </c>
      <c r="H13799">
        <v>1</v>
      </c>
      <c r="J13799">
        <v>293.81</v>
      </c>
      <c r="K13799" t="str">
        <f t="shared" si="2479"/>
        <v>809</v>
      </c>
      <c r="L13799">
        <v>293.81</v>
      </c>
    </row>
    <row r="13800" spans="1:12" x14ac:dyDescent="0.25">
      <c r="A13800" t="str">
        <f t="shared" si="2476"/>
        <v>89301000</v>
      </c>
      <c r="B13800" t="str">
        <f t="shared" si="2477"/>
        <v>78051000</v>
      </c>
      <c r="C13800" t="str">
        <f t="shared" si="2478"/>
        <v>78051004</v>
      </c>
      <c r="D13800">
        <v>89301062</v>
      </c>
      <c r="E13800" t="str">
        <f>"5953040203"</f>
        <v>5953040203</v>
      </c>
      <c r="F13800" s="1">
        <v>45251</v>
      </c>
      <c r="G13800" t="str">
        <f>"89311"</f>
        <v>89311</v>
      </c>
      <c r="H13800">
        <v>1</v>
      </c>
      <c r="I13800">
        <v>970</v>
      </c>
      <c r="J13800">
        <v>0</v>
      </c>
      <c r="K13800" t="str">
        <f t="shared" si="2479"/>
        <v>809</v>
      </c>
      <c r="L13800">
        <v>1425.9</v>
      </c>
    </row>
    <row r="13801" spans="1:12" x14ac:dyDescent="0.25">
      <c r="A13801" t="str">
        <f t="shared" si="2476"/>
        <v>89301000</v>
      </c>
      <c r="B13801" t="str">
        <f t="shared" si="2477"/>
        <v>78051000</v>
      </c>
      <c r="C13801" t="str">
        <f t="shared" si="2478"/>
        <v>78051004</v>
      </c>
      <c r="D13801">
        <v>89301062</v>
      </c>
      <c r="E13801" t="str">
        <f>"5953040203"</f>
        <v>5953040203</v>
      </c>
      <c r="F13801" s="1">
        <v>45251</v>
      </c>
      <c r="G13801" t="str">
        <f>"0090044"</f>
        <v>0090044</v>
      </c>
      <c r="H13801">
        <v>1</v>
      </c>
      <c r="J13801">
        <v>16.8</v>
      </c>
      <c r="K13801" t="str">
        <f t="shared" si="2479"/>
        <v>809</v>
      </c>
      <c r="L13801">
        <v>16.8</v>
      </c>
    </row>
    <row r="13802" spans="1:12" x14ac:dyDescent="0.25">
      <c r="A13802" t="str">
        <f t="shared" si="2476"/>
        <v>89301000</v>
      </c>
      <c r="B13802" t="str">
        <f t="shared" si="2477"/>
        <v>78051000</v>
      </c>
      <c r="C13802" t="str">
        <f t="shared" si="2478"/>
        <v>78051004</v>
      </c>
      <c r="D13802">
        <v>89301062</v>
      </c>
      <c r="E13802" t="str">
        <f>"5953040203"</f>
        <v>5953040203</v>
      </c>
      <c r="F13802" s="1">
        <v>45251</v>
      </c>
      <c r="G13802" t="str">
        <f>"0225891"</f>
        <v>0225891</v>
      </c>
      <c r="H13802">
        <v>0.2</v>
      </c>
      <c r="J13802">
        <v>44.65</v>
      </c>
      <c r="K13802" t="str">
        <f t="shared" si="2479"/>
        <v>809</v>
      </c>
      <c r="L13802">
        <v>44.65</v>
      </c>
    </row>
    <row r="13803" spans="1:12" x14ac:dyDescent="0.25">
      <c r="A13803" t="str">
        <f t="shared" si="2476"/>
        <v>89301000</v>
      </c>
      <c r="B13803" t="str">
        <f t="shared" si="2477"/>
        <v>78051000</v>
      </c>
      <c r="C13803" t="str">
        <f t="shared" si="2478"/>
        <v>78051004</v>
      </c>
      <c r="D13803">
        <v>89301062</v>
      </c>
      <c r="E13803" t="str">
        <f>"5953040203"</f>
        <v>5953040203</v>
      </c>
      <c r="F13803" s="1">
        <v>45251</v>
      </c>
      <c r="G13803" t="str">
        <f>"0096251"</f>
        <v>0096251</v>
      </c>
      <c r="H13803">
        <v>0.17</v>
      </c>
      <c r="J13803">
        <v>198.83</v>
      </c>
      <c r="K13803" t="str">
        <f t="shared" si="2479"/>
        <v>809</v>
      </c>
      <c r="L13803">
        <v>198.83</v>
      </c>
    </row>
    <row r="13804" spans="1:12" x14ac:dyDescent="0.25">
      <c r="A13804" t="str">
        <f t="shared" si="2476"/>
        <v>89301000</v>
      </c>
      <c r="B13804" t="str">
        <f t="shared" si="2477"/>
        <v>78051000</v>
      </c>
      <c r="C13804" t="str">
        <f t="shared" si="2478"/>
        <v>78051004</v>
      </c>
      <c r="D13804">
        <v>89301062</v>
      </c>
      <c r="E13804" t="str">
        <f>"5953040203"</f>
        <v>5953040203</v>
      </c>
      <c r="F13804" s="1">
        <v>45251</v>
      </c>
      <c r="G13804" t="str">
        <f>"0098943"</f>
        <v>0098943</v>
      </c>
      <c r="H13804">
        <v>1</v>
      </c>
      <c r="J13804">
        <v>293.81</v>
      </c>
      <c r="K13804" t="str">
        <f t="shared" si="2479"/>
        <v>809</v>
      </c>
      <c r="L13804">
        <v>293.81</v>
      </c>
    </row>
    <row r="13805" spans="1:12" x14ac:dyDescent="0.25">
      <c r="A13805" t="str">
        <f t="shared" si="2476"/>
        <v>89301000</v>
      </c>
      <c r="B13805" t="str">
        <f t="shared" si="2477"/>
        <v>78051000</v>
      </c>
      <c r="C13805" t="str">
        <f t="shared" si="2478"/>
        <v>78051004</v>
      </c>
      <c r="D13805">
        <v>89301062</v>
      </c>
      <c r="E13805" t="str">
        <f>"415801428"</f>
        <v>415801428</v>
      </c>
      <c r="F13805" s="1">
        <v>45252</v>
      </c>
      <c r="G13805" t="str">
        <f>"89311"</f>
        <v>89311</v>
      </c>
      <c r="H13805">
        <v>1</v>
      </c>
      <c r="I13805">
        <v>970</v>
      </c>
      <c r="J13805">
        <v>0</v>
      </c>
      <c r="K13805" t="str">
        <f t="shared" si="2479"/>
        <v>809</v>
      </c>
      <c r="L13805">
        <v>1425.9</v>
      </c>
    </row>
    <row r="13806" spans="1:12" x14ac:dyDescent="0.25">
      <c r="A13806" t="str">
        <f t="shared" si="2476"/>
        <v>89301000</v>
      </c>
      <c r="B13806" t="str">
        <f t="shared" si="2477"/>
        <v>78051000</v>
      </c>
      <c r="C13806" t="str">
        <f t="shared" si="2478"/>
        <v>78051004</v>
      </c>
      <c r="D13806">
        <v>89301062</v>
      </c>
      <c r="E13806" t="str">
        <f>"415801428"</f>
        <v>415801428</v>
      </c>
      <c r="F13806" s="1">
        <v>45252</v>
      </c>
      <c r="G13806" t="str">
        <f>"0090044"</f>
        <v>0090044</v>
      </c>
      <c r="H13806">
        <v>1</v>
      </c>
      <c r="J13806">
        <v>16.8</v>
      </c>
      <c r="K13806" t="str">
        <f t="shared" si="2479"/>
        <v>809</v>
      </c>
      <c r="L13806">
        <v>16.8</v>
      </c>
    </row>
    <row r="13807" spans="1:12" x14ac:dyDescent="0.25">
      <c r="A13807" t="str">
        <f t="shared" si="2476"/>
        <v>89301000</v>
      </c>
      <c r="B13807" t="str">
        <f t="shared" ref="B13807:B13841" si="2480">"78051000"</f>
        <v>78051000</v>
      </c>
      <c r="C13807" t="str">
        <f t="shared" ref="C13807:C13829" si="2481">"78051004"</f>
        <v>78051004</v>
      </c>
      <c r="D13807">
        <v>89301062</v>
      </c>
      <c r="E13807" t="str">
        <f>"415801428"</f>
        <v>415801428</v>
      </c>
      <c r="F13807" s="1">
        <v>45252</v>
      </c>
      <c r="G13807" t="str">
        <f>"0225891"</f>
        <v>0225891</v>
      </c>
      <c r="H13807">
        <v>0.2</v>
      </c>
      <c r="J13807">
        <v>44.65</v>
      </c>
      <c r="K13807" t="str">
        <f t="shared" ref="K13807:K13829" si="2482">"809"</f>
        <v>809</v>
      </c>
      <c r="L13807">
        <v>44.65</v>
      </c>
    </row>
    <row r="13808" spans="1:12" x14ac:dyDescent="0.25">
      <c r="A13808" t="str">
        <f t="shared" si="2476"/>
        <v>89301000</v>
      </c>
      <c r="B13808" t="str">
        <f t="shared" si="2480"/>
        <v>78051000</v>
      </c>
      <c r="C13808" t="str">
        <f t="shared" si="2481"/>
        <v>78051004</v>
      </c>
      <c r="D13808">
        <v>89301062</v>
      </c>
      <c r="E13808" t="str">
        <f>"415801428"</f>
        <v>415801428</v>
      </c>
      <c r="F13808" s="1">
        <v>45252</v>
      </c>
      <c r="G13808" t="str">
        <f>"0096251"</f>
        <v>0096251</v>
      </c>
      <c r="H13808">
        <v>0.17</v>
      </c>
      <c r="J13808">
        <v>198.83</v>
      </c>
      <c r="K13808" t="str">
        <f t="shared" si="2482"/>
        <v>809</v>
      </c>
      <c r="L13808">
        <v>198.83</v>
      </c>
    </row>
    <row r="13809" spans="1:12" x14ac:dyDescent="0.25">
      <c r="A13809" t="str">
        <f t="shared" si="2476"/>
        <v>89301000</v>
      </c>
      <c r="B13809" t="str">
        <f t="shared" si="2480"/>
        <v>78051000</v>
      </c>
      <c r="C13809" t="str">
        <f t="shared" si="2481"/>
        <v>78051004</v>
      </c>
      <c r="D13809">
        <v>89301062</v>
      </c>
      <c r="E13809" t="str">
        <f>"415801428"</f>
        <v>415801428</v>
      </c>
      <c r="F13809" s="1">
        <v>45252</v>
      </c>
      <c r="G13809" t="str">
        <f>"0098943"</f>
        <v>0098943</v>
      </c>
      <c r="H13809">
        <v>1</v>
      </c>
      <c r="J13809">
        <v>293.81</v>
      </c>
      <c r="K13809" t="str">
        <f t="shared" si="2482"/>
        <v>809</v>
      </c>
      <c r="L13809">
        <v>293.81</v>
      </c>
    </row>
    <row r="13810" spans="1:12" x14ac:dyDescent="0.25">
      <c r="A13810" t="str">
        <f t="shared" si="2476"/>
        <v>89301000</v>
      </c>
      <c r="B13810" t="str">
        <f t="shared" si="2480"/>
        <v>78051000</v>
      </c>
      <c r="C13810" t="str">
        <f t="shared" si="2481"/>
        <v>78051004</v>
      </c>
      <c r="D13810">
        <v>89301062</v>
      </c>
      <c r="E13810" t="str">
        <f>"5758081340"</f>
        <v>5758081340</v>
      </c>
      <c r="F13810" s="1">
        <v>45252</v>
      </c>
      <c r="G13810" t="str">
        <f>"89311"</f>
        <v>89311</v>
      </c>
      <c r="H13810">
        <v>1</v>
      </c>
      <c r="I13810">
        <v>970</v>
      </c>
      <c r="J13810">
        <v>0</v>
      </c>
      <c r="K13810" t="str">
        <f t="shared" si="2482"/>
        <v>809</v>
      </c>
      <c r="L13810">
        <v>1425.9</v>
      </c>
    </row>
    <row r="13811" spans="1:12" x14ac:dyDescent="0.25">
      <c r="A13811" t="str">
        <f t="shared" si="2476"/>
        <v>89301000</v>
      </c>
      <c r="B13811" t="str">
        <f t="shared" si="2480"/>
        <v>78051000</v>
      </c>
      <c r="C13811" t="str">
        <f t="shared" si="2481"/>
        <v>78051004</v>
      </c>
      <c r="D13811">
        <v>89301062</v>
      </c>
      <c r="E13811" t="str">
        <f>"5758081340"</f>
        <v>5758081340</v>
      </c>
      <c r="F13811" s="1">
        <v>45252</v>
      </c>
      <c r="G13811" t="str">
        <f>"0090044"</f>
        <v>0090044</v>
      </c>
      <c r="H13811">
        <v>1</v>
      </c>
      <c r="J13811">
        <v>16.8</v>
      </c>
      <c r="K13811" t="str">
        <f t="shared" si="2482"/>
        <v>809</v>
      </c>
      <c r="L13811">
        <v>16.8</v>
      </c>
    </row>
    <row r="13812" spans="1:12" x14ac:dyDescent="0.25">
      <c r="A13812" t="str">
        <f t="shared" si="2476"/>
        <v>89301000</v>
      </c>
      <c r="B13812" t="str">
        <f t="shared" si="2480"/>
        <v>78051000</v>
      </c>
      <c r="C13812" t="str">
        <f t="shared" si="2481"/>
        <v>78051004</v>
      </c>
      <c r="D13812">
        <v>89301062</v>
      </c>
      <c r="E13812" t="str">
        <f>"5758081340"</f>
        <v>5758081340</v>
      </c>
      <c r="F13812" s="1">
        <v>45252</v>
      </c>
      <c r="G13812" t="str">
        <f>"0225891"</f>
        <v>0225891</v>
      </c>
      <c r="H13812">
        <v>0.2</v>
      </c>
      <c r="J13812">
        <v>44.65</v>
      </c>
      <c r="K13812" t="str">
        <f t="shared" si="2482"/>
        <v>809</v>
      </c>
      <c r="L13812">
        <v>44.65</v>
      </c>
    </row>
    <row r="13813" spans="1:12" x14ac:dyDescent="0.25">
      <c r="A13813" t="str">
        <f t="shared" si="2476"/>
        <v>89301000</v>
      </c>
      <c r="B13813" t="str">
        <f t="shared" si="2480"/>
        <v>78051000</v>
      </c>
      <c r="C13813" t="str">
        <f t="shared" si="2481"/>
        <v>78051004</v>
      </c>
      <c r="D13813">
        <v>89301062</v>
      </c>
      <c r="E13813" t="str">
        <f>"5758081340"</f>
        <v>5758081340</v>
      </c>
      <c r="F13813" s="1">
        <v>45252</v>
      </c>
      <c r="G13813" t="str">
        <f>"0096251"</f>
        <v>0096251</v>
      </c>
      <c r="H13813">
        <v>0.17</v>
      </c>
      <c r="J13813">
        <v>198.83</v>
      </c>
      <c r="K13813" t="str">
        <f t="shared" si="2482"/>
        <v>809</v>
      </c>
      <c r="L13813">
        <v>198.83</v>
      </c>
    </row>
    <row r="13814" spans="1:12" x14ac:dyDescent="0.25">
      <c r="A13814" t="str">
        <f t="shared" si="2476"/>
        <v>89301000</v>
      </c>
      <c r="B13814" t="str">
        <f t="shared" si="2480"/>
        <v>78051000</v>
      </c>
      <c r="C13814" t="str">
        <f t="shared" si="2481"/>
        <v>78051004</v>
      </c>
      <c r="D13814">
        <v>89301062</v>
      </c>
      <c r="E13814" t="str">
        <f>"5758081340"</f>
        <v>5758081340</v>
      </c>
      <c r="F13814" s="1">
        <v>45252</v>
      </c>
      <c r="G13814" t="str">
        <f>"0098943"</f>
        <v>0098943</v>
      </c>
      <c r="H13814">
        <v>1</v>
      </c>
      <c r="J13814">
        <v>293.81</v>
      </c>
      <c r="K13814" t="str">
        <f t="shared" si="2482"/>
        <v>809</v>
      </c>
      <c r="L13814">
        <v>293.81</v>
      </c>
    </row>
    <row r="13815" spans="1:12" x14ac:dyDescent="0.25">
      <c r="A13815" t="str">
        <f t="shared" si="2476"/>
        <v>89301000</v>
      </c>
      <c r="B13815" t="str">
        <f t="shared" si="2480"/>
        <v>78051000</v>
      </c>
      <c r="C13815" t="str">
        <f t="shared" si="2481"/>
        <v>78051004</v>
      </c>
      <c r="D13815">
        <v>89301062</v>
      </c>
      <c r="E13815" t="str">
        <f>"8009285306"</f>
        <v>8009285306</v>
      </c>
      <c r="F13815" s="1">
        <v>45252</v>
      </c>
      <c r="G13815" t="str">
        <f>"89311"</f>
        <v>89311</v>
      </c>
      <c r="H13815">
        <v>1</v>
      </c>
      <c r="I13815">
        <v>970</v>
      </c>
      <c r="J13815">
        <v>0</v>
      </c>
      <c r="K13815" t="str">
        <f t="shared" si="2482"/>
        <v>809</v>
      </c>
      <c r="L13815">
        <v>1425.9</v>
      </c>
    </row>
    <row r="13816" spans="1:12" x14ac:dyDescent="0.25">
      <c r="A13816" t="str">
        <f t="shared" si="2476"/>
        <v>89301000</v>
      </c>
      <c r="B13816" t="str">
        <f t="shared" si="2480"/>
        <v>78051000</v>
      </c>
      <c r="C13816" t="str">
        <f t="shared" si="2481"/>
        <v>78051004</v>
      </c>
      <c r="D13816">
        <v>89301062</v>
      </c>
      <c r="E13816" t="str">
        <f>"8009285306"</f>
        <v>8009285306</v>
      </c>
      <c r="F13816" s="1">
        <v>45252</v>
      </c>
      <c r="G13816" t="str">
        <f>"0090044"</f>
        <v>0090044</v>
      </c>
      <c r="H13816">
        <v>1</v>
      </c>
      <c r="J13816">
        <v>16.8</v>
      </c>
      <c r="K13816" t="str">
        <f t="shared" si="2482"/>
        <v>809</v>
      </c>
      <c r="L13816">
        <v>16.8</v>
      </c>
    </row>
    <row r="13817" spans="1:12" x14ac:dyDescent="0.25">
      <c r="A13817" t="str">
        <f t="shared" si="2476"/>
        <v>89301000</v>
      </c>
      <c r="B13817" t="str">
        <f t="shared" si="2480"/>
        <v>78051000</v>
      </c>
      <c r="C13817" t="str">
        <f t="shared" si="2481"/>
        <v>78051004</v>
      </c>
      <c r="D13817">
        <v>89301062</v>
      </c>
      <c r="E13817" t="str">
        <f>"8009285306"</f>
        <v>8009285306</v>
      </c>
      <c r="F13817" s="1">
        <v>45252</v>
      </c>
      <c r="G13817" t="str">
        <f>"0225891"</f>
        <v>0225891</v>
      </c>
      <c r="H13817">
        <v>0.2</v>
      </c>
      <c r="J13817">
        <v>44.65</v>
      </c>
      <c r="K13817" t="str">
        <f t="shared" si="2482"/>
        <v>809</v>
      </c>
      <c r="L13817">
        <v>44.65</v>
      </c>
    </row>
    <row r="13818" spans="1:12" x14ac:dyDescent="0.25">
      <c r="A13818" t="str">
        <f t="shared" si="2476"/>
        <v>89301000</v>
      </c>
      <c r="B13818" t="str">
        <f t="shared" si="2480"/>
        <v>78051000</v>
      </c>
      <c r="C13818" t="str">
        <f t="shared" si="2481"/>
        <v>78051004</v>
      </c>
      <c r="D13818">
        <v>89301062</v>
      </c>
      <c r="E13818" t="str">
        <f>"8009285306"</f>
        <v>8009285306</v>
      </c>
      <c r="F13818" s="1">
        <v>45252</v>
      </c>
      <c r="G13818" t="str">
        <f>"0096251"</f>
        <v>0096251</v>
      </c>
      <c r="H13818">
        <v>0.17</v>
      </c>
      <c r="J13818">
        <v>198.83</v>
      </c>
      <c r="K13818" t="str">
        <f t="shared" si="2482"/>
        <v>809</v>
      </c>
      <c r="L13818">
        <v>198.83</v>
      </c>
    </row>
    <row r="13819" spans="1:12" x14ac:dyDescent="0.25">
      <c r="A13819" t="str">
        <f t="shared" si="2476"/>
        <v>89301000</v>
      </c>
      <c r="B13819" t="str">
        <f t="shared" si="2480"/>
        <v>78051000</v>
      </c>
      <c r="C13819" t="str">
        <f t="shared" si="2481"/>
        <v>78051004</v>
      </c>
      <c r="D13819">
        <v>89301062</v>
      </c>
      <c r="E13819" t="str">
        <f>"8009285306"</f>
        <v>8009285306</v>
      </c>
      <c r="F13819" s="1">
        <v>45252</v>
      </c>
      <c r="G13819" t="str">
        <f>"0098943"</f>
        <v>0098943</v>
      </c>
      <c r="H13819">
        <v>1</v>
      </c>
      <c r="J13819">
        <v>293.81</v>
      </c>
      <c r="K13819" t="str">
        <f t="shared" si="2482"/>
        <v>809</v>
      </c>
      <c r="L13819">
        <v>293.81</v>
      </c>
    </row>
    <row r="13820" spans="1:12" x14ac:dyDescent="0.25">
      <c r="A13820" t="str">
        <f t="shared" si="2476"/>
        <v>89301000</v>
      </c>
      <c r="B13820" t="str">
        <f t="shared" si="2480"/>
        <v>78051000</v>
      </c>
      <c r="C13820" t="str">
        <f t="shared" si="2481"/>
        <v>78051004</v>
      </c>
      <c r="D13820">
        <v>89301062</v>
      </c>
      <c r="E13820" t="str">
        <f>"495420094"</f>
        <v>495420094</v>
      </c>
      <c r="F13820" s="1">
        <v>45259</v>
      </c>
      <c r="G13820" t="str">
        <f>"89311"</f>
        <v>89311</v>
      </c>
      <c r="H13820">
        <v>1</v>
      </c>
      <c r="I13820">
        <v>970</v>
      </c>
      <c r="J13820">
        <v>0</v>
      </c>
      <c r="K13820" t="str">
        <f t="shared" si="2482"/>
        <v>809</v>
      </c>
      <c r="L13820">
        <v>1425.9</v>
      </c>
    </row>
    <row r="13821" spans="1:12" x14ac:dyDescent="0.25">
      <c r="A13821" t="str">
        <f t="shared" si="2476"/>
        <v>89301000</v>
      </c>
      <c r="B13821" t="str">
        <f t="shared" si="2480"/>
        <v>78051000</v>
      </c>
      <c r="C13821" t="str">
        <f t="shared" si="2481"/>
        <v>78051004</v>
      </c>
      <c r="D13821">
        <v>89301062</v>
      </c>
      <c r="E13821" t="str">
        <f>"495420094"</f>
        <v>495420094</v>
      </c>
      <c r="F13821" s="1">
        <v>45259</v>
      </c>
      <c r="G13821" t="str">
        <f>"0090044"</f>
        <v>0090044</v>
      </c>
      <c r="H13821">
        <v>1</v>
      </c>
      <c r="J13821">
        <v>16.8</v>
      </c>
      <c r="K13821" t="str">
        <f t="shared" si="2482"/>
        <v>809</v>
      </c>
      <c r="L13821">
        <v>16.8</v>
      </c>
    </row>
    <row r="13822" spans="1:12" x14ac:dyDescent="0.25">
      <c r="A13822" t="str">
        <f t="shared" si="2476"/>
        <v>89301000</v>
      </c>
      <c r="B13822" t="str">
        <f t="shared" si="2480"/>
        <v>78051000</v>
      </c>
      <c r="C13822" t="str">
        <f t="shared" si="2481"/>
        <v>78051004</v>
      </c>
      <c r="D13822">
        <v>89301062</v>
      </c>
      <c r="E13822" t="str">
        <f>"495420094"</f>
        <v>495420094</v>
      </c>
      <c r="F13822" s="1">
        <v>45259</v>
      </c>
      <c r="G13822" t="str">
        <f>"0225891"</f>
        <v>0225891</v>
      </c>
      <c r="H13822">
        <v>0.2</v>
      </c>
      <c r="J13822">
        <v>44.65</v>
      </c>
      <c r="K13822" t="str">
        <f t="shared" si="2482"/>
        <v>809</v>
      </c>
      <c r="L13822">
        <v>44.65</v>
      </c>
    </row>
    <row r="13823" spans="1:12" x14ac:dyDescent="0.25">
      <c r="A13823" t="str">
        <f t="shared" si="2476"/>
        <v>89301000</v>
      </c>
      <c r="B13823" t="str">
        <f t="shared" si="2480"/>
        <v>78051000</v>
      </c>
      <c r="C13823" t="str">
        <f t="shared" si="2481"/>
        <v>78051004</v>
      </c>
      <c r="D13823">
        <v>89301062</v>
      </c>
      <c r="E13823" t="str">
        <f>"495420094"</f>
        <v>495420094</v>
      </c>
      <c r="F13823" s="1">
        <v>45259</v>
      </c>
      <c r="G13823" t="str">
        <f>"0096251"</f>
        <v>0096251</v>
      </c>
      <c r="H13823">
        <v>0.17</v>
      </c>
      <c r="J13823">
        <v>198.83</v>
      </c>
      <c r="K13823" t="str">
        <f t="shared" si="2482"/>
        <v>809</v>
      </c>
      <c r="L13823">
        <v>198.83</v>
      </c>
    </row>
    <row r="13824" spans="1:12" x14ac:dyDescent="0.25">
      <c r="A13824" t="str">
        <f t="shared" si="2476"/>
        <v>89301000</v>
      </c>
      <c r="B13824" t="str">
        <f t="shared" si="2480"/>
        <v>78051000</v>
      </c>
      <c r="C13824" t="str">
        <f t="shared" si="2481"/>
        <v>78051004</v>
      </c>
      <c r="D13824">
        <v>89301062</v>
      </c>
      <c r="E13824" t="str">
        <f>"495420094"</f>
        <v>495420094</v>
      </c>
      <c r="F13824" s="1">
        <v>45259</v>
      </c>
      <c r="G13824" t="str">
        <f>"0098943"</f>
        <v>0098943</v>
      </c>
      <c r="H13824">
        <v>1</v>
      </c>
      <c r="J13824">
        <v>293.81</v>
      </c>
      <c r="K13824" t="str">
        <f t="shared" si="2482"/>
        <v>809</v>
      </c>
      <c r="L13824">
        <v>293.81</v>
      </c>
    </row>
    <row r="13825" spans="1:12" x14ac:dyDescent="0.25">
      <c r="A13825" t="str">
        <f t="shared" si="2476"/>
        <v>89301000</v>
      </c>
      <c r="B13825" t="str">
        <f t="shared" si="2480"/>
        <v>78051000</v>
      </c>
      <c r="C13825" t="str">
        <f t="shared" si="2481"/>
        <v>78051004</v>
      </c>
      <c r="D13825">
        <v>89301062</v>
      </c>
      <c r="E13825" t="str">
        <f>"7901125342"</f>
        <v>7901125342</v>
      </c>
      <c r="F13825" s="1">
        <v>45259</v>
      </c>
      <c r="G13825" t="str">
        <f>"89311"</f>
        <v>89311</v>
      </c>
      <c r="H13825">
        <v>1</v>
      </c>
      <c r="I13825">
        <v>970</v>
      </c>
      <c r="J13825">
        <v>0</v>
      </c>
      <c r="K13825" t="str">
        <f t="shared" si="2482"/>
        <v>809</v>
      </c>
      <c r="L13825">
        <v>1425.9</v>
      </c>
    </row>
    <row r="13826" spans="1:12" x14ac:dyDescent="0.25">
      <c r="A13826" t="str">
        <f t="shared" ref="A13826:A13889" si="2483">"89301000"</f>
        <v>89301000</v>
      </c>
      <c r="B13826" t="str">
        <f t="shared" si="2480"/>
        <v>78051000</v>
      </c>
      <c r="C13826" t="str">
        <f t="shared" si="2481"/>
        <v>78051004</v>
      </c>
      <c r="D13826">
        <v>89301062</v>
      </c>
      <c r="E13826" t="str">
        <f>"7901125342"</f>
        <v>7901125342</v>
      </c>
      <c r="F13826" s="1">
        <v>45259</v>
      </c>
      <c r="G13826" t="str">
        <f>"0090044"</f>
        <v>0090044</v>
      </c>
      <c r="H13826">
        <v>1</v>
      </c>
      <c r="J13826">
        <v>16.8</v>
      </c>
      <c r="K13826" t="str">
        <f t="shared" si="2482"/>
        <v>809</v>
      </c>
      <c r="L13826">
        <v>16.8</v>
      </c>
    </row>
    <row r="13827" spans="1:12" x14ac:dyDescent="0.25">
      <c r="A13827" t="str">
        <f t="shared" si="2483"/>
        <v>89301000</v>
      </c>
      <c r="B13827" t="str">
        <f t="shared" si="2480"/>
        <v>78051000</v>
      </c>
      <c r="C13827" t="str">
        <f t="shared" si="2481"/>
        <v>78051004</v>
      </c>
      <c r="D13827">
        <v>89301062</v>
      </c>
      <c r="E13827" t="str">
        <f>"7901125342"</f>
        <v>7901125342</v>
      </c>
      <c r="F13827" s="1">
        <v>45259</v>
      </c>
      <c r="G13827" t="str">
        <f>"0225891"</f>
        <v>0225891</v>
      </c>
      <c r="H13827">
        <v>0.2</v>
      </c>
      <c r="J13827">
        <v>44.65</v>
      </c>
      <c r="K13827" t="str">
        <f t="shared" si="2482"/>
        <v>809</v>
      </c>
      <c r="L13827">
        <v>44.65</v>
      </c>
    </row>
    <row r="13828" spans="1:12" x14ac:dyDescent="0.25">
      <c r="A13828" t="str">
        <f t="shared" si="2483"/>
        <v>89301000</v>
      </c>
      <c r="B13828" t="str">
        <f t="shared" si="2480"/>
        <v>78051000</v>
      </c>
      <c r="C13828" t="str">
        <f t="shared" si="2481"/>
        <v>78051004</v>
      </c>
      <c r="D13828">
        <v>89301062</v>
      </c>
      <c r="E13828" t="str">
        <f>"7901125342"</f>
        <v>7901125342</v>
      </c>
      <c r="F13828" s="1">
        <v>45259</v>
      </c>
      <c r="G13828" t="str">
        <f>"0096251"</f>
        <v>0096251</v>
      </c>
      <c r="H13828">
        <v>0.17</v>
      </c>
      <c r="J13828">
        <v>198.83</v>
      </c>
      <c r="K13828" t="str">
        <f t="shared" si="2482"/>
        <v>809</v>
      </c>
      <c r="L13828">
        <v>198.83</v>
      </c>
    </row>
    <row r="13829" spans="1:12" x14ac:dyDescent="0.25">
      <c r="A13829" t="str">
        <f t="shared" si="2483"/>
        <v>89301000</v>
      </c>
      <c r="B13829" t="str">
        <f t="shared" si="2480"/>
        <v>78051000</v>
      </c>
      <c r="C13829" t="str">
        <f t="shared" si="2481"/>
        <v>78051004</v>
      </c>
      <c r="D13829">
        <v>89301062</v>
      </c>
      <c r="E13829" t="str">
        <f>"7901125342"</f>
        <v>7901125342</v>
      </c>
      <c r="F13829" s="1">
        <v>45259</v>
      </c>
      <c r="G13829" t="str">
        <f>"0098943"</f>
        <v>0098943</v>
      </c>
      <c r="H13829">
        <v>1</v>
      </c>
      <c r="J13829">
        <v>293.81</v>
      </c>
      <c r="K13829" t="str">
        <f t="shared" si="2482"/>
        <v>809</v>
      </c>
      <c r="L13829">
        <v>293.81</v>
      </c>
    </row>
    <row r="13830" spans="1:12" x14ac:dyDescent="0.25">
      <c r="A13830" t="str">
        <f t="shared" si="2483"/>
        <v>89301000</v>
      </c>
      <c r="B13830" t="str">
        <f t="shared" si="2480"/>
        <v>78051000</v>
      </c>
      <c r="C13830" t="str">
        <f t="shared" ref="C13830:C13841" si="2484">"78051017"</f>
        <v>78051017</v>
      </c>
      <c r="D13830">
        <v>89301062</v>
      </c>
      <c r="E13830" t="str">
        <f>"475428404"</f>
        <v>475428404</v>
      </c>
      <c r="F13830" s="1">
        <v>45237</v>
      </c>
      <c r="G13830" t="str">
        <f t="shared" ref="G13830:G13841" si="2485">"89615"</f>
        <v>89615</v>
      </c>
      <c r="H13830">
        <v>1</v>
      </c>
      <c r="I13830">
        <v>2199</v>
      </c>
      <c r="J13830">
        <v>0</v>
      </c>
      <c r="K13830" t="str">
        <f t="shared" ref="K13830:K13841" si="2486">"810"</f>
        <v>810</v>
      </c>
      <c r="L13830">
        <v>1429.35</v>
      </c>
    </row>
    <row r="13831" spans="1:12" x14ac:dyDescent="0.25">
      <c r="A13831" t="str">
        <f t="shared" si="2483"/>
        <v>89301000</v>
      </c>
      <c r="B13831" t="str">
        <f t="shared" si="2480"/>
        <v>78051000</v>
      </c>
      <c r="C13831" t="str">
        <f t="shared" si="2484"/>
        <v>78051017</v>
      </c>
      <c r="D13831">
        <v>89301062</v>
      </c>
      <c r="E13831" t="str">
        <f>"510312183"</f>
        <v>510312183</v>
      </c>
      <c r="F13831" s="1">
        <v>45237</v>
      </c>
      <c r="G13831" t="str">
        <f t="shared" si="2485"/>
        <v>89615</v>
      </c>
      <c r="H13831">
        <v>1</v>
      </c>
      <c r="I13831">
        <v>2199</v>
      </c>
      <c r="J13831">
        <v>0</v>
      </c>
      <c r="K13831" t="str">
        <f t="shared" si="2486"/>
        <v>810</v>
      </c>
      <c r="L13831">
        <v>1429.35</v>
      </c>
    </row>
    <row r="13832" spans="1:12" x14ac:dyDescent="0.25">
      <c r="A13832" t="str">
        <f t="shared" si="2483"/>
        <v>89301000</v>
      </c>
      <c r="B13832" t="str">
        <f t="shared" si="2480"/>
        <v>78051000</v>
      </c>
      <c r="C13832" t="str">
        <f t="shared" si="2484"/>
        <v>78051017</v>
      </c>
      <c r="D13832">
        <v>89301062</v>
      </c>
      <c r="E13832" t="str">
        <f>"6658060189"</f>
        <v>6658060189</v>
      </c>
      <c r="F13832" s="1">
        <v>45237</v>
      </c>
      <c r="G13832" t="str">
        <f t="shared" si="2485"/>
        <v>89615</v>
      </c>
      <c r="H13832">
        <v>1</v>
      </c>
      <c r="I13832">
        <v>2199</v>
      </c>
      <c r="J13832">
        <v>0</v>
      </c>
      <c r="K13832" t="str">
        <f t="shared" si="2486"/>
        <v>810</v>
      </c>
      <c r="L13832">
        <v>1429.35</v>
      </c>
    </row>
    <row r="13833" spans="1:12" x14ac:dyDescent="0.25">
      <c r="A13833" t="str">
        <f t="shared" si="2483"/>
        <v>89301000</v>
      </c>
      <c r="B13833" t="str">
        <f t="shared" si="2480"/>
        <v>78051000</v>
      </c>
      <c r="C13833" t="str">
        <f t="shared" si="2484"/>
        <v>78051017</v>
      </c>
      <c r="D13833">
        <v>89301062</v>
      </c>
      <c r="E13833" t="str">
        <f>"450317493"</f>
        <v>450317493</v>
      </c>
      <c r="F13833" s="1">
        <v>45251</v>
      </c>
      <c r="G13833" t="str">
        <f t="shared" si="2485"/>
        <v>89615</v>
      </c>
      <c r="H13833">
        <v>1</v>
      </c>
      <c r="I13833">
        <v>2199</v>
      </c>
      <c r="J13833">
        <v>0</v>
      </c>
      <c r="K13833" t="str">
        <f t="shared" si="2486"/>
        <v>810</v>
      </c>
      <c r="L13833">
        <v>1429.35</v>
      </c>
    </row>
    <row r="13834" spans="1:12" x14ac:dyDescent="0.25">
      <c r="A13834" t="str">
        <f t="shared" si="2483"/>
        <v>89301000</v>
      </c>
      <c r="B13834" t="str">
        <f t="shared" si="2480"/>
        <v>78051000</v>
      </c>
      <c r="C13834" t="str">
        <f t="shared" si="2484"/>
        <v>78051017</v>
      </c>
      <c r="D13834">
        <v>89301062</v>
      </c>
      <c r="E13834" t="str">
        <f>"7456095328"</f>
        <v>7456095328</v>
      </c>
      <c r="F13834" s="1">
        <v>45251</v>
      </c>
      <c r="G13834" t="str">
        <f t="shared" si="2485"/>
        <v>89615</v>
      </c>
      <c r="H13834">
        <v>1</v>
      </c>
      <c r="I13834">
        <v>2199</v>
      </c>
      <c r="J13834">
        <v>0</v>
      </c>
      <c r="K13834" t="str">
        <f t="shared" si="2486"/>
        <v>810</v>
      </c>
      <c r="L13834">
        <v>1429.35</v>
      </c>
    </row>
    <row r="13835" spans="1:12" x14ac:dyDescent="0.25">
      <c r="A13835" t="str">
        <f t="shared" si="2483"/>
        <v>89301000</v>
      </c>
      <c r="B13835" t="str">
        <f t="shared" si="2480"/>
        <v>78051000</v>
      </c>
      <c r="C13835" t="str">
        <f t="shared" si="2484"/>
        <v>78051017</v>
      </c>
      <c r="D13835">
        <v>89301062</v>
      </c>
      <c r="E13835" t="str">
        <f>"5953040203"</f>
        <v>5953040203</v>
      </c>
      <c r="F13835" s="1">
        <v>45251</v>
      </c>
      <c r="G13835" t="str">
        <f t="shared" si="2485"/>
        <v>89615</v>
      </c>
      <c r="H13835">
        <v>1</v>
      </c>
      <c r="I13835">
        <v>2199</v>
      </c>
      <c r="J13835">
        <v>0</v>
      </c>
      <c r="K13835" t="str">
        <f t="shared" si="2486"/>
        <v>810</v>
      </c>
      <c r="L13835">
        <v>1429.35</v>
      </c>
    </row>
    <row r="13836" spans="1:12" x14ac:dyDescent="0.25">
      <c r="A13836" t="str">
        <f t="shared" si="2483"/>
        <v>89301000</v>
      </c>
      <c r="B13836" t="str">
        <f t="shared" si="2480"/>
        <v>78051000</v>
      </c>
      <c r="C13836" t="str">
        <f t="shared" si="2484"/>
        <v>78051017</v>
      </c>
      <c r="D13836">
        <v>89301062</v>
      </c>
      <c r="E13836" t="str">
        <f>"8007264485"</f>
        <v>8007264485</v>
      </c>
      <c r="F13836" s="1">
        <v>45252</v>
      </c>
      <c r="G13836" t="str">
        <f t="shared" si="2485"/>
        <v>89615</v>
      </c>
      <c r="H13836">
        <v>1</v>
      </c>
      <c r="I13836">
        <v>2199</v>
      </c>
      <c r="J13836">
        <v>0</v>
      </c>
      <c r="K13836" t="str">
        <f t="shared" si="2486"/>
        <v>810</v>
      </c>
      <c r="L13836">
        <v>1429.35</v>
      </c>
    </row>
    <row r="13837" spans="1:12" x14ac:dyDescent="0.25">
      <c r="A13837" t="str">
        <f t="shared" si="2483"/>
        <v>89301000</v>
      </c>
      <c r="B13837" t="str">
        <f t="shared" si="2480"/>
        <v>78051000</v>
      </c>
      <c r="C13837" t="str">
        <f t="shared" si="2484"/>
        <v>78051017</v>
      </c>
      <c r="D13837">
        <v>89301062</v>
      </c>
      <c r="E13837" t="str">
        <f>"415801428"</f>
        <v>415801428</v>
      </c>
      <c r="F13837" s="1">
        <v>45252</v>
      </c>
      <c r="G13837" t="str">
        <f t="shared" si="2485"/>
        <v>89615</v>
      </c>
      <c r="H13837">
        <v>1</v>
      </c>
      <c r="I13837">
        <v>2199</v>
      </c>
      <c r="J13837">
        <v>0</v>
      </c>
      <c r="K13837" t="str">
        <f t="shared" si="2486"/>
        <v>810</v>
      </c>
      <c r="L13837">
        <v>1429.35</v>
      </c>
    </row>
    <row r="13838" spans="1:12" x14ac:dyDescent="0.25">
      <c r="A13838" t="str">
        <f t="shared" si="2483"/>
        <v>89301000</v>
      </c>
      <c r="B13838" t="str">
        <f t="shared" si="2480"/>
        <v>78051000</v>
      </c>
      <c r="C13838" t="str">
        <f t="shared" si="2484"/>
        <v>78051017</v>
      </c>
      <c r="D13838">
        <v>89301062</v>
      </c>
      <c r="E13838" t="str">
        <f>"5758081340"</f>
        <v>5758081340</v>
      </c>
      <c r="F13838" s="1">
        <v>45252</v>
      </c>
      <c r="G13838" t="str">
        <f t="shared" si="2485"/>
        <v>89615</v>
      </c>
      <c r="H13838">
        <v>1</v>
      </c>
      <c r="I13838">
        <v>2199</v>
      </c>
      <c r="J13838">
        <v>0</v>
      </c>
      <c r="K13838" t="str">
        <f t="shared" si="2486"/>
        <v>810</v>
      </c>
      <c r="L13838">
        <v>1429.35</v>
      </c>
    </row>
    <row r="13839" spans="1:12" x14ac:dyDescent="0.25">
      <c r="A13839" t="str">
        <f t="shared" si="2483"/>
        <v>89301000</v>
      </c>
      <c r="B13839" t="str">
        <f t="shared" si="2480"/>
        <v>78051000</v>
      </c>
      <c r="C13839" t="str">
        <f t="shared" si="2484"/>
        <v>78051017</v>
      </c>
      <c r="D13839">
        <v>89301062</v>
      </c>
      <c r="E13839" t="str">
        <f>"8009285306"</f>
        <v>8009285306</v>
      </c>
      <c r="F13839" s="1">
        <v>45252</v>
      </c>
      <c r="G13839" t="str">
        <f t="shared" si="2485"/>
        <v>89615</v>
      </c>
      <c r="H13839">
        <v>1</v>
      </c>
      <c r="I13839">
        <v>2199</v>
      </c>
      <c r="J13839">
        <v>0</v>
      </c>
      <c r="K13839" t="str">
        <f t="shared" si="2486"/>
        <v>810</v>
      </c>
      <c r="L13839">
        <v>1429.35</v>
      </c>
    </row>
    <row r="13840" spans="1:12" x14ac:dyDescent="0.25">
      <c r="A13840" t="str">
        <f t="shared" si="2483"/>
        <v>89301000</v>
      </c>
      <c r="B13840" t="str">
        <f t="shared" si="2480"/>
        <v>78051000</v>
      </c>
      <c r="C13840" t="str">
        <f t="shared" si="2484"/>
        <v>78051017</v>
      </c>
      <c r="D13840">
        <v>89301062</v>
      </c>
      <c r="E13840" t="str">
        <f>"495420094"</f>
        <v>495420094</v>
      </c>
      <c r="F13840" s="1">
        <v>45259</v>
      </c>
      <c r="G13840" t="str">
        <f t="shared" si="2485"/>
        <v>89615</v>
      </c>
      <c r="H13840">
        <v>1</v>
      </c>
      <c r="I13840">
        <v>2199</v>
      </c>
      <c r="J13840">
        <v>0</v>
      </c>
      <c r="K13840" t="str">
        <f t="shared" si="2486"/>
        <v>810</v>
      </c>
      <c r="L13840">
        <v>1429.35</v>
      </c>
    </row>
    <row r="13841" spans="1:12" x14ac:dyDescent="0.25">
      <c r="A13841" t="str">
        <f t="shared" si="2483"/>
        <v>89301000</v>
      </c>
      <c r="B13841" t="str">
        <f t="shared" si="2480"/>
        <v>78051000</v>
      </c>
      <c r="C13841" t="str">
        <f t="shared" si="2484"/>
        <v>78051017</v>
      </c>
      <c r="D13841">
        <v>89301062</v>
      </c>
      <c r="E13841" t="str">
        <f>"7901125342"</f>
        <v>7901125342</v>
      </c>
      <c r="F13841" s="1">
        <v>45259</v>
      </c>
      <c r="G13841" t="str">
        <f t="shared" si="2485"/>
        <v>89615</v>
      </c>
      <c r="H13841">
        <v>1</v>
      </c>
      <c r="I13841">
        <v>2199</v>
      </c>
      <c r="J13841">
        <v>0</v>
      </c>
      <c r="K13841" t="str">
        <f t="shared" si="2486"/>
        <v>810</v>
      </c>
      <c r="L13841">
        <v>1429.35</v>
      </c>
    </row>
    <row r="13842" spans="1:12" x14ac:dyDescent="0.25">
      <c r="A13842" t="str">
        <f t="shared" si="2483"/>
        <v>89301000</v>
      </c>
      <c r="B13842" t="str">
        <f t="shared" ref="B13842:B13883" si="2487">"91866000"</f>
        <v>91866000</v>
      </c>
      <c r="C13842" t="str">
        <f t="shared" ref="C13842:C13878" si="2488">"91866313"</f>
        <v>91866313</v>
      </c>
      <c r="D13842">
        <v>89301101</v>
      </c>
      <c r="E13842" t="str">
        <f>"2256250238"</f>
        <v>2256250238</v>
      </c>
      <c r="F13842" s="1">
        <v>45232</v>
      </c>
      <c r="G13842" t="str">
        <f>"82147"</f>
        <v>82147</v>
      </c>
      <c r="H13842">
        <v>9</v>
      </c>
      <c r="I13842">
        <v>2160</v>
      </c>
      <c r="J13842">
        <v>0</v>
      </c>
      <c r="K13842" t="str">
        <f t="shared" ref="K13842:K13878" si="2489">"802"</f>
        <v>802</v>
      </c>
      <c r="L13842">
        <v>2095.1999999999998</v>
      </c>
    </row>
    <row r="13843" spans="1:12" x14ac:dyDescent="0.25">
      <c r="A13843" t="str">
        <f t="shared" si="2483"/>
        <v>89301000</v>
      </c>
      <c r="B13843" t="str">
        <f t="shared" si="2487"/>
        <v>91866000</v>
      </c>
      <c r="C13843" t="str">
        <f t="shared" si="2488"/>
        <v>91866313</v>
      </c>
      <c r="D13843">
        <v>89301101</v>
      </c>
      <c r="E13843" t="str">
        <f>"2256250238"</f>
        <v>2256250238</v>
      </c>
      <c r="F13843" s="1">
        <v>45232</v>
      </c>
      <c r="G13843" t="str">
        <f>"82147"</f>
        <v>82147</v>
      </c>
      <c r="H13843">
        <v>3</v>
      </c>
      <c r="I13843">
        <v>720</v>
      </c>
      <c r="J13843">
        <v>0</v>
      </c>
      <c r="K13843" t="str">
        <f t="shared" si="2489"/>
        <v>802</v>
      </c>
      <c r="L13843">
        <v>698.4</v>
      </c>
    </row>
    <row r="13844" spans="1:12" x14ac:dyDescent="0.25">
      <c r="A13844" t="str">
        <f t="shared" si="2483"/>
        <v>89301000</v>
      </c>
      <c r="B13844" t="str">
        <f t="shared" si="2487"/>
        <v>91866000</v>
      </c>
      <c r="C13844" t="str">
        <f t="shared" si="2488"/>
        <v>91866313</v>
      </c>
      <c r="D13844">
        <v>89301102</v>
      </c>
      <c r="E13844" t="str">
        <f>"1760280071"</f>
        <v>1760280071</v>
      </c>
      <c r="F13844" s="1">
        <v>45236</v>
      </c>
      <c r="G13844" t="str">
        <f>"97111"</f>
        <v>97111</v>
      </c>
      <c r="H13844">
        <v>1</v>
      </c>
      <c r="I13844">
        <v>19</v>
      </c>
      <c r="J13844">
        <v>0</v>
      </c>
      <c r="K13844" t="str">
        <f t="shared" si="2489"/>
        <v>802</v>
      </c>
      <c r="L13844">
        <v>23.94</v>
      </c>
    </row>
    <row r="13845" spans="1:12" x14ac:dyDescent="0.25">
      <c r="A13845" t="str">
        <f t="shared" si="2483"/>
        <v>89301000</v>
      </c>
      <c r="B13845" t="str">
        <f t="shared" si="2487"/>
        <v>91866000</v>
      </c>
      <c r="C13845" t="str">
        <f t="shared" si="2488"/>
        <v>91866313</v>
      </c>
      <c r="D13845">
        <v>89301102</v>
      </c>
      <c r="E13845" t="str">
        <f>"1760280071"</f>
        <v>1760280071</v>
      </c>
      <c r="F13845" s="1">
        <v>45236</v>
      </c>
      <c r="G13845" t="str">
        <f>"82113"</f>
        <v>82113</v>
      </c>
      <c r="H13845">
        <v>2</v>
      </c>
      <c r="I13845">
        <v>726</v>
      </c>
      <c r="J13845">
        <v>0</v>
      </c>
      <c r="K13845" t="str">
        <f t="shared" si="2489"/>
        <v>802</v>
      </c>
      <c r="L13845">
        <v>704.22</v>
      </c>
    </row>
    <row r="13846" spans="1:12" x14ac:dyDescent="0.25">
      <c r="A13846" t="str">
        <f t="shared" si="2483"/>
        <v>89301000</v>
      </c>
      <c r="B13846" t="str">
        <f t="shared" si="2487"/>
        <v>91866000</v>
      </c>
      <c r="C13846" t="str">
        <f t="shared" si="2488"/>
        <v>91866313</v>
      </c>
      <c r="D13846">
        <v>89301102</v>
      </c>
      <c r="E13846" t="str">
        <f>"1760280071"</f>
        <v>1760280071</v>
      </c>
      <c r="F13846" s="1">
        <v>45236</v>
      </c>
      <c r="G13846" t="str">
        <f>"82113"</f>
        <v>82113</v>
      </c>
      <c r="H13846">
        <v>2</v>
      </c>
      <c r="I13846">
        <v>726</v>
      </c>
      <c r="J13846">
        <v>0</v>
      </c>
      <c r="K13846" t="str">
        <f t="shared" si="2489"/>
        <v>802</v>
      </c>
      <c r="L13846">
        <v>704.22</v>
      </c>
    </row>
    <row r="13847" spans="1:12" x14ac:dyDescent="0.25">
      <c r="A13847" t="str">
        <f t="shared" si="2483"/>
        <v>89301000</v>
      </c>
      <c r="B13847" t="str">
        <f t="shared" si="2487"/>
        <v>91866000</v>
      </c>
      <c r="C13847" t="str">
        <f t="shared" si="2488"/>
        <v>91866313</v>
      </c>
      <c r="D13847">
        <v>89301031</v>
      </c>
      <c r="E13847" t="str">
        <f t="shared" ref="E13847:E13852" si="2490">"7755055154"</f>
        <v>7755055154</v>
      </c>
      <c r="F13847" s="1">
        <v>45244</v>
      </c>
      <c r="G13847" t="str">
        <f t="shared" ref="G13847:G13852" si="2491">"82121"</f>
        <v>82121</v>
      </c>
      <c r="H13847">
        <v>1</v>
      </c>
      <c r="I13847">
        <v>811</v>
      </c>
      <c r="J13847">
        <v>0</v>
      </c>
      <c r="K13847" t="str">
        <f t="shared" si="2489"/>
        <v>802</v>
      </c>
      <c r="L13847">
        <v>786.67</v>
      </c>
    </row>
    <row r="13848" spans="1:12" x14ac:dyDescent="0.25">
      <c r="A13848" t="str">
        <f t="shared" si="2483"/>
        <v>89301000</v>
      </c>
      <c r="B13848" t="str">
        <f t="shared" si="2487"/>
        <v>91866000</v>
      </c>
      <c r="C13848" t="str">
        <f t="shared" si="2488"/>
        <v>91866313</v>
      </c>
      <c r="D13848">
        <v>89301031</v>
      </c>
      <c r="E13848" t="str">
        <f t="shared" si="2490"/>
        <v>7755055154</v>
      </c>
      <c r="F13848" s="1">
        <v>45244</v>
      </c>
      <c r="G13848" t="str">
        <f t="shared" si="2491"/>
        <v>82121</v>
      </c>
      <c r="H13848">
        <v>1</v>
      </c>
      <c r="I13848">
        <v>811</v>
      </c>
      <c r="J13848">
        <v>0</v>
      </c>
      <c r="K13848" t="str">
        <f t="shared" si="2489"/>
        <v>802</v>
      </c>
      <c r="L13848">
        <v>786.67</v>
      </c>
    </row>
    <row r="13849" spans="1:12" x14ac:dyDescent="0.25">
      <c r="A13849" t="str">
        <f t="shared" si="2483"/>
        <v>89301000</v>
      </c>
      <c r="B13849" t="str">
        <f t="shared" si="2487"/>
        <v>91866000</v>
      </c>
      <c r="C13849" t="str">
        <f t="shared" si="2488"/>
        <v>91866313</v>
      </c>
      <c r="D13849">
        <v>89301031</v>
      </c>
      <c r="E13849" t="str">
        <f t="shared" si="2490"/>
        <v>7755055154</v>
      </c>
      <c r="F13849" s="1">
        <v>45244</v>
      </c>
      <c r="G13849" t="str">
        <f t="shared" si="2491"/>
        <v>82121</v>
      </c>
      <c r="H13849">
        <v>1</v>
      </c>
      <c r="I13849">
        <v>811</v>
      </c>
      <c r="J13849">
        <v>0</v>
      </c>
      <c r="K13849" t="str">
        <f t="shared" si="2489"/>
        <v>802</v>
      </c>
      <c r="L13849">
        <v>786.67</v>
      </c>
    </row>
    <row r="13850" spans="1:12" x14ac:dyDescent="0.25">
      <c r="A13850" t="str">
        <f t="shared" si="2483"/>
        <v>89301000</v>
      </c>
      <c r="B13850" t="str">
        <f t="shared" si="2487"/>
        <v>91866000</v>
      </c>
      <c r="C13850" t="str">
        <f t="shared" si="2488"/>
        <v>91866313</v>
      </c>
      <c r="D13850">
        <v>89301031</v>
      </c>
      <c r="E13850" t="str">
        <f t="shared" si="2490"/>
        <v>7755055154</v>
      </c>
      <c r="F13850" s="1">
        <v>45244</v>
      </c>
      <c r="G13850" t="str">
        <f t="shared" si="2491"/>
        <v>82121</v>
      </c>
      <c r="H13850">
        <v>1</v>
      </c>
      <c r="I13850">
        <v>811</v>
      </c>
      <c r="J13850">
        <v>0</v>
      </c>
      <c r="K13850" t="str">
        <f t="shared" si="2489"/>
        <v>802</v>
      </c>
      <c r="L13850">
        <v>786.67</v>
      </c>
    </row>
    <row r="13851" spans="1:12" x14ac:dyDescent="0.25">
      <c r="A13851" t="str">
        <f t="shared" si="2483"/>
        <v>89301000</v>
      </c>
      <c r="B13851" t="str">
        <f t="shared" si="2487"/>
        <v>91866000</v>
      </c>
      <c r="C13851" t="str">
        <f t="shared" si="2488"/>
        <v>91866313</v>
      </c>
      <c r="D13851">
        <v>89301031</v>
      </c>
      <c r="E13851" t="str">
        <f t="shared" si="2490"/>
        <v>7755055154</v>
      </c>
      <c r="F13851" s="1">
        <v>45244</v>
      </c>
      <c r="G13851" t="str">
        <f t="shared" si="2491"/>
        <v>82121</v>
      </c>
      <c r="H13851">
        <v>1</v>
      </c>
      <c r="I13851">
        <v>811</v>
      </c>
      <c r="J13851">
        <v>0</v>
      </c>
      <c r="K13851" t="str">
        <f t="shared" si="2489"/>
        <v>802</v>
      </c>
      <c r="L13851">
        <v>786.67</v>
      </c>
    </row>
    <row r="13852" spans="1:12" x14ac:dyDescent="0.25">
      <c r="A13852" t="str">
        <f t="shared" si="2483"/>
        <v>89301000</v>
      </c>
      <c r="B13852" t="str">
        <f t="shared" si="2487"/>
        <v>91866000</v>
      </c>
      <c r="C13852" t="str">
        <f t="shared" si="2488"/>
        <v>91866313</v>
      </c>
      <c r="D13852">
        <v>89301031</v>
      </c>
      <c r="E13852" t="str">
        <f t="shared" si="2490"/>
        <v>7755055154</v>
      </c>
      <c r="F13852" s="1">
        <v>45244</v>
      </c>
      <c r="G13852" t="str">
        <f t="shared" si="2491"/>
        <v>82121</v>
      </c>
      <c r="H13852">
        <v>1</v>
      </c>
      <c r="I13852">
        <v>811</v>
      </c>
      <c r="J13852">
        <v>0</v>
      </c>
      <c r="K13852" t="str">
        <f t="shared" si="2489"/>
        <v>802</v>
      </c>
      <c r="L13852">
        <v>786.67</v>
      </c>
    </row>
    <row r="13853" spans="1:12" x14ac:dyDescent="0.25">
      <c r="A13853" t="str">
        <f t="shared" si="2483"/>
        <v>89301000</v>
      </c>
      <c r="B13853" t="str">
        <f t="shared" si="2487"/>
        <v>91866000</v>
      </c>
      <c r="C13853" t="str">
        <f t="shared" si="2488"/>
        <v>91866313</v>
      </c>
      <c r="D13853">
        <v>89301704</v>
      </c>
      <c r="E13853" t="str">
        <f t="shared" ref="E13853:E13859" si="2492">"0653165304"</f>
        <v>0653165304</v>
      </c>
      <c r="F13853" s="1">
        <v>45246</v>
      </c>
      <c r="G13853" t="str">
        <f>"97111"</f>
        <v>97111</v>
      </c>
      <c r="H13853">
        <v>1</v>
      </c>
      <c r="I13853">
        <v>19</v>
      </c>
      <c r="J13853">
        <v>0</v>
      </c>
      <c r="K13853" t="str">
        <f t="shared" si="2489"/>
        <v>802</v>
      </c>
      <c r="L13853">
        <v>23.94</v>
      </c>
    </row>
    <row r="13854" spans="1:12" x14ac:dyDescent="0.25">
      <c r="A13854" t="str">
        <f t="shared" si="2483"/>
        <v>89301000</v>
      </c>
      <c r="B13854" t="str">
        <f t="shared" si="2487"/>
        <v>91866000</v>
      </c>
      <c r="C13854" t="str">
        <f t="shared" si="2488"/>
        <v>91866313</v>
      </c>
      <c r="D13854">
        <v>89301704</v>
      </c>
      <c r="E13854" t="str">
        <f t="shared" si="2492"/>
        <v>0653165304</v>
      </c>
      <c r="F13854" s="1">
        <v>45247</v>
      </c>
      <c r="G13854" t="str">
        <f t="shared" ref="G13854:G13865" si="2493">"82087"</f>
        <v>82087</v>
      </c>
      <c r="H13854">
        <v>1</v>
      </c>
      <c r="I13854">
        <v>53</v>
      </c>
      <c r="J13854">
        <v>0</v>
      </c>
      <c r="K13854" t="str">
        <f t="shared" si="2489"/>
        <v>802</v>
      </c>
      <c r="L13854">
        <v>51.41</v>
      </c>
    </row>
    <row r="13855" spans="1:12" x14ac:dyDescent="0.25">
      <c r="A13855" t="str">
        <f t="shared" si="2483"/>
        <v>89301000</v>
      </c>
      <c r="B13855" t="str">
        <f t="shared" si="2487"/>
        <v>91866000</v>
      </c>
      <c r="C13855" t="str">
        <f t="shared" si="2488"/>
        <v>91866313</v>
      </c>
      <c r="D13855">
        <v>89301704</v>
      </c>
      <c r="E13855" t="str">
        <f t="shared" si="2492"/>
        <v>0653165304</v>
      </c>
      <c r="F13855" s="1">
        <v>45248</v>
      </c>
      <c r="G13855" t="str">
        <f t="shared" si="2493"/>
        <v>82087</v>
      </c>
      <c r="H13855">
        <v>1</v>
      </c>
      <c r="I13855">
        <v>53</v>
      </c>
      <c r="J13855">
        <v>0</v>
      </c>
      <c r="K13855" t="str">
        <f t="shared" si="2489"/>
        <v>802</v>
      </c>
      <c r="L13855">
        <v>51.41</v>
      </c>
    </row>
    <row r="13856" spans="1:12" x14ac:dyDescent="0.25">
      <c r="A13856" t="str">
        <f t="shared" si="2483"/>
        <v>89301000</v>
      </c>
      <c r="B13856" t="str">
        <f t="shared" si="2487"/>
        <v>91866000</v>
      </c>
      <c r="C13856" t="str">
        <f t="shared" si="2488"/>
        <v>91866313</v>
      </c>
      <c r="D13856">
        <v>89301704</v>
      </c>
      <c r="E13856" t="str">
        <f t="shared" si="2492"/>
        <v>0653165304</v>
      </c>
      <c r="F13856" s="1">
        <v>45248</v>
      </c>
      <c r="G13856" t="str">
        <f t="shared" si="2493"/>
        <v>82087</v>
      </c>
      <c r="H13856">
        <v>1</v>
      </c>
      <c r="I13856">
        <v>53</v>
      </c>
      <c r="J13856">
        <v>0</v>
      </c>
      <c r="K13856" t="str">
        <f t="shared" si="2489"/>
        <v>802</v>
      </c>
      <c r="L13856">
        <v>51.41</v>
      </c>
    </row>
    <row r="13857" spans="1:12" x14ac:dyDescent="0.25">
      <c r="A13857" t="str">
        <f t="shared" si="2483"/>
        <v>89301000</v>
      </c>
      <c r="B13857" t="str">
        <f t="shared" si="2487"/>
        <v>91866000</v>
      </c>
      <c r="C13857" t="str">
        <f t="shared" si="2488"/>
        <v>91866313</v>
      </c>
      <c r="D13857">
        <v>89301704</v>
      </c>
      <c r="E13857" t="str">
        <f t="shared" si="2492"/>
        <v>0653165304</v>
      </c>
      <c r="F13857" s="1">
        <v>45246</v>
      </c>
      <c r="G13857" t="str">
        <f t="shared" si="2493"/>
        <v>82087</v>
      </c>
      <c r="H13857">
        <v>1</v>
      </c>
      <c r="I13857">
        <v>53</v>
      </c>
      <c r="J13857">
        <v>0</v>
      </c>
      <c r="K13857" t="str">
        <f t="shared" si="2489"/>
        <v>802</v>
      </c>
      <c r="L13857">
        <v>51.41</v>
      </c>
    </row>
    <row r="13858" spans="1:12" x14ac:dyDescent="0.25">
      <c r="A13858" t="str">
        <f t="shared" si="2483"/>
        <v>89301000</v>
      </c>
      <c r="B13858" t="str">
        <f t="shared" si="2487"/>
        <v>91866000</v>
      </c>
      <c r="C13858" t="str">
        <f t="shared" si="2488"/>
        <v>91866313</v>
      </c>
      <c r="D13858">
        <v>89301704</v>
      </c>
      <c r="E13858" t="str">
        <f t="shared" si="2492"/>
        <v>0653165304</v>
      </c>
      <c r="F13858" s="1">
        <v>45246</v>
      </c>
      <c r="G13858" t="str">
        <f t="shared" si="2493"/>
        <v>82087</v>
      </c>
      <c r="H13858">
        <v>1</v>
      </c>
      <c r="I13858">
        <v>53</v>
      </c>
      <c r="J13858">
        <v>0</v>
      </c>
      <c r="K13858" t="str">
        <f t="shared" si="2489"/>
        <v>802</v>
      </c>
      <c r="L13858">
        <v>51.41</v>
      </c>
    </row>
    <row r="13859" spans="1:12" x14ac:dyDescent="0.25">
      <c r="A13859" t="str">
        <f t="shared" si="2483"/>
        <v>89301000</v>
      </c>
      <c r="B13859" t="str">
        <f t="shared" si="2487"/>
        <v>91866000</v>
      </c>
      <c r="C13859" t="str">
        <f t="shared" si="2488"/>
        <v>91866313</v>
      </c>
      <c r="D13859">
        <v>89301704</v>
      </c>
      <c r="E13859" t="str">
        <f t="shared" si="2492"/>
        <v>0653165304</v>
      </c>
      <c r="F13859" s="1">
        <v>45247</v>
      </c>
      <c r="G13859" t="str">
        <f t="shared" si="2493"/>
        <v>82087</v>
      </c>
      <c r="H13859">
        <v>1</v>
      </c>
      <c r="I13859">
        <v>53</v>
      </c>
      <c r="J13859">
        <v>0</v>
      </c>
      <c r="K13859" t="str">
        <f t="shared" si="2489"/>
        <v>802</v>
      </c>
      <c r="L13859">
        <v>51.41</v>
      </c>
    </row>
    <row r="13860" spans="1:12" x14ac:dyDescent="0.25">
      <c r="A13860" t="str">
        <f t="shared" si="2483"/>
        <v>89301000</v>
      </c>
      <c r="B13860" t="str">
        <f t="shared" si="2487"/>
        <v>91866000</v>
      </c>
      <c r="C13860" t="str">
        <f t="shared" si="2488"/>
        <v>91866313</v>
      </c>
      <c r="D13860">
        <v>89301701</v>
      </c>
      <c r="E13860" t="str">
        <f t="shared" ref="E13860:E13865" si="2494">"0911293240"</f>
        <v>0911293240</v>
      </c>
      <c r="F13860" s="1">
        <v>45248</v>
      </c>
      <c r="G13860" t="str">
        <f t="shared" si="2493"/>
        <v>82087</v>
      </c>
      <c r="H13860">
        <v>1</v>
      </c>
      <c r="I13860">
        <v>53</v>
      </c>
      <c r="J13860">
        <v>0</v>
      </c>
      <c r="K13860" t="str">
        <f t="shared" si="2489"/>
        <v>802</v>
      </c>
      <c r="L13860">
        <v>51.41</v>
      </c>
    </row>
    <row r="13861" spans="1:12" x14ac:dyDescent="0.25">
      <c r="A13861" t="str">
        <f t="shared" si="2483"/>
        <v>89301000</v>
      </c>
      <c r="B13861" t="str">
        <f t="shared" si="2487"/>
        <v>91866000</v>
      </c>
      <c r="C13861" t="str">
        <f t="shared" si="2488"/>
        <v>91866313</v>
      </c>
      <c r="D13861">
        <v>89301701</v>
      </c>
      <c r="E13861" t="str">
        <f t="shared" si="2494"/>
        <v>0911293240</v>
      </c>
      <c r="F13861" s="1">
        <v>45246</v>
      </c>
      <c r="G13861" t="str">
        <f t="shared" si="2493"/>
        <v>82087</v>
      </c>
      <c r="H13861">
        <v>1</v>
      </c>
      <c r="I13861">
        <v>53</v>
      </c>
      <c r="J13861">
        <v>0</v>
      </c>
      <c r="K13861" t="str">
        <f t="shared" si="2489"/>
        <v>802</v>
      </c>
      <c r="L13861">
        <v>51.41</v>
      </c>
    </row>
    <row r="13862" spans="1:12" x14ac:dyDescent="0.25">
      <c r="A13862" t="str">
        <f t="shared" si="2483"/>
        <v>89301000</v>
      </c>
      <c r="B13862" t="str">
        <f t="shared" si="2487"/>
        <v>91866000</v>
      </c>
      <c r="C13862" t="str">
        <f t="shared" si="2488"/>
        <v>91866313</v>
      </c>
      <c r="D13862">
        <v>89301701</v>
      </c>
      <c r="E13862" t="str">
        <f t="shared" si="2494"/>
        <v>0911293240</v>
      </c>
      <c r="F13862" s="1">
        <v>45247</v>
      </c>
      <c r="G13862" t="str">
        <f t="shared" si="2493"/>
        <v>82087</v>
      </c>
      <c r="H13862">
        <v>1</v>
      </c>
      <c r="I13862">
        <v>53</v>
      </c>
      <c r="J13862">
        <v>0</v>
      </c>
      <c r="K13862" t="str">
        <f t="shared" si="2489"/>
        <v>802</v>
      </c>
      <c r="L13862">
        <v>51.41</v>
      </c>
    </row>
    <row r="13863" spans="1:12" x14ac:dyDescent="0.25">
      <c r="A13863" t="str">
        <f t="shared" si="2483"/>
        <v>89301000</v>
      </c>
      <c r="B13863" t="str">
        <f t="shared" si="2487"/>
        <v>91866000</v>
      </c>
      <c r="C13863" t="str">
        <f t="shared" si="2488"/>
        <v>91866313</v>
      </c>
      <c r="D13863">
        <v>89301701</v>
      </c>
      <c r="E13863" t="str">
        <f t="shared" si="2494"/>
        <v>0911293240</v>
      </c>
      <c r="F13863" s="1">
        <v>45246</v>
      </c>
      <c r="G13863" t="str">
        <f t="shared" si="2493"/>
        <v>82087</v>
      </c>
      <c r="H13863">
        <v>1</v>
      </c>
      <c r="I13863">
        <v>53</v>
      </c>
      <c r="J13863">
        <v>0</v>
      </c>
      <c r="K13863" t="str">
        <f t="shared" si="2489"/>
        <v>802</v>
      </c>
      <c r="L13863">
        <v>51.41</v>
      </c>
    </row>
    <row r="13864" spans="1:12" x14ac:dyDescent="0.25">
      <c r="A13864" t="str">
        <f t="shared" si="2483"/>
        <v>89301000</v>
      </c>
      <c r="B13864" t="str">
        <f t="shared" si="2487"/>
        <v>91866000</v>
      </c>
      <c r="C13864" t="str">
        <f t="shared" si="2488"/>
        <v>91866313</v>
      </c>
      <c r="D13864">
        <v>89301701</v>
      </c>
      <c r="E13864" t="str">
        <f t="shared" si="2494"/>
        <v>0911293240</v>
      </c>
      <c r="F13864" s="1">
        <v>45248</v>
      </c>
      <c r="G13864" t="str">
        <f t="shared" si="2493"/>
        <v>82087</v>
      </c>
      <c r="H13864">
        <v>1</v>
      </c>
      <c r="I13864">
        <v>53</v>
      </c>
      <c r="J13864">
        <v>0</v>
      </c>
      <c r="K13864" t="str">
        <f t="shared" si="2489"/>
        <v>802</v>
      </c>
      <c r="L13864">
        <v>51.41</v>
      </c>
    </row>
    <row r="13865" spans="1:12" x14ac:dyDescent="0.25">
      <c r="A13865" t="str">
        <f t="shared" si="2483"/>
        <v>89301000</v>
      </c>
      <c r="B13865" t="str">
        <f t="shared" si="2487"/>
        <v>91866000</v>
      </c>
      <c r="C13865" t="str">
        <f t="shared" si="2488"/>
        <v>91866313</v>
      </c>
      <c r="D13865">
        <v>89301701</v>
      </c>
      <c r="E13865" t="str">
        <f t="shared" si="2494"/>
        <v>0911293240</v>
      </c>
      <c r="F13865" s="1">
        <v>45247</v>
      </c>
      <c r="G13865" t="str">
        <f t="shared" si="2493"/>
        <v>82087</v>
      </c>
      <c r="H13865">
        <v>1</v>
      </c>
      <c r="I13865">
        <v>53</v>
      </c>
      <c r="J13865">
        <v>0</v>
      </c>
      <c r="K13865" t="str">
        <f t="shared" si="2489"/>
        <v>802</v>
      </c>
      <c r="L13865">
        <v>51.41</v>
      </c>
    </row>
    <row r="13866" spans="1:12" x14ac:dyDescent="0.25">
      <c r="A13866" t="str">
        <f t="shared" si="2483"/>
        <v>89301000</v>
      </c>
      <c r="B13866" t="str">
        <f t="shared" si="2487"/>
        <v>91866000</v>
      </c>
      <c r="C13866" t="str">
        <f t="shared" si="2488"/>
        <v>91866313</v>
      </c>
      <c r="D13866">
        <v>89301101</v>
      </c>
      <c r="E13866" t="str">
        <f t="shared" ref="E13866:E13871" si="2495">"0859053261"</f>
        <v>0859053261</v>
      </c>
      <c r="F13866" s="1">
        <v>45253</v>
      </c>
      <c r="G13866" t="str">
        <f>"82079"</f>
        <v>82079</v>
      </c>
      <c r="H13866">
        <v>1</v>
      </c>
      <c r="I13866">
        <v>333</v>
      </c>
      <c r="J13866">
        <v>0</v>
      </c>
      <c r="K13866" t="str">
        <f t="shared" si="2489"/>
        <v>802</v>
      </c>
      <c r="L13866">
        <v>323.01</v>
      </c>
    </row>
    <row r="13867" spans="1:12" x14ac:dyDescent="0.25">
      <c r="A13867" t="str">
        <f t="shared" si="2483"/>
        <v>89301000</v>
      </c>
      <c r="B13867" t="str">
        <f t="shared" si="2487"/>
        <v>91866000</v>
      </c>
      <c r="C13867" t="str">
        <f t="shared" si="2488"/>
        <v>91866313</v>
      </c>
      <c r="D13867">
        <v>89301101</v>
      </c>
      <c r="E13867" t="str">
        <f t="shared" si="2495"/>
        <v>0859053261</v>
      </c>
      <c r="F13867" s="1">
        <v>45253</v>
      </c>
      <c r="G13867" t="str">
        <f>"82079"</f>
        <v>82079</v>
      </c>
      <c r="H13867">
        <v>1</v>
      </c>
      <c r="I13867">
        <v>333</v>
      </c>
      <c r="J13867">
        <v>0</v>
      </c>
      <c r="K13867" t="str">
        <f t="shared" si="2489"/>
        <v>802</v>
      </c>
      <c r="L13867">
        <v>323.01</v>
      </c>
    </row>
    <row r="13868" spans="1:12" x14ac:dyDescent="0.25">
      <c r="A13868" t="str">
        <f t="shared" si="2483"/>
        <v>89301000</v>
      </c>
      <c r="B13868" t="str">
        <f t="shared" si="2487"/>
        <v>91866000</v>
      </c>
      <c r="C13868" t="str">
        <f t="shared" si="2488"/>
        <v>91866313</v>
      </c>
      <c r="D13868">
        <v>89301101</v>
      </c>
      <c r="E13868" t="str">
        <f t="shared" si="2495"/>
        <v>0859053261</v>
      </c>
      <c r="F13868" s="1">
        <v>45246</v>
      </c>
      <c r="G13868" t="str">
        <f>"82117"</f>
        <v>82117</v>
      </c>
      <c r="H13868">
        <v>1</v>
      </c>
      <c r="I13868">
        <v>529</v>
      </c>
      <c r="J13868">
        <v>0</v>
      </c>
      <c r="K13868" t="str">
        <f t="shared" si="2489"/>
        <v>802</v>
      </c>
      <c r="L13868">
        <v>513.13</v>
      </c>
    </row>
    <row r="13869" spans="1:12" x14ac:dyDescent="0.25">
      <c r="A13869" t="str">
        <f t="shared" si="2483"/>
        <v>89301000</v>
      </c>
      <c r="B13869" t="str">
        <f t="shared" si="2487"/>
        <v>91866000</v>
      </c>
      <c r="C13869" t="str">
        <f t="shared" si="2488"/>
        <v>91866313</v>
      </c>
      <c r="D13869">
        <v>89301101</v>
      </c>
      <c r="E13869" t="str">
        <f t="shared" si="2495"/>
        <v>0859053261</v>
      </c>
      <c r="F13869" s="1">
        <v>45246</v>
      </c>
      <c r="G13869" t="str">
        <f>"82117"</f>
        <v>82117</v>
      </c>
      <c r="H13869">
        <v>2</v>
      </c>
      <c r="I13869">
        <v>1058</v>
      </c>
      <c r="J13869">
        <v>0</v>
      </c>
      <c r="K13869" t="str">
        <f t="shared" si="2489"/>
        <v>802</v>
      </c>
      <c r="L13869">
        <v>1026.26</v>
      </c>
    </row>
    <row r="13870" spans="1:12" x14ac:dyDescent="0.25">
      <c r="A13870" t="str">
        <f t="shared" si="2483"/>
        <v>89301000</v>
      </c>
      <c r="B13870" t="str">
        <f t="shared" si="2487"/>
        <v>91866000</v>
      </c>
      <c r="C13870" t="str">
        <f t="shared" si="2488"/>
        <v>91866313</v>
      </c>
      <c r="D13870">
        <v>89301101</v>
      </c>
      <c r="E13870" t="str">
        <f t="shared" si="2495"/>
        <v>0859053261</v>
      </c>
      <c r="F13870" s="1">
        <v>45247</v>
      </c>
      <c r="G13870" t="str">
        <f>"82117"</f>
        <v>82117</v>
      </c>
      <c r="H13870">
        <v>1</v>
      </c>
      <c r="I13870">
        <v>529</v>
      </c>
      <c r="J13870">
        <v>0</v>
      </c>
      <c r="K13870" t="str">
        <f t="shared" si="2489"/>
        <v>802</v>
      </c>
      <c r="L13870">
        <v>513.13</v>
      </c>
    </row>
    <row r="13871" spans="1:12" x14ac:dyDescent="0.25">
      <c r="A13871" t="str">
        <f t="shared" si="2483"/>
        <v>89301000</v>
      </c>
      <c r="B13871" t="str">
        <f t="shared" si="2487"/>
        <v>91866000</v>
      </c>
      <c r="C13871" t="str">
        <f t="shared" si="2488"/>
        <v>91866313</v>
      </c>
      <c r="D13871">
        <v>89301101</v>
      </c>
      <c r="E13871" t="str">
        <f t="shared" si="2495"/>
        <v>0859053261</v>
      </c>
      <c r="F13871" s="1">
        <v>45253</v>
      </c>
      <c r="G13871" t="str">
        <f>"82079"</f>
        <v>82079</v>
      </c>
      <c r="H13871">
        <v>1</v>
      </c>
      <c r="I13871">
        <v>333</v>
      </c>
      <c r="J13871">
        <v>0</v>
      </c>
      <c r="K13871" t="str">
        <f t="shared" si="2489"/>
        <v>802</v>
      </c>
      <c r="L13871">
        <v>323.01</v>
      </c>
    </row>
    <row r="13872" spans="1:12" x14ac:dyDescent="0.25">
      <c r="A13872" t="str">
        <f t="shared" si="2483"/>
        <v>89301000</v>
      </c>
      <c r="B13872" t="str">
        <f t="shared" si="2487"/>
        <v>91866000</v>
      </c>
      <c r="C13872" t="str">
        <f t="shared" si="2488"/>
        <v>91866313</v>
      </c>
      <c r="D13872">
        <v>89301704</v>
      </c>
      <c r="E13872" t="str">
        <f t="shared" ref="E13872:E13878" si="2496">"1659030604"</f>
        <v>1659030604</v>
      </c>
      <c r="F13872" s="1">
        <v>45254</v>
      </c>
      <c r="G13872" t="str">
        <f>"97111"</f>
        <v>97111</v>
      </c>
      <c r="H13872">
        <v>1</v>
      </c>
      <c r="I13872">
        <v>19</v>
      </c>
      <c r="J13872">
        <v>0</v>
      </c>
      <c r="K13872" t="str">
        <f t="shared" si="2489"/>
        <v>802</v>
      </c>
      <c r="L13872">
        <v>23.94</v>
      </c>
    </row>
    <row r="13873" spans="1:12" x14ac:dyDescent="0.25">
      <c r="A13873" t="str">
        <f t="shared" si="2483"/>
        <v>89301000</v>
      </c>
      <c r="B13873" t="str">
        <f t="shared" si="2487"/>
        <v>91866000</v>
      </c>
      <c r="C13873" t="str">
        <f t="shared" si="2488"/>
        <v>91866313</v>
      </c>
      <c r="D13873">
        <v>89301704</v>
      </c>
      <c r="E13873" t="str">
        <f t="shared" si="2496"/>
        <v>1659030604</v>
      </c>
      <c r="F13873" s="1">
        <v>45255</v>
      </c>
      <c r="G13873" t="str">
        <f t="shared" ref="G13873:G13878" si="2497">"82087"</f>
        <v>82087</v>
      </c>
      <c r="H13873">
        <v>1</v>
      </c>
      <c r="I13873">
        <v>53</v>
      </c>
      <c r="J13873">
        <v>0</v>
      </c>
      <c r="K13873" t="str">
        <f t="shared" si="2489"/>
        <v>802</v>
      </c>
      <c r="L13873">
        <v>51.41</v>
      </c>
    </row>
    <row r="13874" spans="1:12" x14ac:dyDescent="0.25">
      <c r="A13874" t="str">
        <f t="shared" si="2483"/>
        <v>89301000</v>
      </c>
      <c r="B13874" t="str">
        <f t="shared" si="2487"/>
        <v>91866000</v>
      </c>
      <c r="C13874" t="str">
        <f t="shared" si="2488"/>
        <v>91866313</v>
      </c>
      <c r="D13874">
        <v>89301704</v>
      </c>
      <c r="E13874" t="str">
        <f t="shared" si="2496"/>
        <v>1659030604</v>
      </c>
      <c r="F13874" s="1">
        <v>45256</v>
      </c>
      <c r="G13874" t="str">
        <f t="shared" si="2497"/>
        <v>82087</v>
      </c>
      <c r="H13874">
        <v>1</v>
      </c>
      <c r="I13874">
        <v>53</v>
      </c>
      <c r="J13874">
        <v>0</v>
      </c>
      <c r="K13874" t="str">
        <f t="shared" si="2489"/>
        <v>802</v>
      </c>
      <c r="L13874">
        <v>51.41</v>
      </c>
    </row>
    <row r="13875" spans="1:12" x14ac:dyDescent="0.25">
      <c r="A13875" t="str">
        <f t="shared" si="2483"/>
        <v>89301000</v>
      </c>
      <c r="B13875" t="str">
        <f t="shared" si="2487"/>
        <v>91866000</v>
      </c>
      <c r="C13875" t="str">
        <f t="shared" si="2488"/>
        <v>91866313</v>
      </c>
      <c r="D13875">
        <v>89301704</v>
      </c>
      <c r="E13875" t="str">
        <f t="shared" si="2496"/>
        <v>1659030604</v>
      </c>
      <c r="F13875" s="1">
        <v>45254</v>
      </c>
      <c r="G13875" t="str">
        <f t="shared" si="2497"/>
        <v>82087</v>
      </c>
      <c r="H13875">
        <v>1</v>
      </c>
      <c r="I13875">
        <v>53</v>
      </c>
      <c r="J13875">
        <v>0</v>
      </c>
      <c r="K13875" t="str">
        <f t="shared" si="2489"/>
        <v>802</v>
      </c>
      <c r="L13875">
        <v>51.41</v>
      </c>
    </row>
    <row r="13876" spans="1:12" x14ac:dyDescent="0.25">
      <c r="A13876" t="str">
        <f t="shared" si="2483"/>
        <v>89301000</v>
      </c>
      <c r="B13876" t="str">
        <f t="shared" si="2487"/>
        <v>91866000</v>
      </c>
      <c r="C13876" t="str">
        <f t="shared" si="2488"/>
        <v>91866313</v>
      </c>
      <c r="D13876">
        <v>89301704</v>
      </c>
      <c r="E13876" t="str">
        <f t="shared" si="2496"/>
        <v>1659030604</v>
      </c>
      <c r="F13876" s="1">
        <v>45255</v>
      </c>
      <c r="G13876" t="str">
        <f t="shared" si="2497"/>
        <v>82087</v>
      </c>
      <c r="H13876">
        <v>1</v>
      </c>
      <c r="I13876">
        <v>53</v>
      </c>
      <c r="J13876">
        <v>0</v>
      </c>
      <c r="K13876" t="str">
        <f t="shared" si="2489"/>
        <v>802</v>
      </c>
      <c r="L13876">
        <v>51.41</v>
      </c>
    </row>
    <row r="13877" spans="1:12" x14ac:dyDescent="0.25">
      <c r="A13877" t="str">
        <f t="shared" si="2483"/>
        <v>89301000</v>
      </c>
      <c r="B13877" t="str">
        <f t="shared" si="2487"/>
        <v>91866000</v>
      </c>
      <c r="C13877" t="str">
        <f t="shared" si="2488"/>
        <v>91866313</v>
      </c>
      <c r="D13877">
        <v>89301704</v>
      </c>
      <c r="E13877" t="str">
        <f t="shared" si="2496"/>
        <v>1659030604</v>
      </c>
      <c r="F13877" s="1">
        <v>45254</v>
      </c>
      <c r="G13877" t="str">
        <f t="shared" si="2497"/>
        <v>82087</v>
      </c>
      <c r="H13877">
        <v>1</v>
      </c>
      <c r="I13877">
        <v>53</v>
      </c>
      <c r="J13877">
        <v>0</v>
      </c>
      <c r="K13877" t="str">
        <f t="shared" si="2489"/>
        <v>802</v>
      </c>
      <c r="L13877">
        <v>51.41</v>
      </c>
    </row>
    <row r="13878" spans="1:12" x14ac:dyDescent="0.25">
      <c r="A13878" t="str">
        <f t="shared" si="2483"/>
        <v>89301000</v>
      </c>
      <c r="B13878" t="str">
        <f t="shared" si="2487"/>
        <v>91866000</v>
      </c>
      <c r="C13878" t="str">
        <f t="shared" si="2488"/>
        <v>91866313</v>
      </c>
      <c r="D13878">
        <v>89301704</v>
      </c>
      <c r="E13878" t="str">
        <f t="shared" si="2496"/>
        <v>1659030604</v>
      </c>
      <c r="F13878" s="1">
        <v>45256</v>
      </c>
      <c r="G13878" t="str">
        <f t="shared" si="2497"/>
        <v>82087</v>
      </c>
      <c r="H13878">
        <v>1</v>
      </c>
      <c r="I13878">
        <v>53</v>
      </c>
      <c r="J13878">
        <v>0</v>
      </c>
      <c r="K13878" t="str">
        <f t="shared" si="2489"/>
        <v>802</v>
      </c>
      <c r="L13878">
        <v>51.41</v>
      </c>
    </row>
    <row r="13879" spans="1:12" x14ac:dyDescent="0.25">
      <c r="A13879" t="str">
        <f t="shared" si="2483"/>
        <v>89301000</v>
      </c>
      <c r="B13879" t="str">
        <f t="shared" si="2487"/>
        <v>91866000</v>
      </c>
      <c r="C13879" t="str">
        <f>"91866321"</f>
        <v>91866321</v>
      </c>
      <c r="D13879">
        <v>89301522</v>
      </c>
      <c r="E13879" t="str">
        <f>"9254285722"</f>
        <v>9254285722</v>
      </c>
      <c r="F13879" s="1">
        <v>45231</v>
      </c>
      <c r="G13879" t="str">
        <f>"97111"</f>
        <v>97111</v>
      </c>
      <c r="H13879">
        <v>1</v>
      </c>
      <c r="I13879">
        <v>19</v>
      </c>
      <c r="J13879">
        <v>0</v>
      </c>
      <c r="K13879" t="str">
        <f>"813"</f>
        <v>813</v>
      </c>
      <c r="L13879">
        <v>23.94</v>
      </c>
    </row>
    <row r="13880" spans="1:12" x14ac:dyDescent="0.25">
      <c r="A13880" t="str">
        <f t="shared" si="2483"/>
        <v>89301000</v>
      </c>
      <c r="B13880" t="str">
        <f t="shared" si="2487"/>
        <v>91866000</v>
      </c>
      <c r="C13880" t="str">
        <f>"91866321"</f>
        <v>91866321</v>
      </c>
      <c r="D13880">
        <v>89301522</v>
      </c>
      <c r="E13880" t="str">
        <f>"9254285722"</f>
        <v>9254285722</v>
      </c>
      <c r="F13880" s="1">
        <v>45231</v>
      </c>
      <c r="G13880" t="str">
        <f>"91411"</f>
        <v>91411</v>
      </c>
      <c r="H13880">
        <v>1</v>
      </c>
      <c r="I13880">
        <v>1631</v>
      </c>
      <c r="J13880">
        <v>0</v>
      </c>
      <c r="K13880" t="str">
        <f>"813"</f>
        <v>813</v>
      </c>
      <c r="L13880">
        <v>1370.04</v>
      </c>
    </row>
    <row r="13881" spans="1:12" x14ac:dyDescent="0.25">
      <c r="A13881" t="str">
        <f t="shared" si="2483"/>
        <v>89301000</v>
      </c>
      <c r="B13881" t="str">
        <f t="shared" si="2487"/>
        <v>91866000</v>
      </c>
      <c r="C13881" t="str">
        <f>"91866321"</f>
        <v>91866321</v>
      </c>
      <c r="D13881">
        <v>89301522</v>
      </c>
      <c r="E13881" t="str">
        <f>"9254285722"</f>
        <v>9254285722</v>
      </c>
      <c r="F13881" s="1">
        <v>45231</v>
      </c>
      <c r="G13881" t="str">
        <f>"91411"</f>
        <v>91411</v>
      </c>
      <c r="H13881">
        <v>1</v>
      </c>
      <c r="I13881">
        <v>1631</v>
      </c>
      <c r="J13881">
        <v>0</v>
      </c>
      <c r="K13881" t="str">
        <f>"813"</f>
        <v>813</v>
      </c>
      <c r="L13881">
        <v>1370.04</v>
      </c>
    </row>
    <row r="13882" spans="1:12" x14ac:dyDescent="0.25">
      <c r="A13882" t="str">
        <f t="shared" si="2483"/>
        <v>89301000</v>
      </c>
      <c r="B13882" t="str">
        <f t="shared" si="2487"/>
        <v>91866000</v>
      </c>
      <c r="C13882" t="str">
        <f>"91866321"</f>
        <v>91866321</v>
      </c>
      <c r="D13882">
        <v>89301101</v>
      </c>
      <c r="E13882" t="str">
        <f>"2011101433"</f>
        <v>2011101433</v>
      </c>
      <c r="F13882" s="1">
        <v>45252</v>
      </c>
      <c r="G13882" t="str">
        <f>"97111"</f>
        <v>97111</v>
      </c>
      <c r="H13882">
        <v>1</v>
      </c>
      <c r="I13882">
        <v>19</v>
      </c>
      <c r="J13882">
        <v>0</v>
      </c>
      <c r="K13882" t="str">
        <f>"813"</f>
        <v>813</v>
      </c>
      <c r="L13882">
        <v>23.94</v>
      </c>
    </row>
    <row r="13883" spans="1:12" x14ac:dyDescent="0.25">
      <c r="A13883" t="str">
        <f t="shared" si="2483"/>
        <v>89301000</v>
      </c>
      <c r="B13883" t="str">
        <f t="shared" si="2487"/>
        <v>91866000</v>
      </c>
      <c r="C13883" t="str">
        <f>"91866321"</f>
        <v>91866321</v>
      </c>
      <c r="D13883">
        <v>89301101</v>
      </c>
      <c r="E13883" t="str">
        <f>"2011101433"</f>
        <v>2011101433</v>
      </c>
      <c r="F13883" s="1">
        <v>45252</v>
      </c>
      <c r="G13883" t="str">
        <f>"91135"</f>
        <v>91135</v>
      </c>
      <c r="H13883">
        <v>1</v>
      </c>
      <c r="I13883">
        <v>267</v>
      </c>
      <c r="J13883">
        <v>0</v>
      </c>
      <c r="K13883" t="str">
        <f>"813"</f>
        <v>813</v>
      </c>
      <c r="L13883">
        <v>224.28</v>
      </c>
    </row>
    <row r="13884" spans="1:12" x14ac:dyDescent="0.25">
      <c r="A13884" t="str">
        <f t="shared" si="2483"/>
        <v>89301000</v>
      </c>
      <c r="B13884" t="str">
        <f>"78934000"</f>
        <v>78934000</v>
      </c>
      <c r="C13884" t="str">
        <f>"78934001"</f>
        <v>78934001</v>
      </c>
      <c r="D13884">
        <v>89301212</v>
      </c>
      <c r="E13884" t="str">
        <f>"8759254911"</f>
        <v>8759254911</v>
      </c>
      <c r="F13884" s="1">
        <v>45238</v>
      </c>
      <c r="G13884" t="str">
        <f>"89513"</f>
        <v>89513</v>
      </c>
      <c r="H13884">
        <v>1</v>
      </c>
      <c r="I13884">
        <v>378</v>
      </c>
      <c r="J13884">
        <v>0</v>
      </c>
      <c r="K13884" t="str">
        <f t="shared" ref="K13884:K13915" si="2498">"809"</f>
        <v>809</v>
      </c>
      <c r="L13884">
        <v>555.66</v>
      </c>
    </row>
    <row r="13885" spans="1:12" x14ac:dyDescent="0.25">
      <c r="A13885" t="str">
        <f t="shared" si="2483"/>
        <v>89301000</v>
      </c>
      <c r="B13885" t="str">
        <f>"78934000"</f>
        <v>78934000</v>
      </c>
      <c r="C13885" t="str">
        <f>"78934001"</f>
        <v>78934001</v>
      </c>
      <c r="D13885">
        <v>89301212</v>
      </c>
      <c r="E13885" t="str">
        <f>"8759254911"</f>
        <v>8759254911</v>
      </c>
      <c r="F13885" s="1">
        <v>45238</v>
      </c>
      <c r="G13885" t="str">
        <f>"89514"</f>
        <v>89514</v>
      </c>
      <c r="H13885">
        <v>1</v>
      </c>
      <c r="I13885">
        <v>378</v>
      </c>
      <c r="J13885">
        <v>0</v>
      </c>
      <c r="K13885" t="str">
        <f t="shared" si="2498"/>
        <v>809</v>
      </c>
      <c r="L13885">
        <v>555.66</v>
      </c>
    </row>
    <row r="13886" spans="1:12" x14ac:dyDescent="0.25">
      <c r="A13886" t="str">
        <f t="shared" si="2483"/>
        <v>89301000</v>
      </c>
      <c r="B13886" t="str">
        <f t="shared" ref="B13886:C13905" si="2499">"89063000"</f>
        <v>89063000</v>
      </c>
      <c r="C13886" t="str">
        <f t="shared" si="2499"/>
        <v>89063000</v>
      </c>
      <c r="D13886">
        <v>89301037</v>
      </c>
      <c r="E13886" t="str">
        <f>"5754071807"</f>
        <v>5754071807</v>
      </c>
      <c r="F13886" s="1">
        <v>45231</v>
      </c>
      <c r="G13886" t="str">
        <f t="shared" ref="G13886:G13917" si="2500">"89312"</f>
        <v>89312</v>
      </c>
      <c r="H13886">
        <v>3</v>
      </c>
      <c r="I13886">
        <v>936</v>
      </c>
      <c r="J13886">
        <v>0</v>
      </c>
      <c r="K13886" t="str">
        <f t="shared" si="2498"/>
        <v>809</v>
      </c>
      <c r="L13886">
        <v>1020.24</v>
      </c>
    </row>
    <row r="13887" spans="1:12" x14ac:dyDescent="0.25">
      <c r="A13887" t="str">
        <f t="shared" si="2483"/>
        <v>89301000</v>
      </c>
      <c r="B13887" t="str">
        <f t="shared" si="2499"/>
        <v>89063000</v>
      </c>
      <c r="C13887" t="str">
        <f t="shared" si="2499"/>
        <v>89063000</v>
      </c>
      <c r="D13887">
        <v>89301162</v>
      </c>
      <c r="E13887" t="str">
        <f>"6804111050"</f>
        <v>6804111050</v>
      </c>
      <c r="F13887" s="1">
        <v>45232</v>
      </c>
      <c r="G13887" t="str">
        <f t="shared" si="2500"/>
        <v>89312</v>
      </c>
      <c r="H13887">
        <v>3</v>
      </c>
      <c r="I13887">
        <v>936</v>
      </c>
      <c r="J13887">
        <v>0</v>
      </c>
      <c r="K13887" t="str">
        <f t="shared" si="2498"/>
        <v>809</v>
      </c>
      <c r="L13887">
        <v>1020.24</v>
      </c>
    </row>
    <row r="13888" spans="1:12" x14ac:dyDescent="0.25">
      <c r="A13888" t="str">
        <f t="shared" si="2483"/>
        <v>89301000</v>
      </c>
      <c r="B13888" t="str">
        <f t="shared" si="2499"/>
        <v>89063000</v>
      </c>
      <c r="C13888" t="str">
        <f t="shared" si="2499"/>
        <v>89063000</v>
      </c>
      <c r="D13888">
        <v>89301036</v>
      </c>
      <c r="E13888" t="str">
        <f>"6060291666"</f>
        <v>6060291666</v>
      </c>
      <c r="F13888" s="1">
        <v>45232</v>
      </c>
      <c r="G13888" t="str">
        <f t="shared" si="2500"/>
        <v>89312</v>
      </c>
      <c r="H13888">
        <v>3</v>
      </c>
      <c r="I13888">
        <v>936</v>
      </c>
      <c r="J13888">
        <v>0</v>
      </c>
      <c r="K13888" t="str">
        <f t="shared" si="2498"/>
        <v>809</v>
      </c>
      <c r="L13888">
        <v>1020.24</v>
      </c>
    </row>
    <row r="13889" spans="1:12" x14ac:dyDescent="0.25">
      <c r="A13889" t="str">
        <f t="shared" si="2483"/>
        <v>89301000</v>
      </c>
      <c r="B13889" t="str">
        <f t="shared" si="2499"/>
        <v>89063000</v>
      </c>
      <c r="C13889" t="str">
        <f t="shared" si="2499"/>
        <v>89063000</v>
      </c>
      <c r="D13889">
        <v>89301037</v>
      </c>
      <c r="E13889" t="str">
        <f>"475822482"</f>
        <v>475822482</v>
      </c>
      <c r="F13889" s="1">
        <v>45232</v>
      </c>
      <c r="G13889" t="str">
        <f t="shared" si="2500"/>
        <v>89312</v>
      </c>
      <c r="H13889">
        <v>3</v>
      </c>
      <c r="I13889">
        <v>936</v>
      </c>
      <c r="J13889">
        <v>0</v>
      </c>
      <c r="K13889" t="str">
        <f t="shared" si="2498"/>
        <v>809</v>
      </c>
      <c r="L13889">
        <v>1020.24</v>
      </c>
    </row>
    <row r="13890" spans="1:12" x14ac:dyDescent="0.25">
      <c r="A13890" t="str">
        <f t="shared" ref="A13890:A13953" si="2501">"89301000"</f>
        <v>89301000</v>
      </c>
      <c r="B13890" t="str">
        <f t="shared" si="2499"/>
        <v>89063000</v>
      </c>
      <c r="C13890" t="str">
        <f t="shared" si="2499"/>
        <v>89063000</v>
      </c>
      <c r="D13890">
        <v>89301037</v>
      </c>
      <c r="E13890" t="str">
        <f>"500302087"</f>
        <v>500302087</v>
      </c>
      <c r="F13890" s="1">
        <v>45233</v>
      </c>
      <c r="G13890" t="str">
        <f t="shared" si="2500"/>
        <v>89312</v>
      </c>
      <c r="H13890">
        <v>3</v>
      </c>
      <c r="I13890">
        <v>936</v>
      </c>
      <c r="J13890">
        <v>0</v>
      </c>
      <c r="K13890" t="str">
        <f t="shared" si="2498"/>
        <v>809</v>
      </c>
      <c r="L13890">
        <v>1020.24</v>
      </c>
    </row>
    <row r="13891" spans="1:12" x14ac:dyDescent="0.25">
      <c r="A13891" t="str">
        <f t="shared" si="2501"/>
        <v>89301000</v>
      </c>
      <c r="B13891" t="str">
        <f t="shared" si="2499"/>
        <v>89063000</v>
      </c>
      <c r="C13891" t="str">
        <f t="shared" si="2499"/>
        <v>89063000</v>
      </c>
      <c r="D13891">
        <v>89301037</v>
      </c>
      <c r="E13891" t="str">
        <f>"6652171889"</f>
        <v>6652171889</v>
      </c>
      <c r="F13891" s="1">
        <v>45233</v>
      </c>
      <c r="G13891" t="str">
        <f t="shared" si="2500"/>
        <v>89312</v>
      </c>
      <c r="H13891">
        <v>3</v>
      </c>
      <c r="I13891">
        <v>936</v>
      </c>
      <c r="J13891">
        <v>0</v>
      </c>
      <c r="K13891" t="str">
        <f t="shared" si="2498"/>
        <v>809</v>
      </c>
      <c r="L13891">
        <v>1020.24</v>
      </c>
    </row>
    <row r="13892" spans="1:12" x14ac:dyDescent="0.25">
      <c r="A13892" t="str">
        <f t="shared" si="2501"/>
        <v>89301000</v>
      </c>
      <c r="B13892" t="str">
        <f t="shared" si="2499"/>
        <v>89063000</v>
      </c>
      <c r="C13892" t="str">
        <f t="shared" si="2499"/>
        <v>89063000</v>
      </c>
      <c r="D13892">
        <v>89301037</v>
      </c>
      <c r="E13892" t="str">
        <f>"535203097"</f>
        <v>535203097</v>
      </c>
      <c r="F13892" s="1">
        <v>45233</v>
      </c>
      <c r="G13892" t="str">
        <f t="shared" si="2500"/>
        <v>89312</v>
      </c>
      <c r="H13892">
        <v>3</v>
      </c>
      <c r="I13892">
        <v>936</v>
      </c>
      <c r="J13892">
        <v>0</v>
      </c>
      <c r="K13892" t="str">
        <f t="shared" si="2498"/>
        <v>809</v>
      </c>
      <c r="L13892">
        <v>1020.24</v>
      </c>
    </row>
    <row r="13893" spans="1:12" x14ac:dyDescent="0.25">
      <c r="A13893" t="str">
        <f t="shared" si="2501"/>
        <v>89301000</v>
      </c>
      <c r="B13893" t="str">
        <f t="shared" si="2499"/>
        <v>89063000</v>
      </c>
      <c r="C13893" t="str">
        <f t="shared" si="2499"/>
        <v>89063000</v>
      </c>
      <c r="D13893">
        <v>89301037</v>
      </c>
      <c r="E13893" t="str">
        <f>"415816476"</f>
        <v>415816476</v>
      </c>
      <c r="F13893" s="1">
        <v>45236</v>
      </c>
      <c r="G13893" t="str">
        <f t="shared" si="2500"/>
        <v>89312</v>
      </c>
      <c r="H13893">
        <v>3</v>
      </c>
      <c r="I13893">
        <v>936</v>
      </c>
      <c r="J13893">
        <v>0</v>
      </c>
      <c r="K13893" t="str">
        <f t="shared" si="2498"/>
        <v>809</v>
      </c>
      <c r="L13893">
        <v>1020.24</v>
      </c>
    </row>
    <row r="13894" spans="1:12" x14ac:dyDescent="0.25">
      <c r="A13894" t="str">
        <f t="shared" si="2501"/>
        <v>89301000</v>
      </c>
      <c r="B13894" t="str">
        <f t="shared" si="2499"/>
        <v>89063000</v>
      </c>
      <c r="C13894" t="str">
        <f t="shared" si="2499"/>
        <v>89063000</v>
      </c>
      <c r="D13894">
        <v>89301037</v>
      </c>
      <c r="E13894" t="str">
        <f>"5657111669"</f>
        <v>5657111669</v>
      </c>
      <c r="F13894" s="1">
        <v>45246</v>
      </c>
      <c r="G13894" t="str">
        <f t="shared" si="2500"/>
        <v>89312</v>
      </c>
      <c r="H13894">
        <v>3</v>
      </c>
      <c r="I13894">
        <v>936</v>
      </c>
      <c r="J13894">
        <v>0</v>
      </c>
      <c r="K13894" t="str">
        <f t="shared" si="2498"/>
        <v>809</v>
      </c>
      <c r="L13894">
        <v>1020.24</v>
      </c>
    </row>
    <row r="13895" spans="1:12" x14ac:dyDescent="0.25">
      <c r="A13895" t="str">
        <f t="shared" si="2501"/>
        <v>89301000</v>
      </c>
      <c r="B13895" t="str">
        <f t="shared" si="2499"/>
        <v>89063000</v>
      </c>
      <c r="C13895" t="str">
        <f t="shared" si="2499"/>
        <v>89063000</v>
      </c>
      <c r="D13895">
        <v>89301702</v>
      </c>
      <c r="E13895" t="str">
        <f>"1555200889"</f>
        <v>1555200889</v>
      </c>
      <c r="F13895" s="1">
        <v>45237</v>
      </c>
      <c r="G13895" t="str">
        <f t="shared" si="2500"/>
        <v>89312</v>
      </c>
      <c r="H13895">
        <v>1</v>
      </c>
      <c r="I13895">
        <v>312</v>
      </c>
      <c r="J13895">
        <v>0</v>
      </c>
      <c r="K13895" t="str">
        <f t="shared" si="2498"/>
        <v>809</v>
      </c>
      <c r="L13895">
        <v>340.08</v>
      </c>
    </row>
    <row r="13896" spans="1:12" x14ac:dyDescent="0.25">
      <c r="A13896" t="str">
        <f t="shared" si="2501"/>
        <v>89301000</v>
      </c>
      <c r="B13896" t="str">
        <f t="shared" si="2499"/>
        <v>89063000</v>
      </c>
      <c r="C13896" t="str">
        <f t="shared" si="2499"/>
        <v>89063000</v>
      </c>
      <c r="D13896">
        <v>89301162</v>
      </c>
      <c r="E13896" t="str">
        <f>"8756156145"</f>
        <v>8756156145</v>
      </c>
      <c r="F13896" s="1">
        <v>45238</v>
      </c>
      <c r="G13896" t="str">
        <f t="shared" si="2500"/>
        <v>89312</v>
      </c>
      <c r="H13896">
        <v>3</v>
      </c>
      <c r="I13896">
        <v>936</v>
      </c>
      <c r="J13896">
        <v>0</v>
      </c>
      <c r="K13896" t="str">
        <f t="shared" si="2498"/>
        <v>809</v>
      </c>
      <c r="L13896">
        <v>1020.24</v>
      </c>
    </row>
    <row r="13897" spans="1:12" x14ac:dyDescent="0.25">
      <c r="A13897" t="str">
        <f t="shared" si="2501"/>
        <v>89301000</v>
      </c>
      <c r="B13897" t="str">
        <f t="shared" si="2499"/>
        <v>89063000</v>
      </c>
      <c r="C13897" t="str">
        <f t="shared" si="2499"/>
        <v>89063000</v>
      </c>
      <c r="D13897">
        <v>89301037</v>
      </c>
      <c r="E13897" t="str">
        <f>"6960045862"</f>
        <v>6960045862</v>
      </c>
      <c r="F13897" s="1">
        <v>45238</v>
      </c>
      <c r="G13897" t="str">
        <f t="shared" si="2500"/>
        <v>89312</v>
      </c>
      <c r="H13897">
        <v>3</v>
      </c>
      <c r="I13897">
        <v>936</v>
      </c>
      <c r="J13897">
        <v>0</v>
      </c>
      <c r="K13897" t="str">
        <f t="shared" si="2498"/>
        <v>809</v>
      </c>
      <c r="L13897">
        <v>1020.24</v>
      </c>
    </row>
    <row r="13898" spans="1:12" x14ac:dyDescent="0.25">
      <c r="A13898" t="str">
        <f t="shared" si="2501"/>
        <v>89301000</v>
      </c>
      <c r="B13898" t="str">
        <f t="shared" si="2499"/>
        <v>89063000</v>
      </c>
      <c r="C13898" t="str">
        <f t="shared" si="2499"/>
        <v>89063000</v>
      </c>
      <c r="D13898">
        <v>89301037</v>
      </c>
      <c r="E13898" t="str">
        <f>"395609437"</f>
        <v>395609437</v>
      </c>
      <c r="F13898" s="1">
        <v>45239</v>
      </c>
      <c r="G13898" t="str">
        <f t="shared" si="2500"/>
        <v>89312</v>
      </c>
      <c r="H13898">
        <v>3</v>
      </c>
      <c r="I13898">
        <v>936</v>
      </c>
      <c r="J13898">
        <v>0</v>
      </c>
      <c r="K13898" t="str">
        <f t="shared" si="2498"/>
        <v>809</v>
      </c>
      <c r="L13898">
        <v>1020.24</v>
      </c>
    </row>
    <row r="13899" spans="1:12" x14ac:dyDescent="0.25">
      <c r="A13899" t="str">
        <f t="shared" si="2501"/>
        <v>89301000</v>
      </c>
      <c r="B13899" t="str">
        <f t="shared" si="2499"/>
        <v>89063000</v>
      </c>
      <c r="C13899" t="str">
        <f t="shared" si="2499"/>
        <v>89063000</v>
      </c>
      <c r="D13899">
        <v>89301037</v>
      </c>
      <c r="E13899" t="str">
        <f>"461212503"</f>
        <v>461212503</v>
      </c>
      <c r="F13899" s="1">
        <v>45240</v>
      </c>
      <c r="G13899" t="str">
        <f t="shared" si="2500"/>
        <v>89312</v>
      </c>
      <c r="H13899">
        <v>3</v>
      </c>
      <c r="I13899">
        <v>936</v>
      </c>
      <c r="J13899">
        <v>0</v>
      </c>
      <c r="K13899" t="str">
        <f t="shared" si="2498"/>
        <v>809</v>
      </c>
      <c r="L13899">
        <v>1020.24</v>
      </c>
    </row>
    <row r="13900" spans="1:12" x14ac:dyDescent="0.25">
      <c r="A13900" t="str">
        <f t="shared" si="2501"/>
        <v>89301000</v>
      </c>
      <c r="B13900" t="str">
        <f t="shared" si="2499"/>
        <v>89063000</v>
      </c>
      <c r="C13900" t="str">
        <f t="shared" si="2499"/>
        <v>89063000</v>
      </c>
      <c r="D13900">
        <v>89301037</v>
      </c>
      <c r="E13900" t="str">
        <f>"5710286703"</f>
        <v>5710286703</v>
      </c>
      <c r="F13900" s="1">
        <v>45243</v>
      </c>
      <c r="G13900" t="str">
        <f t="shared" si="2500"/>
        <v>89312</v>
      </c>
      <c r="H13900">
        <v>3</v>
      </c>
      <c r="I13900">
        <v>936</v>
      </c>
      <c r="J13900">
        <v>0</v>
      </c>
      <c r="K13900" t="str">
        <f t="shared" si="2498"/>
        <v>809</v>
      </c>
      <c r="L13900">
        <v>1020.24</v>
      </c>
    </row>
    <row r="13901" spans="1:12" x14ac:dyDescent="0.25">
      <c r="A13901" t="str">
        <f t="shared" si="2501"/>
        <v>89301000</v>
      </c>
      <c r="B13901" t="str">
        <f t="shared" si="2499"/>
        <v>89063000</v>
      </c>
      <c r="C13901" t="str">
        <f t="shared" si="2499"/>
        <v>89063000</v>
      </c>
      <c r="D13901">
        <v>89301037</v>
      </c>
      <c r="E13901" t="str">
        <f>"9059077258"</f>
        <v>9059077258</v>
      </c>
      <c r="F13901" s="1">
        <v>45243</v>
      </c>
      <c r="G13901" t="str">
        <f t="shared" si="2500"/>
        <v>89312</v>
      </c>
      <c r="H13901">
        <v>3</v>
      </c>
      <c r="I13901">
        <v>936</v>
      </c>
      <c r="J13901">
        <v>0</v>
      </c>
      <c r="K13901" t="str">
        <f t="shared" si="2498"/>
        <v>809</v>
      </c>
      <c r="L13901">
        <v>1020.24</v>
      </c>
    </row>
    <row r="13902" spans="1:12" x14ac:dyDescent="0.25">
      <c r="A13902" t="str">
        <f t="shared" si="2501"/>
        <v>89301000</v>
      </c>
      <c r="B13902" t="str">
        <f t="shared" si="2499"/>
        <v>89063000</v>
      </c>
      <c r="C13902" t="str">
        <f t="shared" si="2499"/>
        <v>89063000</v>
      </c>
      <c r="D13902">
        <v>89301039</v>
      </c>
      <c r="E13902" t="str">
        <f>"515623092"</f>
        <v>515623092</v>
      </c>
      <c r="F13902" s="1">
        <v>45243</v>
      </c>
      <c r="G13902" t="str">
        <f t="shared" si="2500"/>
        <v>89312</v>
      </c>
      <c r="H13902">
        <v>3</v>
      </c>
      <c r="I13902">
        <v>936</v>
      </c>
      <c r="J13902">
        <v>0</v>
      </c>
      <c r="K13902" t="str">
        <f t="shared" si="2498"/>
        <v>809</v>
      </c>
      <c r="L13902">
        <v>1020.24</v>
      </c>
    </row>
    <row r="13903" spans="1:12" x14ac:dyDescent="0.25">
      <c r="A13903" t="str">
        <f t="shared" si="2501"/>
        <v>89301000</v>
      </c>
      <c r="B13903" t="str">
        <f t="shared" si="2499"/>
        <v>89063000</v>
      </c>
      <c r="C13903" t="str">
        <f t="shared" si="2499"/>
        <v>89063000</v>
      </c>
      <c r="D13903">
        <v>89301037</v>
      </c>
      <c r="E13903" t="str">
        <f>"526021250"</f>
        <v>526021250</v>
      </c>
      <c r="F13903" s="1">
        <v>45243</v>
      </c>
      <c r="G13903" t="str">
        <f t="shared" si="2500"/>
        <v>89312</v>
      </c>
      <c r="H13903">
        <v>3</v>
      </c>
      <c r="I13903">
        <v>936</v>
      </c>
      <c r="J13903">
        <v>0</v>
      </c>
      <c r="K13903" t="str">
        <f t="shared" si="2498"/>
        <v>809</v>
      </c>
      <c r="L13903">
        <v>1020.24</v>
      </c>
    </row>
    <row r="13904" spans="1:12" x14ac:dyDescent="0.25">
      <c r="A13904" t="str">
        <f t="shared" si="2501"/>
        <v>89301000</v>
      </c>
      <c r="B13904" t="str">
        <f t="shared" si="2499"/>
        <v>89063000</v>
      </c>
      <c r="C13904" t="str">
        <f t="shared" si="2499"/>
        <v>89063000</v>
      </c>
      <c r="D13904">
        <v>89301212</v>
      </c>
      <c r="E13904" t="str">
        <f>"486107067"</f>
        <v>486107067</v>
      </c>
      <c r="F13904" s="1">
        <v>45244</v>
      </c>
      <c r="G13904" t="str">
        <f t="shared" si="2500"/>
        <v>89312</v>
      </c>
      <c r="H13904">
        <v>3</v>
      </c>
      <c r="I13904">
        <v>936</v>
      </c>
      <c r="J13904">
        <v>0</v>
      </c>
      <c r="K13904" t="str">
        <f t="shared" si="2498"/>
        <v>809</v>
      </c>
      <c r="L13904">
        <v>1020.24</v>
      </c>
    </row>
    <row r="13905" spans="1:12" x14ac:dyDescent="0.25">
      <c r="A13905" t="str">
        <f t="shared" si="2501"/>
        <v>89301000</v>
      </c>
      <c r="B13905" t="str">
        <f t="shared" si="2499"/>
        <v>89063000</v>
      </c>
      <c r="C13905" t="str">
        <f t="shared" si="2499"/>
        <v>89063000</v>
      </c>
      <c r="D13905">
        <v>89301037</v>
      </c>
      <c r="E13905" t="str">
        <f>"7351135319"</f>
        <v>7351135319</v>
      </c>
      <c r="F13905" s="1">
        <v>45245</v>
      </c>
      <c r="G13905" t="str">
        <f t="shared" si="2500"/>
        <v>89312</v>
      </c>
      <c r="H13905">
        <v>3</v>
      </c>
      <c r="I13905">
        <v>936</v>
      </c>
      <c r="J13905">
        <v>0</v>
      </c>
      <c r="K13905" t="str">
        <f t="shared" si="2498"/>
        <v>809</v>
      </c>
      <c r="L13905">
        <v>1020.24</v>
      </c>
    </row>
    <row r="13906" spans="1:12" x14ac:dyDescent="0.25">
      <c r="A13906" t="str">
        <f t="shared" si="2501"/>
        <v>89301000</v>
      </c>
      <c r="B13906" t="str">
        <f t="shared" ref="B13906:C13925" si="2502">"89063000"</f>
        <v>89063000</v>
      </c>
      <c r="C13906" t="str">
        <f t="shared" si="2502"/>
        <v>89063000</v>
      </c>
      <c r="D13906">
        <v>89301037</v>
      </c>
      <c r="E13906" t="str">
        <f>"7054295369"</f>
        <v>7054295369</v>
      </c>
      <c r="F13906" s="1">
        <v>45245</v>
      </c>
      <c r="G13906" t="str">
        <f t="shared" si="2500"/>
        <v>89312</v>
      </c>
      <c r="H13906">
        <v>3</v>
      </c>
      <c r="I13906">
        <v>936</v>
      </c>
      <c r="J13906">
        <v>0</v>
      </c>
      <c r="K13906" t="str">
        <f t="shared" si="2498"/>
        <v>809</v>
      </c>
      <c r="L13906">
        <v>1020.24</v>
      </c>
    </row>
    <row r="13907" spans="1:12" x14ac:dyDescent="0.25">
      <c r="A13907" t="str">
        <f t="shared" si="2501"/>
        <v>89301000</v>
      </c>
      <c r="B13907" t="str">
        <f t="shared" si="2502"/>
        <v>89063000</v>
      </c>
      <c r="C13907" t="str">
        <f t="shared" si="2502"/>
        <v>89063000</v>
      </c>
      <c r="D13907">
        <v>89301336</v>
      </c>
      <c r="E13907" t="str">
        <f>"5762180314"</f>
        <v>5762180314</v>
      </c>
      <c r="F13907" s="1">
        <v>45245</v>
      </c>
      <c r="G13907" t="str">
        <f t="shared" si="2500"/>
        <v>89312</v>
      </c>
      <c r="H13907">
        <v>3</v>
      </c>
      <c r="I13907">
        <v>936</v>
      </c>
      <c r="J13907">
        <v>0</v>
      </c>
      <c r="K13907" t="str">
        <f t="shared" si="2498"/>
        <v>809</v>
      </c>
      <c r="L13907">
        <v>1020.24</v>
      </c>
    </row>
    <row r="13908" spans="1:12" x14ac:dyDescent="0.25">
      <c r="A13908" t="str">
        <f t="shared" si="2501"/>
        <v>89301000</v>
      </c>
      <c r="B13908" t="str">
        <f t="shared" si="2502"/>
        <v>89063000</v>
      </c>
      <c r="C13908" t="str">
        <f t="shared" si="2502"/>
        <v>89063000</v>
      </c>
      <c r="D13908">
        <v>89301036</v>
      </c>
      <c r="E13908" t="str">
        <f>"6858151520"</f>
        <v>6858151520</v>
      </c>
      <c r="F13908" s="1">
        <v>45245</v>
      </c>
      <c r="G13908" t="str">
        <f t="shared" si="2500"/>
        <v>89312</v>
      </c>
      <c r="H13908">
        <v>3</v>
      </c>
      <c r="I13908">
        <v>936</v>
      </c>
      <c r="J13908">
        <v>0</v>
      </c>
      <c r="K13908" t="str">
        <f t="shared" si="2498"/>
        <v>809</v>
      </c>
      <c r="L13908">
        <v>1020.24</v>
      </c>
    </row>
    <row r="13909" spans="1:12" x14ac:dyDescent="0.25">
      <c r="A13909" t="str">
        <f t="shared" si="2501"/>
        <v>89301000</v>
      </c>
      <c r="B13909" t="str">
        <f t="shared" si="2502"/>
        <v>89063000</v>
      </c>
      <c r="C13909" t="str">
        <f t="shared" si="2502"/>
        <v>89063000</v>
      </c>
      <c r="D13909">
        <v>89301704</v>
      </c>
      <c r="E13909" t="str">
        <f>"0761213244"</f>
        <v>0761213244</v>
      </c>
      <c r="F13909" s="1">
        <v>45245</v>
      </c>
      <c r="G13909" t="str">
        <f t="shared" si="2500"/>
        <v>89312</v>
      </c>
      <c r="H13909">
        <v>1</v>
      </c>
      <c r="I13909">
        <v>312</v>
      </c>
      <c r="J13909">
        <v>0</v>
      </c>
      <c r="K13909" t="str">
        <f t="shared" si="2498"/>
        <v>809</v>
      </c>
      <c r="L13909">
        <v>340.08</v>
      </c>
    </row>
    <row r="13910" spans="1:12" x14ac:dyDescent="0.25">
      <c r="A13910" t="str">
        <f t="shared" si="2501"/>
        <v>89301000</v>
      </c>
      <c r="B13910" t="str">
        <f t="shared" si="2502"/>
        <v>89063000</v>
      </c>
      <c r="C13910" t="str">
        <f t="shared" si="2502"/>
        <v>89063000</v>
      </c>
      <c r="D13910">
        <v>89301037</v>
      </c>
      <c r="E13910" t="str">
        <f>"8651315794"</f>
        <v>8651315794</v>
      </c>
      <c r="F13910" s="1">
        <v>45246</v>
      </c>
      <c r="G13910" t="str">
        <f t="shared" si="2500"/>
        <v>89312</v>
      </c>
      <c r="H13910">
        <v>3</v>
      </c>
      <c r="I13910">
        <v>936</v>
      </c>
      <c r="J13910">
        <v>0</v>
      </c>
      <c r="K13910" t="str">
        <f t="shared" si="2498"/>
        <v>809</v>
      </c>
      <c r="L13910">
        <v>1020.24</v>
      </c>
    </row>
    <row r="13911" spans="1:12" x14ac:dyDescent="0.25">
      <c r="A13911" t="str">
        <f t="shared" si="2501"/>
        <v>89301000</v>
      </c>
      <c r="B13911" t="str">
        <f t="shared" si="2502"/>
        <v>89063000</v>
      </c>
      <c r="C13911" t="str">
        <f t="shared" si="2502"/>
        <v>89063000</v>
      </c>
      <c r="D13911">
        <v>89301037</v>
      </c>
      <c r="E13911" t="str">
        <f>"525221136"</f>
        <v>525221136</v>
      </c>
      <c r="F13911" s="1">
        <v>45246</v>
      </c>
      <c r="G13911" t="str">
        <f t="shared" si="2500"/>
        <v>89312</v>
      </c>
      <c r="H13911">
        <v>3</v>
      </c>
      <c r="I13911">
        <v>936</v>
      </c>
      <c r="J13911">
        <v>0</v>
      </c>
      <c r="K13911" t="str">
        <f t="shared" si="2498"/>
        <v>809</v>
      </c>
      <c r="L13911">
        <v>1020.24</v>
      </c>
    </row>
    <row r="13912" spans="1:12" x14ac:dyDescent="0.25">
      <c r="A13912" t="str">
        <f t="shared" si="2501"/>
        <v>89301000</v>
      </c>
      <c r="B13912" t="str">
        <f t="shared" si="2502"/>
        <v>89063000</v>
      </c>
      <c r="C13912" t="str">
        <f t="shared" si="2502"/>
        <v>89063000</v>
      </c>
      <c r="D13912">
        <v>89301704</v>
      </c>
      <c r="E13912" t="str">
        <f>"0857083392"</f>
        <v>0857083392</v>
      </c>
      <c r="F13912" s="1">
        <v>45250</v>
      </c>
      <c r="G13912" t="str">
        <f t="shared" si="2500"/>
        <v>89312</v>
      </c>
      <c r="H13912">
        <v>1</v>
      </c>
      <c r="I13912">
        <v>312</v>
      </c>
      <c r="J13912">
        <v>0</v>
      </c>
      <c r="K13912" t="str">
        <f t="shared" si="2498"/>
        <v>809</v>
      </c>
      <c r="L13912">
        <v>340.08</v>
      </c>
    </row>
    <row r="13913" spans="1:12" x14ac:dyDescent="0.25">
      <c r="A13913" t="str">
        <f t="shared" si="2501"/>
        <v>89301000</v>
      </c>
      <c r="B13913" t="str">
        <f t="shared" si="2502"/>
        <v>89063000</v>
      </c>
      <c r="C13913" t="str">
        <f t="shared" si="2502"/>
        <v>89063000</v>
      </c>
      <c r="D13913">
        <v>89301037</v>
      </c>
      <c r="E13913" t="str">
        <f>"525617031"</f>
        <v>525617031</v>
      </c>
      <c r="F13913" s="1">
        <v>45250</v>
      </c>
      <c r="G13913" t="str">
        <f t="shared" si="2500"/>
        <v>89312</v>
      </c>
      <c r="H13913">
        <v>3</v>
      </c>
      <c r="I13913">
        <v>936</v>
      </c>
      <c r="J13913">
        <v>0</v>
      </c>
      <c r="K13913" t="str">
        <f t="shared" si="2498"/>
        <v>809</v>
      </c>
      <c r="L13913">
        <v>1020.24</v>
      </c>
    </row>
    <row r="13914" spans="1:12" x14ac:dyDescent="0.25">
      <c r="A13914" t="str">
        <f t="shared" si="2501"/>
        <v>89301000</v>
      </c>
      <c r="B13914" t="str">
        <f t="shared" si="2502"/>
        <v>89063000</v>
      </c>
      <c r="C13914" t="str">
        <f t="shared" si="2502"/>
        <v>89063000</v>
      </c>
      <c r="D13914">
        <v>89301037</v>
      </c>
      <c r="E13914" t="str">
        <f>"7303033760"</f>
        <v>7303033760</v>
      </c>
      <c r="F13914" s="1">
        <v>45250</v>
      </c>
      <c r="G13914" t="str">
        <f t="shared" si="2500"/>
        <v>89312</v>
      </c>
      <c r="H13914">
        <v>3</v>
      </c>
      <c r="I13914">
        <v>936</v>
      </c>
      <c r="J13914">
        <v>0</v>
      </c>
      <c r="K13914" t="str">
        <f t="shared" si="2498"/>
        <v>809</v>
      </c>
      <c r="L13914">
        <v>1020.24</v>
      </c>
    </row>
    <row r="13915" spans="1:12" x14ac:dyDescent="0.25">
      <c r="A13915" t="str">
        <f t="shared" si="2501"/>
        <v>89301000</v>
      </c>
      <c r="B13915" t="str">
        <f t="shared" si="2502"/>
        <v>89063000</v>
      </c>
      <c r="C13915" t="str">
        <f t="shared" si="2502"/>
        <v>89063000</v>
      </c>
      <c r="D13915">
        <v>89301212</v>
      </c>
      <c r="E13915" t="str">
        <f>"535628184"</f>
        <v>535628184</v>
      </c>
      <c r="F13915" s="1">
        <v>45250</v>
      </c>
      <c r="G13915" t="str">
        <f t="shared" si="2500"/>
        <v>89312</v>
      </c>
      <c r="H13915">
        <v>3</v>
      </c>
      <c r="I13915">
        <v>936</v>
      </c>
      <c r="J13915">
        <v>0</v>
      </c>
      <c r="K13915" t="str">
        <f t="shared" si="2498"/>
        <v>809</v>
      </c>
      <c r="L13915">
        <v>1020.24</v>
      </c>
    </row>
    <row r="13916" spans="1:12" x14ac:dyDescent="0.25">
      <c r="A13916" t="str">
        <f t="shared" si="2501"/>
        <v>89301000</v>
      </c>
      <c r="B13916" t="str">
        <f t="shared" si="2502"/>
        <v>89063000</v>
      </c>
      <c r="C13916" t="str">
        <f t="shared" si="2502"/>
        <v>89063000</v>
      </c>
      <c r="D13916">
        <v>89301702</v>
      </c>
      <c r="E13916" t="str">
        <f>"1353211585"</f>
        <v>1353211585</v>
      </c>
      <c r="F13916" s="1">
        <v>45250</v>
      </c>
      <c r="G13916" t="str">
        <f t="shared" si="2500"/>
        <v>89312</v>
      </c>
      <c r="H13916">
        <v>1</v>
      </c>
      <c r="I13916">
        <v>312</v>
      </c>
      <c r="J13916">
        <v>0</v>
      </c>
      <c r="K13916" t="str">
        <f t="shared" ref="K13916:K13948" si="2503">"809"</f>
        <v>809</v>
      </c>
      <c r="L13916">
        <v>340.08</v>
      </c>
    </row>
    <row r="13917" spans="1:12" x14ac:dyDescent="0.25">
      <c r="A13917" t="str">
        <f t="shared" si="2501"/>
        <v>89301000</v>
      </c>
      <c r="B13917" t="str">
        <f t="shared" si="2502"/>
        <v>89063000</v>
      </c>
      <c r="C13917" t="str">
        <f t="shared" si="2502"/>
        <v>89063000</v>
      </c>
      <c r="D13917">
        <v>89301037</v>
      </c>
      <c r="E13917" t="str">
        <f>"8353145317"</f>
        <v>8353145317</v>
      </c>
      <c r="F13917" s="1">
        <v>45250</v>
      </c>
      <c r="G13917" t="str">
        <f t="shared" si="2500"/>
        <v>89312</v>
      </c>
      <c r="H13917">
        <v>3</v>
      </c>
      <c r="I13917">
        <v>936</v>
      </c>
      <c r="J13917">
        <v>0</v>
      </c>
      <c r="K13917" t="str">
        <f t="shared" si="2503"/>
        <v>809</v>
      </c>
      <c r="L13917">
        <v>1020.24</v>
      </c>
    </row>
    <row r="13918" spans="1:12" x14ac:dyDescent="0.25">
      <c r="A13918" t="str">
        <f t="shared" si="2501"/>
        <v>89301000</v>
      </c>
      <c r="B13918" t="str">
        <f t="shared" si="2502"/>
        <v>89063000</v>
      </c>
      <c r="C13918" t="str">
        <f t="shared" si="2502"/>
        <v>89063000</v>
      </c>
      <c r="D13918">
        <v>89301702</v>
      </c>
      <c r="E13918" t="str">
        <f>"0655116143"</f>
        <v>0655116143</v>
      </c>
      <c r="F13918" s="1">
        <v>45250</v>
      </c>
      <c r="G13918" t="str">
        <f t="shared" ref="G13918:G13948" si="2504">"89312"</f>
        <v>89312</v>
      </c>
      <c r="H13918">
        <v>1</v>
      </c>
      <c r="I13918">
        <v>312</v>
      </c>
      <c r="J13918">
        <v>0</v>
      </c>
      <c r="K13918" t="str">
        <f t="shared" si="2503"/>
        <v>809</v>
      </c>
      <c r="L13918">
        <v>340.08</v>
      </c>
    </row>
    <row r="13919" spans="1:12" x14ac:dyDescent="0.25">
      <c r="A13919" t="str">
        <f t="shared" si="2501"/>
        <v>89301000</v>
      </c>
      <c r="B13919" t="str">
        <f t="shared" si="2502"/>
        <v>89063000</v>
      </c>
      <c r="C13919" t="str">
        <f t="shared" si="2502"/>
        <v>89063000</v>
      </c>
      <c r="D13919">
        <v>89301037</v>
      </c>
      <c r="E13919" t="str">
        <f>"6059021474"</f>
        <v>6059021474</v>
      </c>
      <c r="F13919" s="1">
        <v>45250</v>
      </c>
      <c r="G13919" t="str">
        <f t="shared" si="2504"/>
        <v>89312</v>
      </c>
      <c r="H13919">
        <v>3</v>
      </c>
      <c r="I13919">
        <v>936</v>
      </c>
      <c r="J13919">
        <v>0</v>
      </c>
      <c r="K13919" t="str">
        <f t="shared" si="2503"/>
        <v>809</v>
      </c>
      <c r="L13919">
        <v>1020.24</v>
      </c>
    </row>
    <row r="13920" spans="1:12" x14ac:dyDescent="0.25">
      <c r="A13920" t="str">
        <f t="shared" si="2501"/>
        <v>89301000</v>
      </c>
      <c r="B13920" t="str">
        <f t="shared" si="2502"/>
        <v>89063000</v>
      </c>
      <c r="C13920" t="str">
        <f t="shared" si="2502"/>
        <v>89063000</v>
      </c>
      <c r="D13920">
        <v>89301704</v>
      </c>
      <c r="E13920" t="str">
        <f>"0953196068"</f>
        <v>0953196068</v>
      </c>
      <c r="F13920" s="1">
        <v>45250</v>
      </c>
      <c r="G13920" t="str">
        <f t="shared" si="2504"/>
        <v>89312</v>
      </c>
      <c r="H13920">
        <v>1</v>
      </c>
      <c r="I13920">
        <v>312</v>
      </c>
      <c r="J13920">
        <v>0</v>
      </c>
      <c r="K13920" t="str">
        <f t="shared" si="2503"/>
        <v>809</v>
      </c>
      <c r="L13920">
        <v>340.08</v>
      </c>
    </row>
    <row r="13921" spans="1:12" x14ac:dyDescent="0.25">
      <c r="A13921" t="str">
        <f t="shared" si="2501"/>
        <v>89301000</v>
      </c>
      <c r="B13921" t="str">
        <f t="shared" si="2502"/>
        <v>89063000</v>
      </c>
      <c r="C13921" t="str">
        <f t="shared" si="2502"/>
        <v>89063000</v>
      </c>
      <c r="D13921">
        <v>89301037</v>
      </c>
      <c r="E13921" t="str">
        <f>"5854230063"</f>
        <v>5854230063</v>
      </c>
      <c r="F13921" s="1">
        <v>45251</v>
      </c>
      <c r="G13921" t="str">
        <f t="shared" si="2504"/>
        <v>89312</v>
      </c>
      <c r="H13921">
        <v>3</v>
      </c>
      <c r="I13921">
        <v>936</v>
      </c>
      <c r="J13921">
        <v>0</v>
      </c>
      <c r="K13921" t="str">
        <f t="shared" si="2503"/>
        <v>809</v>
      </c>
      <c r="L13921">
        <v>1020.24</v>
      </c>
    </row>
    <row r="13922" spans="1:12" x14ac:dyDescent="0.25">
      <c r="A13922" t="str">
        <f t="shared" si="2501"/>
        <v>89301000</v>
      </c>
      <c r="B13922" t="str">
        <f t="shared" si="2502"/>
        <v>89063000</v>
      </c>
      <c r="C13922" t="str">
        <f t="shared" si="2502"/>
        <v>89063000</v>
      </c>
      <c r="D13922">
        <v>89301039</v>
      </c>
      <c r="E13922" t="str">
        <f>"6155020773"</f>
        <v>6155020773</v>
      </c>
      <c r="F13922" s="1">
        <v>45251</v>
      </c>
      <c r="G13922" t="str">
        <f t="shared" si="2504"/>
        <v>89312</v>
      </c>
      <c r="H13922">
        <v>3</v>
      </c>
      <c r="I13922">
        <v>936</v>
      </c>
      <c r="J13922">
        <v>0</v>
      </c>
      <c r="K13922" t="str">
        <f t="shared" si="2503"/>
        <v>809</v>
      </c>
      <c r="L13922">
        <v>1020.24</v>
      </c>
    </row>
    <row r="13923" spans="1:12" x14ac:dyDescent="0.25">
      <c r="A13923" t="str">
        <f t="shared" si="2501"/>
        <v>89301000</v>
      </c>
      <c r="B13923" t="str">
        <f t="shared" si="2502"/>
        <v>89063000</v>
      </c>
      <c r="C13923" t="str">
        <f t="shared" si="2502"/>
        <v>89063000</v>
      </c>
      <c r="D13923">
        <v>89301036</v>
      </c>
      <c r="E13923" t="str">
        <f>"435921454"</f>
        <v>435921454</v>
      </c>
      <c r="F13923" s="1">
        <v>45251</v>
      </c>
      <c r="G13923" t="str">
        <f t="shared" si="2504"/>
        <v>89312</v>
      </c>
      <c r="H13923">
        <v>3</v>
      </c>
      <c r="I13923">
        <v>936</v>
      </c>
      <c r="J13923">
        <v>0</v>
      </c>
      <c r="K13923" t="str">
        <f t="shared" si="2503"/>
        <v>809</v>
      </c>
      <c r="L13923">
        <v>1020.24</v>
      </c>
    </row>
    <row r="13924" spans="1:12" x14ac:dyDescent="0.25">
      <c r="A13924" t="str">
        <f t="shared" si="2501"/>
        <v>89301000</v>
      </c>
      <c r="B13924" t="str">
        <f t="shared" si="2502"/>
        <v>89063000</v>
      </c>
      <c r="C13924" t="str">
        <f t="shared" si="2502"/>
        <v>89063000</v>
      </c>
      <c r="D13924">
        <v>89301212</v>
      </c>
      <c r="E13924" t="str">
        <f>"7057175334"</f>
        <v>7057175334</v>
      </c>
      <c r="F13924" s="1">
        <v>45251</v>
      </c>
      <c r="G13924" t="str">
        <f t="shared" si="2504"/>
        <v>89312</v>
      </c>
      <c r="H13924">
        <v>3</v>
      </c>
      <c r="I13924">
        <v>936</v>
      </c>
      <c r="J13924">
        <v>0</v>
      </c>
      <c r="K13924" t="str">
        <f t="shared" si="2503"/>
        <v>809</v>
      </c>
      <c r="L13924">
        <v>1020.24</v>
      </c>
    </row>
    <row r="13925" spans="1:12" x14ac:dyDescent="0.25">
      <c r="A13925" t="str">
        <f t="shared" si="2501"/>
        <v>89301000</v>
      </c>
      <c r="B13925" t="str">
        <f t="shared" si="2502"/>
        <v>89063000</v>
      </c>
      <c r="C13925" t="str">
        <f t="shared" si="2502"/>
        <v>89063000</v>
      </c>
      <c r="D13925">
        <v>89301037</v>
      </c>
      <c r="E13925" t="str">
        <f>"6356291073"</f>
        <v>6356291073</v>
      </c>
      <c r="F13925" s="1">
        <v>45251</v>
      </c>
      <c r="G13925" t="str">
        <f t="shared" si="2504"/>
        <v>89312</v>
      </c>
      <c r="H13925">
        <v>3</v>
      </c>
      <c r="I13925">
        <v>936</v>
      </c>
      <c r="J13925">
        <v>0</v>
      </c>
      <c r="K13925" t="str">
        <f t="shared" si="2503"/>
        <v>809</v>
      </c>
      <c r="L13925">
        <v>1020.24</v>
      </c>
    </row>
    <row r="13926" spans="1:12" x14ac:dyDescent="0.25">
      <c r="A13926" t="str">
        <f t="shared" si="2501"/>
        <v>89301000</v>
      </c>
      <c r="B13926" t="str">
        <f t="shared" ref="B13926:C13948" si="2505">"89063000"</f>
        <v>89063000</v>
      </c>
      <c r="C13926" t="str">
        <f t="shared" si="2505"/>
        <v>89063000</v>
      </c>
      <c r="D13926">
        <v>89301037</v>
      </c>
      <c r="E13926" t="str">
        <f>"5556112342"</f>
        <v>5556112342</v>
      </c>
      <c r="F13926" s="1">
        <v>45252</v>
      </c>
      <c r="G13926" t="str">
        <f t="shared" si="2504"/>
        <v>89312</v>
      </c>
      <c r="H13926">
        <v>3</v>
      </c>
      <c r="I13926">
        <v>936</v>
      </c>
      <c r="J13926">
        <v>0</v>
      </c>
      <c r="K13926" t="str">
        <f t="shared" si="2503"/>
        <v>809</v>
      </c>
      <c r="L13926">
        <v>1020.24</v>
      </c>
    </row>
    <row r="13927" spans="1:12" x14ac:dyDescent="0.25">
      <c r="A13927" t="str">
        <f t="shared" si="2501"/>
        <v>89301000</v>
      </c>
      <c r="B13927" t="str">
        <f t="shared" si="2505"/>
        <v>89063000</v>
      </c>
      <c r="C13927" t="str">
        <f t="shared" si="2505"/>
        <v>89063000</v>
      </c>
      <c r="D13927">
        <v>89301037</v>
      </c>
      <c r="E13927" t="str">
        <f>"516002064"</f>
        <v>516002064</v>
      </c>
      <c r="F13927" s="1">
        <v>45252</v>
      </c>
      <c r="G13927" t="str">
        <f t="shared" si="2504"/>
        <v>89312</v>
      </c>
      <c r="H13927">
        <v>3</v>
      </c>
      <c r="I13927">
        <v>936</v>
      </c>
      <c r="J13927">
        <v>0</v>
      </c>
      <c r="K13927" t="str">
        <f t="shared" si="2503"/>
        <v>809</v>
      </c>
      <c r="L13927">
        <v>1020.24</v>
      </c>
    </row>
    <row r="13928" spans="1:12" x14ac:dyDescent="0.25">
      <c r="A13928" t="str">
        <f t="shared" si="2501"/>
        <v>89301000</v>
      </c>
      <c r="B13928" t="str">
        <f t="shared" si="2505"/>
        <v>89063000</v>
      </c>
      <c r="C13928" t="str">
        <f t="shared" si="2505"/>
        <v>89063000</v>
      </c>
      <c r="D13928">
        <v>89301036</v>
      </c>
      <c r="E13928" t="str">
        <f>"6205201365"</f>
        <v>6205201365</v>
      </c>
      <c r="F13928" s="1">
        <v>45252</v>
      </c>
      <c r="G13928" t="str">
        <f t="shared" si="2504"/>
        <v>89312</v>
      </c>
      <c r="H13928">
        <v>3</v>
      </c>
      <c r="I13928">
        <v>936</v>
      </c>
      <c r="J13928">
        <v>0</v>
      </c>
      <c r="K13928" t="str">
        <f t="shared" si="2503"/>
        <v>809</v>
      </c>
      <c r="L13928">
        <v>1020.24</v>
      </c>
    </row>
    <row r="13929" spans="1:12" x14ac:dyDescent="0.25">
      <c r="A13929" t="str">
        <f t="shared" si="2501"/>
        <v>89301000</v>
      </c>
      <c r="B13929" t="str">
        <f t="shared" si="2505"/>
        <v>89063000</v>
      </c>
      <c r="C13929" t="str">
        <f t="shared" si="2505"/>
        <v>89063000</v>
      </c>
      <c r="D13929">
        <v>89301036</v>
      </c>
      <c r="E13929" t="str">
        <f>"7159255796"</f>
        <v>7159255796</v>
      </c>
      <c r="F13929" s="1">
        <v>45252</v>
      </c>
      <c r="G13929" t="str">
        <f t="shared" si="2504"/>
        <v>89312</v>
      </c>
      <c r="H13929">
        <v>3</v>
      </c>
      <c r="I13929">
        <v>936</v>
      </c>
      <c r="J13929">
        <v>0</v>
      </c>
      <c r="K13929" t="str">
        <f t="shared" si="2503"/>
        <v>809</v>
      </c>
      <c r="L13929">
        <v>1020.24</v>
      </c>
    </row>
    <row r="13930" spans="1:12" x14ac:dyDescent="0.25">
      <c r="A13930" t="str">
        <f t="shared" si="2501"/>
        <v>89301000</v>
      </c>
      <c r="B13930" t="str">
        <f t="shared" si="2505"/>
        <v>89063000</v>
      </c>
      <c r="C13930" t="str">
        <f t="shared" si="2505"/>
        <v>89063000</v>
      </c>
      <c r="D13930">
        <v>89301704</v>
      </c>
      <c r="E13930" t="str">
        <f>"0906033249"</f>
        <v>0906033249</v>
      </c>
      <c r="F13930" s="1">
        <v>45252</v>
      </c>
      <c r="G13930" t="str">
        <f t="shared" si="2504"/>
        <v>89312</v>
      </c>
      <c r="H13930">
        <v>1</v>
      </c>
      <c r="I13930">
        <v>312</v>
      </c>
      <c r="J13930">
        <v>0</v>
      </c>
      <c r="K13930" t="str">
        <f t="shared" si="2503"/>
        <v>809</v>
      </c>
      <c r="L13930">
        <v>340.08</v>
      </c>
    </row>
    <row r="13931" spans="1:12" x14ac:dyDescent="0.25">
      <c r="A13931" t="str">
        <f t="shared" si="2501"/>
        <v>89301000</v>
      </c>
      <c r="B13931" t="str">
        <f t="shared" si="2505"/>
        <v>89063000</v>
      </c>
      <c r="C13931" t="str">
        <f t="shared" si="2505"/>
        <v>89063000</v>
      </c>
      <c r="D13931">
        <v>89301212</v>
      </c>
      <c r="E13931" t="str">
        <f>"7657285757"</f>
        <v>7657285757</v>
      </c>
      <c r="F13931" s="1">
        <v>45253</v>
      </c>
      <c r="G13931" t="str">
        <f t="shared" si="2504"/>
        <v>89312</v>
      </c>
      <c r="H13931">
        <v>3</v>
      </c>
      <c r="I13931">
        <v>936</v>
      </c>
      <c r="J13931">
        <v>0</v>
      </c>
      <c r="K13931" t="str">
        <f t="shared" si="2503"/>
        <v>809</v>
      </c>
      <c r="L13931">
        <v>1020.24</v>
      </c>
    </row>
    <row r="13932" spans="1:12" x14ac:dyDescent="0.25">
      <c r="A13932" t="str">
        <f t="shared" si="2501"/>
        <v>89301000</v>
      </c>
      <c r="B13932" t="str">
        <f t="shared" si="2505"/>
        <v>89063000</v>
      </c>
      <c r="C13932" t="str">
        <f t="shared" si="2505"/>
        <v>89063000</v>
      </c>
      <c r="D13932">
        <v>89301212</v>
      </c>
      <c r="E13932" t="str">
        <f>"6108271664"</f>
        <v>6108271664</v>
      </c>
      <c r="F13932" s="1">
        <v>45253</v>
      </c>
      <c r="G13932" t="str">
        <f t="shared" si="2504"/>
        <v>89312</v>
      </c>
      <c r="H13932">
        <v>3</v>
      </c>
      <c r="I13932">
        <v>936</v>
      </c>
      <c r="J13932">
        <v>0</v>
      </c>
      <c r="K13932" t="str">
        <f t="shared" si="2503"/>
        <v>809</v>
      </c>
      <c r="L13932">
        <v>1020.24</v>
      </c>
    </row>
    <row r="13933" spans="1:12" x14ac:dyDescent="0.25">
      <c r="A13933" t="str">
        <f t="shared" si="2501"/>
        <v>89301000</v>
      </c>
      <c r="B13933" t="str">
        <f t="shared" si="2505"/>
        <v>89063000</v>
      </c>
      <c r="C13933" t="str">
        <f t="shared" si="2505"/>
        <v>89063000</v>
      </c>
      <c r="D13933">
        <v>89301037</v>
      </c>
      <c r="E13933" t="str">
        <f>"5662300523"</f>
        <v>5662300523</v>
      </c>
      <c r="F13933" s="1">
        <v>45254</v>
      </c>
      <c r="G13933" t="str">
        <f t="shared" si="2504"/>
        <v>89312</v>
      </c>
      <c r="H13933">
        <v>3</v>
      </c>
      <c r="I13933">
        <v>936</v>
      </c>
      <c r="J13933">
        <v>0</v>
      </c>
      <c r="K13933" t="str">
        <f t="shared" si="2503"/>
        <v>809</v>
      </c>
      <c r="L13933">
        <v>1020.24</v>
      </c>
    </row>
    <row r="13934" spans="1:12" x14ac:dyDescent="0.25">
      <c r="A13934" t="str">
        <f t="shared" si="2501"/>
        <v>89301000</v>
      </c>
      <c r="B13934" t="str">
        <f t="shared" si="2505"/>
        <v>89063000</v>
      </c>
      <c r="C13934" t="str">
        <f t="shared" si="2505"/>
        <v>89063000</v>
      </c>
      <c r="D13934">
        <v>89301037</v>
      </c>
      <c r="E13934" t="str">
        <f>"5455021506"</f>
        <v>5455021506</v>
      </c>
      <c r="F13934" s="1">
        <v>45254</v>
      </c>
      <c r="G13934" t="str">
        <f t="shared" si="2504"/>
        <v>89312</v>
      </c>
      <c r="H13934">
        <v>3</v>
      </c>
      <c r="I13934">
        <v>936</v>
      </c>
      <c r="J13934">
        <v>0</v>
      </c>
      <c r="K13934" t="str">
        <f t="shared" si="2503"/>
        <v>809</v>
      </c>
      <c r="L13934">
        <v>1020.24</v>
      </c>
    </row>
    <row r="13935" spans="1:12" x14ac:dyDescent="0.25">
      <c r="A13935" t="str">
        <f t="shared" si="2501"/>
        <v>89301000</v>
      </c>
      <c r="B13935" t="str">
        <f t="shared" si="2505"/>
        <v>89063000</v>
      </c>
      <c r="C13935" t="str">
        <f t="shared" si="2505"/>
        <v>89063000</v>
      </c>
      <c r="D13935">
        <v>89301037</v>
      </c>
      <c r="E13935" t="str">
        <f>"5852281226"</f>
        <v>5852281226</v>
      </c>
      <c r="F13935" s="1">
        <v>45254</v>
      </c>
      <c r="G13935" t="str">
        <f t="shared" si="2504"/>
        <v>89312</v>
      </c>
      <c r="H13935">
        <v>3</v>
      </c>
      <c r="I13935">
        <v>936</v>
      </c>
      <c r="J13935">
        <v>0</v>
      </c>
      <c r="K13935" t="str">
        <f t="shared" si="2503"/>
        <v>809</v>
      </c>
      <c r="L13935">
        <v>1020.24</v>
      </c>
    </row>
    <row r="13936" spans="1:12" x14ac:dyDescent="0.25">
      <c r="A13936" t="str">
        <f t="shared" si="2501"/>
        <v>89301000</v>
      </c>
      <c r="B13936" t="str">
        <f t="shared" si="2505"/>
        <v>89063000</v>
      </c>
      <c r="C13936" t="str">
        <f t="shared" si="2505"/>
        <v>89063000</v>
      </c>
      <c r="D13936">
        <v>89301102</v>
      </c>
      <c r="E13936" t="str">
        <f>"1101131757"</f>
        <v>1101131757</v>
      </c>
      <c r="F13936" s="1">
        <v>45254</v>
      </c>
      <c r="G13936" t="str">
        <f t="shared" si="2504"/>
        <v>89312</v>
      </c>
      <c r="H13936">
        <v>1</v>
      </c>
      <c r="I13936">
        <v>312</v>
      </c>
      <c r="J13936">
        <v>0</v>
      </c>
      <c r="K13936" t="str">
        <f t="shared" si="2503"/>
        <v>809</v>
      </c>
      <c r="L13936">
        <v>340.08</v>
      </c>
    </row>
    <row r="13937" spans="1:12" x14ac:dyDescent="0.25">
      <c r="A13937" t="str">
        <f t="shared" si="2501"/>
        <v>89301000</v>
      </c>
      <c r="B13937" t="str">
        <f t="shared" si="2505"/>
        <v>89063000</v>
      </c>
      <c r="C13937" t="str">
        <f t="shared" si="2505"/>
        <v>89063000</v>
      </c>
      <c r="D13937">
        <v>89301037</v>
      </c>
      <c r="E13937" t="str">
        <f>"8459115302"</f>
        <v>8459115302</v>
      </c>
      <c r="F13937" s="1">
        <v>45257</v>
      </c>
      <c r="G13937" t="str">
        <f t="shared" si="2504"/>
        <v>89312</v>
      </c>
      <c r="H13937">
        <v>3</v>
      </c>
      <c r="I13937">
        <v>936</v>
      </c>
      <c r="J13937">
        <v>0</v>
      </c>
      <c r="K13937" t="str">
        <f t="shared" si="2503"/>
        <v>809</v>
      </c>
      <c r="L13937">
        <v>1020.24</v>
      </c>
    </row>
    <row r="13938" spans="1:12" x14ac:dyDescent="0.25">
      <c r="A13938" t="str">
        <f t="shared" si="2501"/>
        <v>89301000</v>
      </c>
      <c r="B13938" t="str">
        <f t="shared" si="2505"/>
        <v>89063000</v>
      </c>
      <c r="C13938" t="str">
        <f t="shared" si="2505"/>
        <v>89063000</v>
      </c>
      <c r="D13938">
        <v>89301037</v>
      </c>
      <c r="E13938" t="str">
        <f>"7753265322"</f>
        <v>7753265322</v>
      </c>
      <c r="F13938" s="1">
        <v>45257</v>
      </c>
      <c r="G13938" t="str">
        <f t="shared" si="2504"/>
        <v>89312</v>
      </c>
      <c r="H13938">
        <v>3</v>
      </c>
      <c r="I13938">
        <v>936</v>
      </c>
      <c r="J13938">
        <v>0</v>
      </c>
      <c r="K13938" t="str">
        <f t="shared" si="2503"/>
        <v>809</v>
      </c>
      <c r="L13938">
        <v>1020.24</v>
      </c>
    </row>
    <row r="13939" spans="1:12" x14ac:dyDescent="0.25">
      <c r="A13939" t="str">
        <f t="shared" si="2501"/>
        <v>89301000</v>
      </c>
      <c r="B13939" t="str">
        <f t="shared" si="2505"/>
        <v>89063000</v>
      </c>
      <c r="C13939" t="str">
        <f t="shared" si="2505"/>
        <v>89063000</v>
      </c>
      <c r="D13939">
        <v>89301032</v>
      </c>
      <c r="E13939" t="str">
        <f>"7207085754"</f>
        <v>7207085754</v>
      </c>
      <c r="F13939" s="1">
        <v>45257</v>
      </c>
      <c r="G13939" t="str">
        <f t="shared" si="2504"/>
        <v>89312</v>
      </c>
      <c r="H13939">
        <v>3</v>
      </c>
      <c r="I13939">
        <v>936</v>
      </c>
      <c r="J13939">
        <v>0</v>
      </c>
      <c r="K13939" t="str">
        <f t="shared" si="2503"/>
        <v>809</v>
      </c>
      <c r="L13939">
        <v>1020.24</v>
      </c>
    </row>
    <row r="13940" spans="1:12" x14ac:dyDescent="0.25">
      <c r="A13940" t="str">
        <f t="shared" si="2501"/>
        <v>89301000</v>
      </c>
      <c r="B13940" t="str">
        <f t="shared" si="2505"/>
        <v>89063000</v>
      </c>
      <c r="C13940" t="str">
        <f t="shared" si="2505"/>
        <v>89063000</v>
      </c>
      <c r="D13940">
        <v>89301032</v>
      </c>
      <c r="E13940" t="str">
        <f>"7560055778"</f>
        <v>7560055778</v>
      </c>
      <c r="F13940" s="1">
        <v>45257</v>
      </c>
      <c r="G13940" t="str">
        <f t="shared" si="2504"/>
        <v>89312</v>
      </c>
      <c r="H13940">
        <v>3</v>
      </c>
      <c r="I13940">
        <v>936</v>
      </c>
      <c r="J13940">
        <v>0</v>
      </c>
      <c r="K13940" t="str">
        <f t="shared" si="2503"/>
        <v>809</v>
      </c>
      <c r="L13940">
        <v>1020.24</v>
      </c>
    </row>
    <row r="13941" spans="1:12" x14ac:dyDescent="0.25">
      <c r="A13941" t="str">
        <f t="shared" si="2501"/>
        <v>89301000</v>
      </c>
      <c r="B13941" t="str">
        <f t="shared" si="2505"/>
        <v>89063000</v>
      </c>
      <c r="C13941" t="str">
        <f t="shared" si="2505"/>
        <v>89063000</v>
      </c>
      <c r="D13941">
        <v>89301212</v>
      </c>
      <c r="E13941" t="str">
        <f>"6056021147"</f>
        <v>6056021147</v>
      </c>
      <c r="F13941" s="1">
        <v>45257</v>
      </c>
      <c r="G13941" t="str">
        <f t="shared" si="2504"/>
        <v>89312</v>
      </c>
      <c r="H13941">
        <v>3</v>
      </c>
      <c r="I13941">
        <v>936</v>
      </c>
      <c r="J13941">
        <v>0</v>
      </c>
      <c r="K13941" t="str">
        <f t="shared" si="2503"/>
        <v>809</v>
      </c>
      <c r="L13941">
        <v>1020.24</v>
      </c>
    </row>
    <row r="13942" spans="1:12" x14ac:dyDescent="0.25">
      <c r="A13942" t="str">
        <f t="shared" si="2501"/>
        <v>89301000</v>
      </c>
      <c r="B13942" t="str">
        <f t="shared" si="2505"/>
        <v>89063000</v>
      </c>
      <c r="C13942" t="str">
        <f t="shared" si="2505"/>
        <v>89063000</v>
      </c>
      <c r="D13942">
        <v>89301037</v>
      </c>
      <c r="E13942" t="str">
        <f>"5955071969"</f>
        <v>5955071969</v>
      </c>
      <c r="F13942" s="1">
        <v>45257</v>
      </c>
      <c r="G13942" t="str">
        <f t="shared" si="2504"/>
        <v>89312</v>
      </c>
      <c r="H13942">
        <v>3</v>
      </c>
      <c r="I13942">
        <v>936</v>
      </c>
      <c r="J13942">
        <v>0</v>
      </c>
      <c r="K13942" t="str">
        <f t="shared" si="2503"/>
        <v>809</v>
      </c>
      <c r="L13942">
        <v>1020.24</v>
      </c>
    </row>
    <row r="13943" spans="1:12" x14ac:dyDescent="0.25">
      <c r="A13943" t="str">
        <f t="shared" si="2501"/>
        <v>89301000</v>
      </c>
      <c r="B13943" t="str">
        <f t="shared" si="2505"/>
        <v>89063000</v>
      </c>
      <c r="C13943" t="str">
        <f t="shared" si="2505"/>
        <v>89063000</v>
      </c>
      <c r="D13943">
        <v>89301037</v>
      </c>
      <c r="E13943" t="str">
        <f>"5552080688"</f>
        <v>5552080688</v>
      </c>
      <c r="F13943" s="1">
        <v>45258</v>
      </c>
      <c r="G13943" t="str">
        <f t="shared" si="2504"/>
        <v>89312</v>
      </c>
      <c r="H13943">
        <v>3</v>
      </c>
      <c r="I13943">
        <v>936</v>
      </c>
      <c r="J13943">
        <v>0</v>
      </c>
      <c r="K13943" t="str">
        <f t="shared" si="2503"/>
        <v>809</v>
      </c>
      <c r="L13943">
        <v>1020.24</v>
      </c>
    </row>
    <row r="13944" spans="1:12" x14ac:dyDescent="0.25">
      <c r="A13944" t="str">
        <f t="shared" si="2501"/>
        <v>89301000</v>
      </c>
      <c r="B13944" t="str">
        <f t="shared" si="2505"/>
        <v>89063000</v>
      </c>
      <c r="C13944" t="str">
        <f t="shared" si="2505"/>
        <v>89063000</v>
      </c>
      <c r="D13944">
        <v>89301037</v>
      </c>
      <c r="E13944" t="str">
        <f>"5861291568"</f>
        <v>5861291568</v>
      </c>
      <c r="F13944" s="1">
        <v>45259</v>
      </c>
      <c r="G13944" t="str">
        <f t="shared" si="2504"/>
        <v>89312</v>
      </c>
      <c r="H13944">
        <v>3</v>
      </c>
      <c r="I13944">
        <v>936</v>
      </c>
      <c r="J13944">
        <v>0</v>
      </c>
      <c r="K13944" t="str">
        <f t="shared" si="2503"/>
        <v>809</v>
      </c>
      <c r="L13944">
        <v>1020.24</v>
      </c>
    </row>
    <row r="13945" spans="1:12" x14ac:dyDescent="0.25">
      <c r="A13945" t="str">
        <f t="shared" si="2501"/>
        <v>89301000</v>
      </c>
      <c r="B13945" t="str">
        <f t="shared" si="2505"/>
        <v>89063000</v>
      </c>
      <c r="C13945" t="str">
        <f t="shared" si="2505"/>
        <v>89063000</v>
      </c>
      <c r="D13945">
        <v>89301212</v>
      </c>
      <c r="E13945" t="str">
        <f>"6654201752"</f>
        <v>6654201752</v>
      </c>
      <c r="F13945" s="1">
        <v>45259</v>
      </c>
      <c r="G13945" t="str">
        <f t="shared" si="2504"/>
        <v>89312</v>
      </c>
      <c r="H13945">
        <v>3</v>
      </c>
      <c r="I13945">
        <v>936</v>
      </c>
      <c r="J13945">
        <v>0</v>
      </c>
      <c r="K13945" t="str">
        <f t="shared" si="2503"/>
        <v>809</v>
      </c>
      <c r="L13945">
        <v>1020.24</v>
      </c>
    </row>
    <row r="13946" spans="1:12" x14ac:dyDescent="0.25">
      <c r="A13946" t="str">
        <f t="shared" si="2501"/>
        <v>89301000</v>
      </c>
      <c r="B13946" t="str">
        <f t="shared" si="2505"/>
        <v>89063000</v>
      </c>
      <c r="C13946" t="str">
        <f t="shared" si="2505"/>
        <v>89063000</v>
      </c>
      <c r="D13946">
        <v>89301037</v>
      </c>
      <c r="E13946" t="str">
        <f>"425426454"</f>
        <v>425426454</v>
      </c>
      <c r="F13946" s="1">
        <v>45260</v>
      </c>
      <c r="G13946" t="str">
        <f t="shared" si="2504"/>
        <v>89312</v>
      </c>
      <c r="H13946">
        <v>3</v>
      </c>
      <c r="I13946">
        <v>936</v>
      </c>
      <c r="J13946">
        <v>0</v>
      </c>
      <c r="K13946" t="str">
        <f t="shared" si="2503"/>
        <v>809</v>
      </c>
      <c r="L13946">
        <v>1020.24</v>
      </c>
    </row>
    <row r="13947" spans="1:12" x14ac:dyDescent="0.25">
      <c r="A13947" t="str">
        <f t="shared" si="2501"/>
        <v>89301000</v>
      </c>
      <c r="B13947" t="str">
        <f t="shared" si="2505"/>
        <v>89063000</v>
      </c>
      <c r="C13947" t="str">
        <f t="shared" si="2505"/>
        <v>89063000</v>
      </c>
      <c r="D13947">
        <v>89301022</v>
      </c>
      <c r="E13947" t="str">
        <f>"7361095764"</f>
        <v>7361095764</v>
      </c>
      <c r="F13947" s="1">
        <v>45260</v>
      </c>
      <c r="G13947" t="str">
        <f t="shared" si="2504"/>
        <v>89312</v>
      </c>
      <c r="H13947">
        <v>3</v>
      </c>
      <c r="I13947">
        <v>936</v>
      </c>
      <c r="J13947">
        <v>0</v>
      </c>
      <c r="K13947" t="str">
        <f t="shared" si="2503"/>
        <v>809</v>
      </c>
      <c r="L13947">
        <v>1020.24</v>
      </c>
    </row>
    <row r="13948" spans="1:12" x14ac:dyDescent="0.25">
      <c r="A13948" t="str">
        <f t="shared" si="2501"/>
        <v>89301000</v>
      </c>
      <c r="B13948" t="str">
        <f t="shared" si="2505"/>
        <v>89063000</v>
      </c>
      <c r="C13948" t="str">
        <f t="shared" si="2505"/>
        <v>89063000</v>
      </c>
      <c r="D13948">
        <v>89301037</v>
      </c>
      <c r="E13948" t="str">
        <f>"7454105329"</f>
        <v>7454105329</v>
      </c>
      <c r="F13948" s="1">
        <v>45260</v>
      </c>
      <c r="G13948" t="str">
        <f t="shared" si="2504"/>
        <v>89312</v>
      </c>
      <c r="H13948">
        <v>3</v>
      </c>
      <c r="I13948">
        <v>936</v>
      </c>
      <c r="J13948">
        <v>0</v>
      </c>
      <c r="K13948" t="str">
        <f t="shared" si="2503"/>
        <v>809</v>
      </c>
      <c r="L13948">
        <v>1020.24</v>
      </c>
    </row>
    <row r="13949" spans="1:12" x14ac:dyDescent="0.25">
      <c r="A13949" t="str">
        <f t="shared" si="2501"/>
        <v>89301000</v>
      </c>
      <c r="B13949" t="str">
        <f>"72996675"</f>
        <v>72996675</v>
      </c>
      <c r="C13949" t="str">
        <f>"72996675"</f>
        <v>72996675</v>
      </c>
      <c r="D13949">
        <v>89301282</v>
      </c>
      <c r="E13949" t="str">
        <f>"9561045703"</f>
        <v>9561045703</v>
      </c>
      <c r="F13949" s="1">
        <v>45232</v>
      </c>
      <c r="G13949" t="str">
        <f>"94331"</f>
        <v>94331</v>
      </c>
      <c r="H13949">
        <v>1</v>
      </c>
      <c r="I13949">
        <v>7866</v>
      </c>
      <c r="J13949">
        <v>0</v>
      </c>
      <c r="K13949" t="str">
        <f>"816"</f>
        <v>816</v>
      </c>
      <c r="L13949">
        <v>7079.4</v>
      </c>
    </row>
    <row r="13950" spans="1:12" x14ac:dyDescent="0.25">
      <c r="A13950" t="str">
        <f t="shared" si="2501"/>
        <v>89301000</v>
      </c>
      <c r="B13950" t="str">
        <f>"72996675"</f>
        <v>72996675</v>
      </c>
      <c r="C13950" t="str">
        <f>"72996675"</f>
        <v>72996675</v>
      </c>
      <c r="D13950">
        <v>89301282</v>
      </c>
      <c r="E13950" t="str">
        <f>"9561045703"</f>
        <v>9561045703</v>
      </c>
      <c r="F13950" s="1">
        <v>45232</v>
      </c>
      <c r="G13950" t="str">
        <f>"94948"</f>
        <v>94948</v>
      </c>
      <c r="H13950">
        <v>1</v>
      </c>
      <c r="I13950">
        <v>0</v>
      </c>
      <c r="J13950">
        <v>0</v>
      </c>
      <c r="K13950" t="str">
        <f>"816"</f>
        <v>816</v>
      </c>
      <c r="L13950">
        <v>0</v>
      </c>
    </row>
    <row r="13951" spans="1:12" x14ac:dyDescent="0.25">
      <c r="A13951" t="str">
        <f t="shared" si="2501"/>
        <v>89301000</v>
      </c>
      <c r="B13951" t="str">
        <f>"91997900"</f>
        <v>91997900</v>
      </c>
      <c r="C13951" t="str">
        <f>"91997902"</f>
        <v>91997902</v>
      </c>
      <c r="D13951">
        <v>89301322</v>
      </c>
      <c r="E13951" t="str">
        <f>"7461215322"</f>
        <v>7461215322</v>
      </c>
      <c r="F13951" s="1">
        <v>45258</v>
      </c>
      <c r="G13951" t="str">
        <f>"91439"</f>
        <v>91439</v>
      </c>
      <c r="H13951">
        <v>9</v>
      </c>
      <c r="I13951">
        <v>3222</v>
      </c>
      <c r="J13951">
        <v>0</v>
      </c>
      <c r="K13951" t="str">
        <f>"813"</f>
        <v>813</v>
      </c>
      <c r="L13951">
        <v>2706.48</v>
      </c>
    </row>
    <row r="13952" spans="1:12" x14ac:dyDescent="0.25">
      <c r="A13952" t="str">
        <f t="shared" si="2501"/>
        <v>89301000</v>
      </c>
      <c r="B13952" t="str">
        <f>"91997900"</f>
        <v>91997900</v>
      </c>
      <c r="C13952" t="str">
        <f>"91997902"</f>
        <v>91997902</v>
      </c>
      <c r="D13952">
        <v>89301322</v>
      </c>
      <c r="E13952" t="str">
        <f>"7461215322"</f>
        <v>7461215322</v>
      </c>
      <c r="F13952" s="1">
        <v>45258</v>
      </c>
      <c r="G13952" t="str">
        <f>"91439"</f>
        <v>91439</v>
      </c>
      <c r="H13952">
        <v>6</v>
      </c>
      <c r="I13952">
        <v>2148</v>
      </c>
      <c r="J13952">
        <v>0</v>
      </c>
      <c r="K13952" t="str">
        <f>"813"</f>
        <v>813</v>
      </c>
      <c r="L13952">
        <v>1804.32</v>
      </c>
    </row>
    <row r="13953" spans="1:12" x14ac:dyDescent="0.25">
      <c r="A13953" t="str">
        <f t="shared" si="2501"/>
        <v>89301000</v>
      </c>
      <c r="B13953" t="str">
        <f>"89511000"</f>
        <v>89511000</v>
      </c>
      <c r="C13953" t="str">
        <f>"89511001"</f>
        <v>89511001</v>
      </c>
      <c r="D13953">
        <v>89301042</v>
      </c>
      <c r="E13953" t="str">
        <f>"475514432"</f>
        <v>475514432</v>
      </c>
      <c r="F13953" s="1">
        <v>45250</v>
      </c>
      <c r="G13953" t="str">
        <f>"89513"</f>
        <v>89513</v>
      </c>
      <c r="H13953">
        <v>1</v>
      </c>
      <c r="I13953">
        <v>378</v>
      </c>
      <c r="J13953">
        <v>0</v>
      </c>
      <c r="K13953" t="str">
        <f>"809"</f>
        <v>809</v>
      </c>
      <c r="L13953">
        <v>555.66</v>
      </c>
    </row>
    <row r="13954" spans="1:12" x14ac:dyDescent="0.25">
      <c r="A13954" t="str">
        <f t="shared" ref="A13954:A14017" si="2506">"89301000"</f>
        <v>89301000</v>
      </c>
      <c r="B13954" t="str">
        <f>"89511000"</f>
        <v>89511000</v>
      </c>
      <c r="C13954" t="str">
        <f>"89511001"</f>
        <v>89511001</v>
      </c>
      <c r="D13954">
        <v>89301042</v>
      </c>
      <c r="E13954" t="str">
        <f>"475514432"</f>
        <v>475514432</v>
      </c>
      <c r="F13954" s="1">
        <v>45250</v>
      </c>
      <c r="G13954" t="str">
        <f>"89514"</f>
        <v>89514</v>
      </c>
      <c r="H13954">
        <v>1</v>
      </c>
      <c r="I13954">
        <v>378</v>
      </c>
      <c r="J13954">
        <v>0</v>
      </c>
      <c r="K13954" t="str">
        <f>"809"</f>
        <v>809</v>
      </c>
      <c r="L13954">
        <v>555.66</v>
      </c>
    </row>
    <row r="13955" spans="1:12" x14ac:dyDescent="0.25">
      <c r="A13955" t="str">
        <f t="shared" si="2506"/>
        <v>89301000</v>
      </c>
      <c r="B13955" t="str">
        <f>"93507000"</f>
        <v>93507000</v>
      </c>
      <c r="C13955" t="str">
        <f>"93507001"</f>
        <v>93507001</v>
      </c>
      <c r="D13955">
        <v>89301274</v>
      </c>
      <c r="E13955" t="str">
        <f>"5410270283"</f>
        <v>5410270283</v>
      </c>
      <c r="F13955" s="1">
        <v>45244</v>
      </c>
      <c r="G13955" t="str">
        <f>"09135"</f>
        <v>09135</v>
      </c>
      <c r="H13955">
        <v>1</v>
      </c>
      <c r="I13955">
        <v>179</v>
      </c>
      <c r="J13955">
        <v>0</v>
      </c>
      <c r="K13955" t="str">
        <f>"809"</f>
        <v>809</v>
      </c>
      <c r="L13955">
        <v>263.13</v>
      </c>
    </row>
    <row r="13956" spans="1:12" x14ac:dyDescent="0.25">
      <c r="A13956" t="str">
        <f t="shared" si="2506"/>
        <v>89301000</v>
      </c>
      <c r="B13956" t="str">
        <f>"93507000"</f>
        <v>93507000</v>
      </c>
      <c r="C13956" t="str">
        <f>"93507001"</f>
        <v>93507001</v>
      </c>
      <c r="D13956">
        <v>89301274</v>
      </c>
      <c r="E13956" t="str">
        <f>"5410270283"</f>
        <v>5410270283</v>
      </c>
      <c r="F13956" s="1">
        <v>45244</v>
      </c>
      <c r="G13956" t="str">
        <f>"89515"</f>
        <v>89515</v>
      </c>
      <c r="H13956">
        <v>1</v>
      </c>
      <c r="I13956">
        <v>347</v>
      </c>
      <c r="J13956">
        <v>0</v>
      </c>
      <c r="K13956" t="str">
        <f>"809"</f>
        <v>809</v>
      </c>
      <c r="L13956">
        <v>510.09</v>
      </c>
    </row>
    <row r="13957" spans="1:12" x14ac:dyDescent="0.25">
      <c r="A13957" t="str">
        <f t="shared" si="2506"/>
        <v>89301000</v>
      </c>
      <c r="B13957" t="str">
        <f t="shared" ref="B13957:B13988" si="2507">"72077000"</f>
        <v>72077000</v>
      </c>
      <c r="C13957" t="str">
        <f t="shared" ref="C13957:C13988" si="2508">"72077001"</f>
        <v>72077001</v>
      </c>
      <c r="D13957">
        <v>89301152</v>
      </c>
      <c r="E13957" t="str">
        <f>"8462045328"</f>
        <v>8462045328</v>
      </c>
      <c r="F13957" s="1">
        <v>45245</v>
      </c>
      <c r="G13957" t="str">
        <f>"91197"</f>
        <v>91197</v>
      </c>
      <c r="H13957">
        <v>1</v>
      </c>
      <c r="I13957">
        <v>1048</v>
      </c>
      <c r="J13957">
        <v>0</v>
      </c>
      <c r="K13957" t="str">
        <f t="shared" ref="K13957:K13988" si="2509">"813"</f>
        <v>813</v>
      </c>
      <c r="L13957">
        <v>880.32</v>
      </c>
    </row>
    <row r="13958" spans="1:12" x14ac:dyDescent="0.25">
      <c r="A13958" t="str">
        <f t="shared" si="2506"/>
        <v>89301000</v>
      </c>
      <c r="B13958" t="str">
        <f t="shared" si="2507"/>
        <v>72077000</v>
      </c>
      <c r="C13958" t="str">
        <f t="shared" si="2508"/>
        <v>72077001</v>
      </c>
      <c r="D13958">
        <v>89301152</v>
      </c>
      <c r="E13958" t="str">
        <f>"8462045328"</f>
        <v>8462045328</v>
      </c>
      <c r="F13958" s="1">
        <v>45246</v>
      </c>
      <c r="G13958" t="str">
        <f>"91465"</f>
        <v>91465</v>
      </c>
      <c r="H13958">
        <v>1</v>
      </c>
      <c r="I13958">
        <v>1412</v>
      </c>
      <c r="J13958">
        <v>0</v>
      </c>
      <c r="K13958" t="str">
        <f t="shared" si="2509"/>
        <v>813</v>
      </c>
      <c r="L13958">
        <v>1186.08</v>
      </c>
    </row>
    <row r="13959" spans="1:12" x14ac:dyDescent="0.25">
      <c r="A13959" t="str">
        <f t="shared" si="2506"/>
        <v>89301000</v>
      </c>
      <c r="B13959" t="str">
        <f t="shared" si="2507"/>
        <v>72077000</v>
      </c>
      <c r="C13959" t="str">
        <f t="shared" si="2508"/>
        <v>72077001</v>
      </c>
      <c r="D13959">
        <v>89301152</v>
      </c>
      <c r="E13959" t="str">
        <f>"0358066170"</f>
        <v>0358066170</v>
      </c>
      <c r="F13959" s="1">
        <v>45245</v>
      </c>
      <c r="G13959" t="str">
        <f>"91359"</f>
        <v>91359</v>
      </c>
      <c r="H13959">
        <v>1</v>
      </c>
      <c r="I13959">
        <v>205</v>
      </c>
      <c r="J13959">
        <v>0</v>
      </c>
      <c r="K13959" t="str">
        <f t="shared" si="2509"/>
        <v>813</v>
      </c>
      <c r="L13959">
        <v>172.2</v>
      </c>
    </row>
    <row r="13960" spans="1:12" x14ac:dyDescent="0.25">
      <c r="A13960" t="str">
        <f t="shared" si="2506"/>
        <v>89301000</v>
      </c>
      <c r="B13960" t="str">
        <f t="shared" si="2507"/>
        <v>72077000</v>
      </c>
      <c r="C13960" t="str">
        <f t="shared" si="2508"/>
        <v>72077001</v>
      </c>
      <c r="D13960">
        <v>89301152</v>
      </c>
      <c r="E13960" t="str">
        <f>"0358066170"</f>
        <v>0358066170</v>
      </c>
      <c r="F13960" s="1">
        <v>45245</v>
      </c>
      <c r="G13960" t="str">
        <f>"91361"</f>
        <v>91361</v>
      </c>
      <c r="H13960">
        <v>1</v>
      </c>
      <c r="I13960">
        <v>444</v>
      </c>
      <c r="J13960">
        <v>0</v>
      </c>
      <c r="K13960" t="str">
        <f t="shared" si="2509"/>
        <v>813</v>
      </c>
      <c r="L13960">
        <v>372.96</v>
      </c>
    </row>
    <row r="13961" spans="1:12" x14ac:dyDescent="0.25">
      <c r="A13961" t="str">
        <f t="shared" si="2506"/>
        <v>89301000</v>
      </c>
      <c r="B13961" t="str">
        <f t="shared" si="2507"/>
        <v>72077000</v>
      </c>
      <c r="C13961" t="str">
        <f t="shared" si="2508"/>
        <v>72077001</v>
      </c>
      <c r="D13961">
        <v>89301152</v>
      </c>
      <c r="E13961" t="str">
        <f>"0358066170"</f>
        <v>0358066170</v>
      </c>
      <c r="F13961" s="1">
        <v>45245</v>
      </c>
      <c r="G13961" t="str">
        <f>"91577"</f>
        <v>91577</v>
      </c>
      <c r="H13961">
        <v>1</v>
      </c>
      <c r="I13961">
        <v>398</v>
      </c>
      <c r="J13961">
        <v>0</v>
      </c>
      <c r="K13961" t="str">
        <f t="shared" si="2509"/>
        <v>813</v>
      </c>
      <c r="L13961">
        <v>334.32</v>
      </c>
    </row>
    <row r="13962" spans="1:12" x14ac:dyDescent="0.25">
      <c r="A13962" t="str">
        <f t="shared" si="2506"/>
        <v>89301000</v>
      </c>
      <c r="B13962" t="str">
        <f t="shared" si="2507"/>
        <v>72077000</v>
      </c>
      <c r="C13962" t="str">
        <f t="shared" si="2508"/>
        <v>72077001</v>
      </c>
      <c r="D13962">
        <v>89301152</v>
      </c>
      <c r="E13962" t="str">
        <f>"0358066170"</f>
        <v>0358066170</v>
      </c>
      <c r="F13962" s="1">
        <v>45251</v>
      </c>
      <c r="G13962" t="str">
        <f>"91485"</f>
        <v>91485</v>
      </c>
      <c r="H13962">
        <v>1</v>
      </c>
      <c r="I13962">
        <v>268</v>
      </c>
      <c r="J13962">
        <v>0</v>
      </c>
      <c r="K13962" t="str">
        <f t="shared" si="2509"/>
        <v>813</v>
      </c>
      <c r="L13962">
        <v>225.12</v>
      </c>
    </row>
    <row r="13963" spans="1:12" x14ac:dyDescent="0.25">
      <c r="A13963" t="str">
        <f t="shared" si="2506"/>
        <v>89301000</v>
      </c>
      <c r="B13963" t="str">
        <f t="shared" si="2507"/>
        <v>72077000</v>
      </c>
      <c r="C13963" t="str">
        <f t="shared" si="2508"/>
        <v>72077001</v>
      </c>
      <c r="D13963">
        <v>89301152</v>
      </c>
      <c r="E13963" t="str">
        <f>"6509221565"</f>
        <v>6509221565</v>
      </c>
      <c r="F13963" s="1">
        <v>45239</v>
      </c>
      <c r="G13963" t="str">
        <f>"91213"</f>
        <v>91213</v>
      </c>
      <c r="H13963">
        <v>1</v>
      </c>
      <c r="I13963">
        <v>348</v>
      </c>
      <c r="J13963">
        <v>0</v>
      </c>
      <c r="K13963" t="str">
        <f t="shared" si="2509"/>
        <v>813</v>
      </c>
      <c r="L13963">
        <v>292.32</v>
      </c>
    </row>
    <row r="13964" spans="1:12" x14ac:dyDescent="0.25">
      <c r="A13964" t="str">
        <f t="shared" si="2506"/>
        <v>89301000</v>
      </c>
      <c r="B13964" t="str">
        <f t="shared" si="2507"/>
        <v>72077000</v>
      </c>
      <c r="C13964" t="str">
        <f t="shared" si="2508"/>
        <v>72077001</v>
      </c>
      <c r="D13964">
        <v>89301152</v>
      </c>
      <c r="E13964" t="str">
        <f>"6509221565"</f>
        <v>6509221565</v>
      </c>
      <c r="F13964" s="1">
        <v>45244</v>
      </c>
      <c r="G13964" t="str">
        <f>"91219"</f>
        <v>91219</v>
      </c>
      <c r="H13964">
        <v>1</v>
      </c>
      <c r="I13964">
        <v>343</v>
      </c>
      <c r="J13964">
        <v>0</v>
      </c>
      <c r="K13964" t="str">
        <f t="shared" si="2509"/>
        <v>813</v>
      </c>
      <c r="L13964">
        <v>288.12</v>
      </c>
    </row>
    <row r="13965" spans="1:12" x14ac:dyDescent="0.25">
      <c r="A13965" t="str">
        <f t="shared" si="2506"/>
        <v>89301000</v>
      </c>
      <c r="B13965" t="str">
        <f t="shared" si="2507"/>
        <v>72077000</v>
      </c>
      <c r="C13965" t="str">
        <f t="shared" si="2508"/>
        <v>72077001</v>
      </c>
      <c r="D13965">
        <v>89301152</v>
      </c>
      <c r="E13965" t="str">
        <f>"6509221565"</f>
        <v>6509221565</v>
      </c>
      <c r="F13965" s="1">
        <v>45244</v>
      </c>
      <c r="G13965" t="str">
        <f>"91219"</f>
        <v>91219</v>
      </c>
      <c r="H13965">
        <v>1</v>
      </c>
      <c r="I13965">
        <v>343</v>
      </c>
      <c r="J13965">
        <v>0</v>
      </c>
      <c r="K13965" t="str">
        <f t="shared" si="2509"/>
        <v>813</v>
      </c>
      <c r="L13965">
        <v>288.12</v>
      </c>
    </row>
    <row r="13966" spans="1:12" x14ac:dyDescent="0.25">
      <c r="A13966" t="str">
        <f t="shared" si="2506"/>
        <v>89301000</v>
      </c>
      <c r="B13966" t="str">
        <f t="shared" si="2507"/>
        <v>72077000</v>
      </c>
      <c r="C13966" t="str">
        <f t="shared" si="2508"/>
        <v>72077001</v>
      </c>
      <c r="D13966">
        <v>89301152</v>
      </c>
      <c r="E13966" t="str">
        <f>"6509221565"</f>
        <v>6509221565</v>
      </c>
      <c r="F13966" s="1">
        <v>45244</v>
      </c>
      <c r="G13966" t="str">
        <f>"91219"</f>
        <v>91219</v>
      </c>
      <c r="H13966">
        <v>1</v>
      </c>
      <c r="I13966">
        <v>343</v>
      </c>
      <c r="J13966">
        <v>0</v>
      </c>
      <c r="K13966" t="str">
        <f t="shared" si="2509"/>
        <v>813</v>
      </c>
      <c r="L13966">
        <v>288.12</v>
      </c>
    </row>
    <row r="13967" spans="1:12" x14ac:dyDescent="0.25">
      <c r="A13967" t="str">
        <f t="shared" si="2506"/>
        <v>89301000</v>
      </c>
      <c r="B13967" t="str">
        <f t="shared" si="2507"/>
        <v>72077000</v>
      </c>
      <c r="C13967" t="str">
        <f t="shared" si="2508"/>
        <v>72077001</v>
      </c>
      <c r="D13967">
        <v>89301152</v>
      </c>
      <c r="E13967" t="str">
        <f>"9154176141"</f>
        <v>9154176141</v>
      </c>
      <c r="F13967" s="1">
        <v>45231</v>
      </c>
      <c r="G13967" t="str">
        <f>"91577"</f>
        <v>91577</v>
      </c>
      <c r="H13967">
        <v>1</v>
      </c>
      <c r="I13967">
        <v>398</v>
      </c>
      <c r="J13967">
        <v>0</v>
      </c>
      <c r="K13967" t="str">
        <f t="shared" si="2509"/>
        <v>813</v>
      </c>
      <c r="L13967">
        <v>334.32</v>
      </c>
    </row>
    <row r="13968" spans="1:12" x14ac:dyDescent="0.25">
      <c r="A13968" t="str">
        <f t="shared" si="2506"/>
        <v>89301000</v>
      </c>
      <c r="B13968" t="str">
        <f t="shared" si="2507"/>
        <v>72077000</v>
      </c>
      <c r="C13968" t="str">
        <f t="shared" si="2508"/>
        <v>72077001</v>
      </c>
      <c r="D13968">
        <v>89301152</v>
      </c>
      <c r="E13968" t="str">
        <f>"0008026205"</f>
        <v>0008026205</v>
      </c>
      <c r="F13968" s="1">
        <v>45232</v>
      </c>
      <c r="G13968" t="str">
        <f>"91197"</f>
        <v>91197</v>
      </c>
      <c r="H13968">
        <v>1</v>
      </c>
      <c r="I13968">
        <v>1048</v>
      </c>
      <c r="J13968">
        <v>0</v>
      </c>
      <c r="K13968" t="str">
        <f t="shared" si="2509"/>
        <v>813</v>
      </c>
      <c r="L13968">
        <v>880.32</v>
      </c>
    </row>
    <row r="13969" spans="1:12" x14ac:dyDescent="0.25">
      <c r="A13969" t="str">
        <f t="shared" si="2506"/>
        <v>89301000</v>
      </c>
      <c r="B13969" t="str">
        <f t="shared" si="2507"/>
        <v>72077000</v>
      </c>
      <c r="C13969" t="str">
        <f t="shared" si="2508"/>
        <v>72077001</v>
      </c>
      <c r="D13969">
        <v>89301152</v>
      </c>
      <c r="E13969" t="str">
        <f>"0008026205"</f>
        <v>0008026205</v>
      </c>
      <c r="F13969" s="1">
        <v>45233</v>
      </c>
      <c r="G13969" t="str">
        <f>"91465"</f>
        <v>91465</v>
      </c>
      <c r="H13969">
        <v>1</v>
      </c>
      <c r="I13969">
        <v>1412</v>
      </c>
      <c r="J13969">
        <v>0</v>
      </c>
      <c r="K13969" t="str">
        <f t="shared" si="2509"/>
        <v>813</v>
      </c>
      <c r="L13969">
        <v>1186.08</v>
      </c>
    </row>
    <row r="13970" spans="1:12" x14ac:dyDescent="0.25">
      <c r="A13970" t="str">
        <f t="shared" si="2506"/>
        <v>89301000</v>
      </c>
      <c r="B13970" t="str">
        <f t="shared" si="2507"/>
        <v>72077000</v>
      </c>
      <c r="C13970" t="str">
        <f t="shared" si="2508"/>
        <v>72077001</v>
      </c>
      <c r="D13970">
        <v>89301152</v>
      </c>
      <c r="E13970" t="str">
        <f>"5856300043"</f>
        <v>5856300043</v>
      </c>
      <c r="F13970" s="1">
        <v>45232</v>
      </c>
      <c r="G13970" t="str">
        <f>"91197"</f>
        <v>91197</v>
      </c>
      <c r="H13970">
        <v>1</v>
      </c>
      <c r="I13970">
        <v>1048</v>
      </c>
      <c r="J13970">
        <v>0</v>
      </c>
      <c r="K13970" t="str">
        <f t="shared" si="2509"/>
        <v>813</v>
      </c>
      <c r="L13970">
        <v>880.32</v>
      </c>
    </row>
    <row r="13971" spans="1:12" x14ac:dyDescent="0.25">
      <c r="A13971" t="str">
        <f t="shared" si="2506"/>
        <v>89301000</v>
      </c>
      <c r="B13971" t="str">
        <f t="shared" si="2507"/>
        <v>72077000</v>
      </c>
      <c r="C13971" t="str">
        <f t="shared" si="2508"/>
        <v>72077001</v>
      </c>
      <c r="D13971">
        <v>89301152</v>
      </c>
      <c r="E13971" t="str">
        <f>"5856300043"</f>
        <v>5856300043</v>
      </c>
      <c r="F13971" s="1">
        <v>45233</v>
      </c>
      <c r="G13971" t="str">
        <f>"91465"</f>
        <v>91465</v>
      </c>
      <c r="H13971">
        <v>1</v>
      </c>
      <c r="I13971">
        <v>1412</v>
      </c>
      <c r="J13971">
        <v>0</v>
      </c>
      <c r="K13971" t="str">
        <f t="shared" si="2509"/>
        <v>813</v>
      </c>
      <c r="L13971">
        <v>1186.08</v>
      </c>
    </row>
    <row r="13972" spans="1:12" x14ac:dyDescent="0.25">
      <c r="A13972" t="str">
        <f t="shared" si="2506"/>
        <v>89301000</v>
      </c>
      <c r="B13972" t="str">
        <f t="shared" si="2507"/>
        <v>72077000</v>
      </c>
      <c r="C13972" t="str">
        <f t="shared" si="2508"/>
        <v>72077001</v>
      </c>
      <c r="D13972">
        <v>89301152</v>
      </c>
      <c r="E13972" t="str">
        <f>"9055145781"</f>
        <v>9055145781</v>
      </c>
      <c r="F13972" s="1">
        <v>45236</v>
      </c>
      <c r="G13972" t="str">
        <f>"91175"</f>
        <v>91175</v>
      </c>
      <c r="H13972">
        <v>1</v>
      </c>
      <c r="I13972">
        <v>362</v>
      </c>
      <c r="J13972">
        <v>0</v>
      </c>
      <c r="K13972" t="str">
        <f t="shared" si="2509"/>
        <v>813</v>
      </c>
      <c r="L13972">
        <v>304.08</v>
      </c>
    </row>
    <row r="13973" spans="1:12" x14ac:dyDescent="0.25">
      <c r="A13973" t="str">
        <f t="shared" si="2506"/>
        <v>89301000</v>
      </c>
      <c r="B13973" t="str">
        <f t="shared" si="2507"/>
        <v>72077000</v>
      </c>
      <c r="C13973" t="str">
        <f t="shared" si="2508"/>
        <v>72077001</v>
      </c>
      <c r="D13973">
        <v>89301152</v>
      </c>
      <c r="E13973" t="str">
        <f>"9055145781"</f>
        <v>9055145781</v>
      </c>
      <c r="F13973" s="1">
        <v>45236</v>
      </c>
      <c r="G13973" t="str">
        <f>"91171"</f>
        <v>91171</v>
      </c>
      <c r="H13973">
        <v>1</v>
      </c>
      <c r="I13973">
        <v>362</v>
      </c>
      <c r="J13973">
        <v>0</v>
      </c>
      <c r="K13973" t="str">
        <f t="shared" si="2509"/>
        <v>813</v>
      </c>
      <c r="L13973">
        <v>304.08</v>
      </c>
    </row>
    <row r="13974" spans="1:12" x14ac:dyDescent="0.25">
      <c r="A13974" t="str">
        <f t="shared" si="2506"/>
        <v>89301000</v>
      </c>
      <c r="B13974" t="str">
        <f t="shared" si="2507"/>
        <v>72077000</v>
      </c>
      <c r="C13974" t="str">
        <f t="shared" si="2508"/>
        <v>72077001</v>
      </c>
      <c r="D13974">
        <v>89301152</v>
      </c>
      <c r="E13974" t="str">
        <f>"7101145359"</f>
        <v>7101145359</v>
      </c>
      <c r="F13974" s="1">
        <v>45238</v>
      </c>
      <c r="G13974" t="str">
        <f>"91219"</f>
        <v>91219</v>
      </c>
      <c r="H13974">
        <v>1</v>
      </c>
      <c r="I13974">
        <v>343</v>
      </c>
      <c r="J13974">
        <v>0</v>
      </c>
      <c r="K13974" t="str">
        <f t="shared" si="2509"/>
        <v>813</v>
      </c>
      <c r="L13974">
        <v>288.12</v>
      </c>
    </row>
    <row r="13975" spans="1:12" x14ac:dyDescent="0.25">
      <c r="A13975" t="str">
        <f t="shared" si="2506"/>
        <v>89301000</v>
      </c>
      <c r="B13975" t="str">
        <f t="shared" si="2507"/>
        <v>72077000</v>
      </c>
      <c r="C13975" t="str">
        <f t="shared" si="2508"/>
        <v>72077001</v>
      </c>
      <c r="D13975">
        <v>89301152</v>
      </c>
      <c r="E13975" t="str">
        <f>"7101145359"</f>
        <v>7101145359</v>
      </c>
      <c r="F13975" s="1">
        <v>45238</v>
      </c>
      <c r="G13975" t="str">
        <f>"91219"</f>
        <v>91219</v>
      </c>
      <c r="H13975">
        <v>1</v>
      </c>
      <c r="I13975">
        <v>343</v>
      </c>
      <c r="J13975">
        <v>0</v>
      </c>
      <c r="K13975" t="str">
        <f t="shared" si="2509"/>
        <v>813</v>
      </c>
      <c r="L13975">
        <v>288.12</v>
      </c>
    </row>
    <row r="13976" spans="1:12" x14ac:dyDescent="0.25">
      <c r="A13976" t="str">
        <f t="shared" si="2506"/>
        <v>89301000</v>
      </c>
      <c r="B13976" t="str">
        <f t="shared" si="2507"/>
        <v>72077000</v>
      </c>
      <c r="C13976" t="str">
        <f t="shared" si="2508"/>
        <v>72077001</v>
      </c>
      <c r="D13976">
        <v>89301152</v>
      </c>
      <c r="E13976" t="str">
        <f>"7101145359"</f>
        <v>7101145359</v>
      </c>
      <c r="F13976" s="1">
        <v>45238</v>
      </c>
      <c r="G13976" t="str">
        <f>"91219"</f>
        <v>91219</v>
      </c>
      <c r="H13976">
        <v>1</v>
      </c>
      <c r="I13976">
        <v>343</v>
      </c>
      <c r="J13976">
        <v>0</v>
      </c>
      <c r="K13976" t="str">
        <f t="shared" si="2509"/>
        <v>813</v>
      </c>
      <c r="L13976">
        <v>288.12</v>
      </c>
    </row>
    <row r="13977" spans="1:12" x14ac:dyDescent="0.25">
      <c r="A13977" t="str">
        <f t="shared" si="2506"/>
        <v>89301000</v>
      </c>
      <c r="B13977" t="str">
        <f t="shared" si="2507"/>
        <v>72077000</v>
      </c>
      <c r="C13977" t="str">
        <f t="shared" si="2508"/>
        <v>72077001</v>
      </c>
      <c r="D13977">
        <v>89301152</v>
      </c>
      <c r="E13977" t="str">
        <f>"7101145359"</f>
        <v>7101145359</v>
      </c>
      <c r="F13977" s="1">
        <v>45238</v>
      </c>
      <c r="G13977" t="str">
        <f>"91219"</f>
        <v>91219</v>
      </c>
      <c r="H13977">
        <v>1</v>
      </c>
      <c r="I13977">
        <v>343</v>
      </c>
      <c r="J13977">
        <v>0</v>
      </c>
      <c r="K13977" t="str">
        <f t="shared" si="2509"/>
        <v>813</v>
      </c>
      <c r="L13977">
        <v>288.12</v>
      </c>
    </row>
    <row r="13978" spans="1:12" x14ac:dyDescent="0.25">
      <c r="A13978" t="str">
        <f t="shared" si="2506"/>
        <v>89301000</v>
      </c>
      <c r="B13978" t="str">
        <f t="shared" si="2507"/>
        <v>72077000</v>
      </c>
      <c r="C13978" t="str">
        <f t="shared" si="2508"/>
        <v>72077001</v>
      </c>
      <c r="D13978">
        <v>89301152</v>
      </c>
      <c r="E13978" t="str">
        <f>"8506204916"</f>
        <v>8506204916</v>
      </c>
      <c r="F13978" s="1">
        <v>45240</v>
      </c>
      <c r="G13978" t="str">
        <f>"91465"</f>
        <v>91465</v>
      </c>
      <c r="H13978">
        <v>1</v>
      </c>
      <c r="I13978">
        <v>1412</v>
      </c>
      <c r="J13978">
        <v>0</v>
      </c>
      <c r="K13978" t="str">
        <f t="shared" si="2509"/>
        <v>813</v>
      </c>
      <c r="L13978">
        <v>1186.08</v>
      </c>
    </row>
    <row r="13979" spans="1:12" x14ac:dyDescent="0.25">
      <c r="A13979" t="str">
        <f t="shared" si="2506"/>
        <v>89301000</v>
      </c>
      <c r="B13979" t="str">
        <f t="shared" si="2507"/>
        <v>72077000</v>
      </c>
      <c r="C13979" t="str">
        <f t="shared" si="2508"/>
        <v>72077001</v>
      </c>
      <c r="D13979">
        <v>89301152</v>
      </c>
      <c r="E13979" t="str">
        <f>"8506204916"</f>
        <v>8506204916</v>
      </c>
      <c r="F13979" s="1">
        <v>45240</v>
      </c>
      <c r="G13979" t="str">
        <f>"91197"</f>
        <v>91197</v>
      </c>
      <c r="H13979">
        <v>1</v>
      </c>
      <c r="I13979">
        <v>1048</v>
      </c>
      <c r="J13979">
        <v>0</v>
      </c>
      <c r="K13979" t="str">
        <f t="shared" si="2509"/>
        <v>813</v>
      </c>
      <c r="L13979">
        <v>880.32</v>
      </c>
    </row>
    <row r="13980" spans="1:12" x14ac:dyDescent="0.25">
      <c r="A13980" t="str">
        <f t="shared" si="2506"/>
        <v>89301000</v>
      </c>
      <c r="B13980" t="str">
        <f t="shared" si="2507"/>
        <v>72077000</v>
      </c>
      <c r="C13980" t="str">
        <f t="shared" si="2508"/>
        <v>72077001</v>
      </c>
      <c r="D13980">
        <v>89301152</v>
      </c>
      <c r="E13980" t="str">
        <f t="shared" ref="E13980:E13985" si="2510">"9861235725"</f>
        <v>9861235725</v>
      </c>
      <c r="F13980" s="1">
        <v>45238</v>
      </c>
      <c r="G13980" t="str">
        <f>"91485"</f>
        <v>91485</v>
      </c>
      <c r="H13980">
        <v>1</v>
      </c>
      <c r="I13980">
        <v>268</v>
      </c>
      <c r="J13980">
        <v>0</v>
      </c>
      <c r="K13980" t="str">
        <f t="shared" si="2509"/>
        <v>813</v>
      </c>
      <c r="L13980">
        <v>225.12</v>
      </c>
    </row>
    <row r="13981" spans="1:12" x14ac:dyDescent="0.25">
      <c r="A13981" t="str">
        <f t="shared" si="2506"/>
        <v>89301000</v>
      </c>
      <c r="B13981" t="str">
        <f t="shared" si="2507"/>
        <v>72077000</v>
      </c>
      <c r="C13981" t="str">
        <f t="shared" si="2508"/>
        <v>72077001</v>
      </c>
      <c r="D13981">
        <v>89301152</v>
      </c>
      <c r="E13981" t="str">
        <f t="shared" si="2510"/>
        <v>9861235725</v>
      </c>
      <c r="F13981" s="1">
        <v>45239</v>
      </c>
      <c r="G13981" t="str">
        <f>"91359"</f>
        <v>91359</v>
      </c>
      <c r="H13981">
        <v>1</v>
      </c>
      <c r="I13981">
        <v>205</v>
      </c>
      <c r="J13981">
        <v>0</v>
      </c>
      <c r="K13981" t="str">
        <f t="shared" si="2509"/>
        <v>813</v>
      </c>
      <c r="L13981">
        <v>172.2</v>
      </c>
    </row>
    <row r="13982" spans="1:12" x14ac:dyDescent="0.25">
      <c r="A13982" t="str">
        <f t="shared" si="2506"/>
        <v>89301000</v>
      </c>
      <c r="B13982" t="str">
        <f t="shared" si="2507"/>
        <v>72077000</v>
      </c>
      <c r="C13982" t="str">
        <f t="shared" si="2508"/>
        <v>72077001</v>
      </c>
      <c r="D13982">
        <v>89301152</v>
      </c>
      <c r="E13982" t="str">
        <f t="shared" si="2510"/>
        <v>9861235725</v>
      </c>
      <c r="F13982" s="1">
        <v>45239</v>
      </c>
      <c r="G13982" t="str">
        <f>"91577"</f>
        <v>91577</v>
      </c>
      <c r="H13982">
        <v>1</v>
      </c>
      <c r="I13982">
        <v>398</v>
      </c>
      <c r="J13982">
        <v>0</v>
      </c>
      <c r="K13982" t="str">
        <f t="shared" si="2509"/>
        <v>813</v>
      </c>
      <c r="L13982">
        <v>334.32</v>
      </c>
    </row>
    <row r="13983" spans="1:12" x14ac:dyDescent="0.25">
      <c r="A13983" t="str">
        <f t="shared" si="2506"/>
        <v>89301000</v>
      </c>
      <c r="B13983" t="str">
        <f t="shared" si="2507"/>
        <v>72077000</v>
      </c>
      <c r="C13983" t="str">
        <f t="shared" si="2508"/>
        <v>72077001</v>
      </c>
      <c r="D13983">
        <v>89301152</v>
      </c>
      <c r="E13983" t="str">
        <f t="shared" si="2510"/>
        <v>9861235725</v>
      </c>
      <c r="F13983" s="1">
        <v>45239</v>
      </c>
      <c r="G13983" t="str">
        <f>"91361"</f>
        <v>91361</v>
      </c>
      <c r="H13983">
        <v>1</v>
      </c>
      <c r="I13983">
        <v>444</v>
      </c>
      <c r="J13983">
        <v>0</v>
      </c>
      <c r="K13983" t="str">
        <f t="shared" si="2509"/>
        <v>813</v>
      </c>
      <c r="L13983">
        <v>372.96</v>
      </c>
    </row>
    <row r="13984" spans="1:12" x14ac:dyDescent="0.25">
      <c r="A13984" t="str">
        <f t="shared" si="2506"/>
        <v>89301000</v>
      </c>
      <c r="B13984" t="str">
        <f t="shared" si="2507"/>
        <v>72077000</v>
      </c>
      <c r="C13984" t="str">
        <f t="shared" si="2508"/>
        <v>72077001</v>
      </c>
      <c r="D13984">
        <v>89301152</v>
      </c>
      <c r="E13984" t="str">
        <f t="shared" si="2510"/>
        <v>9861235725</v>
      </c>
      <c r="F13984" s="1">
        <v>45240</v>
      </c>
      <c r="G13984" t="str">
        <f>"91465"</f>
        <v>91465</v>
      </c>
      <c r="H13984">
        <v>1</v>
      </c>
      <c r="I13984">
        <v>1412</v>
      </c>
      <c r="J13984">
        <v>0</v>
      </c>
      <c r="K13984" t="str">
        <f t="shared" si="2509"/>
        <v>813</v>
      </c>
      <c r="L13984">
        <v>1186.08</v>
      </c>
    </row>
    <row r="13985" spans="1:12" x14ac:dyDescent="0.25">
      <c r="A13985" t="str">
        <f t="shared" si="2506"/>
        <v>89301000</v>
      </c>
      <c r="B13985" t="str">
        <f t="shared" si="2507"/>
        <v>72077000</v>
      </c>
      <c r="C13985" t="str">
        <f t="shared" si="2508"/>
        <v>72077001</v>
      </c>
      <c r="D13985">
        <v>89301152</v>
      </c>
      <c r="E13985" t="str">
        <f t="shared" si="2510"/>
        <v>9861235725</v>
      </c>
      <c r="F13985" s="1">
        <v>45240</v>
      </c>
      <c r="G13985" t="str">
        <f>"91197"</f>
        <v>91197</v>
      </c>
      <c r="H13985">
        <v>1</v>
      </c>
      <c r="I13985">
        <v>1048</v>
      </c>
      <c r="J13985">
        <v>0</v>
      </c>
      <c r="K13985" t="str">
        <f t="shared" si="2509"/>
        <v>813</v>
      </c>
      <c r="L13985">
        <v>880.32</v>
      </c>
    </row>
    <row r="13986" spans="1:12" x14ac:dyDescent="0.25">
      <c r="A13986" t="str">
        <f t="shared" si="2506"/>
        <v>89301000</v>
      </c>
      <c r="B13986" t="str">
        <f t="shared" si="2507"/>
        <v>72077000</v>
      </c>
      <c r="C13986" t="str">
        <f t="shared" si="2508"/>
        <v>72077001</v>
      </c>
      <c r="D13986">
        <v>89301152</v>
      </c>
      <c r="E13986" t="str">
        <f>"7412295330"</f>
        <v>7412295330</v>
      </c>
      <c r="F13986" s="1">
        <v>45237</v>
      </c>
      <c r="G13986" t="str">
        <f>"91219"</f>
        <v>91219</v>
      </c>
      <c r="H13986">
        <v>1</v>
      </c>
      <c r="I13986">
        <v>343</v>
      </c>
      <c r="J13986">
        <v>0</v>
      </c>
      <c r="K13986" t="str">
        <f t="shared" si="2509"/>
        <v>813</v>
      </c>
      <c r="L13986">
        <v>288.12</v>
      </c>
    </row>
    <row r="13987" spans="1:12" x14ac:dyDescent="0.25">
      <c r="A13987" t="str">
        <f t="shared" si="2506"/>
        <v>89301000</v>
      </c>
      <c r="B13987" t="str">
        <f t="shared" si="2507"/>
        <v>72077000</v>
      </c>
      <c r="C13987" t="str">
        <f t="shared" si="2508"/>
        <v>72077001</v>
      </c>
      <c r="D13987">
        <v>89301152</v>
      </c>
      <c r="E13987" t="str">
        <f>"7412295330"</f>
        <v>7412295330</v>
      </c>
      <c r="F13987" s="1">
        <v>45237</v>
      </c>
      <c r="G13987" t="str">
        <f>"91219"</f>
        <v>91219</v>
      </c>
      <c r="H13987">
        <v>1</v>
      </c>
      <c r="I13987">
        <v>343</v>
      </c>
      <c r="J13987">
        <v>0</v>
      </c>
      <c r="K13987" t="str">
        <f t="shared" si="2509"/>
        <v>813</v>
      </c>
      <c r="L13987">
        <v>288.12</v>
      </c>
    </row>
    <row r="13988" spans="1:12" x14ac:dyDescent="0.25">
      <c r="A13988" t="str">
        <f t="shared" si="2506"/>
        <v>89301000</v>
      </c>
      <c r="B13988" t="str">
        <f t="shared" si="2507"/>
        <v>72077000</v>
      </c>
      <c r="C13988" t="str">
        <f t="shared" si="2508"/>
        <v>72077001</v>
      </c>
      <c r="D13988">
        <v>89301152</v>
      </c>
      <c r="E13988" t="str">
        <f>"7505175304"</f>
        <v>7505175304</v>
      </c>
      <c r="F13988" s="1">
        <v>45240</v>
      </c>
      <c r="G13988" t="str">
        <f>"91197"</f>
        <v>91197</v>
      </c>
      <c r="H13988">
        <v>1</v>
      </c>
      <c r="I13988">
        <v>1048</v>
      </c>
      <c r="J13988">
        <v>0</v>
      </c>
      <c r="K13988" t="str">
        <f t="shared" si="2509"/>
        <v>813</v>
      </c>
      <c r="L13988">
        <v>880.32</v>
      </c>
    </row>
    <row r="13989" spans="1:12" x14ac:dyDescent="0.25">
      <c r="A13989" t="str">
        <f t="shared" si="2506"/>
        <v>89301000</v>
      </c>
      <c r="B13989" t="str">
        <f t="shared" ref="B13989:B14020" si="2511">"72077000"</f>
        <v>72077000</v>
      </c>
      <c r="C13989" t="str">
        <f t="shared" ref="C13989:C14020" si="2512">"72077001"</f>
        <v>72077001</v>
      </c>
      <c r="D13989">
        <v>89301152</v>
      </c>
      <c r="E13989" t="str">
        <f>"7505175304"</f>
        <v>7505175304</v>
      </c>
      <c r="F13989" s="1">
        <v>45244</v>
      </c>
      <c r="G13989" t="str">
        <f>"91465"</f>
        <v>91465</v>
      </c>
      <c r="H13989">
        <v>1</v>
      </c>
      <c r="I13989">
        <v>1412</v>
      </c>
      <c r="J13989">
        <v>0</v>
      </c>
      <c r="K13989" t="str">
        <f t="shared" ref="K13989:K14020" si="2513">"813"</f>
        <v>813</v>
      </c>
      <c r="L13989">
        <v>1186.08</v>
      </c>
    </row>
    <row r="13990" spans="1:12" x14ac:dyDescent="0.25">
      <c r="A13990" t="str">
        <f t="shared" si="2506"/>
        <v>89301000</v>
      </c>
      <c r="B13990" t="str">
        <f t="shared" si="2511"/>
        <v>72077000</v>
      </c>
      <c r="C13990" t="str">
        <f t="shared" si="2512"/>
        <v>72077001</v>
      </c>
      <c r="D13990">
        <v>89301152</v>
      </c>
      <c r="E13990" t="str">
        <f>"6951104941"</f>
        <v>6951104941</v>
      </c>
      <c r="F13990" s="1">
        <v>45240</v>
      </c>
      <c r="G13990" t="str">
        <f>"91197"</f>
        <v>91197</v>
      </c>
      <c r="H13990">
        <v>1</v>
      </c>
      <c r="I13990">
        <v>1048</v>
      </c>
      <c r="J13990">
        <v>0</v>
      </c>
      <c r="K13990" t="str">
        <f t="shared" si="2513"/>
        <v>813</v>
      </c>
      <c r="L13990">
        <v>880.32</v>
      </c>
    </row>
    <row r="13991" spans="1:12" x14ac:dyDescent="0.25">
      <c r="A13991" t="str">
        <f t="shared" si="2506"/>
        <v>89301000</v>
      </c>
      <c r="B13991" t="str">
        <f t="shared" si="2511"/>
        <v>72077000</v>
      </c>
      <c r="C13991" t="str">
        <f t="shared" si="2512"/>
        <v>72077001</v>
      </c>
      <c r="D13991">
        <v>89301152</v>
      </c>
      <c r="E13991" t="str">
        <f>"6951104941"</f>
        <v>6951104941</v>
      </c>
      <c r="F13991" s="1">
        <v>45246</v>
      </c>
      <c r="G13991" t="str">
        <f>"91465"</f>
        <v>91465</v>
      </c>
      <c r="H13991">
        <v>1</v>
      </c>
      <c r="I13991">
        <v>1412</v>
      </c>
      <c r="J13991">
        <v>0</v>
      </c>
      <c r="K13991" t="str">
        <f t="shared" si="2513"/>
        <v>813</v>
      </c>
      <c r="L13991">
        <v>1186.08</v>
      </c>
    </row>
    <row r="13992" spans="1:12" x14ac:dyDescent="0.25">
      <c r="A13992" t="str">
        <f t="shared" si="2506"/>
        <v>89301000</v>
      </c>
      <c r="B13992" t="str">
        <f t="shared" si="2511"/>
        <v>72077000</v>
      </c>
      <c r="C13992" t="str">
        <f t="shared" si="2512"/>
        <v>72077001</v>
      </c>
      <c r="D13992">
        <v>89301152</v>
      </c>
      <c r="E13992" t="str">
        <f>"7602155836"</f>
        <v>7602155836</v>
      </c>
      <c r="F13992" s="1">
        <v>45240</v>
      </c>
      <c r="G13992" t="str">
        <f>"91197"</f>
        <v>91197</v>
      </c>
      <c r="H13992">
        <v>1</v>
      </c>
      <c r="I13992">
        <v>1048</v>
      </c>
      <c r="J13992">
        <v>0</v>
      </c>
      <c r="K13992" t="str">
        <f t="shared" si="2513"/>
        <v>813</v>
      </c>
      <c r="L13992">
        <v>880.32</v>
      </c>
    </row>
    <row r="13993" spans="1:12" x14ac:dyDescent="0.25">
      <c r="A13993" t="str">
        <f t="shared" si="2506"/>
        <v>89301000</v>
      </c>
      <c r="B13993" t="str">
        <f t="shared" si="2511"/>
        <v>72077000</v>
      </c>
      <c r="C13993" t="str">
        <f t="shared" si="2512"/>
        <v>72077001</v>
      </c>
      <c r="D13993">
        <v>89301152</v>
      </c>
      <c r="E13993" t="str">
        <f>"7602155836"</f>
        <v>7602155836</v>
      </c>
      <c r="F13993" s="1">
        <v>45244</v>
      </c>
      <c r="G13993" t="str">
        <f>"91465"</f>
        <v>91465</v>
      </c>
      <c r="H13993">
        <v>1</v>
      </c>
      <c r="I13993">
        <v>1412</v>
      </c>
      <c r="J13993">
        <v>0</v>
      </c>
      <c r="K13993" t="str">
        <f t="shared" si="2513"/>
        <v>813</v>
      </c>
      <c r="L13993">
        <v>1186.08</v>
      </c>
    </row>
    <row r="13994" spans="1:12" x14ac:dyDescent="0.25">
      <c r="A13994" t="str">
        <f t="shared" si="2506"/>
        <v>89301000</v>
      </c>
      <c r="B13994" t="str">
        <f t="shared" si="2511"/>
        <v>72077000</v>
      </c>
      <c r="C13994" t="str">
        <f t="shared" si="2512"/>
        <v>72077001</v>
      </c>
      <c r="D13994">
        <v>89301152</v>
      </c>
      <c r="E13994" t="str">
        <f>"7103054508"</f>
        <v>7103054508</v>
      </c>
      <c r="F13994" s="1">
        <v>45245</v>
      </c>
      <c r="G13994" t="str">
        <f>"91359"</f>
        <v>91359</v>
      </c>
      <c r="H13994">
        <v>1</v>
      </c>
      <c r="I13994">
        <v>205</v>
      </c>
      <c r="J13994">
        <v>0</v>
      </c>
      <c r="K13994" t="str">
        <f t="shared" si="2513"/>
        <v>813</v>
      </c>
      <c r="L13994">
        <v>172.2</v>
      </c>
    </row>
    <row r="13995" spans="1:12" x14ac:dyDescent="0.25">
      <c r="A13995" t="str">
        <f t="shared" si="2506"/>
        <v>89301000</v>
      </c>
      <c r="B13995" t="str">
        <f t="shared" si="2511"/>
        <v>72077000</v>
      </c>
      <c r="C13995" t="str">
        <f t="shared" si="2512"/>
        <v>72077001</v>
      </c>
      <c r="D13995">
        <v>89301152</v>
      </c>
      <c r="E13995" t="str">
        <f>"7103054508"</f>
        <v>7103054508</v>
      </c>
      <c r="F13995" s="1">
        <v>45245</v>
      </c>
      <c r="G13995" t="str">
        <f>"91361"</f>
        <v>91361</v>
      </c>
      <c r="H13995">
        <v>1</v>
      </c>
      <c r="I13995">
        <v>444</v>
      </c>
      <c r="J13995">
        <v>0</v>
      </c>
      <c r="K13995" t="str">
        <f t="shared" si="2513"/>
        <v>813</v>
      </c>
      <c r="L13995">
        <v>372.96</v>
      </c>
    </row>
    <row r="13996" spans="1:12" x14ac:dyDescent="0.25">
      <c r="A13996" t="str">
        <f t="shared" si="2506"/>
        <v>89301000</v>
      </c>
      <c r="B13996" t="str">
        <f t="shared" si="2511"/>
        <v>72077000</v>
      </c>
      <c r="C13996" t="str">
        <f t="shared" si="2512"/>
        <v>72077001</v>
      </c>
      <c r="D13996">
        <v>89301152</v>
      </c>
      <c r="E13996" t="str">
        <f>"7103054508"</f>
        <v>7103054508</v>
      </c>
      <c r="F13996" s="1">
        <v>45245</v>
      </c>
      <c r="G13996" t="str">
        <f>"91577"</f>
        <v>91577</v>
      </c>
      <c r="H13996">
        <v>1</v>
      </c>
      <c r="I13996">
        <v>398</v>
      </c>
      <c r="J13996">
        <v>0</v>
      </c>
      <c r="K13996" t="str">
        <f t="shared" si="2513"/>
        <v>813</v>
      </c>
      <c r="L13996">
        <v>334.32</v>
      </c>
    </row>
    <row r="13997" spans="1:12" x14ac:dyDescent="0.25">
      <c r="A13997" t="str">
        <f t="shared" si="2506"/>
        <v>89301000</v>
      </c>
      <c r="B13997" t="str">
        <f t="shared" si="2511"/>
        <v>72077000</v>
      </c>
      <c r="C13997" t="str">
        <f t="shared" si="2512"/>
        <v>72077001</v>
      </c>
      <c r="D13997">
        <v>89301152</v>
      </c>
      <c r="E13997" t="str">
        <f>"7103054508"</f>
        <v>7103054508</v>
      </c>
      <c r="F13997" s="1">
        <v>45251</v>
      </c>
      <c r="G13997" t="str">
        <f>"91485"</f>
        <v>91485</v>
      </c>
      <c r="H13997">
        <v>1</v>
      </c>
      <c r="I13997">
        <v>268</v>
      </c>
      <c r="J13997">
        <v>0</v>
      </c>
      <c r="K13997" t="str">
        <f t="shared" si="2513"/>
        <v>813</v>
      </c>
      <c r="L13997">
        <v>225.12</v>
      </c>
    </row>
    <row r="13998" spans="1:12" x14ac:dyDescent="0.25">
      <c r="A13998" t="str">
        <f t="shared" si="2506"/>
        <v>89301000</v>
      </c>
      <c r="B13998" t="str">
        <f t="shared" si="2511"/>
        <v>72077000</v>
      </c>
      <c r="C13998" t="str">
        <f t="shared" si="2512"/>
        <v>72077001</v>
      </c>
      <c r="D13998">
        <v>89301152</v>
      </c>
      <c r="E13998" t="str">
        <f>"8058295311"</f>
        <v>8058295311</v>
      </c>
      <c r="F13998" s="1">
        <v>45245</v>
      </c>
      <c r="G13998" t="str">
        <f>"91197"</f>
        <v>91197</v>
      </c>
      <c r="H13998">
        <v>1</v>
      </c>
      <c r="I13998">
        <v>1048</v>
      </c>
      <c r="J13998">
        <v>0</v>
      </c>
      <c r="K13998" t="str">
        <f t="shared" si="2513"/>
        <v>813</v>
      </c>
      <c r="L13998">
        <v>880.32</v>
      </c>
    </row>
    <row r="13999" spans="1:12" x14ac:dyDescent="0.25">
      <c r="A13999" t="str">
        <f t="shared" si="2506"/>
        <v>89301000</v>
      </c>
      <c r="B13999" t="str">
        <f t="shared" si="2511"/>
        <v>72077000</v>
      </c>
      <c r="C13999" t="str">
        <f t="shared" si="2512"/>
        <v>72077001</v>
      </c>
      <c r="D13999">
        <v>89301152</v>
      </c>
      <c r="E13999" t="str">
        <f>"8058295311"</f>
        <v>8058295311</v>
      </c>
      <c r="F13999" s="1">
        <v>45246</v>
      </c>
      <c r="G13999" t="str">
        <f>"91465"</f>
        <v>91465</v>
      </c>
      <c r="H13999">
        <v>1</v>
      </c>
      <c r="I13999">
        <v>1412</v>
      </c>
      <c r="J13999">
        <v>0</v>
      </c>
      <c r="K13999" t="str">
        <f t="shared" si="2513"/>
        <v>813</v>
      </c>
      <c r="L13999">
        <v>1186.08</v>
      </c>
    </row>
    <row r="14000" spans="1:12" x14ac:dyDescent="0.25">
      <c r="A14000" t="str">
        <f t="shared" si="2506"/>
        <v>89301000</v>
      </c>
      <c r="B14000" t="str">
        <f t="shared" si="2511"/>
        <v>72077000</v>
      </c>
      <c r="C14000" t="str">
        <f t="shared" si="2512"/>
        <v>72077001</v>
      </c>
      <c r="D14000">
        <v>89301152</v>
      </c>
      <c r="E14000" t="str">
        <f>"8755285770"</f>
        <v>8755285770</v>
      </c>
      <c r="F14000" s="1">
        <v>45245</v>
      </c>
      <c r="G14000" t="str">
        <f>"91197"</f>
        <v>91197</v>
      </c>
      <c r="H14000">
        <v>1</v>
      </c>
      <c r="I14000">
        <v>1048</v>
      </c>
      <c r="J14000">
        <v>0</v>
      </c>
      <c r="K14000" t="str">
        <f t="shared" si="2513"/>
        <v>813</v>
      </c>
      <c r="L14000">
        <v>880.32</v>
      </c>
    </row>
    <row r="14001" spans="1:12" x14ac:dyDescent="0.25">
      <c r="A14001" t="str">
        <f t="shared" si="2506"/>
        <v>89301000</v>
      </c>
      <c r="B14001" t="str">
        <f t="shared" si="2511"/>
        <v>72077000</v>
      </c>
      <c r="C14001" t="str">
        <f t="shared" si="2512"/>
        <v>72077001</v>
      </c>
      <c r="D14001">
        <v>89301152</v>
      </c>
      <c r="E14001" t="str">
        <f>"8755285770"</f>
        <v>8755285770</v>
      </c>
      <c r="F14001" s="1">
        <v>45246</v>
      </c>
      <c r="G14001" t="str">
        <f>"91465"</f>
        <v>91465</v>
      </c>
      <c r="H14001">
        <v>1</v>
      </c>
      <c r="I14001">
        <v>1412</v>
      </c>
      <c r="J14001">
        <v>0</v>
      </c>
      <c r="K14001" t="str">
        <f t="shared" si="2513"/>
        <v>813</v>
      </c>
      <c r="L14001">
        <v>1186.08</v>
      </c>
    </row>
    <row r="14002" spans="1:12" x14ac:dyDescent="0.25">
      <c r="A14002" t="str">
        <f t="shared" si="2506"/>
        <v>89301000</v>
      </c>
      <c r="B14002" t="str">
        <f t="shared" si="2511"/>
        <v>72077000</v>
      </c>
      <c r="C14002" t="str">
        <f t="shared" si="2512"/>
        <v>72077001</v>
      </c>
      <c r="D14002">
        <v>89301152</v>
      </c>
      <c r="E14002" t="str">
        <f>"8903245725"</f>
        <v>8903245725</v>
      </c>
      <c r="F14002" s="1">
        <v>45245</v>
      </c>
      <c r="G14002" t="str">
        <f>"91197"</f>
        <v>91197</v>
      </c>
      <c r="H14002">
        <v>1</v>
      </c>
      <c r="I14002">
        <v>1048</v>
      </c>
      <c r="J14002">
        <v>0</v>
      </c>
      <c r="K14002" t="str">
        <f t="shared" si="2513"/>
        <v>813</v>
      </c>
      <c r="L14002">
        <v>880.32</v>
      </c>
    </row>
    <row r="14003" spans="1:12" x14ac:dyDescent="0.25">
      <c r="A14003" t="str">
        <f t="shared" si="2506"/>
        <v>89301000</v>
      </c>
      <c r="B14003" t="str">
        <f t="shared" si="2511"/>
        <v>72077000</v>
      </c>
      <c r="C14003" t="str">
        <f t="shared" si="2512"/>
        <v>72077001</v>
      </c>
      <c r="D14003">
        <v>89301152</v>
      </c>
      <c r="E14003" t="str">
        <f>"8903245725"</f>
        <v>8903245725</v>
      </c>
      <c r="F14003" s="1">
        <v>45246</v>
      </c>
      <c r="G14003" t="str">
        <f>"91465"</f>
        <v>91465</v>
      </c>
      <c r="H14003">
        <v>1</v>
      </c>
      <c r="I14003">
        <v>1412</v>
      </c>
      <c r="J14003">
        <v>0</v>
      </c>
      <c r="K14003" t="str">
        <f t="shared" si="2513"/>
        <v>813</v>
      </c>
      <c r="L14003">
        <v>1186.08</v>
      </c>
    </row>
    <row r="14004" spans="1:12" x14ac:dyDescent="0.25">
      <c r="A14004" t="str">
        <f t="shared" si="2506"/>
        <v>89301000</v>
      </c>
      <c r="B14004" t="str">
        <f t="shared" si="2511"/>
        <v>72077000</v>
      </c>
      <c r="C14004" t="str">
        <f t="shared" si="2512"/>
        <v>72077001</v>
      </c>
      <c r="D14004">
        <v>89301107</v>
      </c>
      <c r="E14004" t="str">
        <f>"2008030079"</f>
        <v>2008030079</v>
      </c>
      <c r="F14004" s="1">
        <v>45250</v>
      </c>
      <c r="G14004" t="str">
        <f>"91171"</f>
        <v>91171</v>
      </c>
      <c r="H14004">
        <v>1</v>
      </c>
      <c r="I14004">
        <v>362</v>
      </c>
      <c r="J14004">
        <v>0</v>
      </c>
      <c r="K14004" t="str">
        <f t="shared" si="2513"/>
        <v>813</v>
      </c>
      <c r="L14004">
        <v>304.08</v>
      </c>
    </row>
    <row r="14005" spans="1:12" x14ac:dyDescent="0.25">
      <c r="A14005" t="str">
        <f t="shared" si="2506"/>
        <v>89301000</v>
      </c>
      <c r="B14005" t="str">
        <f t="shared" si="2511"/>
        <v>72077000</v>
      </c>
      <c r="C14005" t="str">
        <f t="shared" si="2512"/>
        <v>72077001</v>
      </c>
      <c r="D14005">
        <v>89301107</v>
      </c>
      <c r="E14005" t="str">
        <f>"2008030079"</f>
        <v>2008030079</v>
      </c>
      <c r="F14005" s="1">
        <v>45250</v>
      </c>
      <c r="G14005" t="str">
        <f>"91171"</f>
        <v>91171</v>
      </c>
      <c r="H14005">
        <v>1</v>
      </c>
      <c r="I14005">
        <v>362</v>
      </c>
      <c r="J14005">
        <v>0</v>
      </c>
      <c r="K14005" t="str">
        <f t="shared" si="2513"/>
        <v>813</v>
      </c>
      <c r="L14005">
        <v>304.08</v>
      </c>
    </row>
    <row r="14006" spans="1:12" x14ac:dyDescent="0.25">
      <c r="A14006" t="str">
        <f t="shared" si="2506"/>
        <v>89301000</v>
      </c>
      <c r="B14006" t="str">
        <f t="shared" si="2511"/>
        <v>72077000</v>
      </c>
      <c r="C14006" t="str">
        <f t="shared" si="2512"/>
        <v>72077001</v>
      </c>
      <c r="D14006">
        <v>89301107</v>
      </c>
      <c r="E14006" t="str">
        <f>"2110150911"</f>
        <v>2110150911</v>
      </c>
      <c r="F14006" s="1">
        <v>45250</v>
      </c>
      <c r="G14006" t="str">
        <f>"91171"</f>
        <v>91171</v>
      </c>
      <c r="H14006">
        <v>1</v>
      </c>
      <c r="I14006">
        <v>362</v>
      </c>
      <c r="J14006">
        <v>0</v>
      </c>
      <c r="K14006" t="str">
        <f t="shared" si="2513"/>
        <v>813</v>
      </c>
      <c r="L14006">
        <v>304.08</v>
      </c>
    </row>
    <row r="14007" spans="1:12" x14ac:dyDescent="0.25">
      <c r="A14007" t="str">
        <f t="shared" si="2506"/>
        <v>89301000</v>
      </c>
      <c r="B14007" t="str">
        <f t="shared" si="2511"/>
        <v>72077000</v>
      </c>
      <c r="C14007" t="str">
        <f t="shared" si="2512"/>
        <v>72077001</v>
      </c>
      <c r="D14007">
        <v>89301107</v>
      </c>
      <c r="E14007" t="str">
        <f>"2110150911"</f>
        <v>2110150911</v>
      </c>
      <c r="F14007" s="1">
        <v>45250</v>
      </c>
      <c r="G14007" t="str">
        <f>"91171"</f>
        <v>91171</v>
      </c>
      <c r="H14007">
        <v>1</v>
      </c>
      <c r="I14007">
        <v>362</v>
      </c>
      <c r="J14007">
        <v>0</v>
      </c>
      <c r="K14007" t="str">
        <f t="shared" si="2513"/>
        <v>813</v>
      </c>
      <c r="L14007">
        <v>304.08</v>
      </c>
    </row>
    <row r="14008" spans="1:12" x14ac:dyDescent="0.25">
      <c r="A14008" t="str">
        <f t="shared" si="2506"/>
        <v>89301000</v>
      </c>
      <c r="B14008" t="str">
        <f t="shared" si="2511"/>
        <v>72077000</v>
      </c>
      <c r="C14008" t="str">
        <f t="shared" si="2512"/>
        <v>72077001</v>
      </c>
      <c r="D14008">
        <v>89301107</v>
      </c>
      <c r="E14008" t="str">
        <f>"2110150911"</f>
        <v>2110150911</v>
      </c>
      <c r="F14008" s="1">
        <v>45250</v>
      </c>
      <c r="G14008" t="str">
        <f>"91171"</f>
        <v>91171</v>
      </c>
      <c r="H14008">
        <v>1</v>
      </c>
      <c r="I14008">
        <v>362</v>
      </c>
      <c r="J14008">
        <v>0</v>
      </c>
      <c r="K14008" t="str">
        <f t="shared" si="2513"/>
        <v>813</v>
      </c>
      <c r="L14008">
        <v>304.08</v>
      </c>
    </row>
    <row r="14009" spans="1:12" x14ac:dyDescent="0.25">
      <c r="A14009" t="str">
        <f t="shared" si="2506"/>
        <v>89301000</v>
      </c>
      <c r="B14009" t="str">
        <f t="shared" si="2511"/>
        <v>72077000</v>
      </c>
      <c r="C14009" t="str">
        <f t="shared" si="2512"/>
        <v>72077001</v>
      </c>
      <c r="D14009">
        <v>89301152</v>
      </c>
      <c r="E14009" t="str">
        <f>"7355195760"</f>
        <v>7355195760</v>
      </c>
      <c r="F14009" s="1">
        <v>45245</v>
      </c>
      <c r="G14009" t="str">
        <f>"91197"</f>
        <v>91197</v>
      </c>
      <c r="H14009">
        <v>1</v>
      </c>
      <c r="I14009">
        <v>1048</v>
      </c>
      <c r="J14009">
        <v>0</v>
      </c>
      <c r="K14009" t="str">
        <f t="shared" si="2513"/>
        <v>813</v>
      </c>
      <c r="L14009">
        <v>880.32</v>
      </c>
    </row>
    <row r="14010" spans="1:12" x14ac:dyDescent="0.25">
      <c r="A14010" t="str">
        <f t="shared" si="2506"/>
        <v>89301000</v>
      </c>
      <c r="B14010" t="str">
        <f t="shared" si="2511"/>
        <v>72077000</v>
      </c>
      <c r="C14010" t="str">
        <f t="shared" si="2512"/>
        <v>72077001</v>
      </c>
      <c r="D14010">
        <v>89301152</v>
      </c>
      <c r="E14010" t="str">
        <f>"7355195760"</f>
        <v>7355195760</v>
      </c>
      <c r="F14010" s="1">
        <v>45246</v>
      </c>
      <c r="G14010" t="str">
        <f>"91465"</f>
        <v>91465</v>
      </c>
      <c r="H14010">
        <v>1</v>
      </c>
      <c r="I14010">
        <v>1412</v>
      </c>
      <c r="J14010">
        <v>0</v>
      </c>
      <c r="K14010" t="str">
        <f t="shared" si="2513"/>
        <v>813</v>
      </c>
      <c r="L14010">
        <v>1186.08</v>
      </c>
    </row>
    <row r="14011" spans="1:12" x14ac:dyDescent="0.25">
      <c r="A14011" t="str">
        <f t="shared" si="2506"/>
        <v>89301000</v>
      </c>
      <c r="B14011" t="str">
        <f t="shared" si="2511"/>
        <v>72077000</v>
      </c>
      <c r="C14011" t="str">
        <f t="shared" si="2512"/>
        <v>72077001</v>
      </c>
      <c r="D14011">
        <v>89301152</v>
      </c>
      <c r="E14011" t="str">
        <f>"9657036158"</f>
        <v>9657036158</v>
      </c>
      <c r="F14011" s="1">
        <v>45245</v>
      </c>
      <c r="G14011" t="str">
        <f>"91197"</f>
        <v>91197</v>
      </c>
      <c r="H14011">
        <v>1</v>
      </c>
      <c r="I14011">
        <v>1048</v>
      </c>
      <c r="J14011">
        <v>0</v>
      </c>
      <c r="K14011" t="str">
        <f t="shared" si="2513"/>
        <v>813</v>
      </c>
      <c r="L14011">
        <v>880.32</v>
      </c>
    </row>
    <row r="14012" spans="1:12" x14ac:dyDescent="0.25">
      <c r="A14012" t="str">
        <f t="shared" si="2506"/>
        <v>89301000</v>
      </c>
      <c r="B14012" t="str">
        <f t="shared" si="2511"/>
        <v>72077000</v>
      </c>
      <c r="C14012" t="str">
        <f t="shared" si="2512"/>
        <v>72077001</v>
      </c>
      <c r="D14012">
        <v>89301152</v>
      </c>
      <c r="E14012" t="str">
        <f>"9657036158"</f>
        <v>9657036158</v>
      </c>
      <c r="F14012" s="1">
        <v>45246</v>
      </c>
      <c r="G14012" t="str">
        <f>"91465"</f>
        <v>91465</v>
      </c>
      <c r="H14012">
        <v>1</v>
      </c>
      <c r="I14012">
        <v>1412</v>
      </c>
      <c r="J14012">
        <v>0</v>
      </c>
      <c r="K14012" t="str">
        <f t="shared" si="2513"/>
        <v>813</v>
      </c>
      <c r="L14012">
        <v>1186.08</v>
      </c>
    </row>
    <row r="14013" spans="1:12" x14ac:dyDescent="0.25">
      <c r="A14013" t="str">
        <f t="shared" si="2506"/>
        <v>89301000</v>
      </c>
      <c r="B14013" t="str">
        <f t="shared" si="2511"/>
        <v>72077000</v>
      </c>
      <c r="C14013" t="str">
        <f t="shared" si="2512"/>
        <v>72077001</v>
      </c>
      <c r="D14013">
        <v>89301152</v>
      </c>
      <c r="E14013" t="str">
        <f>"9253175448"</f>
        <v>9253175448</v>
      </c>
      <c r="F14013" s="1">
        <v>45251</v>
      </c>
      <c r="G14013" t="str">
        <f>"91485"</f>
        <v>91485</v>
      </c>
      <c r="H14013">
        <v>1</v>
      </c>
      <c r="I14013">
        <v>268</v>
      </c>
      <c r="J14013">
        <v>0</v>
      </c>
      <c r="K14013" t="str">
        <f t="shared" si="2513"/>
        <v>813</v>
      </c>
      <c r="L14013">
        <v>225.12</v>
      </c>
    </row>
    <row r="14014" spans="1:12" x14ac:dyDescent="0.25">
      <c r="A14014" t="str">
        <f t="shared" si="2506"/>
        <v>89301000</v>
      </c>
      <c r="B14014" t="str">
        <f t="shared" si="2511"/>
        <v>72077000</v>
      </c>
      <c r="C14014" t="str">
        <f t="shared" si="2512"/>
        <v>72077001</v>
      </c>
      <c r="D14014">
        <v>89301152</v>
      </c>
      <c r="E14014" t="str">
        <f>"9253175448"</f>
        <v>9253175448</v>
      </c>
      <c r="F14014" s="1">
        <v>45252</v>
      </c>
      <c r="G14014" t="str">
        <f>"91175"</f>
        <v>91175</v>
      </c>
      <c r="H14014">
        <v>1</v>
      </c>
      <c r="I14014">
        <v>362</v>
      </c>
      <c r="J14014">
        <v>0</v>
      </c>
      <c r="K14014" t="str">
        <f t="shared" si="2513"/>
        <v>813</v>
      </c>
      <c r="L14014">
        <v>304.08</v>
      </c>
    </row>
    <row r="14015" spans="1:12" x14ac:dyDescent="0.25">
      <c r="A14015" t="str">
        <f t="shared" si="2506"/>
        <v>89301000</v>
      </c>
      <c r="B14015" t="str">
        <f t="shared" si="2511"/>
        <v>72077000</v>
      </c>
      <c r="C14015" t="str">
        <f t="shared" si="2512"/>
        <v>72077001</v>
      </c>
      <c r="D14015">
        <v>89301152</v>
      </c>
      <c r="E14015" t="str">
        <f>"9253175448"</f>
        <v>9253175448</v>
      </c>
      <c r="F14015" s="1">
        <v>45252</v>
      </c>
      <c r="G14015" t="str">
        <f>"91171"</f>
        <v>91171</v>
      </c>
      <c r="H14015">
        <v>1</v>
      </c>
      <c r="I14015">
        <v>362</v>
      </c>
      <c r="J14015">
        <v>0</v>
      </c>
      <c r="K14015" t="str">
        <f t="shared" si="2513"/>
        <v>813</v>
      </c>
      <c r="L14015">
        <v>304.08</v>
      </c>
    </row>
    <row r="14016" spans="1:12" x14ac:dyDescent="0.25">
      <c r="A14016" t="str">
        <f t="shared" si="2506"/>
        <v>89301000</v>
      </c>
      <c r="B14016" t="str">
        <f t="shared" si="2511"/>
        <v>72077000</v>
      </c>
      <c r="C14016" t="str">
        <f t="shared" si="2512"/>
        <v>72077001</v>
      </c>
      <c r="D14016">
        <v>89301152</v>
      </c>
      <c r="E14016" t="str">
        <f>"9253175448"</f>
        <v>9253175448</v>
      </c>
      <c r="F14016" s="1">
        <v>45252</v>
      </c>
      <c r="G14016" t="str">
        <f>"91577"</f>
        <v>91577</v>
      </c>
      <c r="H14016">
        <v>1</v>
      </c>
      <c r="I14016">
        <v>398</v>
      </c>
      <c r="J14016">
        <v>0</v>
      </c>
      <c r="K14016" t="str">
        <f t="shared" si="2513"/>
        <v>813</v>
      </c>
      <c r="L14016">
        <v>334.32</v>
      </c>
    </row>
    <row r="14017" spans="1:12" x14ac:dyDescent="0.25">
      <c r="A14017" t="str">
        <f t="shared" si="2506"/>
        <v>89301000</v>
      </c>
      <c r="B14017" t="str">
        <f t="shared" si="2511"/>
        <v>72077000</v>
      </c>
      <c r="C14017" t="str">
        <f t="shared" si="2512"/>
        <v>72077001</v>
      </c>
      <c r="D14017">
        <v>89301152</v>
      </c>
      <c r="E14017" t="str">
        <f t="shared" ref="E14017:E14022" si="2514">"8562025373"</f>
        <v>8562025373</v>
      </c>
      <c r="F14017" s="1">
        <v>45251</v>
      </c>
      <c r="G14017" t="str">
        <f>"91465"</f>
        <v>91465</v>
      </c>
      <c r="H14017">
        <v>1</v>
      </c>
      <c r="I14017">
        <v>1412</v>
      </c>
      <c r="J14017">
        <v>0</v>
      </c>
      <c r="K14017" t="str">
        <f t="shared" si="2513"/>
        <v>813</v>
      </c>
      <c r="L14017">
        <v>1186.08</v>
      </c>
    </row>
    <row r="14018" spans="1:12" x14ac:dyDescent="0.25">
      <c r="A14018" t="str">
        <f t="shared" ref="A14018:A14081" si="2515">"89301000"</f>
        <v>89301000</v>
      </c>
      <c r="B14018" t="str">
        <f t="shared" si="2511"/>
        <v>72077000</v>
      </c>
      <c r="C14018" t="str">
        <f t="shared" si="2512"/>
        <v>72077001</v>
      </c>
      <c r="D14018">
        <v>89301152</v>
      </c>
      <c r="E14018" t="str">
        <f t="shared" si="2514"/>
        <v>8562025373</v>
      </c>
      <c r="F14018" s="1">
        <v>45251</v>
      </c>
      <c r="G14018" t="str">
        <f>"91485"</f>
        <v>91485</v>
      </c>
      <c r="H14018">
        <v>1</v>
      </c>
      <c r="I14018">
        <v>268</v>
      </c>
      <c r="J14018">
        <v>0</v>
      </c>
      <c r="K14018" t="str">
        <f t="shared" si="2513"/>
        <v>813</v>
      </c>
      <c r="L14018">
        <v>225.12</v>
      </c>
    </row>
    <row r="14019" spans="1:12" x14ac:dyDescent="0.25">
      <c r="A14019" t="str">
        <f t="shared" si="2515"/>
        <v>89301000</v>
      </c>
      <c r="B14019" t="str">
        <f t="shared" si="2511"/>
        <v>72077000</v>
      </c>
      <c r="C14019" t="str">
        <f t="shared" si="2512"/>
        <v>72077001</v>
      </c>
      <c r="D14019">
        <v>89301152</v>
      </c>
      <c r="E14019" t="str">
        <f t="shared" si="2514"/>
        <v>8562025373</v>
      </c>
      <c r="F14019" s="1">
        <v>45252</v>
      </c>
      <c r="G14019" t="str">
        <f>"91175"</f>
        <v>91175</v>
      </c>
      <c r="H14019">
        <v>1</v>
      </c>
      <c r="I14019">
        <v>362</v>
      </c>
      <c r="J14019">
        <v>0</v>
      </c>
      <c r="K14019" t="str">
        <f t="shared" si="2513"/>
        <v>813</v>
      </c>
      <c r="L14019">
        <v>304.08</v>
      </c>
    </row>
    <row r="14020" spans="1:12" x14ac:dyDescent="0.25">
      <c r="A14020" t="str">
        <f t="shared" si="2515"/>
        <v>89301000</v>
      </c>
      <c r="B14020" t="str">
        <f t="shared" si="2511"/>
        <v>72077000</v>
      </c>
      <c r="C14020" t="str">
        <f t="shared" si="2512"/>
        <v>72077001</v>
      </c>
      <c r="D14020">
        <v>89301152</v>
      </c>
      <c r="E14020" t="str">
        <f t="shared" si="2514"/>
        <v>8562025373</v>
      </c>
      <c r="F14020" s="1">
        <v>45252</v>
      </c>
      <c r="G14020" t="str">
        <f>"91171"</f>
        <v>91171</v>
      </c>
      <c r="H14020">
        <v>1</v>
      </c>
      <c r="I14020">
        <v>362</v>
      </c>
      <c r="J14020">
        <v>0</v>
      </c>
      <c r="K14020" t="str">
        <f t="shared" si="2513"/>
        <v>813</v>
      </c>
      <c r="L14020">
        <v>304.08</v>
      </c>
    </row>
    <row r="14021" spans="1:12" x14ac:dyDescent="0.25">
      <c r="A14021" t="str">
        <f t="shared" si="2515"/>
        <v>89301000</v>
      </c>
      <c r="B14021" t="str">
        <f t="shared" ref="B14021:B14043" si="2516">"72077000"</f>
        <v>72077000</v>
      </c>
      <c r="C14021" t="str">
        <f t="shared" ref="C14021:C14041" si="2517">"72077001"</f>
        <v>72077001</v>
      </c>
      <c r="D14021">
        <v>89301152</v>
      </c>
      <c r="E14021" t="str">
        <f t="shared" si="2514"/>
        <v>8562025373</v>
      </c>
      <c r="F14021" s="1">
        <v>45252</v>
      </c>
      <c r="G14021" t="str">
        <f>"91577"</f>
        <v>91577</v>
      </c>
      <c r="H14021">
        <v>1</v>
      </c>
      <c r="I14021">
        <v>398</v>
      </c>
      <c r="J14021">
        <v>0</v>
      </c>
      <c r="K14021" t="str">
        <f t="shared" ref="K14021:K14041" si="2518">"813"</f>
        <v>813</v>
      </c>
      <c r="L14021">
        <v>334.32</v>
      </c>
    </row>
    <row r="14022" spans="1:12" x14ac:dyDescent="0.25">
      <c r="A14022" t="str">
        <f t="shared" si="2515"/>
        <v>89301000</v>
      </c>
      <c r="B14022" t="str">
        <f t="shared" si="2516"/>
        <v>72077000</v>
      </c>
      <c r="C14022" t="str">
        <f t="shared" si="2517"/>
        <v>72077001</v>
      </c>
      <c r="D14022">
        <v>89301152</v>
      </c>
      <c r="E14022" t="str">
        <f t="shared" si="2514"/>
        <v>8562025373</v>
      </c>
      <c r="F14022" s="1">
        <v>45252</v>
      </c>
      <c r="G14022" t="str">
        <f>"91197"</f>
        <v>91197</v>
      </c>
      <c r="H14022">
        <v>1</v>
      </c>
      <c r="I14022">
        <v>1048</v>
      </c>
      <c r="J14022">
        <v>0</v>
      </c>
      <c r="K14022" t="str">
        <f t="shared" si="2518"/>
        <v>813</v>
      </c>
      <c r="L14022">
        <v>880.32</v>
      </c>
    </row>
    <row r="14023" spans="1:12" x14ac:dyDescent="0.25">
      <c r="A14023" t="str">
        <f t="shared" si="2515"/>
        <v>89301000</v>
      </c>
      <c r="B14023" t="str">
        <f t="shared" si="2516"/>
        <v>72077000</v>
      </c>
      <c r="C14023" t="str">
        <f t="shared" si="2517"/>
        <v>72077001</v>
      </c>
      <c r="D14023">
        <v>89301152</v>
      </c>
      <c r="E14023" t="str">
        <f>"9355115704"</f>
        <v>9355115704</v>
      </c>
      <c r="F14023" s="1">
        <v>45251</v>
      </c>
      <c r="G14023" t="str">
        <f>"91465"</f>
        <v>91465</v>
      </c>
      <c r="H14023">
        <v>1</v>
      </c>
      <c r="I14023">
        <v>1412</v>
      </c>
      <c r="J14023">
        <v>0</v>
      </c>
      <c r="K14023" t="str">
        <f t="shared" si="2518"/>
        <v>813</v>
      </c>
      <c r="L14023">
        <v>1186.08</v>
      </c>
    </row>
    <row r="14024" spans="1:12" x14ac:dyDescent="0.25">
      <c r="A14024" t="str">
        <f t="shared" si="2515"/>
        <v>89301000</v>
      </c>
      <c r="B14024" t="str">
        <f t="shared" si="2516"/>
        <v>72077000</v>
      </c>
      <c r="C14024" t="str">
        <f t="shared" si="2517"/>
        <v>72077001</v>
      </c>
      <c r="D14024">
        <v>89301152</v>
      </c>
      <c r="E14024" t="str">
        <f>"9355115704"</f>
        <v>9355115704</v>
      </c>
      <c r="F14024" s="1">
        <v>45252</v>
      </c>
      <c r="G14024" t="str">
        <f>"91197"</f>
        <v>91197</v>
      </c>
      <c r="H14024">
        <v>1</v>
      </c>
      <c r="I14024">
        <v>1048</v>
      </c>
      <c r="J14024">
        <v>0</v>
      </c>
      <c r="K14024" t="str">
        <f t="shared" si="2518"/>
        <v>813</v>
      </c>
      <c r="L14024">
        <v>880.32</v>
      </c>
    </row>
    <row r="14025" spans="1:12" x14ac:dyDescent="0.25">
      <c r="A14025" t="str">
        <f t="shared" si="2515"/>
        <v>89301000</v>
      </c>
      <c r="B14025" t="str">
        <f t="shared" si="2516"/>
        <v>72077000</v>
      </c>
      <c r="C14025" t="str">
        <f t="shared" si="2517"/>
        <v>72077001</v>
      </c>
      <c r="D14025">
        <v>89301152</v>
      </c>
      <c r="E14025" t="str">
        <f>"8658125773"</f>
        <v>8658125773</v>
      </c>
      <c r="F14025" s="1">
        <v>45252</v>
      </c>
      <c r="G14025" t="str">
        <f>"91359"</f>
        <v>91359</v>
      </c>
      <c r="H14025">
        <v>1</v>
      </c>
      <c r="I14025">
        <v>205</v>
      </c>
      <c r="J14025">
        <v>0</v>
      </c>
      <c r="K14025" t="str">
        <f t="shared" si="2518"/>
        <v>813</v>
      </c>
      <c r="L14025">
        <v>172.2</v>
      </c>
    </row>
    <row r="14026" spans="1:12" x14ac:dyDescent="0.25">
      <c r="A14026" t="str">
        <f t="shared" si="2515"/>
        <v>89301000</v>
      </c>
      <c r="B14026" t="str">
        <f t="shared" si="2516"/>
        <v>72077000</v>
      </c>
      <c r="C14026" t="str">
        <f t="shared" si="2517"/>
        <v>72077001</v>
      </c>
      <c r="D14026">
        <v>89301152</v>
      </c>
      <c r="E14026" t="str">
        <f>"8658125773"</f>
        <v>8658125773</v>
      </c>
      <c r="F14026" s="1">
        <v>45252</v>
      </c>
      <c r="G14026" t="str">
        <f>"91361"</f>
        <v>91361</v>
      </c>
      <c r="H14026">
        <v>1</v>
      </c>
      <c r="I14026">
        <v>444</v>
      </c>
      <c r="J14026">
        <v>0</v>
      </c>
      <c r="K14026" t="str">
        <f t="shared" si="2518"/>
        <v>813</v>
      </c>
      <c r="L14026">
        <v>372.96</v>
      </c>
    </row>
    <row r="14027" spans="1:12" x14ac:dyDescent="0.25">
      <c r="A14027" t="str">
        <f t="shared" si="2515"/>
        <v>89301000</v>
      </c>
      <c r="B14027" t="str">
        <f t="shared" si="2516"/>
        <v>72077000</v>
      </c>
      <c r="C14027" t="str">
        <f t="shared" si="2517"/>
        <v>72077001</v>
      </c>
      <c r="D14027">
        <v>89301152</v>
      </c>
      <c r="E14027" t="str">
        <f>"8658125773"</f>
        <v>8658125773</v>
      </c>
      <c r="F14027" s="1">
        <v>45252</v>
      </c>
      <c r="G14027" t="str">
        <f>"91577"</f>
        <v>91577</v>
      </c>
      <c r="H14027">
        <v>1</v>
      </c>
      <c r="I14027">
        <v>398</v>
      </c>
      <c r="J14027">
        <v>0</v>
      </c>
      <c r="K14027" t="str">
        <f t="shared" si="2518"/>
        <v>813</v>
      </c>
      <c r="L14027">
        <v>334.32</v>
      </c>
    </row>
    <row r="14028" spans="1:12" x14ac:dyDescent="0.25">
      <c r="A14028" t="str">
        <f t="shared" si="2515"/>
        <v>89301000</v>
      </c>
      <c r="B14028" t="str">
        <f t="shared" si="2516"/>
        <v>72077000</v>
      </c>
      <c r="C14028" t="str">
        <f t="shared" si="2517"/>
        <v>72077001</v>
      </c>
      <c r="D14028">
        <v>89301152</v>
      </c>
      <c r="E14028" t="str">
        <f>"8658125773"</f>
        <v>8658125773</v>
      </c>
      <c r="F14028" s="1">
        <v>45254</v>
      </c>
      <c r="G14028" t="str">
        <f>"91485"</f>
        <v>91485</v>
      </c>
      <c r="H14028">
        <v>1</v>
      </c>
      <c r="I14028">
        <v>268</v>
      </c>
      <c r="J14028">
        <v>0</v>
      </c>
      <c r="K14028" t="str">
        <f t="shared" si="2518"/>
        <v>813</v>
      </c>
      <c r="L14028">
        <v>225.12</v>
      </c>
    </row>
    <row r="14029" spans="1:12" x14ac:dyDescent="0.25">
      <c r="A14029" t="str">
        <f t="shared" si="2515"/>
        <v>89301000</v>
      </c>
      <c r="B14029" t="str">
        <f t="shared" si="2516"/>
        <v>72077000</v>
      </c>
      <c r="C14029" t="str">
        <f t="shared" si="2517"/>
        <v>72077001</v>
      </c>
      <c r="D14029">
        <v>89301152</v>
      </c>
      <c r="E14029" t="str">
        <f>"8459165308"</f>
        <v>8459165308</v>
      </c>
      <c r="F14029" s="1">
        <v>45257</v>
      </c>
      <c r="G14029" t="str">
        <f>"91197"</f>
        <v>91197</v>
      </c>
      <c r="H14029">
        <v>1</v>
      </c>
      <c r="I14029">
        <v>1048</v>
      </c>
      <c r="J14029">
        <v>0</v>
      </c>
      <c r="K14029" t="str">
        <f t="shared" si="2518"/>
        <v>813</v>
      </c>
      <c r="L14029">
        <v>880.32</v>
      </c>
    </row>
    <row r="14030" spans="1:12" x14ac:dyDescent="0.25">
      <c r="A14030" t="str">
        <f t="shared" si="2515"/>
        <v>89301000</v>
      </c>
      <c r="B14030" t="str">
        <f t="shared" si="2516"/>
        <v>72077000</v>
      </c>
      <c r="C14030" t="str">
        <f t="shared" si="2517"/>
        <v>72077001</v>
      </c>
      <c r="D14030">
        <v>89301152</v>
      </c>
      <c r="E14030" t="str">
        <f>"8459165308"</f>
        <v>8459165308</v>
      </c>
      <c r="F14030" s="1">
        <v>45259</v>
      </c>
      <c r="G14030" t="str">
        <f>"91465"</f>
        <v>91465</v>
      </c>
      <c r="H14030">
        <v>1</v>
      </c>
      <c r="I14030">
        <v>1412</v>
      </c>
      <c r="J14030">
        <v>0</v>
      </c>
      <c r="K14030" t="str">
        <f t="shared" si="2518"/>
        <v>813</v>
      </c>
      <c r="L14030">
        <v>1186.08</v>
      </c>
    </row>
    <row r="14031" spans="1:12" x14ac:dyDescent="0.25">
      <c r="A14031" t="str">
        <f t="shared" si="2515"/>
        <v>89301000</v>
      </c>
      <c r="B14031" t="str">
        <f t="shared" si="2516"/>
        <v>72077000</v>
      </c>
      <c r="C14031" t="str">
        <f t="shared" si="2517"/>
        <v>72077001</v>
      </c>
      <c r="D14031">
        <v>89301152</v>
      </c>
      <c r="E14031" t="str">
        <f>"8455095308"</f>
        <v>8455095308</v>
      </c>
      <c r="F14031" s="1">
        <v>45257</v>
      </c>
      <c r="G14031" t="str">
        <f>"91197"</f>
        <v>91197</v>
      </c>
      <c r="H14031">
        <v>1</v>
      </c>
      <c r="I14031">
        <v>1048</v>
      </c>
      <c r="J14031">
        <v>0</v>
      </c>
      <c r="K14031" t="str">
        <f t="shared" si="2518"/>
        <v>813</v>
      </c>
      <c r="L14031">
        <v>880.32</v>
      </c>
    </row>
    <row r="14032" spans="1:12" x14ac:dyDescent="0.25">
      <c r="A14032" t="str">
        <f t="shared" si="2515"/>
        <v>89301000</v>
      </c>
      <c r="B14032" t="str">
        <f t="shared" si="2516"/>
        <v>72077000</v>
      </c>
      <c r="C14032" t="str">
        <f t="shared" si="2517"/>
        <v>72077001</v>
      </c>
      <c r="D14032">
        <v>89301152</v>
      </c>
      <c r="E14032" t="str">
        <f>"8455095308"</f>
        <v>8455095308</v>
      </c>
      <c r="F14032" s="1">
        <v>45259</v>
      </c>
      <c r="G14032" t="str">
        <f>"91465"</f>
        <v>91465</v>
      </c>
      <c r="H14032">
        <v>1</v>
      </c>
      <c r="I14032">
        <v>1412</v>
      </c>
      <c r="J14032">
        <v>0</v>
      </c>
      <c r="K14032" t="str">
        <f t="shared" si="2518"/>
        <v>813</v>
      </c>
      <c r="L14032">
        <v>1186.08</v>
      </c>
    </row>
    <row r="14033" spans="1:12" x14ac:dyDescent="0.25">
      <c r="A14033" t="str">
        <f t="shared" si="2515"/>
        <v>89301000</v>
      </c>
      <c r="B14033" t="str">
        <f t="shared" si="2516"/>
        <v>72077000</v>
      </c>
      <c r="C14033" t="str">
        <f t="shared" si="2517"/>
        <v>72077001</v>
      </c>
      <c r="D14033">
        <v>89301152</v>
      </c>
      <c r="E14033" t="str">
        <f>"8561216246"</f>
        <v>8561216246</v>
      </c>
      <c r="F14033" s="1">
        <v>45254</v>
      </c>
      <c r="G14033" t="str">
        <f>"91485"</f>
        <v>91485</v>
      </c>
      <c r="H14033">
        <v>1</v>
      </c>
      <c r="I14033">
        <v>268</v>
      </c>
      <c r="J14033">
        <v>0</v>
      </c>
      <c r="K14033" t="str">
        <f t="shared" si="2518"/>
        <v>813</v>
      </c>
      <c r="L14033">
        <v>225.12</v>
      </c>
    </row>
    <row r="14034" spans="1:12" x14ac:dyDescent="0.25">
      <c r="A14034" t="str">
        <f t="shared" si="2515"/>
        <v>89301000</v>
      </c>
      <c r="B14034" t="str">
        <f t="shared" si="2516"/>
        <v>72077000</v>
      </c>
      <c r="C14034" t="str">
        <f t="shared" si="2517"/>
        <v>72077001</v>
      </c>
      <c r="D14034">
        <v>89301152</v>
      </c>
      <c r="E14034" t="str">
        <f>"8561216246"</f>
        <v>8561216246</v>
      </c>
      <c r="F14034" s="1">
        <v>45259</v>
      </c>
      <c r="G14034" t="str">
        <f>"91577"</f>
        <v>91577</v>
      </c>
      <c r="H14034">
        <v>1</v>
      </c>
      <c r="I14034">
        <v>398</v>
      </c>
      <c r="J14034">
        <v>0</v>
      </c>
      <c r="K14034" t="str">
        <f t="shared" si="2518"/>
        <v>813</v>
      </c>
      <c r="L14034">
        <v>334.32</v>
      </c>
    </row>
    <row r="14035" spans="1:12" x14ac:dyDescent="0.25">
      <c r="A14035" t="str">
        <f t="shared" si="2515"/>
        <v>89301000</v>
      </c>
      <c r="B14035" t="str">
        <f t="shared" si="2516"/>
        <v>72077000</v>
      </c>
      <c r="C14035" t="str">
        <f t="shared" si="2517"/>
        <v>72077001</v>
      </c>
      <c r="D14035">
        <v>89301152</v>
      </c>
      <c r="E14035" t="str">
        <f>"0054175814"</f>
        <v>0054175814</v>
      </c>
      <c r="F14035" s="1">
        <v>45254</v>
      </c>
      <c r="G14035" t="str">
        <f>"91485"</f>
        <v>91485</v>
      </c>
      <c r="H14035">
        <v>1</v>
      </c>
      <c r="I14035">
        <v>268</v>
      </c>
      <c r="J14035">
        <v>0</v>
      </c>
      <c r="K14035" t="str">
        <f t="shared" si="2518"/>
        <v>813</v>
      </c>
      <c r="L14035">
        <v>225.12</v>
      </c>
    </row>
    <row r="14036" spans="1:12" x14ac:dyDescent="0.25">
      <c r="A14036" t="str">
        <f t="shared" si="2515"/>
        <v>89301000</v>
      </c>
      <c r="B14036" t="str">
        <f t="shared" si="2516"/>
        <v>72077000</v>
      </c>
      <c r="C14036" t="str">
        <f t="shared" si="2517"/>
        <v>72077001</v>
      </c>
      <c r="D14036">
        <v>89301152</v>
      </c>
      <c r="E14036" t="str">
        <f>"0054175814"</f>
        <v>0054175814</v>
      </c>
      <c r="F14036" s="1">
        <v>45258</v>
      </c>
      <c r="G14036" t="str">
        <f>"91175"</f>
        <v>91175</v>
      </c>
      <c r="H14036">
        <v>1</v>
      </c>
      <c r="I14036">
        <v>362</v>
      </c>
      <c r="J14036">
        <v>0</v>
      </c>
      <c r="K14036" t="str">
        <f t="shared" si="2518"/>
        <v>813</v>
      </c>
      <c r="L14036">
        <v>304.08</v>
      </c>
    </row>
    <row r="14037" spans="1:12" x14ac:dyDescent="0.25">
      <c r="A14037" t="str">
        <f t="shared" si="2515"/>
        <v>89301000</v>
      </c>
      <c r="B14037" t="str">
        <f t="shared" si="2516"/>
        <v>72077000</v>
      </c>
      <c r="C14037" t="str">
        <f t="shared" si="2517"/>
        <v>72077001</v>
      </c>
      <c r="D14037">
        <v>89301152</v>
      </c>
      <c r="E14037" t="str">
        <f>"0054175814"</f>
        <v>0054175814</v>
      </c>
      <c r="F14037" s="1">
        <v>45258</v>
      </c>
      <c r="G14037" t="str">
        <f>"91171"</f>
        <v>91171</v>
      </c>
      <c r="H14037">
        <v>1</v>
      </c>
      <c r="I14037">
        <v>362</v>
      </c>
      <c r="J14037">
        <v>0</v>
      </c>
      <c r="K14037" t="str">
        <f t="shared" si="2518"/>
        <v>813</v>
      </c>
      <c r="L14037">
        <v>304.08</v>
      </c>
    </row>
    <row r="14038" spans="1:12" x14ac:dyDescent="0.25">
      <c r="A14038" t="str">
        <f t="shared" si="2515"/>
        <v>89301000</v>
      </c>
      <c r="B14038" t="str">
        <f t="shared" si="2516"/>
        <v>72077000</v>
      </c>
      <c r="C14038" t="str">
        <f t="shared" si="2517"/>
        <v>72077001</v>
      </c>
      <c r="D14038">
        <v>89301152</v>
      </c>
      <c r="E14038" t="str">
        <f>"0054175814"</f>
        <v>0054175814</v>
      </c>
      <c r="F14038" s="1">
        <v>45259</v>
      </c>
      <c r="G14038" t="str">
        <f>"91577"</f>
        <v>91577</v>
      </c>
      <c r="H14038">
        <v>1</v>
      </c>
      <c r="I14038">
        <v>398</v>
      </c>
      <c r="J14038">
        <v>0</v>
      </c>
      <c r="K14038" t="str">
        <f t="shared" si="2518"/>
        <v>813</v>
      </c>
      <c r="L14038">
        <v>334.32</v>
      </c>
    </row>
    <row r="14039" spans="1:12" x14ac:dyDescent="0.25">
      <c r="A14039" t="str">
        <f t="shared" si="2515"/>
        <v>89301000</v>
      </c>
      <c r="B14039" t="str">
        <f t="shared" si="2516"/>
        <v>72077000</v>
      </c>
      <c r="C14039" t="str">
        <f t="shared" si="2517"/>
        <v>72077001</v>
      </c>
      <c r="D14039">
        <v>89301107</v>
      </c>
      <c r="E14039" t="str">
        <f>"1654070616"</f>
        <v>1654070616</v>
      </c>
      <c r="F14039" s="1">
        <v>45260</v>
      </c>
      <c r="G14039" t="str">
        <f>"91197"</f>
        <v>91197</v>
      </c>
      <c r="H14039">
        <v>1</v>
      </c>
      <c r="I14039">
        <v>1048</v>
      </c>
      <c r="J14039">
        <v>0</v>
      </c>
      <c r="K14039" t="str">
        <f t="shared" si="2518"/>
        <v>813</v>
      </c>
      <c r="L14039">
        <v>880.32</v>
      </c>
    </row>
    <row r="14040" spans="1:12" x14ac:dyDescent="0.25">
      <c r="A14040" t="str">
        <f t="shared" si="2515"/>
        <v>89301000</v>
      </c>
      <c r="B14040" t="str">
        <f t="shared" si="2516"/>
        <v>72077000</v>
      </c>
      <c r="C14040" t="str">
        <f t="shared" si="2517"/>
        <v>72077001</v>
      </c>
      <c r="D14040">
        <v>89301152</v>
      </c>
      <c r="E14040" t="str">
        <f>"9154176141"</f>
        <v>9154176141</v>
      </c>
      <c r="F14040" s="1">
        <v>45226</v>
      </c>
      <c r="G14040" t="str">
        <f>"91485"</f>
        <v>91485</v>
      </c>
      <c r="H14040">
        <v>1</v>
      </c>
      <c r="I14040">
        <v>268</v>
      </c>
      <c r="J14040">
        <v>0</v>
      </c>
      <c r="K14040" t="str">
        <f t="shared" si="2518"/>
        <v>813</v>
      </c>
      <c r="L14040">
        <v>225.12</v>
      </c>
    </row>
    <row r="14041" spans="1:12" x14ac:dyDescent="0.25">
      <c r="A14041" t="str">
        <f t="shared" si="2515"/>
        <v>89301000</v>
      </c>
      <c r="B14041" t="str">
        <f t="shared" si="2516"/>
        <v>72077000</v>
      </c>
      <c r="C14041" t="str">
        <f t="shared" si="2517"/>
        <v>72077001</v>
      </c>
      <c r="D14041">
        <v>89301152</v>
      </c>
      <c r="E14041" t="str">
        <f>"6954065316"</f>
        <v>6954065316</v>
      </c>
      <c r="F14041" s="1">
        <v>45118</v>
      </c>
      <c r="G14041" t="str">
        <f>"91465"</f>
        <v>91465</v>
      </c>
      <c r="H14041">
        <v>1</v>
      </c>
      <c r="I14041">
        <v>1412</v>
      </c>
      <c r="J14041">
        <v>0</v>
      </c>
      <c r="K14041" t="str">
        <f t="shared" si="2518"/>
        <v>813</v>
      </c>
      <c r="L14041">
        <v>1186.08</v>
      </c>
    </row>
    <row r="14042" spans="1:12" x14ac:dyDescent="0.25">
      <c r="A14042" t="str">
        <f t="shared" si="2515"/>
        <v>89301000</v>
      </c>
      <c r="B14042" t="str">
        <f t="shared" si="2516"/>
        <v>72077000</v>
      </c>
      <c r="C14042" t="str">
        <f>"72077002"</f>
        <v>72077002</v>
      </c>
      <c r="D14042">
        <v>89301152</v>
      </c>
      <c r="E14042" t="str">
        <f>"6655150139"</f>
        <v>6655150139</v>
      </c>
      <c r="F14042" s="1">
        <v>45161</v>
      </c>
      <c r="G14042" t="str">
        <f>"82079"</f>
        <v>82079</v>
      </c>
      <c r="H14042">
        <v>2</v>
      </c>
      <c r="I14042">
        <v>666</v>
      </c>
      <c r="J14042">
        <v>0</v>
      </c>
      <c r="K14042" t="str">
        <f>"802"</f>
        <v>802</v>
      </c>
      <c r="L14042">
        <v>646.02</v>
      </c>
    </row>
    <row r="14043" spans="1:12" x14ac:dyDescent="0.25">
      <c r="A14043" t="str">
        <f t="shared" si="2515"/>
        <v>89301000</v>
      </c>
      <c r="B14043" t="str">
        <f t="shared" si="2516"/>
        <v>72077000</v>
      </c>
      <c r="C14043" t="str">
        <f>"72077002"</f>
        <v>72077002</v>
      </c>
      <c r="D14043">
        <v>89301152</v>
      </c>
      <c r="E14043" t="str">
        <f>"6655150139"</f>
        <v>6655150139</v>
      </c>
      <c r="F14043" s="1">
        <v>45163</v>
      </c>
      <c r="G14043" t="str">
        <f>"82113"</f>
        <v>82113</v>
      </c>
      <c r="H14043">
        <v>2</v>
      </c>
      <c r="I14043">
        <v>726</v>
      </c>
      <c r="J14043">
        <v>0</v>
      </c>
      <c r="K14043" t="str">
        <f>"802"</f>
        <v>802</v>
      </c>
      <c r="L14043">
        <v>704.22</v>
      </c>
    </row>
    <row r="14044" spans="1:12" x14ac:dyDescent="0.25">
      <c r="A14044" t="str">
        <f t="shared" si="2515"/>
        <v>89301000</v>
      </c>
      <c r="B14044" t="str">
        <f t="shared" ref="B14044:B14065" si="2519">"88805000"</f>
        <v>88805000</v>
      </c>
      <c r="C14044" t="str">
        <f>"88805014"</f>
        <v>88805014</v>
      </c>
      <c r="D14044">
        <v>89301282</v>
      </c>
      <c r="E14044" t="str">
        <f>"7153204971"</f>
        <v>7153204971</v>
      </c>
      <c r="F14044" s="1">
        <v>45219</v>
      </c>
      <c r="G14044" t="str">
        <f>"94345"</f>
        <v>94345</v>
      </c>
      <c r="H14044">
        <v>1</v>
      </c>
      <c r="I14044">
        <v>4662</v>
      </c>
      <c r="J14044">
        <v>0</v>
      </c>
      <c r="K14044" t="str">
        <f>"816"</f>
        <v>816</v>
      </c>
      <c r="L14044">
        <v>4195.8</v>
      </c>
    </row>
    <row r="14045" spans="1:12" x14ac:dyDescent="0.25">
      <c r="A14045" t="str">
        <f t="shared" si="2515"/>
        <v>89301000</v>
      </c>
      <c r="B14045" t="str">
        <f t="shared" si="2519"/>
        <v>88805000</v>
      </c>
      <c r="C14045" t="str">
        <f>"88805014"</f>
        <v>88805014</v>
      </c>
      <c r="D14045">
        <v>89301282</v>
      </c>
      <c r="E14045" t="str">
        <f>"7153204971"</f>
        <v>7153204971</v>
      </c>
      <c r="F14045" s="1">
        <v>45219</v>
      </c>
      <c r="G14045" t="str">
        <f>"94948"</f>
        <v>94948</v>
      </c>
      <c r="H14045">
        <v>1</v>
      </c>
      <c r="I14045">
        <v>0</v>
      </c>
      <c r="J14045">
        <v>0</v>
      </c>
      <c r="K14045" t="str">
        <f>"816"</f>
        <v>816</v>
      </c>
      <c r="L14045">
        <v>0</v>
      </c>
    </row>
    <row r="14046" spans="1:12" x14ac:dyDescent="0.25">
      <c r="A14046" t="str">
        <f t="shared" si="2515"/>
        <v>89301000</v>
      </c>
      <c r="B14046" t="str">
        <f t="shared" si="2519"/>
        <v>88805000</v>
      </c>
      <c r="C14046" t="str">
        <f>"88805001"</f>
        <v>88805001</v>
      </c>
      <c r="D14046">
        <v>89301202</v>
      </c>
      <c r="E14046" t="str">
        <f>"0857023255"</f>
        <v>0857023255</v>
      </c>
      <c r="F14046" s="1">
        <v>45257</v>
      </c>
      <c r="G14046" t="str">
        <f>"81643"</f>
        <v>81643</v>
      </c>
      <c r="H14046">
        <v>1</v>
      </c>
      <c r="I14046">
        <v>104</v>
      </c>
      <c r="J14046">
        <v>0</v>
      </c>
      <c r="K14046" t="str">
        <f>"801"</f>
        <v>801</v>
      </c>
      <c r="L14046">
        <v>87.36</v>
      </c>
    </row>
    <row r="14047" spans="1:12" x14ac:dyDescent="0.25">
      <c r="A14047" t="str">
        <f t="shared" si="2515"/>
        <v>89301000</v>
      </c>
      <c r="B14047" t="str">
        <f t="shared" si="2519"/>
        <v>88805000</v>
      </c>
      <c r="C14047" t="str">
        <f>"88805001"</f>
        <v>88805001</v>
      </c>
      <c r="D14047">
        <v>89301101</v>
      </c>
      <c r="E14047" t="str">
        <f>"1405270218"</f>
        <v>1405270218</v>
      </c>
      <c r="F14047" s="1">
        <v>45258</v>
      </c>
      <c r="G14047" t="str">
        <f>"81631"</f>
        <v>81631</v>
      </c>
      <c r="H14047">
        <v>1</v>
      </c>
      <c r="I14047">
        <v>299</v>
      </c>
      <c r="J14047">
        <v>0</v>
      </c>
      <c r="K14047" t="str">
        <f>"801"</f>
        <v>801</v>
      </c>
      <c r="L14047">
        <v>251.16</v>
      </c>
    </row>
    <row r="14048" spans="1:12" x14ac:dyDescent="0.25">
      <c r="A14048" t="str">
        <f t="shared" si="2515"/>
        <v>89301000</v>
      </c>
      <c r="B14048" t="str">
        <f t="shared" si="2519"/>
        <v>88805000</v>
      </c>
      <c r="C14048" t="str">
        <f>"88805001"</f>
        <v>88805001</v>
      </c>
      <c r="D14048">
        <v>89301101</v>
      </c>
      <c r="E14048" t="str">
        <f>"1405270218"</f>
        <v>1405270218</v>
      </c>
      <c r="F14048" s="1">
        <v>45258</v>
      </c>
      <c r="G14048" t="str">
        <f>"92143"</f>
        <v>92143</v>
      </c>
      <c r="H14048">
        <v>1</v>
      </c>
      <c r="I14048">
        <v>1772</v>
      </c>
      <c r="J14048">
        <v>0</v>
      </c>
      <c r="K14048" t="str">
        <f>"801"</f>
        <v>801</v>
      </c>
      <c r="L14048">
        <v>1488.48</v>
      </c>
    </row>
    <row r="14049" spans="1:12" x14ac:dyDescent="0.25">
      <c r="A14049" t="str">
        <f t="shared" si="2515"/>
        <v>89301000</v>
      </c>
      <c r="B14049" t="str">
        <f t="shared" si="2519"/>
        <v>88805000</v>
      </c>
      <c r="C14049" t="str">
        <f>"88805001"</f>
        <v>88805001</v>
      </c>
      <c r="D14049">
        <v>89301108</v>
      </c>
      <c r="E14049" t="str">
        <f>"0812223247"</f>
        <v>0812223247</v>
      </c>
      <c r="F14049" s="1">
        <v>45233</v>
      </c>
      <c r="G14049" t="str">
        <f>"81631"</f>
        <v>81631</v>
      </c>
      <c r="H14049">
        <v>1</v>
      </c>
      <c r="I14049">
        <v>299</v>
      </c>
      <c r="J14049">
        <v>0</v>
      </c>
      <c r="K14049" t="str">
        <f>"801"</f>
        <v>801</v>
      </c>
      <c r="L14049">
        <v>251.16</v>
      </c>
    </row>
    <row r="14050" spans="1:12" x14ac:dyDescent="0.25">
      <c r="A14050" t="str">
        <f t="shared" si="2515"/>
        <v>89301000</v>
      </c>
      <c r="B14050" t="str">
        <f t="shared" si="2519"/>
        <v>88805000</v>
      </c>
      <c r="C14050" t="str">
        <f>"88805001"</f>
        <v>88805001</v>
      </c>
      <c r="D14050">
        <v>89301108</v>
      </c>
      <c r="E14050" t="str">
        <f>"0812223247"</f>
        <v>0812223247</v>
      </c>
      <c r="F14050" s="1">
        <v>45233</v>
      </c>
      <c r="G14050" t="str">
        <f>"92143"</f>
        <v>92143</v>
      </c>
      <c r="H14050">
        <v>1</v>
      </c>
      <c r="I14050">
        <v>1772</v>
      </c>
      <c r="J14050">
        <v>0</v>
      </c>
      <c r="K14050" t="str">
        <f>"801"</f>
        <v>801</v>
      </c>
      <c r="L14050">
        <v>1488.48</v>
      </c>
    </row>
    <row r="14051" spans="1:12" x14ac:dyDescent="0.25">
      <c r="A14051" t="str">
        <f t="shared" si="2515"/>
        <v>89301000</v>
      </c>
      <c r="B14051" t="str">
        <f t="shared" si="2519"/>
        <v>88805000</v>
      </c>
      <c r="C14051" t="str">
        <f t="shared" ref="C14051:C14059" si="2520">"88805014"</f>
        <v>88805014</v>
      </c>
      <c r="D14051">
        <v>89301282</v>
      </c>
      <c r="E14051" t="str">
        <f>"1154280281"</f>
        <v>1154280281</v>
      </c>
      <c r="F14051" s="1">
        <v>45243</v>
      </c>
      <c r="G14051" t="str">
        <f>"94221"</f>
        <v>94221</v>
      </c>
      <c r="H14051">
        <v>1</v>
      </c>
      <c r="I14051">
        <v>2467</v>
      </c>
      <c r="J14051">
        <v>0</v>
      </c>
      <c r="K14051" t="str">
        <f t="shared" ref="K14051:K14059" si="2521">"816"</f>
        <v>816</v>
      </c>
      <c r="L14051">
        <v>2220.3000000000002</v>
      </c>
    </row>
    <row r="14052" spans="1:12" x14ac:dyDescent="0.25">
      <c r="A14052" t="str">
        <f t="shared" si="2515"/>
        <v>89301000</v>
      </c>
      <c r="B14052" t="str">
        <f t="shared" si="2519"/>
        <v>88805000</v>
      </c>
      <c r="C14052" t="str">
        <f t="shared" si="2520"/>
        <v>88805014</v>
      </c>
      <c r="D14052">
        <v>89301282</v>
      </c>
      <c r="E14052" t="str">
        <f>"1154280281"</f>
        <v>1154280281</v>
      </c>
      <c r="F14052" s="1">
        <v>45243</v>
      </c>
      <c r="G14052" t="str">
        <f>"94948"</f>
        <v>94948</v>
      </c>
      <c r="H14052">
        <v>1</v>
      </c>
      <c r="I14052">
        <v>0</v>
      </c>
      <c r="J14052">
        <v>0</v>
      </c>
      <c r="K14052" t="str">
        <f t="shared" si="2521"/>
        <v>816</v>
      </c>
      <c r="L14052">
        <v>0</v>
      </c>
    </row>
    <row r="14053" spans="1:12" x14ac:dyDescent="0.25">
      <c r="A14053" t="str">
        <f t="shared" si="2515"/>
        <v>89301000</v>
      </c>
      <c r="B14053" t="str">
        <f t="shared" si="2519"/>
        <v>88805000</v>
      </c>
      <c r="C14053" t="str">
        <f t="shared" si="2520"/>
        <v>88805014</v>
      </c>
      <c r="D14053">
        <v>89301282</v>
      </c>
      <c r="E14053" t="str">
        <f>"1406070017"</f>
        <v>1406070017</v>
      </c>
      <c r="F14053" s="1">
        <v>45239</v>
      </c>
      <c r="G14053" t="str">
        <f>"94221"</f>
        <v>94221</v>
      </c>
      <c r="H14053">
        <v>1</v>
      </c>
      <c r="I14053">
        <v>2467</v>
      </c>
      <c r="J14053">
        <v>0</v>
      </c>
      <c r="K14053" t="str">
        <f t="shared" si="2521"/>
        <v>816</v>
      </c>
      <c r="L14053">
        <v>2220.3000000000002</v>
      </c>
    </row>
    <row r="14054" spans="1:12" x14ac:dyDescent="0.25">
      <c r="A14054" t="str">
        <f t="shared" si="2515"/>
        <v>89301000</v>
      </c>
      <c r="B14054" t="str">
        <f t="shared" si="2519"/>
        <v>88805000</v>
      </c>
      <c r="C14054" t="str">
        <f t="shared" si="2520"/>
        <v>88805014</v>
      </c>
      <c r="D14054">
        <v>89301282</v>
      </c>
      <c r="E14054" t="str">
        <f>"1406070017"</f>
        <v>1406070017</v>
      </c>
      <c r="F14054" s="1">
        <v>45239</v>
      </c>
      <c r="G14054" t="str">
        <f>"94948"</f>
        <v>94948</v>
      </c>
      <c r="H14054">
        <v>1</v>
      </c>
      <c r="I14054">
        <v>0</v>
      </c>
      <c r="J14054">
        <v>0</v>
      </c>
      <c r="K14054" t="str">
        <f t="shared" si="2521"/>
        <v>816</v>
      </c>
      <c r="L14054">
        <v>0</v>
      </c>
    </row>
    <row r="14055" spans="1:12" x14ac:dyDescent="0.25">
      <c r="A14055" t="str">
        <f t="shared" si="2515"/>
        <v>89301000</v>
      </c>
      <c r="B14055" t="str">
        <f t="shared" si="2519"/>
        <v>88805000</v>
      </c>
      <c r="C14055" t="str">
        <f t="shared" si="2520"/>
        <v>88805014</v>
      </c>
      <c r="D14055">
        <v>89301282</v>
      </c>
      <c r="E14055" t="str">
        <f>"1761041161"</f>
        <v>1761041161</v>
      </c>
      <c r="F14055" s="1">
        <v>45246</v>
      </c>
      <c r="G14055" t="str">
        <f>"94345"</f>
        <v>94345</v>
      </c>
      <c r="H14055">
        <v>1</v>
      </c>
      <c r="I14055">
        <v>4662</v>
      </c>
      <c r="J14055">
        <v>0</v>
      </c>
      <c r="K14055" t="str">
        <f t="shared" si="2521"/>
        <v>816</v>
      </c>
      <c r="L14055">
        <v>4195.8</v>
      </c>
    </row>
    <row r="14056" spans="1:12" x14ac:dyDescent="0.25">
      <c r="A14056" t="str">
        <f t="shared" si="2515"/>
        <v>89301000</v>
      </c>
      <c r="B14056" t="str">
        <f t="shared" si="2519"/>
        <v>88805000</v>
      </c>
      <c r="C14056" t="str">
        <f t="shared" si="2520"/>
        <v>88805014</v>
      </c>
      <c r="D14056">
        <v>89301282</v>
      </c>
      <c r="E14056" t="str">
        <f>"1058101341"</f>
        <v>1058101341</v>
      </c>
      <c r="F14056" s="1">
        <v>45246</v>
      </c>
      <c r="G14056" t="str">
        <f>"94345"</f>
        <v>94345</v>
      </c>
      <c r="H14056">
        <v>3</v>
      </c>
      <c r="I14056">
        <v>13986</v>
      </c>
      <c r="J14056">
        <v>0</v>
      </c>
      <c r="K14056" t="str">
        <f t="shared" si="2521"/>
        <v>816</v>
      </c>
      <c r="L14056">
        <v>12587.4</v>
      </c>
    </row>
    <row r="14057" spans="1:12" x14ac:dyDescent="0.25">
      <c r="A14057" t="str">
        <f t="shared" si="2515"/>
        <v>89301000</v>
      </c>
      <c r="B14057" t="str">
        <f t="shared" si="2519"/>
        <v>88805000</v>
      </c>
      <c r="C14057" t="str">
        <f t="shared" si="2520"/>
        <v>88805014</v>
      </c>
      <c r="D14057">
        <v>89301282</v>
      </c>
      <c r="E14057" t="str">
        <f>"1154280292"</f>
        <v>1154280292</v>
      </c>
      <c r="F14057" s="1">
        <v>45239</v>
      </c>
      <c r="G14057" t="str">
        <f>"94345"</f>
        <v>94345</v>
      </c>
      <c r="H14057">
        <v>1</v>
      </c>
      <c r="I14057">
        <v>4662</v>
      </c>
      <c r="J14057">
        <v>0</v>
      </c>
      <c r="K14057" t="str">
        <f t="shared" si="2521"/>
        <v>816</v>
      </c>
      <c r="L14057">
        <v>4195.8</v>
      </c>
    </row>
    <row r="14058" spans="1:12" x14ac:dyDescent="0.25">
      <c r="A14058" t="str">
        <f t="shared" si="2515"/>
        <v>89301000</v>
      </c>
      <c r="B14058" t="str">
        <f t="shared" si="2519"/>
        <v>88805000</v>
      </c>
      <c r="C14058" t="str">
        <f t="shared" si="2520"/>
        <v>88805014</v>
      </c>
      <c r="D14058">
        <v>89301282</v>
      </c>
      <c r="E14058" t="str">
        <f>"8101204408"</f>
        <v>8101204408</v>
      </c>
      <c r="F14058" s="1">
        <v>45231</v>
      </c>
      <c r="G14058" t="str">
        <f>"94983"</f>
        <v>94983</v>
      </c>
      <c r="H14058">
        <v>1</v>
      </c>
      <c r="I14058">
        <v>0</v>
      </c>
      <c r="J14058">
        <v>39600</v>
      </c>
      <c r="K14058" t="str">
        <f t="shared" si="2521"/>
        <v>816</v>
      </c>
      <c r="L14058">
        <v>39600</v>
      </c>
    </row>
    <row r="14059" spans="1:12" x14ac:dyDescent="0.25">
      <c r="A14059" t="str">
        <f t="shared" si="2515"/>
        <v>89301000</v>
      </c>
      <c r="B14059" t="str">
        <f t="shared" si="2519"/>
        <v>88805000</v>
      </c>
      <c r="C14059" t="str">
        <f t="shared" si="2520"/>
        <v>88805014</v>
      </c>
      <c r="D14059">
        <v>89301282</v>
      </c>
      <c r="E14059" t="str">
        <f>"8101204408"</f>
        <v>8101204408</v>
      </c>
      <c r="F14059" s="1">
        <v>45231</v>
      </c>
      <c r="G14059" t="str">
        <f>"94996"</f>
        <v>94996</v>
      </c>
      <c r="H14059">
        <v>1</v>
      </c>
      <c r="I14059">
        <v>0</v>
      </c>
      <c r="J14059">
        <v>0</v>
      </c>
      <c r="K14059" t="str">
        <f t="shared" si="2521"/>
        <v>816</v>
      </c>
      <c r="L14059">
        <v>0</v>
      </c>
    </row>
    <row r="14060" spans="1:12" x14ac:dyDescent="0.25">
      <c r="A14060" t="str">
        <f t="shared" si="2515"/>
        <v>89301000</v>
      </c>
      <c r="B14060" t="str">
        <f t="shared" si="2519"/>
        <v>88805000</v>
      </c>
      <c r="C14060" t="str">
        <f t="shared" ref="C14060:C14065" si="2522">"88805001"</f>
        <v>88805001</v>
      </c>
      <c r="D14060">
        <v>89301082</v>
      </c>
      <c r="E14060" t="str">
        <f>"9258160901"</f>
        <v>9258160901</v>
      </c>
      <c r="F14060" s="1">
        <v>45236</v>
      </c>
      <c r="G14060" t="str">
        <f>"97111"</f>
        <v>97111</v>
      </c>
      <c r="H14060">
        <v>1</v>
      </c>
      <c r="I14060">
        <v>19</v>
      </c>
      <c r="J14060">
        <v>0</v>
      </c>
      <c r="K14060" t="str">
        <f t="shared" ref="K14060:K14087" si="2523">"801"</f>
        <v>801</v>
      </c>
      <c r="L14060">
        <v>23.94</v>
      </c>
    </row>
    <row r="14061" spans="1:12" x14ac:dyDescent="0.25">
      <c r="A14061" t="str">
        <f t="shared" si="2515"/>
        <v>89301000</v>
      </c>
      <c r="B14061" t="str">
        <f t="shared" si="2519"/>
        <v>88805000</v>
      </c>
      <c r="C14061" t="str">
        <f t="shared" si="2522"/>
        <v>88805001</v>
      </c>
      <c r="D14061">
        <v>89301082</v>
      </c>
      <c r="E14061" t="str">
        <f>"9258160901"</f>
        <v>9258160901</v>
      </c>
      <c r="F14061" s="1">
        <v>45236</v>
      </c>
      <c r="G14061" t="str">
        <f>"93159"</f>
        <v>93159</v>
      </c>
      <c r="H14061">
        <v>1</v>
      </c>
      <c r="I14061">
        <v>197</v>
      </c>
      <c r="J14061">
        <v>0</v>
      </c>
      <c r="K14061" t="str">
        <f t="shared" si="2523"/>
        <v>801</v>
      </c>
      <c r="L14061">
        <v>165.48</v>
      </c>
    </row>
    <row r="14062" spans="1:12" x14ac:dyDescent="0.25">
      <c r="A14062" t="str">
        <f t="shared" si="2515"/>
        <v>89301000</v>
      </c>
      <c r="B14062" t="str">
        <f t="shared" si="2519"/>
        <v>88805000</v>
      </c>
      <c r="C14062" t="str">
        <f t="shared" si="2522"/>
        <v>88805001</v>
      </c>
      <c r="D14062">
        <v>89301108</v>
      </c>
      <c r="E14062" t="str">
        <f>"1103280871"</f>
        <v>1103280871</v>
      </c>
      <c r="F14062" s="1">
        <v>45245</v>
      </c>
      <c r="G14062" t="str">
        <f>"97111"</f>
        <v>97111</v>
      </c>
      <c r="H14062">
        <v>1</v>
      </c>
      <c r="I14062">
        <v>19</v>
      </c>
      <c r="J14062">
        <v>0</v>
      </c>
      <c r="K14062" t="str">
        <f t="shared" si="2523"/>
        <v>801</v>
      </c>
      <c r="L14062">
        <v>23.94</v>
      </c>
    </row>
    <row r="14063" spans="1:12" x14ac:dyDescent="0.25">
      <c r="A14063" t="str">
        <f t="shared" si="2515"/>
        <v>89301000</v>
      </c>
      <c r="B14063" t="str">
        <f t="shared" si="2519"/>
        <v>88805000</v>
      </c>
      <c r="C14063" t="str">
        <f t="shared" si="2522"/>
        <v>88805001</v>
      </c>
      <c r="D14063">
        <v>89301202</v>
      </c>
      <c r="E14063" t="str">
        <f>"0857023255"</f>
        <v>0857023255</v>
      </c>
      <c r="F14063" s="1">
        <v>45257</v>
      </c>
      <c r="G14063" t="str">
        <f>"97111"</f>
        <v>97111</v>
      </c>
      <c r="H14063">
        <v>1</v>
      </c>
      <c r="I14063">
        <v>19</v>
      </c>
      <c r="J14063">
        <v>0</v>
      </c>
      <c r="K14063" t="str">
        <f t="shared" si="2523"/>
        <v>801</v>
      </c>
      <c r="L14063">
        <v>23.94</v>
      </c>
    </row>
    <row r="14064" spans="1:12" x14ac:dyDescent="0.25">
      <c r="A14064" t="str">
        <f t="shared" si="2515"/>
        <v>89301000</v>
      </c>
      <c r="B14064" t="str">
        <f t="shared" si="2519"/>
        <v>88805000</v>
      </c>
      <c r="C14064" t="str">
        <f t="shared" si="2522"/>
        <v>88805001</v>
      </c>
      <c r="D14064">
        <v>89301101</v>
      </c>
      <c r="E14064" t="str">
        <f>"1405270218"</f>
        <v>1405270218</v>
      </c>
      <c r="F14064" s="1">
        <v>45258</v>
      </c>
      <c r="G14064" t="str">
        <f>"97111"</f>
        <v>97111</v>
      </c>
      <c r="H14064">
        <v>1</v>
      </c>
      <c r="I14064">
        <v>19</v>
      </c>
      <c r="J14064">
        <v>0</v>
      </c>
      <c r="K14064" t="str">
        <f t="shared" si="2523"/>
        <v>801</v>
      </c>
      <c r="L14064">
        <v>23.94</v>
      </c>
    </row>
    <row r="14065" spans="1:12" x14ac:dyDescent="0.25">
      <c r="A14065" t="str">
        <f t="shared" si="2515"/>
        <v>89301000</v>
      </c>
      <c r="B14065" t="str">
        <f t="shared" si="2519"/>
        <v>88805000</v>
      </c>
      <c r="C14065" t="str">
        <f t="shared" si="2522"/>
        <v>88805001</v>
      </c>
      <c r="D14065">
        <v>89301108</v>
      </c>
      <c r="E14065" t="str">
        <f>"0812223247"</f>
        <v>0812223247</v>
      </c>
      <c r="F14065" s="1">
        <v>45233</v>
      </c>
      <c r="G14065" t="str">
        <f>"97111"</f>
        <v>97111</v>
      </c>
      <c r="H14065">
        <v>1</v>
      </c>
      <c r="I14065">
        <v>19</v>
      </c>
      <c r="J14065">
        <v>0</v>
      </c>
      <c r="K14065" t="str">
        <f t="shared" si="2523"/>
        <v>801</v>
      </c>
      <c r="L14065">
        <v>23.94</v>
      </c>
    </row>
    <row r="14066" spans="1:12" x14ac:dyDescent="0.25">
      <c r="A14066" t="str">
        <f t="shared" si="2515"/>
        <v>89301000</v>
      </c>
      <c r="B14066" t="str">
        <f t="shared" ref="B14066:C14087" si="2524">"91970116"</f>
        <v>91970116</v>
      </c>
      <c r="C14066" t="str">
        <f t="shared" si="2524"/>
        <v>91970116</v>
      </c>
      <c r="D14066">
        <v>89301167</v>
      </c>
      <c r="E14066" t="str">
        <f t="shared" ref="E14066:E14091" si="2525">"481021191"</f>
        <v>481021191</v>
      </c>
      <c r="F14066" s="1">
        <v>45258</v>
      </c>
      <c r="G14066" t="str">
        <f>"97111"</f>
        <v>97111</v>
      </c>
      <c r="H14066">
        <v>1</v>
      </c>
      <c r="I14066">
        <v>19</v>
      </c>
      <c r="J14066">
        <v>0</v>
      </c>
      <c r="K14066" t="str">
        <f t="shared" si="2523"/>
        <v>801</v>
      </c>
      <c r="L14066">
        <v>23.94</v>
      </c>
    </row>
    <row r="14067" spans="1:12" x14ac:dyDescent="0.25">
      <c r="A14067" t="str">
        <f t="shared" si="2515"/>
        <v>89301000</v>
      </c>
      <c r="B14067" t="str">
        <f t="shared" si="2524"/>
        <v>91970116</v>
      </c>
      <c r="C14067" t="str">
        <f t="shared" si="2524"/>
        <v>91970116</v>
      </c>
      <c r="D14067">
        <v>89301167</v>
      </c>
      <c r="E14067" t="str">
        <f t="shared" si="2525"/>
        <v>481021191</v>
      </c>
      <c r="F14067" s="1">
        <v>45258</v>
      </c>
      <c r="G14067" t="str">
        <f>"81625"</f>
        <v>81625</v>
      </c>
      <c r="H14067">
        <v>1</v>
      </c>
      <c r="I14067">
        <v>21</v>
      </c>
      <c r="J14067">
        <v>0</v>
      </c>
      <c r="K14067" t="str">
        <f t="shared" si="2523"/>
        <v>801</v>
      </c>
      <c r="L14067">
        <v>17.64</v>
      </c>
    </row>
    <row r="14068" spans="1:12" x14ac:dyDescent="0.25">
      <c r="A14068" t="str">
        <f t="shared" si="2515"/>
        <v>89301000</v>
      </c>
      <c r="B14068" t="str">
        <f t="shared" si="2524"/>
        <v>91970116</v>
      </c>
      <c r="C14068" t="str">
        <f t="shared" si="2524"/>
        <v>91970116</v>
      </c>
      <c r="D14068">
        <v>89301167</v>
      </c>
      <c r="E14068" t="str">
        <f t="shared" si="2525"/>
        <v>481021191</v>
      </c>
      <c r="F14068" s="1">
        <v>45258</v>
      </c>
      <c r="G14068" t="str">
        <f>"81621"</f>
        <v>81621</v>
      </c>
      <c r="H14068">
        <v>1</v>
      </c>
      <c r="I14068">
        <v>19</v>
      </c>
      <c r="J14068">
        <v>0</v>
      </c>
      <c r="K14068" t="str">
        <f t="shared" si="2523"/>
        <v>801</v>
      </c>
      <c r="L14068">
        <v>15.96</v>
      </c>
    </row>
    <row r="14069" spans="1:12" x14ac:dyDescent="0.25">
      <c r="A14069" t="str">
        <f t="shared" si="2515"/>
        <v>89301000</v>
      </c>
      <c r="B14069" t="str">
        <f t="shared" si="2524"/>
        <v>91970116</v>
      </c>
      <c r="C14069" t="str">
        <f t="shared" si="2524"/>
        <v>91970116</v>
      </c>
      <c r="D14069">
        <v>89301167</v>
      </c>
      <c r="E14069" t="str">
        <f t="shared" si="2525"/>
        <v>481021191</v>
      </c>
      <c r="F14069" s="1">
        <v>45258</v>
      </c>
      <c r="G14069" t="str">
        <f>"81499"</f>
        <v>81499</v>
      </c>
      <c r="H14069">
        <v>1</v>
      </c>
      <c r="I14069">
        <v>18</v>
      </c>
      <c r="J14069">
        <v>0</v>
      </c>
      <c r="K14069" t="str">
        <f t="shared" si="2523"/>
        <v>801</v>
      </c>
      <c r="L14069">
        <v>15.12</v>
      </c>
    </row>
    <row r="14070" spans="1:12" x14ac:dyDescent="0.25">
      <c r="A14070" t="str">
        <f t="shared" si="2515"/>
        <v>89301000</v>
      </c>
      <c r="B14070" t="str">
        <f t="shared" si="2524"/>
        <v>91970116</v>
      </c>
      <c r="C14070" t="str">
        <f t="shared" si="2524"/>
        <v>91970116</v>
      </c>
      <c r="D14070">
        <v>89301167</v>
      </c>
      <c r="E14070" t="str">
        <f t="shared" si="2525"/>
        <v>481021191</v>
      </c>
      <c r="F14070" s="1">
        <v>45258</v>
      </c>
      <c r="G14070" t="str">
        <f>"81365"</f>
        <v>81365</v>
      </c>
      <c r="H14070">
        <v>1</v>
      </c>
      <c r="I14070">
        <v>16</v>
      </c>
      <c r="J14070">
        <v>0</v>
      </c>
      <c r="K14070" t="str">
        <f t="shared" si="2523"/>
        <v>801</v>
      </c>
      <c r="L14070">
        <v>13.44</v>
      </c>
    </row>
    <row r="14071" spans="1:12" x14ac:dyDescent="0.25">
      <c r="A14071" t="str">
        <f t="shared" si="2515"/>
        <v>89301000</v>
      </c>
      <c r="B14071" t="str">
        <f t="shared" si="2524"/>
        <v>91970116</v>
      </c>
      <c r="C14071" t="str">
        <f t="shared" si="2524"/>
        <v>91970116</v>
      </c>
      <c r="D14071">
        <v>89301167</v>
      </c>
      <c r="E14071" t="str">
        <f t="shared" si="2525"/>
        <v>481021191</v>
      </c>
      <c r="F14071" s="1">
        <v>45258</v>
      </c>
      <c r="G14071" t="str">
        <f>"81329"</f>
        <v>81329</v>
      </c>
      <c r="H14071">
        <v>1</v>
      </c>
      <c r="I14071">
        <v>17</v>
      </c>
      <c r="J14071">
        <v>0</v>
      </c>
      <c r="K14071" t="str">
        <f t="shared" si="2523"/>
        <v>801</v>
      </c>
      <c r="L14071">
        <v>14.28</v>
      </c>
    </row>
    <row r="14072" spans="1:12" x14ac:dyDescent="0.25">
      <c r="A14072" t="str">
        <f t="shared" si="2515"/>
        <v>89301000</v>
      </c>
      <c r="B14072" t="str">
        <f t="shared" si="2524"/>
        <v>91970116</v>
      </c>
      <c r="C14072" t="str">
        <f t="shared" si="2524"/>
        <v>91970116</v>
      </c>
      <c r="D14072">
        <v>89301167</v>
      </c>
      <c r="E14072" t="str">
        <f t="shared" si="2525"/>
        <v>481021191</v>
      </c>
      <c r="F14072" s="1">
        <v>45258</v>
      </c>
      <c r="G14072" t="str">
        <f>"81361"</f>
        <v>81361</v>
      </c>
      <c r="H14072">
        <v>1</v>
      </c>
      <c r="I14072">
        <v>17</v>
      </c>
      <c r="J14072">
        <v>0</v>
      </c>
      <c r="K14072" t="str">
        <f t="shared" si="2523"/>
        <v>801</v>
      </c>
      <c r="L14072">
        <v>14.28</v>
      </c>
    </row>
    <row r="14073" spans="1:12" x14ac:dyDescent="0.25">
      <c r="A14073" t="str">
        <f t="shared" si="2515"/>
        <v>89301000</v>
      </c>
      <c r="B14073" t="str">
        <f t="shared" si="2524"/>
        <v>91970116</v>
      </c>
      <c r="C14073" t="str">
        <f t="shared" si="2524"/>
        <v>91970116</v>
      </c>
      <c r="D14073">
        <v>89301167</v>
      </c>
      <c r="E14073" t="str">
        <f t="shared" si="2525"/>
        <v>481021191</v>
      </c>
      <c r="F14073" s="1">
        <v>45258</v>
      </c>
      <c r="G14073" t="str">
        <f>"81337"</f>
        <v>81337</v>
      </c>
      <c r="H14073">
        <v>1</v>
      </c>
      <c r="I14073">
        <v>20</v>
      </c>
      <c r="J14073">
        <v>0</v>
      </c>
      <c r="K14073" t="str">
        <f t="shared" si="2523"/>
        <v>801</v>
      </c>
      <c r="L14073">
        <v>16.8</v>
      </c>
    </row>
    <row r="14074" spans="1:12" x14ac:dyDescent="0.25">
      <c r="A14074" t="str">
        <f t="shared" si="2515"/>
        <v>89301000</v>
      </c>
      <c r="B14074" t="str">
        <f t="shared" si="2524"/>
        <v>91970116</v>
      </c>
      <c r="C14074" t="str">
        <f t="shared" si="2524"/>
        <v>91970116</v>
      </c>
      <c r="D14074">
        <v>89301167</v>
      </c>
      <c r="E14074" t="str">
        <f t="shared" si="2525"/>
        <v>481021191</v>
      </c>
      <c r="F14074" s="1">
        <v>45258</v>
      </c>
      <c r="G14074" t="str">
        <f>"81357"</f>
        <v>81357</v>
      </c>
      <c r="H14074">
        <v>1</v>
      </c>
      <c r="I14074">
        <v>20</v>
      </c>
      <c r="J14074">
        <v>0</v>
      </c>
      <c r="K14074" t="str">
        <f t="shared" si="2523"/>
        <v>801</v>
      </c>
      <c r="L14074">
        <v>16.8</v>
      </c>
    </row>
    <row r="14075" spans="1:12" x14ac:dyDescent="0.25">
      <c r="A14075" t="str">
        <f t="shared" si="2515"/>
        <v>89301000</v>
      </c>
      <c r="B14075" t="str">
        <f t="shared" si="2524"/>
        <v>91970116</v>
      </c>
      <c r="C14075" t="str">
        <f t="shared" si="2524"/>
        <v>91970116</v>
      </c>
      <c r="D14075">
        <v>89301167</v>
      </c>
      <c r="E14075" t="str">
        <f t="shared" si="2525"/>
        <v>481021191</v>
      </c>
      <c r="F14075" s="1">
        <v>45258</v>
      </c>
      <c r="G14075" t="str">
        <f>"81421"</f>
        <v>81421</v>
      </c>
      <c r="H14075">
        <v>1</v>
      </c>
      <c r="I14075">
        <v>19</v>
      </c>
      <c r="J14075">
        <v>0</v>
      </c>
      <c r="K14075" t="str">
        <f t="shared" si="2523"/>
        <v>801</v>
      </c>
      <c r="L14075">
        <v>15.96</v>
      </c>
    </row>
    <row r="14076" spans="1:12" x14ac:dyDescent="0.25">
      <c r="A14076" t="str">
        <f t="shared" si="2515"/>
        <v>89301000</v>
      </c>
      <c r="B14076" t="str">
        <f t="shared" si="2524"/>
        <v>91970116</v>
      </c>
      <c r="C14076" t="str">
        <f t="shared" si="2524"/>
        <v>91970116</v>
      </c>
      <c r="D14076">
        <v>89301167</v>
      </c>
      <c r="E14076" t="str">
        <f t="shared" si="2525"/>
        <v>481021191</v>
      </c>
      <c r="F14076" s="1">
        <v>45258</v>
      </c>
      <c r="G14076" t="str">
        <f>"81435"</f>
        <v>81435</v>
      </c>
      <c r="H14076">
        <v>1</v>
      </c>
      <c r="I14076">
        <v>22</v>
      </c>
      <c r="J14076">
        <v>0</v>
      </c>
      <c r="K14076" t="str">
        <f t="shared" si="2523"/>
        <v>801</v>
      </c>
      <c r="L14076">
        <v>18.48</v>
      </c>
    </row>
    <row r="14077" spans="1:12" x14ac:dyDescent="0.25">
      <c r="A14077" t="str">
        <f t="shared" si="2515"/>
        <v>89301000</v>
      </c>
      <c r="B14077" t="str">
        <f t="shared" si="2524"/>
        <v>91970116</v>
      </c>
      <c r="C14077" t="str">
        <f t="shared" si="2524"/>
        <v>91970116</v>
      </c>
      <c r="D14077">
        <v>89301167</v>
      </c>
      <c r="E14077" t="str">
        <f t="shared" si="2525"/>
        <v>481021191</v>
      </c>
      <c r="F14077" s="1">
        <v>45258</v>
      </c>
      <c r="G14077" t="str">
        <f>"81439"</f>
        <v>81439</v>
      </c>
      <c r="H14077">
        <v>1</v>
      </c>
      <c r="I14077">
        <v>16</v>
      </c>
      <c r="J14077">
        <v>0</v>
      </c>
      <c r="K14077" t="str">
        <f t="shared" si="2523"/>
        <v>801</v>
      </c>
      <c r="L14077">
        <v>13.44</v>
      </c>
    </row>
    <row r="14078" spans="1:12" x14ac:dyDescent="0.25">
      <c r="A14078" t="str">
        <f t="shared" si="2515"/>
        <v>89301000</v>
      </c>
      <c r="B14078" t="str">
        <f t="shared" si="2524"/>
        <v>91970116</v>
      </c>
      <c r="C14078" t="str">
        <f t="shared" si="2524"/>
        <v>91970116</v>
      </c>
      <c r="D14078">
        <v>89301167</v>
      </c>
      <c r="E14078" t="str">
        <f t="shared" si="2525"/>
        <v>481021191</v>
      </c>
      <c r="F14078" s="1">
        <v>45258</v>
      </c>
      <c r="G14078" t="str">
        <f>"91153"</f>
        <v>91153</v>
      </c>
      <c r="H14078">
        <v>1</v>
      </c>
      <c r="I14078">
        <v>153</v>
      </c>
      <c r="J14078">
        <v>0</v>
      </c>
      <c r="K14078" t="str">
        <f t="shared" si="2523"/>
        <v>801</v>
      </c>
      <c r="L14078">
        <v>128.52000000000001</v>
      </c>
    </row>
    <row r="14079" spans="1:12" x14ac:dyDescent="0.25">
      <c r="A14079" t="str">
        <f t="shared" si="2515"/>
        <v>89301000</v>
      </c>
      <c r="B14079" t="str">
        <f t="shared" si="2524"/>
        <v>91970116</v>
      </c>
      <c r="C14079" t="str">
        <f t="shared" si="2524"/>
        <v>91970116</v>
      </c>
      <c r="D14079">
        <v>89301167</v>
      </c>
      <c r="E14079" t="str">
        <f t="shared" si="2525"/>
        <v>481021191</v>
      </c>
      <c r="F14079" s="1">
        <v>45258</v>
      </c>
      <c r="G14079" t="str">
        <f>"81511"</f>
        <v>81511</v>
      </c>
      <c r="H14079">
        <v>1</v>
      </c>
      <c r="I14079">
        <v>10</v>
      </c>
      <c r="J14079">
        <v>0</v>
      </c>
      <c r="K14079" t="str">
        <f t="shared" si="2523"/>
        <v>801</v>
      </c>
      <c r="L14079">
        <v>8.4</v>
      </c>
    </row>
    <row r="14080" spans="1:12" x14ac:dyDescent="0.25">
      <c r="A14080" t="str">
        <f t="shared" si="2515"/>
        <v>89301000</v>
      </c>
      <c r="B14080" t="str">
        <f t="shared" si="2524"/>
        <v>91970116</v>
      </c>
      <c r="C14080" t="str">
        <f t="shared" si="2524"/>
        <v>91970116</v>
      </c>
      <c r="D14080">
        <v>89301167</v>
      </c>
      <c r="E14080" t="str">
        <f t="shared" si="2525"/>
        <v>481021191</v>
      </c>
      <c r="F14080" s="1">
        <v>45258</v>
      </c>
      <c r="G14080" t="str">
        <f>"81593"</f>
        <v>81593</v>
      </c>
      <c r="H14080">
        <v>1</v>
      </c>
      <c r="I14080">
        <v>22</v>
      </c>
      <c r="J14080">
        <v>0</v>
      </c>
      <c r="K14080" t="str">
        <f t="shared" si="2523"/>
        <v>801</v>
      </c>
      <c r="L14080">
        <v>18.48</v>
      </c>
    </row>
    <row r="14081" spans="1:12" x14ac:dyDescent="0.25">
      <c r="A14081" t="str">
        <f t="shared" si="2515"/>
        <v>89301000</v>
      </c>
      <c r="B14081" t="str">
        <f t="shared" si="2524"/>
        <v>91970116</v>
      </c>
      <c r="C14081" t="str">
        <f t="shared" si="2524"/>
        <v>91970116</v>
      </c>
      <c r="D14081">
        <v>89301167</v>
      </c>
      <c r="E14081" t="str">
        <f t="shared" si="2525"/>
        <v>481021191</v>
      </c>
      <c r="F14081" s="1">
        <v>45258</v>
      </c>
      <c r="G14081" t="str">
        <f>"81393"</f>
        <v>81393</v>
      </c>
      <c r="H14081">
        <v>1</v>
      </c>
      <c r="I14081">
        <v>24</v>
      </c>
      <c r="J14081">
        <v>0</v>
      </c>
      <c r="K14081" t="str">
        <f t="shared" si="2523"/>
        <v>801</v>
      </c>
      <c r="L14081">
        <v>20.16</v>
      </c>
    </row>
    <row r="14082" spans="1:12" x14ac:dyDescent="0.25">
      <c r="A14082" t="str">
        <f t="shared" ref="A14082:A14145" si="2526">"89301000"</f>
        <v>89301000</v>
      </c>
      <c r="B14082" t="str">
        <f t="shared" si="2524"/>
        <v>91970116</v>
      </c>
      <c r="C14082" t="str">
        <f t="shared" si="2524"/>
        <v>91970116</v>
      </c>
      <c r="D14082">
        <v>89301167</v>
      </c>
      <c r="E14082" t="str">
        <f t="shared" si="2525"/>
        <v>481021191</v>
      </c>
      <c r="F14082" s="1">
        <v>45258</v>
      </c>
      <c r="G14082" t="str">
        <f>"81469"</f>
        <v>81469</v>
      </c>
      <c r="H14082">
        <v>1</v>
      </c>
      <c r="I14082">
        <v>16</v>
      </c>
      <c r="J14082">
        <v>0</v>
      </c>
      <c r="K14082" t="str">
        <f t="shared" si="2523"/>
        <v>801</v>
      </c>
      <c r="L14082">
        <v>13.44</v>
      </c>
    </row>
    <row r="14083" spans="1:12" x14ac:dyDescent="0.25">
      <c r="A14083" t="str">
        <f t="shared" si="2526"/>
        <v>89301000</v>
      </c>
      <c r="B14083" t="str">
        <f t="shared" si="2524"/>
        <v>91970116</v>
      </c>
      <c r="C14083" t="str">
        <f t="shared" si="2524"/>
        <v>91970116</v>
      </c>
      <c r="D14083">
        <v>89301167</v>
      </c>
      <c r="E14083" t="str">
        <f t="shared" si="2525"/>
        <v>481021191</v>
      </c>
      <c r="F14083" s="1">
        <v>45258</v>
      </c>
      <c r="G14083" t="str">
        <f>"93195"</f>
        <v>93195</v>
      </c>
      <c r="H14083">
        <v>1</v>
      </c>
      <c r="I14083">
        <v>183</v>
      </c>
      <c r="J14083">
        <v>0</v>
      </c>
      <c r="K14083" t="str">
        <f t="shared" si="2523"/>
        <v>801</v>
      </c>
      <c r="L14083">
        <v>153.72</v>
      </c>
    </row>
    <row r="14084" spans="1:12" x14ac:dyDescent="0.25">
      <c r="A14084" t="str">
        <f t="shared" si="2526"/>
        <v>89301000</v>
      </c>
      <c r="B14084" t="str">
        <f t="shared" si="2524"/>
        <v>91970116</v>
      </c>
      <c r="C14084" t="str">
        <f t="shared" si="2524"/>
        <v>91970116</v>
      </c>
      <c r="D14084">
        <v>89301167</v>
      </c>
      <c r="E14084" t="str">
        <f t="shared" si="2525"/>
        <v>481021191</v>
      </c>
      <c r="F14084" s="1">
        <v>45258</v>
      </c>
      <c r="G14084" t="str">
        <f>"93189"</f>
        <v>93189</v>
      </c>
      <c r="H14084">
        <v>1</v>
      </c>
      <c r="I14084">
        <v>191</v>
      </c>
      <c r="J14084">
        <v>0</v>
      </c>
      <c r="K14084" t="str">
        <f t="shared" si="2523"/>
        <v>801</v>
      </c>
      <c r="L14084">
        <v>160.44</v>
      </c>
    </row>
    <row r="14085" spans="1:12" x14ac:dyDescent="0.25">
      <c r="A14085" t="str">
        <f t="shared" si="2526"/>
        <v>89301000</v>
      </c>
      <c r="B14085" t="str">
        <f t="shared" si="2524"/>
        <v>91970116</v>
      </c>
      <c r="C14085" t="str">
        <f t="shared" si="2524"/>
        <v>91970116</v>
      </c>
      <c r="D14085">
        <v>89301167</v>
      </c>
      <c r="E14085" t="str">
        <f t="shared" si="2525"/>
        <v>481021191</v>
      </c>
      <c r="F14085" s="1">
        <v>45258</v>
      </c>
      <c r="G14085" t="str">
        <f>"81249"</f>
        <v>81249</v>
      </c>
      <c r="H14085">
        <v>1</v>
      </c>
      <c r="I14085">
        <v>334</v>
      </c>
      <c r="J14085">
        <v>0</v>
      </c>
      <c r="K14085" t="str">
        <f t="shared" si="2523"/>
        <v>801</v>
      </c>
      <c r="L14085">
        <v>280.56</v>
      </c>
    </row>
    <row r="14086" spans="1:12" x14ac:dyDescent="0.25">
      <c r="A14086" t="str">
        <f t="shared" si="2526"/>
        <v>89301000</v>
      </c>
      <c r="B14086" t="str">
        <f t="shared" si="2524"/>
        <v>91970116</v>
      </c>
      <c r="C14086" t="str">
        <f t="shared" si="2524"/>
        <v>91970116</v>
      </c>
      <c r="D14086">
        <v>89301167</v>
      </c>
      <c r="E14086" t="str">
        <f t="shared" si="2525"/>
        <v>481021191</v>
      </c>
      <c r="F14086" s="1">
        <v>45258</v>
      </c>
      <c r="G14086" t="str">
        <f>"81235"</f>
        <v>81235</v>
      </c>
      <c r="H14086">
        <v>1</v>
      </c>
      <c r="I14086">
        <v>498</v>
      </c>
      <c r="J14086">
        <v>0</v>
      </c>
      <c r="K14086" t="str">
        <f t="shared" si="2523"/>
        <v>801</v>
      </c>
      <c r="L14086">
        <v>418.32</v>
      </c>
    </row>
    <row r="14087" spans="1:12" x14ac:dyDescent="0.25">
      <c r="A14087" t="str">
        <f t="shared" si="2526"/>
        <v>89301000</v>
      </c>
      <c r="B14087" t="str">
        <f t="shared" si="2524"/>
        <v>91970116</v>
      </c>
      <c r="C14087" t="str">
        <f t="shared" si="2524"/>
        <v>91970116</v>
      </c>
      <c r="D14087">
        <v>89301167</v>
      </c>
      <c r="E14087" t="str">
        <f t="shared" si="2525"/>
        <v>481021191</v>
      </c>
      <c r="F14087" s="1">
        <v>45258</v>
      </c>
      <c r="G14087" t="str">
        <f>"93131"</f>
        <v>93131</v>
      </c>
      <c r="H14087">
        <v>1</v>
      </c>
      <c r="I14087">
        <v>197</v>
      </c>
      <c r="J14087">
        <v>0</v>
      </c>
      <c r="K14087" t="str">
        <f t="shared" si="2523"/>
        <v>801</v>
      </c>
      <c r="L14087">
        <v>165.48</v>
      </c>
    </row>
    <row r="14088" spans="1:12" x14ac:dyDescent="0.25">
      <c r="A14088" t="str">
        <f t="shared" si="2526"/>
        <v>89301000</v>
      </c>
      <c r="B14088" t="str">
        <f t="shared" ref="B14088:B14113" si="2527">"91970116"</f>
        <v>91970116</v>
      </c>
      <c r="C14088" t="str">
        <f>"91970115"</f>
        <v>91970115</v>
      </c>
      <c r="D14088">
        <v>89301167</v>
      </c>
      <c r="E14088" t="str">
        <f t="shared" si="2525"/>
        <v>481021191</v>
      </c>
      <c r="F14088" s="1">
        <v>45258</v>
      </c>
      <c r="G14088" t="str">
        <f>"96163"</f>
        <v>96163</v>
      </c>
      <c r="H14088">
        <v>1</v>
      </c>
      <c r="I14088">
        <v>28</v>
      </c>
      <c r="J14088">
        <v>0</v>
      </c>
      <c r="K14088" t="str">
        <f>"818"</f>
        <v>818</v>
      </c>
      <c r="L14088">
        <v>27.16</v>
      </c>
    </row>
    <row r="14089" spans="1:12" x14ac:dyDescent="0.25">
      <c r="A14089" t="str">
        <f t="shared" si="2526"/>
        <v>89301000</v>
      </c>
      <c r="B14089" t="str">
        <f t="shared" si="2527"/>
        <v>91970116</v>
      </c>
      <c r="C14089" t="str">
        <f>"91970115"</f>
        <v>91970115</v>
      </c>
      <c r="D14089">
        <v>89301167</v>
      </c>
      <c r="E14089" t="str">
        <f t="shared" si="2525"/>
        <v>481021191</v>
      </c>
      <c r="F14089" s="1">
        <v>45258</v>
      </c>
      <c r="G14089" t="str">
        <f>"96315"</f>
        <v>96315</v>
      </c>
      <c r="H14089">
        <v>1</v>
      </c>
      <c r="I14089">
        <v>30</v>
      </c>
      <c r="J14089">
        <v>0</v>
      </c>
      <c r="K14089" t="str">
        <f>"818"</f>
        <v>818</v>
      </c>
      <c r="L14089">
        <v>29.1</v>
      </c>
    </row>
    <row r="14090" spans="1:12" x14ac:dyDescent="0.25">
      <c r="A14090" t="str">
        <f t="shared" si="2526"/>
        <v>89301000</v>
      </c>
      <c r="B14090" t="str">
        <f t="shared" si="2527"/>
        <v>91970116</v>
      </c>
      <c r="C14090" t="str">
        <f>"91970115"</f>
        <v>91970115</v>
      </c>
      <c r="D14090">
        <v>89301167</v>
      </c>
      <c r="E14090" t="str">
        <f t="shared" si="2525"/>
        <v>481021191</v>
      </c>
      <c r="F14090" s="1">
        <v>45258</v>
      </c>
      <c r="G14090" t="str">
        <f>"96711"</f>
        <v>96711</v>
      </c>
      <c r="H14090">
        <v>1</v>
      </c>
      <c r="I14090">
        <v>28</v>
      </c>
      <c r="J14090">
        <v>0</v>
      </c>
      <c r="K14090" t="str">
        <f>"818"</f>
        <v>818</v>
      </c>
      <c r="L14090">
        <v>27.16</v>
      </c>
    </row>
    <row r="14091" spans="1:12" x14ac:dyDescent="0.25">
      <c r="A14091" t="str">
        <f t="shared" si="2526"/>
        <v>89301000</v>
      </c>
      <c r="B14091" t="str">
        <f t="shared" si="2527"/>
        <v>91970116</v>
      </c>
      <c r="C14091" t="str">
        <f>"91970115"</f>
        <v>91970115</v>
      </c>
      <c r="D14091">
        <v>89301167</v>
      </c>
      <c r="E14091" t="str">
        <f t="shared" si="2525"/>
        <v>481021191</v>
      </c>
      <c r="F14091" s="1">
        <v>45258</v>
      </c>
      <c r="G14091" t="str">
        <f>"96713"</f>
        <v>96713</v>
      </c>
      <c r="H14091">
        <v>1</v>
      </c>
      <c r="I14091">
        <v>14</v>
      </c>
      <c r="J14091">
        <v>0</v>
      </c>
      <c r="K14091" t="str">
        <f>"818"</f>
        <v>818</v>
      </c>
      <c r="L14091">
        <v>13.58</v>
      </c>
    </row>
    <row r="14092" spans="1:12" x14ac:dyDescent="0.25">
      <c r="A14092" t="str">
        <f t="shared" si="2526"/>
        <v>89301000</v>
      </c>
      <c r="B14092" t="str">
        <f t="shared" si="2527"/>
        <v>91970116</v>
      </c>
      <c r="C14092" t="str">
        <f t="shared" ref="C14092:C14108" si="2528">"91970116"</f>
        <v>91970116</v>
      </c>
      <c r="D14092">
        <v>89301167</v>
      </c>
      <c r="E14092" t="str">
        <f t="shared" ref="E14092:E14113" si="2529">"530220073"</f>
        <v>530220073</v>
      </c>
      <c r="F14092" s="1">
        <v>45233</v>
      </c>
      <c r="G14092" t="str">
        <f>"97111"</f>
        <v>97111</v>
      </c>
      <c r="H14092">
        <v>1</v>
      </c>
      <c r="I14092">
        <v>19</v>
      </c>
      <c r="J14092">
        <v>0</v>
      </c>
      <c r="K14092" t="str">
        <f t="shared" ref="K14092:K14108" si="2530">"801"</f>
        <v>801</v>
      </c>
      <c r="L14092">
        <v>23.94</v>
      </c>
    </row>
    <row r="14093" spans="1:12" x14ac:dyDescent="0.25">
      <c r="A14093" t="str">
        <f t="shared" si="2526"/>
        <v>89301000</v>
      </c>
      <c r="B14093" t="str">
        <f t="shared" si="2527"/>
        <v>91970116</v>
      </c>
      <c r="C14093" t="str">
        <f t="shared" si="2528"/>
        <v>91970116</v>
      </c>
      <c r="D14093">
        <v>89301167</v>
      </c>
      <c r="E14093" t="str">
        <f t="shared" si="2529"/>
        <v>530220073</v>
      </c>
      <c r="F14093" s="1">
        <v>45233</v>
      </c>
      <c r="G14093" t="str">
        <f>"81625"</f>
        <v>81625</v>
      </c>
      <c r="H14093">
        <v>1</v>
      </c>
      <c r="I14093">
        <v>21</v>
      </c>
      <c r="J14093">
        <v>0</v>
      </c>
      <c r="K14093" t="str">
        <f t="shared" si="2530"/>
        <v>801</v>
      </c>
      <c r="L14093">
        <v>17.64</v>
      </c>
    </row>
    <row r="14094" spans="1:12" x14ac:dyDescent="0.25">
      <c r="A14094" t="str">
        <f t="shared" si="2526"/>
        <v>89301000</v>
      </c>
      <c r="B14094" t="str">
        <f t="shared" si="2527"/>
        <v>91970116</v>
      </c>
      <c r="C14094" t="str">
        <f t="shared" si="2528"/>
        <v>91970116</v>
      </c>
      <c r="D14094">
        <v>89301167</v>
      </c>
      <c r="E14094" t="str">
        <f t="shared" si="2529"/>
        <v>530220073</v>
      </c>
      <c r="F14094" s="1">
        <v>45233</v>
      </c>
      <c r="G14094" t="str">
        <f>"81621"</f>
        <v>81621</v>
      </c>
      <c r="H14094">
        <v>1</v>
      </c>
      <c r="I14094">
        <v>19</v>
      </c>
      <c r="J14094">
        <v>0</v>
      </c>
      <c r="K14094" t="str">
        <f t="shared" si="2530"/>
        <v>801</v>
      </c>
      <c r="L14094">
        <v>15.96</v>
      </c>
    </row>
    <row r="14095" spans="1:12" x14ac:dyDescent="0.25">
      <c r="A14095" t="str">
        <f t="shared" si="2526"/>
        <v>89301000</v>
      </c>
      <c r="B14095" t="str">
        <f t="shared" si="2527"/>
        <v>91970116</v>
      </c>
      <c r="C14095" t="str">
        <f t="shared" si="2528"/>
        <v>91970116</v>
      </c>
      <c r="D14095">
        <v>89301167</v>
      </c>
      <c r="E14095" t="str">
        <f t="shared" si="2529"/>
        <v>530220073</v>
      </c>
      <c r="F14095" s="1">
        <v>45233</v>
      </c>
      <c r="G14095" t="str">
        <f>"81499"</f>
        <v>81499</v>
      </c>
      <c r="H14095">
        <v>1</v>
      </c>
      <c r="I14095">
        <v>18</v>
      </c>
      <c r="J14095">
        <v>0</v>
      </c>
      <c r="K14095" t="str">
        <f t="shared" si="2530"/>
        <v>801</v>
      </c>
      <c r="L14095">
        <v>15.12</v>
      </c>
    </row>
    <row r="14096" spans="1:12" x14ac:dyDescent="0.25">
      <c r="A14096" t="str">
        <f t="shared" si="2526"/>
        <v>89301000</v>
      </c>
      <c r="B14096" t="str">
        <f t="shared" si="2527"/>
        <v>91970116</v>
      </c>
      <c r="C14096" t="str">
        <f t="shared" si="2528"/>
        <v>91970116</v>
      </c>
      <c r="D14096">
        <v>89301167</v>
      </c>
      <c r="E14096" t="str">
        <f t="shared" si="2529"/>
        <v>530220073</v>
      </c>
      <c r="F14096" s="1">
        <v>45233</v>
      </c>
      <c r="G14096" t="str">
        <f>"81523"</f>
        <v>81523</v>
      </c>
      <c r="H14096">
        <v>1</v>
      </c>
      <c r="I14096">
        <v>23</v>
      </c>
      <c r="J14096">
        <v>0</v>
      </c>
      <c r="K14096" t="str">
        <f t="shared" si="2530"/>
        <v>801</v>
      </c>
      <c r="L14096">
        <v>19.32</v>
      </c>
    </row>
    <row r="14097" spans="1:12" x14ac:dyDescent="0.25">
      <c r="A14097" t="str">
        <f t="shared" si="2526"/>
        <v>89301000</v>
      </c>
      <c r="B14097" t="str">
        <f t="shared" si="2527"/>
        <v>91970116</v>
      </c>
      <c r="C14097" t="str">
        <f t="shared" si="2528"/>
        <v>91970116</v>
      </c>
      <c r="D14097">
        <v>89301167</v>
      </c>
      <c r="E14097" t="str">
        <f t="shared" si="2529"/>
        <v>530220073</v>
      </c>
      <c r="F14097" s="1">
        <v>45233</v>
      </c>
      <c r="G14097" t="str">
        <f>"81361"</f>
        <v>81361</v>
      </c>
      <c r="H14097">
        <v>1</v>
      </c>
      <c r="I14097">
        <v>17</v>
      </c>
      <c r="J14097">
        <v>0</v>
      </c>
      <c r="K14097" t="str">
        <f t="shared" si="2530"/>
        <v>801</v>
      </c>
      <c r="L14097">
        <v>14.28</v>
      </c>
    </row>
    <row r="14098" spans="1:12" x14ac:dyDescent="0.25">
      <c r="A14098" t="str">
        <f t="shared" si="2526"/>
        <v>89301000</v>
      </c>
      <c r="B14098" t="str">
        <f t="shared" si="2527"/>
        <v>91970116</v>
      </c>
      <c r="C14098" t="str">
        <f t="shared" si="2528"/>
        <v>91970116</v>
      </c>
      <c r="D14098">
        <v>89301167</v>
      </c>
      <c r="E14098" t="str">
        <f t="shared" si="2529"/>
        <v>530220073</v>
      </c>
      <c r="F14098" s="1">
        <v>45233</v>
      </c>
      <c r="G14098" t="str">
        <f>"81337"</f>
        <v>81337</v>
      </c>
      <c r="H14098">
        <v>1</v>
      </c>
      <c r="I14098">
        <v>20</v>
      </c>
      <c r="J14098">
        <v>0</v>
      </c>
      <c r="K14098" t="str">
        <f t="shared" si="2530"/>
        <v>801</v>
      </c>
      <c r="L14098">
        <v>16.8</v>
      </c>
    </row>
    <row r="14099" spans="1:12" x14ac:dyDescent="0.25">
      <c r="A14099" t="str">
        <f t="shared" si="2526"/>
        <v>89301000</v>
      </c>
      <c r="B14099" t="str">
        <f t="shared" si="2527"/>
        <v>91970116</v>
      </c>
      <c r="C14099" t="str">
        <f t="shared" si="2528"/>
        <v>91970116</v>
      </c>
      <c r="D14099">
        <v>89301167</v>
      </c>
      <c r="E14099" t="str">
        <f t="shared" si="2529"/>
        <v>530220073</v>
      </c>
      <c r="F14099" s="1">
        <v>45233</v>
      </c>
      <c r="G14099" t="str">
        <f>"81357"</f>
        <v>81357</v>
      </c>
      <c r="H14099">
        <v>1</v>
      </c>
      <c r="I14099">
        <v>20</v>
      </c>
      <c r="J14099">
        <v>0</v>
      </c>
      <c r="K14099" t="str">
        <f t="shared" si="2530"/>
        <v>801</v>
      </c>
      <c r="L14099">
        <v>16.8</v>
      </c>
    </row>
    <row r="14100" spans="1:12" x14ac:dyDescent="0.25">
      <c r="A14100" t="str">
        <f t="shared" si="2526"/>
        <v>89301000</v>
      </c>
      <c r="B14100" t="str">
        <f t="shared" si="2527"/>
        <v>91970116</v>
      </c>
      <c r="C14100" t="str">
        <f t="shared" si="2528"/>
        <v>91970116</v>
      </c>
      <c r="D14100">
        <v>89301167</v>
      </c>
      <c r="E14100" t="str">
        <f t="shared" si="2529"/>
        <v>530220073</v>
      </c>
      <c r="F14100" s="1">
        <v>45233</v>
      </c>
      <c r="G14100" t="str">
        <f>"81421"</f>
        <v>81421</v>
      </c>
      <c r="H14100">
        <v>1</v>
      </c>
      <c r="I14100">
        <v>19</v>
      </c>
      <c r="J14100">
        <v>0</v>
      </c>
      <c r="K14100" t="str">
        <f t="shared" si="2530"/>
        <v>801</v>
      </c>
      <c r="L14100">
        <v>15.96</v>
      </c>
    </row>
    <row r="14101" spans="1:12" x14ac:dyDescent="0.25">
      <c r="A14101" t="str">
        <f t="shared" si="2526"/>
        <v>89301000</v>
      </c>
      <c r="B14101" t="str">
        <f t="shared" si="2527"/>
        <v>91970116</v>
      </c>
      <c r="C14101" t="str">
        <f t="shared" si="2528"/>
        <v>91970116</v>
      </c>
      <c r="D14101">
        <v>89301167</v>
      </c>
      <c r="E14101" t="str">
        <f t="shared" si="2529"/>
        <v>530220073</v>
      </c>
      <c r="F14101" s="1">
        <v>45233</v>
      </c>
      <c r="G14101" t="str">
        <f>"81435"</f>
        <v>81435</v>
      </c>
      <c r="H14101">
        <v>1</v>
      </c>
      <c r="I14101">
        <v>22</v>
      </c>
      <c r="J14101">
        <v>0</v>
      </c>
      <c r="K14101" t="str">
        <f t="shared" si="2530"/>
        <v>801</v>
      </c>
      <c r="L14101">
        <v>18.48</v>
      </c>
    </row>
    <row r="14102" spans="1:12" x14ac:dyDescent="0.25">
      <c r="A14102" t="str">
        <f t="shared" si="2526"/>
        <v>89301000</v>
      </c>
      <c r="B14102" t="str">
        <f t="shared" si="2527"/>
        <v>91970116</v>
      </c>
      <c r="C14102" t="str">
        <f t="shared" si="2528"/>
        <v>91970116</v>
      </c>
      <c r="D14102">
        <v>89301167</v>
      </c>
      <c r="E14102" t="str">
        <f t="shared" si="2529"/>
        <v>530220073</v>
      </c>
      <c r="F14102" s="1">
        <v>45233</v>
      </c>
      <c r="G14102" t="str">
        <f>"81439"</f>
        <v>81439</v>
      </c>
      <c r="H14102">
        <v>1</v>
      </c>
      <c r="I14102">
        <v>16</v>
      </c>
      <c r="J14102">
        <v>0</v>
      </c>
      <c r="K14102" t="str">
        <f t="shared" si="2530"/>
        <v>801</v>
      </c>
      <c r="L14102">
        <v>13.44</v>
      </c>
    </row>
    <row r="14103" spans="1:12" x14ac:dyDescent="0.25">
      <c r="A14103" t="str">
        <f t="shared" si="2526"/>
        <v>89301000</v>
      </c>
      <c r="B14103" t="str">
        <f t="shared" si="2527"/>
        <v>91970116</v>
      </c>
      <c r="C14103" t="str">
        <f t="shared" si="2528"/>
        <v>91970116</v>
      </c>
      <c r="D14103">
        <v>89301167</v>
      </c>
      <c r="E14103" t="str">
        <f t="shared" si="2529"/>
        <v>530220073</v>
      </c>
      <c r="F14103" s="1">
        <v>45233</v>
      </c>
      <c r="G14103" t="str">
        <f>"91153"</f>
        <v>91153</v>
      </c>
      <c r="H14103">
        <v>1</v>
      </c>
      <c r="I14103">
        <v>153</v>
      </c>
      <c r="J14103">
        <v>0</v>
      </c>
      <c r="K14103" t="str">
        <f t="shared" si="2530"/>
        <v>801</v>
      </c>
      <c r="L14103">
        <v>128.52000000000001</v>
      </c>
    </row>
    <row r="14104" spans="1:12" x14ac:dyDescent="0.25">
      <c r="A14104" t="str">
        <f t="shared" si="2526"/>
        <v>89301000</v>
      </c>
      <c r="B14104" t="str">
        <f t="shared" si="2527"/>
        <v>91970116</v>
      </c>
      <c r="C14104" t="str">
        <f t="shared" si="2528"/>
        <v>91970116</v>
      </c>
      <c r="D14104">
        <v>89301167</v>
      </c>
      <c r="E14104" t="str">
        <f t="shared" si="2529"/>
        <v>530220073</v>
      </c>
      <c r="F14104" s="1">
        <v>45233</v>
      </c>
      <c r="G14104" t="str">
        <f>"81511"</f>
        <v>81511</v>
      </c>
      <c r="H14104">
        <v>1</v>
      </c>
      <c r="I14104">
        <v>10</v>
      </c>
      <c r="J14104">
        <v>0</v>
      </c>
      <c r="K14104" t="str">
        <f t="shared" si="2530"/>
        <v>801</v>
      </c>
      <c r="L14104">
        <v>8.4</v>
      </c>
    </row>
    <row r="14105" spans="1:12" x14ac:dyDescent="0.25">
      <c r="A14105" t="str">
        <f t="shared" si="2526"/>
        <v>89301000</v>
      </c>
      <c r="B14105" t="str">
        <f t="shared" si="2527"/>
        <v>91970116</v>
      </c>
      <c r="C14105" t="str">
        <f t="shared" si="2528"/>
        <v>91970116</v>
      </c>
      <c r="D14105">
        <v>89301167</v>
      </c>
      <c r="E14105" t="str">
        <f t="shared" si="2529"/>
        <v>530220073</v>
      </c>
      <c r="F14105" s="1">
        <v>45233</v>
      </c>
      <c r="G14105" t="str">
        <f>"81593"</f>
        <v>81593</v>
      </c>
      <c r="H14105">
        <v>1</v>
      </c>
      <c r="I14105">
        <v>22</v>
      </c>
      <c r="J14105">
        <v>0</v>
      </c>
      <c r="K14105" t="str">
        <f t="shared" si="2530"/>
        <v>801</v>
      </c>
      <c r="L14105">
        <v>18.48</v>
      </c>
    </row>
    <row r="14106" spans="1:12" x14ac:dyDescent="0.25">
      <c r="A14106" t="str">
        <f t="shared" si="2526"/>
        <v>89301000</v>
      </c>
      <c r="B14106" t="str">
        <f t="shared" si="2527"/>
        <v>91970116</v>
      </c>
      <c r="C14106" t="str">
        <f t="shared" si="2528"/>
        <v>91970116</v>
      </c>
      <c r="D14106">
        <v>89301167</v>
      </c>
      <c r="E14106" t="str">
        <f t="shared" si="2529"/>
        <v>530220073</v>
      </c>
      <c r="F14106" s="1">
        <v>45233</v>
      </c>
      <c r="G14106" t="str">
        <f>"81393"</f>
        <v>81393</v>
      </c>
      <c r="H14106">
        <v>1</v>
      </c>
      <c r="I14106">
        <v>24</v>
      </c>
      <c r="J14106">
        <v>0</v>
      </c>
      <c r="K14106" t="str">
        <f t="shared" si="2530"/>
        <v>801</v>
      </c>
      <c r="L14106">
        <v>20.16</v>
      </c>
    </row>
    <row r="14107" spans="1:12" x14ac:dyDescent="0.25">
      <c r="A14107" t="str">
        <f t="shared" si="2526"/>
        <v>89301000</v>
      </c>
      <c r="B14107" t="str">
        <f t="shared" si="2527"/>
        <v>91970116</v>
      </c>
      <c r="C14107" t="str">
        <f t="shared" si="2528"/>
        <v>91970116</v>
      </c>
      <c r="D14107">
        <v>89301167</v>
      </c>
      <c r="E14107" t="str">
        <f t="shared" si="2529"/>
        <v>530220073</v>
      </c>
      <c r="F14107" s="1">
        <v>45233</v>
      </c>
      <c r="G14107" t="str">
        <f>"81469"</f>
        <v>81469</v>
      </c>
      <c r="H14107">
        <v>1</v>
      </c>
      <c r="I14107">
        <v>16</v>
      </c>
      <c r="J14107">
        <v>0</v>
      </c>
      <c r="K14107" t="str">
        <f t="shared" si="2530"/>
        <v>801</v>
      </c>
      <c r="L14107">
        <v>13.44</v>
      </c>
    </row>
    <row r="14108" spans="1:12" x14ac:dyDescent="0.25">
      <c r="A14108" t="str">
        <f t="shared" si="2526"/>
        <v>89301000</v>
      </c>
      <c r="B14108" t="str">
        <f t="shared" si="2527"/>
        <v>91970116</v>
      </c>
      <c r="C14108" t="str">
        <f t="shared" si="2528"/>
        <v>91970116</v>
      </c>
      <c r="D14108">
        <v>89301167</v>
      </c>
      <c r="E14108" t="str">
        <f t="shared" si="2529"/>
        <v>530220073</v>
      </c>
      <c r="F14108" s="1">
        <v>45233</v>
      </c>
      <c r="G14108" t="str">
        <f>"81249"</f>
        <v>81249</v>
      </c>
      <c r="H14108">
        <v>1</v>
      </c>
      <c r="I14108">
        <v>334</v>
      </c>
      <c r="J14108">
        <v>0</v>
      </c>
      <c r="K14108" t="str">
        <f t="shared" si="2530"/>
        <v>801</v>
      </c>
      <c r="L14108">
        <v>280.56</v>
      </c>
    </row>
    <row r="14109" spans="1:12" x14ac:dyDescent="0.25">
      <c r="A14109" t="str">
        <f t="shared" si="2526"/>
        <v>89301000</v>
      </c>
      <c r="B14109" t="str">
        <f t="shared" si="2527"/>
        <v>91970116</v>
      </c>
      <c r="C14109" t="str">
        <f>"91970115"</f>
        <v>91970115</v>
      </c>
      <c r="D14109">
        <v>89301167</v>
      </c>
      <c r="E14109" t="str">
        <f t="shared" si="2529"/>
        <v>530220073</v>
      </c>
      <c r="F14109" s="1">
        <v>45233</v>
      </c>
      <c r="G14109" t="str">
        <f>"09119"</f>
        <v>09119</v>
      </c>
      <c r="H14109">
        <v>1</v>
      </c>
      <c r="I14109">
        <v>43</v>
      </c>
      <c r="J14109">
        <v>0</v>
      </c>
      <c r="K14109" t="str">
        <f>"818"</f>
        <v>818</v>
      </c>
      <c r="L14109">
        <v>54.18</v>
      </c>
    </row>
    <row r="14110" spans="1:12" x14ac:dyDescent="0.25">
      <c r="A14110" t="str">
        <f t="shared" si="2526"/>
        <v>89301000</v>
      </c>
      <c r="B14110" t="str">
        <f t="shared" si="2527"/>
        <v>91970116</v>
      </c>
      <c r="C14110" t="str">
        <f>"91970115"</f>
        <v>91970115</v>
      </c>
      <c r="D14110">
        <v>89301167</v>
      </c>
      <c r="E14110" t="str">
        <f t="shared" si="2529"/>
        <v>530220073</v>
      </c>
      <c r="F14110" s="1">
        <v>45233</v>
      </c>
      <c r="G14110" t="str">
        <f>"96163"</f>
        <v>96163</v>
      </c>
      <c r="H14110">
        <v>1</v>
      </c>
      <c r="I14110">
        <v>28</v>
      </c>
      <c r="J14110">
        <v>0</v>
      </c>
      <c r="K14110" t="str">
        <f>"818"</f>
        <v>818</v>
      </c>
      <c r="L14110">
        <v>27.16</v>
      </c>
    </row>
    <row r="14111" spans="1:12" x14ac:dyDescent="0.25">
      <c r="A14111" t="str">
        <f t="shared" si="2526"/>
        <v>89301000</v>
      </c>
      <c r="B14111" t="str">
        <f t="shared" si="2527"/>
        <v>91970116</v>
      </c>
      <c r="C14111" t="str">
        <f>"91970115"</f>
        <v>91970115</v>
      </c>
      <c r="D14111">
        <v>89301167</v>
      </c>
      <c r="E14111" t="str">
        <f t="shared" si="2529"/>
        <v>530220073</v>
      </c>
      <c r="F14111" s="1">
        <v>45233</v>
      </c>
      <c r="G14111" t="str">
        <f>"96315"</f>
        <v>96315</v>
      </c>
      <c r="H14111">
        <v>1</v>
      </c>
      <c r="I14111">
        <v>30</v>
      </c>
      <c r="J14111">
        <v>0</v>
      </c>
      <c r="K14111" t="str">
        <f>"818"</f>
        <v>818</v>
      </c>
      <c r="L14111">
        <v>29.1</v>
      </c>
    </row>
    <row r="14112" spans="1:12" x14ac:dyDescent="0.25">
      <c r="A14112" t="str">
        <f t="shared" si="2526"/>
        <v>89301000</v>
      </c>
      <c r="B14112" t="str">
        <f t="shared" si="2527"/>
        <v>91970116</v>
      </c>
      <c r="C14112" t="str">
        <f>"91970115"</f>
        <v>91970115</v>
      </c>
      <c r="D14112">
        <v>89301167</v>
      </c>
      <c r="E14112" t="str">
        <f t="shared" si="2529"/>
        <v>530220073</v>
      </c>
      <c r="F14112" s="1">
        <v>45233</v>
      </c>
      <c r="G14112" t="str">
        <f>"96711"</f>
        <v>96711</v>
      </c>
      <c r="H14112">
        <v>1</v>
      </c>
      <c r="I14112">
        <v>28</v>
      </c>
      <c r="J14112">
        <v>0</v>
      </c>
      <c r="K14112" t="str">
        <f>"818"</f>
        <v>818</v>
      </c>
      <c r="L14112">
        <v>27.16</v>
      </c>
    </row>
    <row r="14113" spans="1:12" x14ac:dyDescent="0.25">
      <c r="A14113" t="str">
        <f t="shared" si="2526"/>
        <v>89301000</v>
      </c>
      <c r="B14113" t="str">
        <f t="shared" si="2527"/>
        <v>91970116</v>
      </c>
      <c r="C14113" t="str">
        <f>"91970115"</f>
        <v>91970115</v>
      </c>
      <c r="D14113">
        <v>89301167</v>
      </c>
      <c r="E14113" t="str">
        <f t="shared" si="2529"/>
        <v>530220073</v>
      </c>
      <c r="F14113" s="1">
        <v>45233</v>
      </c>
      <c r="G14113" t="str">
        <f>"96713"</f>
        <v>96713</v>
      </c>
      <c r="H14113">
        <v>1</v>
      </c>
      <c r="I14113">
        <v>14</v>
      </c>
      <c r="J14113">
        <v>0</v>
      </c>
      <c r="K14113" t="str">
        <f>"818"</f>
        <v>818</v>
      </c>
      <c r="L14113">
        <v>13.58</v>
      </c>
    </row>
    <row r="14114" spans="1:12" x14ac:dyDescent="0.25">
      <c r="A14114" t="str">
        <f t="shared" si="2526"/>
        <v>89301000</v>
      </c>
      <c r="B14114" t="str">
        <f>"86988400"</f>
        <v>86988400</v>
      </c>
      <c r="C14114" t="str">
        <f>"86988401"</f>
        <v>86988401</v>
      </c>
      <c r="D14114">
        <v>89301112</v>
      </c>
      <c r="E14114" t="str">
        <f>"5652021441"</f>
        <v>5652021441</v>
      </c>
      <c r="F14114" s="1">
        <v>45255</v>
      </c>
      <c r="G14114" t="str">
        <f>"89713"</f>
        <v>89713</v>
      </c>
      <c r="H14114">
        <v>1</v>
      </c>
      <c r="I14114">
        <v>5411</v>
      </c>
      <c r="J14114">
        <v>0</v>
      </c>
      <c r="K14114" t="str">
        <f>"809"</f>
        <v>809</v>
      </c>
      <c r="L14114">
        <v>3517.15</v>
      </c>
    </row>
    <row r="14115" spans="1:12" x14ac:dyDescent="0.25">
      <c r="A14115" t="str">
        <f t="shared" si="2526"/>
        <v>89301000</v>
      </c>
      <c r="B14115" t="str">
        <f>"86988400"</f>
        <v>86988400</v>
      </c>
      <c r="C14115" t="str">
        <f>"86988401"</f>
        <v>86988401</v>
      </c>
      <c r="D14115">
        <v>89301112</v>
      </c>
      <c r="E14115" t="str">
        <f>"5652021441"</f>
        <v>5652021441</v>
      </c>
      <c r="F14115" s="1">
        <v>45255</v>
      </c>
      <c r="G14115" t="str">
        <f>"89725"</f>
        <v>89725</v>
      </c>
      <c r="H14115">
        <v>1</v>
      </c>
      <c r="I14115">
        <v>2863</v>
      </c>
      <c r="J14115">
        <v>0</v>
      </c>
      <c r="K14115" t="str">
        <f>"809"</f>
        <v>809</v>
      </c>
      <c r="L14115">
        <v>1860.95</v>
      </c>
    </row>
    <row r="14116" spans="1:12" x14ac:dyDescent="0.25">
      <c r="A14116" t="str">
        <f t="shared" si="2526"/>
        <v>89301000</v>
      </c>
      <c r="B14116" t="str">
        <f>"86988400"</f>
        <v>86988400</v>
      </c>
      <c r="C14116" t="str">
        <f>"86988401"</f>
        <v>86988401</v>
      </c>
      <c r="D14116">
        <v>89301172</v>
      </c>
      <c r="E14116" t="str">
        <f>"6304131174"</f>
        <v>6304131174</v>
      </c>
      <c r="F14116" s="1">
        <v>45232</v>
      </c>
      <c r="G14116" t="str">
        <f>"89713"</f>
        <v>89713</v>
      </c>
      <c r="H14116">
        <v>1</v>
      </c>
      <c r="I14116">
        <v>5411</v>
      </c>
      <c r="J14116">
        <v>0</v>
      </c>
      <c r="K14116" t="str">
        <f>"809"</f>
        <v>809</v>
      </c>
      <c r="L14116">
        <v>3517.15</v>
      </c>
    </row>
    <row r="14117" spans="1:12" x14ac:dyDescent="0.25">
      <c r="A14117" t="str">
        <f t="shared" si="2526"/>
        <v>89301000</v>
      </c>
      <c r="B14117" t="str">
        <f>"02383000"</f>
        <v>02383000</v>
      </c>
      <c r="C14117" t="str">
        <f>"02383006"</f>
        <v>02383006</v>
      </c>
      <c r="D14117">
        <v>89301082</v>
      </c>
      <c r="E14117" t="str">
        <f>"9258160901"</f>
        <v>9258160901</v>
      </c>
      <c r="F14117" s="1">
        <v>45236</v>
      </c>
      <c r="G14117" t="str">
        <f>"97111"</f>
        <v>97111</v>
      </c>
      <c r="H14117">
        <v>1</v>
      </c>
      <c r="I14117">
        <v>19</v>
      </c>
      <c r="J14117">
        <v>0</v>
      </c>
      <c r="K14117" t="str">
        <f>"801"</f>
        <v>801</v>
      </c>
      <c r="L14117">
        <v>23.94</v>
      </c>
    </row>
    <row r="14118" spans="1:12" x14ac:dyDescent="0.25">
      <c r="A14118" t="str">
        <f t="shared" si="2526"/>
        <v>89301000</v>
      </c>
      <c r="B14118" t="str">
        <f>"02384000"</f>
        <v>02384000</v>
      </c>
      <c r="C14118" t="str">
        <f>"02384007"</f>
        <v>02384007</v>
      </c>
      <c r="D14118">
        <v>89301212</v>
      </c>
      <c r="E14118" t="str">
        <f>"6152260829"</f>
        <v>6152260829</v>
      </c>
      <c r="F14118" s="1">
        <v>45244</v>
      </c>
      <c r="G14118" t="str">
        <f>"89513"</f>
        <v>89513</v>
      </c>
      <c r="H14118">
        <v>1</v>
      </c>
      <c r="I14118">
        <v>378</v>
      </c>
      <c r="J14118">
        <v>0</v>
      </c>
      <c r="K14118" t="str">
        <f t="shared" ref="K14118:K14149" si="2531">"809"</f>
        <v>809</v>
      </c>
      <c r="L14118">
        <v>555.66</v>
      </c>
    </row>
    <row r="14119" spans="1:12" x14ac:dyDescent="0.25">
      <c r="A14119" t="str">
        <f t="shared" si="2526"/>
        <v>89301000</v>
      </c>
      <c r="B14119" t="str">
        <f>"02384000"</f>
        <v>02384000</v>
      </c>
      <c r="C14119" t="str">
        <f>"02384007"</f>
        <v>02384007</v>
      </c>
      <c r="D14119">
        <v>89301212</v>
      </c>
      <c r="E14119" t="str">
        <f>"6152260829"</f>
        <v>6152260829</v>
      </c>
      <c r="F14119" s="1">
        <v>45244</v>
      </c>
      <c r="G14119" t="str">
        <f>"89514"</f>
        <v>89514</v>
      </c>
      <c r="H14119">
        <v>1</v>
      </c>
      <c r="I14119">
        <v>378</v>
      </c>
      <c r="J14119">
        <v>0</v>
      </c>
      <c r="K14119" t="str">
        <f t="shared" si="2531"/>
        <v>809</v>
      </c>
      <c r="L14119">
        <v>555.66</v>
      </c>
    </row>
    <row r="14120" spans="1:12" x14ac:dyDescent="0.25">
      <c r="A14120" t="str">
        <f t="shared" si="2526"/>
        <v>89301000</v>
      </c>
      <c r="B14120" t="str">
        <f>"86210300"</f>
        <v>86210300</v>
      </c>
      <c r="C14120" t="str">
        <f>"86210220"</f>
        <v>86210220</v>
      </c>
      <c r="D14120">
        <v>89301212</v>
      </c>
      <c r="E14120" t="str">
        <f>"495423004"</f>
        <v>495423004</v>
      </c>
      <c r="F14120" s="1">
        <v>45252</v>
      </c>
      <c r="G14120" t="str">
        <f>"89180"</f>
        <v>89180</v>
      </c>
      <c r="H14120">
        <v>2</v>
      </c>
      <c r="I14120">
        <v>762</v>
      </c>
      <c r="J14120">
        <v>0</v>
      </c>
      <c r="K14120" t="str">
        <f t="shared" si="2531"/>
        <v>809</v>
      </c>
      <c r="L14120">
        <v>1120.1400000000001</v>
      </c>
    </row>
    <row r="14121" spans="1:12" x14ac:dyDescent="0.25">
      <c r="A14121" t="str">
        <f t="shared" si="2526"/>
        <v>89301000</v>
      </c>
      <c r="B14121" t="str">
        <f t="shared" ref="B14121:B14152" si="2532">"89383000"</f>
        <v>89383000</v>
      </c>
      <c r="C14121" t="str">
        <f t="shared" ref="C14121:C14152" si="2533">"89383002"</f>
        <v>89383002</v>
      </c>
      <c r="D14121">
        <v>89301212</v>
      </c>
      <c r="E14121" t="str">
        <f t="shared" ref="E14121:E14126" si="2534">"7356275344"</f>
        <v>7356275344</v>
      </c>
      <c r="F14121" s="1">
        <v>45231</v>
      </c>
      <c r="G14121" t="str">
        <f>"89813"</f>
        <v>89813</v>
      </c>
      <c r="H14121">
        <v>1</v>
      </c>
      <c r="I14121">
        <v>135</v>
      </c>
      <c r="J14121">
        <v>0</v>
      </c>
      <c r="K14121" t="str">
        <f t="shared" si="2531"/>
        <v>809</v>
      </c>
      <c r="L14121">
        <v>198.45</v>
      </c>
    </row>
    <row r="14122" spans="1:12" x14ac:dyDescent="0.25">
      <c r="A14122" t="str">
        <f t="shared" si="2526"/>
        <v>89301000</v>
      </c>
      <c r="B14122" t="str">
        <f t="shared" si="2532"/>
        <v>89383000</v>
      </c>
      <c r="C14122" t="str">
        <f t="shared" si="2533"/>
        <v>89383002</v>
      </c>
      <c r="D14122">
        <v>89301212</v>
      </c>
      <c r="E14122" t="str">
        <f t="shared" si="2534"/>
        <v>7356275344</v>
      </c>
      <c r="F14122" s="1">
        <v>45231</v>
      </c>
      <c r="G14122" t="str">
        <f>"89343"</f>
        <v>89343</v>
      </c>
      <c r="H14122">
        <v>1</v>
      </c>
      <c r="I14122">
        <v>5027</v>
      </c>
      <c r="J14122">
        <v>0</v>
      </c>
      <c r="K14122" t="str">
        <f t="shared" si="2531"/>
        <v>809</v>
      </c>
      <c r="L14122">
        <v>7389.69</v>
      </c>
    </row>
    <row r="14123" spans="1:12" x14ac:dyDescent="0.25">
      <c r="A14123" t="str">
        <f t="shared" si="2526"/>
        <v>89301000</v>
      </c>
      <c r="B14123" t="str">
        <f t="shared" si="2532"/>
        <v>89383000</v>
      </c>
      <c r="C14123" t="str">
        <f t="shared" si="2533"/>
        <v>89383002</v>
      </c>
      <c r="D14123">
        <v>89301212</v>
      </c>
      <c r="E14123" t="str">
        <f t="shared" si="2534"/>
        <v>7356275344</v>
      </c>
      <c r="F14123" s="1">
        <v>45231</v>
      </c>
      <c r="G14123" t="str">
        <f>"89512"</f>
        <v>89512</v>
      </c>
      <c r="H14123">
        <v>1</v>
      </c>
      <c r="I14123">
        <v>283</v>
      </c>
      <c r="J14123">
        <v>0</v>
      </c>
      <c r="K14123" t="str">
        <f t="shared" si="2531"/>
        <v>809</v>
      </c>
      <c r="L14123">
        <v>416.01</v>
      </c>
    </row>
    <row r="14124" spans="1:12" x14ac:dyDescent="0.25">
      <c r="A14124" t="str">
        <f t="shared" si="2526"/>
        <v>89301000</v>
      </c>
      <c r="B14124" t="str">
        <f t="shared" si="2532"/>
        <v>89383000</v>
      </c>
      <c r="C14124" t="str">
        <f t="shared" si="2533"/>
        <v>89383002</v>
      </c>
      <c r="D14124">
        <v>89301212</v>
      </c>
      <c r="E14124" t="str">
        <f t="shared" si="2534"/>
        <v>7356275344</v>
      </c>
      <c r="F14124" s="1">
        <v>45231</v>
      </c>
      <c r="G14124" t="str">
        <f>"0093109"</f>
        <v>0093109</v>
      </c>
      <c r="H14124">
        <v>0.6</v>
      </c>
      <c r="J14124">
        <v>162.59</v>
      </c>
      <c r="K14124" t="str">
        <f t="shared" si="2531"/>
        <v>809</v>
      </c>
      <c r="L14124">
        <v>162.59</v>
      </c>
    </row>
    <row r="14125" spans="1:12" x14ac:dyDescent="0.25">
      <c r="A14125" t="str">
        <f t="shared" si="2526"/>
        <v>89301000</v>
      </c>
      <c r="B14125" t="str">
        <f t="shared" si="2532"/>
        <v>89383000</v>
      </c>
      <c r="C14125" t="str">
        <f t="shared" si="2533"/>
        <v>89383002</v>
      </c>
      <c r="D14125">
        <v>89301212</v>
      </c>
      <c r="E14125" t="str">
        <f t="shared" si="2534"/>
        <v>7356275344</v>
      </c>
      <c r="F14125" s="1">
        <v>45231</v>
      </c>
      <c r="G14125" t="str">
        <f>"0006707"</f>
        <v>0006707</v>
      </c>
      <c r="H14125">
        <v>1</v>
      </c>
      <c r="J14125">
        <v>10565.84</v>
      </c>
      <c r="K14125" t="str">
        <f t="shared" si="2531"/>
        <v>809</v>
      </c>
      <c r="L14125">
        <v>10565.84</v>
      </c>
    </row>
    <row r="14126" spans="1:12" x14ac:dyDescent="0.25">
      <c r="A14126" t="str">
        <f t="shared" si="2526"/>
        <v>89301000</v>
      </c>
      <c r="B14126" t="str">
        <f t="shared" si="2532"/>
        <v>89383000</v>
      </c>
      <c r="C14126" t="str">
        <f t="shared" si="2533"/>
        <v>89383002</v>
      </c>
      <c r="D14126">
        <v>89301212</v>
      </c>
      <c r="E14126" t="str">
        <f t="shared" si="2534"/>
        <v>7356275344</v>
      </c>
      <c r="F14126" s="1">
        <v>45231</v>
      </c>
      <c r="G14126" t="str">
        <f>"0030303"</f>
        <v>0030303</v>
      </c>
      <c r="H14126">
        <v>1</v>
      </c>
      <c r="J14126">
        <v>3827.52</v>
      </c>
      <c r="K14126" t="str">
        <f t="shared" si="2531"/>
        <v>809</v>
      </c>
      <c r="L14126">
        <v>3827.52</v>
      </c>
    </row>
    <row r="14127" spans="1:12" x14ac:dyDescent="0.25">
      <c r="A14127" t="str">
        <f t="shared" si="2526"/>
        <v>89301000</v>
      </c>
      <c r="B14127" t="str">
        <f t="shared" si="2532"/>
        <v>89383000</v>
      </c>
      <c r="C14127" t="str">
        <f t="shared" si="2533"/>
        <v>89383002</v>
      </c>
      <c r="D14127">
        <v>89301212</v>
      </c>
      <c r="E14127" t="str">
        <f>"5456092114"</f>
        <v>5456092114</v>
      </c>
      <c r="F14127" s="1">
        <v>45232</v>
      </c>
      <c r="G14127" t="str">
        <f>"89180"</f>
        <v>89180</v>
      </c>
      <c r="H14127">
        <v>2</v>
      </c>
      <c r="I14127">
        <v>762</v>
      </c>
      <c r="J14127">
        <v>0</v>
      </c>
      <c r="K14127" t="str">
        <f t="shared" si="2531"/>
        <v>809</v>
      </c>
      <c r="L14127">
        <v>1120.1400000000001</v>
      </c>
    </row>
    <row r="14128" spans="1:12" x14ac:dyDescent="0.25">
      <c r="A14128" t="str">
        <f t="shared" si="2526"/>
        <v>89301000</v>
      </c>
      <c r="B14128" t="str">
        <f t="shared" si="2532"/>
        <v>89383000</v>
      </c>
      <c r="C14128" t="str">
        <f t="shared" si="2533"/>
        <v>89383002</v>
      </c>
      <c r="D14128">
        <v>89301212</v>
      </c>
      <c r="E14128" t="str">
        <f>"5456092114"</f>
        <v>5456092114</v>
      </c>
      <c r="F14128" s="1">
        <v>45232</v>
      </c>
      <c r="G14128" t="str">
        <f>"89512"</f>
        <v>89512</v>
      </c>
      <c r="H14128">
        <v>1</v>
      </c>
      <c r="I14128">
        <v>283</v>
      </c>
      <c r="J14128">
        <v>0</v>
      </c>
      <c r="K14128" t="str">
        <f t="shared" si="2531"/>
        <v>809</v>
      </c>
      <c r="L14128">
        <v>416.01</v>
      </c>
    </row>
    <row r="14129" spans="1:12" x14ac:dyDescent="0.25">
      <c r="A14129" t="str">
        <f t="shared" si="2526"/>
        <v>89301000</v>
      </c>
      <c r="B14129" t="str">
        <f t="shared" si="2532"/>
        <v>89383000</v>
      </c>
      <c r="C14129" t="str">
        <f t="shared" si="2533"/>
        <v>89383002</v>
      </c>
      <c r="D14129">
        <v>89301212</v>
      </c>
      <c r="E14129" t="str">
        <f>"7551035305"</f>
        <v>7551035305</v>
      </c>
      <c r="F14129" s="1">
        <v>45233</v>
      </c>
      <c r="G14129" t="str">
        <f>"89513"</f>
        <v>89513</v>
      </c>
      <c r="H14129">
        <v>1</v>
      </c>
      <c r="I14129">
        <v>378</v>
      </c>
      <c r="J14129">
        <v>0</v>
      </c>
      <c r="K14129" t="str">
        <f t="shared" si="2531"/>
        <v>809</v>
      </c>
      <c r="L14129">
        <v>555.66</v>
      </c>
    </row>
    <row r="14130" spans="1:12" x14ac:dyDescent="0.25">
      <c r="A14130" t="str">
        <f t="shared" si="2526"/>
        <v>89301000</v>
      </c>
      <c r="B14130" t="str">
        <f t="shared" si="2532"/>
        <v>89383000</v>
      </c>
      <c r="C14130" t="str">
        <f t="shared" si="2533"/>
        <v>89383002</v>
      </c>
      <c r="D14130">
        <v>89301212</v>
      </c>
      <c r="E14130" t="str">
        <f>"7551035305"</f>
        <v>7551035305</v>
      </c>
      <c r="F14130" s="1">
        <v>45233</v>
      </c>
      <c r="G14130" t="str">
        <f>"89514"</f>
        <v>89514</v>
      </c>
      <c r="H14130">
        <v>1</v>
      </c>
      <c r="I14130">
        <v>378</v>
      </c>
      <c r="J14130">
        <v>0</v>
      </c>
      <c r="K14130" t="str">
        <f t="shared" si="2531"/>
        <v>809</v>
      </c>
      <c r="L14130">
        <v>555.66</v>
      </c>
    </row>
    <row r="14131" spans="1:12" x14ac:dyDescent="0.25">
      <c r="A14131" t="str">
        <f t="shared" si="2526"/>
        <v>89301000</v>
      </c>
      <c r="B14131" t="str">
        <f t="shared" si="2532"/>
        <v>89383000</v>
      </c>
      <c r="C14131" t="str">
        <f t="shared" si="2533"/>
        <v>89383002</v>
      </c>
      <c r="D14131">
        <v>89301212</v>
      </c>
      <c r="E14131" t="str">
        <f>"7053225333"</f>
        <v>7053225333</v>
      </c>
      <c r="F14131" s="1">
        <v>45233</v>
      </c>
      <c r="G14131" t="str">
        <f>"89513"</f>
        <v>89513</v>
      </c>
      <c r="H14131">
        <v>1</v>
      </c>
      <c r="I14131">
        <v>378</v>
      </c>
      <c r="J14131">
        <v>0</v>
      </c>
      <c r="K14131" t="str">
        <f t="shared" si="2531"/>
        <v>809</v>
      </c>
      <c r="L14131">
        <v>555.66</v>
      </c>
    </row>
    <row r="14132" spans="1:12" x14ac:dyDescent="0.25">
      <c r="A14132" t="str">
        <f t="shared" si="2526"/>
        <v>89301000</v>
      </c>
      <c r="B14132" t="str">
        <f t="shared" si="2532"/>
        <v>89383000</v>
      </c>
      <c r="C14132" t="str">
        <f t="shared" si="2533"/>
        <v>89383002</v>
      </c>
      <c r="D14132">
        <v>89301212</v>
      </c>
      <c r="E14132" t="str">
        <f>"7053225333"</f>
        <v>7053225333</v>
      </c>
      <c r="F14132" s="1">
        <v>45233</v>
      </c>
      <c r="G14132" t="str">
        <f>"89514"</f>
        <v>89514</v>
      </c>
      <c r="H14132">
        <v>1</v>
      </c>
      <c r="I14132">
        <v>378</v>
      </c>
      <c r="J14132">
        <v>0</v>
      </c>
      <c r="K14132" t="str">
        <f t="shared" si="2531"/>
        <v>809</v>
      </c>
      <c r="L14132">
        <v>555.66</v>
      </c>
    </row>
    <row r="14133" spans="1:12" x14ac:dyDescent="0.25">
      <c r="A14133" t="str">
        <f t="shared" si="2526"/>
        <v>89301000</v>
      </c>
      <c r="B14133" t="str">
        <f t="shared" si="2532"/>
        <v>89383000</v>
      </c>
      <c r="C14133" t="str">
        <f t="shared" si="2533"/>
        <v>89383002</v>
      </c>
      <c r="D14133">
        <v>89301212</v>
      </c>
      <c r="E14133" t="str">
        <f>"505303128"</f>
        <v>505303128</v>
      </c>
      <c r="F14133" s="1">
        <v>45233</v>
      </c>
      <c r="G14133" t="str">
        <f>"89513"</f>
        <v>89513</v>
      </c>
      <c r="H14133">
        <v>1</v>
      </c>
      <c r="I14133">
        <v>378</v>
      </c>
      <c r="J14133">
        <v>0</v>
      </c>
      <c r="K14133" t="str">
        <f t="shared" si="2531"/>
        <v>809</v>
      </c>
      <c r="L14133">
        <v>555.66</v>
      </c>
    </row>
    <row r="14134" spans="1:12" x14ac:dyDescent="0.25">
      <c r="A14134" t="str">
        <f t="shared" si="2526"/>
        <v>89301000</v>
      </c>
      <c r="B14134" t="str">
        <f t="shared" si="2532"/>
        <v>89383000</v>
      </c>
      <c r="C14134" t="str">
        <f t="shared" si="2533"/>
        <v>89383002</v>
      </c>
      <c r="D14134">
        <v>89301212</v>
      </c>
      <c r="E14134" t="str">
        <f>"505303128"</f>
        <v>505303128</v>
      </c>
      <c r="F14134" s="1">
        <v>45233</v>
      </c>
      <c r="G14134" t="str">
        <f>"89514"</f>
        <v>89514</v>
      </c>
      <c r="H14134">
        <v>1</v>
      </c>
      <c r="I14134">
        <v>378</v>
      </c>
      <c r="J14134">
        <v>0</v>
      </c>
      <c r="K14134" t="str">
        <f t="shared" si="2531"/>
        <v>809</v>
      </c>
      <c r="L14134">
        <v>555.66</v>
      </c>
    </row>
    <row r="14135" spans="1:12" x14ac:dyDescent="0.25">
      <c r="A14135" t="str">
        <f t="shared" si="2526"/>
        <v>89301000</v>
      </c>
      <c r="B14135" t="str">
        <f t="shared" si="2532"/>
        <v>89383000</v>
      </c>
      <c r="C14135" t="str">
        <f t="shared" si="2533"/>
        <v>89383002</v>
      </c>
      <c r="D14135">
        <v>89301045</v>
      </c>
      <c r="E14135" t="str">
        <f>"7456205339"</f>
        <v>7456205339</v>
      </c>
      <c r="F14135" s="1">
        <v>45233</v>
      </c>
      <c r="G14135" t="str">
        <f>"89180"</f>
        <v>89180</v>
      </c>
      <c r="H14135">
        <v>2</v>
      </c>
      <c r="I14135">
        <v>762</v>
      </c>
      <c r="J14135">
        <v>0</v>
      </c>
      <c r="K14135" t="str">
        <f t="shared" si="2531"/>
        <v>809</v>
      </c>
      <c r="L14135">
        <v>1120.1400000000001</v>
      </c>
    </row>
    <row r="14136" spans="1:12" x14ac:dyDescent="0.25">
      <c r="A14136" t="str">
        <f t="shared" si="2526"/>
        <v>89301000</v>
      </c>
      <c r="B14136" t="str">
        <f t="shared" si="2532"/>
        <v>89383000</v>
      </c>
      <c r="C14136" t="str">
        <f t="shared" si="2533"/>
        <v>89383002</v>
      </c>
      <c r="D14136">
        <v>89301045</v>
      </c>
      <c r="E14136" t="str">
        <f>"7456205339"</f>
        <v>7456205339</v>
      </c>
      <c r="F14136" s="1">
        <v>45233</v>
      </c>
      <c r="G14136" t="str">
        <f>"89512"</f>
        <v>89512</v>
      </c>
      <c r="H14136">
        <v>1</v>
      </c>
      <c r="I14136">
        <v>283</v>
      </c>
      <c r="J14136">
        <v>0</v>
      </c>
      <c r="K14136" t="str">
        <f t="shared" si="2531"/>
        <v>809</v>
      </c>
      <c r="L14136">
        <v>416.01</v>
      </c>
    </row>
    <row r="14137" spans="1:12" x14ac:dyDescent="0.25">
      <c r="A14137" t="str">
        <f t="shared" si="2526"/>
        <v>89301000</v>
      </c>
      <c r="B14137" t="str">
        <f t="shared" si="2532"/>
        <v>89383000</v>
      </c>
      <c r="C14137" t="str">
        <f t="shared" si="2533"/>
        <v>89383002</v>
      </c>
      <c r="D14137">
        <v>89301045</v>
      </c>
      <c r="E14137" t="str">
        <f>"7456205339"</f>
        <v>7456205339</v>
      </c>
      <c r="F14137" s="1">
        <v>45233</v>
      </c>
      <c r="G14137" t="str">
        <f>"89513"</f>
        <v>89513</v>
      </c>
      <c r="H14137">
        <v>1</v>
      </c>
      <c r="I14137">
        <v>378</v>
      </c>
      <c r="J14137">
        <v>0</v>
      </c>
      <c r="K14137" t="str">
        <f t="shared" si="2531"/>
        <v>809</v>
      </c>
      <c r="L14137">
        <v>555.66</v>
      </c>
    </row>
    <row r="14138" spans="1:12" x14ac:dyDescent="0.25">
      <c r="A14138" t="str">
        <f t="shared" si="2526"/>
        <v>89301000</v>
      </c>
      <c r="B14138" t="str">
        <f t="shared" si="2532"/>
        <v>89383000</v>
      </c>
      <c r="C14138" t="str">
        <f t="shared" si="2533"/>
        <v>89383002</v>
      </c>
      <c r="D14138">
        <v>89301045</v>
      </c>
      <c r="E14138" t="str">
        <f>"7456205339"</f>
        <v>7456205339</v>
      </c>
      <c r="F14138" s="1">
        <v>45233</v>
      </c>
      <c r="G14138" t="str">
        <f>"89514"</f>
        <v>89514</v>
      </c>
      <c r="H14138">
        <v>1</v>
      </c>
      <c r="I14138">
        <v>378</v>
      </c>
      <c r="J14138">
        <v>0</v>
      </c>
      <c r="K14138" t="str">
        <f t="shared" si="2531"/>
        <v>809</v>
      </c>
      <c r="L14138">
        <v>555.66</v>
      </c>
    </row>
    <row r="14139" spans="1:12" x14ac:dyDescent="0.25">
      <c r="A14139" t="str">
        <f t="shared" si="2526"/>
        <v>89301000</v>
      </c>
      <c r="B14139" t="str">
        <f t="shared" si="2532"/>
        <v>89383000</v>
      </c>
      <c r="C14139" t="str">
        <f t="shared" si="2533"/>
        <v>89383002</v>
      </c>
      <c r="D14139">
        <v>89301215</v>
      </c>
      <c r="E14139" t="str">
        <f>"6255120124"</f>
        <v>6255120124</v>
      </c>
      <c r="F14139" s="1">
        <v>45236</v>
      </c>
      <c r="G14139" t="str">
        <f>"89180"</f>
        <v>89180</v>
      </c>
      <c r="H14139">
        <v>2</v>
      </c>
      <c r="I14139">
        <v>762</v>
      </c>
      <c r="J14139">
        <v>0</v>
      </c>
      <c r="K14139" t="str">
        <f t="shared" si="2531"/>
        <v>809</v>
      </c>
      <c r="L14139">
        <v>1120.1400000000001</v>
      </c>
    </row>
    <row r="14140" spans="1:12" x14ac:dyDescent="0.25">
      <c r="A14140" t="str">
        <f t="shared" si="2526"/>
        <v>89301000</v>
      </c>
      <c r="B14140" t="str">
        <f t="shared" si="2532"/>
        <v>89383000</v>
      </c>
      <c r="C14140" t="str">
        <f t="shared" si="2533"/>
        <v>89383002</v>
      </c>
      <c r="D14140">
        <v>89301215</v>
      </c>
      <c r="E14140" t="str">
        <f>"6255120124"</f>
        <v>6255120124</v>
      </c>
      <c r="F14140" s="1">
        <v>45236</v>
      </c>
      <c r="G14140" t="str">
        <f>"89512"</f>
        <v>89512</v>
      </c>
      <c r="H14140">
        <v>1</v>
      </c>
      <c r="I14140">
        <v>283</v>
      </c>
      <c r="J14140">
        <v>0</v>
      </c>
      <c r="K14140" t="str">
        <f t="shared" si="2531"/>
        <v>809</v>
      </c>
      <c r="L14140">
        <v>416.01</v>
      </c>
    </row>
    <row r="14141" spans="1:12" x14ac:dyDescent="0.25">
      <c r="A14141" t="str">
        <f t="shared" si="2526"/>
        <v>89301000</v>
      </c>
      <c r="B14141" t="str">
        <f t="shared" si="2532"/>
        <v>89383000</v>
      </c>
      <c r="C14141" t="str">
        <f t="shared" si="2533"/>
        <v>89383002</v>
      </c>
      <c r="D14141">
        <v>89301215</v>
      </c>
      <c r="E14141" t="str">
        <f>"6255120124"</f>
        <v>6255120124</v>
      </c>
      <c r="F14141" s="1">
        <v>45236</v>
      </c>
      <c r="G14141" t="str">
        <f>"89513"</f>
        <v>89513</v>
      </c>
      <c r="H14141">
        <v>1</v>
      </c>
      <c r="I14141">
        <v>378</v>
      </c>
      <c r="J14141">
        <v>0</v>
      </c>
      <c r="K14141" t="str">
        <f t="shared" si="2531"/>
        <v>809</v>
      </c>
      <c r="L14141">
        <v>555.66</v>
      </c>
    </row>
    <row r="14142" spans="1:12" x14ac:dyDescent="0.25">
      <c r="A14142" t="str">
        <f t="shared" si="2526"/>
        <v>89301000</v>
      </c>
      <c r="B14142" t="str">
        <f t="shared" si="2532"/>
        <v>89383000</v>
      </c>
      <c r="C14142" t="str">
        <f t="shared" si="2533"/>
        <v>89383002</v>
      </c>
      <c r="D14142">
        <v>89301215</v>
      </c>
      <c r="E14142" t="str">
        <f>"6255120124"</f>
        <v>6255120124</v>
      </c>
      <c r="F14142" s="1">
        <v>45236</v>
      </c>
      <c r="G14142" t="str">
        <f>"89514"</f>
        <v>89514</v>
      </c>
      <c r="H14142">
        <v>1</v>
      </c>
      <c r="I14142">
        <v>378</v>
      </c>
      <c r="J14142">
        <v>0</v>
      </c>
      <c r="K14142" t="str">
        <f t="shared" si="2531"/>
        <v>809</v>
      </c>
      <c r="L14142">
        <v>555.66</v>
      </c>
    </row>
    <row r="14143" spans="1:12" x14ac:dyDescent="0.25">
      <c r="A14143" t="str">
        <f t="shared" si="2526"/>
        <v>89301000</v>
      </c>
      <c r="B14143" t="str">
        <f t="shared" si="2532"/>
        <v>89383000</v>
      </c>
      <c r="C14143" t="str">
        <f t="shared" si="2533"/>
        <v>89383002</v>
      </c>
      <c r="D14143">
        <v>89301212</v>
      </c>
      <c r="E14143" t="str">
        <f>"505210019"</f>
        <v>505210019</v>
      </c>
      <c r="F14143" s="1">
        <v>45236</v>
      </c>
      <c r="G14143" t="str">
        <f>"89180"</f>
        <v>89180</v>
      </c>
      <c r="H14143">
        <v>2</v>
      </c>
      <c r="I14143">
        <v>762</v>
      </c>
      <c r="J14143">
        <v>0</v>
      </c>
      <c r="K14143" t="str">
        <f t="shared" si="2531"/>
        <v>809</v>
      </c>
      <c r="L14143">
        <v>1120.1400000000001</v>
      </c>
    </row>
    <row r="14144" spans="1:12" x14ac:dyDescent="0.25">
      <c r="A14144" t="str">
        <f t="shared" si="2526"/>
        <v>89301000</v>
      </c>
      <c r="B14144" t="str">
        <f t="shared" si="2532"/>
        <v>89383000</v>
      </c>
      <c r="C14144" t="str">
        <f t="shared" si="2533"/>
        <v>89383002</v>
      </c>
      <c r="D14144">
        <v>89301212</v>
      </c>
      <c r="E14144" t="str">
        <f>"505210019"</f>
        <v>505210019</v>
      </c>
      <c r="F14144" s="1">
        <v>45236</v>
      </c>
      <c r="G14144" t="str">
        <f>"89512"</f>
        <v>89512</v>
      </c>
      <c r="H14144">
        <v>1</v>
      </c>
      <c r="I14144">
        <v>283</v>
      </c>
      <c r="J14144">
        <v>0</v>
      </c>
      <c r="K14144" t="str">
        <f t="shared" si="2531"/>
        <v>809</v>
      </c>
      <c r="L14144">
        <v>416.01</v>
      </c>
    </row>
    <row r="14145" spans="1:12" x14ac:dyDescent="0.25">
      <c r="A14145" t="str">
        <f t="shared" si="2526"/>
        <v>89301000</v>
      </c>
      <c r="B14145" t="str">
        <f t="shared" si="2532"/>
        <v>89383000</v>
      </c>
      <c r="C14145" t="str">
        <f t="shared" si="2533"/>
        <v>89383002</v>
      </c>
      <c r="D14145">
        <v>89301212</v>
      </c>
      <c r="E14145" t="str">
        <f>"416228405"</f>
        <v>416228405</v>
      </c>
      <c r="F14145" s="1">
        <v>45236</v>
      </c>
      <c r="G14145" t="str">
        <f>"89512"</f>
        <v>89512</v>
      </c>
      <c r="H14145">
        <v>1</v>
      </c>
      <c r="I14145">
        <v>283</v>
      </c>
      <c r="J14145">
        <v>0</v>
      </c>
      <c r="K14145" t="str">
        <f t="shared" si="2531"/>
        <v>809</v>
      </c>
      <c r="L14145">
        <v>416.01</v>
      </c>
    </row>
    <row r="14146" spans="1:12" x14ac:dyDescent="0.25">
      <c r="A14146" t="str">
        <f t="shared" ref="A14146:A14209" si="2535">"89301000"</f>
        <v>89301000</v>
      </c>
      <c r="B14146" t="str">
        <f t="shared" si="2532"/>
        <v>89383000</v>
      </c>
      <c r="C14146" t="str">
        <f t="shared" si="2533"/>
        <v>89383002</v>
      </c>
      <c r="D14146">
        <v>89301215</v>
      </c>
      <c r="E14146" t="str">
        <f>"515810095"</f>
        <v>515810095</v>
      </c>
      <c r="F14146" s="1">
        <v>45236</v>
      </c>
      <c r="G14146" t="str">
        <f>"89513"</f>
        <v>89513</v>
      </c>
      <c r="H14146">
        <v>1</v>
      </c>
      <c r="I14146">
        <v>378</v>
      </c>
      <c r="J14146">
        <v>0</v>
      </c>
      <c r="K14146" t="str">
        <f t="shared" si="2531"/>
        <v>809</v>
      </c>
      <c r="L14146">
        <v>555.66</v>
      </c>
    </row>
    <row r="14147" spans="1:12" x14ac:dyDescent="0.25">
      <c r="A14147" t="str">
        <f t="shared" si="2535"/>
        <v>89301000</v>
      </c>
      <c r="B14147" t="str">
        <f t="shared" si="2532"/>
        <v>89383000</v>
      </c>
      <c r="C14147" t="str">
        <f t="shared" si="2533"/>
        <v>89383002</v>
      </c>
      <c r="D14147">
        <v>89301215</v>
      </c>
      <c r="E14147" t="str">
        <f>"515810095"</f>
        <v>515810095</v>
      </c>
      <c r="F14147" s="1">
        <v>45236</v>
      </c>
      <c r="G14147" t="str">
        <f>"89514"</f>
        <v>89514</v>
      </c>
      <c r="H14147">
        <v>1</v>
      </c>
      <c r="I14147">
        <v>378</v>
      </c>
      <c r="J14147">
        <v>0</v>
      </c>
      <c r="K14147" t="str">
        <f t="shared" si="2531"/>
        <v>809</v>
      </c>
      <c r="L14147">
        <v>555.66</v>
      </c>
    </row>
    <row r="14148" spans="1:12" x14ac:dyDescent="0.25">
      <c r="A14148" t="str">
        <f t="shared" si="2535"/>
        <v>89301000</v>
      </c>
      <c r="B14148" t="str">
        <f t="shared" si="2532"/>
        <v>89383000</v>
      </c>
      <c r="C14148" t="str">
        <f t="shared" si="2533"/>
        <v>89383002</v>
      </c>
      <c r="D14148">
        <v>89301215</v>
      </c>
      <c r="E14148" t="str">
        <f>"6557311453"</f>
        <v>6557311453</v>
      </c>
      <c r="F14148" s="1">
        <v>45237</v>
      </c>
      <c r="G14148" t="str">
        <f>"89513"</f>
        <v>89513</v>
      </c>
      <c r="H14148">
        <v>1</v>
      </c>
      <c r="I14148">
        <v>378</v>
      </c>
      <c r="J14148">
        <v>0</v>
      </c>
      <c r="K14148" t="str">
        <f t="shared" si="2531"/>
        <v>809</v>
      </c>
      <c r="L14148">
        <v>555.66</v>
      </c>
    </row>
    <row r="14149" spans="1:12" x14ac:dyDescent="0.25">
      <c r="A14149" t="str">
        <f t="shared" si="2535"/>
        <v>89301000</v>
      </c>
      <c r="B14149" t="str">
        <f t="shared" si="2532"/>
        <v>89383000</v>
      </c>
      <c r="C14149" t="str">
        <f t="shared" si="2533"/>
        <v>89383002</v>
      </c>
      <c r="D14149">
        <v>89301215</v>
      </c>
      <c r="E14149" t="str">
        <f>"6557311453"</f>
        <v>6557311453</v>
      </c>
      <c r="F14149" s="1">
        <v>45237</v>
      </c>
      <c r="G14149" t="str">
        <f>"89514"</f>
        <v>89514</v>
      </c>
      <c r="H14149">
        <v>1</v>
      </c>
      <c r="I14149">
        <v>378</v>
      </c>
      <c r="J14149">
        <v>0</v>
      </c>
      <c r="K14149" t="str">
        <f t="shared" si="2531"/>
        <v>809</v>
      </c>
      <c r="L14149">
        <v>555.66</v>
      </c>
    </row>
    <row r="14150" spans="1:12" x14ac:dyDescent="0.25">
      <c r="A14150" t="str">
        <f t="shared" si="2535"/>
        <v>89301000</v>
      </c>
      <c r="B14150" t="str">
        <f t="shared" si="2532"/>
        <v>89383000</v>
      </c>
      <c r="C14150" t="str">
        <f t="shared" si="2533"/>
        <v>89383002</v>
      </c>
      <c r="D14150">
        <v>89301212</v>
      </c>
      <c r="E14150" t="str">
        <f>"7756195326"</f>
        <v>7756195326</v>
      </c>
      <c r="F14150" s="1">
        <v>45237</v>
      </c>
      <c r="G14150" t="str">
        <f>"89180"</f>
        <v>89180</v>
      </c>
      <c r="H14150">
        <v>1</v>
      </c>
      <c r="I14150">
        <v>381</v>
      </c>
      <c r="J14150">
        <v>0</v>
      </c>
      <c r="K14150" t="str">
        <f t="shared" ref="K14150:K14181" si="2536">"809"</f>
        <v>809</v>
      </c>
      <c r="L14150">
        <v>560.07000000000005</v>
      </c>
    </row>
    <row r="14151" spans="1:12" x14ac:dyDescent="0.25">
      <c r="A14151" t="str">
        <f t="shared" si="2535"/>
        <v>89301000</v>
      </c>
      <c r="B14151" t="str">
        <f t="shared" si="2532"/>
        <v>89383000</v>
      </c>
      <c r="C14151" t="str">
        <f t="shared" si="2533"/>
        <v>89383002</v>
      </c>
      <c r="D14151">
        <v>89301212</v>
      </c>
      <c r="E14151" t="str">
        <f>"7756195326"</f>
        <v>7756195326</v>
      </c>
      <c r="F14151" s="1">
        <v>45237</v>
      </c>
      <c r="G14151" t="str">
        <f>"89512"</f>
        <v>89512</v>
      </c>
      <c r="H14151">
        <v>1</v>
      </c>
      <c r="I14151">
        <v>283</v>
      </c>
      <c r="J14151">
        <v>0</v>
      </c>
      <c r="K14151" t="str">
        <f t="shared" si="2536"/>
        <v>809</v>
      </c>
      <c r="L14151">
        <v>416.01</v>
      </c>
    </row>
    <row r="14152" spans="1:12" x14ac:dyDescent="0.25">
      <c r="A14152" t="str">
        <f t="shared" si="2535"/>
        <v>89301000</v>
      </c>
      <c r="B14152" t="str">
        <f t="shared" si="2532"/>
        <v>89383000</v>
      </c>
      <c r="C14152" t="str">
        <f t="shared" si="2533"/>
        <v>89383002</v>
      </c>
      <c r="D14152">
        <v>89301212</v>
      </c>
      <c r="E14152" t="str">
        <f>"7553205352"</f>
        <v>7553205352</v>
      </c>
      <c r="F14152" s="1">
        <v>45237</v>
      </c>
      <c r="G14152" t="str">
        <f>"89513"</f>
        <v>89513</v>
      </c>
      <c r="H14152">
        <v>1</v>
      </c>
      <c r="I14152">
        <v>378</v>
      </c>
      <c r="J14152">
        <v>0</v>
      </c>
      <c r="K14152" t="str">
        <f t="shared" si="2536"/>
        <v>809</v>
      </c>
      <c r="L14152">
        <v>555.66</v>
      </c>
    </row>
    <row r="14153" spans="1:12" x14ac:dyDescent="0.25">
      <c r="A14153" t="str">
        <f t="shared" si="2535"/>
        <v>89301000</v>
      </c>
      <c r="B14153" t="str">
        <f t="shared" ref="B14153:B14184" si="2537">"89383000"</f>
        <v>89383000</v>
      </c>
      <c r="C14153" t="str">
        <f t="shared" ref="C14153:C14184" si="2538">"89383002"</f>
        <v>89383002</v>
      </c>
      <c r="D14153">
        <v>89301212</v>
      </c>
      <c r="E14153" t="str">
        <f>"7553205352"</f>
        <v>7553205352</v>
      </c>
      <c r="F14153" s="1">
        <v>45237</v>
      </c>
      <c r="G14153" t="str">
        <f>"89514"</f>
        <v>89514</v>
      </c>
      <c r="H14153">
        <v>1</v>
      </c>
      <c r="I14153">
        <v>378</v>
      </c>
      <c r="J14153">
        <v>0</v>
      </c>
      <c r="K14153" t="str">
        <f t="shared" si="2536"/>
        <v>809</v>
      </c>
      <c r="L14153">
        <v>555.66</v>
      </c>
    </row>
    <row r="14154" spans="1:12" x14ac:dyDescent="0.25">
      <c r="A14154" t="str">
        <f t="shared" si="2535"/>
        <v>89301000</v>
      </c>
      <c r="B14154" t="str">
        <f t="shared" si="2537"/>
        <v>89383000</v>
      </c>
      <c r="C14154" t="str">
        <f t="shared" si="2538"/>
        <v>89383002</v>
      </c>
      <c r="D14154">
        <v>89301212</v>
      </c>
      <c r="E14154" t="str">
        <f>"5855021117"</f>
        <v>5855021117</v>
      </c>
      <c r="F14154" s="1">
        <v>45237</v>
      </c>
      <c r="G14154" t="str">
        <f>"89512"</f>
        <v>89512</v>
      </c>
      <c r="H14154">
        <v>1</v>
      </c>
      <c r="I14154">
        <v>283</v>
      </c>
      <c r="J14154">
        <v>0</v>
      </c>
      <c r="K14154" t="str">
        <f t="shared" si="2536"/>
        <v>809</v>
      </c>
      <c r="L14154">
        <v>416.01</v>
      </c>
    </row>
    <row r="14155" spans="1:12" x14ac:dyDescent="0.25">
      <c r="A14155" t="str">
        <f t="shared" si="2535"/>
        <v>89301000</v>
      </c>
      <c r="B14155" t="str">
        <f t="shared" si="2537"/>
        <v>89383000</v>
      </c>
      <c r="C14155" t="str">
        <f t="shared" si="2538"/>
        <v>89383002</v>
      </c>
      <c r="D14155">
        <v>89301212</v>
      </c>
      <c r="E14155" t="str">
        <f>"8354235780"</f>
        <v>8354235780</v>
      </c>
      <c r="F14155" s="1">
        <v>45237</v>
      </c>
      <c r="G14155" t="str">
        <f>"89512"</f>
        <v>89512</v>
      </c>
      <c r="H14155">
        <v>1</v>
      </c>
      <c r="I14155">
        <v>283</v>
      </c>
      <c r="J14155">
        <v>0</v>
      </c>
      <c r="K14155" t="str">
        <f t="shared" si="2536"/>
        <v>809</v>
      </c>
      <c r="L14155">
        <v>416.01</v>
      </c>
    </row>
    <row r="14156" spans="1:12" x14ac:dyDescent="0.25">
      <c r="A14156" t="str">
        <f t="shared" si="2535"/>
        <v>89301000</v>
      </c>
      <c r="B14156" t="str">
        <f t="shared" si="2537"/>
        <v>89383000</v>
      </c>
      <c r="C14156" t="str">
        <f t="shared" si="2538"/>
        <v>89383002</v>
      </c>
      <c r="D14156">
        <v>89301215</v>
      </c>
      <c r="E14156" t="str">
        <f>"5657182355"</f>
        <v>5657182355</v>
      </c>
      <c r="F14156" s="1">
        <v>45239</v>
      </c>
      <c r="G14156" t="str">
        <f>"89513"</f>
        <v>89513</v>
      </c>
      <c r="H14156">
        <v>1</v>
      </c>
      <c r="I14156">
        <v>378</v>
      </c>
      <c r="J14156">
        <v>0</v>
      </c>
      <c r="K14156" t="str">
        <f t="shared" si="2536"/>
        <v>809</v>
      </c>
      <c r="L14156">
        <v>555.66</v>
      </c>
    </row>
    <row r="14157" spans="1:12" x14ac:dyDescent="0.25">
      <c r="A14157" t="str">
        <f t="shared" si="2535"/>
        <v>89301000</v>
      </c>
      <c r="B14157" t="str">
        <f t="shared" si="2537"/>
        <v>89383000</v>
      </c>
      <c r="C14157" t="str">
        <f t="shared" si="2538"/>
        <v>89383002</v>
      </c>
      <c r="D14157">
        <v>89301215</v>
      </c>
      <c r="E14157" t="str">
        <f>"5657182355"</f>
        <v>5657182355</v>
      </c>
      <c r="F14157" s="1">
        <v>45239</v>
      </c>
      <c r="G14157" t="str">
        <f>"89514"</f>
        <v>89514</v>
      </c>
      <c r="H14157">
        <v>1</v>
      </c>
      <c r="I14157">
        <v>378</v>
      </c>
      <c r="J14157">
        <v>0</v>
      </c>
      <c r="K14157" t="str">
        <f t="shared" si="2536"/>
        <v>809</v>
      </c>
      <c r="L14157">
        <v>555.66</v>
      </c>
    </row>
    <row r="14158" spans="1:12" x14ac:dyDescent="0.25">
      <c r="A14158" t="str">
        <f t="shared" si="2535"/>
        <v>89301000</v>
      </c>
      <c r="B14158" t="str">
        <f t="shared" si="2537"/>
        <v>89383000</v>
      </c>
      <c r="C14158" t="str">
        <f t="shared" si="2538"/>
        <v>89383002</v>
      </c>
      <c r="D14158">
        <v>89301212</v>
      </c>
      <c r="E14158" t="str">
        <f>"7454275312"</f>
        <v>7454275312</v>
      </c>
      <c r="F14158" s="1">
        <v>45239</v>
      </c>
      <c r="G14158" t="str">
        <f>"89180"</f>
        <v>89180</v>
      </c>
      <c r="H14158">
        <v>1</v>
      </c>
      <c r="I14158">
        <v>381</v>
      </c>
      <c r="J14158">
        <v>0</v>
      </c>
      <c r="K14158" t="str">
        <f t="shared" si="2536"/>
        <v>809</v>
      </c>
      <c r="L14158">
        <v>560.07000000000005</v>
      </c>
    </row>
    <row r="14159" spans="1:12" x14ac:dyDescent="0.25">
      <c r="A14159" t="str">
        <f t="shared" si="2535"/>
        <v>89301000</v>
      </c>
      <c r="B14159" t="str">
        <f t="shared" si="2537"/>
        <v>89383000</v>
      </c>
      <c r="C14159" t="str">
        <f t="shared" si="2538"/>
        <v>89383002</v>
      </c>
      <c r="D14159">
        <v>89301212</v>
      </c>
      <c r="E14159" t="str">
        <f>"7454275312"</f>
        <v>7454275312</v>
      </c>
      <c r="F14159" s="1">
        <v>45239</v>
      </c>
      <c r="G14159" t="str">
        <f>"89512"</f>
        <v>89512</v>
      </c>
      <c r="H14159">
        <v>1</v>
      </c>
      <c r="I14159">
        <v>283</v>
      </c>
      <c r="J14159">
        <v>0</v>
      </c>
      <c r="K14159" t="str">
        <f t="shared" si="2536"/>
        <v>809</v>
      </c>
      <c r="L14159">
        <v>416.01</v>
      </c>
    </row>
    <row r="14160" spans="1:12" x14ac:dyDescent="0.25">
      <c r="A14160" t="str">
        <f t="shared" si="2535"/>
        <v>89301000</v>
      </c>
      <c r="B14160" t="str">
        <f t="shared" si="2537"/>
        <v>89383000</v>
      </c>
      <c r="C14160" t="str">
        <f t="shared" si="2538"/>
        <v>89383002</v>
      </c>
      <c r="D14160">
        <v>89301212</v>
      </c>
      <c r="E14160" t="str">
        <f>"5756301947"</f>
        <v>5756301947</v>
      </c>
      <c r="F14160" s="1">
        <v>45240</v>
      </c>
      <c r="G14160" t="str">
        <f>"89513"</f>
        <v>89513</v>
      </c>
      <c r="H14160">
        <v>1</v>
      </c>
      <c r="I14160">
        <v>378</v>
      </c>
      <c r="J14160">
        <v>0</v>
      </c>
      <c r="K14160" t="str">
        <f t="shared" si="2536"/>
        <v>809</v>
      </c>
      <c r="L14160">
        <v>555.66</v>
      </c>
    </row>
    <row r="14161" spans="1:12" x14ac:dyDescent="0.25">
      <c r="A14161" t="str">
        <f t="shared" si="2535"/>
        <v>89301000</v>
      </c>
      <c r="B14161" t="str">
        <f t="shared" si="2537"/>
        <v>89383000</v>
      </c>
      <c r="C14161" t="str">
        <f t="shared" si="2538"/>
        <v>89383002</v>
      </c>
      <c r="D14161">
        <v>89301212</v>
      </c>
      <c r="E14161" t="str">
        <f>"5756301947"</f>
        <v>5756301947</v>
      </c>
      <c r="F14161" s="1">
        <v>45240</v>
      </c>
      <c r="G14161" t="str">
        <f>"89514"</f>
        <v>89514</v>
      </c>
      <c r="H14161">
        <v>1</v>
      </c>
      <c r="I14161">
        <v>378</v>
      </c>
      <c r="J14161">
        <v>0</v>
      </c>
      <c r="K14161" t="str">
        <f t="shared" si="2536"/>
        <v>809</v>
      </c>
      <c r="L14161">
        <v>555.66</v>
      </c>
    </row>
    <row r="14162" spans="1:12" x14ac:dyDescent="0.25">
      <c r="A14162" t="str">
        <f t="shared" si="2535"/>
        <v>89301000</v>
      </c>
      <c r="B14162" t="str">
        <f t="shared" si="2537"/>
        <v>89383000</v>
      </c>
      <c r="C14162" t="str">
        <f t="shared" si="2538"/>
        <v>89383002</v>
      </c>
      <c r="D14162">
        <v>89301212</v>
      </c>
      <c r="E14162" t="str">
        <f>"7260055308"</f>
        <v>7260055308</v>
      </c>
      <c r="F14162" s="1">
        <v>45240</v>
      </c>
      <c r="G14162" t="str">
        <f>"89513"</f>
        <v>89513</v>
      </c>
      <c r="H14162">
        <v>1</v>
      </c>
      <c r="I14162">
        <v>378</v>
      </c>
      <c r="J14162">
        <v>0</v>
      </c>
      <c r="K14162" t="str">
        <f t="shared" si="2536"/>
        <v>809</v>
      </c>
      <c r="L14162">
        <v>555.66</v>
      </c>
    </row>
    <row r="14163" spans="1:12" x14ac:dyDescent="0.25">
      <c r="A14163" t="str">
        <f t="shared" si="2535"/>
        <v>89301000</v>
      </c>
      <c r="B14163" t="str">
        <f t="shared" si="2537"/>
        <v>89383000</v>
      </c>
      <c r="C14163" t="str">
        <f t="shared" si="2538"/>
        <v>89383002</v>
      </c>
      <c r="D14163">
        <v>89301212</v>
      </c>
      <c r="E14163" t="str">
        <f>"7260055308"</f>
        <v>7260055308</v>
      </c>
      <c r="F14163" s="1">
        <v>45240</v>
      </c>
      <c r="G14163" t="str">
        <f>"89514"</f>
        <v>89514</v>
      </c>
      <c r="H14163">
        <v>1</v>
      </c>
      <c r="I14163">
        <v>378</v>
      </c>
      <c r="J14163">
        <v>0</v>
      </c>
      <c r="K14163" t="str">
        <f t="shared" si="2536"/>
        <v>809</v>
      </c>
      <c r="L14163">
        <v>555.66</v>
      </c>
    </row>
    <row r="14164" spans="1:12" x14ac:dyDescent="0.25">
      <c r="A14164" t="str">
        <f t="shared" si="2535"/>
        <v>89301000</v>
      </c>
      <c r="B14164" t="str">
        <f t="shared" si="2537"/>
        <v>89383000</v>
      </c>
      <c r="C14164" t="str">
        <f t="shared" si="2538"/>
        <v>89383002</v>
      </c>
      <c r="D14164">
        <v>89301212</v>
      </c>
      <c r="E14164" t="str">
        <f>"8952175749"</f>
        <v>8952175749</v>
      </c>
      <c r="F14164" s="1">
        <v>45240</v>
      </c>
      <c r="G14164" t="str">
        <f>"89513"</f>
        <v>89513</v>
      </c>
      <c r="H14164">
        <v>1</v>
      </c>
      <c r="I14164">
        <v>378</v>
      </c>
      <c r="J14164">
        <v>0</v>
      </c>
      <c r="K14164" t="str">
        <f t="shared" si="2536"/>
        <v>809</v>
      </c>
      <c r="L14164">
        <v>555.66</v>
      </c>
    </row>
    <row r="14165" spans="1:12" x14ac:dyDescent="0.25">
      <c r="A14165" t="str">
        <f t="shared" si="2535"/>
        <v>89301000</v>
      </c>
      <c r="B14165" t="str">
        <f t="shared" si="2537"/>
        <v>89383000</v>
      </c>
      <c r="C14165" t="str">
        <f t="shared" si="2538"/>
        <v>89383002</v>
      </c>
      <c r="D14165">
        <v>89301212</v>
      </c>
      <c r="E14165" t="str">
        <f>"8952175749"</f>
        <v>8952175749</v>
      </c>
      <c r="F14165" s="1">
        <v>45240</v>
      </c>
      <c r="G14165" t="str">
        <f>"89514"</f>
        <v>89514</v>
      </c>
      <c r="H14165">
        <v>1</v>
      </c>
      <c r="I14165">
        <v>378</v>
      </c>
      <c r="J14165">
        <v>0</v>
      </c>
      <c r="K14165" t="str">
        <f t="shared" si="2536"/>
        <v>809</v>
      </c>
      <c r="L14165">
        <v>555.66</v>
      </c>
    </row>
    <row r="14166" spans="1:12" x14ac:dyDescent="0.25">
      <c r="A14166" t="str">
        <f t="shared" si="2535"/>
        <v>89301000</v>
      </c>
      <c r="B14166" t="str">
        <f t="shared" si="2537"/>
        <v>89383000</v>
      </c>
      <c r="C14166" t="str">
        <f t="shared" si="2538"/>
        <v>89383002</v>
      </c>
      <c r="D14166">
        <v>89301045</v>
      </c>
      <c r="E14166" t="str">
        <f>"9051185748"</f>
        <v>9051185748</v>
      </c>
      <c r="F14166" s="1">
        <v>45240</v>
      </c>
      <c r="G14166" t="str">
        <f>"89512"</f>
        <v>89512</v>
      </c>
      <c r="H14166">
        <v>1</v>
      </c>
      <c r="I14166">
        <v>283</v>
      </c>
      <c r="J14166">
        <v>0</v>
      </c>
      <c r="K14166" t="str">
        <f t="shared" si="2536"/>
        <v>809</v>
      </c>
      <c r="L14166">
        <v>416.01</v>
      </c>
    </row>
    <row r="14167" spans="1:12" x14ac:dyDescent="0.25">
      <c r="A14167" t="str">
        <f t="shared" si="2535"/>
        <v>89301000</v>
      </c>
      <c r="B14167" t="str">
        <f t="shared" si="2537"/>
        <v>89383000</v>
      </c>
      <c r="C14167" t="str">
        <f t="shared" si="2538"/>
        <v>89383002</v>
      </c>
      <c r="D14167">
        <v>89301212</v>
      </c>
      <c r="E14167" t="str">
        <f>"6759230071"</f>
        <v>6759230071</v>
      </c>
      <c r="F14167" s="1">
        <v>45240</v>
      </c>
      <c r="G14167" t="str">
        <f>"89512"</f>
        <v>89512</v>
      </c>
      <c r="H14167">
        <v>1</v>
      </c>
      <c r="I14167">
        <v>283</v>
      </c>
      <c r="J14167">
        <v>0</v>
      </c>
      <c r="K14167" t="str">
        <f t="shared" si="2536"/>
        <v>809</v>
      </c>
      <c r="L14167">
        <v>416.01</v>
      </c>
    </row>
    <row r="14168" spans="1:12" x14ac:dyDescent="0.25">
      <c r="A14168" t="str">
        <f t="shared" si="2535"/>
        <v>89301000</v>
      </c>
      <c r="B14168" t="str">
        <f t="shared" si="2537"/>
        <v>89383000</v>
      </c>
      <c r="C14168" t="str">
        <f t="shared" si="2538"/>
        <v>89383002</v>
      </c>
      <c r="D14168">
        <v>89301212</v>
      </c>
      <c r="E14168" t="str">
        <f>"7106165352"</f>
        <v>7106165352</v>
      </c>
      <c r="F14168" s="1">
        <v>45243</v>
      </c>
      <c r="G14168" t="str">
        <f>"89180"</f>
        <v>89180</v>
      </c>
      <c r="H14168">
        <v>2</v>
      </c>
      <c r="I14168">
        <v>762</v>
      </c>
      <c r="J14168">
        <v>0</v>
      </c>
      <c r="K14168" t="str">
        <f t="shared" si="2536"/>
        <v>809</v>
      </c>
      <c r="L14168">
        <v>1120.1400000000001</v>
      </c>
    </row>
    <row r="14169" spans="1:12" x14ac:dyDescent="0.25">
      <c r="A14169" t="str">
        <f t="shared" si="2535"/>
        <v>89301000</v>
      </c>
      <c r="B14169" t="str">
        <f t="shared" si="2537"/>
        <v>89383000</v>
      </c>
      <c r="C14169" t="str">
        <f t="shared" si="2538"/>
        <v>89383002</v>
      </c>
      <c r="D14169">
        <v>89301212</v>
      </c>
      <c r="E14169" t="str">
        <f>"7106165352"</f>
        <v>7106165352</v>
      </c>
      <c r="F14169" s="1">
        <v>45243</v>
      </c>
      <c r="G14169" t="str">
        <f>"89512"</f>
        <v>89512</v>
      </c>
      <c r="H14169">
        <v>1</v>
      </c>
      <c r="I14169">
        <v>283</v>
      </c>
      <c r="J14169">
        <v>0</v>
      </c>
      <c r="K14169" t="str">
        <f t="shared" si="2536"/>
        <v>809</v>
      </c>
      <c r="L14169">
        <v>416.01</v>
      </c>
    </row>
    <row r="14170" spans="1:12" x14ac:dyDescent="0.25">
      <c r="A14170" t="str">
        <f t="shared" si="2535"/>
        <v>89301000</v>
      </c>
      <c r="B14170" t="str">
        <f t="shared" si="2537"/>
        <v>89383000</v>
      </c>
      <c r="C14170" t="str">
        <f t="shared" si="2538"/>
        <v>89383002</v>
      </c>
      <c r="D14170">
        <v>89301212</v>
      </c>
      <c r="E14170" t="str">
        <f>"7053225333"</f>
        <v>7053225333</v>
      </c>
      <c r="F14170" s="1">
        <v>45236</v>
      </c>
      <c r="G14170" t="str">
        <f>"89512"</f>
        <v>89512</v>
      </c>
      <c r="H14170">
        <v>1</v>
      </c>
      <c r="I14170">
        <v>283</v>
      </c>
      <c r="J14170">
        <v>0</v>
      </c>
      <c r="K14170" t="str">
        <f t="shared" si="2536"/>
        <v>809</v>
      </c>
      <c r="L14170">
        <v>416.01</v>
      </c>
    </row>
    <row r="14171" spans="1:12" x14ac:dyDescent="0.25">
      <c r="A14171" t="str">
        <f t="shared" si="2535"/>
        <v>89301000</v>
      </c>
      <c r="B14171" t="str">
        <f t="shared" si="2537"/>
        <v>89383000</v>
      </c>
      <c r="C14171" t="str">
        <f t="shared" si="2538"/>
        <v>89383002</v>
      </c>
      <c r="D14171">
        <v>89301212</v>
      </c>
      <c r="E14171" t="str">
        <f>"7053225333"</f>
        <v>7053225333</v>
      </c>
      <c r="F14171" s="1">
        <v>45236</v>
      </c>
      <c r="G14171" t="str">
        <f>"89311"</f>
        <v>89311</v>
      </c>
      <c r="H14171">
        <v>1</v>
      </c>
      <c r="I14171">
        <v>970</v>
      </c>
      <c r="J14171">
        <v>0</v>
      </c>
      <c r="K14171" t="str">
        <f t="shared" si="2536"/>
        <v>809</v>
      </c>
      <c r="L14171">
        <v>1425.9</v>
      </c>
    </row>
    <row r="14172" spans="1:12" x14ac:dyDescent="0.25">
      <c r="A14172" t="str">
        <f t="shared" si="2535"/>
        <v>89301000</v>
      </c>
      <c r="B14172" t="str">
        <f t="shared" si="2537"/>
        <v>89383000</v>
      </c>
      <c r="C14172" t="str">
        <f t="shared" si="2538"/>
        <v>89383002</v>
      </c>
      <c r="D14172">
        <v>89301215</v>
      </c>
      <c r="E14172" t="str">
        <f t="shared" ref="E14172:E14178" si="2539">"7859204518"</f>
        <v>7859204518</v>
      </c>
      <c r="F14172" s="1">
        <v>45243</v>
      </c>
      <c r="G14172" t="str">
        <f>"89813"</f>
        <v>89813</v>
      </c>
      <c r="H14172">
        <v>1</v>
      </c>
      <c r="I14172">
        <v>135</v>
      </c>
      <c r="J14172">
        <v>0</v>
      </c>
      <c r="K14172" t="str">
        <f t="shared" si="2536"/>
        <v>809</v>
      </c>
      <c r="L14172">
        <v>198.45</v>
      </c>
    </row>
    <row r="14173" spans="1:12" x14ac:dyDescent="0.25">
      <c r="A14173" t="str">
        <f t="shared" si="2535"/>
        <v>89301000</v>
      </c>
      <c r="B14173" t="str">
        <f t="shared" si="2537"/>
        <v>89383000</v>
      </c>
      <c r="C14173" t="str">
        <f t="shared" si="2538"/>
        <v>89383002</v>
      </c>
      <c r="D14173">
        <v>89301215</v>
      </c>
      <c r="E14173" t="str">
        <f t="shared" si="2539"/>
        <v>7859204518</v>
      </c>
      <c r="F14173" s="1">
        <v>45243</v>
      </c>
      <c r="G14173" t="str">
        <f>"89313"</f>
        <v>89313</v>
      </c>
      <c r="H14173">
        <v>1</v>
      </c>
      <c r="I14173">
        <v>420</v>
      </c>
      <c r="J14173">
        <v>0</v>
      </c>
      <c r="K14173" t="str">
        <f t="shared" si="2536"/>
        <v>809</v>
      </c>
      <c r="L14173">
        <v>617.4</v>
      </c>
    </row>
    <row r="14174" spans="1:12" x14ac:dyDescent="0.25">
      <c r="A14174" t="str">
        <f t="shared" si="2535"/>
        <v>89301000</v>
      </c>
      <c r="B14174" t="str">
        <f t="shared" si="2537"/>
        <v>89383000</v>
      </c>
      <c r="C14174" t="str">
        <f t="shared" si="2538"/>
        <v>89383002</v>
      </c>
      <c r="D14174">
        <v>89301215</v>
      </c>
      <c r="E14174" t="str">
        <f t="shared" si="2539"/>
        <v>7859204518</v>
      </c>
      <c r="F14174" s="1">
        <v>45243</v>
      </c>
      <c r="G14174" t="str">
        <f>"09233"</f>
        <v>09233</v>
      </c>
      <c r="H14174">
        <v>1</v>
      </c>
      <c r="I14174">
        <v>102</v>
      </c>
      <c r="J14174">
        <v>0</v>
      </c>
      <c r="K14174" t="str">
        <f t="shared" si="2536"/>
        <v>809</v>
      </c>
      <c r="L14174">
        <v>149.94</v>
      </c>
    </row>
    <row r="14175" spans="1:12" x14ac:dyDescent="0.25">
      <c r="A14175" t="str">
        <f t="shared" si="2535"/>
        <v>89301000</v>
      </c>
      <c r="B14175" t="str">
        <f t="shared" si="2537"/>
        <v>89383000</v>
      </c>
      <c r="C14175" t="str">
        <f t="shared" si="2538"/>
        <v>89383002</v>
      </c>
      <c r="D14175">
        <v>89301215</v>
      </c>
      <c r="E14175" t="str">
        <f t="shared" si="2539"/>
        <v>7859204518</v>
      </c>
      <c r="F14175" s="1">
        <v>45243</v>
      </c>
      <c r="G14175" t="str">
        <f>"89515"</f>
        <v>89515</v>
      </c>
      <c r="H14175">
        <v>1</v>
      </c>
      <c r="I14175">
        <v>347</v>
      </c>
      <c r="J14175">
        <v>0</v>
      </c>
      <c r="K14175" t="str">
        <f t="shared" si="2536"/>
        <v>809</v>
      </c>
      <c r="L14175">
        <v>510.09</v>
      </c>
    </row>
    <row r="14176" spans="1:12" x14ac:dyDescent="0.25">
      <c r="A14176" t="str">
        <f t="shared" si="2535"/>
        <v>89301000</v>
      </c>
      <c r="B14176" t="str">
        <f t="shared" si="2537"/>
        <v>89383000</v>
      </c>
      <c r="C14176" t="str">
        <f t="shared" si="2538"/>
        <v>89383002</v>
      </c>
      <c r="D14176">
        <v>89301215</v>
      </c>
      <c r="E14176" t="str">
        <f t="shared" si="2539"/>
        <v>7859204518</v>
      </c>
      <c r="F14176" s="1">
        <v>45243</v>
      </c>
      <c r="G14176" t="str">
        <f>"89512"</f>
        <v>89512</v>
      </c>
      <c r="H14176">
        <v>1</v>
      </c>
      <c r="I14176">
        <v>283</v>
      </c>
      <c r="J14176">
        <v>0</v>
      </c>
      <c r="K14176" t="str">
        <f t="shared" si="2536"/>
        <v>809</v>
      </c>
      <c r="L14176">
        <v>416.01</v>
      </c>
    </row>
    <row r="14177" spans="1:12" x14ac:dyDescent="0.25">
      <c r="A14177" t="str">
        <f t="shared" si="2535"/>
        <v>89301000</v>
      </c>
      <c r="B14177" t="str">
        <f t="shared" si="2537"/>
        <v>89383000</v>
      </c>
      <c r="C14177" t="str">
        <f t="shared" si="2538"/>
        <v>89383002</v>
      </c>
      <c r="D14177">
        <v>89301215</v>
      </c>
      <c r="E14177" t="str">
        <f t="shared" si="2539"/>
        <v>7859204518</v>
      </c>
      <c r="F14177" s="1">
        <v>45243</v>
      </c>
      <c r="G14177" t="str">
        <f>"0093109"</f>
        <v>0093109</v>
      </c>
      <c r="H14177">
        <v>0.2</v>
      </c>
      <c r="J14177">
        <v>54.2</v>
      </c>
      <c r="K14177" t="str">
        <f t="shared" si="2536"/>
        <v>809</v>
      </c>
      <c r="L14177">
        <v>54.2</v>
      </c>
    </row>
    <row r="14178" spans="1:12" x14ac:dyDescent="0.25">
      <c r="A14178" t="str">
        <f t="shared" si="2535"/>
        <v>89301000</v>
      </c>
      <c r="B14178" t="str">
        <f t="shared" si="2537"/>
        <v>89383000</v>
      </c>
      <c r="C14178" t="str">
        <f t="shared" si="2538"/>
        <v>89383002</v>
      </c>
      <c r="D14178">
        <v>89301215</v>
      </c>
      <c r="E14178" t="str">
        <f t="shared" si="2539"/>
        <v>7859204518</v>
      </c>
      <c r="F14178" s="1">
        <v>45243</v>
      </c>
      <c r="G14178" t="str">
        <f>"0142908"</f>
        <v>0142908</v>
      </c>
      <c r="H14178">
        <v>1</v>
      </c>
      <c r="J14178">
        <v>910</v>
      </c>
      <c r="K14178" t="str">
        <f t="shared" si="2536"/>
        <v>809</v>
      </c>
      <c r="L14178">
        <v>910</v>
      </c>
    </row>
    <row r="14179" spans="1:12" x14ac:dyDescent="0.25">
      <c r="A14179" t="str">
        <f t="shared" si="2535"/>
        <v>89301000</v>
      </c>
      <c r="B14179" t="str">
        <f t="shared" si="2537"/>
        <v>89383000</v>
      </c>
      <c r="C14179" t="str">
        <f t="shared" si="2538"/>
        <v>89383002</v>
      </c>
      <c r="D14179">
        <v>89301042</v>
      </c>
      <c r="E14179" t="str">
        <f>"406127437"</f>
        <v>406127437</v>
      </c>
      <c r="F14179" s="1">
        <v>45245</v>
      </c>
      <c r="G14179" t="str">
        <f>"89180"</f>
        <v>89180</v>
      </c>
      <c r="H14179">
        <v>2</v>
      </c>
      <c r="I14179">
        <v>762</v>
      </c>
      <c r="J14179">
        <v>0</v>
      </c>
      <c r="K14179" t="str">
        <f t="shared" si="2536"/>
        <v>809</v>
      </c>
      <c r="L14179">
        <v>1120.1400000000001</v>
      </c>
    </row>
    <row r="14180" spans="1:12" x14ac:dyDescent="0.25">
      <c r="A14180" t="str">
        <f t="shared" si="2535"/>
        <v>89301000</v>
      </c>
      <c r="B14180" t="str">
        <f t="shared" si="2537"/>
        <v>89383000</v>
      </c>
      <c r="C14180" t="str">
        <f t="shared" si="2538"/>
        <v>89383002</v>
      </c>
      <c r="D14180">
        <v>89301042</v>
      </c>
      <c r="E14180" t="str">
        <f>"406127437"</f>
        <v>406127437</v>
      </c>
      <c r="F14180" s="1">
        <v>45245</v>
      </c>
      <c r="G14180" t="str">
        <f>"89512"</f>
        <v>89512</v>
      </c>
      <c r="H14180">
        <v>1</v>
      </c>
      <c r="I14180">
        <v>283</v>
      </c>
      <c r="J14180">
        <v>0</v>
      </c>
      <c r="K14180" t="str">
        <f t="shared" si="2536"/>
        <v>809</v>
      </c>
      <c r="L14180">
        <v>416.01</v>
      </c>
    </row>
    <row r="14181" spans="1:12" x14ac:dyDescent="0.25">
      <c r="A14181" t="str">
        <f t="shared" si="2535"/>
        <v>89301000</v>
      </c>
      <c r="B14181" t="str">
        <f t="shared" si="2537"/>
        <v>89383000</v>
      </c>
      <c r="C14181" t="str">
        <f t="shared" si="2538"/>
        <v>89383002</v>
      </c>
      <c r="D14181">
        <v>89301215</v>
      </c>
      <c r="E14181" t="str">
        <f t="shared" ref="E14181:E14188" si="2540">"8954296263"</f>
        <v>8954296263</v>
      </c>
      <c r="F14181" s="1">
        <v>45245</v>
      </c>
      <c r="G14181" t="str">
        <f>"89513"</f>
        <v>89513</v>
      </c>
      <c r="H14181">
        <v>1</v>
      </c>
      <c r="I14181">
        <v>378</v>
      </c>
      <c r="J14181">
        <v>0</v>
      </c>
      <c r="K14181" t="str">
        <f t="shared" si="2536"/>
        <v>809</v>
      </c>
      <c r="L14181">
        <v>555.66</v>
      </c>
    </row>
    <row r="14182" spans="1:12" x14ac:dyDescent="0.25">
      <c r="A14182" t="str">
        <f t="shared" si="2535"/>
        <v>89301000</v>
      </c>
      <c r="B14182" t="str">
        <f t="shared" si="2537"/>
        <v>89383000</v>
      </c>
      <c r="C14182" t="str">
        <f t="shared" si="2538"/>
        <v>89383002</v>
      </c>
      <c r="D14182">
        <v>89301215</v>
      </c>
      <c r="E14182" t="str">
        <f t="shared" si="2540"/>
        <v>8954296263</v>
      </c>
      <c r="F14182" s="1">
        <v>45245</v>
      </c>
      <c r="G14182" t="str">
        <f>"89514"</f>
        <v>89514</v>
      </c>
      <c r="H14182">
        <v>1</v>
      </c>
      <c r="I14182">
        <v>378</v>
      </c>
      <c r="J14182">
        <v>0</v>
      </c>
      <c r="K14182" t="str">
        <f t="shared" ref="K14182:K14213" si="2541">"809"</f>
        <v>809</v>
      </c>
      <c r="L14182">
        <v>555.66</v>
      </c>
    </row>
    <row r="14183" spans="1:12" x14ac:dyDescent="0.25">
      <c r="A14183" t="str">
        <f t="shared" si="2535"/>
        <v>89301000</v>
      </c>
      <c r="B14183" t="str">
        <f t="shared" si="2537"/>
        <v>89383000</v>
      </c>
      <c r="C14183" t="str">
        <f t="shared" si="2538"/>
        <v>89383002</v>
      </c>
      <c r="D14183">
        <v>89301215</v>
      </c>
      <c r="E14183" t="str">
        <f t="shared" si="2540"/>
        <v>8954296263</v>
      </c>
      <c r="F14183" s="1">
        <v>45243</v>
      </c>
      <c r="G14183" t="str">
        <f>"89313"</f>
        <v>89313</v>
      </c>
      <c r="H14183">
        <v>1</v>
      </c>
      <c r="I14183">
        <v>420</v>
      </c>
      <c r="J14183">
        <v>0</v>
      </c>
      <c r="K14183" t="str">
        <f t="shared" si="2541"/>
        <v>809</v>
      </c>
      <c r="L14183">
        <v>617.4</v>
      </c>
    </row>
    <row r="14184" spans="1:12" x14ac:dyDescent="0.25">
      <c r="A14184" t="str">
        <f t="shared" si="2535"/>
        <v>89301000</v>
      </c>
      <c r="B14184" t="str">
        <f t="shared" si="2537"/>
        <v>89383000</v>
      </c>
      <c r="C14184" t="str">
        <f t="shared" si="2538"/>
        <v>89383002</v>
      </c>
      <c r="D14184">
        <v>89301215</v>
      </c>
      <c r="E14184" t="str">
        <f t="shared" si="2540"/>
        <v>8954296263</v>
      </c>
      <c r="F14184" s="1">
        <v>45243</v>
      </c>
      <c r="G14184" t="str">
        <f>"09233"</f>
        <v>09233</v>
      </c>
      <c r="H14184">
        <v>1</v>
      </c>
      <c r="I14184">
        <v>102</v>
      </c>
      <c r="J14184">
        <v>0</v>
      </c>
      <c r="K14184" t="str">
        <f t="shared" si="2541"/>
        <v>809</v>
      </c>
      <c r="L14184">
        <v>149.94</v>
      </c>
    </row>
    <row r="14185" spans="1:12" x14ac:dyDescent="0.25">
      <c r="A14185" t="str">
        <f t="shared" si="2535"/>
        <v>89301000</v>
      </c>
      <c r="B14185" t="str">
        <f t="shared" ref="B14185:B14216" si="2542">"89383000"</f>
        <v>89383000</v>
      </c>
      <c r="C14185" t="str">
        <f t="shared" ref="C14185:C14216" si="2543">"89383002"</f>
        <v>89383002</v>
      </c>
      <c r="D14185">
        <v>89301215</v>
      </c>
      <c r="E14185" t="str">
        <f t="shared" si="2540"/>
        <v>8954296263</v>
      </c>
      <c r="F14185" s="1">
        <v>45243</v>
      </c>
      <c r="G14185" t="str">
        <f>"89515"</f>
        <v>89515</v>
      </c>
      <c r="H14185">
        <v>1</v>
      </c>
      <c r="I14185">
        <v>347</v>
      </c>
      <c r="J14185">
        <v>0</v>
      </c>
      <c r="K14185" t="str">
        <f t="shared" si="2541"/>
        <v>809</v>
      </c>
      <c r="L14185">
        <v>510.09</v>
      </c>
    </row>
    <row r="14186" spans="1:12" x14ac:dyDescent="0.25">
      <c r="A14186" t="str">
        <f t="shared" si="2535"/>
        <v>89301000</v>
      </c>
      <c r="B14186" t="str">
        <f t="shared" si="2542"/>
        <v>89383000</v>
      </c>
      <c r="C14186" t="str">
        <f t="shared" si="2543"/>
        <v>89383002</v>
      </c>
      <c r="D14186">
        <v>89301215</v>
      </c>
      <c r="E14186" t="str">
        <f t="shared" si="2540"/>
        <v>8954296263</v>
      </c>
      <c r="F14186" s="1">
        <v>45243</v>
      </c>
      <c r="G14186" t="str">
        <f>"89512"</f>
        <v>89512</v>
      </c>
      <c r="H14186">
        <v>1</v>
      </c>
      <c r="I14186">
        <v>283</v>
      </c>
      <c r="J14186">
        <v>0</v>
      </c>
      <c r="K14186" t="str">
        <f t="shared" si="2541"/>
        <v>809</v>
      </c>
      <c r="L14186">
        <v>416.01</v>
      </c>
    </row>
    <row r="14187" spans="1:12" x14ac:dyDescent="0.25">
      <c r="A14187" t="str">
        <f t="shared" si="2535"/>
        <v>89301000</v>
      </c>
      <c r="B14187" t="str">
        <f t="shared" si="2542"/>
        <v>89383000</v>
      </c>
      <c r="C14187" t="str">
        <f t="shared" si="2543"/>
        <v>89383002</v>
      </c>
      <c r="D14187">
        <v>89301215</v>
      </c>
      <c r="E14187" t="str">
        <f t="shared" si="2540"/>
        <v>8954296263</v>
      </c>
      <c r="F14187" s="1">
        <v>45243</v>
      </c>
      <c r="G14187" t="str">
        <f>"0225891"</f>
        <v>0225891</v>
      </c>
      <c r="H14187">
        <v>0.02</v>
      </c>
      <c r="J14187">
        <v>4.47</v>
      </c>
      <c r="K14187" t="str">
        <f t="shared" si="2541"/>
        <v>809</v>
      </c>
      <c r="L14187">
        <v>4.47</v>
      </c>
    </row>
    <row r="14188" spans="1:12" x14ac:dyDescent="0.25">
      <c r="A14188" t="str">
        <f t="shared" si="2535"/>
        <v>89301000</v>
      </c>
      <c r="B14188" t="str">
        <f t="shared" si="2542"/>
        <v>89383000</v>
      </c>
      <c r="C14188" t="str">
        <f t="shared" si="2543"/>
        <v>89383002</v>
      </c>
      <c r="D14188">
        <v>89301215</v>
      </c>
      <c r="E14188" t="str">
        <f t="shared" si="2540"/>
        <v>8954296263</v>
      </c>
      <c r="F14188" s="1">
        <v>45243</v>
      </c>
      <c r="G14188" t="str">
        <f>"0082502"</f>
        <v>0082502</v>
      </c>
      <c r="H14188">
        <v>1</v>
      </c>
      <c r="J14188">
        <v>2260.1999999999998</v>
      </c>
      <c r="K14188" t="str">
        <f t="shared" si="2541"/>
        <v>809</v>
      </c>
      <c r="L14188">
        <v>2260.1999999999998</v>
      </c>
    </row>
    <row r="14189" spans="1:12" x14ac:dyDescent="0.25">
      <c r="A14189" t="str">
        <f t="shared" si="2535"/>
        <v>89301000</v>
      </c>
      <c r="B14189" t="str">
        <f t="shared" si="2542"/>
        <v>89383000</v>
      </c>
      <c r="C14189" t="str">
        <f t="shared" si="2543"/>
        <v>89383002</v>
      </c>
      <c r="D14189">
        <v>89301212</v>
      </c>
      <c r="E14189" t="str">
        <f>"7362015771"</f>
        <v>7362015771</v>
      </c>
      <c r="F14189" s="1">
        <v>45246</v>
      </c>
      <c r="G14189" t="str">
        <f>"89180"</f>
        <v>89180</v>
      </c>
      <c r="H14189">
        <v>2</v>
      </c>
      <c r="I14189">
        <v>762</v>
      </c>
      <c r="J14189">
        <v>0</v>
      </c>
      <c r="K14189" t="str">
        <f t="shared" si="2541"/>
        <v>809</v>
      </c>
      <c r="L14189">
        <v>1120.1400000000001</v>
      </c>
    </row>
    <row r="14190" spans="1:12" x14ac:dyDescent="0.25">
      <c r="A14190" t="str">
        <f t="shared" si="2535"/>
        <v>89301000</v>
      </c>
      <c r="B14190" t="str">
        <f t="shared" si="2542"/>
        <v>89383000</v>
      </c>
      <c r="C14190" t="str">
        <f t="shared" si="2543"/>
        <v>89383002</v>
      </c>
      <c r="D14190">
        <v>89301212</v>
      </c>
      <c r="E14190" t="str">
        <f>"7362015771"</f>
        <v>7362015771</v>
      </c>
      <c r="F14190" s="1">
        <v>45246</v>
      </c>
      <c r="G14190" t="str">
        <f>"89512"</f>
        <v>89512</v>
      </c>
      <c r="H14190">
        <v>1</v>
      </c>
      <c r="I14190">
        <v>283</v>
      </c>
      <c r="J14190">
        <v>0</v>
      </c>
      <c r="K14190" t="str">
        <f t="shared" si="2541"/>
        <v>809</v>
      </c>
      <c r="L14190">
        <v>416.01</v>
      </c>
    </row>
    <row r="14191" spans="1:12" x14ac:dyDescent="0.25">
      <c r="A14191" t="str">
        <f t="shared" si="2535"/>
        <v>89301000</v>
      </c>
      <c r="B14191" t="str">
        <f t="shared" si="2542"/>
        <v>89383000</v>
      </c>
      <c r="C14191" t="str">
        <f t="shared" si="2543"/>
        <v>89383002</v>
      </c>
      <c r="D14191">
        <v>89301212</v>
      </c>
      <c r="E14191" t="str">
        <f>"7362015771"</f>
        <v>7362015771</v>
      </c>
      <c r="F14191" s="1">
        <v>45246</v>
      </c>
      <c r="G14191" t="str">
        <f>"89513"</f>
        <v>89513</v>
      </c>
      <c r="H14191">
        <v>1</v>
      </c>
      <c r="I14191">
        <v>378</v>
      </c>
      <c r="J14191">
        <v>0</v>
      </c>
      <c r="K14191" t="str">
        <f t="shared" si="2541"/>
        <v>809</v>
      </c>
      <c r="L14191">
        <v>555.66</v>
      </c>
    </row>
    <row r="14192" spans="1:12" x14ac:dyDescent="0.25">
      <c r="A14192" t="str">
        <f t="shared" si="2535"/>
        <v>89301000</v>
      </c>
      <c r="B14192" t="str">
        <f t="shared" si="2542"/>
        <v>89383000</v>
      </c>
      <c r="C14192" t="str">
        <f t="shared" si="2543"/>
        <v>89383002</v>
      </c>
      <c r="D14192">
        <v>89301212</v>
      </c>
      <c r="E14192" t="str">
        <f>"7362015771"</f>
        <v>7362015771</v>
      </c>
      <c r="F14192" s="1">
        <v>45246</v>
      </c>
      <c r="G14192" t="str">
        <f>"89514"</f>
        <v>89514</v>
      </c>
      <c r="H14192">
        <v>1</v>
      </c>
      <c r="I14192">
        <v>378</v>
      </c>
      <c r="J14192">
        <v>0</v>
      </c>
      <c r="K14192" t="str">
        <f t="shared" si="2541"/>
        <v>809</v>
      </c>
      <c r="L14192">
        <v>555.66</v>
      </c>
    </row>
    <row r="14193" spans="1:12" x14ac:dyDescent="0.25">
      <c r="A14193" t="str">
        <f t="shared" si="2535"/>
        <v>89301000</v>
      </c>
      <c r="B14193" t="str">
        <f t="shared" si="2542"/>
        <v>89383000</v>
      </c>
      <c r="C14193" t="str">
        <f t="shared" si="2543"/>
        <v>89383002</v>
      </c>
      <c r="D14193">
        <v>89301212</v>
      </c>
      <c r="E14193" t="str">
        <f>"8059245348"</f>
        <v>8059245348</v>
      </c>
      <c r="F14193" s="1">
        <v>45246</v>
      </c>
      <c r="G14193" t="str">
        <f>"89512"</f>
        <v>89512</v>
      </c>
      <c r="H14193">
        <v>1</v>
      </c>
      <c r="I14193">
        <v>283</v>
      </c>
      <c r="J14193">
        <v>0</v>
      </c>
      <c r="K14193" t="str">
        <f t="shared" si="2541"/>
        <v>809</v>
      </c>
      <c r="L14193">
        <v>416.01</v>
      </c>
    </row>
    <row r="14194" spans="1:12" x14ac:dyDescent="0.25">
      <c r="A14194" t="str">
        <f t="shared" si="2535"/>
        <v>89301000</v>
      </c>
      <c r="B14194" t="str">
        <f t="shared" si="2542"/>
        <v>89383000</v>
      </c>
      <c r="C14194" t="str">
        <f t="shared" si="2543"/>
        <v>89383002</v>
      </c>
      <c r="D14194">
        <v>89301212</v>
      </c>
      <c r="E14194" t="str">
        <f>"8059245348"</f>
        <v>8059245348</v>
      </c>
      <c r="F14194" s="1">
        <v>45246</v>
      </c>
      <c r="G14194" t="str">
        <f>"89513"</f>
        <v>89513</v>
      </c>
      <c r="H14194">
        <v>1</v>
      </c>
      <c r="I14194">
        <v>378</v>
      </c>
      <c r="J14194">
        <v>0</v>
      </c>
      <c r="K14194" t="str">
        <f t="shared" si="2541"/>
        <v>809</v>
      </c>
      <c r="L14194">
        <v>555.66</v>
      </c>
    </row>
    <row r="14195" spans="1:12" x14ac:dyDescent="0.25">
      <c r="A14195" t="str">
        <f t="shared" si="2535"/>
        <v>89301000</v>
      </c>
      <c r="B14195" t="str">
        <f t="shared" si="2542"/>
        <v>89383000</v>
      </c>
      <c r="C14195" t="str">
        <f t="shared" si="2543"/>
        <v>89383002</v>
      </c>
      <c r="D14195">
        <v>89301212</v>
      </c>
      <c r="E14195" t="str">
        <f>"8059245348"</f>
        <v>8059245348</v>
      </c>
      <c r="F14195" s="1">
        <v>45246</v>
      </c>
      <c r="G14195" t="str">
        <f>"89514"</f>
        <v>89514</v>
      </c>
      <c r="H14195">
        <v>1</v>
      </c>
      <c r="I14195">
        <v>378</v>
      </c>
      <c r="J14195">
        <v>0</v>
      </c>
      <c r="K14195" t="str">
        <f t="shared" si="2541"/>
        <v>809</v>
      </c>
      <c r="L14195">
        <v>555.66</v>
      </c>
    </row>
    <row r="14196" spans="1:12" x14ac:dyDescent="0.25">
      <c r="A14196" t="str">
        <f t="shared" si="2535"/>
        <v>89301000</v>
      </c>
      <c r="B14196" t="str">
        <f t="shared" si="2542"/>
        <v>89383000</v>
      </c>
      <c r="C14196" t="str">
        <f t="shared" si="2543"/>
        <v>89383002</v>
      </c>
      <c r="D14196">
        <v>89301212</v>
      </c>
      <c r="E14196" t="str">
        <f>"6756080639"</f>
        <v>6756080639</v>
      </c>
      <c r="F14196" s="1">
        <v>45250</v>
      </c>
      <c r="G14196" t="str">
        <f>"89180"</f>
        <v>89180</v>
      </c>
      <c r="H14196">
        <v>2</v>
      </c>
      <c r="I14196">
        <v>762</v>
      </c>
      <c r="J14196">
        <v>0</v>
      </c>
      <c r="K14196" t="str">
        <f t="shared" si="2541"/>
        <v>809</v>
      </c>
      <c r="L14196">
        <v>1120.1400000000001</v>
      </c>
    </row>
    <row r="14197" spans="1:12" x14ac:dyDescent="0.25">
      <c r="A14197" t="str">
        <f t="shared" si="2535"/>
        <v>89301000</v>
      </c>
      <c r="B14197" t="str">
        <f t="shared" si="2542"/>
        <v>89383000</v>
      </c>
      <c r="C14197" t="str">
        <f t="shared" si="2543"/>
        <v>89383002</v>
      </c>
      <c r="D14197">
        <v>89301212</v>
      </c>
      <c r="E14197" t="str">
        <f>"6756080639"</f>
        <v>6756080639</v>
      </c>
      <c r="F14197" s="1">
        <v>45250</v>
      </c>
      <c r="G14197" t="str">
        <f>"89512"</f>
        <v>89512</v>
      </c>
      <c r="H14197">
        <v>1</v>
      </c>
      <c r="I14197">
        <v>283</v>
      </c>
      <c r="J14197">
        <v>0</v>
      </c>
      <c r="K14197" t="str">
        <f t="shared" si="2541"/>
        <v>809</v>
      </c>
      <c r="L14197">
        <v>416.01</v>
      </c>
    </row>
    <row r="14198" spans="1:12" x14ac:dyDescent="0.25">
      <c r="A14198" t="str">
        <f t="shared" si="2535"/>
        <v>89301000</v>
      </c>
      <c r="B14198" t="str">
        <f t="shared" si="2542"/>
        <v>89383000</v>
      </c>
      <c r="C14198" t="str">
        <f t="shared" si="2543"/>
        <v>89383002</v>
      </c>
      <c r="D14198">
        <v>89301212</v>
      </c>
      <c r="E14198" t="str">
        <f>"6756080639"</f>
        <v>6756080639</v>
      </c>
      <c r="F14198" s="1">
        <v>45250</v>
      </c>
      <c r="G14198" t="str">
        <f>"89513"</f>
        <v>89513</v>
      </c>
      <c r="H14198">
        <v>1</v>
      </c>
      <c r="I14198">
        <v>378</v>
      </c>
      <c r="J14198">
        <v>0</v>
      </c>
      <c r="K14198" t="str">
        <f t="shared" si="2541"/>
        <v>809</v>
      </c>
      <c r="L14198">
        <v>555.66</v>
      </c>
    </row>
    <row r="14199" spans="1:12" x14ac:dyDescent="0.25">
      <c r="A14199" t="str">
        <f t="shared" si="2535"/>
        <v>89301000</v>
      </c>
      <c r="B14199" t="str">
        <f t="shared" si="2542"/>
        <v>89383000</v>
      </c>
      <c r="C14199" t="str">
        <f t="shared" si="2543"/>
        <v>89383002</v>
      </c>
      <c r="D14199">
        <v>89301212</v>
      </c>
      <c r="E14199" t="str">
        <f>"6756080639"</f>
        <v>6756080639</v>
      </c>
      <c r="F14199" s="1">
        <v>45250</v>
      </c>
      <c r="G14199" t="str">
        <f>"89514"</f>
        <v>89514</v>
      </c>
      <c r="H14199">
        <v>1</v>
      </c>
      <c r="I14199">
        <v>378</v>
      </c>
      <c r="J14199">
        <v>0</v>
      </c>
      <c r="K14199" t="str">
        <f t="shared" si="2541"/>
        <v>809</v>
      </c>
      <c r="L14199">
        <v>555.66</v>
      </c>
    </row>
    <row r="14200" spans="1:12" x14ac:dyDescent="0.25">
      <c r="A14200" t="str">
        <f t="shared" si="2535"/>
        <v>89301000</v>
      </c>
      <c r="B14200" t="str">
        <f t="shared" si="2542"/>
        <v>89383000</v>
      </c>
      <c r="C14200" t="str">
        <f t="shared" si="2543"/>
        <v>89383002</v>
      </c>
      <c r="D14200">
        <v>89301212</v>
      </c>
      <c r="E14200" t="str">
        <f>"5462163025"</f>
        <v>5462163025</v>
      </c>
      <c r="F14200" s="1">
        <v>45250</v>
      </c>
      <c r="G14200" t="str">
        <f>"89180"</f>
        <v>89180</v>
      </c>
      <c r="H14200">
        <v>2</v>
      </c>
      <c r="I14200">
        <v>762</v>
      </c>
      <c r="J14200">
        <v>0</v>
      </c>
      <c r="K14200" t="str">
        <f t="shared" si="2541"/>
        <v>809</v>
      </c>
      <c r="L14200">
        <v>1120.1400000000001</v>
      </c>
    </row>
    <row r="14201" spans="1:12" x14ac:dyDescent="0.25">
      <c r="A14201" t="str">
        <f t="shared" si="2535"/>
        <v>89301000</v>
      </c>
      <c r="B14201" t="str">
        <f t="shared" si="2542"/>
        <v>89383000</v>
      </c>
      <c r="C14201" t="str">
        <f t="shared" si="2543"/>
        <v>89383002</v>
      </c>
      <c r="D14201">
        <v>89301212</v>
      </c>
      <c r="E14201" t="str">
        <f>"5462163025"</f>
        <v>5462163025</v>
      </c>
      <c r="F14201" s="1">
        <v>45250</v>
      </c>
      <c r="G14201" t="str">
        <f>"89512"</f>
        <v>89512</v>
      </c>
      <c r="H14201">
        <v>1</v>
      </c>
      <c r="I14201">
        <v>283</v>
      </c>
      <c r="J14201">
        <v>0</v>
      </c>
      <c r="K14201" t="str">
        <f t="shared" si="2541"/>
        <v>809</v>
      </c>
      <c r="L14201">
        <v>416.01</v>
      </c>
    </row>
    <row r="14202" spans="1:12" x14ac:dyDescent="0.25">
      <c r="A14202" t="str">
        <f t="shared" si="2535"/>
        <v>89301000</v>
      </c>
      <c r="B14202" t="str">
        <f t="shared" si="2542"/>
        <v>89383000</v>
      </c>
      <c r="C14202" t="str">
        <f t="shared" si="2543"/>
        <v>89383002</v>
      </c>
      <c r="D14202">
        <v>89301212</v>
      </c>
      <c r="E14202" t="str">
        <f>"7859204518"</f>
        <v>7859204518</v>
      </c>
      <c r="F14202" s="1">
        <v>45250</v>
      </c>
      <c r="G14202" t="str">
        <f>"89513"</f>
        <v>89513</v>
      </c>
      <c r="H14202">
        <v>1</v>
      </c>
      <c r="I14202">
        <v>378</v>
      </c>
      <c r="J14202">
        <v>0</v>
      </c>
      <c r="K14202" t="str">
        <f t="shared" si="2541"/>
        <v>809</v>
      </c>
      <c r="L14202">
        <v>555.66</v>
      </c>
    </row>
    <row r="14203" spans="1:12" x14ac:dyDescent="0.25">
      <c r="A14203" t="str">
        <f t="shared" si="2535"/>
        <v>89301000</v>
      </c>
      <c r="B14203" t="str">
        <f t="shared" si="2542"/>
        <v>89383000</v>
      </c>
      <c r="C14203" t="str">
        <f t="shared" si="2543"/>
        <v>89383002</v>
      </c>
      <c r="D14203">
        <v>89301212</v>
      </c>
      <c r="E14203" t="str">
        <f>"7859204518"</f>
        <v>7859204518</v>
      </c>
      <c r="F14203" s="1">
        <v>45250</v>
      </c>
      <c r="G14203" t="str">
        <f>"89514"</f>
        <v>89514</v>
      </c>
      <c r="H14203">
        <v>1</v>
      </c>
      <c r="I14203">
        <v>378</v>
      </c>
      <c r="J14203">
        <v>0</v>
      </c>
      <c r="K14203" t="str">
        <f t="shared" si="2541"/>
        <v>809</v>
      </c>
      <c r="L14203">
        <v>555.66</v>
      </c>
    </row>
    <row r="14204" spans="1:12" x14ac:dyDescent="0.25">
      <c r="A14204" t="str">
        <f t="shared" si="2535"/>
        <v>89301000</v>
      </c>
      <c r="B14204" t="str">
        <f t="shared" si="2542"/>
        <v>89383000</v>
      </c>
      <c r="C14204" t="str">
        <f t="shared" si="2543"/>
        <v>89383002</v>
      </c>
      <c r="D14204">
        <v>89301042</v>
      </c>
      <c r="E14204" t="str">
        <f>"7061285308"</f>
        <v>7061285308</v>
      </c>
      <c r="F14204" s="1">
        <v>45250</v>
      </c>
      <c r="G14204" t="str">
        <f>"89513"</f>
        <v>89513</v>
      </c>
      <c r="H14204">
        <v>1</v>
      </c>
      <c r="I14204">
        <v>378</v>
      </c>
      <c r="J14204">
        <v>0</v>
      </c>
      <c r="K14204" t="str">
        <f t="shared" si="2541"/>
        <v>809</v>
      </c>
      <c r="L14204">
        <v>555.66</v>
      </c>
    </row>
    <row r="14205" spans="1:12" x14ac:dyDescent="0.25">
      <c r="A14205" t="str">
        <f t="shared" si="2535"/>
        <v>89301000</v>
      </c>
      <c r="B14205" t="str">
        <f t="shared" si="2542"/>
        <v>89383000</v>
      </c>
      <c r="C14205" t="str">
        <f t="shared" si="2543"/>
        <v>89383002</v>
      </c>
      <c r="D14205">
        <v>89301042</v>
      </c>
      <c r="E14205" t="str">
        <f>"7061285308"</f>
        <v>7061285308</v>
      </c>
      <c r="F14205" s="1">
        <v>45250</v>
      </c>
      <c r="G14205" t="str">
        <f>"89514"</f>
        <v>89514</v>
      </c>
      <c r="H14205">
        <v>1</v>
      </c>
      <c r="I14205">
        <v>378</v>
      </c>
      <c r="J14205">
        <v>0</v>
      </c>
      <c r="K14205" t="str">
        <f t="shared" si="2541"/>
        <v>809</v>
      </c>
      <c r="L14205">
        <v>555.66</v>
      </c>
    </row>
    <row r="14206" spans="1:12" x14ac:dyDescent="0.25">
      <c r="A14206" t="str">
        <f t="shared" si="2535"/>
        <v>89301000</v>
      </c>
      <c r="B14206" t="str">
        <f t="shared" si="2542"/>
        <v>89383000</v>
      </c>
      <c r="C14206" t="str">
        <f t="shared" si="2543"/>
        <v>89383002</v>
      </c>
      <c r="D14206">
        <v>89301042</v>
      </c>
      <c r="E14206" t="str">
        <f>"5661122126"</f>
        <v>5661122126</v>
      </c>
      <c r="F14206" s="1">
        <v>45250</v>
      </c>
      <c r="G14206" t="str">
        <f>"89513"</f>
        <v>89513</v>
      </c>
      <c r="H14206">
        <v>1</v>
      </c>
      <c r="I14206">
        <v>378</v>
      </c>
      <c r="J14206">
        <v>0</v>
      </c>
      <c r="K14206" t="str">
        <f t="shared" si="2541"/>
        <v>809</v>
      </c>
      <c r="L14206">
        <v>555.66</v>
      </c>
    </row>
    <row r="14207" spans="1:12" x14ac:dyDescent="0.25">
      <c r="A14207" t="str">
        <f t="shared" si="2535"/>
        <v>89301000</v>
      </c>
      <c r="B14207" t="str">
        <f t="shared" si="2542"/>
        <v>89383000</v>
      </c>
      <c r="C14207" t="str">
        <f t="shared" si="2543"/>
        <v>89383002</v>
      </c>
      <c r="D14207">
        <v>89301042</v>
      </c>
      <c r="E14207" t="str">
        <f>"5661122126"</f>
        <v>5661122126</v>
      </c>
      <c r="F14207" s="1">
        <v>45250</v>
      </c>
      <c r="G14207" t="str">
        <f>"89514"</f>
        <v>89514</v>
      </c>
      <c r="H14207">
        <v>1</v>
      </c>
      <c r="I14207">
        <v>378</v>
      </c>
      <c r="J14207">
        <v>0</v>
      </c>
      <c r="K14207" t="str">
        <f t="shared" si="2541"/>
        <v>809</v>
      </c>
      <c r="L14207">
        <v>555.66</v>
      </c>
    </row>
    <row r="14208" spans="1:12" x14ac:dyDescent="0.25">
      <c r="A14208" t="str">
        <f t="shared" si="2535"/>
        <v>89301000</v>
      </c>
      <c r="B14208" t="str">
        <f t="shared" si="2542"/>
        <v>89383000</v>
      </c>
      <c r="C14208" t="str">
        <f t="shared" si="2543"/>
        <v>89383002</v>
      </c>
      <c r="D14208">
        <v>89301045</v>
      </c>
      <c r="E14208" t="str">
        <f>"9658115720"</f>
        <v>9658115720</v>
      </c>
      <c r="F14208" s="1">
        <v>45252</v>
      </c>
      <c r="G14208" t="str">
        <f>"89512"</f>
        <v>89512</v>
      </c>
      <c r="H14208">
        <v>1</v>
      </c>
      <c r="I14208">
        <v>283</v>
      </c>
      <c r="J14208">
        <v>0</v>
      </c>
      <c r="K14208" t="str">
        <f t="shared" si="2541"/>
        <v>809</v>
      </c>
      <c r="L14208">
        <v>416.01</v>
      </c>
    </row>
    <row r="14209" spans="1:12" x14ac:dyDescent="0.25">
      <c r="A14209" t="str">
        <f t="shared" si="2535"/>
        <v>89301000</v>
      </c>
      <c r="B14209" t="str">
        <f t="shared" si="2542"/>
        <v>89383000</v>
      </c>
      <c r="C14209" t="str">
        <f t="shared" si="2543"/>
        <v>89383002</v>
      </c>
      <c r="D14209">
        <v>89301212</v>
      </c>
      <c r="E14209" t="str">
        <f>"465722471"</f>
        <v>465722471</v>
      </c>
      <c r="F14209" s="1">
        <v>45253</v>
      </c>
      <c r="G14209" t="str">
        <f>"89514"</f>
        <v>89514</v>
      </c>
      <c r="H14209">
        <v>1</v>
      </c>
      <c r="I14209">
        <v>378</v>
      </c>
      <c r="J14209">
        <v>0</v>
      </c>
      <c r="K14209" t="str">
        <f t="shared" si="2541"/>
        <v>809</v>
      </c>
      <c r="L14209">
        <v>555.66</v>
      </c>
    </row>
    <row r="14210" spans="1:12" x14ac:dyDescent="0.25">
      <c r="A14210" t="str">
        <f t="shared" ref="A14210:A14273" si="2544">"89301000"</f>
        <v>89301000</v>
      </c>
      <c r="B14210" t="str">
        <f t="shared" si="2542"/>
        <v>89383000</v>
      </c>
      <c r="C14210" t="str">
        <f t="shared" si="2543"/>
        <v>89383002</v>
      </c>
      <c r="D14210">
        <v>89301212</v>
      </c>
      <c r="E14210" t="str">
        <f>"465722471"</f>
        <v>465722471</v>
      </c>
      <c r="F14210" s="1">
        <v>45253</v>
      </c>
      <c r="G14210" t="str">
        <f>"89513"</f>
        <v>89513</v>
      </c>
      <c r="H14210">
        <v>1</v>
      </c>
      <c r="I14210">
        <v>378</v>
      </c>
      <c r="J14210">
        <v>0</v>
      </c>
      <c r="K14210" t="str">
        <f t="shared" si="2541"/>
        <v>809</v>
      </c>
      <c r="L14210">
        <v>555.66</v>
      </c>
    </row>
    <row r="14211" spans="1:12" x14ac:dyDescent="0.25">
      <c r="A14211" t="str">
        <f t="shared" si="2544"/>
        <v>89301000</v>
      </c>
      <c r="B14211" t="str">
        <f t="shared" si="2542"/>
        <v>89383000</v>
      </c>
      <c r="C14211" t="str">
        <f t="shared" si="2543"/>
        <v>89383002</v>
      </c>
      <c r="D14211">
        <v>89301042</v>
      </c>
      <c r="E14211" t="str">
        <f>"446217452"</f>
        <v>446217452</v>
      </c>
      <c r="F14211" s="1">
        <v>45253</v>
      </c>
      <c r="G14211" t="str">
        <f>"89180"</f>
        <v>89180</v>
      </c>
      <c r="H14211">
        <v>2</v>
      </c>
      <c r="I14211">
        <v>762</v>
      </c>
      <c r="J14211">
        <v>0</v>
      </c>
      <c r="K14211" t="str">
        <f t="shared" si="2541"/>
        <v>809</v>
      </c>
      <c r="L14211">
        <v>1120.1400000000001</v>
      </c>
    </row>
    <row r="14212" spans="1:12" x14ac:dyDescent="0.25">
      <c r="A14212" t="str">
        <f t="shared" si="2544"/>
        <v>89301000</v>
      </c>
      <c r="B14212" t="str">
        <f t="shared" si="2542"/>
        <v>89383000</v>
      </c>
      <c r="C14212" t="str">
        <f t="shared" si="2543"/>
        <v>89383002</v>
      </c>
      <c r="D14212">
        <v>89301042</v>
      </c>
      <c r="E14212" t="str">
        <f>"446217452"</f>
        <v>446217452</v>
      </c>
      <c r="F14212" s="1">
        <v>45253</v>
      </c>
      <c r="G14212" t="str">
        <f>"89512"</f>
        <v>89512</v>
      </c>
      <c r="H14212">
        <v>1</v>
      </c>
      <c r="I14212">
        <v>283</v>
      </c>
      <c r="J14212">
        <v>0</v>
      </c>
      <c r="K14212" t="str">
        <f t="shared" si="2541"/>
        <v>809</v>
      </c>
      <c r="L14212">
        <v>416.01</v>
      </c>
    </row>
    <row r="14213" spans="1:12" x14ac:dyDescent="0.25">
      <c r="A14213" t="str">
        <f t="shared" si="2544"/>
        <v>89301000</v>
      </c>
      <c r="B14213" t="str">
        <f t="shared" si="2542"/>
        <v>89383000</v>
      </c>
      <c r="C14213" t="str">
        <f t="shared" si="2543"/>
        <v>89383002</v>
      </c>
      <c r="D14213">
        <v>89301212</v>
      </c>
      <c r="E14213" t="str">
        <f>"7451195312"</f>
        <v>7451195312</v>
      </c>
      <c r="F14213" s="1">
        <v>45253</v>
      </c>
      <c r="G14213" t="str">
        <f>"89180"</f>
        <v>89180</v>
      </c>
      <c r="H14213">
        <v>2</v>
      </c>
      <c r="I14213">
        <v>762</v>
      </c>
      <c r="J14213">
        <v>0</v>
      </c>
      <c r="K14213" t="str">
        <f t="shared" si="2541"/>
        <v>809</v>
      </c>
      <c r="L14213">
        <v>1120.1400000000001</v>
      </c>
    </row>
    <row r="14214" spans="1:12" x14ac:dyDescent="0.25">
      <c r="A14214" t="str">
        <f t="shared" si="2544"/>
        <v>89301000</v>
      </c>
      <c r="B14214" t="str">
        <f t="shared" si="2542"/>
        <v>89383000</v>
      </c>
      <c r="C14214" t="str">
        <f t="shared" si="2543"/>
        <v>89383002</v>
      </c>
      <c r="D14214">
        <v>89301212</v>
      </c>
      <c r="E14214" t="str">
        <f>"7451195312"</f>
        <v>7451195312</v>
      </c>
      <c r="F14214" s="1">
        <v>45253</v>
      </c>
      <c r="G14214" t="str">
        <f>"89512"</f>
        <v>89512</v>
      </c>
      <c r="H14214">
        <v>1</v>
      </c>
      <c r="I14214">
        <v>283</v>
      </c>
      <c r="J14214">
        <v>0</v>
      </c>
      <c r="K14214" t="str">
        <f t="shared" ref="K14214:K14250" si="2545">"809"</f>
        <v>809</v>
      </c>
      <c r="L14214">
        <v>416.01</v>
      </c>
    </row>
    <row r="14215" spans="1:12" x14ac:dyDescent="0.25">
      <c r="A14215" t="str">
        <f t="shared" si="2544"/>
        <v>89301000</v>
      </c>
      <c r="B14215" t="str">
        <f t="shared" si="2542"/>
        <v>89383000</v>
      </c>
      <c r="C14215" t="str">
        <f t="shared" si="2543"/>
        <v>89383002</v>
      </c>
      <c r="D14215">
        <v>89301212</v>
      </c>
      <c r="E14215" t="str">
        <f>"7451195312"</f>
        <v>7451195312</v>
      </c>
      <c r="F14215" s="1">
        <v>45253</v>
      </c>
      <c r="G14215" t="str">
        <f>"89513"</f>
        <v>89513</v>
      </c>
      <c r="H14215">
        <v>1</v>
      </c>
      <c r="I14215">
        <v>378</v>
      </c>
      <c r="J14215">
        <v>0</v>
      </c>
      <c r="K14215" t="str">
        <f t="shared" si="2545"/>
        <v>809</v>
      </c>
      <c r="L14215">
        <v>555.66</v>
      </c>
    </row>
    <row r="14216" spans="1:12" x14ac:dyDescent="0.25">
      <c r="A14216" t="str">
        <f t="shared" si="2544"/>
        <v>89301000</v>
      </c>
      <c r="B14216" t="str">
        <f t="shared" si="2542"/>
        <v>89383000</v>
      </c>
      <c r="C14216" t="str">
        <f t="shared" si="2543"/>
        <v>89383002</v>
      </c>
      <c r="D14216">
        <v>89301212</v>
      </c>
      <c r="E14216" t="str">
        <f>"7451195312"</f>
        <v>7451195312</v>
      </c>
      <c r="F14216" s="1">
        <v>45253</v>
      </c>
      <c r="G14216" t="str">
        <f>"89514"</f>
        <v>89514</v>
      </c>
      <c r="H14216">
        <v>1</v>
      </c>
      <c r="I14216">
        <v>378</v>
      </c>
      <c r="J14216">
        <v>0</v>
      </c>
      <c r="K14216" t="str">
        <f t="shared" si="2545"/>
        <v>809</v>
      </c>
      <c r="L14216">
        <v>555.66</v>
      </c>
    </row>
    <row r="14217" spans="1:12" x14ac:dyDescent="0.25">
      <c r="A14217" t="str">
        <f t="shared" si="2544"/>
        <v>89301000</v>
      </c>
      <c r="B14217" t="str">
        <f t="shared" ref="B14217:B14250" si="2546">"89383000"</f>
        <v>89383000</v>
      </c>
      <c r="C14217" t="str">
        <f t="shared" ref="C14217:C14250" si="2547">"89383002"</f>
        <v>89383002</v>
      </c>
      <c r="D14217">
        <v>89301045</v>
      </c>
      <c r="E14217" t="str">
        <f>"485118401"</f>
        <v>485118401</v>
      </c>
      <c r="F14217" s="1">
        <v>45257</v>
      </c>
      <c r="G14217" t="str">
        <f>"89180"</f>
        <v>89180</v>
      </c>
      <c r="H14217">
        <v>2</v>
      </c>
      <c r="I14217">
        <v>762</v>
      </c>
      <c r="J14217">
        <v>0</v>
      </c>
      <c r="K14217" t="str">
        <f t="shared" si="2545"/>
        <v>809</v>
      </c>
      <c r="L14217">
        <v>1120.1400000000001</v>
      </c>
    </row>
    <row r="14218" spans="1:12" x14ac:dyDescent="0.25">
      <c r="A14218" t="str">
        <f t="shared" si="2544"/>
        <v>89301000</v>
      </c>
      <c r="B14218" t="str">
        <f t="shared" si="2546"/>
        <v>89383000</v>
      </c>
      <c r="C14218" t="str">
        <f t="shared" si="2547"/>
        <v>89383002</v>
      </c>
      <c r="D14218">
        <v>89301045</v>
      </c>
      <c r="E14218" t="str">
        <f>"485118401"</f>
        <v>485118401</v>
      </c>
      <c r="F14218" s="1">
        <v>45257</v>
      </c>
      <c r="G14218" t="str">
        <f>"89512"</f>
        <v>89512</v>
      </c>
      <c r="H14218">
        <v>1</v>
      </c>
      <c r="I14218">
        <v>283</v>
      </c>
      <c r="J14218">
        <v>0</v>
      </c>
      <c r="K14218" t="str">
        <f t="shared" si="2545"/>
        <v>809</v>
      </c>
      <c r="L14218">
        <v>416.01</v>
      </c>
    </row>
    <row r="14219" spans="1:12" x14ac:dyDescent="0.25">
      <c r="A14219" t="str">
        <f t="shared" si="2544"/>
        <v>89301000</v>
      </c>
      <c r="B14219" t="str">
        <f t="shared" si="2546"/>
        <v>89383000</v>
      </c>
      <c r="C14219" t="str">
        <f t="shared" si="2547"/>
        <v>89383002</v>
      </c>
      <c r="D14219">
        <v>89301045</v>
      </c>
      <c r="E14219" t="str">
        <f>"485118401"</f>
        <v>485118401</v>
      </c>
      <c r="F14219" s="1">
        <v>45257</v>
      </c>
      <c r="G14219" t="str">
        <f>"89513"</f>
        <v>89513</v>
      </c>
      <c r="H14219">
        <v>1</v>
      </c>
      <c r="I14219">
        <v>378</v>
      </c>
      <c r="J14219">
        <v>0</v>
      </c>
      <c r="K14219" t="str">
        <f t="shared" si="2545"/>
        <v>809</v>
      </c>
      <c r="L14219">
        <v>555.66</v>
      </c>
    </row>
    <row r="14220" spans="1:12" x14ac:dyDescent="0.25">
      <c r="A14220" t="str">
        <f t="shared" si="2544"/>
        <v>89301000</v>
      </c>
      <c r="B14220" t="str">
        <f t="shared" si="2546"/>
        <v>89383000</v>
      </c>
      <c r="C14220" t="str">
        <f t="shared" si="2547"/>
        <v>89383002</v>
      </c>
      <c r="D14220">
        <v>89301045</v>
      </c>
      <c r="E14220" t="str">
        <f>"485118401"</f>
        <v>485118401</v>
      </c>
      <c r="F14220" s="1">
        <v>45257</v>
      </c>
      <c r="G14220" t="str">
        <f>"89514"</f>
        <v>89514</v>
      </c>
      <c r="H14220">
        <v>1</v>
      </c>
      <c r="I14220">
        <v>378</v>
      </c>
      <c r="J14220">
        <v>0</v>
      </c>
      <c r="K14220" t="str">
        <f t="shared" si="2545"/>
        <v>809</v>
      </c>
      <c r="L14220">
        <v>555.66</v>
      </c>
    </row>
    <row r="14221" spans="1:12" x14ac:dyDescent="0.25">
      <c r="A14221" t="str">
        <f t="shared" si="2544"/>
        <v>89301000</v>
      </c>
      <c r="B14221" t="str">
        <f t="shared" si="2546"/>
        <v>89383000</v>
      </c>
      <c r="C14221" t="str">
        <f t="shared" si="2547"/>
        <v>89383002</v>
      </c>
      <c r="D14221">
        <v>89301215</v>
      </c>
      <c r="E14221" t="str">
        <f>"445224412"</f>
        <v>445224412</v>
      </c>
      <c r="F14221" s="1">
        <v>45257</v>
      </c>
      <c r="G14221" t="str">
        <f>"89513"</f>
        <v>89513</v>
      </c>
      <c r="H14221">
        <v>1</v>
      </c>
      <c r="I14221">
        <v>378</v>
      </c>
      <c r="J14221">
        <v>0</v>
      </c>
      <c r="K14221" t="str">
        <f t="shared" si="2545"/>
        <v>809</v>
      </c>
      <c r="L14221">
        <v>555.66</v>
      </c>
    </row>
    <row r="14222" spans="1:12" x14ac:dyDescent="0.25">
      <c r="A14222" t="str">
        <f t="shared" si="2544"/>
        <v>89301000</v>
      </c>
      <c r="B14222" t="str">
        <f t="shared" si="2546"/>
        <v>89383000</v>
      </c>
      <c r="C14222" t="str">
        <f t="shared" si="2547"/>
        <v>89383002</v>
      </c>
      <c r="D14222">
        <v>89301215</v>
      </c>
      <c r="E14222" t="str">
        <f>"445224412"</f>
        <v>445224412</v>
      </c>
      <c r="F14222" s="1">
        <v>45257</v>
      </c>
      <c r="G14222" t="str">
        <f>"89514"</f>
        <v>89514</v>
      </c>
      <c r="H14222">
        <v>1</v>
      </c>
      <c r="I14222">
        <v>378</v>
      </c>
      <c r="J14222">
        <v>0</v>
      </c>
      <c r="K14222" t="str">
        <f t="shared" si="2545"/>
        <v>809</v>
      </c>
      <c r="L14222">
        <v>555.66</v>
      </c>
    </row>
    <row r="14223" spans="1:12" x14ac:dyDescent="0.25">
      <c r="A14223" t="str">
        <f t="shared" si="2544"/>
        <v>89301000</v>
      </c>
      <c r="B14223" t="str">
        <f t="shared" si="2546"/>
        <v>89383000</v>
      </c>
      <c r="C14223" t="str">
        <f t="shared" si="2547"/>
        <v>89383002</v>
      </c>
      <c r="D14223">
        <v>89301215</v>
      </c>
      <c r="E14223" t="str">
        <f>"7255304848"</f>
        <v>7255304848</v>
      </c>
      <c r="F14223" s="1">
        <v>45257</v>
      </c>
      <c r="G14223" t="str">
        <f>"89513"</f>
        <v>89513</v>
      </c>
      <c r="H14223">
        <v>1</v>
      </c>
      <c r="I14223">
        <v>378</v>
      </c>
      <c r="J14223">
        <v>0</v>
      </c>
      <c r="K14223" t="str">
        <f t="shared" si="2545"/>
        <v>809</v>
      </c>
      <c r="L14223">
        <v>555.66</v>
      </c>
    </row>
    <row r="14224" spans="1:12" x14ac:dyDescent="0.25">
      <c r="A14224" t="str">
        <f t="shared" si="2544"/>
        <v>89301000</v>
      </c>
      <c r="B14224" t="str">
        <f t="shared" si="2546"/>
        <v>89383000</v>
      </c>
      <c r="C14224" t="str">
        <f t="shared" si="2547"/>
        <v>89383002</v>
      </c>
      <c r="D14224">
        <v>89301215</v>
      </c>
      <c r="E14224" t="str">
        <f>"7255304848"</f>
        <v>7255304848</v>
      </c>
      <c r="F14224" s="1">
        <v>45257</v>
      </c>
      <c r="G14224" t="str">
        <f>"89514"</f>
        <v>89514</v>
      </c>
      <c r="H14224">
        <v>1</v>
      </c>
      <c r="I14224">
        <v>378</v>
      </c>
      <c r="J14224">
        <v>0</v>
      </c>
      <c r="K14224" t="str">
        <f t="shared" si="2545"/>
        <v>809</v>
      </c>
      <c r="L14224">
        <v>555.66</v>
      </c>
    </row>
    <row r="14225" spans="1:12" x14ac:dyDescent="0.25">
      <c r="A14225" t="str">
        <f t="shared" si="2544"/>
        <v>89301000</v>
      </c>
      <c r="B14225" t="str">
        <f t="shared" si="2546"/>
        <v>89383000</v>
      </c>
      <c r="C14225" t="str">
        <f t="shared" si="2547"/>
        <v>89383002</v>
      </c>
      <c r="D14225">
        <v>89301212</v>
      </c>
      <c r="E14225" t="str">
        <f>"485124415"</f>
        <v>485124415</v>
      </c>
      <c r="F14225" s="1">
        <v>45258</v>
      </c>
      <c r="G14225" t="str">
        <f>"89180"</f>
        <v>89180</v>
      </c>
      <c r="H14225">
        <v>2</v>
      </c>
      <c r="I14225">
        <v>762</v>
      </c>
      <c r="J14225">
        <v>0</v>
      </c>
      <c r="K14225" t="str">
        <f t="shared" si="2545"/>
        <v>809</v>
      </c>
      <c r="L14225">
        <v>1120.1400000000001</v>
      </c>
    </row>
    <row r="14226" spans="1:12" x14ac:dyDescent="0.25">
      <c r="A14226" t="str">
        <f t="shared" si="2544"/>
        <v>89301000</v>
      </c>
      <c r="B14226" t="str">
        <f t="shared" si="2546"/>
        <v>89383000</v>
      </c>
      <c r="C14226" t="str">
        <f t="shared" si="2547"/>
        <v>89383002</v>
      </c>
      <c r="D14226">
        <v>89301212</v>
      </c>
      <c r="E14226" t="str">
        <f>"485124415"</f>
        <v>485124415</v>
      </c>
      <c r="F14226" s="1">
        <v>45258</v>
      </c>
      <c r="G14226" t="str">
        <f>"89512"</f>
        <v>89512</v>
      </c>
      <c r="H14226">
        <v>1</v>
      </c>
      <c r="I14226">
        <v>283</v>
      </c>
      <c r="J14226">
        <v>0</v>
      </c>
      <c r="K14226" t="str">
        <f t="shared" si="2545"/>
        <v>809</v>
      </c>
      <c r="L14226">
        <v>416.01</v>
      </c>
    </row>
    <row r="14227" spans="1:12" x14ac:dyDescent="0.25">
      <c r="A14227" t="str">
        <f t="shared" si="2544"/>
        <v>89301000</v>
      </c>
      <c r="B14227" t="str">
        <f t="shared" si="2546"/>
        <v>89383000</v>
      </c>
      <c r="C14227" t="str">
        <f t="shared" si="2547"/>
        <v>89383002</v>
      </c>
      <c r="D14227">
        <v>89301212</v>
      </c>
      <c r="E14227" t="str">
        <f>"485124415"</f>
        <v>485124415</v>
      </c>
      <c r="F14227" s="1">
        <v>45258</v>
      </c>
      <c r="G14227" t="str">
        <f>"89513"</f>
        <v>89513</v>
      </c>
      <c r="H14227">
        <v>1</v>
      </c>
      <c r="I14227">
        <v>378</v>
      </c>
      <c r="J14227">
        <v>0</v>
      </c>
      <c r="K14227" t="str">
        <f t="shared" si="2545"/>
        <v>809</v>
      </c>
      <c r="L14227">
        <v>555.66</v>
      </c>
    </row>
    <row r="14228" spans="1:12" x14ac:dyDescent="0.25">
      <c r="A14228" t="str">
        <f t="shared" si="2544"/>
        <v>89301000</v>
      </c>
      <c r="B14228" t="str">
        <f t="shared" si="2546"/>
        <v>89383000</v>
      </c>
      <c r="C14228" t="str">
        <f t="shared" si="2547"/>
        <v>89383002</v>
      </c>
      <c r="D14228">
        <v>89301212</v>
      </c>
      <c r="E14228" t="str">
        <f>"485124415"</f>
        <v>485124415</v>
      </c>
      <c r="F14228" s="1">
        <v>45258</v>
      </c>
      <c r="G14228" t="str">
        <f>"89514"</f>
        <v>89514</v>
      </c>
      <c r="H14228">
        <v>1</v>
      </c>
      <c r="I14228">
        <v>378</v>
      </c>
      <c r="J14228">
        <v>0</v>
      </c>
      <c r="K14228" t="str">
        <f t="shared" si="2545"/>
        <v>809</v>
      </c>
      <c r="L14228">
        <v>555.66</v>
      </c>
    </row>
    <row r="14229" spans="1:12" x14ac:dyDescent="0.25">
      <c r="A14229" t="str">
        <f t="shared" si="2544"/>
        <v>89301000</v>
      </c>
      <c r="B14229" t="str">
        <f t="shared" si="2546"/>
        <v>89383000</v>
      </c>
      <c r="C14229" t="str">
        <f t="shared" si="2547"/>
        <v>89383002</v>
      </c>
      <c r="D14229">
        <v>89301212</v>
      </c>
      <c r="E14229" t="str">
        <f>"7652245799"</f>
        <v>7652245799</v>
      </c>
      <c r="F14229" s="1">
        <v>45258</v>
      </c>
      <c r="G14229" t="str">
        <f>"89180"</f>
        <v>89180</v>
      </c>
      <c r="H14229">
        <v>2</v>
      </c>
      <c r="I14229">
        <v>762</v>
      </c>
      <c r="J14229">
        <v>0</v>
      </c>
      <c r="K14229" t="str">
        <f t="shared" si="2545"/>
        <v>809</v>
      </c>
      <c r="L14229">
        <v>1120.1400000000001</v>
      </c>
    </row>
    <row r="14230" spans="1:12" x14ac:dyDescent="0.25">
      <c r="A14230" t="str">
        <f t="shared" si="2544"/>
        <v>89301000</v>
      </c>
      <c r="B14230" t="str">
        <f t="shared" si="2546"/>
        <v>89383000</v>
      </c>
      <c r="C14230" t="str">
        <f t="shared" si="2547"/>
        <v>89383002</v>
      </c>
      <c r="D14230">
        <v>89301212</v>
      </c>
      <c r="E14230" t="str">
        <f>"7652245799"</f>
        <v>7652245799</v>
      </c>
      <c r="F14230" s="1">
        <v>45258</v>
      </c>
      <c r="G14230" t="str">
        <f>"89512"</f>
        <v>89512</v>
      </c>
      <c r="H14230">
        <v>1</v>
      </c>
      <c r="I14230">
        <v>283</v>
      </c>
      <c r="J14230">
        <v>0</v>
      </c>
      <c r="K14230" t="str">
        <f t="shared" si="2545"/>
        <v>809</v>
      </c>
      <c r="L14230">
        <v>416.01</v>
      </c>
    </row>
    <row r="14231" spans="1:12" x14ac:dyDescent="0.25">
      <c r="A14231" t="str">
        <f t="shared" si="2544"/>
        <v>89301000</v>
      </c>
      <c r="B14231" t="str">
        <f t="shared" si="2546"/>
        <v>89383000</v>
      </c>
      <c r="C14231" t="str">
        <f t="shared" si="2547"/>
        <v>89383002</v>
      </c>
      <c r="D14231">
        <v>89301042</v>
      </c>
      <c r="E14231" t="str">
        <f>"446217452"</f>
        <v>446217452</v>
      </c>
      <c r="F14231" s="1">
        <v>45254</v>
      </c>
      <c r="G14231" t="str">
        <f>"89512"</f>
        <v>89512</v>
      </c>
      <c r="H14231">
        <v>1</v>
      </c>
      <c r="I14231">
        <v>283</v>
      </c>
      <c r="J14231">
        <v>0</v>
      </c>
      <c r="K14231" t="str">
        <f t="shared" si="2545"/>
        <v>809</v>
      </c>
      <c r="L14231">
        <v>416.01</v>
      </c>
    </row>
    <row r="14232" spans="1:12" x14ac:dyDescent="0.25">
      <c r="A14232" t="str">
        <f t="shared" si="2544"/>
        <v>89301000</v>
      </c>
      <c r="B14232" t="str">
        <f t="shared" si="2546"/>
        <v>89383000</v>
      </c>
      <c r="C14232" t="str">
        <f t="shared" si="2547"/>
        <v>89383002</v>
      </c>
      <c r="D14232">
        <v>89301042</v>
      </c>
      <c r="E14232" t="str">
        <f>"446217452"</f>
        <v>446217452</v>
      </c>
      <c r="F14232" s="1">
        <v>45254</v>
      </c>
      <c r="G14232" t="str">
        <f>"89311"</f>
        <v>89311</v>
      </c>
      <c r="H14232">
        <v>1</v>
      </c>
      <c r="I14232">
        <v>970</v>
      </c>
      <c r="J14232">
        <v>0</v>
      </c>
      <c r="K14232" t="str">
        <f t="shared" si="2545"/>
        <v>809</v>
      </c>
      <c r="L14232">
        <v>1425.9</v>
      </c>
    </row>
    <row r="14233" spans="1:12" x14ac:dyDescent="0.25">
      <c r="A14233" t="str">
        <f t="shared" si="2544"/>
        <v>89301000</v>
      </c>
      <c r="B14233" t="str">
        <f t="shared" si="2546"/>
        <v>89383000</v>
      </c>
      <c r="C14233" t="str">
        <f t="shared" si="2547"/>
        <v>89383002</v>
      </c>
      <c r="D14233">
        <v>89301212</v>
      </c>
      <c r="E14233" t="str">
        <f>"8153115399"</f>
        <v>8153115399</v>
      </c>
      <c r="F14233" s="1">
        <v>45260</v>
      </c>
      <c r="G14233" t="str">
        <f>"89180"</f>
        <v>89180</v>
      </c>
      <c r="H14233">
        <v>2</v>
      </c>
      <c r="I14233">
        <v>762</v>
      </c>
      <c r="J14233">
        <v>0</v>
      </c>
      <c r="K14233" t="str">
        <f t="shared" si="2545"/>
        <v>809</v>
      </c>
      <c r="L14233">
        <v>1120.1400000000001</v>
      </c>
    </row>
    <row r="14234" spans="1:12" x14ac:dyDescent="0.25">
      <c r="A14234" t="str">
        <f t="shared" si="2544"/>
        <v>89301000</v>
      </c>
      <c r="B14234" t="str">
        <f t="shared" si="2546"/>
        <v>89383000</v>
      </c>
      <c r="C14234" t="str">
        <f t="shared" si="2547"/>
        <v>89383002</v>
      </c>
      <c r="D14234">
        <v>89301212</v>
      </c>
      <c r="E14234" t="str">
        <f>"8153115399"</f>
        <v>8153115399</v>
      </c>
      <c r="F14234" s="1">
        <v>45260</v>
      </c>
      <c r="G14234" t="str">
        <f>"89512"</f>
        <v>89512</v>
      </c>
      <c r="H14234">
        <v>1</v>
      </c>
      <c r="I14234">
        <v>283</v>
      </c>
      <c r="J14234">
        <v>0</v>
      </c>
      <c r="K14234" t="str">
        <f t="shared" si="2545"/>
        <v>809</v>
      </c>
      <c r="L14234">
        <v>416.01</v>
      </c>
    </row>
    <row r="14235" spans="1:12" x14ac:dyDescent="0.25">
      <c r="A14235" t="str">
        <f t="shared" si="2544"/>
        <v>89301000</v>
      </c>
      <c r="B14235" t="str">
        <f t="shared" si="2546"/>
        <v>89383000</v>
      </c>
      <c r="C14235" t="str">
        <f t="shared" si="2547"/>
        <v>89383002</v>
      </c>
      <c r="D14235">
        <v>89301045</v>
      </c>
      <c r="E14235" t="str">
        <f t="shared" ref="E14235:E14240" si="2548">"0554133228"</f>
        <v>0554133228</v>
      </c>
      <c r="F14235" s="1">
        <v>45260</v>
      </c>
      <c r="G14235" t="str">
        <f>"89313"</f>
        <v>89313</v>
      </c>
      <c r="H14235">
        <v>1</v>
      </c>
      <c r="I14235">
        <v>420</v>
      </c>
      <c r="J14235">
        <v>0</v>
      </c>
      <c r="K14235" t="str">
        <f t="shared" si="2545"/>
        <v>809</v>
      </c>
      <c r="L14235">
        <v>617.4</v>
      </c>
    </row>
    <row r="14236" spans="1:12" x14ac:dyDescent="0.25">
      <c r="A14236" t="str">
        <f t="shared" si="2544"/>
        <v>89301000</v>
      </c>
      <c r="B14236" t="str">
        <f t="shared" si="2546"/>
        <v>89383000</v>
      </c>
      <c r="C14236" t="str">
        <f t="shared" si="2547"/>
        <v>89383002</v>
      </c>
      <c r="D14236">
        <v>89301045</v>
      </c>
      <c r="E14236" t="str">
        <f t="shared" si="2548"/>
        <v>0554133228</v>
      </c>
      <c r="F14236" s="1">
        <v>45260</v>
      </c>
      <c r="G14236" t="str">
        <f>"09233"</f>
        <v>09233</v>
      </c>
      <c r="H14236">
        <v>1</v>
      </c>
      <c r="I14236">
        <v>102</v>
      </c>
      <c r="J14236">
        <v>0</v>
      </c>
      <c r="K14236" t="str">
        <f t="shared" si="2545"/>
        <v>809</v>
      </c>
      <c r="L14236">
        <v>149.94</v>
      </c>
    </row>
    <row r="14237" spans="1:12" x14ac:dyDescent="0.25">
      <c r="A14237" t="str">
        <f t="shared" si="2544"/>
        <v>89301000</v>
      </c>
      <c r="B14237" t="str">
        <f t="shared" si="2546"/>
        <v>89383000</v>
      </c>
      <c r="C14237" t="str">
        <f t="shared" si="2547"/>
        <v>89383002</v>
      </c>
      <c r="D14237">
        <v>89301045</v>
      </c>
      <c r="E14237" t="str">
        <f t="shared" si="2548"/>
        <v>0554133228</v>
      </c>
      <c r="F14237" s="1">
        <v>45260</v>
      </c>
      <c r="G14237" t="str">
        <f>"89515"</f>
        <v>89515</v>
      </c>
      <c r="H14237">
        <v>1</v>
      </c>
      <c r="I14237">
        <v>347</v>
      </c>
      <c r="J14237">
        <v>0</v>
      </c>
      <c r="K14237" t="str">
        <f t="shared" si="2545"/>
        <v>809</v>
      </c>
      <c r="L14237">
        <v>510.09</v>
      </c>
    </row>
    <row r="14238" spans="1:12" x14ac:dyDescent="0.25">
      <c r="A14238" t="str">
        <f t="shared" si="2544"/>
        <v>89301000</v>
      </c>
      <c r="B14238" t="str">
        <f t="shared" si="2546"/>
        <v>89383000</v>
      </c>
      <c r="C14238" t="str">
        <f t="shared" si="2547"/>
        <v>89383002</v>
      </c>
      <c r="D14238">
        <v>89301045</v>
      </c>
      <c r="E14238" t="str">
        <f t="shared" si="2548"/>
        <v>0554133228</v>
      </c>
      <c r="F14238" s="1">
        <v>45260</v>
      </c>
      <c r="G14238" t="str">
        <f>"89512"</f>
        <v>89512</v>
      </c>
      <c r="H14238">
        <v>1</v>
      </c>
      <c r="I14238">
        <v>283</v>
      </c>
      <c r="J14238">
        <v>0</v>
      </c>
      <c r="K14238" t="str">
        <f t="shared" si="2545"/>
        <v>809</v>
      </c>
      <c r="L14238">
        <v>416.01</v>
      </c>
    </row>
    <row r="14239" spans="1:12" x14ac:dyDescent="0.25">
      <c r="A14239" t="str">
        <f t="shared" si="2544"/>
        <v>89301000</v>
      </c>
      <c r="B14239" t="str">
        <f t="shared" si="2546"/>
        <v>89383000</v>
      </c>
      <c r="C14239" t="str">
        <f t="shared" si="2547"/>
        <v>89383002</v>
      </c>
      <c r="D14239">
        <v>89301045</v>
      </c>
      <c r="E14239" t="str">
        <f t="shared" si="2548"/>
        <v>0554133228</v>
      </c>
      <c r="F14239" s="1">
        <v>45260</v>
      </c>
      <c r="G14239" t="str">
        <f>"0093109"</f>
        <v>0093109</v>
      </c>
      <c r="H14239">
        <v>0.2</v>
      </c>
      <c r="J14239">
        <v>54.2</v>
      </c>
      <c r="K14239" t="str">
        <f t="shared" si="2545"/>
        <v>809</v>
      </c>
      <c r="L14239">
        <v>54.2</v>
      </c>
    </row>
    <row r="14240" spans="1:12" x14ac:dyDescent="0.25">
      <c r="A14240" t="str">
        <f t="shared" si="2544"/>
        <v>89301000</v>
      </c>
      <c r="B14240" t="str">
        <f t="shared" si="2546"/>
        <v>89383000</v>
      </c>
      <c r="C14240" t="str">
        <f t="shared" si="2547"/>
        <v>89383002</v>
      </c>
      <c r="D14240">
        <v>89301045</v>
      </c>
      <c r="E14240" t="str">
        <f t="shared" si="2548"/>
        <v>0554133228</v>
      </c>
      <c r="F14240" s="1">
        <v>45260</v>
      </c>
      <c r="G14240" t="str">
        <f>"0142908"</f>
        <v>0142908</v>
      </c>
      <c r="H14240">
        <v>1</v>
      </c>
      <c r="J14240">
        <v>910</v>
      </c>
      <c r="K14240" t="str">
        <f t="shared" si="2545"/>
        <v>809</v>
      </c>
      <c r="L14240">
        <v>910</v>
      </c>
    </row>
    <row r="14241" spans="1:12" x14ac:dyDescent="0.25">
      <c r="A14241" t="str">
        <f t="shared" si="2544"/>
        <v>89301000</v>
      </c>
      <c r="B14241" t="str">
        <f t="shared" si="2546"/>
        <v>89383000</v>
      </c>
      <c r="C14241" t="str">
        <f t="shared" si="2547"/>
        <v>89383002</v>
      </c>
      <c r="D14241">
        <v>89301212</v>
      </c>
      <c r="E14241" t="str">
        <f>"5557231405"</f>
        <v>5557231405</v>
      </c>
      <c r="F14241" s="1">
        <v>45258</v>
      </c>
      <c r="G14241" t="str">
        <f>"89512"</f>
        <v>89512</v>
      </c>
      <c r="H14241">
        <v>1</v>
      </c>
      <c r="I14241">
        <v>283</v>
      </c>
      <c r="J14241">
        <v>0</v>
      </c>
      <c r="K14241" t="str">
        <f t="shared" si="2545"/>
        <v>809</v>
      </c>
      <c r="L14241">
        <v>416.01</v>
      </c>
    </row>
    <row r="14242" spans="1:12" x14ac:dyDescent="0.25">
      <c r="A14242" t="str">
        <f t="shared" si="2544"/>
        <v>89301000</v>
      </c>
      <c r="B14242" t="str">
        <f t="shared" si="2546"/>
        <v>89383000</v>
      </c>
      <c r="C14242" t="str">
        <f t="shared" si="2547"/>
        <v>89383002</v>
      </c>
      <c r="D14242">
        <v>89301212</v>
      </c>
      <c r="E14242" t="str">
        <f>"5557231405"</f>
        <v>5557231405</v>
      </c>
      <c r="F14242" s="1">
        <v>45258</v>
      </c>
      <c r="G14242" t="str">
        <f>"89311"</f>
        <v>89311</v>
      </c>
      <c r="H14242">
        <v>1</v>
      </c>
      <c r="I14242">
        <v>970</v>
      </c>
      <c r="J14242">
        <v>0</v>
      </c>
      <c r="K14242" t="str">
        <f t="shared" si="2545"/>
        <v>809</v>
      </c>
      <c r="L14242">
        <v>1425.9</v>
      </c>
    </row>
    <row r="14243" spans="1:12" x14ac:dyDescent="0.25">
      <c r="A14243" t="str">
        <f t="shared" si="2544"/>
        <v>89301000</v>
      </c>
      <c r="B14243" t="str">
        <f t="shared" si="2546"/>
        <v>89383000</v>
      </c>
      <c r="C14243" t="str">
        <f t="shared" si="2547"/>
        <v>89383002</v>
      </c>
      <c r="D14243">
        <v>89301215</v>
      </c>
      <c r="E14243" t="str">
        <f t="shared" ref="E14243:E14250" si="2549">"6055291000"</f>
        <v>6055291000</v>
      </c>
      <c r="F14243" s="1">
        <v>45257</v>
      </c>
      <c r="G14243" t="str">
        <f>"89513"</f>
        <v>89513</v>
      </c>
      <c r="H14243">
        <v>1</v>
      </c>
      <c r="I14243">
        <v>378</v>
      </c>
      <c r="J14243">
        <v>0</v>
      </c>
      <c r="K14243" t="str">
        <f t="shared" si="2545"/>
        <v>809</v>
      </c>
      <c r="L14243">
        <v>555.66</v>
      </c>
    </row>
    <row r="14244" spans="1:12" x14ac:dyDescent="0.25">
      <c r="A14244" t="str">
        <f t="shared" si="2544"/>
        <v>89301000</v>
      </c>
      <c r="B14244" t="str">
        <f t="shared" si="2546"/>
        <v>89383000</v>
      </c>
      <c r="C14244" t="str">
        <f t="shared" si="2547"/>
        <v>89383002</v>
      </c>
      <c r="D14244">
        <v>89301215</v>
      </c>
      <c r="E14244" t="str">
        <f t="shared" si="2549"/>
        <v>6055291000</v>
      </c>
      <c r="F14244" s="1">
        <v>45257</v>
      </c>
      <c r="G14244" t="str">
        <f>"89514"</f>
        <v>89514</v>
      </c>
      <c r="H14244">
        <v>1</v>
      </c>
      <c r="I14244">
        <v>378</v>
      </c>
      <c r="J14244">
        <v>0</v>
      </c>
      <c r="K14244" t="str">
        <f t="shared" si="2545"/>
        <v>809</v>
      </c>
      <c r="L14244">
        <v>555.66</v>
      </c>
    </row>
    <row r="14245" spans="1:12" x14ac:dyDescent="0.25">
      <c r="A14245" t="str">
        <f t="shared" si="2544"/>
        <v>89301000</v>
      </c>
      <c r="B14245" t="str">
        <f t="shared" si="2546"/>
        <v>89383000</v>
      </c>
      <c r="C14245" t="str">
        <f t="shared" si="2547"/>
        <v>89383002</v>
      </c>
      <c r="D14245">
        <v>89301215</v>
      </c>
      <c r="E14245" t="str">
        <f t="shared" si="2549"/>
        <v>6055291000</v>
      </c>
      <c r="F14245" s="1">
        <v>45257</v>
      </c>
      <c r="G14245" t="str">
        <f>"89313"</f>
        <v>89313</v>
      </c>
      <c r="H14245">
        <v>1</v>
      </c>
      <c r="I14245">
        <v>420</v>
      </c>
      <c r="J14245">
        <v>0</v>
      </c>
      <c r="K14245" t="str">
        <f t="shared" si="2545"/>
        <v>809</v>
      </c>
      <c r="L14245">
        <v>617.4</v>
      </c>
    </row>
    <row r="14246" spans="1:12" x14ac:dyDescent="0.25">
      <c r="A14246" t="str">
        <f t="shared" si="2544"/>
        <v>89301000</v>
      </c>
      <c r="B14246" t="str">
        <f t="shared" si="2546"/>
        <v>89383000</v>
      </c>
      <c r="C14246" t="str">
        <f t="shared" si="2547"/>
        <v>89383002</v>
      </c>
      <c r="D14246">
        <v>89301215</v>
      </c>
      <c r="E14246" t="str">
        <f t="shared" si="2549"/>
        <v>6055291000</v>
      </c>
      <c r="F14246" s="1">
        <v>45257</v>
      </c>
      <c r="G14246" t="str">
        <f>"09233"</f>
        <v>09233</v>
      </c>
      <c r="H14246">
        <v>1</v>
      </c>
      <c r="I14246">
        <v>102</v>
      </c>
      <c r="J14246">
        <v>0</v>
      </c>
      <c r="K14246" t="str">
        <f t="shared" si="2545"/>
        <v>809</v>
      </c>
      <c r="L14246">
        <v>149.94</v>
      </c>
    </row>
    <row r="14247" spans="1:12" x14ac:dyDescent="0.25">
      <c r="A14247" t="str">
        <f t="shared" si="2544"/>
        <v>89301000</v>
      </c>
      <c r="B14247" t="str">
        <f t="shared" si="2546"/>
        <v>89383000</v>
      </c>
      <c r="C14247" t="str">
        <f t="shared" si="2547"/>
        <v>89383002</v>
      </c>
      <c r="D14247">
        <v>89301215</v>
      </c>
      <c r="E14247" t="str">
        <f t="shared" si="2549"/>
        <v>6055291000</v>
      </c>
      <c r="F14247" s="1">
        <v>45257</v>
      </c>
      <c r="G14247" t="str">
        <f>"89512"</f>
        <v>89512</v>
      </c>
      <c r="H14247">
        <v>1</v>
      </c>
      <c r="I14247">
        <v>283</v>
      </c>
      <c r="J14247">
        <v>0</v>
      </c>
      <c r="K14247" t="str">
        <f t="shared" si="2545"/>
        <v>809</v>
      </c>
      <c r="L14247">
        <v>416.01</v>
      </c>
    </row>
    <row r="14248" spans="1:12" x14ac:dyDescent="0.25">
      <c r="A14248" t="str">
        <f t="shared" si="2544"/>
        <v>89301000</v>
      </c>
      <c r="B14248" t="str">
        <f t="shared" si="2546"/>
        <v>89383000</v>
      </c>
      <c r="C14248" t="str">
        <f t="shared" si="2547"/>
        <v>89383002</v>
      </c>
      <c r="D14248">
        <v>89301215</v>
      </c>
      <c r="E14248" t="str">
        <f t="shared" si="2549"/>
        <v>6055291000</v>
      </c>
      <c r="F14248" s="1">
        <v>45257</v>
      </c>
      <c r="G14248" t="str">
        <f>"89180"</f>
        <v>89180</v>
      </c>
      <c r="H14248">
        <v>1</v>
      </c>
      <c r="I14248">
        <v>381</v>
      </c>
      <c r="J14248">
        <v>0</v>
      </c>
      <c r="K14248" t="str">
        <f t="shared" si="2545"/>
        <v>809</v>
      </c>
      <c r="L14248">
        <v>560.07000000000005</v>
      </c>
    </row>
    <row r="14249" spans="1:12" x14ac:dyDescent="0.25">
      <c r="A14249" t="str">
        <f t="shared" si="2544"/>
        <v>89301000</v>
      </c>
      <c r="B14249" t="str">
        <f t="shared" si="2546"/>
        <v>89383000</v>
      </c>
      <c r="C14249" t="str">
        <f t="shared" si="2547"/>
        <v>89383002</v>
      </c>
      <c r="D14249">
        <v>89301215</v>
      </c>
      <c r="E14249" t="str">
        <f t="shared" si="2549"/>
        <v>6055291000</v>
      </c>
      <c r="F14249" s="1">
        <v>45257</v>
      </c>
      <c r="G14249" t="str">
        <f>"0093109"</f>
        <v>0093109</v>
      </c>
      <c r="H14249">
        <v>0.02</v>
      </c>
      <c r="J14249">
        <v>5.42</v>
      </c>
      <c r="K14249" t="str">
        <f t="shared" si="2545"/>
        <v>809</v>
      </c>
      <c r="L14249">
        <v>5.42</v>
      </c>
    </row>
    <row r="14250" spans="1:12" x14ac:dyDescent="0.25">
      <c r="A14250" t="str">
        <f t="shared" si="2544"/>
        <v>89301000</v>
      </c>
      <c r="B14250" t="str">
        <f t="shared" si="2546"/>
        <v>89383000</v>
      </c>
      <c r="C14250" t="str">
        <f t="shared" si="2547"/>
        <v>89383002</v>
      </c>
      <c r="D14250">
        <v>89301215</v>
      </c>
      <c r="E14250" t="str">
        <f t="shared" si="2549"/>
        <v>6055291000</v>
      </c>
      <c r="F14250" s="1">
        <v>45257</v>
      </c>
      <c r="G14250" t="str">
        <f>"0082502"</f>
        <v>0082502</v>
      </c>
      <c r="H14250">
        <v>1</v>
      </c>
      <c r="J14250">
        <v>2260.1999999999998</v>
      </c>
      <c r="K14250" t="str">
        <f t="shared" si="2545"/>
        <v>809</v>
      </c>
      <c r="L14250">
        <v>2260.1999999999998</v>
      </c>
    </row>
    <row r="14251" spans="1:12" x14ac:dyDescent="0.25">
      <c r="A14251" t="str">
        <f t="shared" si="2544"/>
        <v>89301000</v>
      </c>
      <c r="B14251" t="str">
        <f>"89148000"</f>
        <v>89148000</v>
      </c>
      <c r="C14251" t="str">
        <f>"89148212"</f>
        <v>89148212</v>
      </c>
      <c r="D14251">
        <v>89301082</v>
      </c>
      <c r="E14251" t="str">
        <f>"9356295707"</f>
        <v>9356295707</v>
      </c>
      <c r="F14251" s="1">
        <v>45250</v>
      </c>
      <c r="G14251" t="str">
        <f>"09119"</f>
        <v>09119</v>
      </c>
      <c r="H14251">
        <v>1</v>
      </c>
      <c r="I14251">
        <v>43</v>
      </c>
      <c r="J14251">
        <v>0</v>
      </c>
      <c r="K14251" t="str">
        <f>"801"</f>
        <v>801</v>
      </c>
      <c r="L14251">
        <v>54.18</v>
      </c>
    </row>
    <row r="14252" spans="1:12" x14ac:dyDescent="0.25">
      <c r="A14252" t="str">
        <f t="shared" si="2544"/>
        <v>89301000</v>
      </c>
      <c r="B14252" t="str">
        <f>"89148000"</f>
        <v>89148000</v>
      </c>
      <c r="C14252" t="str">
        <f>"89148212"</f>
        <v>89148212</v>
      </c>
      <c r="D14252">
        <v>89301082</v>
      </c>
      <c r="E14252" t="str">
        <f>"9356295707"</f>
        <v>9356295707</v>
      </c>
      <c r="F14252" s="1">
        <v>45250</v>
      </c>
      <c r="G14252" t="str">
        <f>"93159"</f>
        <v>93159</v>
      </c>
      <c r="H14252">
        <v>1</v>
      </c>
      <c r="I14252">
        <v>197</v>
      </c>
      <c r="J14252">
        <v>0</v>
      </c>
      <c r="K14252" t="str">
        <f>"801"</f>
        <v>801</v>
      </c>
      <c r="L14252">
        <v>165.48</v>
      </c>
    </row>
    <row r="14253" spans="1:12" x14ac:dyDescent="0.25">
      <c r="A14253" t="str">
        <f t="shared" si="2544"/>
        <v>89301000</v>
      </c>
      <c r="B14253" t="str">
        <f>"89148000"</f>
        <v>89148000</v>
      </c>
      <c r="C14253" t="str">
        <f>"89148212"</f>
        <v>89148212</v>
      </c>
      <c r="D14253">
        <v>89301082</v>
      </c>
      <c r="E14253" t="str">
        <f>"9356295707"</f>
        <v>9356295707</v>
      </c>
      <c r="F14253" s="1">
        <v>45250</v>
      </c>
      <c r="G14253" t="str">
        <f>"97111"</f>
        <v>97111</v>
      </c>
      <c r="H14253">
        <v>1</v>
      </c>
      <c r="I14253">
        <v>19</v>
      </c>
      <c r="J14253">
        <v>0</v>
      </c>
      <c r="K14253" t="str">
        <f>"801"</f>
        <v>801</v>
      </c>
      <c r="L14253">
        <v>23.94</v>
      </c>
    </row>
    <row r="14254" spans="1:12" x14ac:dyDescent="0.25">
      <c r="A14254" t="str">
        <f t="shared" si="2544"/>
        <v>89301000</v>
      </c>
      <c r="B14254" t="str">
        <f t="shared" ref="B14254:B14263" si="2550">"85600000"</f>
        <v>85600000</v>
      </c>
      <c r="C14254" t="str">
        <f>"85600775"</f>
        <v>85600775</v>
      </c>
      <c r="D14254">
        <v>89301108</v>
      </c>
      <c r="E14254" t="str">
        <f t="shared" ref="E14254:E14259" si="2551">"0905076590"</f>
        <v>0905076590</v>
      </c>
      <c r="F14254" s="1">
        <v>45257</v>
      </c>
      <c r="G14254" t="str">
        <f>"97111"</f>
        <v>97111</v>
      </c>
      <c r="H14254">
        <v>1</v>
      </c>
      <c r="I14254">
        <v>19</v>
      </c>
      <c r="J14254">
        <v>0</v>
      </c>
      <c r="K14254" t="str">
        <f>"818"</f>
        <v>818</v>
      </c>
      <c r="L14254">
        <v>23.94</v>
      </c>
    </row>
    <row r="14255" spans="1:12" x14ac:dyDescent="0.25">
      <c r="A14255" t="str">
        <f t="shared" si="2544"/>
        <v>89301000</v>
      </c>
      <c r="B14255" t="str">
        <f t="shared" si="2550"/>
        <v>85600000</v>
      </c>
      <c r="C14255" t="str">
        <f>"85600775"</f>
        <v>85600775</v>
      </c>
      <c r="D14255">
        <v>89301108</v>
      </c>
      <c r="E14255" t="str">
        <f t="shared" si="2551"/>
        <v>0905076590</v>
      </c>
      <c r="F14255" s="1">
        <v>45257</v>
      </c>
      <c r="G14255" t="str">
        <f>"97111"</f>
        <v>97111</v>
      </c>
      <c r="H14255">
        <v>1</v>
      </c>
      <c r="I14255">
        <v>19</v>
      </c>
      <c r="J14255">
        <v>0</v>
      </c>
      <c r="K14255" t="str">
        <f>"818"</f>
        <v>818</v>
      </c>
      <c r="L14255">
        <v>23.94</v>
      </c>
    </row>
    <row r="14256" spans="1:12" x14ac:dyDescent="0.25">
      <c r="A14256" t="str">
        <f t="shared" si="2544"/>
        <v>89301000</v>
      </c>
      <c r="B14256" t="str">
        <f t="shared" si="2550"/>
        <v>85600000</v>
      </c>
      <c r="C14256" t="str">
        <f>"85600021"</f>
        <v>85600021</v>
      </c>
      <c r="D14256">
        <v>89301108</v>
      </c>
      <c r="E14256" t="str">
        <f t="shared" si="2551"/>
        <v>0905076590</v>
      </c>
      <c r="F14256" s="1">
        <v>45257</v>
      </c>
      <c r="G14256" t="str">
        <f>"81443"</f>
        <v>81443</v>
      </c>
      <c r="H14256">
        <v>1</v>
      </c>
      <c r="I14256">
        <v>44</v>
      </c>
      <c r="J14256">
        <v>0</v>
      </c>
      <c r="K14256" t="str">
        <f>"801"</f>
        <v>801</v>
      </c>
      <c r="L14256">
        <v>36.96</v>
      </c>
    </row>
    <row r="14257" spans="1:12" x14ac:dyDescent="0.25">
      <c r="A14257" t="str">
        <f t="shared" si="2544"/>
        <v>89301000</v>
      </c>
      <c r="B14257" t="str">
        <f t="shared" si="2550"/>
        <v>85600000</v>
      </c>
      <c r="C14257" t="str">
        <f>"85600021"</f>
        <v>85600021</v>
      </c>
      <c r="D14257">
        <v>89301108</v>
      </c>
      <c r="E14257" t="str">
        <f t="shared" si="2551"/>
        <v>0905076590</v>
      </c>
      <c r="F14257" s="1">
        <v>45257</v>
      </c>
      <c r="G14257" t="str">
        <f>"81439"</f>
        <v>81439</v>
      </c>
      <c r="H14257">
        <v>1</v>
      </c>
      <c r="I14257">
        <v>16</v>
      </c>
      <c r="J14257">
        <v>0</v>
      </c>
      <c r="K14257" t="str">
        <f>"801"</f>
        <v>801</v>
      </c>
      <c r="L14257">
        <v>13.44</v>
      </c>
    </row>
    <row r="14258" spans="1:12" x14ac:dyDescent="0.25">
      <c r="A14258" t="str">
        <f t="shared" si="2544"/>
        <v>89301000</v>
      </c>
      <c r="B14258" t="str">
        <f t="shared" si="2550"/>
        <v>85600000</v>
      </c>
      <c r="C14258" t="str">
        <f>"85600021"</f>
        <v>85600021</v>
      </c>
      <c r="D14258">
        <v>89301108</v>
      </c>
      <c r="E14258" t="str">
        <f t="shared" si="2551"/>
        <v>0905076590</v>
      </c>
      <c r="F14258" s="1">
        <v>45257</v>
      </c>
      <c r="G14258" t="str">
        <f>"81439"</f>
        <v>81439</v>
      </c>
      <c r="H14258">
        <v>1</v>
      </c>
      <c r="I14258">
        <v>16</v>
      </c>
      <c r="J14258">
        <v>0</v>
      </c>
      <c r="K14258" t="str">
        <f>"801"</f>
        <v>801</v>
      </c>
      <c r="L14258">
        <v>13.44</v>
      </c>
    </row>
    <row r="14259" spans="1:12" x14ac:dyDescent="0.25">
      <c r="A14259" t="str">
        <f t="shared" si="2544"/>
        <v>89301000</v>
      </c>
      <c r="B14259" t="str">
        <f t="shared" si="2550"/>
        <v>85600000</v>
      </c>
      <c r="C14259" t="str">
        <f>"85600021"</f>
        <v>85600021</v>
      </c>
      <c r="D14259">
        <v>89301108</v>
      </c>
      <c r="E14259" t="str">
        <f t="shared" si="2551"/>
        <v>0905076590</v>
      </c>
      <c r="F14259" s="1">
        <v>45257</v>
      </c>
      <c r="G14259" t="str">
        <f>"09119"</f>
        <v>09119</v>
      </c>
      <c r="H14259">
        <v>1</v>
      </c>
      <c r="I14259">
        <v>43</v>
      </c>
      <c r="J14259">
        <v>0</v>
      </c>
      <c r="K14259" t="str">
        <f>"801"</f>
        <v>801</v>
      </c>
      <c r="L14259">
        <v>54.18</v>
      </c>
    </row>
    <row r="14260" spans="1:12" x14ac:dyDescent="0.25">
      <c r="A14260" t="str">
        <f t="shared" si="2544"/>
        <v>89301000</v>
      </c>
      <c r="B14260" t="str">
        <f t="shared" si="2550"/>
        <v>85600000</v>
      </c>
      <c r="C14260" t="str">
        <f>"85600421"</f>
        <v>85600421</v>
      </c>
      <c r="D14260">
        <v>89301212</v>
      </c>
      <c r="E14260" t="str">
        <f>"475321441"</f>
        <v>475321441</v>
      </c>
      <c r="F14260" s="1">
        <v>45236</v>
      </c>
      <c r="G14260" t="str">
        <f>"89180"</f>
        <v>89180</v>
      </c>
      <c r="H14260">
        <v>1</v>
      </c>
      <c r="I14260">
        <v>381</v>
      </c>
      <c r="J14260">
        <v>0</v>
      </c>
      <c r="K14260" t="str">
        <f>"809"</f>
        <v>809</v>
      </c>
      <c r="L14260">
        <v>560.07000000000005</v>
      </c>
    </row>
    <row r="14261" spans="1:12" x14ac:dyDescent="0.25">
      <c r="A14261" t="str">
        <f t="shared" si="2544"/>
        <v>89301000</v>
      </c>
      <c r="B14261" t="str">
        <f t="shared" si="2550"/>
        <v>85600000</v>
      </c>
      <c r="C14261" t="str">
        <f>"85600421"</f>
        <v>85600421</v>
      </c>
      <c r="D14261">
        <v>89301212</v>
      </c>
      <c r="E14261" t="str">
        <f>"475321441"</f>
        <v>475321441</v>
      </c>
      <c r="F14261" s="1">
        <v>45236</v>
      </c>
      <c r="G14261" t="str">
        <f>"89180"</f>
        <v>89180</v>
      </c>
      <c r="H14261">
        <v>1</v>
      </c>
      <c r="I14261">
        <v>381</v>
      </c>
      <c r="J14261">
        <v>0</v>
      </c>
      <c r="K14261" t="str">
        <f>"809"</f>
        <v>809</v>
      </c>
      <c r="L14261">
        <v>560.07000000000005</v>
      </c>
    </row>
    <row r="14262" spans="1:12" x14ac:dyDescent="0.25">
      <c r="A14262" t="str">
        <f t="shared" si="2544"/>
        <v>89301000</v>
      </c>
      <c r="B14262" t="str">
        <f t="shared" si="2550"/>
        <v>85600000</v>
      </c>
      <c r="C14262" t="str">
        <f>"85600421"</f>
        <v>85600421</v>
      </c>
      <c r="D14262">
        <v>89301212</v>
      </c>
      <c r="E14262" t="str">
        <f>"475321441"</f>
        <v>475321441</v>
      </c>
      <c r="F14262" s="1">
        <v>45236</v>
      </c>
      <c r="G14262" t="str">
        <f>"89517"</f>
        <v>89517</v>
      </c>
      <c r="H14262">
        <v>1</v>
      </c>
      <c r="I14262">
        <v>994</v>
      </c>
      <c r="J14262">
        <v>0</v>
      </c>
      <c r="K14262" t="str">
        <f>"809"</f>
        <v>809</v>
      </c>
      <c r="L14262">
        <v>1461.18</v>
      </c>
    </row>
    <row r="14263" spans="1:12" x14ac:dyDescent="0.25">
      <c r="A14263" t="str">
        <f t="shared" si="2544"/>
        <v>89301000</v>
      </c>
      <c r="B14263" t="str">
        <f t="shared" si="2550"/>
        <v>85600000</v>
      </c>
      <c r="C14263" t="str">
        <f>"85600421"</f>
        <v>85600421</v>
      </c>
      <c r="D14263">
        <v>89301212</v>
      </c>
      <c r="E14263" t="str">
        <f>"475321441"</f>
        <v>475321441</v>
      </c>
      <c r="F14263" s="1">
        <v>45236</v>
      </c>
      <c r="G14263" t="str">
        <f>"89512"</f>
        <v>89512</v>
      </c>
      <c r="H14263">
        <v>1</v>
      </c>
      <c r="I14263">
        <v>283</v>
      </c>
      <c r="J14263">
        <v>0</v>
      </c>
      <c r="K14263" t="str">
        <f>"809"</f>
        <v>809</v>
      </c>
      <c r="L14263">
        <v>416.01</v>
      </c>
    </row>
    <row r="14264" spans="1:12" x14ac:dyDescent="0.25">
      <c r="A14264" t="str">
        <f t="shared" si="2544"/>
        <v>89301000</v>
      </c>
      <c r="B14264" t="str">
        <f>"85200000"</f>
        <v>85200000</v>
      </c>
      <c r="C14264" t="str">
        <f>"85200332"</f>
        <v>85200332</v>
      </c>
      <c r="D14264">
        <v>89301082</v>
      </c>
      <c r="E14264" t="str">
        <f>"8960214593"</f>
        <v>8960214593</v>
      </c>
      <c r="F14264" s="1">
        <v>45257</v>
      </c>
      <c r="G14264" t="str">
        <f>"09119"</f>
        <v>09119</v>
      </c>
      <c r="H14264">
        <v>1</v>
      </c>
      <c r="I14264">
        <v>43</v>
      </c>
      <c r="J14264">
        <v>0</v>
      </c>
      <c r="K14264" t="str">
        <f>"801"</f>
        <v>801</v>
      </c>
      <c r="L14264">
        <v>54.18</v>
      </c>
    </row>
    <row r="14265" spans="1:12" x14ac:dyDescent="0.25">
      <c r="A14265" t="str">
        <f t="shared" si="2544"/>
        <v>89301000</v>
      </c>
      <c r="B14265" t="str">
        <f>"85200000"</f>
        <v>85200000</v>
      </c>
      <c r="C14265" t="str">
        <f>"85200332"</f>
        <v>85200332</v>
      </c>
      <c r="D14265">
        <v>89301082</v>
      </c>
      <c r="E14265" t="str">
        <f>"8960214593"</f>
        <v>8960214593</v>
      </c>
      <c r="F14265" s="1">
        <v>45257</v>
      </c>
      <c r="G14265" t="str">
        <f>"93159"</f>
        <v>93159</v>
      </c>
      <c r="H14265">
        <v>1</v>
      </c>
      <c r="I14265">
        <v>197</v>
      </c>
      <c r="J14265">
        <v>0</v>
      </c>
      <c r="K14265" t="str">
        <f>"801"</f>
        <v>801</v>
      </c>
      <c r="L14265">
        <v>165.48</v>
      </c>
    </row>
    <row r="14266" spans="1:12" x14ac:dyDescent="0.25">
      <c r="A14266" t="str">
        <f t="shared" si="2544"/>
        <v>89301000</v>
      </c>
      <c r="B14266" t="str">
        <f>"85200000"</f>
        <v>85200000</v>
      </c>
      <c r="C14266" t="str">
        <f>"85200332"</f>
        <v>85200332</v>
      </c>
      <c r="D14266">
        <v>89301082</v>
      </c>
      <c r="E14266" t="str">
        <f>"8960214593"</f>
        <v>8960214593</v>
      </c>
      <c r="F14266" s="1">
        <v>45257</v>
      </c>
      <c r="G14266" t="str">
        <f>"97111"</f>
        <v>97111</v>
      </c>
      <c r="H14266">
        <v>1</v>
      </c>
      <c r="I14266">
        <v>19</v>
      </c>
      <c r="J14266">
        <v>0</v>
      </c>
      <c r="K14266" t="str">
        <f>"801"</f>
        <v>801</v>
      </c>
      <c r="L14266">
        <v>23.94</v>
      </c>
    </row>
    <row r="14267" spans="1:12" x14ac:dyDescent="0.25">
      <c r="A14267" t="str">
        <f t="shared" si="2544"/>
        <v>89301000</v>
      </c>
      <c r="B14267" t="str">
        <f>"44564000"</f>
        <v>44564000</v>
      </c>
      <c r="C14267" t="str">
        <f>"44564004"</f>
        <v>44564004</v>
      </c>
      <c r="D14267">
        <v>89301375</v>
      </c>
      <c r="E14267" t="str">
        <f>"8604265615"</f>
        <v>8604265615</v>
      </c>
      <c r="F14267" s="1">
        <v>45243</v>
      </c>
      <c r="G14267" t="str">
        <f>"87217"</f>
        <v>87217</v>
      </c>
      <c r="H14267">
        <v>1</v>
      </c>
      <c r="I14267">
        <v>215</v>
      </c>
      <c r="J14267">
        <v>0</v>
      </c>
      <c r="K14267" t="str">
        <f>"807"</f>
        <v>807</v>
      </c>
      <c r="L14267">
        <v>180.6</v>
      </c>
    </row>
    <row r="14268" spans="1:12" x14ac:dyDescent="0.25">
      <c r="A14268" t="str">
        <f t="shared" si="2544"/>
        <v>89301000</v>
      </c>
      <c r="B14268" t="str">
        <f>"44564000"</f>
        <v>44564000</v>
      </c>
      <c r="C14268" t="str">
        <f>"44564004"</f>
        <v>44564004</v>
      </c>
      <c r="D14268">
        <v>89301375</v>
      </c>
      <c r="E14268" t="str">
        <f>"8604265615"</f>
        <v>8604265615</v>
      </c>
      <c r="F14268" s="1">
        <v>45243</v>
      </c>
      <c r="G14268" t="str">
        <f>"87231"</f>
        <v>87231</v>
      </c>
      <c r="H14268">
        <v>8</v>
      </c>
      <c r="I14268">
        <v>3048</v>
      </c>
      <c r="J14268">
        <v>0</v>
      </c>
      <c r="K14268" t="str">
        <f>"807"</f>
        <v>807</v>
      </c>
      <c r="L14268">
        <v>2560.3200000000002</v>
      </c>
    </row>
    <row r="14269" spans="1:12" x14ac:dyDescent="0.25">
      <c r="A14269" t="str">
        <f t="shared" si="2544"/>
        <v>89301000</v>
      </c>
      <c r="B14269" t="str">
        <f>"44564000"</f>
        <v>44564000</v>
      </c>
      <c r="C14269" t="str">
        <f>"44564004"</f>
        <v>44564004</v>
      </c>
      <c r="D14269">
        <v>89301375</v>
      </c>
      <c r="E14269" t="str">
        <f>"8604265615"</f>
        <v>8604265615</v>
      </c>
      <c r="F14269" s="1">
        <v>45243</v>
      </c>
      <c r="G14269" t="str">
        <f>"87613"</f>
        <v>87613</v>
      </c>
      <c r="H14269">
        <v>1</v>
      </c>
      <c r="I14269">
        <v>436</v>
      </c>
      <c r="J14269">
        <v>0</v>
      </c>
      <c r="K14269" t="str">
        <f>"807"</f>
        <v>807</v>
      </c>
      <c r="L14269">
        <v>366.24</v>
      </c>
    </row>
    <row r="14270" spans="1:12" x14ac:dyDescent="0.25">
      <c r="A14270" t="str">
        <f t="shared" si="2544"/>
        <v>89301000</v>
      </c>
      <c r="B14270" t="str">
        <f>"44564000"</f>
        <v>44564000</v>
      </c>
      <c r="C14270" t="str">
        <f>"44564004"</f>
        <v>44564004</v>
      </c>
      <c r="D14270">
        <v>89301375</v>
      </c>
      <c r="E14270" t="str">
        <f>"8604265615"</f>
        <v>8604265615</v>
      </c>
      <c r="F14270" s="1">
        <v>45243</v>
      </c>
      <c r="G14270" t="str">
        <f>"87617"</f>
        <v>87617</v>
      </c>
      <c r="H14270">
        <v>1</v>
      </c>
      <c r="I14270">
        <v>3750</v>
      </c>
      <c r="J14270">
        <v>0</v>
      </c>
      <c r="K14270" t="str">
        <f>"807"</f>
        <v>807</v>
      </c>
      <c r="L14270">
        <v>3150</v>
      </c>
    </row>
    <row r="14271" spans="1:12" x14ac:dyDescent="0.25">
      <c r="A14271" t="str">
        <f t="shared" si="2544"/>
        <v>89301000</v>
      </c>
      <c r="B14271" t="str">
        <f t="shared" ref="B14271:B14302" si="2552">"89895000"</f>
        <v>89895000</v>
      </c>
      <c r="C14271" t="str">
        <f t="shared" ref="C14271:C14302" si="2553">"89895002"</f>
        <v>89895002</v>
      </c>
      <c r="D14271">
        <v>89301212</v>
      </c>
      <c r="E14271" t="str">
        <f>"415404411"</f>
        <v>415404411</v>
      </c>
      <c r="F14271" s="1">
        <v>45253</v>
      </c>
      <c r="G14271" t="str">
        <f>"89180"</f>
        <v>89180</v>
      </c>
      <c r="H14271">
        <v>2</v>
      </c>
      <c r="I14271">
        <v>762</v>
      </c>
      <c r="J14271">
        <v>0</v>
      </c>
      <c r="K14271" t="str">
        <f t="shared" ref="K14271:K14302" si="2554">"809"</f>
        <v>809</v>
      </c>
      <c r="L14271">
        <v>1120.1400000000001</v>
      </c>
    </row>
    <row r="14272" spans="1:12" x14ac:dyDescent="0.25">
      <c r="A14272" t="str">
        <f t="shared" si="2544"/>
        <v>89301000</v>
      </c>
      <c r="B14272" t="str">
        <f t="shared" si="2552"/>
        <v>89895000</v>
      </c>
      <c r="C14272" t="str">
        <f t="shared" si="2553"/>
        <v>89895002</v>
      </c>
      <c r="D14272">
        <v>89301212</v>
      </c>
      <c r="E14272" t="str">
        <f>"445319460"</f>
        <v>445319460</v>
      </c>
      <c r="F14272" s="1">
        <v>45251</v>
      </c>
      <c r="G14272" t="str">
        <f>"89513"</f>
        <v>89513</v>
      </c>
      <c r="H14272">
        <v>1</v>
      </c>
      <c r="I14272">
        <v>378</v>
      </c>
      <c r="J14272">
        <v>0</v>
      </c>
      <c r="K14272" t="str">
        <f t="shared" si="2554"/>
        <v>809</v>
      </c>
      <c r="L14272">
        <v>555.66</v>
      </c>
    </row>
    <row r="14273" spans="1:12" x14ac:dyDescent="0.25">
      <c r="A14273" t="str">
        <f t="shared" si="2544"/>
        <v>89301000</v>
      </c>
      <c r="B14273" t="str">
        <f t="shared" si="2552"/>
        <v>89895000</v>
      </c>
      <c r="C14273" t="str">
        <f t="shared" si="2553"/>
        <v>89895002</v>
      </c>
      <c r="D14273">
        <v>89301212</v>
      </c>
      <c r="E14273" t="str">
        <f>"445319460"</f>
        <v>445319460</v>
      </c>
      <c r="F14273" s="1">
        <v>45251</v>
      </c>
      <c r="G14273" t="str">
        <f>"89514"</f>
        <v>89514</v>
      </c>
      <c r="H14273">
        <v>1</v>
      </c>
      <c r="I14273">
        <v>378</v>
      </c>
      <c r="J14273">
        <v>0</v>
      </c>
      <c r="K14273" t="str">
        <f t="shared" si="2554"/>
        <v>809</v>
      </c>
      <c r="L14273">
        <v>555.66</v>
      </c>
    </row>
    <row r="14274" spans="1:12" x14ac:dyDescent="0.25">
      <c r="A14274" t="str">
        <f t="shared" ref="A14274:A14337" si="2555">"89301000"</f>
        <v>89301000</v>
      </c>
      <c r="B14274" t="str">
        <f t="shared" si="2552"/>
        <v>89895000</v>
      </c>
      <c r="C14274" t="str">
        <f t="shared" si="2553"/>
        <v>89895002</v>
      </c>
      <c r="D14274">
        <v>89301212</v>
      </c>
      <c r="E14274" t="str">
        <f>"485301403"</f>
        <v>485301403</v>
      </c>
      <c r="F14274" s="1">
        <v>45231</v>
      </c>
      <c r="G14274" t="str">
        <f>"89180"</f>
        <v>89180</v>
      </c>
      <c r="H14274">
        <v>2</v>
      </c>
      <c r="I14274">
        <v>762</v>
      </c>
      <c r="J14274">
        <v>0</v>
      </c>
      <c r="K14274" t="str">
        <f t="shared" si="2554"/>
        <v>809</v>
      </c>
      <c r="L14274">
        <v>1120.1400000000001</v>
      </c>
    </row>
    <row r="14275" spans="1:12" x14ac:dyDescent="0.25">
      <c r="A14275" t="str">
        <f t="shared" si="2555"/>
        <v>89301000</v>
      </c>
      <c r="B14275" t="str">
        <f t="shared" si="2552"/>
        <v>89895000</v>
      </c>
      <c r="C14275" t="str">
        <f t="shared" si="2553"/>
        <v>89895002</v>
      </c>
      <c r="D14275">
        <v>89301212</v>
      </c>
      <c r="E14275" t="str">
        <f>"485301403"</f>
        <v>485301403</v>
      </c>
      <c r="F14275" s="1">
        <v>45231</v>
      </c>
      <c r="G14275" t="str">
        <f>"89513"</f>
        <v>89513</v>
      </c>
      <c r="H14275">
        <v>1</v>
      </c>
      <c r="I14275">
        <v>378</v>
      </c>
      <c r="J14275">
        <v>0</v>
      </c>
      <c r="K14275" t="str">
        <f t="shared" si="2554"/>
        <v>809</v>
      </c>
      <c r="L14275">
        <v>555.66</v>
      </c>
    </row>
    <row r="14276" spans="1:12" x14ac:dyDescent="0.25">
      <c r="A14276" t="str">
        <f t="shared" si="2555"/>
        <v>89301000</v>
      </c>
      <c r="B14276" t="str">
        <f t="shared" si="2552"/>
        <v>89895000</v>
      </c>
      <c r="C14276" t="str">
        <f t="shared" si="2553"/>
        <v>89895002</v>
      </c>
      <c r="D14276">
        <v>89301212</v>
      </c>
      <c r="E14276" t="str">
        <f>"485301403"</f>
        <v>485301403</v>
      </c>
      <c r="F14276" s="1">
        <v>45231</v>
      </c>
      <c r="G14276" t="str">
        <f>"89514"</f>
        <v>89514</v>
      </c>
      <c r="H14276">
        <v>1</v>
      </c>
      <c r="I14276">
        <v>378</v>
      </c>
      <c r="J14276">
        <v>0</v>
      </c>
      <c r="K14276" t="str">
        <f t="shared" si="2554"/>
        <v>809</v>
      </c>
      <c r="L14276">
        <v>555.66</v>
      </c>
    </row>
    <row r="14277" spans="1:12" x14ac:dyDescent="0.25">
      <c r="A14277" t="str">
        <f t="shared" si="2555"/>
        <v>89301000</v>
      </c>
      <c r="B14277" t="str">
        <f t="shared" si="2552"/>
        <v>89895000</v>
      </c>
      <c r="C14277" t="str">
        <f t="shared" si="2553"/>
        <v>89895002</v>
      </c>
      <c r="D14277">
        <v>89301212</v>
      </c>
      <c r="E14277" t="str">
        <f>"485301403"</f>
        <v>485301403</v>
      </c>
      <c r="F14277" s="1">
        <v>45231</v>
      </c>
      <c r="G14277" t="str">
        <f>"89512"</f>
        <v>89512</v>
      </c>
      <c r="H14277">
        <v>1</v>
      </c>
      <c r="I14277">
        <v>283</v>
      </c>
      <c r="J14277">
        <v>0</v>
      </c>
      <c r="K14277" t="str">
        <f t="shared" si="2554"/>
        <v>809</v>
      </c>
      <c r="L14277">
        <v>416.01</v>
      </c>
    </row>
    <row r="14278" spans="1:12" x14ac:dyDescent="0.25">
      <c r="A14278" t="str">
        <f t="shared" si="2555"/>
        <v>89301000</v>
      </c>
      <c r="B14278" t="str">
        <f t="shared" si="2552"/>
        <v>89895000</v>
      </c>
      <c r="C14278" t="str">
        <f t="shared" si="2553"/>
        <v>89895002</v>
      </c>
      <c r="D14278">
        <v>89301212</v>
      </c>
      <c r="E14278" t="str">
        <f>"485915102"</f>
        <v>485915102</v>
      </c>
      <c r="F14278" s="1">
        <v>45259</v>
      </c>
      <c r="G14278" t="str">
        <f>"89180"</f>
        <v>89180</v>
      </c>
      <c r="H14278">
        <v>2</v>
      </c>
      <c r="I14278">
        <v>762</v>
      </c>
      <c r="J14278">
        <v>0</v>
      </c>
      <c r="K14278" t="str">
        <f t="shared" si="2554"/>
        <v>809</v>
      </c>
      <c r="L14278">
        <v>1120.1400000000001</v>
      </c>
    </row>
    <row r="14279" spans="1:12" x14ac:dyDescent="0.25">
      <c r="A14279" t="str">
        <f t="shared" si="2555"/>
        <v>89301000</v>
      </c>
      <c r="B14279" t="str">
        <f t="shared" si="2552"/>
        <v>89895000</v>
      </c>
      <c r="C14279" t="str">
        <f t="shared" si="2553"/>
        <v>89895002</v>
      </c>
      <c r="D14279">
        <v>89301212</v>
      </c>
      <c r="E14279" t="str">
        <f>"485915102"</f>
        <v>485915102</v>
      </c>
      <c r="F14279" s="1">
        <v>45259</v>
      </c>
      <c r="G14279" t="str">
        <f>"89513"</f>
        <v>89513</v>
      </c>
      <c r="H14279">
        <v>1</v>
      </c>
      <c r="I14279">
        <v>378</v>
      </c>
      <c r="J14279">
        <v>0</v>
      </c>
      <c r="K14279" t="str">
        <f t="shared" si="2554"/>
        <v>809</v>
      </c>
      <c r="L14279">
        <v>555.66</v>
      </c>
    </row>
    <row r="14280" spans="1:12" x14ac:dyDescent="0.25">
      <c r="A14280" t="str">
        <f t="shared" si="2555"/>
        <v>89301000</v>
      </c>
      <c r="B14280" t="str">
        <f t="shared" si="2552"/>
        <v>89895000</v>
      </c>
      <c r="C14280" t="str">
        <f t="shared" si="2553"/>
        <v>89895002</v>
      </c>
      <c r="D14280">
        <v>89301212</v>
      </c>
      <c r="E14280" t="str">
        <f>"485915102"</f>
        <v>485915102</v>
      </c>
      <c r="F14280" s="1">
        <v>45259</v>
      </c>
      <c r="G14280" t="str">
        <f>"89514"</f>
        <v>89514</v>
      </c>
      <c r="H14280">
        <v>1</v>
      </c>
      <c r="I14280">
        <v>378</v>
      </c>
      <c r="J14280">
        <v>0</v>
      </c>
      <c r="K14280" t="str">
        <f t="shared" si="2554"/>
        <v>809</v>
      </c>
      <c r="L14280">
        <v>555.66</v>
      </c>
    </row>
    <row r="14281" spans="1:12" x14ac:dyDescent="0.25">
      <c r="A14281" t="str">
        <f t="shared" si="2555"/>
        <v>89301000</v>
      </c>
      <c r="B14281" t="str">
        <f t="shared" si="2552"/>
        <v>89895000</v>
      </c>
      <c r="C14281" t="str">
        <f t="shared" si="2553"/>
        <v>89895002</v>
      </c>
      <c r="D14281">
        <v>89301212</v>
      </c>
      <c r="E14281" t="str">
        <f>"485915102"</f>
        <v>485915102</v>
      </c>
      <c r="F14281" s="1">
        <v>45259</v>
      </c>
      <c r="G14281" t="str">
        <f>"89512"</f>
        <v>89512</v>
      </c>
      <c r="H14281">
        <v>1</v>
      </c>
      <c r="I14281">
        <v>283</v>
      </c>
      <c r="J14281">
        <v>0</v>
      </c>
      <c r="K14281" t="str">
        <f t="shared" si="2554"/>
        <v>809</v>
      </c>
      <c r="L14281">
        <v>416.01</v>
      </c>
    </row>
    <row r="14282" spans="1:12" x14ac:dyDescent="0.25">
      <c r="A14282" t="str">
        <f t="shared" si="2555"/>
        <v>89301000</v>
      </c>
      <c r="B14282" t="str">
        <f t="shared" si="2552"/>
        <v>89895000</v>
      </c>
      <c r="C14282" t="str">
        <f t="shared" si="2553"/>
        <v>89895002</v>
      </c>
      <c r="D14282">
        <v>89301212</v>
      </c>
      <c r="E14282" t="str">
        <f>"495620001"</f>
        <v>495620001</v>
      </c>
      <c r="F14282" s="1">
        <v>45243</v>
      </c>
      <c r="G14282" t="str">
        <f>"89512"</f>
        <v>89512</v>
      </c>
      <c r="H14282">
        <v>1</v>
      </c>
      <c r="I14282">
        <v>283</v>
      </c>
      <c r="J14282">
        <v>0</v>
      </c>
      <c r="K14282" t="str">
        <f t="shared" si="2554"/>
        <v>809</v>
      </c>
      <c r="L14282">
        <v>416.01</v>
      </c>
    </row>
    <row r="14283" spans="1:12" x14ac:dyDescent="0.25">
      <c r="A14283" t="str">
        <f t="shared" si="2555"/>
        <v>89301000</v>
      </c>
      <c r="B14283" t="str">
        <f t="shared" si="2552"/>
        <v>89895000</v>
      </c>
      <c r="C14283" t="str">
        <f t="shared" si="2553"/>
        <v>89895002</v>
      </c>
      <c r="D14283">
        <v>89301212</v>
      </c>
      <c r="E14283" t="str">
        <f t="shared" ref="E14283:E14290" si="2556">"496016158"</f>
        <v>496016158</v>
      </c>
      <c r="F14283" s="1">
        <v>45259</v>
      </c>
      <c r="G14283" t="str">
        <f>"89513"</f>
        <v>89513</v>
      </c>
      <c r="H14283">
        <v>1</v>
      </c>
      <c r="I14283">
        <v>378</v>
      </c>
      <c r="J14283">
        <v>0</v>
      </c>
      <c r="K14283" t="str">
        <f t="shared" si="2554"/>
        <v>809</v>
      </c>
      <c r="L14283">
        <v>555.66</v>
      </c>
    </row>
    <row r="14284" spans="1:12" x14ac:dyDescent="0.25">
      <c r="A14284" t="str">
        <f t="shared" si="2555"/>
        <v>89301000</v>
      </c>
      <c r="B14284" t="str">
        <f t="shared" si="2552"/>
        <v>89895000</v>
      </c>
      <c r="C14284" t="str">
        <f t="shared" si="2553"/>
        <v>89895002</v>
      </c>
      <c r="D14284">
        <v>89301212</v>
      </c>
      <c r="E14284" t="str">
        <f t="shared" si="2556"/>
        <v>496016158</v>
      </c>
      <c r="F14284" s="1">
        <v>45259</v>
      </c>
      <c r="G14284" t="str">
        <f>"89180"</f>
        <v>89180</v>
      </c>
      <c r="H14284">
        <v>1</v>
      </c>
      <c r="I14284">
        <v>381</v>
      </c>
      <c r="J14284">
        <v>0</v>
      </c>
      <c r="K14284" t="str">
        <f t="shared" si="2554"/>
        <v>809</v>
      </c>
      <c r="L14284">
        <v>560.07000000000005</v>
      </c>
    </row>
    <row r="14285" spans="1:12" x14ac:dyDescent="0.25">
      <c r="A14285" t="str">
        <f t="shared" si="2555"/>
        <v>89301000</v>
      </c>
      <c r="B14285" t="str">
        <f t="shared" si="2552"/>
        <v>89895000</v>
      </c>
      <c r="C14285" t="str">
        <f t="shared" si="2553"/>
        <v>89895002</v>
      </c>
      <c r="D14285">
        <v>89301212</v>
      </c>
      <c r="E14285" t="str">
        <f t="shared" si="2556"/>
        <v>496016158</v>
      </c>
      <c r="F14285" s="1">
        <v>45259</v>
      </c>
      <c r="G14285" t="str">
        <f>"09233"</f>
        <v>09233</v>
      </c>
      <c r="H14285">
        <v>1</v>
      </c>
      <c r="I14285">
        <v>102</v>
      </c>
      <c r="J14285">
        <v>0</v>
      </c>
      <c r="K14285" t="str">
        <f t="shared" si="2554"/>
        <v>809</v>
      </c>
      <c r="L14285">
        <v>149.94</v>
      </c>
    </row>
    <row r="14286" spans="1:12" x14ac:dyDescent="0.25">
      <c r="A14286" t="str">
        <f t="shared" si="2555"/>
        <v>89301000</v>
      </c>
      <c r="B14286" t="str">
        <f t="shared" si="2552"/>
        <v>89895000</v>
      </c>
      <c r="C14286" t="str">
        <f t="shared" si="2553"/>
        <v>89895002</v>
      </c>
      <c r="D14286">
        <v>89301212</v>
      </c>
      <c r="E14286" t="str">
        <f t="shared" si="2556"/>
        <v>496016158</v>
      </c>
      <c r="F14286" s="1">
        <v>45259</v>
      </c>
      <c r="G14286" t="str">
        <f>"89514"</f>
        <v>89514</v>
      </c>
      <c r="H14286">
        <v>1</v>
      </c>
      <c r="I14286">
        <v>378</v>
      </c>
      <c r="J14286">
        <v>0</v>
      </c>
      <c r="K14286" t="str">
        <f t="shared" si="2554"/>
        <v>809</v>
      </c>
      <c r="L14286">
        <v>555.66</v>
      </c>
    </row>
    <row r="14287" spans="1:12" x14ac:dyDescent="0.25">
      <c r="A14287" t="str">
        <f t="shared" si="2555"/>
        <v>89301000</v>
      </c>
      <c r="B14287" t="str">
        <f t="shared" si="2552"/>
        <v>89895000</v>
      </c>
      <c r="C14287" t="str">
        <f t="shared" si="2553"/>
        <v>89895002</v>
      </c>
      <c r="D14287">
        <v>89301212</v>
      </c>
      <c r="E14287" t="str">
        <f t="shared" si="2556"/>
        <v>496016158</v>
      </c>
      <c r="F14287" s="1">
        <v>45259</v>
      </c>
      <c r="G14287" t="str">
        <f>"89335"</f>
        <v>89335</v>
      </c>
      <c r="H14287">
        <v>1</v>
      </c>
      <c r="I14287">
        <v>185</v>
      </c>
      <c r="J14287">
        <v>0</v>
      </c>
      <c r="K14287" t="str">
        <f t="shared" si="2554"/>
        <v>809</v>
      </c>
      <c r="L14287">
        <v>271.95</v>
      </c>
    </row>
    <row r="14288" spans="1:12" x14ac:dyDescent="0.25">
      <c r="A14288" t="str">
        <f t="shared" si="2555"/>
        <v>89301000</v>
      </c>
      <c r="B14288" t="str">
        <f t="shared" si="2552"/>
        <v>89895000</v>
      </c>
      <c r="C14288" t="str">
        <f t="shared" si="2553"/>
        <v>89895002</v>
      </c>
      <c r="D14288">
        <v>89301212</v>
      </c>
      <c r="E14288" t="str">
        <f t="shared" si="2556"/>
        <v>496016158</v>
      </c>
      <c r="F14288" s="1">
        <v>45259</v>
      </c>
      <c r="G14288" t="str">
        <f>"89512"</f>
        <v>89512</v>
      </c>
      <c r="H14288">
        <v>1</v>
      </c>
      <c r="I14288">
        <v>283</v>
      </c>
      <c r="J14288">
        <v>0</v>
      </c>
      <c r="K14288" t="str">
        <f t="shared" si="2554"/>
        <v>809</v>
      </c>
      <c r="L14288">
        <v>416.01</v>
      </c>
    </row>
    <row r="14289" spans="1:12" x14ac:dyDescent="0.25">
      <c r="A14289" t="str">
        <f t="shared" si="2555"/>
        <v>89301000</v>
      </c>
      <c r="B14289" t="str">
        <f t="shared" si="2552"/>
        <v>89895000</v>
      </c>
      <c r="C14289" t="str">
        <f t="shared" si="2553"/>
        <v>89895002</v>
      </c>
      <c r="D14289">
        <v>89301212</v>
      </c>
      <c r="E14289" t="str">
        <f t="shared" si="2556"/>
        <v>496016158</v>
      </c>
      <c r="F14289" s="1">
        <v>45259</v>
      </c>
      <c r="G14289" t="str">
        <f>"0000502"</f>
        <v>0000502</v>
      </c>
      <c r="H14289">
        <v>0.1</v>
      </c>
      <c r="J14289">
        <v>6.97</v>
      </c>
      <c r="K14289" t="str">
        <f t="shared" si="2554"/>
        <v>809</v>
      </c>
      <c r="L14289">
        <v>6.97</v>
      </c>
    </row>
    <row r="14290" spans="1:12" x14ac:dyDescent="0.25">
      <c r="A14290" t="str">
        <f t="shared" si="2555"/>
        <v>89301000</v>
      </c>
      <c r="B14290" t="str">
        <f t="shared" si="2552"/>
        <v>89895000</v>
      </c>
      <c r="C14290" t="str">
        <f t="shared" si="2553"/>
        <v>89895002</v>
      </c>
      <c r="D14290">
        <v>89301212</v>
      </c>
      <c r="E14290" t="str">
        <f t="shared" si="2556"/>
        <v>496016158</v>
      </c>
      <c r="F14290" s="1">
        <v>45259</v>
      </c>
      <c r="G14290" t="str">
        <f>"0142906"</f>
        <v>0142906</v>
      </c>
      <c r="H14290">
        <v>1</v>
      </c>
      <c r="J14290">
        <v>6990</v>
      </c>
      <c r="K14290" t="str">
        <f t="shared" si="2554"/>
        <v>809</v>
      </c>
      <c r="L14290">
        <v>6990</v>
      </c>
    </row>
    <row r="14291" spans="1:12" x14ac:dyDescent="0.25">
      <c r="A14291" t="str">
        <f t="shared" si="2555"/>
        <v>89301000</v>
      </c>
      <c r="B14291" t="str">
        <f t="shared" si="2552"/>
        <v>89895000</v>
      </c>
      <c r="C14291" t="str">
        <f t="shared" si="2553"/>
        <v>89895002</v>
      </c>
      <c r="D14291">
        <v>89301212</v>
      </c>
      <c r="E14291" t="str">
        <f>"515418042"</f>
        <v>515418042</v>
      </c>
      <c r="F14291" s="1">
        <v>45252</v>
      </c>
      <c r="G14291" t="str">
        <f>"89180"</f>
        <v>89180</v>
      </c>
      <c r="H14291">
        <v>2</v>
      </c>
      <c r="I14291">
        <v>762</v>
      </c>
      <c r="J14291">
        <v>0</v>
      </c>
      <c r="K14291" t="str">
        <f t="shared" si="2554"/>
        <v>809</v>
      </c>
      <c r="L14291">
        <v>1120.1400000000001</v>
      </c>
    </row>
    <row r="14292" spans="1:12" x14ac:dyDescent="0.25">
      <c r="A14292" t="str">
        <f t="shared" si="2555"/>
        <v>89301000</v>
      </c>
      <c r="B14292" t="str">
        <f t="shared" si="2552"/>
        <v>89895000</v>
      </c>
      <c r="C14292" t="str">
        <f t="shared" si="2553"/>
        <v>89895002</v>
      </c>
      <c r="D14292">
        <v>89301212</v>
      </c>
      <c r="E14292" t="str">
        <f>"515418042"</f>
        <v>515418042</v>
      </c>
      <c r="F14292" s="1">
        <v>45252</v>
      </c>
      <c r="G14292" t="str">
        <f>"89513"</f>
        <v>89513</v>
      </c>
      <c r="H14292">
        <v>1</v>
      </c>
      <c r="I14292">
        <v>378</v>
      </c>
      <c r="J14292">
        <v>0</v>
      </c>
      <c r="K14292" t="str">
        <f t="shared" si="2554"/>
        <v>809</v>
      </c>
      <c r="L14292">
        <v>555.66</v>
      </c>
    </row>
    <row r="14293" spans="1:12" x14ac:dyDescent="0.25">
      <c r="A14293" t="str">
        <f t="shared" si="2555"/>
        <v>89301000</v>
      </c>
      <c r="B14293" t="str">
        <f t="shared" si="2552"/>
        <v>89895000</v>
      </c>
      <c r="C14293" t="str">
        <f t="shared" si="2553"/>
        <v>89895002</v>
      </c>
      <c r="D14293">
        <v>89301212</v>
      </c>
      <c r="E14293" t="str">
        <f>"515418042"</f>
        <v>515418042</v>
      </c>
      <c r="F14293" s="1">
        <v>45252</v>
      </c>
      <c r="G14293" t="str">
        <f>"89514"</f>
        <v>89514</v>
      </c>
      <c r="H14293">
        <v>1</v>
      </c>
      <c r="I14293">
        <v>378</v>
      </c>
      <c r="J14293">
        <v>0</v>
      </c>
      <c r="K14293" t="str">
        <f t="shared" si="2554"/>
        <v>809</v>
      </c>
      <c r="L14293">
        <v>555.66</v>
      </c>
    </row>
    <row r="14294" spans="1:12" x14ac:dyDescent="0.25">
      <c r="A14294" t="str">
        <f t="shared" si="2555"/>
        <v>89301000</v>
      </c>
      <c r="B14294" t="str">
        <f t="shared" si="2552"/>
        <v>89895000</v>
      </c>
      <c r="C14294" t="str">
        <f t="shared" si="2553"/>
        <v>89895002</v>
      </c>
      <c r="D14294">
        <v>89301212</v>
      </c>
      <c r="E14294" t="str">
        <f>"515418042"</f>
        <v>515418042</v>
      </c>
      <c r="F14294" s="1">
        <v>45252</v>
      </c>
      <c r="G14294" t="str">
        <f>"89512"</f>
        <v>89512</v>
      </c>
      <c r="H14294">
        <v>1</v>
      </c>
      <c r="I14294">
        <v>283</v>
      </c>
      <c r="J14294">
        <v>0</v>
      </c>
      <c r="K14294" t="str">
        <f t="shared" si="2554"/>
        <v>809</v>
      </c>
      <c r="L14294">
        <v>416.01</v>
      </c>
    </row>
    <row r="14295" spans="1:12" x14ac:dyDescent="0.25">
      <c r="A14295" t="str">
        <f t="shared" si="2555"/>
        <v>89301000</v>
      </c>
      <c r="B14295" t="str">
        <f t="shared" si="2552"/>
        <v>89895000</v>
      </c>
      <c r="C14295" t="str">
        <f t="shared" si="2553"/>
        <v>89895002</v>
      </c>
      <c r="D14295">
        <v>89301212</v>
      </c>
      <c r="E14295" t="str">
        <f t="shared" ref="E14295:E14300" si="2557">"515613185"</f>
        <v>515613185</v>
      </c>
      <c r="F14295" s="1">
        <v>45238</v>
      </c>
      <c r="G14295" t="str">
        <f>"89180"</f>
        <v>89180</v>
      </c>
      <c r="H14295">
        <v>1</v>
      </c>
      <c r="I14295">
        <v>381</v>
      </c>
      <c r="J14295">
        <v>0</v>
      </c>
      <c r="K14295" t="str">
        <f t="shared" si="2554"/>
        <v>809</v>
      </c>
      <c r="L14295">
        <v>560.07000000000005</v>
      </c>
    </row>
    <row r="14296" spans="1:12" x14ac:dyDescent="0.25">
      <c r="A14296" t="str">
        <f t="shared" si="2555"/>
        <v>89301000</v>
      </c>
      <c r="B14296" t="str">
        <f t="shared" si="2552"/>
        <v>89895000</v>
      </c>
      <c r="C14296" t="str">
        <f t="shared" si="2553"/>
        <v>89895002</v>
      </c>
      <c r="D14296">
        <v>89301212</v>
      </c>
      <c r="E14296" t="str">
        <f t="shared" si="2557"/>
        <v>515613185</v>
      </c>
      <c r="F14296" s="1">
        <v>45238</v>
      </c>
      <c r="G14296" t="str">
        <f>"09233"</f>
        <v>09233</v>
      </c>
      <c r="H14296">
        <v>1</v>
      </c>
      <c r="I14296">
        <v>102</v>
      </c>
      <c r="J14296">
        <v>0</v>
      </c>
      <c r="K14296" t="str">
        <f t="shared" si="2554"/>
        <v>809</v>
      </c>
      <c r="L14296">
        <v>149.94</v>
      </c>
    </row>
    <row r="14297" spans="1:12" x14ac:dyDescent="0.25">
      <c r="A14297" t="str">
        <f t="shared" si="2555"/>
        <v>89301000</v>
      </c>
      <c r="B14297" t="str">
        <f t="shared" si="2552"/>
        <v>89895000</v>
      </c>
      <c r="C14297" t="str">
        <f t="shared" si="2553"/>
        <v>89895002</v>
      </c>
      <c r="D14297">
        <v>89301212</v>
      </c>
      <c r="E14297" t="str">
        <f t="shared" si="2557"/>
        <v>515613185</v>
      </c>
      <c r="F14297" s="1">
        <v>45238</v>
      </c>
      <c r="G14297" t="str">
        <f>"89335"</f>
        <v>89335</v>
      </c>
      <c r="H14297">
        <v>1</v>
      </c>
      <c r="I14297">
        <v>185</v>
      </c>
      <c r="J14297">
        <v>0</v>
      </c>
      <c r="K14297" t="str">
        <f t="shared" si="2554"/>
        <v>809</v>
      </c>
      <c r="L14297">
        <v>271.95</v>
      </c>
    </row>
    <row r="14298" spans="1:12" x14ac:dyDescent="0.25">
      <c r="A14298" t="str">
        <f t="shared" si="2555"/>
        <v>89301000</v>
      </c>
      <c r="B14298" t="str">
        <f t="shared" si="2552"/>
        <v>89895000</v>
      </c>
      <c r="C14298" t="str">
        <f t="shared" si="2553"/>
        <v>89895002</v>
      </c>
      <c r="D14298">
        <v>89301212</v>
      </c>
      <c r="E14298" t="str">
        <f t="shared" si="2557"/>
        <v>515613185</v>
      </c>
      <c r="F14298" s="1">
        <v>45238</v>
      </c>
      <c r="G14298" t="str">
        <f>"89512"</f>
        <v>89512</v>
      </c>
      <c r="H14298">
        <v>1</v>
      </c>
      <c r="I14298">
        <v>283</v>
      </c>
      <c r="J14298">
        <v>0</v>
      </c>
      <c r="K14298" t="str">
        <f t="shared" si="2554"/>
        <v>809</v>
      </c>
      <c r="L14298">
        <v>416.01</v>
      </c>
    </row>
    <row r="14299" spans="1:12" x14ac:dyDescent="0.25">
      <c r="A14299" t="str">
        <f t="shared" si="2555"/>
        <v>89301000</v>
      </c>
      <c r="B14299" t="str">
        <f t="shared" si="2552"/>
        <v>89895000</v>
      </c>
      <c r="C14299" t="str">
        <f t="shared" si="2553"/>
        <v>89895002</v>
      </c>
      <c r="D14299">
        <v>89301212</v>
      </c>
      <c r="E14299" t="str">
        <f t="shared" si="2557"/>
        <v>515613185</v>
      </c>
      <c r="F14299" s="1">
        <v>45238</v>
      </c>
      <c r="G14299" t="str">
        <f>"0000502"</f>
        <v>0000502</v>
      </c>
      <c r="H14299">
        <v>0.1</v>
      </c>
      <c r="J14299">
        <v>6.97</v>
      </c>
      <c r="K14299" t="str">
        <f t="shared" si="2554"/>
        <v>809</v>
      </c>
      <c r="L14299">
        <v>6.97</v>
      </c>
    </row>
    <row r="14300" spans="1:12" x14ac:dyDescent="0.25">
      <c r="A14300" t="str">
        <f t="shared" si="2555"/>
        <v>89301000</v>
      </c>
      <c r="B14300" t="str">
        <f t="shared" si="2552"/>
        <v>89895000</v>
      </c>
      <c r="C14300" t="str">
        <f t="shared" si="2553"/>
        <v>89895002</v>
      </c>
      <c r="D14300">
        <v>89301212</v>
      </c>
      <c r="E14300" t="str">
        <f t="shared" si="2557"/>
        <v>515613185</v>
      </c>
      <c r="F14300" s="1">
        <v>45238</v>
      </c>
      <c r="G14300" t="str">
        <f>"0142906"</f>
        <v>0142906</v>
      </c>
      <c r="H14300">
        <v>1</v>
      </c>
      <c r="J14300">
        <v>6990</v>
      </c>
      <c r="K14300" t="str">
        <f t="shared" si="2554"/>
        <v>809</v>
      </c>
      <c r="L14300">
        <v>6990</v>
      </c>
    </row>
    <row r="14301" spans="1:12" x14ac:dyDescent="0.25">
      <c r="A14301" t="str">
        <f t="shared" si="2555"/>
        <v>89301000</v>
      </c>
      <c r="B14301" t="str">
        <f t="shared" si="2552"/>
        <v>89895000</v>
      </c>
      <c r="C14301" t="str">
        <f t="shared" si="2553"/>
        <v>89895002</v>
      </c>
      <c r="D14301">
        <v>89301212</v>
      </c>
      <c r="E14301" t="str">
        <f>"5558151687"</f>
        <v>5558151687</v>
      </c>
      <c r="F14301" s="1">
        <v>45236</v>
      </c>
      <c r="G14301" t="str">
        <f>"89180"</f>
        <v>89180</v>
      </c>
      <c r="H14301">
        <v>2</v>
      </c>
      <c r="I14301">
        <v>762</v>
      </c>
      <c r="J14301">
        <v>0</v>
      </c>
      <c r="K14301" t="str">
        <f t="shared" si="2554"/>
        <v>809</v>
      </c>
      <c r="L14301">
        <v>1120.1400000000001</v>
      </c>
    </row>
    <row r="14302" spans="1:12" x14ac:dyDescent="0.25">
      <c r="A14302" t="str">
        <f t="shared" si="2555"/>
        <v>89301000</v>
      </c>
      <c r="B14302" t="str">
        <f t="shared" si="2552"/>
        <v>89895000</v>
      </c>
      <c r="C14302" t="str">
        <f t="shared" si="2553"/>
        <v>89895002</v>
      </c>
      <c r="D14302">
        <v>89301042</v>
      </c>
      <c r="E14302" t="str">
        <f>"5651011124"</f>
        <v>5651011124</v>
      </c>
      <c r="F14302" s="1">
        <v>45240</v>
      </c>
      <c r="G14302" t="str">
        <f>"89512"</f>
        <v>89512</v>
      </c>
      <c r="H14302">
        <v>1</v>
      </c>
      <c r="I14302">
        <v>283</v>
      </c>
      <c r="J14302">
        <v>0</v>
      </c>
      <c r="K14302" t="str">
        <f t="shared" si="2554"/>
        <v>809</v>
      </c>
      <c r="L14302">
        <v>416.01</v>
      </c>
    </row>
    <row r="14303" spans="1:12" x14ac:dyDescent="0.25">
      <c r="A14303" t="str">
        <f t="shared" si="2555"/>
        <v>89301000</v>
      </c>
      <c r="B14303" t="str">
        <f t="shared" ref="B14303:B14333" si="2558">"89895000"</f>
        <v>89895000</v>
      </c>
      <c r="C14303" t="str">
        <f t="shared" ref="C14303:C14333" si="2559">"89895002"</f>
        <v>89895002</v>
      </c>
      <c r="D14303">
        <v>89301212</v>
      </c>
      <c r="E14303" t="str">
        <f>"5657240798"</f>
        <v>5657240798</v>
      </c>
      <c r="F14303" s="1">
        <v>45251</v>
      </c>
      <c r="G14303" t="str">
        <f>"89180"</f>
        <v>89180</v>
      </c>
      <c r="H14303">
        <v>2</v>
      </c>
      <c r="I14303">
        <v>762</v>
      </c>
      <c r="J14303">
        <v>0</v>
      </c>
      <c r="K14303" t="str">
        <f t="shared" ref="K14303:K14333" si="2560">"809"</f>
        <v>809</v>
      </c>
      <c r="L14303">
        <v>1120.1400000000001</v>
      </c>
    </row>
    <row r="14304" spans="1:12" x14ac:dyDescent="0.25">
      <c r="A14304" t="str">
        <f t="shared" si="2555"/>
        <v>89301000</v>
      </c>
      <c r="B14304" t="str">
        <f t="shared" si="2558"/>
        <v>89895000</v>
      </c>
      <c r="C14304" t="str">
        <f t="shared" si="2559"/>
        <v>89895002</v>
      </c>
      <c r="D14304">
        <v>89301212</v>
      </c>
      <c r="E14304" t="str">
        <f>"5657240798"</f>
        <v>5657240798</v>
      </c>
      <c r="F14304" s="1">
        <v>45251</v>
      </c>
      <c r="G14304" t="str">
        <f>"89513"</f>
        <v>89513</v>
      </c>
      <c r="H14304">
        <v>1</v>
      </c>
      <c r="I14304">
        <v>378</v>
      </c>
      <c r="J14304">
        <v>0</v>
      </c>
      <c r="K14304" t="str">
        <f t="shared" si="2560"/>
        <v>809</v>
      </c>
      <c r="L14304">
        <v>555.66</v>
      </c>
    </row>
    <row r="14305" spans="1:12" x14ac:dyDescent="0.25">
      <c r="A14305" t="str">
        <f t="shared" si="2555"/>
        <v>89301000</v>
      </c>
      <c r="B14305" t="str">
        <f t="shared" si="2558"/>
        <v>89895000</v>
      </c>
      <c r="C14305" t="str">
        <f t="shared" si="2559"/>
        <v>89895002</v>
      </c>
      <c r="D14305">
        <v>89301212</v>
      </c>
      <c r="E14305" t="str">
        <f>"5657240798"</f>
        <v>5657240798</v>
      </c>
      <c r="F14305" s="1">
        <v>45251</v>
      </c>
      <c r="G14305" t="str">
        <f>"89514"</f>
        <v>89514</v>
      </c>
      <c r="H14305">
        <v>1</v>
      </c>
      <c r="I14305">
        <v>378</v>
      </c>
      <c r="J14305">
        <v>0</v>
      </c>
      <c r="K14305" t="str">
        <f t="shared" si="2560"/>
        <v>809</v>
      </c>
      <c r="L14305">
        <v>555.66</v>
      </c>
    </row>
    <row r="14306" spans="1:12" x14ac:dyDescent="0.25">
      <c r="A14306" t="str">
        <f t="shared" si="2555"/>
        <v>89301000</v>
      </c>
      <c r="B14306" t="str">
        <f t="shared" si="2558"/>
        <v>89895000</v>
      </c>
      <c r="C14306" t="str">
        <f t="shared" si="2559"/>
        <v>89895002</v>
      </c>
      <c r="D14306">
        <v>89301212</v>
      </c>
      <c r="E14306" t="str">
        <f>"5657240798"</f>
        <v>5657240798</v>
      </c>
      <c r="F14306" s="1">
        <v>45251</v>
      </c>
      <c r="G14306" t="str">
        <f>"89512"</f>
        <v>89512</v>
      </c>
      <c r="H14306">
        <v>1</v>
      </c>
      <c r="I14306">
        <v>283</v>
      </c>
      <c r="J14306">
        <v>0</v>
      </c>
      <c r="K14306" t="str">
        <f t="shared" si="2560"/>
        <v>809</v>
      </c>
      <c r="L14306">
        <v>416.01</v>
      </c>
    </row>
    <row r="14307" spans="1:12" x14ac:dyDescent="0.25">
      <c r="A14307" t="str">
        <f t="shared" si="2555"/>
        <v>89301000</v>
      </c>
      <c r="B14307" t="str">
        <f t="shared" si="2558"/>
        <v>89895000</v>
      </c>
      <c r="C14307" t="str">
        <f t="shared" si="2559"/>
        <v>89895002</v>
      </c>
      <c r="D14307">
        <v>89301212</v>
      </c>
      <c r="E14307" t="str">
        <f>"5759291967"</f>
        <v>5759291967</v>
      </c>
      <c r="F14307" s="1">
        <v>45257</v>
      </c>
      <c r="G14307" t="str">
        <f>"89180"</f>
        <v>89180</v>
      </c>
      <c r="H14307">
        <v>2</v>
      </c>
      <c r="I14307">
        <v>762</v>
      </c>
      <c r="J14307">
        <v>0</v>
      </c>
      <c r="K14307" t="str">
        <f t="shared" si="2560"/>
        <v>809</v>
      </c>
      <c r="L14307">
        <v>1120.1400000000001</v>
      </c>
    </row>
    <row r="14308" spans="1:12" x14ac:dyDescent="0.25">
      <c r="A14308" t="str">
        <f t="shared" si="2555"/>
        <v>89301000</v>
      </c>
      <c r="B14308" t="str">
        <f t="shared" si="2558"/>
        <v>89895000</v>
      </c>
      <c r="C14308" t="str">
        <f t="shared" si="2559"/>
        <v>89895002</v>
      </c>
      <c r="D14308">
        <v>89301212</v>
      </c>
      <c r="E14308" t="str">
        <f>"5759291967"</f>
        <v>5759291967</v>
      </c>
      <c r="F14308" s="1">
        <v>45257</v>
      </c>
      <c r="G14308" t="str">
        <f>"89514"</f>
        <v>89514</v>
      </c>
      <c r="H14308">
        <v>1</v>
      </c>
      <c r="I14308">
        <v>378</v>
      </c>
      <c r="J14308">
        <v>0</v>
      </c>
      <c r="K14308" t="str">
        <f t="shared" si="2560"/>
        <v>809</v>
      </c>
      <c r="L14308">
        <v>555.66</v>
      </c>
    </row>
    <row r="14309" spans="1:12" x14ac:dyDescent="0.25">
      <c r="A14309" t="str">
        <f t="shared" si="2555"/>
        <v>89301000</v>
      </c>
      <c r="B14309" t="str">
        <f t="shared" si="2558"/>
        <v>89895000</v>
      </c>
      <c r="C14309" t="str">
        <f t="shared" si="2559"/>
        <v>89895002</v>
      </c>
      <c r="D14309">
        <v>89301212</v>
      </c>
      <c r="E14309" t="str">
        <f>"5759291967"</f>
        <v>5759291967</v>
      </c>
      <c r="F14309" s="1">
        <v>45257</v>
      </c>
      <c r="G14309" t="str">
        <f>"89513"</f>
        <v>89513</v>
      </c>
      <c r="H14309">
        <v>1</v>
      </c>
      <c r="I14309">
        <v>378</v>
      </c>
      <c r="J14309">
        <v>0</v>
      </c>
      <c r="K14309" t="str">
        <f t="shared" si="2560"/>
        <v>809</v>
      </c>
      <c r="L14309">
        <v>555.66</v>
      </c>
    </row>
    <row r="14310" spans="1:12" x14ac:dyDescent="0.25">
      <c r="A14310" t="str">
        <f t="shared" si="2555"/>
        <v>89301000</v>
      </c>
      <c r="B14310" t="str">
        <f t="shared" si="2558"/>
        <v>89895000</v>
      </c>
      <c r="C14310" t="str">
        <f t="shared" si="2559"/>
        <v>89895002</v>
      </c>
      <c r="D14310">
        <v>89301212</v>
      </c>
      <c r="E14310" t="str">
        <f>"5759291967"</f>
        <v>5759291967</v>
      </c>
      <c r="F14310" s="1">
        <v>45257</v>
      </c>
      <c r="G14310" t="str">
        <f>"89512"</f>
        <v>89512</v>
      </c>
      <c r="H14310">
        <v>1</v>
      </c>
      <c r="I14310">
        <v>283</v>
      </c>
      <c r="J14310">
        <v>0</v>
      </c>
      <c r="K14310" t="str">
        <f t="shared" si="2560"/>
        <v>809</v>
      </c>
      <c r="L14310">
        <v>416.01</v>
      </c>
    </row>
    <row r="14311" spans="1:12" x14ac:dyDescent="0.25">
      <c r="A14311" t="str">
        <f t="shared" si="2555"/>
        <v>89301000</v>
      </c>
      <c r="B14311" t="str">
        <f t="shared" si="2558"/>
        <v>89895000</v>
      </c>
      <c r="C14311" t="str">
        <f t="shared" si="2559"/>
        <v>89895002</v>
      </c>
      <c r="D14311">
        <v>89301212</v>
      </c>
      <c r="E14311" t="str">
        <f>"5854030611"</f>
        <v>5854030611</v>
      </c>
      <c r="F14311" s="1">
        <v>45257</v>
      </c>
      <c r="G14311" t="str">
        <f>"89512"</f>
        <v>89512</v>
      </c>
      <c r="H14311">
        <v>1</v>
      </c>
      <c r="I14311">
        <v>283</v>
      </c>
      <c r="J14311">
        <v>0</v>
      </c>
      <c r="K14311" t="str">
        <f t="shared" si="2560"/>
        <v>809</v>
      </c>
      <c r="L14311">
        <v>416.01</v>
      </c>
    </row>
    <row r="14312" spans="1:12" x14ac:dyDescent="0.25">
      <c r="A14312" t="str">
        <f t="shared" si="2555"/>
        <v>89301000</v>
      </c>
      <c r="B14312" t="str">
        <f t="shared" si="2558"/>
        <v>89895000</v>
      </c>
      <c r="C14312" t="str">
        <f t="shared" si="2559"/>
        <v>89895002</v>
      </c>
      <c r="D14312">
        <v>89301212</v>
      </c>
      <c r="E14312" t="str">
        <f>"5955071430"</f>
        <v>5955071430</v>
      </c>
      <c r="F14312" s="1">
        <v>45259</v>
      </c>
      <c r="G14312" t="str">
        <f>"89180"</f>
        <v>89180</v>
      </c>
      <c r="H14312">
        <v>2</v>
      </c>
      <c r="I14312">
        <v>762</v>
      </c>
      <c r="J14312">
        <v>0</v>
      </c>
      <c r="K14312" t="str">
        <f t="shared" si="2560"/>
        <v>809</v>
      </c>
      <c r="L14312">
        <v>1120.1400000000001</v>
      </c>
    </row>
    <row r="14313" spans="1:12" x14ac:dyDescent="0.25">
      <c r="A14313" t="str">
        <f t="shared" si="2555"/>
        <v>89301000</v>
      </c>
      <c r="B14313" t="str">
        <f t="shared" si="2558"/>
        <v>89895000</v>
      </c>
      <c r="C14313" t="str">
        <f t="shared" si="2559"/>
        <v>89895002</v>
      </c>
      <c r="D14313">
        <v>89301212</v>
      </c>
      <c r="E14313" t="str">
        <f>"5955071430"</f>
        <v>5955071430</v>
      </c>
      <c r="F14313" s="1">
        <v>45259</v>
      </c>
      <c r="G14313" t="str">
        <f>"89512"</f>
        <v>89512</v>
      </c>
      <c r="H14313">
        <v>1</v>
      </c>
      <c r="I14313">
        <v>283</v>
      </c>
      <c r="J14313">
        <v>0</v>
      </c>
      <c r="K14313" t="str">
        <f t="shared" si="2560"/>
        <v>809</v>
      </c>
      <c r="L14313">
        <v>416.01</v>
      </c>
    </row>
    <row r="14314" spans="1:12" x14ac:dyDescent="0.25">
      <c r="A14314" t="str">
        <f t="shared" si="2555"/>
        <v>89301000</v>
      </c>
      <c r="B14314" t="str">
        <f t="shared" si="2558"/>
        <v>89895000</v>
      </c>
      <c r="C14314" t="str">
        <f t="shared" si="2559"/>
        <v>89895002</v>
      </c>
      <c r="D14314">
        <v>89301212</v>
      </c>
      <c r="E14314" t="str">
        <f>"5958180580"</f>
        <v>5958180580</v>
      </c>
      <c r="F14314" s="1">
        <v>45257</v>
      </c>
      <c r="G14314" t="str">
        <f>"89514"</f>
        <v>89514</v>
      </c>
      <c r="H14314">
        <v>1</v>
      </c>
      <c r="I14314">
        <v>378</v>
      </c>
      <c r="J14314">
        <v>0</v>
      </c>
      <c r="K14314" t="str">
        <f t="shared" si="2560"/>
        <v>809</v>
      </c>
      <c r="L14314">
        <v>555.66</v>
      </c>
    </row>
    <row r="14315" spans="1:12" x14ac:dyDescent="0.25">
      <c r="A14315" t="str">
        <f t="shared" si="2555"/>
        <v>89301000</v>
      </c>
      <c r="B14315" t="str">
        <f t="shared" si="2558"/>
        <v>89895000</v>
      </c>
      <c r="C14315" t="str">
        <f t="shared" si="2559"/>
        <v>89895002</v>
      </c>
      <c r="D14315">
        <v>89301212</v>
      </c>
      <c r="E14315" t="str">
        <f>"5958180580"</f>
        <v>5958180580</v>
      </c>
      <c r="F14315" s="1">
        <v>45257</v>
      </c>
      <c r="G14315" t="str">
        <f>"89513"</f>
        <v>89513</v>
      </c>
      <c r="H14315">
        <v>1</v>
      </c>
      <c r="I14315">
        <v>378</v>
      </c>
      <c r="J14315">
        <v>0</v>
      </c>
      <c r="K14315" t="str">
        <f t="shared" si="2560"/>
        <v>809</v>
      </c>
      <c r="L14315">
        <v>555.66</v>
      </c>
    </row>
    <row r="14316" spans="1:12" x14ac:dyDescent="0.25">
      <c r="A14316" t="str">
        <f t="shared" si="2555"/>
        <v>89301000</v>
      </c>
      <c r="B14316" t="str">
        <f t="shared" si="2558"/>
        <v>89895000</v>
      </c>
      <c r="C14316" t="str">
        <f t="shared" si="2559"/>
        <v>89895002</v>
      </c>
      <c r="D14316">
        <v>89301212</v>
      </c>
      <c r="E14316" t="str">
        <f>"6059021474"</f>
        <v>6059021474</v>
      </c>
      <c r="F14316" s="1">
        <v>45259</v>
      </c>
      <c r="G14316" t="str">
        <f>"89180"</f>
        <v>89180</v>
      </c>
      <c r="H14316">
        <v>2</v>
      </c>
      <c r="I14316">
        <v>762</v>
      </c>
      <c r="J14316">
        <v>0</v>
      </c>
      <c r="K14316" t="str">
        <f t="shared" si="2560"/>
        <v>809</v>
      </c>
      <c r="L14316">
        <v>1120.1400000000001</v>
      </c>
    </row>
    <row r="14317" spans="1:12" x14ac:dyDescent="0.25">
      <c r="A14317" t="str">
        <f t="shared" si="2555"/>
        <v>89301000</v>
      </c>
      <c r="B14317" t="str">
        <f t="shared" si="2558"/>
        <v>89895000</v>
      </c>
      <c r="C14317" t="str">
        <f t="shared" si="2559"/>
        <v>89895002</v>
      </c>
      <c r="D14317">
        <v>89301212</v>
      </c>
      <c r="E14317" t="str">
        <f>"6059021474"</f>
        <v>6059021474</v>
      </c>
      <c r="F14317" s="1">
        <v>45259</v>
      </c>
      <c r="G14317" t="str">
        <f>"89513"</f>
        <v>89513</v>
      </c>
      <c r="H14317">
        <v>1</v>
      </c>
      <c r="I14317">
        <v>378</v>
      </c>
      <c r="J14317">
        <v>0</v>
      </c>
      <c r="K14317" t="str">
        <f t="shared" si="2560"/>
        <v>809</v>
      </c>
      <c r="L14317">
        <v>555.66</v>
      </c>
    </row>
    <row r="14318" spans="1:12" x14ac:dyDescent="0.25">
      <c r="A14318" t="str">
        <f t="shared" si="2555"/>
        <v>89301000</v>
      </c>
      <c r="B14318" t="str">
        <f t="shared" si="2558"/>
        <v>89895000</v>
      </c>
      <c r="C14318" t="str">
        <f t="shared" si="2559"/>
        <v>89895002</v>
      </c>
      <c r="D14318">
        <v>89301212</v>
      </c>
      <c r="E14318" t="str">
        <f>"6059021474"</f>
        <v>6059021474</v>
      </c>
      <c r="F14318" s="1">
        <v>45259</v>
      </c>
      <c r="G14318" t="str">
        <f>"89514"</f>
        <v>89514</v>
      </c>
      <c r="H14318">
        <v>1</v>
      </c>
      <c r="I14318">
        <v>378</v>
      </c>
      <c r="J14318">
        <v>0</v>
      </c>
      <c r="K14318" t="str">
        <f t="shared" si="2560"/>
        <v>809</v>
      </c>
      <c r="L14318">
        <v>555.66</v>
      </c>
    </row>
    <row r="14319" spans="1:12" x14ac:dyDescent="0.25">
      <c r="A14319" t="str">
        <f t="shared" si="2555"/>
        <v>89301000</v>
      </c>
      <c r="B14319" t="str">
        <f t="shared" si="2558"/>
        <v>89895000</v>
      </c>
      <c r="C14319" t="str">
        <f t="shared" si="2559"/>
        <v>89895002</v>
      </c>
      <c r="D14319">
        <v>89301212</v>
      </c>
      <c r="E14319" t="str">
        <f>"6960223743"</f>
        <v>6960223743</v>
      </c>
      <c r="F14319" s="1">
        <v>45260</v>
      </c>
      <c r="G14319" t="str">
        <f>"89512"</f>
        <v>89512</v>
      </c>
      <c r="H14319">
        <v>1</v>
      </c>
      <c r="I14319">
        <v>283</v>
      </c>
      <c r="J14319">
        <v>0</v>
      </c>
      <c r="K14319" t="str">
        <f t="shared" si="2560"/>
        <v>809</v>
      </c>
      <c r="L14319">
        <v>416.01</v>
      </c>
    </row>
    <row r="14320" spans="1:12" x14ac:dyDescent="0.25">
      <c r="A14320" t="str">
        <f t="shared" si="2555"/>
        <v>89301000</v>
      </c>
      <c r="B14320" t="str">
        <f t="shared" si="2558"/>
        <v>89895000</v>
      </c>
      <c r="C14320" t="str">
        <f t="shared" si="2559"/>
        <v>89895002</v>
      </c>
      <c r="D14320">
        <v>89301212</v>
      </c>
      <c r="E14320" t="str">
        <f>"7054234462"</f>
        <v>7054234462</v>
      </c>
      <c r="F14320" s="1">
        <v>45251</v>
      </c>
      <c r="G14320" t="str">
        <f>"89512"</f>
        <v>89512</v>
      </c>
      <c r="H14320">
        <v>1</v>
      </c>
      <c r="I14320">
        <v>283</v>
      </c>
      <c r="J14320">
        <v>0</v>
      </c>
      <c r="K14320" t="str">
        <f t="shared" si="2560"/>
        <v>809</v>
      </c>
      <c r="L14320">
        <v>416.01</v>
      </c>
    </row>
    <row r="14321" spans="1:12" x14ac:dyDescent="0.25">
      <c r="A14321" t="str">
        <f t="shared" si="2555"/>
        <v>89301000</v>
      </c>
      <c r="B14321" t="str">
        <f t="shared" si="2558"/>
        <v>89895000</v>
      </c>
      <c r="C14321" t="str">
        <f t="shared" si="2559"/>
        <v>89895002</v>
      </c>
      <c r="D14321">
        <v>89301212</v>
      </c>
      <c r="E14321" t="str">
        <f>"7054234462"</f>
        <v>7054234462</v>
      </c>
      <c r="F14321" s="1">
        <v>45251</v>
      </c>
      <c r="G14321" t="str">
        <f>"89180"</f>
        <v>89180</v>
      </c>
      <c r="H14321">
        <v>1</v>
      </c>
      <c r="I14321">
        <v>381</v>
      </c>
      <c r="J14321">
        <v>0</v>
      </c>
      <c r="K14321" t="str">
        <f t="shared" si="2560"/>
        <v>809</v>
      </c>
      <c r="L14321">
        <v>560.07000000000005</v>
      </c>
    </row>
    <row r="14322" spans="1:12" x14ac:dyDescent="0.25">
      <c r="A14322" t="str">
        <f t="shared" si="2555"/>
        <v>89301000</v>
      </c>
      <c r="B14322" t="str">
        <f t="shared" si="2558"/>
        <v>89895000</v>
      </c>
      <c r="C14322" t="str">
        <f t="shared" si="2559"/>
        <v>89895002</v>
      </c>
      <c r="D14322">
        <v>89301292</v>
      </c>
      <c r="E14322" t="str">
        <f>"7357154497"</f>
        <v>7357154497</v>
      </c>
      <c r="F14322" s="1">
        <v>45260</v>
      </c>
      <c r="G14322" t="str">
        <f>"89512"</f>
        <v>89512</v>
      </c>
      <c r="H14322">
        <v>1</v>
      </c>
      <c r="I14322">
        <v>283</v>
      </c>
      <c r="J14322">
        <v>0</v>
      </c>
      <c r="K14322" t="str">
        <f t="shared" si="2560"/>
        <v>809</v>
      </c>
      <c r="L14322">
        <v>416.01</v>
      </c>
    </row>
    <row r="14323" spans="1:12" x14ac:dyDescent="0.25">
      <c r="A14323" t="str">
        <f t="shared" si="2555"/>
        <v>89301000</v>
      </c>
      <c r="B14323" t="str">
        <f t="shared" si="2558"/>
        <v>89895000</v>
      </c>
      <c r="C14323" t="str">
        <f t="shared" si="2559"/>
        <v>89895002</v>
      </c>
      <c r="D14323">
        <v>89301212</v>
      </c>
      <c r="E14323" t="str">
        <f>"7560225365"</f>
        <v>7560225365</v>
      </c>
      <c r="F14323" s="1">
        <v>45246</v>
      </c>
      <c r="G14323" t="str">
        <f>"89514"</f>
        <v>89514</v>
      </c>
      <c r="H14323">
        <v>1</v>
      </c>
      <c r="I14323">
        <v>378</v>
      </c>
      <c r="J14323">
        <v>0</v>
      </c>
      <c r="K14323" t="str">
        <f t="shared" si="2560"/>
        <v>809</v>
      </c>
      <c r="L14323">
        <v>555.66</v>
      </c>
    </row>
    <row r="14324" spans="1:12" x14ac:dyDescent="0.25">
      <c r="A14324" t="str">
        <f t="shared" si="2555"/>
        <v>89301000</v>
      </c>
      <c r="B14324" t="str">
        <f t="shared" si="2558"/>
        <v>89895000</v>
      </c>
      <c r="C14324" t="str">
        <f t="shared" si="2559"/>
        <v>89895002</v>
      </c>
      <c r="D14324">
        <v>89301212</v>
      </c>
      <c r="E14324" t="str">
        <f>"7560225365"</f>
        <v>7560225365</v>
      </c>
      <c r="F14324" s="1">
        <v>45246</v>
      </c>
      <c r="G14324" t="str">
        <f>"89513"</f>
        <v>89513</v>
      </c>
      <c r="H14324">
        <v>1</v>
      </c>
      <c r="I14324">
        <v>378</v>
      </c>
      <c r="J14324">
        <v>0</v>
      </c>
      <c r="K14324" t="str">
        <f t="shared" si="2560"/>
        <v>809</v>
      </c>
      <c r="L14324">
        <v>555.66</v>
      </c>
    </row>
    <row r="14325" spans="1:12" x14ac:dyDescent="0.25">
      <c r="A14325" t="str">
        <f t="shared" si="2555"/>
        <v>89301000</v>
      </c>
      <c r="B14325" t="str">
        <f t="shared" si="2558"/>
        <v>89895000</v>
      </c>
      <c r="C14325" t="str">
        <f t="shared" si="2559"/>
        <v>89895002</v>
      </c>
      <c r="D14325">
        <v>89301212</v>
      </c>
      <c r="E14325" t="str">
        <f>"7762125756"</f>
        <v>7762125756</v>
      </c>
      <c r="F14325" s="1">
        <v>45245</v>
      </c>
      <c r="G14325" t="str">
        <f>"89180"</f>
        <v>89180</v>
      </c>
      <c r="H14325">
        <v>2</v>
      </c>
      <c r="I14325">
        <v>762</v>
      </c>
      <c r="J14325">
        <v>0</v>
      </c>
      <c r="K14325" t="str">
        <f t="shared" si="2560"/>
        <v>809</v>
      </c>
      <c r="L14325">
        <v>1120.1400000000001</v>
      </c>
    </row>
    <row r="14326" spans="1:12" x14ac:dyDescent="0.25">
      <c r="A14326" t="str">
        <f t="shared" si="2555"/>
        <v>89301000</v>
      </c>
      <c r="B14326" t="str">
        <f t="shared" si="2558"/>
        <v>89895000</v>
      </c>
      <c r="C14326" t="str">
        <f t="shared" si="2559"/>
        <v>89895002</v>
      </c>
      <c r="D14326">
        <v>89301212</v>
      </c>
      <c r="E14326" t="str">
        <f>"7762125756"</f>
        <v>7762125756</v>
      </c>
      <c r="F14326" s="1">
        <v>45245</v>
      </c>
      <c r="G14326" t="str">
        <f>"89513"</f>
        <v>89513</v>
      </c>
      <c r="H14326">
        <v>1</v>
      </c>
      <c r="I14326">
        <v>378</v>
      </c>
      <c r="J14326">
        <v>0</v>
      </c>
      <c r="K14326" t="str">
        <f t="shared" si="2560"/>
        <v>809</v>
      </c>
      <c r="L14326">
        <v>555.66</v>
      </c>
    </row>
    <row r="14327" spans="1:12" x14ac:dyDescent="0.25">
      <c r="A14327" t="str">
        <f t="shared" si="2555"/>
        <v>89301000</v>
      </c>
      <c r="B14327" t="str">
        <f t="shared" si="2558"/>
        <v>89895000</v>
      </c>
      <c r="C14327" t="str">
        <f t="shared" si="2559"/>
        <v>89895002</v>
      </c>
      <c r="D14327">
        <v>89301212</v>
      </c>
      <c r="E14327" t="str">
        <f>"7762125756"</f>
        <v>7762125756</v>
      </c>
      <c r="F14327" s="1">
        <v>45245</v>
      </c>
      <c r="G14327" t="str">
        <f>"89514"</f>
        <v>89514</v>
      </c>
      <c r="H14327">
        <v>1</v>
      </c>
      <c r="I14327">
        <v>378</v>
      </c>
      <c r="J14327">
        <v>0</v>
      </c>
      <c r="K14327" t="str">
        <f t="shared" si="2560"/>
        <v>809</v>
      </c>
      <c r="L14327">
        <v>555.66</v>
      </c>
    </row>
    <row r="14328" spans="1:12" x14ac:dyDescent="0.25">
      <c r="A14328" t="str">
        <f t="shared" si="2555"/>
        <v>89301000</v>
      </c>
      <c r="B14328" t="str">
        <f t="shared" si="2558"/>
        <v>89895000</v>
      </c>
      <c r="C14328" t="str">
        <f t="shared" si="2559"/>
        <v>89895002</v>
      </c>
      <c r="D14328">
        <v>89301212</v>
      </c>
      <c r="E14328" t="str">
        <f>"7762125756"</f>
        <v>7762125756</v>
      </c>
      <c r="F14328" s="1">
        <v>45245</v>
      </c>
      <c r="G14328" t="str">
        <f>"89512"</f>
        <v>89512</v>
      </c>
      <c r="H14328">
        <v>1</v>
      </c>
      <c r="I14328">
        <v>283</v>
      </c>
      <c r="J14328">
        <v>0</v>
      </c>
      <c r="K14328" t="str">
        <f t="shared" si="2560"/>
        <v>809</v>
      </c>
      <c r="L14328">
        <v>416.01</v>
      </c>
    </row>
    <row r="14329" spans="1:12" x14ac:dyDescent="0.25">
      <c r="A14329" t="str">
        <f t="shared" si="2555"/>
        <v>89301000</v>
      </c>
      <c r="B14329" t="str">
        <f t="shared" si="2558"/>
        <v>89895000</v>
      </c>
      <c r="C14329" t="str">
        <f t="shared" si="2559"/>
        <v>89895002</v>
      </c>
      <c r="D14329">
        <v>89301292</v>
      </c>
      <c r="E14329" t="str">
        <f>"7956125793"</f>
        <v>7956125793</v>
      </c>
      <c r="F14329" s="1">
        <v>45252</v>
      </c>
      <c r="G14329" t="str">
        <f>"89512"</f>
        <v>89512</v>
      </c>
      <c r="H14329">
        <v>1</v>
      </c>
      <c r="I14329">
        <v>283</v>
      </c>
      <c r="J14329">
        <v>0</v>
      </c>
      <c r="K14329" t="str">
        <f t="shared" si="2560"/>
        <v>809</v>
      </c>
      <c r="L14329">
        <v>416.01</v>
      </c>
    </row>
    <row r="14330" spans="1:12" x14ac:dyDescent="0.25">
      <c r="A14330" t="str">
        <f t="shared" si="2555"/>
        <v>89301000</v>
      </c>
      <c r="B14330" t="str">
        <f t="shared" si="2558"/>
        <v>89895000</v>
      </c>
      <c r="C14330" t="str">
        <f t="shared" si="2559"/>
        <v>89895002</v>
      </c>
      <c r="D14330">
        <v>89301212</v>
      </c>
      <c r="E14330" t="str">
        <f>"9061155730"</f>
        <v>9061155730</v>
      </c>
      <c r="F14330" s="1">
        <v>45243</v>
      </c>
      <c r="G14330" t="str">
        <f>"89512"</f>
        <v>89512</v>
      </c>
      <c r="H14330">
        <v>1</v>
      </c>
      <c r="I14330">
        <v>283</v>
      </c>
      <c r="J14330">
        <v>0</v>
      </c>
      <c r="K14330" t="str">
        <f t="shared" si="2560"/>
        <v>809</v>
      </c>
      <c r="L14330">
        <v>416.01</v>
      </c>
    </row>
    <row r="14331" spans="1:12" x14ac:dyDescent="0.25">
      <c r="A14331" t="str">
        <f t="shared" si="2555"/>
        <v>89301000</v>
      </c>
      <c r="B14331" t="str">
        <f t="shared" si="2558"/>
        <v>89895000</v>
      </c>
      <c r="C14331" t="str">
        <f t="shared" si="2559"/>
        <v>89895002</v>
      </c>
      <c r="D14331">
        <v>89301212</v>
      </c>
      <c r="E14331" t="str">
        <f>"9061155730"</f>
        <v>9061155730</v>
      </c>
      <c r="F14331" s="1">
        <v>45243</v>
      </c>
      <c r="G14331" t="str">
        <f>"09511"</f>
        <v>09511</v>
      </c>
      <c r="H14331">
        <v>1</v>
      </c>
      <c r="I14331">
        <v>45</v>
      </c>
      <c r="J14331">
        <v>0</v>
      </c>
      <c r="K14331" t="str">
        <f t="shared" si="2560"/>
        <v>809</v>
      </c>
      <c r="L14331">
        <v>66.150000000000006</v>
      </c>
    </row>
    <row r="14332" spans="1:12" x14ac:dyDescent="0.25">
      <c r="A14332" t="str">
        <f t="shared" si="2555"/>
        <v>89301000</v>
      </c>
      <c r="B14332" t="str">
        <f t="shared" si="2558"/>
        <v>89895000</v>
      </c>
      <c r="C14332" t="str">
        <f t="shared" si="2559"/>
        <v>89895002</v>
      </c>
      <c r="D14332">
        <v>89301212</v>
      </c>
      <c r="E14332" t="str">
        <f>"9061155730"</f>
        <v>9061155730</v>
      </c>
      <c r="F14332" s="1">
        <v>45243</v>
      </c>
      <c r="G14332" t="str">
        <f>"89513"</f>
        <v>89513</v>
      </c>
      <c r="H14332">
        <v>1</v>
      </c>
      <c r="I14332">
        <v>378</v>
      </c>
      <c r="J14332">
        <v>0</v>
      </c>
      <c r="K14332" t="str">
        <f t="shared" si="2560"/>
        <v>809</v>
      </c>
      <c r="L14332">
        <v>555.66</v>
      </c>
    </row>
    <row r="14333" spans="1:12" x14ac:dyDescent="0.25">
      <c r="A14333" t="str">
        <f t="shared" si="2555"/>
        <v>89301000</v>
      </c>
      <c r="B14333" t="str">
        <f t="shared" si="2558"/>
        <v>89895000</v>
      </c>
      <c r="C14333" t="str">
        <f t="shared" si="2559"/>
        <v>89895002</v>
      </c>
      <c r="D14333">
        <v>89301212</v>
      </c>
      <c r="E14333" t="str">
        <f>"9061155730"</f>
        <v>9061155730</v>
      </c>
      <c r="F14333" s="1">
        <v>45243</v>
      </c>
      <c r="G14333" t="str">
        <f>"89514"</f>
        <v>89514</v>
      </c>
      <c r="H14333">
        <v>1</v>
      </c>
      <c r="I14333">
        <v>378</v>
      </c>
      <c r="J14333">
        <v>0</v>
      </c>
      <c r="K14333" t="str">
        <f t="shared" si="2560"/>
        <v>809</v>
      </c>
      <c r="L14333">
        <v>555.66</v>
      </c>
    </row>
    <row r="14334" spans="1:12" x14ac:dyDescent="0.25">
      <c r="A14334" t="str">
        <f t="shared" si="2555"/>
        <v>89301000</v>
      </c>
      <c r="B14334" t="str">
        <f t="shared" ref="B14334:B14365" si="2561">"10510000"</f>
        <v>10510000</v>
      </c>
      <c r="C14334" t="str">
        <f t="shared" ref="C14334:C14365" si="2562">"10510001"</f>
        <v>10510001</v>
      </c>
      <c r="D14334">
        <v>89301202</v>
      </c>
      <c r="E14334" t="str">
        <f>"6907105359"</f>
        <v>6907105359</v>
      </c>
      <c r="F14334" s="1">
        <v>45236</v>
      </c>
      <c r="G14334" t="str">
        <f>"82113"</f>
        <v>82113</v>
      </c>
      <c r="H14334">
        <v>1</v>
      </c>
      <c r="I14334">
        <v>363</v>
      </c>
      <c r="J14334">
        <v>0</v>
      </c>
      <c r="K14334" t="str">
        <f t="shared" ref="K14334:K14365" si="2563">"802"</f>
        <v>802</v>
      </c>
      <c r="L14334">
        <v>352.11</v>
      </c>
    </row>
    <row r="14335" spans="1:12" x14ac:dyDescent="0.25">
      <c r="A14335" t="str">
        <f t="shared" si="2555"/>
        <v>89301000</v>
      </c>
      <c r="B14335" t="str">
        <f t="shared" si="2561"/>
        <v>10510000</v>
      </c>
      <c r="C14335" t="str">
        <f t="shared" si="2562"/>
        <v>10510001</v>
      </c>
      <c r="D14335">
        <v>89301202</v>
      </c>
      <c r="E14335" t="str">
        <f>"6907105359"</f>
        <v>6907105359</v>
      </c>
      <c r="F14335" s="1">
        <v>45237</v>
      </c>
      <c r="G14335" t="str">
        <f>"82079"</f>
        <v>82079</v>
      </c>
      <c r="H14335">
        <v>1</v>
      </c>
      <c r="I14335">
        <v>333</v>
      </c>
      <c r="J14335">
        <v>0</v>
      </c>
      <c r="K14335" t="str">
        <f t="shared" si="2563"/>
        <v>802</v>
      </c>
      <c r="L14335">
        <v>323.01</v>
      </c>
    </row>
    <row r="14336" spans="1:12" x14ac:dyDescent="0.25">
      <c r="A14336" t="str">
        <f t="shared" si="2555"/>
        <v>89301000</v>
      </c>
      <c r="B14336" t="str">
        <f t="shared" si="2561"/>
        <v>10510000</v>
      </c>
      <c r="C14336" t="str">
        <f t="shared" si="2562"/>
        <v>10510001</v>
      </c>
      <c r="D14336">
        <v>89301202</v>
      </c>
      <c r="E14336" t="str">
        <f>"6907105359"</f>
        <v>6907105359</v>
      </c>
      <c r="F14336" s="1">
        <v>45236</v>
      </c>
      <c r="G14336" t="str">
        <f>"82111"</f>
        <v>82111</v>
      </c>
      <c r="H14336">
        <v>1</v>
      </c>
      <c r="I14336">
        <v>37</v>
      </c>
      <c r="J14336">
        <v>0</v>
      </c>
      <c r="K14336" t="str">
        <f t="shared" si="2563"/>
        <v>802</v>
      </c>
      <c r="L14336">
        <v>35.89</v>
      </c>
    </row>
    <row r="14337" spans="1:12" x14ac:dyDescent="0.25">
      <c r="A14337" t="str">
        <f t="shared" si="2555"/>
        <v>89301000</v>
      </c>
      <c r="B14337" t="str">
        <f t="shared" si="2561"/>
        <v>10510000</v>
      </c>
      <c r="C14337" t="str">
        <f t="shared" si="2562"/>
        <v>10510001</v>
      </c>
      <c r="D14337">
        <v>89301202</v>
      </c>
      <c r="E14337" t="str">
        <f>"6907105359"</f>
        <v>6907105359</v>
      </c>
      <c r="F14337" s="1">
        <v>45236</v>
      </c>
      <c r="G14337" t="str">
        <f>"82145"</f>
        <v>82145</v>
      </c>
      <c r="H14337">
        <v>6</v>
      </c>
      <c r="I14337">
        <v>354</v>
      </c>
      <c r="J14337">
        <v>0</v>
      </c>
      <c r="K14337" t="str">
        <f t="shared" si="2563"/>
        <v>802</v>
      </c>
      <c r="L14337">
        <v>343.38</v>
      </c>
    </row>
    <row r="14338" spans="1:12" x14ac:dyDescent="0.25">
      <c r="A14338" t="str">
        <f t="shared" ref="A14338:A14401" si="2564">"89301000"</f>
        <v>89301000</v>
      </c>
      <c r="B14338" t="str">
        <f t="shared" si="2561"/>
        <v>10510000</v>
      </c>
      <c r="C14338" t="str">
        <f t="shared" si="2562"/>
        <v>10510001</v>
      </c>
      <c r="D14338">
        <v>89301202</v>
      </c>
      <c r="E14338" t="str">
        <f t="shared" ref="E14338:E14343" si="2565">"7405264460"</f>
        <v>7405264460</v>
      </c>
      <c r="F14338" s="1">
        <v>45250</v>
      </c>
      <c r="G14338" t="str">
        <f>"82111"</f>
        <v>82111</v>
      </c>
      <c r="H14338">
        <v>1</v>
      </c>
      <c r="I14338">
        <v>37</v>
      </c>
      <c r="J14338">
        <v>0</v>
      </c>
      <c r="K14338" t="str">
        <f t="shared" si="2563"/>
        <v>802</v>
      </c>
      <c r="L14338">
        <v>35.89</v>
      </c>
    </row>
    <row r="14339" spans="1:12" x14ac:dyDescent="0.25">
      <c r="A14339" t="str">
        <f t="shared" si="2564"/>
        <v>89301000</v>
      </c>
      <c r="B14339" t="str">
        <f t="shared" si="2561"/>
        <v>10510000</v>
      </c>
      <c r="C14339" t="str">
        <f t="shared" si="2562"/>
        <v>10510001</v>
      </c>
      <c r="D14339">
        <v>89301202</v>
      </c>
      <c r="E14339" t="str">
        <f t="shared" si="2565"/>
        <v>7405264460</v>
      </c>
      <c r="F14339" s="1">
        <v>45253</v>
      </c>
      <c r="G14339" t="str">
        <f>"82079"</f>
        <v>82079</v>
      </c>
      <c r="H14339">
        <v>1</v>
      </c>
      <c r="I14339">
        <v>333</v>
      </c>
      <c r="J14339">
        <v>0</v>
      </c>
      <c r="K14339" t="str">
        <f t="shared" si="2563"/>
        <v>802</v>
      </c>
      <c r="L14339">
        <v>323.01</v>
      </c>
    </row>
    <row r="14340" spans="1:12" x14ac:dyDescent="0.25">
      <c r="A14340" t="str">
        <f t="shared" si="2564"/>
        <v>89301000</v>
      </c>
      <c r="B14340" t="str">
        <f t="shared" si="2561"/>
        <v>10510000</v>
      </c>
      <c r="C14340" t="str">
        <f t="shared" si="2562"/>
        <v>10510001</v>
      </c>
      <c r="D14340">
        <v>89301202</v>
      </c>
      <c r="E14340" t="str">
        <f t="shared" si="2565"/>
        <v>7405264460</v>
      </c>
      <c r="F14340" s="1">
        <v>45250</v>
      </c>
      <c r="G14340" t="str">
        <f>"82145"</f>
        <v>82145</v>
      </c>
      <c r="H14340">
        <v>6</v>
      </c>
      <c r="I14340">
        <v>354</v>
      </c>
      <c r="J14340">
        <v>0</v>
      </c>
      <c r="K14340" t="str">
        <f t="shared" si="2563"/>
        <v>802</v>
      </c>
      <c r="L14340">
        <v>343.38</v>
      </c>
    </row>
    <row r="14341" spans="1:12" x14ac:dyDescent="0.25">
      <c r="A14341" t="str">
        <f t="shared" si="2564"/>
        <v>89301000</v>
      </c>
      <c r="B14341" t="str">
        <f t="shared" si="2561"/>
        <v>10510000</v>
      </c>
      <c r="C14341" t="str">
        <f t="shared" si="2562"/>
        <v>10510001</v>
      </c>
      <c r="D14341">
        <v>89301202</v>
      </c>
      <c r="E14341" t="str">
        <f t="shared" si="2565"/>
        <v>7405264460</v>
      </c>
      <c r="F14341" s="1">
        <v>45251</v>
      </c>
      <c r="G14341" t="str">
        <f>"82113"</f>
        <v>82113</v>
      </c>
      <c r="H14341">
        <v>1</v>
      </c>
      <c r="I14341">
        <v>363</v>
      </c>
      <c r="J14341">
        <v>0</v>
      </c>
      <c r="K14341" t="str">
        <f t="shared" si="2563"/>
        <v>802</v>
      </c>
      <c r="L14341">
        <v>352.11</v>
      </c>
    </row>
    <row r="14342" spans="1:12" x14ac:dyDescent="0.25">
      <c r="A14342" t="str">
        <f t="shared" si="2564"/>
        <v>89301000</v>
      </c>
      <c r="B14342" t="str">
        <f t="shared" si="2561"/>
        <v>10510000</v>
      </c>
      <c r="C14342" t="str">
        <f t="shared" si="2562"/>
        <v>10510001</v>
      </c>
      <c r="D14342">
        <v>89301202</v>
      </c>
      <c r="E14342" t="str">
        <f t="shared" si="2565"/>
        <v>7405264460</v>
      </c>
      <c r="F14342" s="1">
        <v>45250</v>
      </c>
      <c r="G14342" t="str">
        <f>"82113"</f>
        <v>82113</v>
      </c>
      <c r="H14342">
        <v>1</v>
      </c>
      <c r="I14342">
        <v>363</v>
      </c>
      <c r="J14342">
        <v>0</v>
      </c>
      <c r="K14342" t="str">
        <f t="shared" si="2563"/>
        <v>802</v>
      </c>
      <c r="L14342">
        <v>352.11</v>
      </c>
    </row>
    <row r="14343" spans="1:12" x14ac:dyDescent="0.25">
      <c r="A14343" t="str">
        <f t="shared" si="2564"/>
        <v>89301000</v>
      </c>
      <c r="B14343" t="str">
        <f t="shared" si="2561"/>
        <v>10510000</v>
      </c>
      <c r="C14343" t="str">
        <f t="shared" si="2562"/>
        <v>10510001</v>
      </c>
      <c r="D14343">
        <v>89301202</v>
      </c>
      <c r="E14343" t="str">
        <f t="shared" si="2565"/>
        <v>7405264460</v>
      </c>
      <c r="F14343" s="1">
        <v>45252</v>
      </c>
      <c r="G14343" t="str">
        <f>"82075"</f>
        <v>82075</v>
      </c>
      <c r="H14343">
        <v>1</v>
      </c>
      <c r="I14343">
        <v>488</v>
      </c>
      <c r="J14343">
        <v>0</v>
      </c>
      <c r="K14343" t="str">
        <f t="shared" si="2563"/>
        <v>802</v>
      </c>
      <c r="L14343">
        <v>473.36</v>
      </c>
    </row>
    <row r="14344" spans="1:12" x14ac:dyDescent="0.25">
      <c r="A14344" t="str">
        <f t="shared" si="2564"/>
        <v>89301000</v>
      </c>
      <c r="B14344" t="str">
        <f t="shared" si="2561"/>
        <v>10510000</v>
      </c>
      <c r="C14344" t="str">
        <f t="shared" si="2562"/>
        <v>10510001</v>
      </c>
      <c r="D14344">
        <v>89301202</v>
      </c>
      <c r="E14344" t="str">
        <f>"2254121870"</f>
        <v>2254121870</v>
      </c>
      <c r="F14344" s="1">
        <v>45251</v>
      </c>
      <c r="G14344" t="str">
        <f>"82145"</f>
        <v>82145</v>
      </c>
      <c r="H14344">
        <v>1</v>
      </c>
      <c r="I14344">
        <v>59</v>
      </c>
      <c r="J14344">
        <v>0</v>
      </c>
      <c r="K14344" t="str">
        <f t="shared" si="2563"/>
        <v>802</v>
      </c>
      <c r="L14344">
        <v>57.23</v>
      </c>
    </row>
    <row r="14345" spans="1:12" x14ac:dyDescent="0.25">
      <c r="A14345" t="str">
        <f t="shared" si="2564"/>
        <v>89301000</v>
      </c>
      <c r="B14345" t="str">
        <f t="shared" si="2561"/>
        <v>10510000</v>
      </c>
      <c r="C14345" t="str">
        <f t="shared" si="2562"/>
        <v>10510001</v>
      </c>
      <c r="D14345">
        <v>89301202</v>
      </c>
      <c r="E14345" t="str">
        <f>"2254121870"</f>
        <v>2254121870</v>
      </c>
      <c r="F14345" s="1">
        <v>45250</v>
      </c>
      <c r="G14345" t="str">
        <f>"82111"</f>
        <v>82111</v>
      </c>
      <c r="H14345">
        <v>1</v>
      </c>
      <c r="I14345">
        <v>37</v>
      </c>
      <c r="J14345">
        <v>0</v>
      </c>
      <c r="K14345" t="str">
        <f t="shared" si="2563"/>
        <v>802</v>
      </c>
      <c r="L14345">
        <v>35.89</v>
      </c>
    </row>
    <row r="14346" spans="1:12" x14ac:dyDescent="0.25">
      <c r="A14346" t="str">
        <f t="shared" si="2564"/>
        <v>89301000</v>
      </c>
      <c r="B14346" t="str">
        <f t="shared" si="2561"/>
        <v>10510000</v>
      </c>
      <c r="C14346" t="str">
        <f t="shared" si="2562"/>
        <v>10510001</v>
      </c>
      <c r="D14346">
        <v>89301202</v>
      </c>
      <c r="E14346" t="str">
        <f>"2254121870"</f>
        <v>2254121870</v>
      </c>
      <c r="F14346" s="1">
        <v>45246</v>
      </c>
      <c r="G14346" t="str">
        <f>"97111"</f>
        <v>97111</v>
      </c>
      <c r="H14346">
        <v>1</v>
      </c>
      <c r="I14346">
        <v>19</v>
      </c>
      <c r="J14346">
        <v>0</v>
      </c>
      <c r="K14346" t="str">
        <f t="shared" si="2563"/>
        <v>802</v>
      </c>
      <c r="L14346">
        <v>23.94</v>
      </c>
    </row>
    <row r="14347" spans="1:12" x14ac:dyDescent="0.25">
      <c r="A14347" t="str">
        <f t="shared" si="2564"/>
        <v>89301000</v>
      </c>
      <c r="B14347" t="str">
        <f t="shared" si="2561"/>
        <v>10510000</v>
      </c>
      <c r="C14347" t="str">
        <f t="shared" si="2562"/>
        <v>10510001</v>
      </c>
      <c r="D14347">
        <v>89301202</v>
      </c>
      <c r="E14347" t="str">
        <f>"2254121870"</f>
        <v>2254121870</v>
      </c>
      <c r="F14347" s="1">
        <v>45250</v>
      </c>
      <c r="G14347" t="str">
        <f>"82113"</f>
        <v>82113</v>
      </c>
      <c r="H14347">
        <v>1</v>
      </c>
      <c r="I14347">
        <v>363</v>
      </c>
      <c r="J14347">
        <v>0</v>
      </c>
      <c r="K14347" t="str">
        <f t="shared" si="2563"/>
        <v>802</v>
      </c>
      <c r="L14347">
        <v>352.11</v>
      </c>
    </row>
    <row r="14348" spans="1:12" x14ac:dyDescent="0.25">
      <c r="A14348" t="str">
        <f t="shared" si="2564"/>
        <v>89301000</v>
      </c>
      <c r="B14348" t="str">
        <f t="shared" si="2561"/>
        <v>10510000</v>
      </c>
      <c r="C14348" t="str">
        <f t="shared" si="2562"/>
        <v>10510001</v>
      </c>
      <c r="D14348">
        <v>89301202</v>
      </c>
      <c r="E14348" t="str">
        <f>"6907105359"</f>
        <v>6907105359</v>
      </c>
      <c r="F14348" s="1">
        <v>45257</v>
      </c>
      <c r="G14348" t="str">
        <f>"82113"</f>
        <v>82113</v>
      </c>
      <c r="H14348">
        <v>1</v>
      </c>
      <c r="I14348">
        <v>363</v>
      </c>
      <c r="J14348">
        <v>0</v>
      </c>
      <c r="K14348" t="str">
        <f t="shared" si="2563"/>
        <v>802</v>
      </c>
      <c r="L14348">
        <v>352.11</v>
      </c>
    </row>
    <row r="14349" spans="1:12" x14ac:dyDescent="0.25">
      <c r="A14349" t="str">
        <f t="shared" si="2564"/>
        <v>89301000</v>
      </c>
      <c r="B14349" t="str">
        <f t="shared" si="2561"/>
        <v>10510000</v>
      </c>
      <c r="C14349" t="str">
        <f t="shared" si="2562"/>
        <v>10510001</v>
      </c>
      <c r="D14349">
        <v>89301202</v>
      </c>
      <c r="E14349" t="str">
        <f>"6907105359"</f>
        <v>6907105359</v>
      </c>
      <c r="F14349" s="1">
        <v>45257</v>
      </c>
      <c r="G14349" t="str">
        <f>"82145"</f>
        <v>82145</v>
      </c>
      <c r="H14349">
        <v>1</v>
      </c>
      <c r="I14349">
        <v>59</v>
      </c>
      <c r="J14349">
        <v>0</v>
      </c>
      <c r="K14349" t="str">
        <f t="shared" si="2563"/>
        <v>802</v>
      </c>
      <c r="L14349">
        <v>57.23</v>
      </c>
    </row>
    <row r="14350" spans="1:12" x14ac:dyDescent="0.25">
      <c r="A14350" t="str">
        <f t="shared" si="2564"/>
        <v>89301000</v>
      </c>
      <c r="B14350" t="str">
        <f t="shared" si="2561"/>
        <v>10510000</v>
      </c>
      <c r="C14350" t="str">
        <f t="shared" si="2562"/>
        <v>10510001</v>
      </c>
      <c r="D14350">
        <v>89301202</v>
      </c>
      <c r="E14350" t="str">
        <f>"6907105359"</f>
        <v>6907105359</v>
      </c>
      <c r="F14350" s="1">
        <v>45257</v>
      </c>
      <c r="G14350" t="str">
        <f>"82111"</f>
        <v>82111</v>
      </c>
      <c r="H14350">
        <v>1</v>
      </c>
      <c r="I14350">
        <v>37</v>
      </c>
      <c r="J14350">
        <v>0</v>
      </c>
      <c r="K14350" t="str">
        <f t="shared" si="2563"/>
        <v>802</v>
      </c>
      <c r="L14350">
        <v>35.89</v>
      </c>
    </row>
    <row r="14351" spans="1:12" x14ac:dyDescent="0.25">
      <c r="A14351" t="str">
        <f t="shared" si="2564"/>
        <v>89301000</v>
      </c>
      <c r="B14351" t="str">
        <f t="shared" si="2561"/>
        <v>10510000</v>
      </c>
      <c r="C14351" t="str">
        <f t="shared" si="2562"/>
        <v>10510001</v>
      </c>
      <c r="D14351">
        <v>89301202</v>
      </c>
      <c r="E14351" t="str">
        <f>"6907105359"</f>
        <v>6907105359</v>
      </c>
      <c r="F14351" s="1">
        <v>45257</v>
      </c>
      <c r="G14351" t="str">
        <f>"82079"</f>
        <v>82079</v>
      </c>
      <c r="H14351">
        <v>1</v>
      </c>
      <c r="I14351">
        <v>333</v>
      </c>
      <c r="J14351">
        <v>0</v>
      </c>
      <c r="K14351" t="str">
        <f t="shared" si="2563"/>
        <v>802</v>
      </c>
      <c r="L14351">
        <v>323.01</v>
      </c>
    </row>
    <row r="14352" spans="1:12" x14ac:dyDescent="0.25">
      <c r="A14352" t="str">
        <f t="shared" si="2564"/>
        <v>89301000</v>
      </c>
      <c r="B14352" t="str">
        <f t="shared" si="2561"/>
        <v>10510000</v>
      </c>
      <c r="C14352" t="str">
        <f t="shared" si="2562"/>
        <v>10510001</v>
      </c>
      <c r="D14352">
        <v>89301202</v>
      </c>
      <c r="E14352" t="str">
        <f>"7106244618"</f>
        <v>7106244618</v>
      </c>
      <c r="F14352" s="1">
        <v>45257</v>
      </c>
      <c r="G14352" t="str">
        <f>"82079"</f>
        <v>82079</v>
      </c>
      <c r="H14352">
        <v>1</v>
      </c>
      <c r="I14352">
        <v>333</v>
      </c>
      <c r="J14352">
        <v>0</v>
      </c>
      <c r="K14352" t="str">
        <f t="shared" si="2563"/>
        <v>802</v>
      </c>
      <c r="L14352">
        <v>323.01</v>
      </c>
    </row>
    <row r="14353" spans="1:12" x14ac:dyDescent="0.25">
      <c r="A14353" t="str">
        <f t="shared" si="2564"/>
        <v>89301000</v>
      </c>
      <c r="B14353" t="str">
        <f t="shared" si="2561"/>
        <v>10510000</v>
      </c>
      <c r="C14353" t="str">
        <f t="shared" si="2562"/>
        <v>10510001</v>
      </c>
      <c r="D14353">
        <v>89301202</v>
      </c>
      <c r="E14353" t="str">
        <f>"7106244618"</f>
        <v>7106244618</v>
      </c>
      <c r="F14353" s="1">
        <v>45257</v>
      </c>
      <c r="G14353" t="str">
        <f>"82111"</f>
        <v>82111</v>
      </c>
      <c r="H14353">
        <v>1</v>
      </c>
      <c r="I14353">
        <v>37</v>
      </c>
      <c r="J14353">
        <v>0</v>
      </c>
      <c r="K14353" t="str">
        <f t="shared" si="2563"/>
        <v>802</v>
      </c>
      <c r="L14353">
        <v>35.89</v>
      </c>
    </row>
    <row r="14354" spans="1:12" x14ac:dyDescent="0.25">
      <c r="A14354" t="str">
        <f t="shared" si="2564"/>
        <v>89301000</v>
      </c>
      <c r="B14354" t="str">
        <f t="shared" si="2561"/>
        <v>10510000</v>
      </c>
      <c r="C14354" t="str">
        <f t="shared" si="2562"/>
        <v>10510001</v>
      </c>
      <c r="D14354">
        <v>89301202</v>
      </c>
      <c r="E14354" t="str">
        <f>"7106244618"</f>
        <v>7106244618</v>
      </c>
      <c r="F14354" s="1">
        <v>45257</v>
      </c>
      <c r="G14354" t="str">
        <f>"82145"</f>
        <v>82145</v>
      </c>
      <c r="H14354">
        <v>1</v>
      </c>
      <c r="I14354">
        <v>59</v>
      </c>
      <c r="J14354">
        <v>0</v>
      </c>
      <c r="K14354" t="str">
        <f t="shared" si="2563"/>
        <v>802</v>
      </c>
      <c r="L14354">
        <v>57.23</v>
      </c>
    </row>
    <row r="14355" spans="1:12" x14ac:dyDescent="0.25">
      <c r="A14355" t="str">
        <f t="shared" si="2564"/>
        <v>89301000</v>
      </c>
      <c r="B14355" t="str">
        <f t="shared" si="2561"/>
        <v>10510000</v>
      </c>
      <c r="C14355" t="str">
        <f t="shared" si="2562"/>
        <v>10510001</v>
      </c>
      <c r="D14355">
        <v>89301202</v>
      </c>
      <c r="E14355" t="str">
        <f>"7106244618"</f>
        <v>7106244618</v>
      </c>
      <c r="F14355" s="1">
        <v>45257</v>
      </c>
      <c r="G14355" t="str">
        <f>"82113"</f>
        <v>82113</v>
      </c>
      <c r="H14355">
        <v>1</v>
      </c>
      <c r="I14355">
        <v>363</v>
      </c>
      <c r="J14355">
        <v>0</v>
      </c>
      <c r="K14355" t="str">
        <f t="shared" si="2563"/>
        <v>802</v>
      </c>
      <c r="L14355">
        <v>352.11</v>
      </c>
    </row>
    <row r="14356" spans="1:12" x14ac:dyDescent="0.25">
      <c r="A14356" t="str">
        <f t="shared" si="2564"/>
        <v>89301000</v>
      </c>
      <c r="B14356" t="str">
        <f t="shared" si="2561"/>
        <v>10510000</v>
      </c>
      <c r="C14356" t="str">
        <f t="shared" si="2562"/>
        <v>10510001</v>
      </c>
      <c r="D14356">
        <v>89301355</v>
      </c>
      <c r="E14356" t="str">
        <f>"8854206306"</f>
        <v>8854206306</v>
      </c>
      <c r="F14356" s="1">
        <v>45258</v>
      </c>
      <c r="G14356" t="str">
        <f>"82077"</f>
        <v>82077</v>
      </c>
      <c r="H14356">
        <v>1</v>
      </c>
      <c r="I14356">
        <v>351</v>
      </c>
      <c r="J14356">
        <v>0</v>
      </c>
      <c r="K14356" t="str">
        <f t="shared" si="2563"/>
        <v>802</v>
      </c>
      <c r="L14356">
        <v>340.47</v>
      </c>
    </row>
    <row r="14357" spans="1:12" x14ac:dyDescent="0.25">
      <c r="A14357" t="str">
        <f t="shared" si="2564"/>
        <v>89301000</v>
      </c>
      <c r="B14357" t="str">
        <f t="shared" si="2561"/>
        <v>10510000</v>
      </c>
      <c r="C14357" t="str">
        <f t="shared" si="2562"/>
        <v>10510001</v>
      </c>
      <c r="D14357">
        <v>89301355</v>
      </c>
      <c r="E14357" t="str">
        <f>"8854206306"</f>
        <v>8854206306</v>
      </c>
      <c r="F14357" s="1">
        <v>45257</v>
      </c>
      <c r="G14357" t="str">
        <f>"82077"</f>
        <v>82077</v>
      </c>
      <c r="H14357">
        <v>1</v>
      </c>
      <c r="I14357">
        <v>351</v>
      </c>
      <c r="J14357">
        <v>0</v>
      </c>
      <c r="K14357" t="str">
        <f t="shared" si="2563"/>
        <v>802</v>
      </c>
      <c r="L14357">
        <v>340.47</v>
      </c>
    </row>
    <row r="14358" spans="1:12" x14ac:dyDescent="0.25">
      <c r="A14358" t="str">
        <f t="shared" si="2564"/>
        <v>89301000</v>
      </c>
      <c r="B14358" t="str">
        <f t="shared" si="2561"/>
        <v>10510000</v>
      </c>
      <c r="C14358" t="str">
        <f t="shared" si="2562"/>
        <v>10510001</v>
      </c>
      <c r="D14358">
        <v>89301355</v>
      </c>
      <c r="E14358" t="str">
        <f>"8854206306"</f>
        <v>8854206306</v>
      </c>
      <c r="F14358" s="1">
        <v>45257</v>
      </c>
      <c r="G14358" t="str">
        <f>"82137"</f>
        <v>82137</v>
      </c>
      <c r="H14358">
        <v>1</v>
      </c>
      <c r="I14358">
        <v>1606</v>
      </c>
      <c r="J14358">
        <v>0</v>
      </c>
      <c r="K14358" t="str">
        <f t="shared" si="2563"/>
        <v>802</v>
      </c>
      <c r="L14358">
        <v>1557.82</v>
      </c>
    </row>
    <row r="14359" spans="1:12" x14ac:dyDescent="0.25">
      <c r="A14359" t="str">
        <f t="shared" si="2564"/>
        <v>89301000</v>
      </c>
      <c r="B14359" t="str">
        <f t="shared" si="2561"/>
        <v>10510000</v>
      </c>
      <c r="C14359" t="str">
        <f t="shared" si="2562"/>
        <v>10510001</v>
      </c>
      <c r="D14359">
        <v>89301355</v>
      </c>
      <c r="E14359" t="str">
        <f>"7509135755"</f>
        <v>7509135755</v>
      </c>
      <c r="F14359" s="1">
        <v>45257</v>
      </c>
      <c r="G14359" t="str">
        <f>"82137"</f>
        <v>82137</v>
      </c>
      <c r="H14359">
        <v>1</v>
      </c>
      <c r="I14359">
        <v>1606</v>
      </c>
      <c r="J14359">
        <v>0</v>
      </c>
      <c r="K14359" t="str">
        <f t="shared" si="2563"/>
        <v>802</v>
      </c>
      <c r="L14359">
        <v>1557.82</v>
      </c>
    </row>
    <row r="14360" spans="1:12" x14ac:dyDescent="0.25">
      <c r="A14360" t="str">
        <f t="shared" si="2564"/>
        <v>89301000</v>
      </c>
      <c r="B14360" t="str">
        <f t="shared" si="2561"/>
        <v>10510000</v>
      </c>
      <c r="C14360" t="str">
        <f t="shared" si="2562"/>
        <v>10510001</v>
      </c>
      <c r="D14360">
        <v>89301355</v>
      </c>
      <c r="E14360" t="str">
        <f>"7509135755"</f>
        <v>7509135755</v>
      </c>
      <c r="F14360" s="1">
        <v>45258</v>
      </c>
      <c r="G14360" t="str">
        <f>"82077"</f>
        <v>82077</v>
      </c>
      <c r="H14360">
        <v>1</v>
      </c>
      <c r="I14360">
        <v>351</v>
      </c>
      <c r="J14360">
        <v>0</v>
      </c>
      <c r="K14360" t="str">
        <f t="shared" si="2563"/>
        <v>802</v>
      </c>
      <c r="L14360">
        <v>340.47</v>
      </c>
    </row>
    <row r="14361" spans="1:12" x14ac:dyDescent="0.25">
      <c r="A14361" t="str">
        <f t="shared" si="2564"/>
        <v>89301000</v>
      </c>
      <c r="B14361" t="str">
        <f t="shared" si="2561"/>
        <v>10510000</v>
      </c>
      <c r="C14361" t="str">
        <f t="shared" si="2562"/>
        <v>10510001</v>
      </c>
      <c r="D14361">
        <v>89301355</v>
      </c>
      <c r="E14361" t="str">
        <f>"7509135755"</f>
        <v>7509135755</v>
      </c>
      <c r="F14361" s="1">
        <v>45257</v>
      </c>
      <c r="G14361" t="str">
        <f>"82077"</f>
        <v>82077</v>
      </c>
      <c r="H14361">
        <v>1</v>
      </c>
      <c r="I14361">
        <v>351</v>
      </c>
      <c r="J14361">
        <v>0</v>
      </c>
      <c r="K14361" t="str">
        <f t="shared" si="2563"/>
        <v>802</v>
      </c>
      <c r="L14361">
        <v>340.47</v>
      </c>
    </row>
    <row r="14362" spans="1:12" x14ac:dyDescent="0.25">
      <c r="A14362" t="str">
        <f t="shared" si="2564"/>
        <v>89301000</v>
      </c>
      <c r="B14362" t="str">
        <f t="shared" si="2561"/>
        <v>10510000</v>
      </c>
      <c r="C14362" t="str">
        <f t="shared" si="2562"/>
        <v>10510001</v>
      </c>
      <c r="D14362">
        <v>89301171</v>
      </c>
      <c r="E14362" t="str">
        <f>"435527452"</f>
        <v>435527452</v>
      </c>
      <c r="F14362" s="1">
        <v>45236</v>
      </c>
      <c r="G14362" t="str">
        <f>"82034"</f>
        <v>82034</v>
      </c>
      <c r="H14362">
        <v>1</v>
      </c>
      <c r="I14362">
        <v>354</v>
      </c>
      <c r="J14362">
        <v>0</v>
      </c>
      <c r="K14362" t="str">
        <f t="shared" si="2563"/>
        <v>802</v>
      </c>
      <c r="L14362">
        <v>343.38</v>
      </c>
    </row>
    <row r="14363" spans="1:12" x14ac:dyDescent="0.25">
      <c r="A14363" t="str">
        <f t="shared" si="2564"/>
        <v>89301000</v>
      </c>
      <c r="B14363" t="str">
        <f t="shared" si="2561"/>
        <v>10510000</v>
      </c>
      <c r="C14363" t="str">
        <f t="shared" si="2562"/>
        <v>10510001</v>
      </c>
      <c r="D14363">
        <v>89301171</v>
      </c>
      <c r="E14363" t="str">
        <f>"435527452"</f>
        <v>435527452</v>
      </c>
      <c r="F14363" s="1">
        <v>45236</v>
      </c>
      <c r="G14363" t="str">
        <f>"82041"</f>
        <v>82041</v>
      </c>
      <c r="H14363">
        <v>1</v>
      </c>
      <c r="I14363">
        <v>1096</v>
      </c>
      <c r="J14363">
        <v>0</v>
      </c>
      <c r="K14363" t="str">
        <f t="shared" si="2563"/>
        <v>802</v>
      </c>
      <c r="L14363">
        <v>1063.1199999999999</v>
      </c>
    </row>
    <row r="14364" spans="1:12" x14ac:dyDescent="0.25">
      <c r="A14364" t="str">
        <f t="shared" si="2564"/>
        <v>89301000</v>
      </c>
      <c r="B14364" t="str">
        <f t="shared" si="2561"/>
        <v>10510000</v>
      </c>
      <c r="C14364" t="str">
        <f t="shared" si="2562"/>
        <v>10510001</v>
      </c>
      <c r="D14364">
        <v>89301171</v>
      </c>
      <c r="E14364" t="str">
        <f>"435527452"</f>
        <v>435527452</v>
      </c>
      <c r="F14364" s="1">
        <v>45236</v>
      </c>
      <c r="G14364" t="str">
        <f>"82041"</f>
        <v>82041</v>
      </c>
      <c r="H14364">
        <v>1</v>
      </c>
      <c r="I14364">
        <v>1096</v>
      </c>
      <c r="J14364">
        <v>0</v>
      </c>
      <c r="K14364" t="str">
        <f t="shared" si="2563"/>
        <v>802</v>
      </c>
      <c r="L14364">
        <v>1063.1199999999999</v>
      </c>
    </row>
    <row r="14365" spans="1:12" x14ac:dyDescent="0.25">
      <c r="A14365" t="str">
        <f t="shared" si="2564"/>
        <v>89301000</v>
      </c>
      <c r="B14365" t="str">
        <f t="shared" si="2561"/>
        <v>10510000</v>
      </c>
      <c r="C14365" t="str">
        <f t="shared" si="2562"/>
        <v>10510001</v>
      </c>
      <c r="D14365">
        <v>89301171</v>
      </c>
      <c r="E14365" t="str">
        <f>"9307016191"</f>
        <v>9307016191</v>
      </c>
      <c r="F14365" s="1">
        <v>45244</v>
      </c>
      <c r="G14365" t="str">
        <f>"82034"</f>
        <v>82034</v>
      </c>
      <c r="H14365">
        <v>1</v>
      </c>
      <c r="I14365">
        <v>354</v>
      </c>
      <c r="J14365">
        <v>0</v>
      </c>
      <c r="K14365" t="str">
        <f t="shared" si="2563"/>
        <v>802</v>
      </c>
      <c r="L14365">
        <v>343.38</v>
      </c>
    </row>
    <row r="14366" spans="1:12" x14ac:dyDescent="0.25">
      <c r="A14366" t="str">
        <f t="shared" si="2564"/>
        <v>89301000</v>
      </c>
      <c r="B14366" t="str">
        <f t="shared" ref="B14366:B14388" si="2566">"10510000"</f>
        <v>10510000</v>
      </c>
      <c r="C14366" t="str">
        <f t="shared" ref="C14366:C14388" si="2567">"10510001"</f>
        <v>10510001</v>
      </c>
      <c r="D14366">
        <v>89301171</v>
      </c>
      <c r="E14366" t="str">
        <f>"9307016191"</f>
        <v>9307016191</v>
      </c>
      <c r="F14366" s="1">
        <v>45244</v>
      </c>
      <c r="G14366" t="str">
        <f>"82041"</f>
        <v>82041</v>
      </c>
      <c r="H14366">
        <v>1</v>
      </c>
      <c r="I14366">
        <v>1096</v>
      </c>
      <c r="J14366">
        <v>0</v>
      </c>
      <c r="K14366" t="str">
        <f t="shared" ref="K14366:K14388" si="2568">"802"</f>
        <v>802</v>
      </c>
      <c r="L14366">
        <v>1063.1199999999999</v>
      </c>
    </row>
    <row r="14367" spans="1:12" x14ac:dyDescent="0.25">
      <c r="A14367" t="str">
        <f t="shared" si="2564"/>
        <v>89301000</v>
      </c>
      <c r="B14367" t="str">
        <f t="shared" si="2566"/>
        <v>10510000</v>
      </c>
      <c r="C14367" t="str">
        <f t="shared" si="2567"/>
        <v>10510001</v>
      </c>
      <c r="D14367">
        <v>89301171</v>
      </c>
      <c r="E14367" t="str">
        <f>"9307016191"</f>
        <v>9307016191</v>
      </c>
      <c r="F14367" s="1">
        <v>45244</v>
      </c>
      <c r="G14367" t="str">
        <f>"82041"</f>
        <v>82041</v>
      </c>
      <c r="H14367">
        <v>1</v>
      </c>
      <c r="I14367">
        <v>1096</v>
      </c>
      <c r="J14367">
        <v>0</v>
      </c>
      <c r="K14367" t="str">
        <f t="shared" si="2568"/>
        <v>802</v>
      </c>
      <c r="L14367">
        <v>1063.1199999999999</v>
      </c>
    </row>
    <row r="14368" spans="1:12" x14ac:dyDescent="0.25">
      <c r="A14368" t="str">
        <f t="shared" si="2564"/>
        <v>89301000</v>
      </c>
      <c r="B14368" t="str">
        <f t="shared" si="2566"/>
        <v>10510000</v>
      </c>
      <c r="C14368" t="str">
        <f t="shared" si="2567"/>
        <v>10510001</v>
      </c>
      <c r="D14368">
        <v>89301171</v>
      </c>
      <c r="E14368" t="str">
        <f>"8151215325"</f>
        <v>8151215325</v>
      </c>
      <c r="F14368" s="1">
        <v>45257</v>
      </c>
      <c r="G14368" t="str">
        <f>"82034"</f>
        <v>82034</v>
      </c>
      <c r="H14368">
        <v>1</v>
      </c>
      <c r="I14368">
        <v>354</v>
      </c>
      <c r="J14368">
        <v>0</v>
      </c>
      <c r="K14368" t="str">
        <f t="shared" si="2568"/>
        <v>802</v>
      </c>
      <c r="L14368">
        <v>343.38</v>
      </c>
    </row>
    <row r="14369" spans="1:12" x14ac:dyDescent="0.25">
      <c r="A14369" t="str">
        <f t="shared" si="2564"/>
        <v>89301000</v>
      </c>
      <c r="B14369" t="str">
        <f t="shared" si="2566"/>
        <v>10510000</v>
      </c>
      <c r="C14369" t="str">
        <f t="shared" si="2567"/>
        <v>10510001</v>
      </c>
      <c r="D14369">
        <v>89301171</v>
      </c>
      <c r="E14369" t="str">
        <f>"8151215325"</f>
        <v>8151215325</v>
      </c>
      <c r="F14369" s="1">
        <v>45257</v>
      </c>
      <c r="G14369" t="str">
        <f>"82041"</f>
        <v>82041</v>
      </c>
      <c r="H14369">
        <v>1</v>
      </c>
      <c r="I14369">
        <v>1096</v>
      </c>
      <c r="J14369">
        <v>0</v>
      </c>
      <c r="K14369" t="str">
        <f t="shared" si="2568"/>
        <v>802</v>
      </c>
      <c r="L14369">
        <v>1063.1199999999999</v>
      </c>
    </row>
    <row r="14370" spans="1:12" x14ac:dyDescent="0.25">
      <c r="A14370" t="str">
        <f t="shared" si="2564"/>
        <v>89301000</v>
      </c>
      <c r="B14370" t="str">
        <f t="shared" si="2566"/>
        <v>10510000</v>
      </c>
      <c r="C14370" t="str">
        <f t="shared" si="2567"/>
        <v>10510001</v>
      </c>
      <c r="D14370">
        <v>89301171</v>
      </c>
      <c r="E14370" t="str">
        <f>"8151215325"</f>
        <v>8151215325</v>
      </c>
      <c r="F14370" s="1">
        <v>45257</v>
      </c>
      <c r="G14370" t="str">
        <f>"82041"</f>
        <v>82041</v>
      </c>
      <c r="H14370">
        <v>1</v>
      </c>
      <c r="I14370">
        <v>1096</v>
      </c>
      <c r="J14370">
        <v>0</v>
      </c>
      <c r="K14370" t="str">
        <f t="shared" si="2568"/>
        <v>802</v>
      </c>
      <c r="L14370">
        <v>1063.1199999999999</v>
      </c>
    </row>
    <row r="14371" spans="1:12" x14ac:dyDescent="0.25">
      <c r="A14371" t="str">
        <f t="shared" si="2564"/>
        <v>89301000</v>
      </c>
      <c r="B14371" t="str">
        <f t="shared" si="2566"/>
        <v>10510000</v>
      </c>
      <c r="C14371" t="str">
        <f t="shared" si="2567"/>
        <v>10510001</v>
      </c>
      <c r="D14371">
        <v>89301171</v>
      </c>
      <c r="E14371" t="str">
        <f>"6609130418"</f>
        <v>6609130418</v>
      </c>
      <c r="F14371" s="1">
        <v>45257</v>
      </c>
      <c r="G14371" t="str">
        <f>"82034"</f>
        <v>82034</v>
      </c>
      <c r="H14371">
        <v>1</v>
      </c>
      <c r="I14371">
        <v>354</v>
      </c>
      <c r="J14371">
        <v>0</v>
      </c>
      <c r="K14371" t="str">
        <f t="shared" si="2568"/>
        <v>802</v>
      </c>
      <c r="L14371">
        <v>343.38</v>
      </c>
    </row>
    <row r="14372" spans="1:12" x14ac:dyDescent="0.25">
      <c r="A14372" t="str">
        <f t="shared" si="2564"/>
        <v>89301000</v>
      </c>
      <c r="B14372" t="str">
        <f t="shared" si="2566"/>
        <v>10510000</v>
      </c>
      <c r="C14372" t="str">
        <f t="shared" si="2567"/>
        <v>10510001</v>
      </c>
      <c r="D14372">
        <v>89301171</v>
      </c>
      <c r="E14372" t="str">
        <f>"6609130418"</f>
        <v>6609130418</v>
      </c>
      <c r="F14372" s="1">
        <v>45257</v>
      </c>
      <c r="G14372" t="str">
        <f>"82041"</f>
        <v>82041</v>
      </c>
      <c r="H14372">
        <v>1</v>
      </c>
      <c r="I14372">
        <v>1096</v>
      </c>
      <c r="J14372">
        <v>0</v>
      </c>
      <c r="K14372" t="str">
        <f t="shared" si="2568"/>
        <v>802</v>
      </c>
      <c r="L14372">
        <v>1063.1199999999999</v>
      </c>
    </row>
    <row r="14373" spans="1:12" x14ac:dyDescent="0.25">
      <c r="A14373" t="str">
        <f t="shared" si="2564"/>
        <v>89301000</v>
      </c>
      <c r="B14373" t="str">
        <f t="shared" si="2566"/>
        <v>10510000</v>
      </c>
      <c r="C14373" t="str">
        <f t="shared" si="2567"/>
        <v>10510001</v>
      </c>
      <c r="D14373">
        <v>89301171</v>
      </c>
      <c r="E14373" t="str">
        <f>"6609130418"</f>
        <v>6609130418</v>
      </c>
      <c r="F14373" s="1">
        <v>45257</v>
      </c>
      <c r="G14373" t="str">
        <f>"82041"</f>
        <v>82041</v>
      </c>
      <c r="H14373">
        <v>1</v>
      </c>
      <c r="I14373">
        <v>1096</v>
      </c>
      <c r="J14373">
        <v>0</v>
      </c>
      <c r="K14373" t="str">
        <f t="shared" si="2568"/>
        <v>802</v>
      </c>
      <c r="L14373">
        <v>1063.1199999999999</v>
      </c>
    </row>
    <row r="14374" spans="1:12" x14ac:dyDescent="0.25">
      <c r="A14374" t="str">
        <f t="shared" si="2564"/>
        <v>89301000</v>
      </c>
      <c r="B14374" t="str">
        <f t="shared" si="2566"/>
        <v>10510000</v>
      </c>
      <c r="C14374" t="str">
        <f t="shared" si="2567"/>
        <v>10510001</v>
      </c>
      <c r="D14374">
        <v>89301171</v>
      </c>
      <c r="E14374" t="str">
        <f>"9904055711"</f>
        <v>9904055711</v>
      </c>
      <c r="F14374" s="1">
        <v>45257</v>
      </c>
      <c r="G14374" t="str">
        <f>"82034"</f>
        <v>82034</v>
      </c>
      <c r="H14374">
        <v>1</v>
      </c>
      <c r="I14374">
        <v>354</v>
      </c>
      <c r="J14374">
        <v>0</v>
      </c>
      <c r="K14374" t="str">
        <f t="shared" si="2568"/>
        <v>802</v>
      </c>
      <c r="L14374">
        <v>343.38</v>
      </c>
    </row>
    <row r="14375" spans="1:12" x14ac:dyDescent="0.25">
      <c r="A14375" t="str">
        <f t="shared" si="2564"/>
        <v>89301000</v>
      </c>
      <c r="B14375" t="str">
        <f t="shared" si="2566"/>
        <v>10510000</v>
      </c>
      <c r="C14375" t="str">
        <f t="shared" si="2567"/>
        <v>10510001</v>
      </c>
      <c r="D14375">
        <v>89301171</v>
      </c>
      <c r="E14375" t="str">
        <f>"9904055711"</f>
        <v>9904055711</v>
      </c>
      <c r="F14375" s="1">
        <v>45257</v>
      </c>
      <c r="G14375" t="str">
        <f>"82041"</f>
        <v>82041</v>
      </c>
      <c r="H14375">
        <v>1</v>
      </c>
      <c r="I14375">
        <v>1096</v>
      </c>
      <c r="J14375">
        <v>0</v>
      </c>
      <c r="K14375" t="str">
        <f t="shared" si="2568"/>
        <v>802</v>
      </c>
      <c r="L14375">
        <v>1063.1199999999999</v>
      </c>
    </row>
    <row r="14376" spans="1:12" x14ac:dyDescent="0.25">
      <c r="A14376" t="str">
        <f t="shared" si="2564"/>
        <v>89301000</v>
      </c>
      <c r="B14376" t="str">
        <f t="shared" si="2566"/>
        <v>10510000</v>
      </c>
      <c r="C14376" t="str">
        <f t="shared" si="2567"/>
        <v>10510001</v>
      </c>
      <c r="D14376">
        <v>89301171</v>
      </c>
      <c r="E14376" t="str">
        <f>"9904055711"</f>
        <v>9904055711</v>
      </c>
      <c r="F14376" s="1">
        <v>45257</v>
      </c>
      <c r="G14376" t="str">
        <f>"82041"</f>
        <v>82041</v>
      </c>
      <c r="H14376">
        <v>1</v>
      </c>
      <c r="I14376">
        <v>1096</v>
      </c>
      <c r="J14376">
        <v>0</v>
      </c>
      <c r="K14376" t="str">
        <f t="shared" si="2568"/>
        <v>802</v>
      </c>
      <c r="L14376">
        <v>1063.1199999999999</v>
      </c>
    </row>
    <row r="14377" spans="1:12" x14ac:dyDescent="0.25">
      <c r="A14377" t="str">
        <f t="shared" si="2564"/>
        <v>89301000</v>
      </c>
      <c r="B14377" t="str">
        <f t="shared" si="2566"/>
        <v>10510000</v>
      </c>
      <c r="C14377" t="str">
        <f t="shared" si="2567"/>
        <v>10510001</v>
      </c>
      <c r="D14377">
        <v>89301171</v>
      </c>
      <c r="E14377" t="str">
        <f>"6607162034"</f>
        <v>6607162034</v>
      </c>
      <c r="F14377" s="1">
        <v>45257</v>
      </c>
      <c r="G14377" t="str">
        <f>"82034"</f>
        <v>82034</v>
      </c>
      <c r="H14377">
        <v>1</v>
      </c>
      <c r="I14377">
        <v>354</v>
      </c>
      <c r="J14377">
        <v>0</v>
      </c>
      <c r="K14377" t="str">
        <f t="shared" si="2568"/>
        <v>802</v>
      </c>
      <c r="L14377">
        <v>343.38</v>
      </c>
    </row>
    <row r="14378" spans="1:12" x14ac:dyDescent="0.25">
      <c r="A14378" t="str">
        <f t="shared" si="2564"/>
        <v>89301000</v>
      </c>
      <c r="B14378" t="str">
        <f t="shared" si="2566"/>
        <v>10510000</v>
      </c>
      <c r="C14378" t="str">
        <f t="shared" si="2567"/>
        <v>10510001</v>
      </c>
      <c r="D14378">
        <v>89301171</v>
      </c>
      <c r="E14378" t="str">
        <f>"6607162034"</f>
        <v>6607162034</v>
      </c>
      <c r="F14378" s="1">
        <v>45257</v>
      </c>
      <c r="G14378" t="str">
        <f>"82041"</f>
        <v>82041</v>
      </c>
      <c r="H14378">
        <v>1</v>
      </c>
      <c r="I14378">
        <v>1096</v>
      </c>
      <c r="J14378">
        <v>0</v>
      </c>
      <c r="K14378" t="str">
        <f t="shared" si="2568"/>
        <v>802</v>
      </c>
      <c r="L14378">
        <v>1063.1199999999999</v>
      </c>
    </row>
    <row r="14379" spans="1:12" x14ac:dyDescent="0.25">
      <c r="A14379" t="str">
        <f t="shared" si="2564"/>
        <v>89301000</v>
      </c>
      <c r="B14379" t="str">
        <f t="shared" si="2566"/>
        <v>10510000</v>
      </c>
      <c r="C14379" t="str">
        <f t="shared" si="2567"/>
        <v>10510001</v>
      </c>
      <c r="D14379">
        <v>89301171</v>
      </c>
      <c r="E14379" t="str">
        <f>"6607162034"</f>
        <v>6607162034</v>
      </c>
      <c r="F14379" s="1">
        <v>45257</v>
      </c>
      <c r="G14379" t="str">
        <f>"82041"</f>
        <v>82041</v>
      </c>
      <c r="H14379">
        <v>1</v>
      </c>
      <c r="I14379">
        <v>1096</v>
      </c>
      <c r="J14379">
        <v>0</v>
      </c>
      <c r="K14379" t="str">
        <f t="shared" si="2568"/>
        <v>802</v>
      </c>
      <c r="L14379">
        <v>1063.1199999999999</v>
      </c>
    </row>
    <row r="14380" spans="1:12" x14ac:dyDescent="0.25">
      <c r="A14380" t="str">
        <f t="shared" si="2564"/>
        <v>89301000</v>
      </c>
      <c r="B14380" t="str">
        <f t="shared" si="2566"/>
        <v>10510000</v>
      </c>
      <c r="C14380" t="str">
        <f t="shared" si="2567"/>
        <v>10510001</v>
      </c>
      <c r="D14380">
        <v>89301171</v>
      </c>
      <c r="E14380" t="str">
        <f>"6809021010"</f>
        <v>6809021010</v>
      </c>
      <c r="F14380" s="1">
        <v>45257</v>
      </c>
      <c r="G14380" t="str">
        <f>"82034"</f>
        <v>82034</v>
      </c>
      <c r="H14380">
        <v>1</v>
      </c>
      <c r="I14380">
        <v>354</v>
      </c>
      <c r="J14380">
        <v>0</v>
      </c>
      <c r="K14380" t="str">
        <f t="shared" si="2568"/>
        <v>802</v>
      </c>
      <c r="L14380">
        <v>343.38</v>
      </c>
    </row>
    <row r="14381" spans="1:12" x14ac:dyDescent="0.25">
      <c r="A14381" t="str">
        <f t="shared" si="2564"/>
        <v>89301000</v>
      </c>
      <c r="B14381" t="str">
        <f t="shared" si="2566"/>
        <v>10510000</v>
      </c>
      <c r="C14381" t="str">
        <f t="shared" si="2567"/>
        <v>10510001</v>
      </c>
      <c r="D14381">
        <v>89301171</v>
      </c>
      <c r="E14381" t="str">
        <f>"6809021010"</f>
        <v>6809021010</v>
      </c>
      <c r="F14381" s="1">
        <v>45257</v>
      </c>
      <c r="G14381" t="str">
        <f>"82041"</f>
        <v>82041</v>
      </c>
      <c r="H14381">
        <v>1</v>
      </c>
      <c r="I14381">
        <v>1096</v>
      </c>
      <c r="J14381">
        <v>0</v>
      </c>
      <c r="K14381" t="str">
        <f t="shared" si="2568"/>
        <v>802</v>
      </c>
      <c r="L14381">
        <v>1063.1199999999999</v>
      </c>
    </row>
    <row r="14382" spans="1:12" x14ac:dyDescent="0.25">
      <c r="A14382" t="str">
        <f t="shared" si="2564"/>
        <v>89301000</v>
      </c>
      <c r="B14382" t="str">
        <f t="shared" si="2566"/>
        <v>10510000</v>
      </c>
      <c r="C14382" t="str">
        <f t="shared" si="2567"/>
        <v>10510001</v>
      </c>
      <c r="D14382">
        <v>89301171</v>
      </c>
      <c r="E14382" t="str">
        <f>"6809021010"</f>
        <v>6809021010</v>
      </c>
      <c r="F14382" s="1">
        <v>45257</v>
      </c>
      <c r="G14382" t="str">
        <f>"82041"</f>
        <v>82041</v>
      </c>
      <c r="H14382">
        <v>1</v>
      </c>
      <c r="I14382">
        <v>1096</v>
      </c>
      <c r="J14382">
        <v>0</v>
      </c>
      <c r="K14382" t="str">
        <f t="shared" si="2568"/>
        <v>802</v>
      </c>
      <c r="L14382">
        <v>1063.1199999999999</v>
      </c>
    </row>
    <row r="14383" spans="1:12" x14ac:dyDescent="0.25">
      <c r="A14383" t="str">
        <f t="shared" si="2564"/>
        <v>89301000</v>
      </c>
      <c r="B14383" t="str">
        <f t="shared" si="2566"/>
        <v>10510000</v>
      </c>
      <c r="C14383" t="str">
        <f t="shared" si="2567"/>
        <v>10510001</v>
      </c>
      <c r="D14383">
        <v>89301171</v>
      </c>
      <c r="E14383" t="str">
        <f>"8052085756"</f>
        <v>8052085756</v>
      </c>
      <c r="F14383" s="1">
        <v>45260</v>
      </c>
      <c r="G14383" t="str">
        <f>"82034"</f>
        <v>82034</v>
      </c>
      <c r="H14383">
        <v>1</v>
      </c>
      <c r="I14383">
        <v>354</v>
      </c>
      <c r="J14383">
        <v>0</v>
      </c>
      <c r="K14383" t="str">
        <f t="shared" si="2568"/>
        <v>802</v>
      </c>
      <c r="L14383">
        <v>343.38</v>
      </c>
    </row>
    <row r="14384" spans="1:12" x14ac:dyDescent="0.25">
      <c r="A14384" t="str">
        <f t="shared" si="2564"/>
        <v>89301000</v>
      </c>
      <c r="B14384" t="str">
        <f t="shared" si="2566"/>
        <v>10510000</v>
      </c>
      <c r="C14384" t="str">
        <f t="shared" si="2567"/>
        <v>10510001</v>
      </c>
      <c r="D14384">
        <v>89301171</v>
      </c>
      <c r="E14384" t="str">
        <f>"8052085756"</f>
        <v>8052085756</v>
      </c>
      <c r="F14384" s="1">
        <v>45260</v>
      </c>
      <c r="G14384" t="str">
        <f>"82041"</f>
        <v>82041</v>
      </c>
      <c r="H14384">
        <v>1</v>
      </c>
      <c r="I14384">
        <v>1096</v>
      </c>
      <c r="J14384">
        <v>0</v>
      </c>
      <c r="K14384" t="str">
        <f t="shared" si="2568"/>
        <v>802</v>
      </c>
      <c r="L14384">
        <v>1063.1199999999999</v>
      </c>
    </row>
    <row r="14385" spans="1:12" x14ac:dyDescent="0.25">
      <c r="A14385" t="str">
        <f t="shared" si="2564"/>
        <v>89301000</v>
      </c>
      <c r="B14385" t="str">
        <f t="shared" si="2566"/>
        <v>10510000</v>
      </c>
      <c r="C14385" t="str">
        <f t="shared" si="2567"/>
        <v>10510001</v>
      </c>
      <c r="D14385">
        <v>89301171</v>
      </c>
      <c r="E14385" t="str">
        <f>"8052085756"</f>
        <v>8052085756</v>
      </c>
      <c r="F14385" s="1">
        <v>45260</v>
      </c>
      <c r="G14385" t="str">
        <f>"82041"</f>
        <v>82041</v>
      </c>
      <c r="H14385">
        <v>1</v>
      </c>
      <c r="I14385">
        <v>1096</v>
      </c>
      <c r="J14385">
        <v>0</v>
      </c>
      <c r="K14385" t="str">
        <f t="shared" si="2568"/>
        <v>802</v>
      </c>
      <c r="L14385">
        <v>1063.1199999999999</v>
      </c>
    </row>
    <row r="14386" spans="1:12" x14ac:dyDescent="0.25">
      <c r="A14386" t="str">
        <f t="shared" si="2564"/>
        <v>89301000</v>
      </c>
      <c r="B14386" t="str">
        <f t="shared" si="2566"/>
        <v>10510000</v>
      </c>
      <c r="C14386" t="str">
        <f t="shared" si="2567"/>
        <v>10510001</v>
      </c>
      <c r="D14386">
        <v>89301171</v>
      </c>
      <c r="E14386" t="str">
        <f>"0252025730"</f>
        <v>0252025730</v>
      </c>
      <c r="F14386" s="1">
        <v>45260</v>
      </c>
      <c r="G14386" t="str">
        <f>"82034"</f>
        <v>82034</v>
      </c>
      <c r="H14386">
        <v>1</v>
      </c>
      <c r="I14386">
        <v>354</v>
      </c>
      <c r="J14386">
        <v>0</v>
      </c>
      <c r="K14386" t="str">
        <f t="shared" si="2568"/>
        <v>802</v>
      </c>
      <c r="L14386">
        <v>343.38</v>
      </c>
    </row>
    <row r="14387" spans="1:12" x14ac:dyDescent="0.25">
      <c r="A14387" t="str">
        <f t="shared" si="2564"/>
        <v>89301000</v>
      </c>
      <c r="B14387" t="str">
        <f t="shared" si="2566"/>
        <v>10510000</v>
      </c>
      <c r="C14387" t="str">
        <f t="shared" si="2567"/>
        <v>10510001</v>
      </c>
      <c r="D14387">
        <v>89301171</v>
      </c>
      <c r="E14387" t="str">
        <f>"0252025730"</f>
        <v>0252025730</v>
      </c>
      <c r="F14387" s="1">
        <v>45260</v>
      </c>
      <c r="G14387" t="str">
        <f>"82041"</f>
        <v>82041</v>
      </c>
      <c r="H14387">
        <v>1</v>
      </c>
      <c r="I14387">
        <v>1096</v>
      </c>
      <c r="J14387">
        <v>0</v>
      </c>
      <c r="K14387" t="str">
        <f t="shared" si="2568"/>
        <v>802</v>
      </c>
      <c r="L14387">
        <v>1063.1199999999999</v>
      </c>
    </row>
    <row r="14388" spans="1:12" x14ac:dyDescent="0.25">
      <c r="A14388" t="str">
        <f t="shared" si="2564"/>
        <v>89301000</v>
      </c>
      <c r="B14388" t="str">
        <f t="shared" si="2566"/>
        <v>10510000</v>
      </c>
      <c r="C14388" t="str">
        <f t="shared" si="2567"/>
        <v>10510001</v>
      </c>
      <c r="D14388">
        <v>89301171</v>
      </c>
      <c r="E14388" t="str">
        <f>"0252025730"</f>
        <v>0252025730</v>
      </c>
      <c r="F14388" s="1">
        <v>45260</v>
      </c>
      <c r="G14388" t="str">
        <f>"82041"</f>
        <v>82041</v>
      </c>
      <c r="H14388">
        <v>1</v>
      </c>
      <c r="I14388">
        <v>1096</v>
      </c>
      <c r="J14388">
        <v>0</v>
      </c>
      <c r="K14388" t="str">
        <f t="shared" si="2568"/>
        <v>802</v>
      </c>
      <c r="L14388">
        <v>1063.1199999999999</v>
      </c>
    </row>
    <row r="14389" spans="1:12" x14ac:dyDescent="0.25">
      <c r="A14389" t="str">
        <f t="shared" si="2564"/>
        <v>89301000</v>
      </c>
      <c r="B14389" t="str">
        <f>"86131000"</f>
        <v>86131000</v>
      </c>
      <c r="C14389" t="str">
        <f>"86131000"</f>
        <v>86131000</v>
      </c>
      <c r="D14389">
        <v>89301212</v>
      </c>
      <c r="E14389" t="str">
        <f>"495423004"</f>
        <v>495423004</v>
      </c>
      <c r="F14389" s="1">
        <v>45252</v>
      </c>
      <c r="G14389" t="str">
        <f>"89512"</f>
        <v>89512</v>
      </c>
      <c r="H14389">
        <v>1</v>
      </c>
      <c r="I14389">
        <v>283</v>
      </c>
      <c r="J14389">
        <v>0</v>
      </c>
      <c r="K14389" t="str">
        <f t="shared" ref="K14389:K14410" si="2569">"809"</f>
        <v>809</v>
      </c>
      <c r="L14389">
        <v>416.01</v>
      </c>
    </row>
    <row r="14390" spans="1:12" x14ac:dyDescent="0.25">
      <c r="A14390" t="str">
        <f t="shared" si="2564"/>
        <v>89301000</v>
      </c>
      <c r="B14390" t="str">
        <f t="shared" ref="B14390:C14395" si="2570">"89632000"</f>
        <v>89632000</v>
      </c>
      <c r="C14390" t="str">
        <f t="shared" si="2570"/>
        <v>89632000</v>
      </c>
      <c r="D14390">
        <v>89301062</v>
      </c>
      <c r="E14390" t="str">
        <f>"7457305383"</f>
        <v>7457305383</v>
      </c>
      <c r="F14390" s="1">
        <v>45251</v>
      </c>
      <c r="G14390" t="str">
        <f>"89119"</f>
        <v>89119</v>
      </c>
      <c r="H14390">
        <v>1</v>
      </c>
      <c r="I14390">
        <v>204</v>
      </c>
      <c r="J14390">
        <v>0</v>
      </c>
      <c r="K14390" t="str">
        <f t="shared" si="2569"/>
        <v>809</v>
      </c>
      <c r="L14390">
        <v>299.88</v>
      </c>
    </row>
    <row r="14391" spans="1:12" x14ac:dyDescent="0.25">
      <c r="A14391" t="str">
        <f t="shared" si="2564"/>
        <v>89301000</v>
      </c>
      <c r="B14391" t="str">
        <f t="shared" si="2570"/>
        <v>89632000</v>
      </c>
      <c r="C14391" t="str">
        <f t="shared" si="2570"/>
        <v>89632000</v>
      </c>
      <c r="D14391">
        <v>89301062</v>
      </c>
      <c r="E14391" t="str">
        <f>"7457305383"</f>
        <v>7457305383</v>
      </c>
      <c r="F14391" s="1">
        <v>45251</v>
      </c>
      <c r="G14391" t="str">
        <f>"89119"</f>
        <v>89119</v>
      </c>
      <c r="H14391">
        <v>1</v>
      </c>
      <c r="I14391">
        <v>204</v>
      </c>
      <c r="J14391">
        <v>0</v>
      </c>
      <c r="K14391" t="str">
        <f t="shared" si="2569"/>
        <v>809</v>
      </c>
      <c r="L14391">
        <v>299.88</v>
      </c>
    </row>
    <row r="14392" spans="1:12" x14ac:dyDescent="0.25">
      <c r="A14392" t="str">
        <f t="shared" si="2564"/>
        <v>89301000</v>
      </c>
      <c r="B14392" t="str">
        <f t="shared" si="2570"/>
        <v>89632000</v>
      </c>
      <c r="C14392" t="str">
        <f t="shared" si="2570"/>
        <v>89632000</v>
      </c>
      <c r="D14392">
        <v>89301034</v>
      </c>
      <c r="E14392" t="str">
        <f>"0056026146"</f>
        <v>0056026146</v>
      </c>
      <c r="F14392" s="1">
        <v>45253</v>
      </c>
      <c r="G14392" t="str">
        <f>"89513"</f>
        <v>89513</v>
      </c>
      <c r="H14392">
        <v>1</v>
      </c>
      <c r="I14392">
        <v>378</v>
      </c>
      <c r="J14392">
        <v>0</v>
      </c>
      <c r="K14392" t="str">
        <f t="shared" si="2569"/>
        <v>809</v>
      </c>
      <c r="L14392">
        <v>555.66</v>
      </c>
    </row>
    <row r="14393" spans="1:12" x14ac:dyDescent="0.25">
      <c r="A14393" t="str">
        <f t="shared" si="2564"/>
        <v>89301000</v>
      </c>
      <c r="B14393" t="str">
        <f t="shared" si="2570"/>
        <v>89632000</v>
      </c>
      <c r="C14393" t="str">
        <f t="shared" si="2570"/>
        <v>89632000</v>
      </c>
      <c r="D14393">
        <v>89301034</v>
      </c>
      <c r="E14393" t="str">
        <f>"0056026146"</f>
        <v>0056026146</v>
      </c>
      <c r="F14393" s="1">
        <v>45253</v>
      </c>
      <c r="G14393" t="str">
        <f>"89514"</f>
        <v>89514</v>
      </c>
      <c r="H14393">
        <v>1</v>
      </c>
      <c r="I14393">
        <v>378</v>
      </c>
      <c r="J14393">
        <v>0</v>
      </c>
      <c r="K14393" t="str">
        <f t="shared" si="2569"/>
        <v>809</v>
      </c>
      <c r="L14393">
        <v>555.66</v>
      </c>
    </row>
    <row r="14394" spans="1:12" x14ac:dyDescent="0.25">
      <c r="A14394" t="str">
        <f t="shared" si="2564"/>
        <v>89301000</v>
      </c>
      <c r="B14394" t="str">
        <f t="shared" si="2570"/>
        <v>89632000</v>
      </c>
      <c r="C14394" t="str">
        <f t="shared" si="2570"/>
        <v>89632000</v>
      </c>
      <c r="D14394">
        <v>89301032</v>
      </c>
      <c r="E14394" t="str">
        <f>"8157014470"</f>
        <v>8157014470</v>
      </c>
      <c r="F14394" s="1">
        <v>45252</v>
      </c>
      <c r="G14394" t="str">
        <f>"89513"</f>
        <v>89513</v>
      </c>
      <c r="H14394">
        <v>1</v>
      </c>
      <c r="I14394">
        <v>378</v>
      </c>
      <c r="J14394">
        <v>0</v>
      </c>
      <c r="K14394" t="str">
        <f t="shared" si="2569"/>
        <v>809</v>
      </c>
      <c r="L14394">
        <v>555.66</v>
      </c>
    </row>
    <row r="14395" spans="1:12" x14ac:dyDescent="0.25">
      <c r="A14395" t="str">
        <f t="shared" si="2564"/>
        <v>89301000</v>
      </c>
      <c r="B14395" t="str">
        <f t="shared" si="2570"/>
        <v>89632000</v>
      </c>
      <c r="C14395" t="str">
        <f t="shared" si="2570"/>
        <v>89632000</v>
      </c>
      <c r="D14395">
        <v>89301032</v>
      </c>
      <c r="E14395" t="str">
        <f>"8157014470"</f>
        <v>8157014470</v>
      </c>
      <c r="F14395" s="1">
        <v>45252</v>
      </c>
      <c r="G14395" t="str">
        <f>"89514"</f>
        <v>89514</v>
      </c>
      <c r="H14395">
        <v>1</v>
      </c>
      <c r="I14395">
        <v>378</v>
      </c>
      <c r="J14395">
        <v>0</v>
      </c>
      <c r="K14395" t="str">
        <f t="shared" si="2569"/>
        <v>809</v>
      </c>
      <c r="L14395">
        <v>555.66</v>
      </c>
    </row>
    <row r="14396" spans="1:12" x14ac:dyDescent="0.25">
      <c r="A14396" t="str">
        <f t="shared" si="2564"/>
        <v>89301000</v>
      </c>
      <c r="B14396" t="str">
        <f t="shared" ref="B14396:B14427" si="2571">"95202000"</f>
        <v>95202000</v>
      </c>
      <c r="C14396" t="str">
        <f t="shared" ref="C14396:C14410" si="2572">"95202511"</f>
        <v>95202511</v>
      </c>
      <c r="D14396">
        <v>89301212</v>
      </c>
      <c r="E14396" t="str">
        <f t="shared" ref="E14396:E14402" si="2573">"5703121974"</f>
        <v>5703121974</v>
      </c>
      <c r="F14396" s="1">
        <v>45239</v>
      </c>
      <c r="G14396" t="str">
        <f>"89611"</f>
        <v>89611</v>
      </c>
      <c r="H14396">
        <v>2</v>
      </c>
      <c r="I14396">
        <v>4524</v>
      </c>
      <c r="J14396">
        <v>0</v>
      </c>
      <c r="K14396" t="str">
        <f t="shared" si="2569"/>
        <v>809</v>
      </c>
      <c r="L14396">
        <v>2940.6</v>
      </c>
    </row>
    <row r="14397" spans="1:12" x14ac:dyDescent="0.25">
      <c r="A14397" t="str">
        <f t="shared" si="2564"/>
        <v>89301000</v>
      </c>
      <c r="B14397" t="str">
        <f t="shared" si="2571"/>
        <v>95202000</v>
      </c>
      <c r="C14397" t="str">
        <f t="shared" si="2572"/>
        <v>95202511</v>
      </c>
      <c r="D14397">
        <v>89301212</v>
      </c>
      <c r="E14397" t="str">
        <f t="shared" si="2573"/>
        <v>5703121974</v>
      </c>
      <c r="F14397" s="1">
        <v>45239</v>
      </c>
      <c r="G14397" t="str">
        <f>"0022077"</f>
        <v>0022077</v>
      </c>
      <c r="H14397">
        <v>0.5</v>
      </c>
      <c r="J14397">
        <v>1004.83</v>
      </c>
      <c r="K14397" t="str">
        <f t="shared" si="2569"/>
        <v>809</v>
      </c>
      <c r="L14397">
        <v>1004.83</v>
      </c>
    </row>
    <row r="14398" spans="1:12" x14ac:dyDescent="0.25">
      <c r="A14398" t="str">
        <f t="shared" si="2564"/>
        <v>89301000</v>
      </c>
      <c r="B14398" t="str">
        <f t="shared" si="2571"/>
        <v>95202000</v>
      </c>
      <c r="C14398" t="str">
        <f t="shared" si="2572"/>
        <v>95202511</v>
      </c>
      <c r="D14398">
        <v>89301212</v>
      </c>
      <c r="E14398" t="str">
        <f t="shared" si="2573"/>
        <v>5703121974</v>
      </c>
      <c r="F14398" s="1">
        <v>45239</v>
      </c>
      <c r="G14398" t="str">
        <f>"0234018"</f>
        <v>0234018</v>
      </c>
      <c r="H14398">
        <v>0.01</v>
      </c>
      <c r="J14398">
        <v>2.44</v>
      </c>
      <c r="K14398" t="str">
        <f t="shared" si="2569"/>
        <v>809</v>
      </c>
      <c r="L14398">
        <v>2.44</v>
      </c>
    </row>
    <row r="14399" spans="1:12" x14ac:dyDescent="0.25">
      <c r="A14399" t="str">
        <f t="shared" si="2564"/>
        <v>89301000</v>
      </c>
      <c r="B14399" t="str">
        <f t="shared" si="2571"/>
        <v>95202000</v>
      </c>
      <c r="C14399" t="str">
        <f t="shared" si="2572"/>
        <v>95202511</v>
      </c>
      <c r="D14399">
        <v>89301212</v>
      </c>
      <c r="E14399" t="str">
        <f t="shared" si="2573"/>
        <v>5703121974</v>
      </c>
      <c r="F14399" s="1">
        <v>45244</v>
      </c>
      <c r="G14399" t="str">
        <f>"89611"</f>
        <v>89611</v>
      </c>
      <c r="H14399">
        <v>1</v>
      </c>
      <c r="I14399">
        <v>2262</v>
      </c>
      <c r="J14399">
        <v>0</v>
      </c>
      <c r="K14399" t="str">
        <f t="shared" si="2569"/>
        <v>809</v>
      </c>
      <c r="L14399">
        <v>1470.3</v>
      </c>
    </row>
    <row r="14400" spans="1:12" x14ac:dyDescent="0.25">
      <c r="A14400" t="str">
        <f t="shared" si="2564"/>
        <v>89301000</v>
      </c>
      <c r="B14400" t="str">
        <f t="shared" si="2571"/>
        <v>95202000</v>
      </c>
      <c r="C14400" t="str">
        <f t="shared" si="2572"/>
        <v>95202511</v>
      </c>
      <c r="D14400">
        <v>89301212</v>
      </c>
      <c r="E14400" t="str">
        <f t="shared" si="2573"/>
        <v>5703121974</v>
      </c>
      <c r="F14400" s="1">
        <v>45244</v>
      </c>
      <c r="G14400" t="str">
        <f>"09572"</f>
        <v>09572</v>
      </c>
      <c r="H14400">
        <v>1</v>
      </c>
      <c r="I14400">
        <v>0</v>
      </c>
      <c r="J14400">
        <v>0</v>
      </c>
      <c r="K14400" t="str">
        <f t="shared" si="2569"/>
        <v>809</v>
      </c>
      <c r="L14400">
        <v>0</v>
      </c>
    </row>
    <row r="14401" spans="1:12" x14ac:dyDescent="0.25">
      <c r="A14401" t="str">
        <f t="shared" si="2564"/>
        <v>89301000</v>
      </c>
      <c r="B14401" t="str">
        <f t="shared" si="2571"/>
        <v>95202000</v>
      </c>
      <c r="C14401" t="str">
        <f t="shared" si="2572"/>
        <v>95202511</v>
      </c>
      <c r="D14401">
        <v>89301212</v>
      </c>
      <c r="E14401" t="str">
        <f t="shared" si="2573"/>
        <v>5703121974</v>
      </c>
      <c r="F14401" s="1">
        <v>45244</v>
      </c>
      <c r="G14401" t="str">
        <f>"0022077"</f>
        <v>0022077</v>
      </c>
      <c r="H14401">
        <v>0.4</v>
      </c>
      <c r="J14401">
        <v>803.86</v>
      </c>
      <c r="K14401" t="str">
        <f t="shared" si="2569"/>
        <v>809</v>
      </c>
      <c r="L14401">
        <v>803.86</v>
      </c>
    </row>
    <row r="14402" spans="1:12" x14ac:dyDescent="0.25">
      <c r="A14402" t="str">
        <f t="shared" ref="A14402:A14465" si="2574">"89301000"</f>
        <v>89301000</v>
      </c>
      <c r="B14402" t="str">
        <f t="shared" si="2571"/>
        <v>95202000</v>
      </c>
      <c r="C14402" t="str">
        <f t="shared" si="2572"/>
        <v>95202511</v>
      </c>
      <c r="D14402">
        <v>89301212</v>
      </c>
      <c r="E14402" t="str">
        <f t="shared" si="2573"/>
        <v>5703121974</v>
      </c>
      <c r="F14402" s="1">
        <v>45244</v>
      </c>
      <c r="G14402" t="str">
        <f>"0234018"</f>
        <v>0234018</v>
      </c>
      <c r="H14402">
        <v>0.01</v>
      </c>
      <c r="J14402">
        <v>2.44</v>
      </c>
      <c r="K14402" t="str">
        <f t="shared" si="2569"/>
        <v>809</v>
      </c>
      <c r="L14402">
        <v>2.44</v>
      </c>
    </row>
    <row r="14403" spans="1:12" x14ac:dyDescent="0.25">
      <c r="A14403" t="str">
        <f t="shared" si="2574"/>
        <v>89301000</v>
      </c>
      <c r="B14403" t="str">
        <f t="shared" si="2571"/>
        <v>95202000</v>
      </c>
      <c r="C14403" t="str">
        <f t="shared" si="2572"/>
        <v>95202511</v>
      </c>
      <c r="D14403">
        <v>89301212</v>
      </c>
      <c r="E14403" t="str">
        <f t="shared" ref="E14403:E14409" si="2575">"525615342"</f>
        <v>525615342</v>
      </c>
      <c r="F14403" s="1">
        <v>45257</v>
      </c>
      <c r="G14403" t="str">
        <f>"89611"</f>
        <v>89611</v>
      </c>
      <c r="H14403">
        <v>1</v>
      </c>
      <c r="I14403">
        <v>2262</v>
      </c>
      <c r="J14403">
        <v>0</v>
      </c>
      <c r="K14403" t="str">
        <f t="shared" si="2569"/>
        <v>809</v>
      </c>
      <c r="L14403">
        <v>1470.3</v>
      </c>
    </row>
    <row r="14404" spans="1:12" x14ac:dyDescent="0.25">
      <c r="A14404" t="str">
        <f t="shared" si="2574"/>
        <v>89301000</v>
      </c>
      <c r="B14404" t="str">
        <f t="shared" si="2571"/>
        <v>95202000</v>
      </c>
      <c r="C14404" t="str">
        <f t="shared" si="2572"/>
        <v>95202511</v>
      </c>
      <c r="D14404">
        <v>89301212</v>
      </c>
      <c r="E14404" t="str">
        <f t="shared" si="2575"/>
        <v>525615342</v>
      </c>
      <c r="F14404" s="1">
        <v>45257</v>
      </c>
      <c r="G14404" t="str">
        <f>"09572"</f>
        <v>09572</v>
      </c>
      <c r="H14404">
        <v>1</v>
      </c>
      <c r="I14404">
        <v>0</v>
      </c>
      <c r="J14404">
        <v>0</v>
      </c>
      <c r="K14404" t="str">
        <f t="shared" si="2569"/>
        <v>809</v>
      </c>
      <c r="L14404">
        <v>0</v>
      </c>
    </row>
    <row r="14405" spans="1:12" x14ac:dyDescent="0.25">
      <c r="A14405" t="str">
        <f t="shared" si="2574"/>
        <v>89301000</v>
      </c>
      <c r="B14405" t="str">
        <f t="shared" si="2571"/>
        <v>95202000</v>
      </c>
      <c r="C14405" t="str">
        <f t="shared" si="2572"/>
        <v>95202511</v>
      </c>
      <c r="D14405">
        <v>89301212</v>
      </c>
      <c r="E14405" t="str">
        <f t="shared" si="2575"/>
        <v>525615342</v>
      </c>
      <c r="F14405" s="1">
        <v>45257</v>
      </c>
      <c r="G14405" t="str">
        <f>"0022077"</f>
        <v>0022077</v>
      </c>
      <c r="H14405">
        <v>0.4</v>
      </c>
      <c r="J14405">
        <v>803.86</v>
      </c>
      <c r="K14405" t="str">
        <f t="shared" si="2569"/>
        <v>809</v>
      </c>
      <c r="L14405">
        <v>803.86</v>
      </c>
    </row>
    <row r="14406" spans="1:12" x14ac:dyDescent="0.25">
      <c r="A14406" t="str">
        <f t="shared" si="2574"/>
        <v>89301000</v>
      </c>
      <c r="B14406" t="str">
        <f t="shared" si="2571"/>
        <v>95202000</v>
      </c>
      <c r="C14406" t="str">
        <f t="shared" si="2572"/>
        <v>95202511</v>
      </c>
      <c r="D14406">
        <v>89301212</v>
      </c>
      <c r="E14406" t="str">
        <f t="shared" si="2575"/>
        <v>525615342</v>
      </c>
      <c r="F14406" s="1">
        <v>45257</v>
      </c>
      <c r="G14406" t="str">
        <f>"0234018"</f>
        <v>0234018</v>
      </c>
      <c r="H14406">
        <v>0.01</v>
      </c>
      <c r="J14406">
        <v>2.44</v>
      </c>
      <c r="K14406" t="str">
        <f t="shared" si="2569"/>
        <v>809</v>
      </c>
      <c r="L14406">
        <v>2.44</v>
      </c>
    </row>
    <row r="14407" spans="1:12" x14ac:dyDescent="0.25">
      <c r="A14407" t="str">
        <f t="shared" si="2574"/>
        <v>89301000</v>
      </c>
      <c r="B14407" t="str">
        <f t="shared" si="2571"/>
        <v>95202000</v>
      </c>
      <c r="C14407" t="str">
        <f t="shared" si="2572"/>
        <v>95202511</v>
      </c>
      <c r="D14407">
        <v>89301212</v>
      </c>
      <c r="E14407" t="str">
        <f t="shared" si="2575"/>
        <v>525615342</v>
      </c>
      <c r="F14407" s="1">
        <v>45259</v>
      </c>
      <c r="G14407" t="str">
        <f>"89611"</f>
        <v>89611</v>
      </c>
      <c r="H14407">
        <v>2</v>
      </c>
      <c r="I14407">
        <v>4524</v>
      </c>
      <c r="J14407">
        <v>0</v>
      </c>
      <c r="K14407" t="str">
        <f t="shared" si="2569"/>
        <v>809</v>
      </c>
      <c r="L14407">
        <v>2940.6</v>
      </c>
    </row>
    <row r="14408" spans="1:12" x14ac:dyDescent="0.25">
      <c r="A14408" t="str">
        <f t="shared" si="2574"/>
        <v>89301000</v>
      </c>
      <c r="B14408" t="str">
        <f t="shared" si="2571"/>
        <v>95202000</v>
      </c>
      <c r="C14408" t="str">
        <f t="shared" si="2572"/>
        <v>95202511</v>
      </c>
      <c r="D14408">
        <v>89301212</v>
      </c>
      <c r="E14408" t="str">
        <f t="shared" si="2575"/>
        <v>525615342</v>
      </c>
      <c r="F14408" s="1">
        <v>45259</v>
      </c>
      <c r="G14408" t="str">
        <f>"0022077"</f>
        <v>0022077</v>
      </c>
      <c r="H14408">
        <v>0.5</v>
      </c>
      <c r="J14408">
        <v>1004.83</v>
      </c>
      <c r="K14408" t="str">
        <f t="shared" si="2569"/>
        <v>809</v>
      </c>
      <c r="L14408">
        <v>1004.83</v>
      </c>
    </row>
    <row r="14409" spans="1:12" x14ac:dyDescent="0.25">
      <c r="A14409" t="str">
        <f t="shared" si="2574"/>
        <v>89301000</v>
      </c>
      <c r="B14409" t="str">
        <f t="shared" si="2571"/>
        <v>95202000</v>
      </c>
      <c r="C14409" t="str">
        <f t="shared" si="2572"/>
        <v>95202511</v>
      </c>
      <c r="D14409">
        <v>89301212</v>
      </c>
      <c r="E14409" t="str">
        <f t="shared" si="2575"/>
        <v>525615342</v>
      </c>
      <c r="F14409" s="1">
        <v>45259</v>
      </c>
      <c r="G14409" t="str">
        <f>"0234018"</f>
        <v>0234018</v>
      </c>
      <c r="H14409">
        <v>0.01</v>
      </c>
      <c r="J14409">
        <v>2.44</v>
      </c>
      <c r="K14409" t="str">
        <f t="shared" si="2569"/>
        <v>809</v>
      </c>
      <c r="L14409">
        <v>2.44</v>
      </c>
    </row>
    <row r="14410" spans="1:12" x14ac:dyDescent="0.25">
      <c r="A14410" t="str">
        <f t="shared" si="2574"/>
        <v>89301000</v>
      </c>
      <c r="B14410" t="str">
        <f t="shared" si="2571"/>
        <v>95202000</v>
      </c>
      <c r="C14410" t="str">
        <f t="shared" si="2572"/>
        <v>95202511</v>
      </c>
      <c r="D14410">
        <v>89301062</v>
      </c>
      <c r="E14410" t="str">
        <f>"6853200827"</f>
        <v>6853200827</v>
      </c>
      <c r="F14410" s="1">
        <v>45259</v>
      </c>
      <c r="G14410" t="str">
        <f>"89615"</f>
        <v>89615</v>
      </c>
      <c r="H14410">
        <v>1</v>
      </c>
      <c r="I14410">
        <v>2199</v>
      </c>
      <c r="J14410">
        <v>0</v>
      </c>
      <c r="K14410" t="str">
        <f t="shared" si="2569"/>
        <v>809</v>
      </c>
      <c r="L14410">
        <v>1429.35</v>
      </c>
    </row>
    <row r="14411" spans="1:12" x14ac:dyDescent="0.25">
      <c r="A14411" t="str">
        <f t="shared" si="2574"/>
        <v>89301000</v>
      </c>
      <c r="B14411" t="str">
        <f t="shared" si="2571"/>
        <v>95202000</v>
      </c>
      <c r="C14411" t="str">
        <f>"95202818"</f>
        <v>95202818</v>
      </c>
      <c r="D14411">
        <v>89301167</v>
      </c>
      <c r="E14411" t="str">
        <f>"521204004"</f>
        <v>521204004</v>
      </c>
      <c r="F14411" s="1">
        <v>45243</v>
      </c>
      <c r="G14411" t="str">
        <f>"96167"</f>
        <v>96167</v>
      </c>
      <c r="H14411">
        <v>1</v>
      </c>
      <c r="I14411">
        <v>67</v>
      </c>
      <c r="J14411">
        <v>0</v>
      </c>
      <c r="K14411" t="str">
        <f>"818"</f>
        <v>818</v>
      </c>
      <c r="L14411">
        <v>64.989999999999995</v>
      </c>
    </row>
    <row r="14412" spans="1:12" x14ac:dyDescent="0.25">
      <c r="A14412" t="str">
        <f t="shared" si="2574"/>
        <v>89301000</v>
      </c>
      <c r="B14412" t="str">
        <f t="shared" si="2571"/>
        <v>95202000</v>
      </c>
      <c r="C14412" t="str">
        <f>"95202818"</f>
        <v>95202818</v>
      </c>
      <c r="D14412">
        <v>89301167</v>
      </c>
      <c r="E14412" t="str">
        <f>"6109280386"</f>
        <v>6109280386</v>
      </c>
      <c r="F14412" s="1">
        <v>45239</v>
      </c>
      <c r="G14412" t="str">
        <f>"96167"</f>
        <v>96167</v>
      </c>
      <c r="H14412">
        <v>1</v>
      </c>
      <c r="I14412">
        <v>67</v>
      </c>
      <c r="J14412">
        <v>0</v>
      </c>
      <c r="K14412" t="str">
        <f>"818"</f>
        <v>818</v>
      </c>
      <c r="L14412">
        <v>64.989999999999995</v>
      </c>
    </row>
    <row r="14413" spans="1:12" x14ac:dyDescent="0.25">
      <c r="A14413" t="str">
        <f t="shared" si="2574"/>
        <v>89301000</v>
      </c>
      <c r="B14413" t="str">
        <f t="shared" si="2571"/>
        <v>95202000</v>
      </c>
      <c r="C14413" t="str">
        <f t="shared" ref="C14413:C14455" si="2576">"95202096"</f>
        <v>95202096</v>
      </c>
      <c r="D14413">
        <v>89301167</v>
      </c>
      <c r="E14413" t="str">
        <f t="shared" ref="E14413:E14432" si="2577">"521204004"</f>
        <v>521204004</v>
      </c>
      <c r="F14413" s="1">
        <v>45243</v>
      </c>
      <c r="G14413" t="str">
        <f>"81329"</f>
        <v>81329</v>
      </c>
      <c r="H14413">
        <v>1</v>
      </c>
      <c r="I14413">
        <v>17</v>
      </c>
      <c r="J14413">
        <v>0</v>
      </c>
      <c r="K14413" t="str">
        <f t="shared" ref="K14413:K14455" si="2578">"801"</f>
        <v>801</v>
      </c>
      <c r="L14413">
        <v>14.28</v>
      </c>
    </row>
    <row r="14414" spans="1:12" x14ac:dyDescent="0.25">
      <c r="A14414" t="str">
        <f t="shared" si="2574"/>
        <v>89301000</v>
      </c>
      <c r="B14414" t="str">
        <f t="shared" si="2571"/>
        <v>95202000</v>
      </c>
      <c r="C14414" t="str">
        <f t="shared" si="2576"/>
        <v>95202096</v>
      </c>
      <c r="D14414">
        <v>89301167</v>
      </c>
      <c r="E14414" t="str">
        <f t="shared" si="2577"/>
        <v>521204004</v>
      </c>
      <c r="F14414" s="1">
        <v>45243</v>
      </c>
      <c r="G14414" t="str">
        <f>"81337"</f>
        <v>81337</v>
      </c>
      <c r="H14414">
        <v>1</v>
      </c>
      <c r="I14414">
        <v>20</v>
      </c>
      <c r="J14414">
        <v>0</v>
      </c>
      <c r="K14414" t="str">
        <f t="shared" si="2578"/>
        <v>801</v>
      </c>
      <c r="L14414">
        <v>16.8</v>
      </c>
    </row>
    <row r="14415" spans="1:12" x14ac:dyDescent="0.25">
      <c r="A14415" t="str">
        <f t="shared" si="2574"/>
        <v>89301000</v>
      </c>
      <c r="B14415" t="str">
        <f t="shared" si="2571"/>
        <v>95202000</v>
      </c>
      <c r="C14415" t="str">
        <f t="shared" si="2576"/>
        <v>95202096</v>
      </c>
      <c r="D14415">
        <v>89301167</v>
      </c>
      <c r="E14415" t="str">
        <f t="shared" si="2577"/>
        <v>521204004</v>
      </c>
      <c r="F14415" s="1">
        <v>45243</v>
      </c>
      <c r="G14415" t="str">
        <f>"81357"</f>
        <v>81357</v>
      </c>
      <c r="H14415">
        <v>1</v>
      </c>
      <c r="I14415">
        <v>20</v>
      </c>
      <c r="J14415">
        <v>0</v>
      </c>
      <c r="K14415" t="str">
        <f t="shared" si="2578"/>
        <v>801</v>
      </c>
      <c r="L14415">
        <v>16.8</v>
      </c>
    </row>
    <row r="14416" spans="1:12" x14ac:dyDescent="0.25">
      <c r="A14416" t="str">
        <f t="shared" si="2574"/>
        <v>89301000</v>
      </c>
      <c r="B14416" t="str">
        <f t="shared" si="2571"/>
        <v>95202000</v>
      </c>
      <c r="C14416" t="str">
        <f t="shared" si="2576"/>
        <v>95202096</v>
      </c>
      <c r="D14416">
        <v>89301167</v>
      </c>
      <c r="E14416" t="str">
        <f t="shared" si="2577"/>
        <v>521204004</v>
      </c>
      <c r="F14416" s="1">
        <v>45243</v>
      </c>
      <c r="G14416" t="str">
        <f>"81361"</f>
        <v>81361</v>
      </c>
      <c r="H14416">
        <v>1</v>
      </c>
      <c r="I14416">
        <v>17</v>
      </c>
      <c r="J14416">
        <v>0</v>
      </c>
      <c r="K14416" t="str">
        <f t="shared" si="2578"/>
        <v>801</v>
      </c>
      <c r="L14416">
        <v>14.28</v>
      </c>
    </row>
    <row r="14417" spans="1:12" x14ac:dyDescent="0.25">
      <c r="A14417" t="str">
        <f t="shared" si="2574"/>
        <v>89301000</v>
      </c>
      <c r="B14417" t="str">
        <f t="shared" si="2571"/>
        <v>95202000</v>
      </c>
      <c r="C14417" t="str">
        <f t="shared" si="2576"/>
        <v>95202096</v>
      </c>
      <c r="D14417">
        <v>89301167</v>
      </c>
      <c r="E14417" t="str">
        <f t="shared" si="2577"/>
        <v>521204004</v>
      </c>
      <c r="F14417" s="1">
        <v>45243</v>
      </c>
      <c r="G14417" t="str">
        <f>"81365"</f>
        <v>81365</v>
      </c>
      <c r="H14417">
        <v>1</v>
      </c>
      <c r="I14417">
        <v>16</v>
      </c>
      <c r="J14417">
        <v>0</v>
      </c>
      <c r="K14417" t="str">
        <f t="shared" si="2578"/>
        <v>801</v>
      </c>
      <c r="L14417">
        <v>13.44</v>
      </c>
    </row>
    <row r="14418" spans="1:12" x14ac:dyDescent="0.25">
      <c r="A14418" t="str">
        <f t="shared" si="2574"/>
        <v>89301000</v>
      </c>
      <c r="B14418" t="str">
        <f t="shared" si="2571"/>
        <v>95202000</v>
      </c>
      <c r="C14418" t="str">
        <f t="shared" si="2576"/>
        <v>95202096</v>
      </c>
      <c r="D14418">
        <v>89301167</v>
      </c>
      <c r="E14418" t="str">
        <f t="shared" si="2577"/>
        <v>521204004</v>
      </c>
      <c r="F14418" s="1">
        <v>45243</v>
      </c>
      <c r="G14418" t="str">
        <f>"81383"</f>
        <v>81383</v>
      </c>
      <c r="H14418">
        <v>1</v>
      </c>
      <c r="I14418">
        <v>24</v>
      </c>
      <c r="J14418">
        <v>0</v>
      </c>
      <c r="K14418" t="str">
        <f t="shared" si="2578"/>
        <v>801</v>
      </c>
      <c r="L14418">
        <v>20.16</v>
      </c>
    </row>
    <row r="14419" spans="1:12" x14ac:dyDescent="0.25">
      <c r="A14419" t="str">
        <f t="shared" si="2574"/>
        <v>89301000</v>
      </c>
      <c r="B14419" t="str">
        <f t="shared" si="2571"/>
        <v>95202000</v>
      </c>
      <c r="C14419" t="str">
        <f t="shared" si="2576"/>
        <v>95202096</v>
      </c>
      <c r="D14419">
        <v>89301167</v>
      </c>
      <c r="E14419" t="str">
        <f t="shared" si="2577"/>
        <v>521204004</v>
      </c>
      <c r="F14419" s="1">
        <v>45243</v>
      </c>
      <c r="G14419" t="str">
        <f>"81393"</f>
        <v>81393</v>
      </c>
      <c r="H14419">
        <v>1</v>
      </c>
      <c r="I14419">
        <v>24</v>
      </c>
      <c r="J14419">
        <v>0</v>
      </c>
      <c r="K14419" t="str">
        <f t="shared" si="2578"/>
        <v>801</v>
      </c>
      <c r="L14419">
        <v>20.16</v>
      </c>
    </row>
    <row r="14420" spans="1:12" x14ac:dyDescent="0.25">
      <c r="A14420" t="str">
        <f t="shared" si="2574"/>
        <v>89301000</v>
      </c>
      <c r="B14420" t="str">
        <f t="shared" si="2571"/>
        <v>95202000</v>
      </c>
      <c r="C14420" t="str">
        <f t="shared" si="2576"/>
        <v>95202096</v>
      </c>
      <c r="D14420">
        <v>89301167</v>
      </c>
      <c r="E14420" t="str">
        <f t="shared" si="2577"/>
        <v>521204004</v>
      </c>
      <c r="F14420" s="1">
        <v>45243</v>
      </c>
      <c r="G14420" t="str">
        <f>"81421"</f>
        <v>81421</v>
      </c>
      <c r="H14420">
        <v>1</v>
      </c>
      <c r="I14420">
        <v>19</v>
      </c>
      <c r="J14420">
        <v>0</v>
      </c>
      <c r="K14420" t="str">
        <f t="shared" si="2578"/>
        <v>801</v>
      </c>
      <c r="L14420">
        <v>15.96</v>
      </c>
    </row>
    <row r="14421" spans="1:12" x14ac:dyDescent="0.25">
      <c r="A14421" t="str">
        <f t="shared" si="2574"/>
        <v>89301000</v>
      </c>
      <c r="B14421" t="str">
        <f t="shared" si="2571"/>
        <v>95202000</v>
      </c>
      <c r="C14421" t="str">
        <f t="shared" si="2576"/>
        <v>95202096</v>
      </c>
      <c r="D14421">
        <v>89301167</v>
      </c>
      <c r="E14421" t="str">
        <f t="shared" si="2577"/>
        <v>521204004</v>
      </c>
      <c r="F14421" s="1">
        <v>45243</v>
      </c>
      <c r="G14421" t="str">
        <f>"81435"</f>
        <v>81435</v>
      </c>
      <c r="H14421">
        <v>1</v>
      </c>
      <c r="I14421">
        <v>22</v>
      </c>
      <c r="J14421">
        <v>0</v>
      </c>
      <c r="K14421" t="str">
        <f t="shared" si="2578"/>
        <v>801</v>
      </c>
      <c r="L14421">
        <v>18.48</v>
      </c>
    </row>
    <row r="14422" spans="1:12" x14ac:dyDescent="0.25">
      <c r="A14422" t="str">
        <f t="shared" si="2574"/>
        <v>89301000</v>
      </c>
      <c r="B14422" t="str">
        <f t="shared" si="2571"/>
        <v>95202000</v>
      </c>
      <c r="C14422" t="str">
        <f t="shared" si="2576"/>
        <v>95202096</v>
      </c>
      <c r="D14422">
        <v>89301167</v>
      </c>
      <c r="E14422" t="str">
        <f t="shared" si="2577"/>
        <v>521204004</v>
      </c>
      <c r="F14422" s="1">
        <v>45243</v>
      </c>
      <c r="G14422" t="str">
        <f>"81439"</f>
        <v>81439</v>
      </c>
      <c r="H14422">
        <v>1</v>
      </c>
      <c r="I14422">
        <v>16</v>
      </c>
      <c r="J14422">
        <v>0</v>
      </c>
      <c r="K14422" t="str">
        <f t="shared" si="2578"/>
        <v>801</v>
      </c>
      <c r="L14422">
        <v>13.44</v>
      </c>
    </row>
    <row r="14423" spans="1:12" x14ac:dyDescent="0.25">
      <c r="A14423" t="str">
        <f t="shared" si="2574"/>
        <v>89301000</v>
      </c>
      <c r="B14423" t="str">
        <f t="shared" si="2571"/>
        <v>95202000</v>
      </c>
      <c r="C14423" t="str">
        <f t="shared" si="2576"/>
        <v>95202096</v>
      </c>
      <c r="D14423">
        <v>89301167</v>
      </c>
      <c r="E14423" t="str">
        <f t="shared" si="2577"/>
        <v>521204004</v>
      </c>
      <c r="F14423" s="1">
        <v>45243</v>
      </c>
      <c r="G14423" t="str">
        <f>"81469"</f>
        <v>81469</v>
      </c>
      <c r="H14423">
        <v>1</v>
      </c>
      <c r="I14423">
        <v>16</v>
      </c>
      <c r="J14423">
        <v>0</v>
      </c>
      <c r="K14423" t="str">
        <f t="shared" si="2578"/>
        <v>801</v>
      </c>
      <c r="L14423">
        <v>13.44</v>
      </c>
    </row>
    <row r="14424" spans="1:12" x14ac:dyDescent="0.25">
      <c r="A14424" t="str">
        <f t="shared" si="2574"/>
        <v>89301000</v>
      </c>
      <c r="B14424" t="str">
        <f t="shared" si="2571"/>
        <v>95202000</v>
      </c>
      <c r="C14424" t="str">
        <f t="shared" si="2576"/>
        <v>95202096</v>
      </c>
      <c r="D14424">
        <v>89301167</v>
      </c>
      <c r="E14424" t="str">
        <f t="shared" si="2577"/>
        <v>521204004</v>
      </c>
      <c r="F14424" s="1">
        <v>45243</v>
      </c>
      <c r="G14424" t="str">
        <f>"81499"</f>
        <v>81499</v>
      </c>
      <c r="H14424">
        <v>1</v>
      </c>
      <c r="I14424">
        <v>18</v>
      </c>
      <c r="J14424">
        <v>0</v>
      </c>
      <c r="K14424" t="str">
        <f t="shared" si="2578"/>
        <v>801</v>
      </c>
      <c r="L14424">
        <v>15.12</v>
      </c>
    </row>
    <row r="14425" spans="1:12" x14ac:dyDescent="0.25">
      <c r="A14425" t="str">
        <f t="shared" si="2574"/>
        <v>89301000</v>
      </c>
      <c r="B14425" t="str">
        <f t="shared" si="2571"/>
        <v>95202000</v>
      </c>
      <c r="C14425" t="str">
        <f t="shared" si="2576"/>
        <v>95202096</v>
      </c>
      <c r="D14425">
        <v>89301167</v>
      </c>
      <c r="E14425" t="str">
        <f t="shared" si="2577"/>
        <v>521204004</v>
      </c>
      <c r="F14425" s="1">
        <v>45243</v>
      </c>
      <c r="G14425" t="str">
        <f>"81523"</f>
        <v>81523</v>
      </c>
      <c r="H14425">
        <v>1</v>
      </c>
      <c r="I14425">
        <v>23</v>
      </c>
      <c r="J14425">
        <v>0</v>
      </c>
      <c r="K14425" t="str">
        <f t="shared" si="2578"/>
        <v>801</v>
      </c>
      <c r="L14425">
        <v>19.32</v>
      </c>
    </row>
    <row r="14426" spans="1:12" x14ac:dyDescent="0.25">
      <c r="A14426" t="str">
        <f t="shared" si="2574"/>
        <v>89301000</v>
      </c>
      <c r="B14426" t="str">
        <f t="shared" si="2571"/>
        <v>95202000</v>
      </c>
      <c r="C14426" t="str">
        <f t="shared" si="2576"/>
        <v>95202096</v>
      </c>
      <c r="D14426">
        <v>89301167</v>
      </c>
      <c r="E14426" t="str">
        <f t="shared" si="2577"/>
        <v>521204004</v>
      </c>
      <c r="F14426" s="1">
        <v>45243</v>
      </c>
      <c r="G14426" t="str">
        <f>"81593"</f>
        <v>81593</v>
      </c>
      <c r="H14426">
        <v>1</v>
      </c>
      <c r="I14426">
        <v>22</v>
      </c>
      <c r="J14426">
        <v>0</v>
      </c>
      <c r="K14426" t="str">
        <f t="shared" si="2578"/>
        <v>801</v>
      </c>
      <c r="L14426">
        <v>18.48</v>
      </c>
    </row>
    <row r="14427" spans="1:12" x14ac:dyDescent="0.25">
      <c r="A14427" t="str">
        <f t="shared" si="2574"/>
        <v>89301000</v>
      </c>
      <c r="B14427" t="str">
        <f t="shared" si="2571"/>
        <v>95202000</v>
      </c>
      <c r="C14427" t="str">
        <f t="shared" si="2576"/>
        <v>95202096</v>
      </c>
      <c r="D14427">
        <v>89301167</v>
      </c>
      <c r="E14427" t="str">
        <f t="shared" si="2577"/>
        <v>521204004</v>
      </c>
      <c r="F14427" s="1">
        <v>45243</v>
      </c>
      <c r="G14427" t="str">
        <f>"81621"</f>
        <v>81621</v>
      </c>
      <c r="H14427">
        <v>1</v>
      </c>
      <c r="I14427">
        <v>19</v>
      </c>
      <c r="J14427">
        <v>0</v>
      </c>
      <c r="K14427" t="str">
        <f t="shared" si="2578"/>
        <v>801</v>
      </c>
      <c r="L14427">
        <v>15.96</v>
      </c>
    </row>
    <row r="14428" spans="1:12" x14ac:dyDescent="0.25">
      <c r="A14428" t="str">
        <f t="shared" si="2574"/>
        <v>89301000</v>
      </c>
      <c r="B14428" t="str">
        <f t="shared" ref="B14428:B14455" si="2579">"95202000"</f>
        <v>95202000</v>
      </c>
      <c r="C14428" t="str">
        <f t="shared" si="2576"/>
        <v>95202096</v>
      </c>
      <c r="D14428">
        <v>89301167</v>
      </c>
      <c r="E14428" t="str">
        <f t="shared" si="2577"/>
        <v>521204004</v>
      </c>
      <c r="F14428" s="1">
        <v>45243</v>
      </c>
      <c r="G14428" t="str">
        <f>"81625"</f>
        <v>81625</v>
      </c>
      <c r="H14428">
        <v>1</v>
      </c>
      <c r="I14428">
        <v>21</v>
      </c>
      <c r="J14428">
        <v>0</v>
      </c>
      <c r="K14428" t="str">
        <f t="shared" si="2578"/>
        <v>801</v>
      </c>
      <c r="L14428">
        <v>17.64</v>
      </c>
    </row>
    <row r="14429" spans="1:12" x14ac:dyDescent="0.25">
      <c r="A14429" t="str">
        <f t="shared" si="2574"/>
        <v>89301000</v>
      </c>
      <c r="B14429" t="str">
        <f t="shared" si="2579"/>
        <v>95202000</v>
      </c>
      <c r="C14429" t="str">
        <f t="shared" si="2576"/>
        <v>95202096</v>
      </c>
      <c r="D14429">
        <v>89301167</v>
      </c>
      <c r="E14429" t="str">
        <f t="shared" si="2577"/>
        <v>521204004</v>
      </c>
      <c r="F14429" s="1">
        <v>45243</v>
      </c>
      <c r="G14429" t="str">
        <f>"91153"</f>
        <v>91153</v>
      </c>
      <c r="H14429">
        <v>1</v>
      </c>
      <c r="I14429">
        <v>153</v>
      </c>
      <c r="J14429">
        <v>0</v>
      </c>
      <c r="K14429" t="str">
        <f t="shared" si="2578"/>
        <v>801</v>
      </c>
      <c r="L14429">
        <v>128.52000000000001</v>
      </c>
    </row>
    <row r="14430" spans="1:12" x14ac:dyDescent="0.25">
      <c r="A14430" t="str">
        <f t="shared" si="2574"/>
        <v>89301000</v>
      </c>
      <c r="B14430" t="str">
        <f t="shared" si="2579"/>
        <v>95202000</v>
      </c>
      <c r="C14430" t="str">
        <f t="shared" si="2576"/>
        <v>95202096</v>
      </c>
      <c r="D14430">
        <v>89301167</v>
      </c>
      <c r="E14430" t="str">
        <f t="shared" si="2577"/>
        <v>521204004</v>
      </c>
      <c r="F14430" s="1">
        <v>45243</v>
      </c>
      <c r="G14430" t="str">
        <f>"93189"</f>
        <v>93189</v>
      </c>
      <c r="H14430">
        <v>1</v>
      </c>
      <c r="I14430">
        <v>191</v>
      </c>
      <c r="J14430">
        <v>0</v>
      </c>
      <c r="K14430" t="str">
        <f t="shared" si="2578"/>
        <v>801</v>
      </c>
      <c r="L14430">
        <v>160.44</v>
      </c>
    </row>
    <row r="14431" spans="1:12" x14ac:dyDescent="0.25">
      <c r="A14431" t="str">
        <f t="shared" si="2574"/>
        <v>89301000</v>
      </c>
      <c r="B14431" t="str">
        <f t="shared" si="2579"/>
        <v>95202000</v>
      </c>
      <c r="C14431" t="str">
        <f t="shared" si="2576"/>
        <v>95202096</v>
      </c>
      <c r="D14431">
        <v>89301167</v>
      </c>
      <c r="E14431" t="str">
        <f t="shared" si="2577"/>
        <v>521204004</v>
      </c>
      <c r="F14431" s="1">
        <v>45243</v>
      </c>
      <c r="G14431" t="str">
        <f>"93195"</f>
        <v>93195</v>
      </c>
      <c r="H14431">
        <v>1</v>
      </c>
      <c r="I14431">
        <v>183</v>
      </c>
      <c r="J14431">
        <v>0</v>
      </c>
      <c r="K14431" t="str">
        <f t="shared" si="2578"/>
        <v>801</v>
      </c>
      <c r="L14431">
        <v>153.72</v>
      </c>
    </row>
    <row r="14432" spans="1:12" x14ac:dyDescent="0.25">
      <c r="A14432" t="str">
        <f t="shared" si="2574"/>
        <v>89301000</v>
      </c>
      <c r="B14432" t="str">
        <f t="shared" si="2579"/>
        <v>95202000</v>
      </c>
      <c r="C14432" t="str">
        <f t="shared" si="2576"/>
        <v>95202096</v>
      </c>
      <c r="D14432">
        <v>89301167</v>
      </c>
      <c r="E14432" t="str">
        <f t="shared" si="2577"/>
        <v>521204004</v>
      </c>
      <c r="F14432" s="1">
        <v>45243</v>
      </c>
      <c r="G14432" t="str">
        <f>"97111"</f>
        <v>97111</v>
      </c>
      <c r="H14432">
        <v>1</v>
      </c>
      <c r="I14432">
        <v>19</v>
      </c>
      <c r="J14432">
        <v>0</v>
      </c>
      <c r="K14432" t="str">
        <f t="shared" si="2578"/>
        <v>801</v>
      </c>
      <c r="L14432">
        <v>23.94</v>
      </c>
    </row>
    <row r="14433" spans="1:12" x14ac:dyDescent="0.25">
      <c r="A14433" t="str">
        <f t="shared" si="2574"/>
        <v>89301000</v>
      </c>
      <c r="B14433" t="str">
        <f t="shared" si="2579"/>
        <v>95202000</v>
      </c>
      <c r="C14433" t="str">
        <f t="shared" si="2576"/>
        <v>95202096</v>
      </c>
      <c r="D14433">
        <v>89301167</v>
      </c>
      <c r="E14433" t="str">
        <f t="shared" ref="E14433:E14453" si="2580">"6109280386"</f>
        <v>6109280386</v>
      </c>
      <c r="F14433" s="1">
        <v>45239</v>
      </c>
      <c r="G14433" t="str">
        <f>"81329"</f>
        <v>81329</v>
      </c>
      <c r="H14433">
        <v>1</v>
      </c>
      <c r="I14433">
        <v>17</v>
      </c>
      <c r="J14433">
        <v>0</v>
      </c>
      <c r="K14433" t="str">
        <f t="shared" si="2578"/>
        <v>801</v>
      </c>
      <c r="L14433">
        <v>14.28</v>
      </c>
    </row>
    <row r="14434" spans="1:12" x14ac:dyDescent="0.25">
      <c r="A14434" t="str">
        <f t="shared" si="2574"/>
        <v>89301000</v>
      </c>
      <c r="B14434" t="str">
        <f t="shared" si="2579"/>
        <v>95202000</v>
      </c>
      <c r="C14434" t="str">
        <f t="shared" si="2576"/>
        <v>95202096</v>
      </c>
      <c r="D14434">
        <v>89301167</v>
      </c>
      <c r="E14434" t="str">
        <f t="shared" si="2580"/>
        <v>6109280386</v>
      </c>
      <c r="F14434" s="1">
        <v>45239</v>
      </c>
      <c r="G14434" t="str">
        <f>"81337"</f>
        <v>81337</v>
      </c>
      <c r="H14434">
        <v>1</v>
      </c>
      <c r="I14434">
        <v>20</v>
      </c>
      <c r="J14434">
        <v>0</v>
      </c>
      <c r="K14434" t="str">
        <f t="shared" si="2578"/>
        <v>801</v>
      </c>
      <c r="L14434">
        <v>16.8</v>
      </c>
    </row>
    <row r="14435" spans="1:12" x14ac:dyDescent="0.25">
      <c r="A14435" t="str">
        <f t="shared" si="2574"/>
        <v>89301000</v>
      </c>
      <c r="B14435" t="str">
        <f t="shared" si="2579"/>
        <v>95202000</v>
      </c>
      <c r="C14435" t="str">
        <f t="shared" si="2576"/>
        <v>95202096</v>
      </c>
      <c r="D14435">
        <v>89301167</v>
      </c>
      <c r="E14435" t="str">
        <f t="shared" si="2580"/>
        <v>6109280386</v>
      </c>
      <c r="F14435" s="1">
        <v>45239</v>
      </c>
      <c r="G14435" t="str">
        <f>"81357"</f>
        <v>81357</v>
      </c>
      <c r="H14435">
        <v>1</v>
      </c>
      <c r="I14435">
        <v>20</v>
      </c>
      <c r="J14435">
        <v>0</v>
      </c>
      <c r="K14435" t="str">
        <f t="shared" si="2578"/>
        <v>801</v>
      </c>
      <c r="L14435">
        <v>16.8</v>
      </c>
    </row>
    <row r="14436" spans="1:12" x14ac:dyDescent="0.25">
      <c r="A14436" t="str">
        <f t="shared" si="2574"/>
        <v>89301000</v>
      </c>
      <c r="B14436" t="str">
        <f t="shared" si="2579"/>
        <v>95202000</v>
      </c>
      <c r="C14436" t="str">
        <f t="shared" si="2576"/>
        <v>95202096</v>
      </c>
      <c r="D14436">
        <v>89301167</v>
      </c>
      <c r="E14436" t="str">
        <f t="shared" si="2580"/>
        <v>6109280386</v>
      </c>
      <c r="F14436" s="1">
        <v>45239</v>
      </c>
      <c r="G14436" t="str">
        <f>"81361"</f>
        <v>81361</v>
      </c>
      <c r="H14436">
        <v>1</v>
      </c>
      <c r="I14436">
        <v>17</v>
      </c>
      <c r="J14436">
        <v>0</v>
      </c>
      <c r="K14436" t="str">
        <f t="shared" si="2578"/>
        <v>801</v>
      </c>
      <c r="L14436">
        <v>14.28</v>
      </c>
    </row>
    <row r="14437" spans="1:12" x14ac:dyDescent="0.25">
      <c r="A14437" t="str">
        <f t="shared" si="2574"/>
        <v>89301000</v>
      </c>
      <c r="B14437" t="str">
        <f t="shared" si="2579"/>
        <v>95202000</v>
      </c>
      <c r="C14437" t="str">
        <f t="shared" si="2576"/>
        <v>95202096</v>
      </c>
      <c r="D14437">
        <v>89301167</v>
      </c>
      <c r="E14437" t="str">
        <f t="shared" si="2580"/>
        <v>6109280386</v>
      </c>
      <c r="F14437" s="1">
        <v>45239</v>
      </c>
      <c r="G14437" t="str">
        <f>"81365"</f>
        <v>81365</v>
      </c>
      <c r="H14437">
        <v>1</v>
      </c>
      <c r="I14437">
        <v>16</v>
      </c>
      <c r="J14437">
        <v>0</v>
      </c>
      <c r="K14437" t="str">
        <f t="shared" si="2578"/>
        <v>801</v>
      </c>
      <c r="L14437">
        <v>13.44</v>
      </c>
    </row>
    <row r="14438" spans="1:12" x14ac:dyDescent="0.25">
      <c r="A14438" t="str">
        <f t="shared" si="2574"/>
        <v>89301000</v>
      </c>
      <c r="B14438" t="str">
        <f t="shared" si="2579"/>
        <v>95202000</v>
      </c>
      <c r="C14438" t="str">
        <f t="shared" si="2576"/>
        <v>95202096</v>
      </c>
      <c r="D14438">
        <v>89301167</v>
      </c>
      <c r="E14438" t="str">
        <f t="shared" si="2580"/>
        <v>6109280386</v>
      </c>
      <c r="F14438" s="1">
        <v>45239</v>
      </c>
      <c r="G14438" t="str">
        <f>"81383"</f>
        <v>81383</v>
      </c>
      <c r="H14438">
        <v>1</v>
      </c>
      <c r="I14438">
        <v>24</v>
      </c>
      <c r="J14438">
        <v>0</v>
      </c>
      <c r="K14438" t="str">
        <f t="shared" si="2578"/>
        <v>801</v>
      </c>
      <c r="L14438">
        <v>20.16</v>
      </c>
    </row>
    <row r="14439" spans="1:12" x14ac:dyDescent="0.25">
      <c r="A14439" t="str">
        <f t="shared" si="2574"/>
        <v>89301000</v>
      </c>
      <c r="B14439" t="str">
        <f t="shared" si="2579"/>
        <v>95202000</v>
      </c>
      <c r="C14439" t="str">
        <f t="shared" si="2576"/>
        <v>95202096</v>
      </c>
      <c r="D14439">
        <v>89301167</v>
      </c>
      <c r="E14439" t="str">
        <f t="shared" si="2580"/>
        <v>6109280386</v>
      </c>
      <c r="F14439" s="1">
        <v>45239</v>
      </c>
      <c r="G14439" t="str">
        <f>"81393"</f>
        <v>81393</v>
      </c>
      <c r="H14439">
        <v>1</v>
      </c>
      <c r="I14439">
        <v>24</v>
      </c>
      <c r="J14439">
        <v>0</v>
      </c>
      <c r="K14439" t="str">
        <f t="shared" si="2578"/>
        <v>801</v>
      </c>
      <c r="L14439">
        <v>20.16</v>
      </c>
    </row>
    <row r="14440" spans="1:12" x14ac:dyDescent="0.25">
      <c r="A14440" t="str">
        <f t="shared" si="2574"/>
        <v>89301000</v>
      </c>
      <c r="B14440" t="str">
        <f t="shared" si="2579"/>
        <v>95202000</v>
      </c>
      <c r="C14440" t="str">
        <f t="shared" si="2576"/>
        <v>95202096</v>
      </c>
      <c r="D14440">
        <v>89301167</v>
      </c>
      <c r="E14440" t="str">
        <f t="shared" si="2580"/>
        <v>6109280386</v>
      </c>
      <c r="F14440" s="1">
        <v>45239</v>
      </c>
      <c r="G14440" t="str">
        <f>"81421"</f>
        <v>81421</v>
      </c>
      <c r="H14440">
        <v>1</v>
      </c>
      <c r="I14440">
        <v>19</v>
      </c>
      <c r="J14440">
        <v>0</v>
      </c>
      <c r="K14440" t="str">
        <f t="shared" si="2578"/>
        <v>801</v>
      </c>
      <c r="L14440">
        <v>15.96</v>
      </c>
    </row>
    <row r="14441" spans="1:12" x14ac:dyDescent="0.25">
      <c r="A14441" t="str">
        <f t="shared" si="2574"/>
        <v>89301000</v>
      </c>
      <c r="B14441" t="str">
        <f t="shared" si="2579"/>
        <v>95202000</v>
      </c>
      <c r="C14441" t="str">
        <f t="shared" si="2576"/>
        <v>95202096</v>
      </c>
      <c r="D14441">
        <v>89301167</v>
      </c>
      <c r="E14441" t="str">
        <f t="shared" si="2580"/>
        <v>6109280386</v>
      </c>
      <c r="F14441" s="1">
        <v>45239</v>
      </c>
      <c r="G14441" t="str">
        <f>"81435"</f>
        <v>81435</v>
      </c>
      <c r="H14441">
        <v>1</v>
      </c>
      <c r="I14441">
        <v>22</v>
      </c>
      <c r="J14441">
        <v>0</v>
      </c>
      <c r="K14441" t="str">
        <f t="shared" si="2578"/>
        <v>801</v>
      </c>
      <c r="L14441">
        <v>18.48</v>
      </c>
    </row>
    <row r="14442" spans="1:12" x14ac:dyDescent="0.25">
      <c r="A14442" t="str">
        <f t="shared" si="2574"/>
        <v>89301000</v>
      </c>
      <c r="B14442" t="str">
        <f t="shared" si="2579"/>
        <v>95202000</v>
      </c>
      <c r="C14442" t="str">
        <f t="shared" si="2576"/>
        <v>95202096</v>
      </c>
      <c r="D14442">
        <v>89301167</v>
      </c>
      <c r="E14442" t="str">
        <f t="shared" si="2580"/>
        <v>6109280386</v>
      </c>
      <c r="F14442" s="1">
        <v>45239</v>
      </c>
      <c r="G14442" t="str">
        <f>"81439"</f>
        <v>81439</v>
      </c>
      <c r="H14442">
        <v>1</v>
      </c>
      <c r="I14442">
        <v>16</v>
      </c>
      <c r="J14442">
        <v>0</v>
      </c>
      <c r="K14442" t="str">
        <f t="shared" si="2578"/>
        <v>801</v>
      </c>
      <c r="L14442">
        <v>13.44</v>
      </c>
    </row>
    <row r="14443" spans="1:12" x14ac:dyDescent="0.25">
      <c r="A14443" t="str">
        <f t="shared" si="2574"/>
        <v>89301000</v>
      </c>
      <c r="B14443" t="str">
        <f t="shared" si="2579"/>
        <v>95202000</v>
      </c>
      <c r="C14443" t="str">
        <f t="shared" si="2576"/>
        <v>95202096</v>
      </c>
      <c r="D14443">
        <v>89301167</v>
      </c>
      <c r="E14443" t="str">
        <f t="shared" si="2580"/>
        <v>6109280386</v>
      </c>
      <c r="F14443" s="1">
        <v>45239</v>
      </c>
      <c r="G14443" t="str">
        <f>"81469"</f>
        <v>81469</v>
      </c>
      <c r="H14443">
        <v>1</v>
      </c>
      <c r="I14443">
        <v>16</v>
      </c>
      <c r="J14443">
        <v>0</v>
      </c>
      <c r="K14443" t="str">
        <f t="shared" si="2578"/>
        <v>801</v>
      </c>
      <c r="L14443">
        <v>13.44</v>
      </c>
    </row>
    <row r="14444" spans="1:12" x14ac:dyDescent="0.25">
      <c r="A14444" t="str">
        <f t="shared" si="2574"/>
        <v>89301000</v>
      </c>
      <c r="B14444" t="str">
        <f t="shared" si="2579"/>
        <v>95202000</v>
      </c>
      <c r="C14444" t="str">
        <f t="shared" si="2576"/>
        <v>95202096</v>
      </c>
      <c r="D14444">
        <v>89301167</v>
      </c>
      <c r="E14444" t="str">
        <f t="shared" si="2580"/>
        <v>6109280386</v>
      </c>
      <c r="F14444" s="1">
        <v>45239</v>
      </c>
      <c r="G14444" t="str">
        <f>"81499"</f>
        <v>81499</v>
      </c>
      <c r="H14444">
        <v>1</v>
      </c>
      <c r="I14444">
        <v>18</v>
      </c>
      <c r="J14444">
        <v>0</v>
      </c>
      <c r="K14444" t="str">
        <f t="shared" si="2578"/>
        <v>801</v>
      </c>
      <c r="L14444">
        <v>15.12</v>
      </c>
    </row>
    <row r="14445" spans="1:12" x14ac:dyDescent="0.25">
      <c r="A14445" t="str">
        <f t="shared" si="2574"/>
        <v>89301000</v>
      </c>
      <c r="B14445" t="str">
        <f t="shared" si="2579"/>
        <v>95202000</v>
      </c>
      <c r="C14445" t="str">
        <f t="shared" si="2576"/>
        <v>95202096</v>
      </c>
      <c r="D14445">
        <v>89301167</v>
      </c>
      <c r="E14445" t="str">
        <f t="shared" si="2580"/>
        <v>6109280386</v>
      </c>
      <c r="F14445" s="1">
        <v>45239</v>
      </c>
      <c r="G14445" t="str">
        <f>"81523"</f>
        <v>81523</v>
      </c>
      <c r="H14445">
        <v>1</v>
      </c>
      <c r="I14445">
        <v>23</v>
      </c>
      <c r="J14445">
        <v>0</v>
      </c>
      <c r="K14445" t="str">
        <f t="shared" si="2578"/>
        <v>801</v>
      </c>
      <c r="L14445">
        <v>19.32</v>
      </c>
    </row>
    <row r="14446" spans="1:12" x14ac:dyDescent="0.25">
      <c r="A14446" t="str">
        <f t="shared" si="2574"/>
        <v>89301000</v>
      </c>
      <c r="B14446" t="str">
        <f t="shared" si="2579"/>
        <v>95202000</v>
      </c>
      <c r="C14446" t="str">
        <f t="shared" si="2576"/>
        <v>95202096</v>
      </c>
      <c r="D14446">
        <v>89301167</v>
      </c>
      <c r="E14446" t="str">
        <f t="shared" si="2580"/>
        <v>6109280386</v>
      </c>
      <c r="F14446" s="1">
        <v>45239</v>
      </c>
      <c r="G14446" t="str">
        <f>"81593"</f>
        <v>81593</v>
      </c>
      <c r="H14446">
        <v>1</v>
      </c>
      <c r="I14446">
        <v>22</v>
      </c>
      <c r="J14446">
        <v>0</v>
      </c>
      <c r="K14446" t="str">
        <f t="shared" si="2578"/>
        <v>801</v>
      </c>
      <c r="L14446">
        <v>18.48</v>
      </c>
    </row>
    <row r="14447" spans="1:12" x14ac:dyDescent="0.25">
      <c r="A14447" t="str">
        <f t="shared" si="2574"/>
        <v>89301000</v>
      </c>
      <c r="B14447" t="str">
        <f t="shared" si="2579"/>
        <v>95202000</v>
      </c>
      <c r="C14447" t="str">
        <f t="shared" si="2576"/>
        <v>95202096</v>
      </c>
      <c r="D14447">
        <v>89301167</v>
      </c>
      <c r="E14447" t="str">
        <f t="shared" si="2580"/>
        <v>6109280386</v>
      </c>
      <c r="F14447" s="1">
        <v>45239</v>
      </c>
      <c r="G14447" t="str">
        <f>"81621"</f>
        <v>81621</v>
      </c>
      <c r="H14447">
        <v>1</v>
      </c>
      <c r="I14447">
        <v>19</v>
      </c>
      <c r="J14447">
        <v>0</v>
      </c>
      <c r="K14447" t="str">
        <f t="shared" si="2578"/>
        <v>801</v>
      </c>
      <c r="L14447">
        <v>15.96</v>
      </c>
    </row>
    <row r="14448" spans="1:12" x14ac:dyDescent="0.25">
      <c r="A14448" t="str">
        <f t="shared" si="2574"/>
        <v>89301000</v>
      </c>
      <c r="B14448" t="str">
        <f t="shared" si="2579"/>
        <v>95202000</v>
      </c>
      <c r="C14448" t="str">
        <f t="shared" si="2576"/>
        <v>95202096</v>
      </c>
      <c r="D14448">
        <v>89301167</v>
      </c>
      <c r="E14448" t="str">
        <f t="shared" si="2580"/>
        <v>6109280386</v>
      </c>
      <c r="F14448" s="1">
        <v>45239</v>
      </c>
      <c r="G14448" t="str">
        <f>"81625"</f>
        <v>81625</v>
      </c>
      <c r="H14448">
        <v>1</v>
      </c>
      <c r="I14448">
        <v>21</v>
      </c>
      <c r="J14448">
        <v>0</v>
      </c>
      <c r="K14448" t="str">
        <f t="shared" si="2578"/>
        <v>801</v>
      </c>
      <c r="L14448">
        <v>17.64</v>
      </c>
    </row>
    <row r="14449" spans="1:12" x14ac:dyDescent="0.25">
      <c r="A14449" t="str">
        <f t="shared" si="2574"/>
        <v>89301000</v>
      </c>
      <c r="B14449" t="str">
        <f t="shared" si="2579"/>
        <v>95202000</v>
      </c>
      <c r="C14449" t="str">
        <f t="shared" si="2576"/>
        <v>95202096</v>
      </c>
      <c r="D14449">
        <v>89301167</v>
      </c>
      <c r="E14449" t="str">
        <f t="shared" si="2580"/>
        <v>6109280386</v>
      </c>
      <c r="F14449" s="1">
        <v>45239</v>
      </c>
      <c r="G14449" t="str">
        <f>"91153"</f>
        <v>91153</v>
      </c>
      <c r="H14449">
        <v>1</v>
      </c>
      <c r="I14449">
        <v>153</v>
      </c>
      <c r="J14449">
        <v>0</v>
      </c>
      <c r="K14449" t="str">
        <f t="shared" si="2578"/>
        <v>801</v>
      </c>
      <c r="L14449">
        <v>128.52000000000001</v>
      </c>
    </row>
    <row r="14450" spans="1:12" x14ac:dyDescent="0.25">
      <c r="A14450" t="str">
        <f t="shared" si="2574"/>
        <v>89301000</v>
      </c>
      <c r="B14450" t="str">
        <f t="shared" si="2579"/>
        <v>95202000</v>
      </c>
      <c r="C14450" t="str">
        <f t="shared" si="2576"/>
        <v>95202096</v>
      </c>
      <c r="D14450">
        <v>89301167</v>
      </c>
      <c r="E14450" t="str">
        <f t="shared" si="2580"/>
        <v>6109280386</v>
      </c>
      <c r="F14450" s="1">
        <v>45239</v>
      </c>
      <c r="G14450" t="str">
        <f>"93189"</f>
        <v>93189</v>
      </c>
      <c r="H14450">
        <v>1</v>
      </c>
      <c r="I14450">
        <v>191</v>
      </c>
      <c r="J14450">
        <v>0</v>
      </c>
      <c r="K14450" t="str">
        <f t="shared" si="2578"/>
        <v>801</v>
      </c>
      <c r="L14450">
        <v>160.44</v>
      </c>
    </row>
    <row r="14451" spans="1:12" x14ac:dyDescent="0.25">
      <c r="A14451" t="str">
        <f t="shared" si="2574"/>
        <v>89301000</v>
      </c>
      <c r="B14451" t="str">
        <f t="shared" si="2579"/>
        <v>95202000</v>
      </c>
      <c r="C14451" t="str">
        <f t="shared" si="2576"/>
        <v>95202096</v>
      </c>
      <c r="D14451">
        <v>89301167</v>
      </c>
      <c r="E14451" t="str">
        <f t="shared" si="2580"/>
        <v>6109280386</v>
      </c>
      <c r="F14451" s="1">
        <v>45239</v>
      </c>
      <c r="G14451" t="str">
        <f>"93195"</f>
        <v>93195</v>
      </c>
      <c r="H14451">
        <v>1</v>
      </c>
      <c r="I14451">
        <v>183</v>
      </c>
      <c r="J14451">
        <v>0</v>
      </c>
      <c r="K14451" t="str">
        <f t="shared" si="2578"/>
        <v>801</v>
      </c>
      <c r="L14451">
        <v>153.72</v>
      </c>
    </row>
    <row r="14452" spans="1:12" x14ac:dyDescent="0.25">
      <c r="A14452" t="str">
        <f t="shared" si="2574"/>
        <v>89301000</v>
      </c>
      <c r="B14452" t="str">
        <f t="shared" si="2579"/>
        <v>95202000</v>
      </c>
      <c r="C14452" t="str">
        <f t="shared" si="2576"/>
        <v>95202096</v>
      </c>
      <c r="D14452">
        <v>89301167</v>
      </c>
      <c r="E14452" t="str">
        <f t="shared" si="2580"/>
        <v>6109280386</v>
      </c>
      <c r="F14452" s="1">
        <v>45239</v>
      </c>
      <c r="G14452" t="str">
        <f>"93245"</f>
        <v>93245</v>
      </c>
      <c r="H14452">
        <v>1</v>
      </c>
      <c r="I14452">
        <v>191</v>
      </c>
      <c r="J14452">
        <v>0</v>
      </c>
      <c r="K14452" t="str">
        <f t="shared" si="2578"/>
        <v>801</v>
      </c>
      <c r="L14452">
        <v>160.44</v>
      </c>
    </row>
    <row r="14453" spans="1:12" x14ac:dyDescent="0.25">
      <c r="A14453" t="str">
        <f t="shared" si="2574"/>
        <v>89301000</v>
      </c>
      <c r="B14453" t="str">
        <f t="shared" si="2579"/>
        <v>95202000</v>
      </c>
      <c r="C14453" t="str">
        <f t="shared" si="2576"/>
        <v>95202096</v>
      </c>
      <c r="D14453">
        <v>89301167</v>
      </c>
      <c r="E14453" t="str">
        <f t="shared" si="2580"/>
        <v>6109280386</v>
      </c>
      <c r="F14453" s="1">
        <v>45239</v>
      </c>
      <c r="G14453" t="str">
        <f>"97111"</f>
        <v>97111</v>
      </c>
      <c r="H14453">
        <v>1</v>
      </c>
      <c r="I14453">
        <v>19</v>
      </c>
      <c r="J14453">
        <v>0</v>
      </c>
      <c r="K14453" t="str">
        <f t="shared" si="2578"/>
        <v>801</v>
      </c>
      <c r="L14453">
        <v>23.94</v>
      </c>
    </row>
    <row r="14454" spans="1:12" x14ac:dyDescent="0.25">
      <c r="A14454" t="str">
        <f t="shared" si="2574"/>
        <v>89301000</v>
      </c>
      <c r="B14454" t="str">
        <f t="shared" si="2579"/>
        <v>95202000</v>
      </c>
      <c r="C14454" t="str">
        <f t="shared" si="2576"/>
        <v>95202096</v>
      </c>
      <c r="D14454">
        <v>89301082</v>
      </c>
      <c r="E14454" t="str">
        <f>"8459215776"</f>
        <v>8459215776</v>
      </c>
      <c r="F14454" s="1">
        <v>45257</v>
      </c>
      <c r="G14454" t="str">
        <f>"93159"</f>
        <v>93159</v>
      </c>
      <c r="H14454">
        <v>1</v>
      </c>
      <c r="I14454">
        <v>197</v>
      </c>
      <c r="J14454">
        <v>0</v>
      </c>
      <c r="K14454" t="str">
        <f t="shared" si="2578"/>
        <v>801</v>
      </c>
      <c r="L14454">
        <v>165.48</v>
      </c>
    </row>
    <row r="14455" spans="1:12" x14ac:dyDescent="0.25">
      <c r="A14455" t="str">
        <f t="shared" si="2574"/>
        <v>89301000</v>
      </c>
      <c r="B14455" t="str">
        <f t="shared" si="2579"/>
        <v>95202000</v>
      </c>
      <c r="C14455" t="str">
        <f t="shared" si="2576"/>
        <v>95202096</v>
      </c>
      <c r="D14455">
        <v>89301082</v>
      </c>
      <c r="E14455" t="str">
        <f>"8459215776"</f>
        <v>8459215776</v>
      </c>
      <c r="F14455" s="1">
        <v>45257</v>
      </c>
      <c r="G14455" t="str">
        <f>"97111"</f>
        <v>97111</v>
      </c>
      <c r="H14455">
        <v>1</v>
      </c>
      <c r="I14455">
        <v>19</v>
      </c>
      <c r="J14455">
        <v>0</v>
      </c>
      <c r="K14455" t="str">
        <f t="shared" si="2578"/>
        <v>801</v>
      </c>
      <c r="L14455">
        <v>23.94</v>
      </c>
    </row>
    <row r="14456" spans="1:12" x14ac:dyDescent="0.25">
      <c r="A14456" t="str">
        <f t="shared" si="2574"/>
        <v>89301000</v>
      </c>
      <c r="B14456" t="str">
        <f>"82001000"</f>
        <v>82001000</v>
      </c>
      <c r="C14456" t="str">
        <f>"82001180"</f>
        <v>82001180</v>
      </c>
      <c r="D14456">
        <v>89301065</v>
      </c>
      <c r="E14456" t="str">
        <f>"7259204128"</f>
        <v>7259204128</v>
      </c>
      <c r="F14456" s="1">
        <v>45257</v>
      </c>
      <c r="G14456" t="str">
        <f>"89311"</f>
        <v>89311</v>
      </c>
      <c r="H14456">
        <v>1</v>
      </c>
      <c r="I14456">
        <v>970</v>
      </c>
      <c r="J14456">
        <v>0</v>
      </c>
      <c r="K14456" t="str">
        <f>"809"</f>
        <v>809</v>
      </c>
      <c r="L14456">
        <v>1425.9</v>
      </c>
    </row>
    <row r="14457" spans="1:12" x14ac:dyDescent="0.25">
      <c r="A14457" t="str">
        <f t="shared" si="2574"/>
        <v>89301000</v>
      </c>
      <c r="B14457" t="str">
        <f>"82001000"</f>
        <v>82001000</v>
      </c>
      <c r="C14457" t="str">
        <f>"82001180"</f>
        <v>82001180</v>
      </c>
      <c r="D14457">
        <v>89301065</v>
      </c>
      <c r="E14457" t="str">
        <f>"7259204128"</f>
        <v>7259204128</v>
      </c>
      <c r="F14457" s="1">
        <v>45257</v>
      </c>
      <c r="G14457" t="str">
        <f>"89615"</f>
        <v>89615</v>
      </c>
      <c r="H14457">
        <v>1</v>
      </c>
      <c r="I14457">
        <v>2199</v>
      </c>
      <c r="J14457">
        <v>0</v>
      </c>
      <c r="K14457" t="str">
        <f>"809"</f>
        <v>809</v>
      </c>
      <c r="L14457">
        <v>1429.35</v>
      </c>
    </row>
    <row r="14458" spans="1:12" x14ac:dyDescent="0.25">
      <c r="A14458" t="str">
        <f t="shared" si="2574"/>
        <v>89301000</v>
      </c>
      <c r="B14458" t="str">
        <f>"82001000"</f>
        <v>82001000</v>
      </c>
      <c r="C14458" t="str">
        <f>"82001180"</f>
        <v>82001180</v>
      </c>
      <c r="D14458">
        <v>89301065</v>
      </c>
      <c r="E14458" t="str">
        <f>"7259204128"</f>
        <v>7259204128</v>
      </c>
      <c r="F14458" s="1">
        <v>45257</v>
      </c>
      <c r="G14458" t="str">
        <f>"0022075"</f>
        <v>0022075</v>
      </c>
      <c r="H14458">
        <v>0.02</v>
      </c>
      <c r="J14458">
        <v>19.72</v>
      </c>
      <c r="K14458" t="str">
        <f>"809"</f>
        <v>809</v>
      </c>
      <c r="L14458">
        <v>19.72</v>
      </c>
    </row>
    <row r="14459" spans="1:12" x14ac:dyDescent="0.25">
      <c r="A14459" t="str">
        <f t="shared" si="2574"/>
        <v>89301000</v>
      </c>
      <c r="B14459" t="str">
        <f>"82001000"</f>
        <v>82001000</v>
      </c>
      <c r="C14459" t="str">
        <f>"82001180"</f>
        <v>82001180</v>
      </c>
      <c r="D14459">
        <v>89301065</v>
      </c>
      <c r="E14459" t="str">
        <f>"7259204128"</f>
        <v>7259204128</v>
      </c>
      <c r="F14459" s="1">
        <v>45257</v>
      </c>
      <c r="G14459" t="str">
        <f>"0040536"</f>
        <v>0040536</v>
      </c>
      <c r="H14459">
        <v>1</v>
      </c>
      <c r="J14459">
        <v>84.03</v>
      </c>
      <c r="K14459" t="str">
        <f>"809"</f>
        <v>809</v>
      </c>
      <c r="L14459">
        <v>84.03</v>
      </c>
    </row>
    <row r="14460" spans="1:12" x14ac:dyDescent="0.25">
      <c r="A14460" t="str">
        <f t="shared" si="2574"/>
        <v>89301000</v>
      </c>
      <c r="B14460" t="str">
        <f t="shared" ref="B14460:B14492" si="2581">"93201000"</f>
        <v>93201000</v>
      </c>
      <c r="C14460" t="str">
        <f t="shared" ref="C14460:C14476" si="2582">"93201250"</f>
        <v>93201250</v>
      </c>
      <c r="D14460">
        <v>89301167</v>
      </c>
      <c r="E14460" t="str">
        <f t="shared" ref="E14460:E14473" si="2583">"7657065790"</f>
        <v>7657065790</v>
      </c>
      <c r="F14460" s="1">
        <v>45245</v>
      </c>
      <c r="G14460" t="str">
        <f>"97111"</f>
        <v>97111</v>
      </c>
      <c r="H14460">
        <v>1</v>
      </c>
      <c r="I14460">
        <v>19</v>
      </c>
      <c r="J14460">
        <v>0</v>
      </c>
      <c r="K14460" t="str">
        <f t="shared" ref="K14460:K14476" si="2584">"801"</f>
        <v>801</v>
      </c>
      <c r="L14460">
        <v>23.94</v>
      </c>
    </row>
    <row r="14461" spans="1:12" x14ac:dyDescent="0.25">
      <c r="A14461" t="str">
        <f t="shared" si="2574"/>
        <v>89301000</v>
      </c>
      <c r="B14461" t="str">
        <f t="shared" si="2581"/>
        <v>93201000</v>
      </c>
      <c r="C14461" t="str">
        <f t="shared" si="2582"/>
        <v>93201250</v>
      </c>
      <c r="D14461">
        <v>89301167</v>
      </c>
      <c r="E14461" t="str">
        <f t="shared" si="2583"/>
        <v>7657065790</v>
      </c>
      <c r="F14461" s="1">
        <v>45245</v>
      </c>
      <c r="G14461" t="str">
        <f>"81421"</f>
        <v>81421</v>
      </c>
      <c r="H14461">
        <v>1</v>
      </c>
      <c r="I14461">
        <v>19</v>
      </c>
      <c r="J14461">
        <v>0</v>
      </c>
      <c r="K14461" t="str">
        <f t="shared" si="2584"/>
        <v>801</v>
      </c>
      <c r="L14461">
        <v>15.96</v>
      </c>
    </row>
    <row r="14462" spans="1:12" x14ac:dyDescent="0.25">
      <c r="A14462" t="str">
        <f t="shared" si="2574"/>
        <v>89301000</v>
      </c>
      <c r="B14462" t="str">
        <f t="shared" si="2581"/>
        <v>93201000</v>
      </c>
      <c r="C14462" t="str">
        <f t="shared" si="2582"/>
        <v>93201250</v>
      </c>
      <c r="D14462">
        <v>89301167</v>
      </c>
      <c r="E14462" t="str">
        <f t="shared" si="2583"/>
        <v>7657065790</v>
      </c>
      <c r="F14462" s="1">
        <v>45245</v>
      </c>
      <c r="G14462" t="str">
        <f>"81337"</f>
        <v>81337</v>
      </c>
      <c r="H14462">
        <v>1</v>
      </c>
      <c r="I14462">
        <v>20</v>
      </c>
      <c r="J14462">
        <v>0</v>
      </c>
      <c r="K14462" t="str">
        <f t="shared" si="2584"/>
        <v>801</v>
      </c>
      <c r="L14462">
        <v>16.8</v>
      </c>
    </row>
    <row r="14463" spans="1:12" x14ac:dyDescent="0.25">
      <c r="A14463" t="str">
        <f t="shared" si="2574"/>
        <v>89301000</v>
      </c>
      <c r="B14463" t="str">
        <f t="shared" si="2581"/>
        <v>93201000</v>
      </c>
      <c r="C14463" t="str">
        <f t="shared" si="2582"/>
        <v>93201250</v>
      </c>
      <c r="D14463">
        <v>89301167</v>
      </c>
      <c r="E14463" t="str">
        <f t="shared" si="2583"/>
        <v>7657065790</v>
      </c>
      <c r="F14463" s="1">
        <v>45245</v>
      </c>
      <c r="G14463" t="str">
        <f>"81357"</f>
        <v>81357</v>
      </c>
      <c r="H14463">
        <v>1</v>
      </c>
      <c r="I14463">
        <v>20</v>
      </c>
      <c r="J14463">
        <v>0</v>
      </c>
      <c r="K14463" t="str">
        <f t="shared" si="2584"/>
        <v>801</v>
      </c>
      <c r="L14463">
        <v>16.8</v>
      </c>
    </row>
    <row r="14464" spans="1:12" x14ac:dyDescent="0.25">
      <c r="A14464" t="str">
        <f t="shared" si="2574"/>
        <v>89301000</v>
      </c>
      <c r="B14464" t="str">
        <f t="shared" si="2581"/>
        <v>93201000</v>
      </c>
      <c r="C14464" t="str">
        <f t="shared" si="2582"/>
        <v>93201250</v>
      </c>
      <c r="D14464">
        <v>89301167</v>
      </c>
      <c r="E14464" t="str">
        <f t="shared" si="2583"/>
        <v>7657065790</v>
      </c>
      <c r="F14464" s="1">
        <v>45245</v>
      </c>
      <c r="G14464" t="str">
        <f>"81469"</f>
        <v>81469</v>
      </c>
      <c r="H14464">
        <v>1</v>
      </c>
      <c r="I14464">
        <v>16</v>
      </c>
      <c r="J14464">
        <v>0</v>
      </c>
      <c r="K14464" t="str">
        <f t="shared" si="2584"/>
        <v>801</v>
      </c>
      <c r="L14464">
        <v>13.44</v>
      </c>
    </row>
    <row r="14465" spans="1:12" x14ac:dyDescent="0.25">
      <c r="A14465" t="str">
        <f t="shared" si="2574"/>
        <v>89301000</v>
      </c>
      <c r="B14465" t="str">
        <f t="shared" si="2581"/>
        <v>93201000</v>
      </c>
      <c r="C14465" t="str">
        <f t="shared" si="2582"/>
        <v>93201250</v>
      </c>
      <c r="D14465">
        <v>89301167</v>
      </c>
      <c r="E14465" t="str">
        <f t="shared" si="2583"/>
        <v>7657065790</v>
      </c>
      <c r="F14465" s="1">
        <v>45245</v>
      </c>
      <c r="G14465" t="str">
        <f>"81435"</f>
        <v>81435</v>
      </c>
      <c r="H14465">
        <v>1</v>
      </c>
      <c r="I14465">
        <v>22</v>
      </c>
      <c r="J14465">
        <v>0</v>
      </c>
      <c r="K14465" t="str">
        <f t="shared" si="2584"/>
        <v>801</v>
      </c>
      <c r="L14465">
        <v>18.48</v>
      </c>
    </row>
    <row r="14466" spans="1:12" x14ac:dyDescent="0.25">
      <c r="A14466" t="str">
        <f t="shared" ref="A14466:A14529" si="2585">"89301000"</f>
        <v>89301000</v>
      </c>
      <c r="B14466" t="str">
        <f t="shared" si="2581"/>
        <v>93201000</v>
      </c>
      <c r="C14466" t="str">
        <f t="shared" si="2582"/>
        <v>93201250</v>
      </c>
      <c r="D14466">
        <v>89301167</v>
      </c>
      <c r="E14466" t="str">
        <f t="shared" si="2583"/>
        <v>7657065790</v>
      </c>
      <c r="F14466" s="1">
        <v>45245</v>
      </c>
      <c r="G14466" t="str">
        <f>"81439"</f>
        <v>81439</v>
      </c>
      <c r="H14466">
        <v>1</v>
      </c>
      <c r="I14466">
        <v>16</v>
      </c>
      <c r="J14466">
        <v>0</v>
      </c>
      <c r="K14466" t="str">
        <f t="shared" si="2584"/>
        <v>801</v>
      </c>
      <c r="L14466">
        <v>13.44</v>
      </c>
    </row>
    <row r="14467" spans="1:12" x14ac:dyDescent="0.25">
      <c r="A14467" t="str">
        <f t="shared" si="2585"/>
        <v>89301000</v>
      </c>
      <c r="B14467" t="str">
        <f t="shared" si="2581"/>
        <v>93201000</v>
      </c>
      <c r="C14467" t="str">
        <f t="shared" si="2582"/>
        <v>93201250</v>
      </c>
      <c r="D14467">
        <v>89301167</v>
      </c>
      <c r="E14467" t="str">
        <f t="shared" si="2583"/>
        <v>7657065790</v>
      </c>
      <c r="F14467" s="1">
        <v>45245</v>
      </c>
      <c r="G14467" t="str">
        <f>"81393"</f>
        <v>81393</v>
      </c>
      <c r="H14467">
        <v>1</v>
      </c>
      <c r="I14467">
        <v>24</v>
      </c>
      <c r="J14467">
        <v>0</v>
      </c>
      <c r="K14467" t="str">
        <f t="shared" si="2584"/>
        <v>801</v>
      </c>
      <c r="L14467">
        <v>20.16</v>
      </c>
    </row>
    <row r="14468" spans="1:12" x14ac:dyDescent="0.25">
      <c r="A14468" t="str">
        <f t="shared" si="2585"/>
        <v>89301000</v>
      </c>
      <c r="B14468" t="str">
        <f t="shared" si="2581"/>
        <v>93201000</v>
      </c>
      <c r="C14468" t="str">
        <f t="shared" si="2582"/>
        <v>93201250</v>
      </c>
      <c r="D14468">
        <v>89301167</v>
      </c>
      <c r="E14468" t="str">
        <f t="shared" si="2583"/>
        <v>7657065790</v>
      </c>
      <c r="F14468" s="1">
        <v>45245</v>
      </c>
      <c r="G14468" t="str">
        <f>"81499"</f>
        <v>81499</v>
      </c>
      <c r="H14468">
        <v>1</v>
      </c>
      <c r="I14468">
        <v>18</v>
      </c>
      <c r="J14468">
        <v>0</v>
      </c>
      <c r="K14468" t="str">
        <f t="shared" si="2584"/>
        <v>801</v>
      </c>
      <c r="L14468">
        <v>15.12</v>
      </c>
    </row>
    <row r="14469" spans="1:12" x14ac:dyDescent="0.25">
      <c r="A14469" t="str">
        <f t="shared" si="2585"/>
        <v>89301000</v>
      </c>
      <c r="B14469" t="str">
        <f t="shared" si="2581"/>
        <v>93201000</v>
      </c>
      <c r="C14469" t="str">
        <f t="shared" si="2582"/>
        <v>93201250</v>
      </c>
      <c r="D14469">
        <v>89301167</v>
      </c>
      <c r="E14469" t="str">
        <f t="shared" si="2583"/>
        <v>7657065790</v>
      </c>
      <c r="F14469" s="1">
        <v>45245</v>
      </c>
      <c r="G14469" t="str">
        <f>"81621"</f>
        <v>81621</v>
      </c>
      <c r="H14469">
        <v>1</v>
      </c>
      <c r="I14469">
        <v>19</v>
      </c>
      <c r="J14469">
        <v>0</v>
      </c>
      <c r="K14469" t="str">
        <f t="shared" si="2584"/>
        <v>801</v>
      </c>
      <c r="L14469">
        <v>15.96</v>
      </c>
    </row>
    <row r="14470" spans="1:12" x14ac:dyDescent="0.25">
      <c r="A14470" t="str">
        <f t="shared" si="2585"/>
        <v>89301000</v>
      </c>
      <c r="B14470" t="str">
        <f t="shared" si="2581"/>
        <v>93201000</v>
      </c>
      <c r="C14470" t="str">
        <f t="shared" si="2582"/>
        <v>93201250</v>
      </c>
      <c r="D14470">
        <v>89301167</v>
      </c>
      <c r="E14470" t="str">
        <f t="shared" si="2583"/>
        <v>7657065790</v>
      </c>
      <c r="F14470" s="1">
        <v>45245</v>
      </c>
      <c r="G14470" t="str">
        <f>"81593"</f>
        <v>81593</v>
      </c>
      <c r="H14470">
        <v>1</v>
      </c>
      <c r="I14470">
        <v>22</v>
      </c>
      <c r="J14470">
        <v>0</v>
      </c>
      <c r="K14470" t="str">
        <f t="shared" si="2584"/>
        <v>801</v>
      </c>
      <c r="L14470">
        <v>18.48</v>
      </c>
    </row>
    <row r="14471" spans="1:12" x14ac:dyDescent="0.25">
      <c r="A14471" t="str">
        <f t="shared" si="2585"/>
        <v>89301000</v>
      </c>
      <c r="B14471" t="str">
        <f t="shared" si="2581"/>
        <v>93201000</v>
      </c>
      <c r="C14471" t="str">
        <f t="shared" si="2582"/>
        <v>93201250</v>
      </c>
      <c r="D14471">
        <v>89301167</v>
      </c>
      <c r="E14471" t="str">
        <f t="shared" si="2583"/>
        <v>7657065790</v>
      </c>
      <c r="F14471" s="1">
        <v>45245</v>
      </c>
      <c r="G14471" t="str">
        <f>"93195"</f>
        <v>93195</v>
      </c>
      <c r="H14471">
        <v>1</v>
      </c>
      <c r="I14471">
        <v>183</v>
      </c>
      <c r="J14471">
        <v>0</v>
      </c>
      <c r="K14471" t="str">
        <f t="shared" si="2584"/>
        <v>801</v>
      </c>
      <c r="L14471">
        <v>153.72</v>
      </c>
    </row>
    <row r="14472" spans="1:12" x14ac:dyDescent="0.25">
      <c r="A14472" t="str">
        <f t="shared" si="2585"/>
        <v>89301000</v>
      </c>
      <c r="B14472" t="str">
        <f t="shared" si="2581"/>
        <v>93201000</v>
      </c>
      <c r="C14472" t="str">
        <f t="shared" si="2582"/>
        <v>93201250</v>
      </c>
      <c r="D14472">
        <v>89301167</v>
      </c>
      <c r="E14472" t="str">
        <f t="shared" si="2583"/>
        <v>7657065790</v>
      </c>
      <c r="F14472" s="1">
        <v>45245</v>
      </c>
      <c r="G14472" t="str">
        <f>"93189"</f>
        <v>93189</v>
      </c>
      <c r="H14472">
        <v>1</v>
      </c>
      <c r="I14472">
        <v>191</v>
      </c>
      <c r="J14472">
        <v>0</v>
      </c>
      <c r="K14472" t="str">
        <f t="shared" si="2584"/>
        <v>801</v>
      </c>
      <c r="L14472">
        <v>160.44</v>
      </c>
    </row>
    <row r="14473" spans="1:12" x14ac:dyDescent="0.25">
      <c r="A14473" t="str">
        <f t="shared" si="2585"/>
        <v>89301000</v>
      </c>
      <c r="B14473" t="str">
        <f t="shared" si="2581"/>
        <v>93201000</v>
      </c>
      <c r="C14473" t="str">
        <f t="shared" si="2582"/>
        <v>93201250</v>
      </c>
      <c r="D14473">
        <v>89301167</v>
      </c>
      <c r="E14473" t="str">
        <f t="shared" si="2583"/>
        <v>7657065790</v>
      </c>
      <c r="F14473" s="1">
        <v>45245</v>
      </c>
      <c r="G14473" t="str">
        <f>"81383"</f>
        <v>81383</v>
      </c>
      <c r="H14473">
        <v>1</v>
      </c>
      <c r="I14473">
        <v>24</v>
      </c>
      <c r="J14473">
        <v>0</v>
      </c>
      <c r="K14473" t="str">
        <f t="shared" si="2584"/>
        <v>801</v>
      </c>
      <c r="L14473">
        <v>20.16</v>
      </c>
    </row>
    <row r="14474" spans="1:12" x14ac:dyDescent="0.25">
      <c r="A14474" t="str">
        <f t="shared" si="2585"/>
        <v>89301000</v>
      </c>
      <c r="B14474" t="str">
        <f t="shared" si="2581"/>
        <v>93201000</v>
      </c>
      <c r="C14474" t="str">
        <f t="shared" si="2582"/>
        <v>93201250</v>
      </c>
      <c r="D14474">
        <v>89301082</v>
      </c>
      <c r="E14474" t="str">
        <f>"9657106173"</f>
        <v>9657106173</v>
      </c>
      <c r="F14474" s="1">
        <v>45250</v>
      </c>
      <c r="G14474" t="str">
        <f>"97111"</f>
        <v>97111</v>
      </c>
      <c r="H14474">
        <v>1</v>
      </c>
      <c r="I14474">
        <v>19</v>
      </c>
      <c r="J14474">
        <v>0</v>
      </c>
      <c r="K14474" t="str">
        <f t="shared" si="2584"/>
        <v>801</v>
      </c>
      <c r="L14474">
        <v>23.94</v>
      </c>
    </row>
    <row r="14475" spans="1:12" x14ac:dyDescent="0.25">
      <c r="A14475" t="str">
        <f t="shared" si="2585"/>
        <v>89301000</v>
      </c>
      <c r="B14475" t="str">
        <f t="shared" si="2581"/>
        <v>93201000</v>
      </c>
      <c r="C14475" t="str">
        <f t="shared" si="2582"/>
        <v>93201250</v>
      </c>
      <c r="D14475">
        <v>89301082</v>
      </c>
      <c r="E14475" t="str">
        <f>"9657106173"</f>
        <v>9657106173</v>
      </c>
      <c r="F14475" s="1">
        <v>45250</v>
      </c>
      <c r="G14475" t="str">
        <f>"09119"</f>
        <v>09119</v>
      </c>
      <c r="H14475">
        <v>1</v>
      </c>
      <c r="I14475">
        <v>43</v>
      </c>
      <c r="J14475">
        <v>0</v>
      </c>
      <c r="K14475" t="str">
        <f t="shared" si="2584"/>
        <v>801</v>
      </c>
      <c r="L14475">
        <v>54.18</v>
      </c>
    </row>
    <row r="14476" spans="1:12" x14ac:dyDescent="0.25">
      <c r="A14476" t="str">
        <f t="shared" si="2585"/>
        <v>89301000</v>
      </c>
      <c r="B14476" t="str">
        <f t="shared" si="2581"/>
        <v>93201000</v>
      </c>
      <c r="C14476" t="str">
        <f t="shared" si="2582"/>
        <v>93201250</v>
      </c>
      <c r="D14476">
        <v>89301082</v>
      </c>
      <c r="E14476" t="str">
        <f>"9657106173"</f>
        <v>9657106173</v>
      </c>
      <c r="F14476" s="1">
        <v>45250</v>
      </c>
      <c r="G14476" t="str">
        <f>"93159"</f>
        <v>93159</v>
      </c>
      <c r="H14476">
        <v>1</v>
      </c>
      <c r="I14476">
        <v>197</v>
      </c>
      <c r="J14476">
        <v>0</v>
      </c>
      <c r="K14476" t="str">
        <f t="shared" si="2584"/>
        <v>801</v>
      </c>
      <c r="L14476">
        <v>165.48</v>
      </c>
    </row>
    <row r="14477" spans="1:12" x14ac:dyDescent="0.25">
      <c r="A14477" t="str">
        <f t="shared" si="2585"/>
        <v>89301000</v>
      </c>
      <c r="B14477" t="str">
        <f t="shared" si="2581"/>
        <v>93201000</v>
      </c>
      <c r="C14477" t="str">
        <f>"93201130"</f>
        <v>93201130</v>
      </c>
      <c r="D14477">
        <v>89301167</v>
      </c>
      <c r="E14477" t="str">
        <f>"7657065790"</f>
        <v>7657065790</v>
      </c>
      <c r="F14477" s="1">
        <v>45245</v>
      </c>
      <c r="G14477" t="str">
        <f>"96167"</f>
        <v>96167</v>
      </c>
      <c r="H14477">
        <v>1</v>
      </c>
      <c r="I14477">
        <v>67</v>
      </c>
      <c r="J14477">
        <v>0</v>
      </c>
      <c r="K14477" t="str">
        <f>"818"</f>
        <v>818</v>
      </c>
      <c r="L14477">
        <v>64.989999999999995</v>
      </c>
    </row>
    <row r="14478" spans="1:12" x14ac:dyDescent="0.25">
      <c r="A14478" t="str">
        <f t="shared" si="2585"/>
        <v>89301000</v>
      </c>
      <c r="B14478" t="str">
        <f t="shared" si="2581"/>
        <v>93201000</v>
      </c>
      <c r="C14478" t="str">
        <f>"93201012"</f>
        <v>93201012</v>
      </c>
      <c r="D14478">
        <v>89301167</v>
      </c>
      <c r="E14478" t="str">
        <f>"7657065790"</f>
        <v>7657065790</v>
      </c>
      <c r="F14478" s="1">
        <v>45245</v>
      </c>
      <c r="G14478" t="str">
        <f>"91153"</f>
        <v>91153</v>
      </c>
      <c r="H14478">
        <v>1</v>
      </c>
      <c r="I14478">
        <v>153</v>
      </c>
      <c r="J14478">
        <v>0</v>
      </c>
      <c r="K14478" t="str">
        <f>"813"</f>
        <v>813</v>
      </c>
      <c r="L14478">
        <v>128.52000000000001</v>
      </c>
    </row>
    <row r="14479" spans="1:12" x14ac:dyDescent="0.25">
      <c r="A14479" t="str">
        <f t="shared" si="2585"/>
        <v>89301000</v>
      </c>
      <c r="B14479" t="str">
        <f t="shared" si="2581"/>
        <v>93201000</v>
      </c>
      <c r="C14479" t="str">
        <f t="shared" ref="C14479:C14487" si="2586">"93201350"</f>
        <v>93201350</v>
      </c>
      <c r="D14479">
        <v>89301212</v>
      </c>
      <c r="E14479" t="str">
        <f>"7453025800"</f>
        <v>7453025800</v>
      </c>
      <c r="F14479" s="1">
        <v>45252</v>
      </c>
      <c r="G14479" t="str">
        <f>"89513"</f>
        <v>89513</v>
      </c>
      <c r="H14479">
        <v>1</v>
      </c>
      <c r="I14479">
        <v>378</v>
      </c>
      <c r="J14479">
        <v>0</v>
      </c>
      <c r="K14479" t="str">
        <f t="shared" ref="K14479:K14487" si="2587">"809"</f>
        <v>809</v>
      </c>
      <c r="L14479">
        <v>555.66</v>
      </c>
    </row>
    <row r="14480" spans="1:12" x14ac:dyDescent="0.25">
      <c r="A14480" t="str">
        <f t="shared" si="2585"/>
        <v>89301000</v>
      </c>
      <c r="B14480" t="str">
        <f t="shared" si="2581"/>
        <v>93201000</v>
      </c>
      <c r="C14480" t="str">
        <f t="shared" si="2586"/>
        <v>93201350</v>
      </c>
      <c r="D14480">
        <v>89301212</v>
      </c>
      <c r="E14480" t="str">
        <f>"7453025800"</f>
        <v>7453025800</v>
      </c>
      <c r="F14480" s="1">
        <v>45252</v>
      </c>
      <c r="G14480" t="str">
        <f>"89514"</f>
        <v>89514</v>
      </c>
      <c r="H14480">
        <v>1</v>
      </c>
      <c r="I14480">
        <v>378</v>
      </c>
      <c r="J14480">
        <v>0</v>
      </c>
      <c r="K14480" t="str">
        <f t="shared" si="2587"/>
        <v>809</v>
      </c>
      <c r="L14480">
        <v>555.66</v>
      </c>
    </row>
    <row r="14481" spans="1:12" x14ac:dyDescent="0.25">
      <c r="A14481" t="str">
        <f t="shared" si="2585"/>
        <v>89301000</v>
      </c>
      <c r="B14481" t="str">
        <f t="shared" si="2581"/>
        <v>93201000</v>
      </c>
      <c r="C14481" t="str">
        <f t="shared" si="2586"/>
        <v>93201350</v>
      </c>
      <c r="D14481">
        <v>89301034</v>
      </c>
      <c r="E14481" t="str">
        <f>"9655276147"</f>
        <v>9655276147</v>
      </c>
      <c r="F14481" s="1">
        <v>45253</v>
      </c>
      <c r="G14481" t="str">
        <f>"89513"</f>
        <v>89513</v>
      </c>
      <c r="H14481">
        <v>1</v>
      </c>
      <c r="I14481">
        <v>378</v>
      </c>
      <c r="J14481">
        <v>0</v>
      </c>
      <c r="K14481" t="str">
        <f t="shared" si="2587"/>
        <v>809</v>
      </c>
      <c r="L14481">
        <v>555.66</v>
      </c>
    </row>
    <row r="14482" spans="1:12" x14ac:dyDescent="0.25">
      <c r="A14482" t="str">
        <f t="shared" si="2585"/>
        <v>89301000</v>
      </c>
      <c r="B14482" t="str">
        <f t="shared" si="2581"/>
        <v>93201000</v>
      </c>
      <c r="C14482" t="str">
        <f t="shared" si="2586"/>
        <v>93201350</v>
      </c>
      <c r="D14482">
        <v>89301034</v>
      </c>
      <c r="E14482" t="str">
        <f>"9655276147"</f>
        <v>9655276147</v>
      </c>
      <c r="F14482" s="1">
        <v>45253</v>
      </c>
      <c r="G14482" t="str">
        <f>"89514"</f>
        <v>89514</v>
      </c>
      <c r="H14482">
        <v>1</v>
      </c>
      <c r="I14482">
        <v>378</v>
      </c>
      <c r="J14482">
        <v>0</v>
      </c>
      <c r="K14482" t="str">
        <f t="shared" si="2587"/>
        <v>809</v>
      </c>
      <c r="L14482">
        <v>555.66</v>
      </c>
    </row>
    <row r="14483" spans="1:12" x14ac:dyDescent="0.25">
      <c r="A14483" t="str">
        <f t="shared" si="2585"/>
        <v>89301000</v>
      </c>
      <c r="B14483" t="str">
        <f t="shared" si="2581"/>
        <v>93201000</v>
      </c>
      <c r="C14483" t="str">
        <f t="shared" si="2586"/>
        <v>93201350</v>
      </c>
      <c r="D14483">
        <v>89301062</v>
      </c>
      <c r="E14483" t="str">
        <f>"6657302113"</f>
        <v>6657302113</v>
      </c>
      <c r="F14483" s="1">
        <v>45257</v>
      </c>
      <c r="G14483" t="str">
        <f>"89615"</f>
        <v>89615</v>
      </c>
      <c r="H14483">
        <v>1</v>
      </c>
      <c r="I14483">
        <v>2199</v>
      </c>
      <c r="J14483">
        <v>0</v>
      </c>
      <c r="K14483" t="str">
        <f t="shared" si="2587"/>
        <v>809</v>
      </c>
      <c r="L14483">
        <v>1429.35</v>
      </c>
    </row>
    <row r="14484" spans="1:12" x14ac:dyDescent="0.25">
      <c r="A14484" t="str">
        <f t="shared" si="2585"/>
        <v>89301000</v>
      </c>
      <c r="B14484" t="str">
        <f t="shared" si="2581"/>
        <v>93201000</v>
      </c>
      <c r="C14484" t="str">
        <f t="shared" si="2586"/>
        <v>93201350</v>
      </c>
      <c r="D14484">
        <v>89301212</v>
      </c>
      <c r="E14484" t="str">
        <f>"6359271215"</f>
        <v>6359271215</v>
      </c>
      <c r="F14484" s="1">
        <v>45240</v>
      </c>
      <c r="G14484" t="str">
        <f>"89512"</f>
        <v>89512</v>
      </c>
      <c r="H14484">
        <v>1</v>
      </c>
      <c r="I14484">
        <v>283</v>
      </c>
      <c r="J14484">
        <v>0</v>
      </c>
      <c r="K14484" t="str">
        <f t="shared" si="2587"/>
        <v>809</v>
      </c>
      <c r="L14484">
        <v>416.01</v>
      </c>
    </row>
    <row r="14485" spans="1:12" x14ac:dyDescent="0.25">
      <c r="A14485" t="str">
        <f t="shared" si="2585"/>
        <v>89301000</v>
      </c>
      <c r="B14485" t="str">
        <f t="shared" si="2581"/>
        <v>93201000</v>
      </c>
      <c r="C14485" t="str">
        <f t="shared" si="2586"/>
        <v>93201350</v>
      </c>
      <c r="D14485">
        <v>89301212</v>
      </c>
      <c r="E14485" t="str">
        <f>"6359271215"</f>
        <v>6359271215</v>
      </c>
      <c r="F14485" s="1">
        <v>45240</v>
      </c>
      <c r="G14485" t="str">
        <f>"89180"</f>
        <v>89180</v>
      </c>
      <c r="H14485">
        <v>2</v>
      </c>
      <c r="I14485">
        <v>762</v>
      </c>
      <c r="J14485">
        <v>0</v>
      </c>
      <c r="K14485" t="str">
        <f t="shared" si="2587"/>
        <v>809</v>
      </c>
      <c r="L14485">
        <v>1120.1400000000001</v>
      </c>
    </row>
    <row r="14486" spans="1:12" x14ac:dyDescent="0.25">
      <c r="A14486" t="str">
        <f t="shared" si="2585"/>
        <v>89301000</v>
      </c>
      <c r="B14486" t="str">
        <f t="shared" si="2581"/>
        <v>93201000</v>
      </c>
      <c r="C14486" t="str">
        <f t="shared" si="2586"/>
        <v>93201350</v>
      </c>
      <c r="D14486">
        <v>89301212</v>
      </c>
      <c r="E14486" t="str">
        <f>"7655135785"</f>
        <v>7655135785</v>
      </c>
      <c r="F14486" s="1">
        <v>45240</v>
      </c>
      <c r="G14486" t="str">
        <f>"89512"</f>
        <v>89512</v>
      </c>
      <c r="H14486">
        <v>1</v>
      </c>
      <c r="I14486">
        <v>283</v>
      </c>
      <c r="J14486">
        <v>0</v>
      </c>
      <c r="K14486" t="str">
        <f t="shared" si="2587"/>
        <v>809</v>
      </c>
      <c r="L14486">
        <v>416.01</v>
      </c>
    </row>
    <row r="14487" spans="1:12" x14ac:dyDescent="0.25">
      <c r="A14487" t="str">
        <f t="shared" si="2585"/>
        <v>89301000</v>
      </c>
      <c r="B14487" t="str">
        <f t="shared" si="2581"/>
        <v>93201000</v>
      </c>
      <c r="C14487" t="str">
        <f t="shared" si="2586"/>
        <v>93201350</v>
      </c>
      <c r="D14487">
        <v>89301212</v>
      </c>
      <c r="E14487" t="str">
        <f>"7655135785"</f>
        <v>7655135785</v>
      </c>
      <c r="F14487" s="1">
        <v>45240</v>
      </c>
      <c r="G14487" t="str">
        <f>"89180"</f>
        <v>89180</v>
      </c>
      <c r="H14487">
        <v>2</v>
      </c>
      <c r="I14487">
        <v>762</v>
      </c>
      <c r="J14487">
        <v>0</v>
      </c>
      <c r="K14487" t="str">
        <f t="shared" si="2587"/>
        <v>809</v>
      </c>
      <c r="L14487">
        <v>1120.1400000000001</v>
      </c>
    </row>
    <row r="14488" spans="1:12" x14ac:dyDescent="0.25">
      <c r="A14488" t="str">
        <f t="shared" si="2585"/>
        <v>89301000</v>
      </c>
      <c r="B14488" t="str">
        <f t="shared" si="2581"/>
        <v>93201000</v>
      </c>
      <c r="C14488" t="str">
        <f>"93201355"</f>
        <v>93201355</v>
      </c>
      <c r="D14488">
        <v>89301132</v>
      </c>
      <c r="E14488" t="str">
        <f>"8210065798"</f>
        <v>8210065798</v>
      </c>
      <c r="F14488" s="1">
        <v>45253</v>
      </c>
      <c r="G14488" t="str">
        <f>"89713"</f>
        <v>89713</v>
      </c>
      <c r="H14488">
        <v>2</v>
      </c>
      <c r="I14488">
        <v>10822</v>
      </c>
      <c r="J14488">
        <v>0</v>
      </c>
      <c r="K14488" t="str">
        <f>"810"</f>
        <v>810</v>
      </c>
      <c r="L14488">
        <v>7034.3</v>
      </c>
    </row>
    <row r="14489" spans="1:12" x14ac:dyDescent="0.25">
      <c r="A14489" t="str">
        <f t="shared" si="2585"/>
        <v>89301000</v>
      </c>
      <c r="B14489" t="str">
        <f t="shared" si="2581"/>
        <v>93201000</v>
      </c>
      <c r="C14489" t="str">
        <f>"93201355"</f>
        <v>93201355</v>
      </c>
      <c r="D14489">
        <v>89301132</v>
      </c>
      <c r="E14489" t="str">
        <f>"8210065798"</f>
        <v>8210065798</v>
      </c>
      <c r="F14489" s="1">
        <v>45253</v>
      </c>
      <c r="G14489" t="str">
        <f>"0054253"</f>
        <v>0054253</v>
      </c>
      <c r="H14489">
        <v>1</v>
      </c>
      <c r="J14489">
        <v>843.46</v>
      </c>
      <c r="K14489" t="str">
        <f>"810"</f>
        <v>810</v>
      </c>
      <c r="L14489">
        <v>843.46</v>
      </c>
    </row>
    <row r="14490" spans="1:12" x14ac:dyDescent="0.25">
      <c r="A14490" t="str">
        <f t="shared" si="2585"/>
        <v>89301000</v>
      </c>
      <c r="B14490" t="str">
        <f t="shared" si="2581"/>
        <v>93201000</v>
      </c>
      <c r="C14490" t="str">
        <f>"93201355"</f>
        <v>93201355</v>
      </c>
      <c r="D14490">
        <v>89301606</v>
      </c>
      <c r="E14490" t="str">
        <f>"8057275754"</f>
        <v>8057275754</v>
      </c>
      <c r="F14490" s="1">
        <v>45233</v>
      </c>
      <c r="G14490" t="str">
        <f>"89713"</f>
        <v>89713</v>
      </c>
      <c r="H14490">
        <v>1</v>
      </c>
      <c r="I14490">
        <v>5411</v>
      </c>
      <c r="J14490">
        <v>0</v>
      </c>
      <c r="K14490" t="str">
        <f>"810"</f>
        <v>810</v>
      </c>
      <c r="L14490">
        <v>3517.15</v>
      </c>
    </row>
    <row r="14491" spans="1:12" x14ac:dyDescent="0.25">
      <c r="A14491" t="str">
        <f t="shared" si="2585"/>
        <v>89301000</v>
      </c>
      <c r="B14491" t="str">
        <f t="shared" si="2581"/>
        <v>93201000</v>
      </c>
      <c r="C14491" t="str">
        <f>"93201355"</f>
        <v>93201355</v>
      </c>
      <c r="D14491">
        <v>89301606</v>
      </c>
      <c r="E14491" t="str">
        <f>"7201025689"</f>
        <v>7201025689</v>
      </c>
      <c r="F14491" s="1">
        <v>45254</v>
      </c>
      <c r="G14491" t="str">
        <f>"89713"</f>
        <v>89713</v>
      </c>
      <c r="H14491">
        <v>1</v>
      </c>
      <c r="I14491">
        <v>5411</v>
      </c>
      <c r="J14491">
        <v>0</v>
      </c>
      <c r="K14491" t="str">
        <f>"810"</f>
        <v>810</v>
      </c>
      <c r="L14491">
        <v>3517.15</v>
      </c>
    </row>
    <row r="14492" spans="1:12" x14ac:dyDescent="0.25">
      <c r="A14492" t="str">
        <f t="shared" si="2585"/>
        <v>89301000</v>
      </c>
      <c r="B14492" t="str">
        <f t="shared" si="2581"/>
        <v>93201000</v>
      </c>
      <c r="C14492" t="str">
        <f>"93201355"</f>
        <v>93201355</v>
      </c>
      <c r="D14492">
        <v>89301062</v>
      </c>
      <c r="E14492" t="str">
        <f>"7304014696"</f>
        <v>7304014696</v>
      </c>
      <c r="F14492" s="1">
        <v>45240</v>
      </c>
      <c r="G14492" t="str">
        <f>"89713"</f>
        <v>89713</v>
      </c>
      <c r="H14492">
        <v>1</v>
      </c>
      <c r="I14492">
        <v>5411</v>
      </c>
      <c r="J14492">
        <v>0</v>
      </c>
      <c r="K14492" t="str">
        <f>"810"</f>
        <v>810</v>
      </c>
      <c r="L14492">
        <v>3517.15</v>
      </c>
    </row>
    <row r="14493" spans="1:12" x14ac:dyDescent="0.25">
      <c r="A14493" t="str">
        <f t="shared" si="2585"/>
        <v>89301000</v>
      </c>
      <c r="B14493" t="str">
        <f t="shared" ref="B14493:B14531" si="2588">"78006000"</f>
        <v>78006000</v>
      </c>
      <c r="C14493" t="str">
        <f t="shared" ref="C14493:C14500" si="2589">"78006831"</f>
        <v>78006831</v>
      </c>
      <c r="D14493">
        <v>89301212</v>
      </c>
      <c r="E14493" t="str">
        <f>"495620001"</f>
        <v>495620001</v>
      </c>
      <c r="F14493" s="1">
        <v>45257</v>
      </c>
      <c r="G14493" t="str">
        <f>"89513"</f>
        <v>89513</v>
      </c>
      <c r="H14493">
        <v>1</v>
      </c>
      <c r="I14493">
        <v>378</v>
      </c>
      <c r="J14493">
        <v>0</v>
      </c>
      <c r="K14493" t="str">
        <f t="shared" ref="K14493:K14502" si="2590">"809"</f>
        <v>809</v>
      </c>
      <c r="L14493">
        <v>555.66</v>
      </c>
    </row>
    <row r="14494" spans="1:12" x14ac:dyDescent="0.25">
      <c r="A14494" t="str">
        <f t="shared" si="2585"/>
        <v>89301000</v>
      </c>
      <c r="B14494" t="str">
        <f t="shared" si="2588"/>
        <v>78006000</v>
      </c>
      <c r="C14494" t="str">
        <f t="shared" si="2589"/>
        <v>78006831</v>
      </c>
      <c r="D14494">
        <v>89301212</v>
      </c>
      <c r="E14494" t="str">
        <f>"495620001"</f>
        <v>495620001</v>
      </c>
      <c r="F14494" s="1">
        <v>45257</v>
      </c>
      <c r="G14494" t="str">
        <f>"89514"</f>
        <v>89514</v>
      </c>
      <c r="H14494">
        <v>1</v>
      </c>
      <c r="I14494">
        <v>378</v>
      </c>
      <c r="J14494">
        <v>0</v>
      </c>
      <c r="K14494" t="str">
        <f t="shared" si="2590"/>
        <v>809</v>
      </c>
      <c r="L14494">
        <v>555.66</v>
      </c>
    </row>
    <row r="14495" spans="1:12" x14ac:dyDescent="0.25">
      <c r="A14495" t="str">
        <f t="shared" si="2585"/>
        <v>89301000</v>
      </c>
      <c r="B14495" t="str">
        <f t="shared" si="2588"/>
        <v>78006000</v>
      </c>
      <c r="C14495" t="str">
        <f t="shared" si="2589"/>
        <v>78006831</v>
      </c>
      <c r="D14495">
        <v>89301103</v>
      </c>
      <c r="E14495" t="str">
        <f>"9762065709"</f>
        <v>9762065709</v>
      </c>
      <c r="F14495" s="1">
        <v>45260</v>
      </c>
      <c r="G14495" t="str">
        <f>"09135"</f>
        <v>09135</v>
      </c>
      <c r="H14495">
        <v>1</v>
      </c>
      <c r="I14495">
        <v>179</v>
      </c>
      <c r="J14495">
        <v>0</v>
      </c>
      <c r="K14495" t="str">
        <f t="shared" si="2590"/>
        <v>809</v>
      </c>
      <c r="L14495">
        <v>263.13</v>
      </c>
    </row>
    <row r="14496" spans="1:12" x14ac:dyDescent="0.25">
      <c r="A14496" t="str">
        <f t="shared" si="2585"/>
        <v>89301000</v>
      </c>
      <c r="B14496" t="str">
        <f t="shared" si="2588"/>
        <v>78006000</v>
      </c>
      <c r="C14496" t="str">
        <f t="shared" si="2589"/>
        <v>78006831</v>
      </c>
      <c r="D14496">
        <v>89301212</v>
      </c>
      <c r="E14496" t="str">
        <f>"5412223762"</f>
        <v>5412223762</v>
      </c>
      <c r="F14496" s="1">
        <v>45236</v>
      </c>
      <c r="G14496" t="str">
        <f>"89611"</f>
        <v>89611</v>
      </c>
      <c r="H14496">
        <v>1</v>
      </c>
      <c r="I14496">
        <v>2262</v>
      </c>
      <c r="J14496">
        <v>0</v>
      </c>
      <c r="K14496" t="str">
        <f t="shared" si="2590"/>
        <v>809</v>
      </c>
      <c r="L14496">
        <v>1470.3</v>
      </c>
    </row>
    <row r="14497" spans="1:12" x14ac:dyDescent="0.25">
      <c r="A14497" t="str">
        <f t="shared" si="2585"/>
        <v>89301000</v>
      </c>
      <c r="B14497" t="str">
        <f t="shared" si="2588"/>
        <v>78006000</v>
      </c>
      <c r="C14497" t="str">
        <f t="shared" si="2589"/>
        <v>78006831</v>
      </c>
      <c r="D14497">
        <v>89301212</v>
      </c>
      <c r="E14497" t="str">
        <f>"5412223762"</f>
        <v>5412223762</v>
      </c>
      <c r="F14497" s="1">
        <v>45236</v>
      </c>
      <c r="G14497" t="str">
        <f>"0137480"</f>
        <v>0137480</v>
      </c>
      <c r="H14497">
        <v>0.2</v>
      </c>
      <c r="J14497">
        <v>1004.83</v>
      </c>
      <c r="K14497" t="str">
        <f t="shared" si="2590"/>
        <v>809</v>
      </c>
      <c r="L14497">
        <v>1004.83</v>
      </c>
    </row>
    <row r="14498" spans="1:12" x14ac:dyDescent="0.25">
      <c r="A14498" t="str">
        <f t="shared" si="2585"/>
        <v>89301000</v>
      </c>
      <c r="B14498" t="str">
        <f t="shared" si="2588"/>
        <v>78006000</v>
      </c>
      <c r="C14498" t="str">
        <f t="shared" si="2589"/>
        <v>78006831</v>
      </c>
      <c r="D14498">
        <v>89301212</v>
      </c>
      <c r="E14498" t="str">
        <f>"6206032272"</f>
        <v>6206032272</v>
      </c>
      <c r="F14498" s="1">
        <v>45257</v>
      </c>
      <c r="G14498" t="str">
        <f>"89611"</f>
        <v>89611</v>
      </c>
      <c r="H14498">
        <v>1</v>
      </c>
      <c r="I14498">
        <v>2262</v>
      </c>
      <c r="J14498">
        <v>0</v>
      </c>
      <c r="K14498" t="str">
        <f t="shared" si="2590"/>
        <v>809</v>
      </c>
      <c r="L14498">
        <v>1470.3</v>
      </c>
    </row>
    <row r="14499" spans="1:12" x14ac:dyDescent="0.25">
      <c r="A14499" t="str">
        <f t="shared" si="2585"/>
        <v>89301000</v>
      </c>
      <c r="B14499" t="str">
        <f t="shared" si="2588"/>
        <v>78006000</v>
      </c>
      <c r="C14499" t="str">
        <f t="shared" si="2589"/>
        <v>78006831</v>
      </c>
      <c r="D14499">
        <v>89301212</v>
      </c>
      <c r="E14499" t="str">
        <f>"6206032272"</f>
        <v>6206032272</v>
      </c>
      <c r="F14499" s="1">
        <v>45257</v>
      </c>
      <c r="G14499" t="str">
        <f>"0137480"</f>
        <v>0137480</v>
      </c>
      <c r="H14499">
        <v>0.2</v>
      </c>
      <c r="J14499">
        <v>1004.83</v>
      </c>
      <c r="K14499" t="str">
        <f t="shared" si="2590"/>
        <v>809</v>
      </c>
      <c r="L14499">
        <v>1004.83</v>
      </c>
    </row>
    <row r="14500" spans="1:12" x14ac:dyDescent="0.25">
      <c r="A14500" t="str">
        <f t="shared" si="2585"/>
        <v>89301000</v>
      </c>
      <c r="B14500" t="str">
        <f t="shared" si="2588"/>
        <v>78006000</v>
      </c>
      <c r="C14500" t="str">
        <f t="shared" si="2589"/>
        <v>78006831</v>
      </c>
      <c r="D14500">
        <v>89301062</v>
      </c>
      <c r="E14500" t="str">
        <f>"5461042521"</f>
        <v>5461042521</v>
      </c>
      <c r="F14500" s="1">
        <v>45260</v>
      </c>
      <c r="G14500" t="str">
        <f>"89615"</f>
        <v>89615</v>
      </c>
      <c r="H14500">
        <v>1</v>
      </c>
      <c r="I14500">
        <v>2199</v>
      </c>
      <c r="J14500">
        <v>0</v>
      </c>
      <c r="K14500" t="str">
        <f t="shared" si="2590"/>
        <v>809</v>
      </c>
      <c r="L14500">
        <v>1429.35</v>
      </c>
    </row>
    <row r="14501" spans="1:12" x14ac:dyDescent="0.25">
      <c r="A14501" t="str">
        <f t="shared" si="2585"/>
        <v>89301000</v>
      </c>
      <c r="B14501" t="str">
        <f t="shared" si="2588"/>
        <v>78006000</v>
      </c>
      <c r="C14501" t="str">
        <f>"78006531"</f>
        <v>78006531</v>
      </c>
      <c r="D14501">
        <v>89301062</v>
      </c>
      <c r="E14501" t="str">
        <f>"5961271404"</f>
        <v>5961271404</v>
      </c>
      <c r="F14501" s="1">
        <v>45240</v>
      </c>
      <c r="G14501" t="str">
        <f>"89119"</f>
        <v>89119</v>
      </c>
      <c r="H14501">
        <v>1</v>
      </c>
      <c r="I14501">
        <v>204</v>
      </c>
      <c r="J14501">
        <v>0</v>
      </c>
      <c r="K14501" t="str">
        <f t="shared" si="2590"/>
        <v>809</v>
      </c>
      <c r="L14501">
        <v>299.88</v>
      </c>
    </row>
    <row r="14502" spans="1:12" x14ac:dyDescent="0.25">
      <c r="A14502" t="str">
        <f t="shared" si="2585"/>
        <v>89301000</v>
      </c>
      <c r="B14502" t="str">
        <f t="shared" si="2588"/>
        <v>78006000</v>
      </c>
      <c r="C14502" t="str">
        <f>"78006531"</f>
        <v>78006531</v>
      </c>
      <c r="D14502">
        <v>89301062</v>
      </c>
      <c r="E14502" t="str">
        <f>"5961271404"</f>
        <v>5961271404</v>
      </c>
      <c r="F14502" s="1">
        <v>45240</v>
      </c>
      <c r="G14502" t="str">
        <f>"89119"</f>
        <v>89119</v>
      </c>
      <c r="H14502">
        <v>1</v>
      </c>
      <c r="I14502">
        <v>204</v>
      </c>
      <c r="J14502">
        <v>0</v>
      </c>
      <c r="K14502" t="str">
        <f t="shared" si="2590"/>
        <v>809</v>
      </c>
      <c r="L14502">
        <v>299.88</v>
      </c>
    </row>
    <row r="14503" spans="1:12" x14ac:dyDescent="0.25">
      <c r="A14503" t="str">
        <f t="shared" si="2585"/>
        <v>89301000</v>
      </c>
      <c r="B14503" t="str">
        <f t="shared" si="2588"/>
        <v>78006000</v>
      </c>
      <c r="C14503" t="str">
        <f>"78006201"</f>
        <v>78006201</v>
      </c>
      <c r="D14503">
        <v>89301171</v>
      </c>
      <c r="E14503" t="str">
        <f>"6607162034"</f>
        <v>6607162034</v>
      </c>
      <c r="F14503" s="1">
        <v>45257</v>
      </c>
      <c r="G14503" t="str">
        <f>"81703"</f>
        <v>81703</v>
      </c>
      <c r="H14503">
        <v>2</v>
      </c>
      <c r="I14503">
        <v>556</v>
      </c>
      <c r="J14503">
        <v>0</v>
      </c>
      <c r="K14503" t="str">
        <f>"801"</f>
        <v>801</v>
      </c>
      <c r="L14503">
        <v>467.04</v>
      </c>
    </row>
    <row r="14504" spans="1:12" x14ac:dyDescent="0.25">
      <c r="A14504" t="str">
        <f t="shared" si="2585"/>
        <v>89301000</v>
      </c>
      <c r="B14504" t="str">
        <f t="shared" si="2588"/>
        <v>78006000</v>
      </c>
      <c r="C14504" t="str">
        <f>"78006201"</f>
        <v>78006201</v>
      </c>
      <c r="D14504">
        <v>89301171</v>
      </c>
      <c r="E14504" t="str">
        <f>"8052085756"</f>
        <v>8052085756</v>
      </c>
      <c r="F14504" s="1">
        <v>45253</v>
      </c>
      <c r="G14504" t="str">
        <f>"81703"</f>
        <v>81703</v>
      </c>
      <c r="H14504">
        <v>2</v>
      </c>
      <c r="I14504">
        <v>556</v>
      </c>
      <c r="J14504">
        <v>0</v>
      </c>
      <c r="K14504" t="str">
        <f>"801"</f>
        <v>801</v>
      </c>
      <c r="L14504">
        <v>467.04</v>
      </c>
    </row>
    <row r="14505" spans="1:12" x14ac:dyDescent="0.25">
      <c r="A14505" t="str">
        <f t="shared" si="2585"/>
        <v>89301000</v>
      </c>
      <c r="B14505" t="str">
        <f t="shared" si="2588"/>
        <v>78006000</v>
      </c>
      <c r="C14505" t="str">
        <f>"78006201"</f>
        <v>78006201</v>
      </c>
      <c r="D14505">
        <v>89301171</v>
      </c>
      <c r="E14505" t="str">
        <f>"0252025730"</f>
        <v>0252025730</v>
      </c>
      <c r="F14505" s="1">
        <v>45257</v>
      </c>
      <c r="G14505" t="str">
        <f>"81703"</f>
        <v>81703</v>
      </c>
      <c r="H14505">
        <v>2</v>
      </c>
      <c r="I14505">
        <v>556</v>
      </c>
      <c r="J14505">
        <v>0</v>
      </c>
      <c r="K14505" t="str">
        <f>"801"</f>
        <v>801</v>
      </c>
      <c r="L14505">
        <v>467.04</v>
      </c>
    </row>
    <row r="14506" spans="1:12" x14ac:dyDescent="0.25">
      <c r="A14506" t="str">
        <f t="shared" si="2585"/>
        <v>89301000</v>
      </c>
      <c r="B14506" t="str">
        <f t="shared" si="2588"/>
        <v>78006000</v>
      </c>
      <c r="C14506" t="str">
        <f>"78006201"</f>
        <v>78006201</v>
      </c>
      <c r="D14506">
        <v>89301171</v>
      </c>
      <c r="E14506" t="str">
        <f>"8151215325"</f>
        <v>8151215325</v>
      </c>
      <c r="F14506" s="1">
        <v>45253</v>
      </c>
      <c r="G14506" t="str">
        <f>"81703"</f>
        <v>81703</v>
      </c>
      <c r="H14506">
        <v>2</v>
      </c>
      <c r="I14506">
        <v>556</v>
      </c>
      <c r="J14506">
        <v>0</v>
      </c>
      <c r="K14506" t="str">
        <f>"801"</f>
        <v>801</v>
      </c>
      <c r="L14506">
        <v>467.04</v>
      </c>
    </row>
    <row r="14507" spans="1:12" x14ac:dyDescent="0.25">
      <c r="A14507" t="str">
        <f t="shared" si="2585"/>
        <v>89301000</v>
      </c>
      <c r="B14507" t="str">
        <f t="shared" si="2588"/>
        <v>78006000</v>
      </c>
      <c r="C14507" t="str">
        <f>"78006233"</f>
        <v>78006233</v>
      </c>
      <c r="D14507">
        <v>89301037</v>
      </c>
      <c r="E14507" t="str">
        <f>"9159166071"</f>
        <v>9159166071</v>
      </c>
      <c r="F14507" s="1">
        <v>45243</v>
      </c>
      <c r="G14507" t="str">
        <f>"89713"</f>
        <v>89713</v>
      </c>
      <c r="H14507">
        <v>1</v>
      </c>
      <c r="I14507">
        <v>5411</v>
      </c>
      <c r="J14507">
        <v>0</v>
      </c>
      <c r="K14507" t="str">
        <f>"810"</f>
        <v>810</v>
      </c>
      <c r="L14507">
        <v>3517.15</v>
      </c>
    </row>
    <row r="14508" spans="1:12" x14ac:dyDescent="0.25">
      <c r="A14508" t="str">
        <f t="shared" si="2585"/>
        <v>89301000</v>
      </c>
      <c r="B14508" t="str">
        <f t="shared" si="2588"/>
        <v>78006000</v>
      </c>
      <c r="C14508" t="str">
        <f>"78006233"</f>
        <v>78006233</v>
      </c>
      <c r="D14508">
        <v>89301112</v>
      </c>
      <c r="E14508" t="str">
        <f>"6656212002"</f>
        <v>6656212002</v>
      </c>
      <c r="F14508" s="1">
        <v>45244</v>
      </c>
      <c r="G14508" t="str">
        <f>"89713"</f>
        <v>89713</v>
      </c>
      <c r="H14508">
        <v>1</v>
      </c>
      <c r="I14508">
        <v>5411</v>
      </c>
      <c r="J14508">
        <v>0</v>
      </c>
      <c r="K14508" t="str">
        <f>"810"</f>
        <v>810</v>
      </c>
      <c r="L14508">
        <v>3517.15</v>
      </c>
    </row>
    <row r="14509" spans="1:12" x14ac:dyDescent="0.25">
      <c r="A14509" t="str">
        <f t="shared" si="2585"/>
        <v>89301000</v>
      </c>
      <c r="B14509" t="str">
        <f t="shared" si="2588"/>
        <v>78006000</v>
      </c>
      <c r="C14509" t="str">
        <f>"78006233"</f>
        <v>78006233</v>
      </c>
      <c r="D14509">
        <v>89301103</v>
      </c>
      <c r="E14509" t="str">
        <f>"7154139927"</f>
        <v>7154139927</v>
      </c>
      <c r="F14509" s="1">
        <v>45253</v>
      </c>
      <c r="G14509" t="str">
        <f>"89713"</f>
        <v>89713</v>
      </c>
      <c r="H14509">
        <v>1</v>
      </c>
      <c r="I14509">
        <v>5411</v>
      </c>
      <c r="J14509">
        <v>0</v>
      </c>
      <c r="K14509" t="str">
        <f>"810"</f>
        <v>810</v>
      </c>
      <c r="L14509">
        <v>3517.15</v>
      </c>
    </row>
    <row r="14510" spans="1:12" x14ac:dyDescent="0.25">
      <c r="A14510" t="str">
        <f t="shared" si="2585"/>
        <v>89301000</v>
      </c>
      <c r="B14510" t="str">
        <f t="shared" si="2588"/>
        <v>78006000</v>
      </c>
      <c r="C14510" t="str">
        <f>"78006233"</f>
        <v>78006233</v>
      </c>
      <c r="D14510">
        <v>89301103</v>
      </c>
      <c r="E14510" t="str">
        <f>"7154139927"</f>
        <v>7154139927</v>
      </c>
      <c r="F14510" s="1">
        <v>45253</v>
      </c>
      <c r="G14510" t="str">
        <f>"89725"</f>
        <v>89725</v>
      </c>
      <c r="H14510">
        <v>1</v>
      </c>
      <c r="I14510">
        <v>2863</v>
      </c>
      <c r="J14510">
        <v>0</v>
      </c>
      <c r="K14510" t="str">
        <f>"810"</f>
        <v>810</v>
      </c>
      <c r="L14510">
        <v>1860.95</v>
      </c>
    </row>
    <row r="14511" spans="1:12" x14ac:dyDescent="0.25">
      <c r="A14511" t="str">
        <f t="shared" si="2585"/>
        <v>89301000</v>
      </c>
      <c r="B14511" t="str">
        <f t="shared" si="2588"/>
        <v>78006000</v>
      </c>
      <c r="C14511" t="str">
        <f>"78006207"</f>
        <v>78006207</v>
      </c>
      <c r="D14511">
        <v>89301171</v>
      </c>
      <c r="E14511" t="str">
        <f>"6255230465"</f>
        <v>6255230465</v>
      </c>
      <c r="F14511" s="1">
        <v>45258</v>
      </c>
      <c r="G14511" t="str">
        <f>"91197"</f>
        <v>91197</v>
      </c>
      <c r="H14511">
        <v>6</v>
      </c>
      <c r="I14511">
        <v>6288</v>
      </c>
      <c r="J14511">
        <v>0</v>
      </c>
      <c r="K14511" t="str">
        <f>"813"</f>
        <v>813</v>
      </c>
      <c r="L14511">
        <v>5281.92</v>
      </c>
    </row>
    <row r="14512" spans="1:12" x14ac:dyDescent="0.25">
      <c r="A14512" t="str">
        <f t="shared" si="2585"/>
        <v>89301000</v>
      </c>
      <c r="B14512" t="str">
        <f t="shared" si="2588"/>
        <v>78006000</v>
      </c>
      <c r="C14512" t="str">
        <f>"78006231"</f>
        <v>78006231</v>
      </c>
      <c r="D14512">
        <v>89301322</v>
      </c>
      <c r="E14512" t="str">
        <f>"7210134459"</f>
        <v>7210134459</v>
      </c>
      <c r="F14512" s="1">
        <v>45254</v>
      </c>
      <c r="G14512" t="str">
        <f>"89513"</f>
        <v>89513</v>
      </c>
      <c r="H14512">
        <v>1</v>
      </c>
      <c r="I14512">
        <v>378</v>
      </c>
      <c r="J14512">
        <v>0</v>
      </c>
      <c r="K14512" t="str">
        <f t="shared" ref="K14512:K14528" si="2591">"809"</f>
        <v>809</v>
      </c>
      <c r="L14512">
        <v>555.66</v>
      </c>
    </row>
    <row r="14513" spans="1:12" x14ac:dyDescent="0.25">
      <c r="A14513" t="str">
        <f t="shared" si="2585"/>
        <v>89301000</v>
      </c>
      <c r="B14513" t="str">
        <f t="shared" si="2588"/>
        <v>78006000</v>
      </c>
      <c r="C14513" t="str">
        <f>"78006231"</f>
        <v>78006231</v>
      </c>
      <c r="D14513">
        <v>89301322</v>
      </c>
      <c r="E14513" t="str">
        <f>"7210134459"</f>
        <v>7210134459</v>
      </c>
      <c r="F14513" s="1">
        <v>45254</v>
      </c>
      <c r="G14513" t="str">
        <f>"89514"</f>
        <v>89514</v>
      </c>
      <c r="H14513">
        <v>1</v>
      </c>
      <c r="I14513">
        <v>378</v>
      </c>
      <c r="J14513">
        <v>0</v>
      </c>
      <c r="K14513" t="str">
        <f t="shared" si="2591"/>
        <v>809</v>
      </c>
      <c r="L14513">
        <v>555.66</v>
      </c>
    </row>
    <row r="14514" spans="1:12" x14ac:dyDescent="0.25">
      <c r="A14514" t="str">
        <f t="shared" si="2585"/>
        <v>89301000</v>
      </c>
      <c r="B14514" t="str">
        <f t="shared" si="2588"/>
        <v>78006000</v>
      </c>
      <c r="C14514" t="str">
        <f>"78006231"</f>
        <v>78006231</v>
      </c>
      <c r="D14514">
        <v>89301172</v>
      </c>
      <c r="E14514" t="str">
        <f>"6855311177"</f>
        <v>6855311177</v>
      </c>
      <c r="F14514" s="1">
        <v>45254</v>
      </c>
      <c r="G14514" t="str">
        <f>"89513"</f>
        <v>89513</v>
      </c>
      <c r="H14514">
        <v>1</v>
      </c>
      <c r="I14514">
        <v>378</v>
      </c>
      <c r="J14514">
        <v>0</v>
      </c>
      <c r="K14514" t="str">
        <f t="shared" si="2591"/>
        <v>809</v>
      </c>
      <c r="L14514">
        <v>555.66</v>
      </c>
    </row>
    <row r="14515" spans="1:12" x14ac:dyDescent="0.25">
      <c r="A14515" t="str">
        <f t="shared" si="2585"/>
        <v>89301000</v>
      </c>
      <c r="B14515" t="str">
        <f t="shared" si="2588"/>
        <v>78006000</v>
      </c>
      <c r="C14515" t="str">
        <f>"78006231"</f>
        <v>78006231</v>
      </c>
      <c r="D14515">
        <v>89301172</v>
      </c>
      <c r="E14515" t="str">
        <f>"6855311177"</f>
        <v>6855311177</v>
      </c>
      <c r="F14515" s="1">
        <v>45254</v>
      </c>
      <c r="G14515" t="str">
        <f>"89514"</f>
        <v>89514</v>
      </c>
      <c r="H14515">
        <v>1</v>
      </c>
      <c r="I14515">
        <v>378</v>
      </c>
      <c r="J14515">
        <v>0</v>
      </c>
      <c r="K14515" t="str">
        <f t="shared" si="2591"/>
        <v>809</v>
      </c>
      <c r="L14515">
        <v>555.66</v>
      </c>
    </row>
    <row r="14516" spans="1:12" x14ac:dyDescent="0.25">
      <c r="A14516" t="str">
        <f t="shared" si="2585"/>
        <v>89301000</v>
      </c>
      <c r="B14516" t="str">
        <f t="shared" si="2588"/>
        <v>78006000</v>
      </c>
      <c r="C14516" t="str">
        <f>"78006831"</f>
        <v>78006831</v>
      </c>
      <c r="D14516">
        <v>89301202</v>
      </c>
      <c r="E14516" t="str">
        <f>"7258175331"</f>
        <v>7258175331</v>
      </c>
      <c r="F14516" s="1">
        <v>45253</v>
      </c>
      <c r="G14516" t="str">
        <f>"89127"</f>
        <v>89127</v>
      </c>
      <c r="H14516">
        <v>1</v>
      </c>
      <c r="I14516">
        <v>242</v>
      </c>
      <c r="J14516">
        <v>0</v>
      </c>
      <c r="K14516" t="str">
        <f t="shared" si="2591"/>
        <v>809</v>
      </c>
      <c r="L14516">
        <v>355.74</v>
      </c>
    </row>
    <row r="14517" spans="1:12" x14ac:dyDescent="0.25">
      <c r="A14517" t="str">
        <f t="shared" si="2585"/>
        <v>89301000</v>
      </c>
      <c r="B14517" t="str">
        <f t="shared" si="2588"/>
        <v>78006000</v>
      </c>
      <c r="C14517" t="str">
        <f>"78006831"</f>
        <v>78006831</v>
      </c>
      <c r="D14517">
        <v>89301202</v>
      </c>
      <c r="E14517" t="str">
        <f>"7258175331"</f>
        <v>7258175331</v>
      </c>
      <c r="F14517" s="1">
        <v>45253</v>
      </c>
      <c r="G14517" t="str">
        <f>"89111"</f>
        <v>89111</v>
      </c>
      <c r="H14517">
        <v>1</v>
      </c>
      <c r="I14517">
        <v>172</v>
      </c>
      <c r="J14517">
        <v>0</v>
      </c>
      <c r="K14517" t="str">
        <f t="shared" si="2591"/>
        <v>809</v>
      </c>
      <c r="L14517">
        <v>252.84</v>
      </c>
    </row>
    <row r="14518" spans="1:12" x14ac:dyDescent="0.25">
      <c r="A14518" t="str">
        <f t="shared" si="2585"/>
        <v>89301000</v>
      </c>
      <c r="B14518" t="str">
        <f t="shared" si="2588"/>
        <v>78006000</v>
      </c>
      <c r="C14518" t="str">
        <f>"78006831"</f>
        <v>78006831</v>
      </c>
      <c r="D14518">
        <v>89301212</v>
      </c>
      <c r="E14518" t="str">
        <f>"5956212141"</f>
        <v>5956212141</v>
      </c>
      <c r="F14518" s="1">
        <v>45259</v>
      </c>
      <c r="G14518" t="str">
        <f>"89131"</f>
        <v>89131</v>
      </c>
      <c r="H14518">
        <v>1</v>
      </c>
      <c r="I14518">
        <v>190</v>
      </c>
      <c r="J14518">
        <v>0</v>
      </c>
      <c r="K14518" t="str">
        <f t="shared" si="2591"/>
        <v>809</v>
      </c>
      <c r="L14518">
        <v>279.3</v>
      </c>
    </row>
    <row r="14519" spans="1:12" x14ac:dyDescent="0.25">
      <c r="A14519" t="str">
        <f t="shared" si="2585"/>
        <v>89301000</v>
      </c>
      <c r="B14519" t="str">
        <f t="shared" si="2588"/>
        <v>78006000</v>
      </c>
      <c r="C14519" t="str">
        <f>"78006831"</f>
        <v>78006831</v>
      </c>
      <c r="D14519">
        <v>89301212</v>
      </c>
      <c r="E14519" t="str">
        <f>"505214230"</f>
        <v>505214230</v>
      </c>
      <c r="F14519" s="1">
        <v>45238</v>
      </c>
      <c r="G14519" t="str">
        <f>"89131"</f>
        <v>89131</v>
      </c>
      <c r="H14519">
        <v>1</v>
      </c>
      <c r="I14519">
        <v>190</v>
      </c>
      <c r="J14519">
        <v>0</v>
      </c>
      <c r="K14519" t="str">
        <f t="shared" si="2591"/>
        <v>809</v>
      </c>
      <c r="L14519">
        <v>279.3</v>
      </c>
    </row>
    <row r="14520" spans="1:12" x14ac:dyDescent="0.25">
      <c r="A14520" t="str">
        <f t="shared" si="2585"/>
        <v>89301000</v>
      </c>
      <c r="B14520" t="str">
        <f t="shared" si="2588"/>
        <v>78006000</v>
      </c>
      <c r="C14520" t="str">
        <f t="shared" ref="C14520:C14528" si="2592">"78006231"</f>
        <v>78006231</v>
      </c>
      <c r="D14520">
        <v>89301212</v>
      </c>
      <c r="E14520" t="str">
        <f>"535628184"</f>
        <v>535628184</v>
      </c>
      <c r="F14520" s="1">
        <v>45236</v>
      </c>
      <c r="G14520" t="str">
        <f>"89180"</f>
        <v>89180</v>
      </c>
      <c r="H14520">
        <v>1</v>
      </c>
      <c r="I14520">
        <v>381</v>
      </c>
      <c r="J14520">
        <v>0</v>
      </c>
      <c r="K14520" t="str">
        <f t="shared" si="2591"/>
        <v>809</v>
      </c>
      <c r="L14520">
        <v>560.07000000000005</v>
      </c>
    </row>
    <row r="14521" spans="1:12" x14ac:dyDescent="0.25">
      <c r="A14521" t="str">
        <f t="shared" si="2585"/>
        <v>89301000</v>
      </c>
      <c r="B14521" t="str">
        <f t="shared" si="2588"/>
        <v>78006000</v>
      </c>
      <c r="C14521" t="str">
        <f t="shared" si="2592"/>
        <v>78006231</v>
      </c>
      <c r="D14521">
        <v>89301292</v>
      </c>
      <c r="E14521" t="str">
        <f>"7952284472"</f>
        <v>7952284472</v>
      </c>
      <c r="F14521" s="1">
        <v>45244</v>
      </c>
      <c r="G14521" t="str">
        <f>"89180"</f>
        <v>89180</v>
      </c>
      <c r="H14521">
        <v>1</v>
      </c>
      <c r="I14521">
        <v>381</v>
      </c>
      <c r="J14521">
        <v>0</v>
      </c>
      <c r="K14521" t="str">
        <f t="shared" si="2591"/>
        <v>809</v>
      </c>
      <c r="L14521">
        <v>560.07000000000005</v>
      </c>
    </row>
    <row r="14522" spans="1:12" x14ac:dyDescent="0.25">
      <c r="A14522" t="str">
        <f t="shared" si="2585"/>
        <v>89301000</v>
      </c>
      <c r="B14522" t="str">
        <f t="shared" si="2588"/>
        <v>78006000</v>
      </c>
      <c r="C14522" t="str">
        <f t="shared" si="2592"/>
        <v>78006231</v>
      </c>
      <c r="D14522">
        <v>89301292</v>
      </c>
      <c r="E14522" t="str">
        <f>"7952284472"</f>
        <v>7952284472</v>
      </c>
      <c r="F14522" s="1">
        <v>45244</v>
      </c>
      <c r="G14522" t="str">
        <f>"89512"</f>
        <v>89512</v>
      </c>
      <c r="H14522">
        <v>1</v>
      </c>
      <c r="I14522">
        <v>283</v>
      </c>
      <c r="J14522">
        <v>0</v>
      </c>
      <c r="K14522" t="str">
        <f t="shared" si="2591"/>
        <v>809</v>
      </c>
      <c r="L14522">
        <v>416.01</v>
      </c>
    </row>
    <row r="14523" spans="1:12" x14ac:dyDescent="0.25">
      <c r="A14523" t="str">
        <f t="shared" si="2585"/>
        <v>89301000</v>
      </c>
      <c r="B14523" t="str">
        <f t="shared" si="2588"/>
        <v>78006000</v>
      </c>
      <c r="C14523" t="str">
        <f t="shared" si="2592"/>
        <v>78006231</v>
      </c>
      <c r="D14523">
        <v>89301212</v>
      </c>
      <c r="E14523" t="str">
        <f>"535628184"</f>
        <v>535628184</v>
      </c>
      <c r="F14523" s="1">
        <v>45236</v>
      </c>
      <c r="G14523" t="str">
        <f>"89513"</f>
        <v>89513</v>
      </c>
      <c r="H14523">
        <v>1</v>
      </c>
      <c r="I14523">
        <v>378</v>
      </c>
      <c r="J14523">
        <v>0</v>
      </c>
      <c r="K14523" t="str">
        <f t="shared" si="2591"/>
        <v>809</v>
      </c>
      <c r="L14523">
        <v>555.66</v>
      </c>
    </row>
    <row r="14524" spans="1:12" x14ac:dyDescent="0.25">
      <c r="A14524" t="str">
        <f t="shared" si="2585"/>
        <v>89301000</v>
      </c>
      <c r="B14524" t="str">
        <f t="shared" si="2588"/>
        <v>78006000</v>
      </c>
      <c r="C14524" t="str">
        <f t="shared" si="2592"/>
        <v>78006231</v>
      </c>
      <c r="D14524">
        <v>89301212</v>
      </c>
      <c r="E14524" t="str">
        <f>"535628184"</f>
        <v>535628184</v>
      </c>
      <c r="F14524" s="1">
        <v>45236</v>
      </c>
      <c r="G14524" t="str">
        <f>"89514"</f>
        <v>89514</v>
      </c>
      <c r="H14524">
        <v>1</v>
      </c>
      <c r="I14524">
        <v>378</v>
      </c>
      <c r="J14524">
        <v>0</v>
      </c>
      <c r="K14524" t="str">
        <f t="shared" si="2591"/>
        <v>809</v>
      </c>
      <c r="L14524">
        <v>555.66</v>
      </c>
    </row>
    <row r="14525" spans="1:12" x14ac:dyDescent="0.25">
      <c r="A14525" t="str">
        <f t="shared" si="2585"/>
        <v>89301000</v>
      </c>
      <c r="B14525" t="str">
        <f t="shared" si="2588"/>
        <v>78006000</v>
      </c>
      <c r="C14525" t="str">
        <f t="shared" si="2592"/>
        <v>78006231</v>
      </c>
      <c r="D14525">
        <v>89301212</v>
      </c>
      <c r="E14525" t="str">
        <f>"535628184"</f>
        <v>535628184</v>
      </c>
      <c r="F14525" s="1">
        <v>45236</v>
      </c>
      <c r="G14525" t="str">
        <f>"89131"</f>
        <v>89131</v>
      </c>
      <c r="H14525">
        <v>1</v>
      </c>
      <c r="I14525">
        <v>190</v>
      </c>
      <c r="J14525">
        <v>0</v>
      </c>
      <c r="K14525" t="str">
        <f t="shared" si="2591"/>
        <v>809</v>
      </c>
      <c r="L14525">
        <v>279.3</v>
      </c>
    </row>
    <row r="14526" spans="1:12" x14ac:dyDescent="0.25">
      <c r="A14526" t="str">
        <f t="shared" si="2585"/>
        <v>89301000</v>
      </c>
      <c r="B14526" t="str">
        <f t="shared" si="2588"/>
        <v>78006000</v>
      </c>
      <c r="C14526" t="str">
        <f t="shared" si="2592"/>
        <v>78006231</v>
      </c>
      <c r="D14526">
        <v>89301322</v>
      </c>
      <c r="E14526" t="str">
        <f>"6554241188"</f>
        <v>6554241188</v>
      </c>
      <c r="F14526" s="1">
        <v>45243</v>
      </c>
      <c r="G14526" t="str">
        <f>"89113"</f>
        <v>89113</v>
      </c>
      <c r="H14526">
        <v>1</v>
      </c>
      <c r="I14526">
        <v>237</v>
      </c>
      <c r="J14526">
        <v>0</v>
      </c>
      <c r="K14526" t="str">
        <f t="shared" si="2591"/>
        <v>809</v>
      </c>
      <c r="L14526">
        <v>348.39</v>
      </c>
    </row>
    <row r="14527" spans="1:12" x14ac:dyDescent="0.25">
      <c r="A14527" t="str">
        <f t="shared" si="2585"/>
        <v>89301000</v>
      </c>
      <c r="B14527" t="str">
        <f t="shared" si="2588"/>
        <v>78006000</v>
      </c>
      <c r="C14527" t="str">
        <f t="shared" si="2592"/>
        <v>78006231</v>
      </c>
      <c r="D14527">
        <v>89301172</v>
      </c>
      <c r="E14527" t="str">
        <f>"6855311177"</f>
        <v>6855311177</v>
      </c>
      <c r="F14527" s="1">
        <v>45254</v>
      </c>
      <c r="G14527" t="str">
        <f>"89131"</f>
        <v>89131</v>
      </c>
      <c r="H14527">
        <v>2</v>
      </c>
      <c r="I14527">
        <v>380</v>
      </c>
      <c r="J14527">
        <v>0</v>
      </c>
      <c r="K14527" t="str">
        <f t="shared" si="2591"/>
        <v>809</v>
      </c>
      <c r="L14527">
        <v>558.6</v>
      </c>
    </row>
    <row r="14528" spans="1:12" x14ac:dyDescent="0.25">
      <c r="A14528" t="str">
        <f t="shared" si="2585"/>
        <v>89301000</v>
      </c>
      <c r="B14528" t="str">
        <f t="shared" si="2588"/>
        <v>78006000</v>
      </c>
      <c r="C14528" t="str">
        <f t="shared" si="2592"/>
        <v>78006231</v>
      </c>
      <c r="D14528">
        <v>89301172</v>
      </c>
      <c r="E14528" t="str">
        <f>"7656063514"</f>
        <v>7656063514</v>
      </c>
      <c r="F14528" s="1">
        <v>45259</v>
      </c>
      <c r="G14528" t="str">
        <f>"89131"</f>
        <v>89131</v>
      </c>
      <c r="H14528">
        <v>1</v>
      </c>
      <c r="I14528">
        <v>190</v>
      </c>
      <c r="J14528">
        <v>0</v>
      </c>
      <c r="K14528" t="str">
        <f t="shared" si="2591"/>
        <v>809</v>
      </c>
      <c r="L14528">
        <v>279.3</v>
      </c>
    </row>
    <row r="14529" spans="1:12" x14ac:dyDescent="0.25">
      <c r="A14529" t="str">
        <f t="shared" si="2585"/>
        <v>89301000</v>
      </c>
      <c r="B14529" t="str">
        <f t="shared" si="2588"/>
        <v>78006000</v>
      </c>
      <c r="C14529" t="str">
        <f>"78006832"</f>
        <v>78006832</v>
      </c>
      <c r="D14529">
        <v>89301112</v>
      </c>
      <c r="E14529" t="str">
        <f>"6808280930"</f>
        <v>6808280930</v>
      </c>
      <c r="F14529" s="1">
        <v>45254</v>
      </c>
      <c r="G14529" t="str">
        <f>"89713"</f>
        <v>89713</v>
      </c>
      <c r="H14529">
        <v>1</v>
      </c>
      <c r="I14529">
        <v>5411</v>
      </c>
      <c r="J14529">
        <v>0</v>
      </c>
      <c r="K14529" t="str">
        <f>"810"</f>
        <v>810</v>
      </c>
      <c r="L14529">
        <v>3517.15</v>
      </c>
    </row>
    <row r="14530" spans="1:12" x14ac:dyDescent="0.25">
      <c r="A14530" t="str">
        <f t="shared" ref="A14530:A14593" si="2593">"89301000"</f>
        <v>89301000</v>
      </c>
      <c r="B14530" t="str">
        <f t="shared" si="2588"/>
        <v>78006000</v>
      </c>
      <c r="C14530" t="str">
        <f>"78006832"</f>
        <v>78006832</v>
      </c>
      <c r="D14530">
        <v>89301062</v>
      </c>
      <c r="E14530" t="str">
        <f>"8910095733"</f>
        <v>8910095733</v>
      </c>
      <c r="F14530" s="1">
        <v>45254</v>
      </c>
      <c r="G14530" t="str">
        <f>"89713"</f>
        <v>89713</v>
      </c>
      <c r="H14530">
        <v>1</v>
      </c>
      <c r="I14530">
        <v>5411</v>
      </c>
      <c r="J14530">
        <v>0</v>
      </c>
      <c r="K14530" t="str">
        <f>"810"</f>
        <v>810</v>
      </c>
      <c r="L14530">
        <v>3517.15</v>
      </c>
    </row>
    <row r="14531" spans="1:12" x14ac:dyDescent="0.25">
      <c r="A14531" t="str">
        <f t="shared" si="2593"/>
        <v>89301000</v>
      </c>
      <c r="B14531" t="str">
        <f t="shared" si="2588"/>
        <v>78006000</v>
      </c>
      <c r="C14531" t="str">
        <f>"78006832"</f>
        <v>78006832</v>
      </c>
      <c r="D14531">
        <v>89301062</v>
      </c>
      <c r="E14531" t="str">
        <f>"8910095733"</f>
        <v>8910095733</v>
      </c>
      <c r="F14531" s="1">
        <v>45254</v>
      </c>
      <c r="G14531" t="str">
        <f>"89725"</f>
        <v>89725</v>
      </c>
      <c r="H14531">
        <v>1</v>
      </c>
      <c r="I14531">
        <v>2863</v>
      </c>
      <c r="J14531">
        <v>0</v>
      </c>
      <c r="K14531" t="str">
        <f>"810"</f>
        <v>810</v>
      </c>
      <c r="L14531">
        <v>1860.95</v>
      </c>
    </row>
    <row r="14532" spans="1:12" x14ac:dyDescent="0.25">
      <c r="A14532" t="str">
        <f t="shared" si="2593"/>
        <v>89301000</v>
      </c>
      <c r="B14532" t="str">
        <f t="shared" ref="B14532:C14535" si="2594">"89434000"</f>
        <v>89434000</v>
      </c>
      <c r="C14532" t="str">
        <f t="shared" si="2594"/>
        <v>89434000</v>
      </c>
      <c r="D14532">
        <v>89301212</v>
      </c>
      <c r="E14532" t="str">
        <f>"475217407"</f>
        <v>475217407</v>
      </c>
      <c r="F14532" s="1">
        <v>45258</v>
      </c>
      <c r="G14532" t="str">
        <f>"89513"</f>
        <v>89513</v>
      </c>
      <c r="H14532">
        <v>1</v>
      </c>
      <c r="I14532">
        <v>378</v>
      </c>
      <c r="J14532">
        <v>0</v>
      </c>
      <c r="K14532" t="str">
        <f>"809"</f>
        <v>809</v>
      </c>
      <c r="L14532">
        <v>555.66</v>
      </c>
    </row>
    <row r="14533" spans="1:12" x14ac:dyDescent="0.25">
      <c r="A14533" t="str">
        <f t="shared" si="2593"/>
        <v>89301000</v>
      </c>
      <c r="B14533" t="str">
        <f t="shared" si="2594"/>
        <v>89434000</v>
      </c>
      <c r="C14533" t="str">
        <f t="shared" si="2594"/>
        <v>89434000</v>
      </c>
      <c r="D14533">
        <v>89301212</v>
      </c>
      <c r="E14533" t="str">
        <f>"475217407"</f>
        <v>475217407</v>
      </c>
      <c r="F14533" s="1">
        <v>45258</v>
      </c>
      <c r="G14533" t="str">
        <f>"89514"</f>
        <v>89514</v>
      </c>
      <c r="H14533">
        <v>1</v>
      </c>
      <c r="I14533">
        <v>378</v>
      </c>
      <c r="J14533">
        <v>0</v>
      </c>
      <c r="K14533" t="str">
        <f>"809"</f>
        <v>809</v>
      </c>
      <c r="L14533">
        <v>555.66</v>
      </c>
    </row>
    <row r="14534" spans="1:12" x14ac:dyDescent="0.25">
      <c r="A14534" t="str">
        <f t="shared" si="2593"/>
        <v>89301000</v>
      </c>
      <c r="B14534" t="str">
        <f t="shared" si="2594"/>
        <v>89434000</v>
      </c>
      <c r="C14534" t="str">
        <f t="shared" si="2594"/>
        <v>89434000</v>
      </c>
      <c r="D14534">
        <v>89301212</v>
      </c>
      <c r="E14534" t="str">
        <f>"9455135745"</f>
        <v>9455135745</v>
      </c>
      <c r="F14534" s="1">
        <v>45243</v>
      </c>
      <c r="G14534" t="str">
        <f>"89513"</f>
        <v>89513</v>
      </c>
      <c r="H14534">
        <v>1</v>
      </c>
      <c r="I14534">
        <v>378</v>
      </c>
      <c r="J14534">
        <v>0</v>
      </c>
      <c r="K14534" t="str">
        <f>"809"</f>
        <v>809</v>
      </c>
      <c r="L14534">
        <v>555.66</v>
      </c>
    </row>
    <row r="14535" spans="1:12" x14ac:dyDescent="0.25">
      <c r="A14535" t="str">
        <f t="shared" si="2593"/>
        <v>89301000</v>
      </c>
      <c r="B14535" t="str">
        <f t="shared" si="2594"/>
        <v>89434000</v>
      </c>
      <c r="C14535" t="str">
        <f t="shared" si="2594"/>
        <v>89434000</v>
      </c>
      <c r="D14535">
        <v>89301212</v>
      </c>
      <c r="E14535" t="str">
        <f>"9455135745"</f>
        <v>9455135745</v>
      </c>
      <c r="F14535" s="1">
        <v>45243</v>
      </c>
      <c r="G14535" t="str">
        <f>"89514"</f>
        <v>89514</v>
      </c>
      <c r="H14535">
        <v>1</v>
      </c>
      <c r="I14535">
        <v>378</v>
      </c>
      <c r="J14535">
        <v>0</v>
      </c>
      <c r="K14535" t="str">
        <f>"809"</f>
        <v>809</v>
      </c>
      <c r="L14535">
        <v>555.66</v>
      </c>
    </row>
    <row r="14536" spans="1:12" x14ac:dyDescent="0.25">
      <c r="A14536" t="str">
        <f t="shared" si="2593"/>
        <v>89301000</v>
      </c>
      <c r="B14536" t="str">
        <f t="shared" ref="B14536:B14567" si="2595">"06539000"</f>
        <v>06539000</v>
      </c>
      <c r="C14536" t="str">
        <f>"06539001"</f>
        <v>06539001</v>
      </c>
      <c r="D14536">
        <v>89301171</v>
      </c>
      <c r="E14536" t="str">
        <f t="shared" ref="E14536:E14564" si="2596">"455717078"</f>
        <v>455717078</v>
      </c>
      <c r="F14536" s="1">
        <v>45212</v>
      </c>
      <c r="G14536" t="str">
        <f>"81329"</f>
        <v>81329</v>
      </c>
      <c r="H14536">
        <v>1</v>
      </c>
      <c r="I14536">
        <v>17</v>
      </c>
      <c r="J14536">
        <v>0</v>
      </c>
      <c r="K14536" t="str">
        <f>"801"</f>
        <v>801</v>
      </c>
      <c r="L14536">
        <v>14.28</v>
      </c>
    </row>
    <row r="14537" spans="1:12" x14ac:dyDescent="0.25">
      <c r="A14537" t="str">
        <f t="shared" si="2593"/>
        <v>89301000</v>
      </c>
      <c r="B14537" t="str">
        <f t="shared" si="2595"/>
        <v>06539000</v>
      </c>
      <c r="C14537" t="str">
        <f>"06539001"</f>
        <v>06539001</v>
      </c>
      <c r="D14537">
        <v>89301171</v>
      </c>
      <c r="E14537" t="str">
        <f t="shared" si="2596"/>
        <v>455717078</v>
      </c>
      <c r="F14537" s="1">
        <v>45212</v>
      </c>
      <c r="G14537" t="str">
        <f>"81331"</f>
        <v>81331</v>
      </c>
      <c r="H14537">
        <v>1</v>
      </c>
      <c r="I14537">
        <v>193</v>
      </c>
      <c r="J14537">
        <v>0</v>
      </c>
      <c r="K14537" t="str">
        <f>"801"</f>
        <v>801</v>
      </c>
      <c r="L14537">
        <v>162.12</v>
      </c>
    </row>
    <row r="14538" spans="1:12" x14ac:dyDescent="0.25">
      <c r="A14538" t="str">
        <f t="shared" si="2593"/>
        <v>89301000</v>
      </c>
      <c r="B14538" t="str">
        <f t="shared" si="2595"/>
        <v>06539000</v>
      </c>
      <c r="C14538" t="str">
        <f t="shared" ref="C14538:C14564" si="2597">"06539003"</f>
        <v>06539003</v>
      </c>
      <c r="D14538">
        <v>89301171</v>
      </c>
      <c r="E14538" t="str">
        <f t="shared" si="2596"/>
        <v>455717078</v>
      </c>
      <c r="F14538" s="1">
        <v>45217</v>
      </c>
      <c r="G14538" t="str">
        <f t="shared" ref="G14538:G14547" si="2598">"91413"</f>
        <v>91413</v>
      </c>
      <c r="H14538">
        <v>1</v>
      </c>
      <c r="I14538">
        <v>868</v>
      </c>
      <c r="J14538">
        <v>0</v>
      </c>
      <c r="K14538" t="str">
        <f t="shared" ref="K14538:K14564" si="2599">"813"</f>
        <v>813</v>
      </c>
      <c r="L14538">
        <v>729.12</v>
      </c>
    </row>
    <row r="14539" spans="1:12" x14ac:dyDescent="0.25">
      <c r="A14539" t="str">
        <f t="shared" si="2593"/>
        <v>89301000</v>
      </c>
      <c r="B14539" t="str">
        <f t="shared" si="2595"/>
        <v>06539000</v>
      </c>
      <c r="C14539" t="str">
        <f t="shared" si="2597"/>
        <v>06539003</v>
      </c>
      <c r="D14539">
        <v>89301171</v>
      </c>
      <c r="E14539" t="str">
        <f t="shared" si="2596"/>
        <v>455717078</v>
      </c>
      <c r="F14539" s="1">
        <v>45217</v>
      </c>
      <c r="G14539" t="str">
        <f t="shared" si="2598"/>
        <v>91413</v>
      </c>
      <c r="H14539">
        <v>1</v>
      </c>
      <c r="I14539">
        <v>868</v>
      </c>
      <c r="J14539">
        <v>0</v>
      </c>
      <c r="K14539" t="str">
        <f t="shared" si="2599"/>
        <v>813</v>
      </c>
      <c r="L14539">
        <v>729.12</v>
      </c>
    </row>
    <row r="14540" spans="1:12" x14ac:dyDescent="0.25">
      <c r="A14540" t="str">
        <f t="shared" si="2593"/>
        <v>89301000</v>
      </c>
      <c r="B14540" t="str">
        <f t="shared" si="2595"/>
        <v>06539000</v>
      </c>
      <c r="C14540" t="str">
        <f t="shared" si="2597"/>
        <v>06539003</v>
      </c>
      <c r="D14540">
        <v>89301171</v>
      </c>
      <c r="E14540" t="str">
        <f t="shared" si="2596"/>
        <v>455717078</v>
      </c>
      <c r="F14540" s="1">
        <v>45236</v>
      </c>
      <c r="G14540" t="str">
        <f t="shared" si="2598"/>
        <v>91413</v>
      </c>
      <c r="H14540">
        <v>1</v>
      </c>
      <c r="I14540">
        <v>868</v>
      </c>
      <c r="J14540">
        <v>0</v>
      </c>
      <c r="K14540" t="str">
        <f t="shared" si="2599"/>
        <v>813</v>
      </c>
      <c r="L14540">
        <v>729.12</v>
      </c>
    </row>
    <row r="14541" spans="1:12" x14ac:dyDescent="0.25">
      <c r="A14541" t="str">
        <f t="shared" si="2593"/>
        <v>89301000</v>
      </c>
      <c r="B14541" t="str">
        <f t="shared" si="2595"/>
        <v>06539000</v>
      </c>
      <c r="C14541" t="str">
        <f t="shared" si="2597"/>
        <v>06539003</v>
      </c>
      <c r="D14541">
        <v>89301171</v>
      </c>
      <c r="E14541" t="str">
        <f t="shared" si="2596"/>
        <v>455717078</v>
      </c>
      <c r="F14541" s="1">
        <v>45236</v>
      </c>
      <c r="G14541" t="str">
        <f t="shared" si="2598"/>
        <v>91413</v>
      </c>
      <c r="H14541">
        <v>1</v>
      </c>
      <c r="I14541">
        <v>868</v>
      </c>
      <c r="J14541">
        <v>0</v>
      </c>
      <c r="K14541" t="str">
        <f t="shared" si="2599"/>
        <v>813</v>
      </c>
      <c r="L14541">
        <v>729.12</v>
      </c>
    </row>
    <row r="14542" spans="1:12" x14ac:dyDescent="0.25">
      <c r="A14542" t="str">
        <f t="shared" si="2593"/>
        <v>89301000</v>
      </c>
      <c r="B14542" t="str">
        <f t="shared" si="2595"/>
        <v>06539000</v>
      </c>
      <c r="C14542" t="str">
        <f t="shared" si="2597"/>
        <v>06539003</v>
      </c>
      <c r="D14542">
        <v>89301171</v>
      </c>
      <c r="E14542" t="str">
        <f t="shared" si="2596"/>
        <v>455717078</v>
      </c>
      <c r="F14542" s="1">
        <v>45233</v>
      </c>
      <c r="G14542" t="str">
        <f t="shared" si="2598"/>
        <v>91413</v>
      </c>
      <c r="H14542">
        <v>1</v>
      </c>
      <c r="I14542">
        <v>868</v>
      </c>
      <c r="J14542">
        <v>0</v>
      </c>
      <c r="K14542" t="str">
        <f t="shared" si="2599"/>
        <v>813</v>
      </c>
      <c r="L14542">
        <v>729.12</v>
      </c>
    </row>
    <row r="14543" spans="1:12" x14ac:dyDescent="0.25">
      <c r="A14543" t="str">
        <f t="shared" si="2593"/>
        <v>89301000</v>
      </c>
      <c r="B14543" t="str">
        <f t="shared" si="2595"/>
        <v>06539000</v>
      </c>
      <c r="C14543" t="str">
        <f t="shared" si="2597"/>
        <v>06539003</v>
      </c>
      <c r="D14543">
        <v>89301171</v>
      </c>
      <c r="E14543" t="str">
        <f t="shared" si="2596"/>
        <v>455717078</v>
      </c>
      <c r="F14543" s="1">
        <v>45233</v>
      </c>
      <c r="G14543" t="str">
        <f t="shared" si="2598"/>
        <v>91413</v>
      </c>
      <c r="H14543">
        <v>1</v>
      </c>
      <c r="I14543">
        <v>868</v>
      </c>
      <c r="J14543">
        <v>0</v>
      </c>
      <c r="K14543" t="str">
        <f t="shared" si="2599"/>
        <v>813</v>
      </c>
      <c r="L14543">
        <v>729.12</v>
      </c>
    </row>
    <row r="14544" spans="1:12" x14ac:dyDescent="0.25">
      <c r="A14544" t="str">
        <f t="shared" si="2593"/>
        <v>89301000</v>
      </c>
      <c r="B14544" t="str">
        <f t="shared" si="2595"/>
        <v>06539000</v>
      </c>
      <c r="C14544" t="str">
        <f t="shared" si="2597"/>
        <v>06539003</v>
      </c>
      <c r="D14544">
        <v>89301171</v>
      </c>
      <c r="E14544" t="str">
        <f t="shared" si="2596"/>
        <v>455717078</v>
      </c>
      <c r="F14544" s="1">
        <v>45236</v>
      </c>
      <c r="G14544" t="str">
        <f t="shared" si="2598"/>
        <v>91413</v>
      </c>
      <c r="H14544">
        <v>1</v>
      </c>
      <c r="I14544">
        <v>868</v>
      </c>
      <c r="J14544">
        <v>0</v>
      </c>
      <c r="K14544" t="str">
        <f t="shared" si="2599"/>
        <v>813</v>
      </c>
      <c r="L14544">
        <v>729.12</v>
      </c>
    </row>
    <row r="14545" spans="1:12" x14ac:dyDescent="0.25">
      <c r="A14545" t="str">
        <f t="shared" si="2593"/>
        <v>89301000</v>
      </c>
      <c r="B14545" t="str">
        <f t="shared" si="2595"/>
        <v>06539000</v>
      </c>
      <c r="C14545" t="str">
        <f t="shared" si="2597"/>
        <v>06539003</v>
      </c>
      <c r="D14545">
        <v>89301171</v>
      </c>
      <c r="E14545" t="str">
        <f t="shared" si="2596"/>
        <v>455717078</v>
      </c>
      <c r="F14545" s="1">
        <v>45236</v>
      </c>
      <c r="G14545" t="str">
        <f t="shared" si="2598"/>
        <v>91413</v>
      </c>
      <c r="H14545">
        <v>1</v>
      </c>
      <c r="I14545">
        <v>868</v>
      </c>
      <c r="J14545">
        <v>0</v>
      </c>
      <c r="K14545" t="str">
        <f t="shared" si="2599"/>
        <v>813</v>
      </c>
      <c r="L14545">
        <v>729.12</v>
      </c>
    </row>
    <row r="14546" spans="1:12" x14ac:dyDescent="0.25">
      <c r="A14546" t="str">
        <f t="shared" si="2593"/>
        <v>89301000</v>
      </c>
      <c r="B14546" t="str">
        <f t="shared" si="2595"/>
        <v>06539000</v>
      </c>
      <c r="C14546" t="str">
        <f t="shared" si="2597"/>
        <v>06539003</v>
      </c>
      <c r="D14546">
        <v>89301171</v>
      </c>
      <c r="E14546" t="str">
        <f t="shared" si="2596"/>
        <v>455717078</v>
      </c>
      <c r="F14546" s="1">
        <v>45236</v>
      </c>
      <c r="G14546" t="str">
        <f t="shared" si="2598"/>
        <v>91413</v>
      </c>
      <c r="H14546">
        <v>1</v>
      </c>
      <c r="I14546">
        <v>868</v>
      </c>
      <c r="J14546">
        <v>0</v>
      </c>
      <c r="K14546" t="str">
        <f t="shared" si="2599"/>
        <v>813</v>
      </c>
      <c r="L14546">
        <v>729.12</v>
      </c>
    </row>
    <row r="14547" spans="1:12" x14ac:dyDescent="0.25">
      <c r="A14547" t="str">
        <f t="shared" si="2593"/>
        <v>89301000</v>
      </c>
      <c r="B14547" t="str">
        <f t="shared" si="2595"/>
        <v>06539000</v>
      </c>
      <c r="C14547" t="str">
        <f t="shared" si="2597"/>
        <v>06539003</v>
      </c>
      <c r="D14547">
        <v>89301171</v>
      </c>
      <c r="E14547" t="str">
        <f t="shared" si="2596"/>
        <v>455717078</v>
      </c>
      <c r="F14547" s="1">
        <v>45236</v>
      </c>
      <c r="G14547" t="str">
        <f t="shared" si="2598"/>
        <v>91413</v>
      </c>
      <c r="H14547">
        <v>1</v>
      </c>
      <c r="I14547">
        <v>868</v>
      </c>
      <c r="J14547">
        <v>0</v>
      </c>
      <c r="K14547" t="str">
        <f t="shared" si="2599"/>
        <v>813</v>
      </c>
      <c r="L14547">
        <v>729.12</v>
      </c>
    </row>
    <row r="14548" spans="1:12" x14ac:dyDescent="0.25">
      <c r="A14548" t="str">
        <f t="shared" si="2593"/>
        <v>89301000</v>
      </c>
      <c r="B14548" t="str">
        <f t="shared" si="2595"/>
        <v>06539000</v>
      </c>
      <c r="C14548" t="str">
        <f t="shared" si="2597"/>
        <v>06539003</v>
      </c>
      <c r="D14548">
        <v>89301171</v>
      </c>
      <c r="E14548" t="str">
        <f t="shared" si="2596"/>
        <v>455717078</v>
      </c>
      <c r="F14548" s="1">
        <v>45212</v>
      </c>
      <c r="G14548" t="str">
        <f t="shared" ref="G14548:G14553" si="2600">"91197"</f>
        <v>91197</v>
      </c>
      <c r="H14548">
        <v>1</v>
      </c>
      <c r="I14548">
        <v>1048</v>
      </c>
      <c r="J14548">
        <v>0</v>
      </c>
      <c r="K14548" t="str">
        <f t="shared" si="2599"/>
        <v>813</v>
      </c>
      <c r="L14548">
        <v>880.32</v>
      </c>
    </row>
    <row r="14549" spans="1:12" x14ac:dyDescent="0.25">
      <c r="A14549" t="str">
        <f t="shared" si="2593"/>
        <v>89301000</v>
      </c>
      <c r="B14549" t="str">
        <f t="shared" si="2595"/>
        <v>06539000</v>
      </c>
      <c r="C14549" t="str">
        <f t="shared" si="2597"/>
        <v>06539003</v>
      </c>
      <c r="D14549">
        <v>89301171</v>
      </c>
      <c r="E14549" t="str">
        <f t="shared" si="2596"/>
        <v>455717078</v>
      </c>
      <c r="F14549" s="1">
        <v>45214</v>
      </c>
      <c r="G14549" t="str">
        <f t="shared" si="2600"/>
        <v>91197</v>
      </c>
      <c r="H14549">
        <v>1</v>
      </c>
      <c r="I14549">
        <v>1048</v>
      </c>
      <c r="J14549">
        <v>0</v>
      </c>
      <c r="K14549" t="str">
        <f t="shared" si="2599"/>
        <v>813</v>
      </c>
      <c r="L14549">
        <v>880.32</v>
      </c>
    </row>
    <row r="14550" spans="1:12" x14ac:dyDescent="0.25">
      <c r="A14550" t="str">
        <f t="shared" si="2593"/>
        <v>89301000</v>
      </c>
      <c r="B14550" t="str">
        <f t="shared" si="2595"/>
        <v>06539000</v>
      </c>
      <c r="C14550" t="str">
        <f t="shared" si="2597"/>
        <v>06539003</v>
      </c>
      <c r="D14550">
        <v>89301171</v>
      </c>
      <c r="E14550" t="str">
        <f t="shared" si="2596"/>
        <v>455717078</v>
      </c>
      <c r="F14550" s="1">
        <v>45214</v>
      </c>
      <c r="G14550" t="str">
        <f t="shared" si="2600"/>
        <v>91197</v>
      </c>
      <c r="H14550">
        <v>1</v>
      </c>
      <c r="I14550">
        <v>1048</v>
      </c>
      <c r="J14550">
        <v>0</v>
      </c>
      <c r="K14550" t="str">
        <f t="shared" si="2599"/>
        <v>813</v>
      </c>
      <c r="L14550">
        <v>880.32</v>
      </c>
    </row>
    <row r="14551" spans="1:12" x14ac:dyDescent="0.25">
      <c r="A14551" t="str">
        <f t="shared" si="2593"/>
        <v>89301000</v>
      </c>
      <c r="B14551" t="str">
        <f t="shared" si="2595"/>
        <v>06539000</v>
      </c>
      <c r="C14551" t="str">
        <f t="shared" si="2597"/>
        <v>06539003</v>
      </c>
      <c r="D14551">
        <v>89301171</v>
      </c>
      <c r="E14551" t="str">
        <f t="shared" si="2596"/>
        <v>455717078</v>
      </c>
      <c r="F14551" s="1">
        <v>45213</v>
      </c>
      <c r="G14551" t="str">
        <f t="shared" si="2600"/>
        <v>91197</v>
      </c>
      <c r="H14551">
        <v>1</v>
      </c>
      <c r="I14551">
        <v>1048</v>
      </c>
      <c r="J14551">
        <v>0</v>
      </c>
      <c r="K14551" t="str">
        <f t="shared" si="2599"/>
        <v>813</v>
      </c>
      <c r="L14551">
        <v>880.32</v>
      </c>
    </row>
    <row r="14552" spans="1:12" x14ac:dyDescent="0.25">
      <c r="A14552" t="str">
        <f t="shared" si="2593"/>
        <v>89301000</v>
      </c>
      <c r="B14552" t="str">
        <f t="shared" si="2595"/>
        <v>06539000</v>
      </c>
      <c r="C14552" t="str">
        <f t="shared" si="2597"/>
        <v>06539003</v>
      </c>
      <c r="D14552">
        <v>89301171</v>
      </c>
      <c r="E14552" t="str">
        <f t="shared" si="2596"/>
        <v>455717078</v>
      </c>
      <c r="F14552" s="1">
        <v>45213</v>
      </c>
      <c r="G14552" t="str">
        <f t="shared" si="2600"/>
        <v>91197</v>
      </c>
      <c r="H14552">
        <v>1</v>
      </c>
      <c r="I14552">
        <v>1048</v>
      </c>
      <c r="J14552">
        <v>0</v>
      </c>
      <c r="K14552" t="str">
        <f t="shared" si="2599"/>
        <v>813</v>
      </c>
      <c r="L14552">
        <v>880.32</v>
      </c>
    </row>
    <row r="14553" spans="1:12" x14ac:dyDescent="0.25">
      <c r="A14553" t="str">
        <f t="shared" si="2593"/>
        <v>89301000</v>
      </c>
      <c r="B14553" t="str">
        <f t="shared" si="2595"/>
        <v>06539000</v>
      </c>
      <c r="C14553" t="str">
        <f t="shared" si="2597"/>
        <v>06539003</v>
      </c>
      <c r="D14553">
        <v>89301171</v>
      </c>
      <c r="E14553" t="str">
        <f t="shared" si="2596"/>
        <v>455717078</v>
      </c>
      <c r="F14553" s="1">
        <v>45212</v>
      </c>
      <c r="G14553" t="str">
        <f t="shared" si="2600"/>
        <v>91197</v>
      </c>
      <c r="H14553">
        <v>1</v>
      </c>
      <c r="I14553">
        <v>1048</v>
      </c>
      <c r="J14553">
        <v>0</v>
      </c>
      <c r="K14553" t="str">
        <f t="shared" si="2599"/>
        <v>813</v>
      </c>
      <c r="L14553">
        <v>880.32</v>
      </c>
    </row>
    <row r="14554" spans="1:12" x14ac:dyDescent="0.25">
      <c r="A14554" t="str">
        <f t="shared" si="2593"/>
        <v>89301000</v>
      </c>
      <c r="B14554" t="str">
        <f t="shared" si="2595"/>
        <v>06539000</v>
      </c>
      <c r="C14554" t="str">
        <f t="shared" si="2597"/>
        <v>06539003</v>
      </c>
      <c r="D14554">
        <v>89301171</v>
      </c>
      <c r="E14554" t="str">
        <f t="shared" si="2596"/>
        <v>455717078</v>
      </c>
      <c r="F14554" s="1">
        <v>45212</v>
      </c>
      <c r="G14554" t="str">
        <f>"91129"</f>
        <v>91129</v>
      </c>
      <c r="H14554">
        <v>1</v>
      </c>
      <c r="I14554">
        <v>175</v>
      </c>
      <c r="J14554">
        <v>0</v>
      </c>
      <c r="K14554" t="str">
        <f t="shared" si="2599"/>
        <v>813</v>
      </c>
      <c r="L14554">
        <v>147</v>
      </c>
    </row>
    <row r="14555" spans="1:12" x14ac:dyDescent="0.25">
      <c r="A14555" t="str">
        <f t="shared" si="2593"/>
        <v>89301000</v>
      </c>
      <c r="B14555" t="str">
        <f t="shared" si="2595"/>
        <v>06539000</v>
      </c>
      <c r="C14555" t="str">
        <f t="shared" si="2597"/>
        <v>06539003</v>
      </c>
      <c r="D14555">
        <v>89301171</v>
      </c>
      <c r="E14555" t="str">
        <f t="shared" si="2596"/>
        <v>455717078</v>
      </c>
      <c r="F14555" s="1">
        <v>45212</v>
      </c>
      <c r="G14555" t="str">
        <f>"91131"</f>
        <v>91131</v>
      </c>
      <c r="H14555">
        <v>1</v>
      </c>
      <c r="I14555">
        <v>171</v>
      </c>
      <c r="J14555">
        <v>0</v>
      </c>
      <c r="K14555" t="str">
        <f t="shared" si="2599"/>
        <v>813</v>
      </c>
      <c r="L14555">
        <v>143.63999999999999</v>
      </c>
    </row>
    <row r="14556" spans="1:12" x14ac:dyDescent="0.25">
      <c r="A14556" t="str">
        <f t="shared" si="2593"/>
        <v>89301000</v>
      </c>
      <c r="B14556" t="str">
        <f t="shared" si="2595"/>
        <v>06539000</v>
      </c>
      <c r="C14556" t="str">
        <f t="shared" si="2597"/>
        <v>06539003</v>
      </c>
      <c r="D14556">
        <v>89301171</v>
      </c>
      <c r="E14556" t="str">
        <f t="shared" si="2596"/>
        <v>455717078</v>
      </c>
      <c r="F14556" s="1">
        <v>45212</v>
      </c>
      <c r="G14556" t="str">
        <f>"91133"</f>
        <v>91133</v>
      </c>
      <c r="H14556">
        <v>1</v>
      </c>
      <c r="I14556">
        <v>177</v>
      </c>
      <c r="J14556">
        <v>0</v>
      </c>
      <c r="K14556" t="str">
        <f t="shared" si="2599"/>
        <v>813</v>
      </c>
      <c r="L14556">
        <v>148.68</v>
      </c>
    </row>
    <row r="14557" spans="1:12" x14ac:dyDescent="0.25">
      <c r="A14557" t="str">
        <f t="shared" si="2593"/>
        <v>89301000</v>
      </c>
      <c r="B14557" t="str">
        <f t="shared" si="2595"/>
        <v>06539000</v>
      </c>
      <c r="C14557" t="str">
        <f t="shared" si="2597"/>
        <v>06539003</v>
      </c>
      <c r="D14557">
        <v>89301171</v>
      </c>
      <c r="E14557" t="str">
        <f t="shared" si="2596"/>
        <v>455717078</v>
      </c>
      <c r="F14557" s="1">
        <v>45212</v>
      </c>
      <c r="G14557" t="str">
        <f>"91171"</f>
        <v>91171</v>
      </c>
      <c r="H14557">
        <v>1</v>
      </c>
      <c r="I14557">
        <v>362</v>
      </c>
      <c r="J14557">
        <v>0</v>
      </c>
      <c r="K14557" t="str">
        <f t="shared" si="2599"/>
        <v>813</v>
      </c>
      <c r="L14557">
        <v>304.08</v>
      </c>
    </row>
    <row r="14558" spans="1:12" x14ac:dyDescent="0.25">
      <c r="A14558" t="str">
        <f t="shared" si="2593"/>
        <v>89301000</v>
      </c>
      <c r="B14558" t="str">
        <f t="shared" si="2595"/>
        <v>06539000</v>
      </c>
      <c r="C14558" t="str">
        <f t="shared" si="2597"/>
        <v>06539003</v>
      </c>
      <c r="D14558">
        <v>89301171</v>
      </c>
      <c r="E14558" t="str">
        <f t="shared" si="2596"/>
        <v>455717078</v>
      </c>
      <c r="F14558" s="1">
        <v>45212</v>
      </c>
      <c r="G14558" t="str">
        <f>"91173"</f>
        <v>91173</v>
      </c>
      <c r="H14558">
        <v>1</v>
      </c>
      <c r="I14558">
        <v>337</v>
      </c>
      <c r="J14558">
        <v>0</v>
      </c>
      <c r="K14558" t="str">
        <f t="shared" si="2599"/>
        <v>813</v>
      </c>
      <c r="L14558">
        <v>283.08</v>
      </c>
    </row>
    <row r="14559" spans="1:12" x14ac:dyDescent="0.25">
      <c r="A14559" t="str">
        <f t="shared" si="2593"/>
        <v>89301000</v>
      </c>
      <c r="B14559" t="str">
        <f t="shared" si="2595"/>
        <v>06539000</v>
      </c>
      <c r="C14559" t="str">
        <f t="shared" si="2597"/>
        <v>06539003</v>
      </c>
      <c r="D14559">
        <v>89301171</v>
      </c>
      <c r="E14559" t="str">
        <f t="shared" si="2596"/>
        <v>455717078</v>
      </c>
      <c r="F14559" s="1">
        <v>45212</v>
      </c>
      <c r="G14559" t="str">
        <f>"91175"</f>
        <v>91175</v>
      </c>
      <c r="H14559">
        <v>1</v>
      </c>
      <c r="I14559">
        <v>362</v>
      </c>
      <c r="J14559">
        <v>0</v>
      </c>
      <c r="K14559" t="str">
        <f t="shared" si="2599"/>
        <v>813</v>
      </c>
      <c r="L14559">
        <v>304.08</v>
      </c>
    </row>
    <row r="14560" spans="1:12" x14ac:dyDescent="0.25">
      <c r="A14560" t="str">
        <f t="shared" si="2593"/>
        <v>89301000</v>
      </c>
      <c r="B14560" t="str">
        <f t="shared" si="2595"/>
        <v>06539000</v>
      </c>
      <c r="C14560" t="str">
        <f t="shared" si="2597"/>
        <v>06539003</v>
      </c>
      <c r="D14560">
        <v>89301171</v>
      </c>
      <c r="E14560" t="str">
        <f t="shared" si="2596"/>
        <v>455717078</v>
      </c>
      <c r="F14560" s="1">
        <v>45213</v>
      </c>
      <c r="G14560" t="str">
        <f>"91167"</f>
        <v>91167</v>
      </c>
      <c r="H14560">
        <v>1</v>
      </c>
      <c r="I14560">
        <v>426</v>
      </c>
      <c r="J14560">
        <v>0</v>
      </c>
      <c r="K14560" t="str">
        <f t="shared" si="2599"/>
        <v>813</v>
      </c>
      <c r="L14560">
        <v>357.84</v>
      </c>
    </row>
    <row r="14561" spans="1:12" x14ac:dyDescent="0.25">
      <c r="A14561" t="str">
        <f t="shared" si="2593"/>
        <v>89301000</v>
      </c>
      <c r="B14561" t="str">
        <f t="shared" si="2595"/>
        <v>06539000</v>
      </c>
      <c r="C14561" t="str">
        <f t="shared" si="2597"/>
        <v>06539003</v>
      </c>
      <c r="D14561">
        <v>89301171</v>
      </c>
      <c r="E14561" t="str">
        <f t="shared" si="2596"/>
        <v>455717078</v>
      </c>
      <c r="F14561" s="1">
        <v>45213</v>
      </c>
      <c r="G14561" t="str">
        <f>"91169"</f>
        <v>91169</v>
      </c>
      <c r="H14561">
        <v>1</v>
      </c>
      <c r="I14561">
        <v>426</v>
      </c>
      <c r="J14561">
        <v>0</v>
      </c>
      <c r="K14561" t="str">
        <f t="shared" si="2599"/>
        <v>813</v>
      </c>
      <c r="L14561">
        <v>357.84</v>
      </c>
    </row>
    <row r="14562" spans="1:12" x14ac:dyDescent="0.25">
      <c r="A14562" t="str">
        <f t="shared" si="2593"/>
        <v>89301000</v>
      </c>
      <c r="B14562" t="str">
        <f t="shared" si="2595"/>
        <v>06539000</v>
      </c>
      <c r="C14562" t="str">
        <f t="shared" si="2597"/>
        <v>06539003</v>
      </c>
      <c r="D14562">
        <v>89301171</v>
      </c>
      <c r="E14562" t="str">
        <f t="shared" si="2596"/>
        <v>455717078</v>
      </c>
      <c r="F14562" s="1">
        <v>45212</v>
      </c>
      <c r="G14562" t="str">
        <f>"91167"</f>
        <v>91167</v>
      </c>
      <c r="H14562">
        <v>1</v>
      </c>
      <c r="I14562">
        <v>426</v>
      </c>
      <c r="J14562">
        <v>0</v>
      </c>
      <c r="K14562" t="str">
        <f t="shared" si="2599"/>
        <v>813</v>
      </c>
      <c r="L14562">
        <v>357.84</v>
      </c>
    </row>
    <row r="14563" spans="1:12" x14ac:dyDescent="0.25">
      <c r="A14563" t="str">
        <f t="shared" si="2593"/>
        <v>89301000</v>
      </c>
      <c r="B14563" t="str">
        <f t="shared" si="2595"/>
        <v>06539000</v>
      </c>
      <c r="C14563" t="str">
        <f t="shared" si="2597"/>
        <v>06539003</v>
      </c>
      <c r="D14563">
        <v>89301171</v>
      </c>
      <c r="E14563" t="str">
        <f t="shared" si="2596"/>
        <v>455717078</v>
      </c>
      <c r="F14563" s="1">
        <v>45212</v>
      </c>
      <c r="G14563" t="str">
        <f>"91169"</f>
        <v>91169</v>
      </c>
      <c r="H14563">
        <v>1</v>
      </c>
      <c r="I14563">
        <v>426</v>
      </c>
      <c r="J14563">
        <v>0</v>
      </c>
      <c r="K14563" t="str">
        <f t="shared" si="2599"/>
        <v>813</v>
      </c>
      <c r="L14563">
        <v>357.84</v>
      </c>
    </row>
    <row r="14564" spans="1:12" x14ac:dyDescent="0.25">
      <c r="A14564" t="str">
        <f t="shared" si="2593"/>
        <v>89301000</v>
      </c>
      <c r="B14564" t="str">
        <f t="shared" si="2595"/>
        <v>06539000</v>
      </c>
      <c r="C14564" t="str">
        <f t="shared" si="2597"/>
        <v>06539003</v>
      </c>
      <c r="D14564">
        <v>89301171</v>
      </c>
      <c r="E14564" t="str">
        <f t="shared" si="2596"/>
        <v>455717078</v>
      </c>
      <c r="F14564" s="1">
        <v>45217</v>
      </c>
      <c r="G14564" t="str">
        <f>"91475"</f>
        <v>91475</v>
      </c>
      <c r="H14564">
        <v>1</v>
      </c>
      <c r="I14564">
        <v>213</v>
      </c>
      <c r="J14564">
        <v>0</v>
      </c>
      <c r="K14564" t="str">
        <f t="shared" si="2599"/>
        <v>813</v>
      </c>
      <c r="L14564">
        <v>178.92</v>
      </c>
    </row>
    <row r="14565" spans="1:12" x14ac:dyDescent="0.25">
      <c r="A14565" t="str">
        <f t="shared" si="2593"/>
        <v>89301000</v>
      </c>
      <c r="B14565" t="str">
        <f t="shared" si="2595"/>
        <v>06539000</v>
      </c>
      <c r="C14565" t="str">
        <f>"06539001"</f>
        <v>06539001</v>
      </c>
      <c r="D14565">
        <v>89301171</v>
      </c>
      <c r="E14565" t="str">
        <f t="shared" ref="E14565:E14593" si="2601">"510818246"</f>
        <v>510818246</v>
      </c>
      <c r="F14565" s="1">
        <v>45212</v>
      </c>
      <c r="G14565" t="str">
        <f>"81329"</f>
        <v>81329</v>
      </c>
      <c r="H14565">
        <v>1</v>
      </c>
      <c r="I14565">
        <v>17</v>
      </c>
      <c r="J14565">
        <v>0</v>
      </c>
      <c r="K14565" t="str">
        <f>"801"</f>
        <v>801</v>
      </c>
      <c r="L14565">
        <v>14.28</v>
      </c>
    </row>
    <row r="14566" spans="1:12" x14ac:dyDescent="0.25">
      <c r="A14566" t="str">
        <f t="shared" si="2593"/>
        <v>89301000</v>
      </c>
      <c r="B14566" t="str">
        <f t="shared" si="2595"/>
        <v>06539000</v>
      </c>
      <c r="C14566" t="str">
        <f>"06539001"</f>
        <v>06539001</v>
      </c>
      <c r="D14566">
        <v>89301171</v>
      </c>
      <c r="E14566" t="str">
        <f t="shared" si="2601"/>
        <v>510818246</v>
      </c>
      <c r="F14566" s="1">
        <v>45212</v>
      </c>
      <c r="G14566" t="str">
        <f>"81331"</f>
        <v>81331</v>
      </c>
      <c r="H14566">
        <v>1</v>
      </c>
      <c r="I14566">
        <v>193</v>
      </c>
      <c r="J14566">
        <v>0</v>
      </c>
      <c r="K14566" t="str">
        <f>"801"</f>
        <v>801</v>
      </c>
      <c r="L14566">
        <v>162.12</v>
      </c>
    </row>
    <row r="14567" spans="1:12" x14ac:dyDescent="0.25">
      <c r="A14567" t="str">
        <f t="shared" si="2593"/>
        <v>89301000</v>
      </c>
      <c r="B14567" t="str">
        <f t="shared" si="2595"/>
        <v>06539000</v>
      </c>
      <c r="C14567" t="str">
        <f t="shared" ref="C14567:C14598" si="2602">"06539003"</f>
        <v>06539003</v>
      </c>
      <c r="D14567">
        <v>89301171</v>
      </c>
      <c r="E14567" t="str">
        <f t="shared" si="2601"/>
        <v>510818246</v>
      </c>
      <c r="F14567" s="1">
        <v>45217</v>
      </c>
      <c r="G14567" t="str">
        <f t="shared" ref="G14567:G14576" si="2603">"91413"</f>
        <v>91413</v>
      </c>
      <c r="H14567">
        <v>1</v>
      </c>
      <c r="I14567">
        <v>868</v>
      </c>
      <c r="J14567">
        <v>0</v>
      </c>
      <c r="K14567" t="str">
        <f t="shared" ref="K14567:K14598" si="2604">"813"</f>
        <v>813</v>
      </c>
      <c r="L14567">
        <v>729.12</v>
      </c>
    </row>
    <row r="14568" spans="1:12" x14ac:dyDescent="0.25">
      <c r="A14568" t="str">
        <f t="shared" si="2593"/>
        <v>89301000</v>
      </c>
      <c r="B14568" t="str">
        <f t="shared" ref="B14568:B14599" si="2605">"06539000"</f>
        <v>06539000</v>
      </c>
      <c r="C14568" t="str">
        <f t="shared" si="2602"/>
        <v>06539003</v>
      </c>
      <c r="D14568">
        <v>89301171</v>
      </c>
      <c r="E14568" t="str">
        <f t="shared" si="2601"/>
        <v>510818246</v>
      </c>
      <c r="F14568" s="1">
        <v>45217</v>
      </c>
      <c r="G14568" t="str">
        <f t="shared" si="2603"/>
        <v>91413</v>
      </c>
      <c r="H14568">
        <v>1</v>
      </c>
      <c r="I14568">
        <v>868</v>
      </c>
      <c r="J14568">
        <v>0</v>
      </c>
      <c r="K14568" t="str">
        <f t="shared" si="2604"/>
        <v>813</v>
      </c>
      <c r="L14568">
        <v>729.12</v>
      </c>
    </row>
    <row r="14569" spans="1:12" x14ac:dyDescent="0.25">
      <c r="A14569" t="str">
        <f t="shared" si="2593"/>
        <v>89301000</v>
      </c>
      <c r="B14569" t="str">
        <f t="shared" si="2605"/>
        <v>06539000</v>
      </c>
      <c r="C14569" t="str">
        <f t="shared" si="2602"/>
        <v>06539003</v>
      </c>
      <c r="D14569">
        <v>89301171</v>
      </c>
      <c r="E14569" t="str">
        <f t="shared" si="2601"/>
        <v>510818246</v>
      </c>
      <c r="F14569" s="1">
        <v>45236</v>
      </c>
      <c r="G14569" t="str">
        <f t="shared" si="2603"/>
        <v>91413</v>
      </c>
      <c r="H14569">
        <v>1</v>
      </c>
      <c r="I14569">
        <v>868</v>
      </c>
      <c r="J14569">
        <v>0</v>
      </c>
      <c r="K14569" t="str">
        <f t="shared" si="2604"/>
        <v>813</v>
      </c>
      <c r="L14569">
        <v>729.12</v>
      </c>
    </row>
    <row r="14570" spans="1:12" x14ac:dyDescent="0.25">
      <c r="A14570" t="str">
        <f t="shared" si="2593"/>
        <v>89301000</v>
      </c>
      <c r="B14570" t="str">
        <f t="shared" si="2605"/>
        <v>06539000</v>
      </c>
      <c r="C14570" t="str">
        <f t="shared" si="2602"/>
        <v>06539003</v>
      </c>
      <c r="D14570">
        <v>89301171</v>
      </c>
      <c r="E14570" t="str">
        <f t="shared" si="2601"/>
        <v>510818246</v>
      </c>
      <c r="F14570" s="1">
        <v>45236</v>
      </c>
      <c r="G14570" t="str">
        <f t="shared" si="2603"/>
        <v>91413</v>
      </c>
      <c r="H14570">
        <v>1</v>
      </c>
      <c r="I14570">
        <v>868</v>
      </c>
      <c r="J14570">
        <v>0</v>
      </c>
      <c r="K14570" t="str">
        <f t="shared" si="2604"/>
        <v>813</v>
      </c>
      <c r="L14570">
        <v>729.12</v>
      </c>
    </row>
    <row r="14571" spans="1:12" x14ac:dyDescent="0.25">
      <c r="A14571" t="str">
        <f t="shared" si="2593"/>
        <v>89301000</v>
      </c>
      <c r="B14571" t="str">
        <f t="shared" si="2605"/>
        <v>06539000</v>
      </c>
      <c r="C14571" t="str">
        <f t="shared" si="2602"/>
        <v>06539003</v>
      </c>
      <c r="D14571">
        <v>89301171</v>
      </c>
      <c r="E14571" t="str">
        <f t="shared" si="2601"/>
        <v>510818246</v>
      </c>
      <c r="F14571" s="1">
        <v>45233</v>
      </c>
      <c r="G14571" t="str">
        <f t="shared" si="2603"/>
        <v>91413</v>
      </c>
      <c r="H14571">
        <v>1</v>
      </c>
      <c r="I14571">
        <v>868</v>
      </c>
      <c r="J14571">
        <v>0</v>
      </c>
      <c r="K14571" t="str">
        <f t="shared" si="2604"/>
        <v>813</v>
      </c>
      <c r="L14571">
        <v>729.12</v>
      </c>
    </row>
    <row r="14572" spans="1:12" x14ac:dyDescent="0.25">
      <c r="A14572" t="str">
        <f t="shared" si="2593"/>
        <v>89301000</v>
      </c>
      <c r="B14572" t="str">
        <f t="shared" si="2605"/>
        <v>06539000</v>
      </c>
      <c r="C14572" t="str">
        <f t="shared" si="2602"/>
        <v>06539003</v>
      </c>
      <c r="D14572">
        <v>89301171</v>
      </c>
      <c r="E14572" t="str">
        <f t="shared" si="2601"/>
        <v>510818246</v>
      </c>
      <c r="F14572" s="1">
        <v>45233</v>
      </c>
      <c r="G14572" t="str">
        <f t="shared" si="2603"/>
        <v>91413</v>
      </c>
      <c r="H14572">
        <v>1</v>
      </c>
      <c r="I14572">
        <v>868</v>
      </c>
      <c r="J14572">
        <v>0</v>
      </c>
      <c r="K14572" t="str">
        <f t="shared" si="2604"/>
        <v>813</v>
      </c>
      <c r="L14572">
        <v>729.12</v>
      </c>
    </row>
    <row r="14573" spans="1:12" x14ac:dyDescent="0.25">
      <c r="A14573" t="str">
        <f t="shared" si="2593"/>
        <v>89301000</v>
      </c>
      <c r="B14573" t="str">
        <f t="shared" si="2605"/>
        <v>06539000</v>
      </c>
      <c r="C14573" t="str">
        <f t="shared" si="2602"/>
        <v>06539003</v>
      </c>
      <c r="D14573">
        <v>89301171</v>
      </c>
      <c r="E14573" t="str">
        <f t="shared" si="2601"/>
        <v>510818246</v>
      </c>
      <c r="F14573" s="1">
        <v>45236</v>
      </c>
      <c r="G14573" t="str">
        <f t="shared" si="2603"/>
        <v>91413</v>
      </c>
      <c r="H14573">
        <v>1</v>
      </c>
      <c r="I14573">
        <v>868</v>
      </c>
      <c r="J14573">
        <v>0</v>
      </c>
      <c r="K14573" t="str">
        <f t="shared" si="2604"/>
        <v>813</v>
      </c>
      <c r="L14573">
        <v>729.12</v>
      </c>
    </row>
    <row r="14574" spans="1:12" x14ac:dyDescent="0.25">
      <c r="A14574" t="str">
        <f t="shared" si="2593"/>
        <v>89301000</v>
      </c>
      <c r="B14574" t="str">
        <f t="shared" si="2605"/>
        <v>06539000</v>
      </c>
      <c r="C14574" t="str">
        <f t="shared" si="2602"/>
        <v>06539003</v>
      </c>
      <c r="D14574">
        <v>89301171</v>
      </c>
      <c r="E14574" t="str">
        <f t="shared" si="2601"/>
        <v>510818246</v>
      </c>
      <c r="F14574" s="1">
        <v>45236</v>
      </c>
      <c r="G14574" t="str">
        <f t="shared" si="2603"/>
        <v>91413</v>
      </c>
      <c r="H14574">
        <v>1</v>
      </c>
      <c r="I14574">
        <v>868</v>
      </c>
      <c r="J14574">
        <v>0</v>
      </c>
      <c r="K14574" t="str">
        <f t="shared" si="2604"/>
        <v>813</v>
      </c>
      <c r="L14574">
        <v>729.12</v>
      </c>
    </row>
    <row r="14575" spans="1:12" x14ac:dyDescent="0.25">
      <c r="A14575" t="str">
        <f t="shared" si="2593"/>
        <v>89301000</v>
      </c>
      <c r="B14575" t="str">
        <f t="shared" si="2605"/>
        <v>06539000</v>
      </c>
      <c r="C14575" t="str">
        <f t="shared" si="2602"/>
        <v>06539003</v>
      </c>
      <c r="D14575">
        <v>89301171</v>
      </c>
      <c r="E14575" t="str">
        <f t="shared" si="2601"/>
        <v>510818246</v>
      </c>
      <c r="F14575" s="1">
        <v>45236</v>
      </c>
      <c r="G14575" t="str">
        <f t="shared" si="2603"/>
        <v>91413</v>
      </c>
      <c r="H14575">
        <v>1</v>
      </c>
      <c r="I14575">
        <v>868</v>
      </c>
      <c r="J14575">
        <v>0</v>
      </c>
      <c r="K14575" t="str">
        <f t="shared" si="2604"/>
        <v>813</v>
      </c>
      <c r="L14575">
        <v>729.12</v>
      </c>
    </row>
    <row r="14576" spans="1:12" x14ac:dyDescent="0.25">
      <c r="A14576" t="str">
        <f t="shared" si="2593"/>
        <v>89301000</v>
      </c>
      <c r="B14576" t="str">
        <f t="shared" si="2605"/>
        <v>06539000</v>
      </c>
      <c r="C14576" t="str">
        <f t="shared" si="2602"/>
        <v>06539003</v>
      </c>
      <c r="D14576">
        <v>89301171</v>
      </c>
      <c r="E14576" t="str">
        <f t="shared" si="2601"/>
        <v>510818246</v>
      </c>
      <c r="F14576" s="1">
        <v>45236</v>
      </c>
      <c r="G14576" t="str">
        <f t="shared" si="2603"/>
        <v>91413</v>
      </c>
      <c r="H14576">
        <v>1</v>
      </c>
      <c r="I14576">
        <v>868</v>
      </c>
      <c r="J14576">
        <v>0</v>
      </c>
      <c r="K14576" t="str">
        <f t="shared" si="2604"/>
        <v>813</v>
      </c>
      <c r="L14576">
        <v>729.12</v>
      </c>
    </row>
    <row r="14577" spans="1:12" x14ac:dyDescent="0.25">
      <c r="A14577" t="str">
        <f t="shared" si="2593"/>
        <v>89301000</v>
      </c>
      <c r="B14577" t="str">
        <f t="shared" si="2605"/>
        <v>06539000</v>
      </c>
      <c r="C14577" t="str">
        <f t="shared" si="2602"/>
        <v>06539003</v>
      </c>
      <c r="D14577">
        <v>89301171</v>
      </c>
      <c r="E14577" t="str">
        <f t="shared" si="2601"/>
        <v>510818246</v>
      </c>
      <c r="F14577" s="1">
        <v>45212</v>
      </c>
      <c r="G14577" t="str">
        <f t="shared" ref="G14577:G14582" si="2606">"91197"</f>
        <v>91197</v>
      </c>
      <c r="H14577">
        <v>1</v>
      </c>
      <c r="I14577">
        <v>1048</v>
      </c>
      <c r="J14577">
        <v>0</v>
      </c>
      <c r="K14577" t="str">
        <f t="shared" si="2604"/>
        <v>813</v>
      </c>
      <c r="L14577">
        <v>880.32</v>
      </c>
    </row>
    <row r="14578" spans="1:12" x14ac:dyDescent="0.25">
      <c r="A14578" t="str">
        <f t="shared" si="2593"/>
        <v>89301000</v>
      </c>
      <c r="B14578" t="str">
        <f t="shared" si="2605"/>
        <v>06539000</v>
      </c>
      <c r="C14578" t="str">
        <f t="shared" si="2602"/>
        <v>06539003</v>
      </c>
      <c r="D14578">
        <v>89301171</v>
      </c>
      <c r="E14578" t="str">
        <f t="shared" si="2601"/>
        <v>510818246</v>
      </c>
      <c r="F14578" s="1">
        <v>45214</v>
      </c>
      <c r="G14578" t="str">
        <f t="shared" si="2606"/>
        <v>91197</v>
      </c>
      <c r="H14578">
        <v>1</v>
      </c>
      <c r="I14578">
        <v>1048</v>
      </c>
      <c r="J14578">
        <v>0</v>
      </c>
      <c r="K14578" t="str">
        <f t="shared" si="2604"/>
        <v>813</v>
      </c>
      <c r="L14578">
        <v>880.32</v>
      </c>
    </row>
    <row r="14579" spans="1:12" x14ac:dyDescent="0.25">
      <c r="A14579" t="str">
        <f t="shared" si="2593"/>
        <v>89301000</v>
      </c>
      <c r="B14579" t="str">
        <f t="shared" si="2605"/>
        <v>06539000</v>
      </c>
      <c r="C14579" t="str">
        <f t="shared" si="2602"/>
        <v>06539003</v>
      </c>
      <c r="D14579">
        <v>89301171</v>
      </c>
      <c r="E14579" t="str">
        <f t="shared" si="2601"/>
        <v>510818246</v>
      </c>
      <c r="F14579" s="1">
        <v>45214</v>
      </c>
      <c r="G14579" t="str">
        <f t="shared" si="2606"/>
        <v>91197</v>
      </c>
      <c r="H14579">
        <v>1</v>
      </c>
      <c r="I14579">
        <v>1048</v>
      </c>
      <c r="J14579">
        <v>0</v>
      </c>
      <c r="K14579" t="str">
        <f t="shared" si="2604"/>
        <v>813</v>
      </c>
      <c r="L14579">
        <v>880.32</v>
      </c>
    </row>
    <row r="14580" spans="1:12" x14ac:dyDescent="0.25">
      <c r="A14580" t="str">
        <f t="shared" si="2593"/>
        <v>89301000</v>
      </c>
      <c r="B14580" t="str">
        <f t="shared" si="2605"/>
        <v>06539000</v>
      </c>
      <c r="C14580" t="str">
        <f t="shared" si="2602"/>
        <v>06539003</v>
      </c>
      <c r="D14580">
        <v>89301171</v>
      </c>
      <c r="E14580" t="str">
        <f t="shared" si="2601"/>
        <v>510818246</v>
      </c>
      <c r="F14580" s="1">
        <v>45213</v>
      </c>
      <c r="G14580" t="str">
        <f t="shared" si="2606"/>
        <v>91197</v>
      </c>
      <c r="H14580">
        <v>1</v>
      </c>
      <c r="I14580">
        <v>1048</v>
      </c>
      <c r="J14580">
        <v>0</v>
      </c>
      <c r="K14580" t="str">
        <f t="shared" si="2604"/>
        <v>813</v>
      </c>
      <c r="L14580">
        <v>880.32</v>
      </c>
    </row>
    <row r="14581" spans="1:12" x14ac:dyDescent="0.25">
      <c r="A14581" t="str">
        <f t="shared" si="2593"/>
        <v>89301000</v>
      </c>
      <c r="B14581" t="str">
        <f t="shared" si="2605"/>
        <v>06539000</v>
      </c>
      <c r="C14581" t="str">
        <f t="shared" si="2602"/>
        <v>06539003</v>
      </c>
      <c r="D14581">
        <v>89301171</v>
      </c>
      <c r="E14581" t="str">
        <f t="shared" si="2601"/>
        <v>510818246</v>
      </c>
      <c r="F14581" s="1">
        <v>45213</v>
      </c>
      <c r="G14581" t="str">
        <f t="shared" si="2606"/>
        <v>91197</v>
      </c>
      <c r="H14581">
        <v>1</v>
      </c>
      <c r="I14581">
        <v>1048</v>
      </c>
      <c r="J14581">
        <v>0</v>
      </c>
      <c r="K14581" t="str">
        <f t="shared" si="2604"/>
        <v>813</v>
      </c>
      <c r="L14581">
        <v>880.32</v>
      </c>
    </row>
    <row r="14582" spans="1:12" x14ac:dyDescent="0.25">
      <c r="A14582" t="str">
        <f t="shared" si="2593"/>
        <v>89301000</v>
      </c>
      <c r="B14582" t="str">
        <f t="shared" si="2605"/>
        <v>06539000</v>
      </c>
      <c r="C14582" t="str">
        <f t="shared" si="2602"/>
        <v>06539003</v>
      </c>
      <c r="D14582">
        <v>89301171</v>
      </c>
      <c r="E14582" t="str">
        <f t="shared" si="2601"/>
        <v>510818246</v>
      </c>
      <c r="F14582" s="1">
        <v>45212</v>
      </c>
      <c r="G14582" t="str">
        <f t="shared" si="2606"/>
        <v>91197</v>
      </c>
      <c r="H14582">
        <v>1</v>
      </c>
      <c r="I14582">
        <v>1048</v>
      </c>
      <c r="J14582">
        <v>0</v>
      </c>
      <c r="K14582" t="str">
        <f t="shared" si="2604"/>
        <v>813</v>
      </c>
      <c r="L14582">
        <v>880.32</v>
      </c>
    </row>
    <row r="14583" spans="1:12" x14ac:dyDescent="0.25">
      <c r="A14583" t="str">
        <f t="shared" si="2593"/>
        <v>89301000</v>
      </c>
      <c r="B14583" t="str">
        <f t="shared" si="2605"/>
        <v>06539000</v>
      </c>
      <c r="C14583" t="str">
        <f t="shared" si="2602"/>
        <v>06539003</v>
      </c>
      <c r="D14583">
        <v>89301171</v>
      </c>
      <c r="E14583" t="str">
        <f t="shared" si="2601"/>
        <v>510818246</v>
      </c>
      <c r="F14583" s="1">
        <v>45212</v>
      </c>
      <c r="G14583" t="str">
        <f>"91129"</f>
        <v>91129</v>
      </c>
      <c r="H14583">
        <v>1</v>
      </c>
      <c r="I14583">
        <v>175</v>
      </c>
      <c r="J14583">
        <v>0</v>
      </c>
      <c r="K14583" t="str">
        <f t="shared" si="2604"/>
        <v>813</v>
      </c>
      <c r="L14583">
        <v>147</v>
      </c>
    </row>
    <row r="14584" spans="1:12" x14ac:dyDescent="0.25">
      <c r="A14584" t="str">
        <f t="shared" si="2593"/>
        <v>89301000</v>
      </c>
      <c r="B14584" t="str">
        <f t="shared" si="2605"/>
        <v>06539000</v>
      </c>
      <c r="C14584" t="str">
        <f t="shared" si="2602"/>
        <v>06539003</v>
      </c>
      <c r="D14584">
        <v>89301171</v>
      </c>
      <c r="E14584" t="str">
        <f t="shared" si="2601"/>
        <v>510818246</v>
      </c>
      <c r="F14584" s="1">
        <v>45212</v>
      </c>
      <c r="G14584" t="str">
        <f>"91131"</f>
        <v>91131</v>
      </c>
      <c r="H14584">
        <v>1</v>
      </c>
      <c r="I14584">
        <v>171</v>
      </c>
      <c r="J14584">
        <v>0</v>
      </c>
      <c r="K14584" t="str">
        <f t="shared" si="2604"/>
        <v>813</v>
      </c>
      <c r="L14584">
        <v>143.63999999999999</v>
      </c>
    </row>
    <row r="14585" spans="1:12" x14ac:dyDescent="0.25">
      <c r="A14585" t="str">
        <f t="shared" si="2593"/>
        <v>89301000</v>
      </c>
      <c r="B14585" t="str">
        <f t="shared" si="2605"/>
        <v>06539000</v>
      </c>
      <c r="C14585" t="str">
        <f t="shared" si="2602"/>
        <v>06539003</v>
      </c>
      <c r="D14585">
        <v>89301171</v>
      </c>
      <c r="E14585" t="str">
        <f t="shared" si="2601"/>
        <v>510818246</v>
      </c>
      <c r="F14585" s="1">
        <v>45212</v>
      </c>
      <c r="G14585" t="str">
        <f>"91133"</f>
        <v>91133</v>
      </c>
      <c r="H14585">
        <v>1</v>
      </c>
      <c r="I14585">
        <v>177</v>
      </c>
      <c r="J14585">
        <v>0</v>
      </c>
      <c r="K14585" t="str">
        <f t="shared" si="2604"/>
        <v>813</v>
      </c>
      <c r="L14585">
        <v>148.68</v>
      </c>
    </row>
    <row r="14586" spans="1:12" x14ac:dyDescent="0.25">
      <c r="A14586" t="str">
        <f t="shared" si="2593"/>
        <v>89301000</v>
      </c>
      <c r="B14586" t="str">
        <f t="shared" si="2605"/>
        <v>06539000</v>
      </c>
      <c r="C14586" t="str">
        <f t="shared" si="2602"/>
        <v>06539003</v>
      </c>
      <c r="D14586">
        <v>89301171</v>
      </c>
      <c r="E14586" t="str">
        <f t="shared" si="2601"/>
        <v>510818246</v>
      </c>
      <c r="F14586" s="1">
        <v>45212</v>
      </c>
      <c r="G14586" t="str">
        <f>"91171"</f>
        <v>91171</v>
      </c>
      <c r="H14586">
        <v>1</v>
      </c>
      <c r="I14586">
        <v>362</v>
      </c>
      <c r="J14586">
        <v>0</v>
      </c>
      <c r="K14586" t="str">
        <f t="shared" si="2604"/>
        <v>813</v>
      </c>
      <c r="L14586">
        <v>304.08</v>
      </c>
    </row>
    <row r="14587" spans="1:12" x14ac:dyDescent="0.25">
      <c r="A14587" t="str">
        <f t="shared" si="2593"/>
        <v>89301000</v>
      </c>
      <c r="B14587" t="str">
        <f t="shared" si="2605"/>
        <v>06539000</v>
      </c>
      <c r="C14587" t="str">
        <f t="shared" si="2602"/>
        <v>06539003</v>
      </c>
      <c r="D14587">
        <v>89301171</v>
      </c>
      <c r="E14587" t="str">
        <f t="shared" si="2601"/>
        <v>510818246</v>
      </c>
      <c r="F14587" s="1">
        <v>45212</v>
      </c>
      <c r="G14587" t="str">
        <f>"91173"</f>
        <v>91173</v>
      </c>
      <c r="H14587">
        <v>1</v>
      </c>
      <c r="I14587">
        <v>337</v>
      </c>
      <c r="J14587">
        <v>0</v>
      </c>
      <c r="K14587" t="str">
        <f t="shared" si="2604"/>
        <v>813</v>
      </c>
      <c r="L14587">
        <v>283.08</v>
      </c>
    </row>
    <row r="14588" spans="1:12" x14ac:dyDescent="0.25">
      <c r="A14588" t="str">
        <f t="shared" si="2593"/>
        <v>89301000</v>
      </c>
      <c r="B14588" t="str">
        <f t="shared" si="2605"/>
        <v>06539000</v>
      </c>
      <c r="C14588" t="str">
        <f t="shared" si="2602"/>
        <v>06539003</v>
      </c>
      <c r="D14588">
        <v>89301171</v>
      </c>
      <c r="E14588" t="str">
        <f t="shared" si="2601"/>
        <v>510818246</v>
      </c>
      <c r="F14588" s="1">
        <v>45212</v>
      </c>
      <c r="G14588" t="str">
        <f>"91175"</f>
        <v>91175</v>
      </c>
      <c r="H14588">
        <v>1</v>
      </c>
      <c r="I14588">
        <v>362</v>
      </c>
      <c r="J14588">
        <v>0</v>
      </c>
      <c r="K14588" t="str">
        <f t="shared" si="2604"/>
        <v>813</v>
      </c>
      <c r="L14588">
        <v>304.08</v>
      </c>
    </row>
    <row r="14589" spans="1:12" x14ac:dyDescent="0.25">
      <c r="A14589" t="str">
        <f t="shared" si="2593"/>
        <v>89301000</v>
      </c>
      <c r="B14589" t="str">
        <f t="shared" si="2605"/>
        <v>06539000</v>
      </c>
      <c r="C14589" t="str">
        <f t="shared" si="2602"/>
        <v>06539003</v>
      </c>
      <c r="D14589">
        <v>89301171</v>
      </c>
      <c r="E14589" t="str">
        <f t="shared" si="2601"/>
        <v>510818246</v>
      </c>
      <c r="F14589" s="1">
        <v>45213</v>
      </c>
      <c r="G14589" t="str">
        <f>"91167"</f>
        <v>91167</v>
      </c>
      <c r="H14589">
        <v>1</v>
      </c>
      <c r="I14589">
        <v>426</v>
      </c>
      <c r="J14589">
        <v>0</v>
      </c>
      <c r="K14589" t="str">
        <f t="shared" si="2604"/>
        <v>813</v>
      </c>
      <c r="L14589">
        <v>357.84</v>
      </c>
    </row>
    <row r="14590" spans="1:12" x14ac:dyDescent="0.25">
      <c r="A14590" t="str">
        <f t="shared" si="2593"/>
        <v>89301000</v>
      </c>
      <c r="B14590" t="str">
        <f t="shared" si="2605"/>
        <v>06539000</v>
      </c>
      <c r="C14590" t="str">
        <f t="shared" si="2602"/>
        <v>06539003</v>
      </c>
      <c r="D14590">
        <v>89301171</v>
      </c>
      <c r="E14590" t="str">
        <f t="shared" si="2601"/>
        <v>510818246</v>
      </c>
      <c r="F14590" s="1">
        <v>45213</v>
      </c>
      <c r="G14590" t="str">
        <f>"91169"</f>
        <v>91169</v>
      </c>
      <c r="H14590">
        <v>1</v>
      </c>
      <c r="I14590">
        <v>426</v>
      </c>
      <c r="J14590">
        <v>0</v>
      </c>
      <c r="K14590" t="str">
        <f t="shared" si="2604"/>
        <v>813</v>
      </c>
      <c r="L14590">
        <v>357.84</v>
      </c>
    </row>
    <row r="14591" spans="1:12" x14ac:dyDescent="0.25">
      <c r="A14591" t="str">
        <f t="shared" si="2593"/>
        <v>89301000</v>
      </c>
      <c r="B14591" t="str">
        <f t="shared" si="2605"/>
        <v>06539000</v>
      </c>
      <c r="C14591" t="str">
        <f t="shared" si="2602"/>
        <v>06539003</v>
      </c>
      <c r="D14591">
        <v>89301171</v>
      </c>
      <c r="E14591" t="str">
        <f t="shared" si="2601"/>
        <v>510818246</v>
      </c>
      <c r="F14591" s="1">
        <v>45212</v>
      </c>
      <c r="G14591" t="str">
        <f>"91167"</f>
        <v>91167</v>
      </c>
      <c r="H14591">
        <v>1</v>
      </c>
      <c r="I14591">
        <v>426</v>
      </c>
      <c r="J14591">
        <v>0</v>
      </c>
      <c r="K14591" t="str">
        <f t="shared" si="2604"/>
        <v>813</v>
      </c>
      <c r="L14591">
        <v>357.84</v>
      </c>
    </row>
    <row r="14592" spans="1:12" x14ac:dyDescent="0.25">
      <c r="A14592" t="str">
        <f t="shared" si="2593"/>
        <v>89301000</v>
      </c>
      <c r="B14592" t="str">
        <f t="shared" si="2605"/>
        <v>06539000</v>
      </c>
      <c r="C14592" t="str">
        <f t="shared" si="2602"/>
        <v>06539003</v>
      </c>
      <c r="D14592">
        <v>89301171</v>
      </c>
      <c r="E14592" t="str">
        <f t="shared" si="2601"/>
        <v>510818246</v>
      </c>
      <c r="F14592" s="1">
        <v>45212</v>
      </c>
      <c r="G14592" t="str">
        <f>"91169"</f>
        <v>91169</v>
      </c>
      <c r="H14592">
        <v>1</v>
      </c>
      <c r="I14592">
        <v>426</v>
      </c>
      <c r="J14592">
        <v>0</v>
      </c>
      <c r="K14592" t="str">
        <f t="shared" si="2604"/>
        <v>813</v>
      </c>
      <c r="L14592">
        <v>357.84</v>
      </c>
    </row>
    <row r="14593" spans="1:12" x14ac:dyDescent="0.25">
      <c r="A14593" t="str">
        <f t="shared" si="2593"/>
        <v>89301000</v>
      </c>
      <c r="B14593" t="str">
        <f t="shared" si="2605"/>
        <v>06539000</v>
      </c>
      <c r="C14593" t="str">
        <f t="shared" si="2602"/>
        <v>06539003</v>
      </c>
      <c r="D14593">
        <v>89301171</v>
      </c>
      <c r="E14593" t="str">
        <f t="shared" si="2601"/>
        <v>510818246</v>
      </c>
      <c r="F14593" s="1">
        <v>45217</v>
      </c>
      <c r="G14593" t="str">
        <f>"91475"</f>
        <v>91475</v>
      </c>
      <c r="H14593">
        <v>1</v>
      </c>
      <c r="I14593">
        <v>213</v>
      </c>
      <c r="J14593">
        <v>0</v>
      </c>
      <c r="K14593" t="str">
        <f t="shared" si="2604"/>
        <v>813</v>
      </c>
      <c r="L14593">
        <v>178.92</v>
      </c>
    </row>
    <row r="14594" spans="1:12" x14ac:dyDescent="0.25">
      <c r="A14594" t="str">
        <f t="shared" ref="A14594:A14657" si="2607">"89301000"</f>
        <v>89301000</v>
      </c>
      <c r="B14594" t="str">
        <f t="shared" si="2605"/>
        <v>06539000</v>
      </c>
      <c r="C14594" t="str">
        <f t="shared" si="2602"/>
        <v>06539003</v>
      </c>
      <c r="D14594">
        <v>89301171</v>
      </c>
      <c r="E14594" t="str">
        <f t="shared" ref="E14594:E14616" si="2608">"8255035316"</f>
        <v>8255035316</v>
      </c>
      <c r="F14594" s="1">
        <v>45217</v>
      </c>
      <c r="G14594" t="str">
        <f t="shared" ref="G14594:G14603" si="2609">"91413"</f>
        <v>91413</v>
      </c>
      <c r="H14594">
        <v>1</v>
      </c>
      <c r="I14594">
        <v>868</v>
      </c>
      <c r="J14594">
        <v>0</v>
      </c>
      <c r="K14594" t="str">
        <f t="shared" si="2604"/>
        <v>813</v>
      </c>
      <c r="L14594">
        <v>729.12</v>
      </c>
    </row>
    <row r="14595" spans="1:12" x14ac:dyDescent="0.25">
      <c r="A14595" t="str">
        <f t="shared" si="2607"/>
        <v>89301000</v>
      </c>
      <c r="B14595" t="str">
        <f t="shared" si="2605"/>
        <v>06539000</v>
      </c>
      <c r="C14595" t="str">
        <f t="shared" si="2602"/>
        <v>06539003</v>
      </c>
      <c r="D14595">
        <v>89301171</v>
      </c>
      <c r="E14595" t="str">
        <f t="shared" si="2608"/>
        <v>8255035316</v>
      </c>
      <c r="F14595" s="1">
        <v>45217</v>
      </c>
      <c r="G14595" t="str">
        <f t="shared" si="2609"/>
        <v>91413</v>
      </c>
      <c r="H14595">
        <v>1</v>
      </c>
      <c r="I14595">
        <v>868</v>
      </c>
      <c r="J14595">
        <v>0</v>
      </c>
      <c r="K14595" t="str">
        <f t="shared" si="2604"/>
        <v>813</v>
      </c>
      <c r="L14595">
        <v>729.12</v>
      </c>
    </row>
    <row r="14596" spans="1:12" x14ac:dyDescent="0.25">
      <c r="A14596" t="str">
        <f t="shared" si="2607"/>
        <v>89301000</v>
      </c>
      <c r="B14596" t="str">
        <f t="shared" si="2605"/>
        <v>06539000</v>
      </c>
      <c r="C14596" t="str">
        <f t="shared" si="2602"/>
        <v>06539003</v>
      </c>
      <c r="D14596">
        <v>89301171</v>
      </c>
      <c r="E14596" t="str">
        <f t="shared" si="2608"/>
        <v>8255035316</v>
      </c>
      <c r="F14596" s="1">
        <v>45236</v>
      </c>
      <c r="G14596" t="str">
        <f t="shared" si="2609"/>
        <v>91413</v>
      </c>
      <c r="H14596">
        <v>1</v>
      </c>
      <c r="I14596">
        <v>868</v>
      </c>
      <c r="J14596">
        <v>0</v>
      </c>
      <c r="K14596" t="str">
        <f t="shared" si="2604"/>
        <v>813</v>
      </c>
      <c r="L14596">
        <v>729.12</v>
      </c>
    </row>
    <row r="14597" spans="1:12" x14ac:dyDescent="0.25">
      <c r="A14597" t="str">
        <f t="shared" si="2607"/>
        <v>89301000</v>
      </c>
      <c r="B14597" t="str">
        <f t="shared" si="2605"/>
        <v>06539000</v>
      </c>
      <c r="C14597" t="str">
        <f t="shared" si="2602"/>
        <v>06539003</v>
      </c>
      <c r="D14597">
        <v>89301171</v>
      </c>
      <c r="E14597" t="str">
        <f t="shared" si="2608"/>
        <v>8255035316</v>
      </c>
      <c r="F14597" s="1">
        <v>45236</v>
      </c>
      <c r="G14597" t="str">
        <f t="shared" si="2609"/>
        <v>91413</v>
      </c>
      <c r="H14597">
        <v>1</v>
      </c>
      <c r="I14597">
        <v>868</v>
      </c>
      <c r="J14597">
        <v>0</v>
      </c>
      <c r="K14597" t="str">
        <f t="shared" si="2604"/>
        <v>813</v>
      </c>
      <c r="L14597">
        <v>729.12</v>
      </c>
    </row>
    <row r="14598" spans="1:12" x14ac:dyDescent="0.25">
      <c r="A14598" t="str">
        <f t="shared" si="2607"/>
        <v>89301000</v>
      </c>
      <c r="B14598" t="str">
        <f t="shared" si="2605"/>
        <v>06539000</v>
      </c>
      <c r="C14598" t="str">
        <f t="shared" si="2602"/>
        <v>06539003</v>
      </c>
      <c r="D14598">
        <v>89301171</v>
      </c>
      <c r="E14598" t="str">
        <f t="shared" si="2608"/>
        <v>8255035316</v>
      </c>
      <c r="F14598" s="1">
        <v>45233</v>
      </c>
      <c r="G14598" t="str">
        <f t="shared" si="2609"/>
        <v>91413</v>
      </c>
      <c r="H14598">
        <v>1</v>
      </c>
      <c r="I14598">
        <v>868</v>
      </c>
      <c r="J14598">
        <v>0</v>
      </c>
      <c r="K14598" t="str">
        <f t="shared" si="2604"/>
        <v>813</v>
      </c>
      <c r="L14598">
        <v>729.12</v>
      </c>
    </row>
    <row r="14599" spans="1:12" x14ac:dyDescent="0.25">
      <c r="A14599" t="str">
        <f t="shared" si="2607"/>
        <v>89301000</v>
      </c>
      <c r="B14599" t="str">
        <f t="shared" si="2605"/>
        <v>06539000</v>
      </c>
      <c r="C14599" t="str">
        <f t="shared" ref="C14599:C14630" si="2610">"06539003"</f>
        <v>06539003</v>
      </c>
      <c r="D14599">
        <v>89301171</v>
      </c>
      <c r="E14599" t="str">
        <f t="shared" si="2608"/>
        <v>8255035316</v>
      </c>
      <c r="F14599" s="1">
        <v>45233</v>
      </c>
      <c r="G14599" t="str">
        <f t="shared" si="2609"/>
        <v>91413</v>
      </c>
      <c r="H14599">
        <v>1</v>
      </c>
      <c r="I14599">
        <v>868</v>
      </c>
      <c r="J14599">
        <v>0</v>
      </c>
      <c r="K14599" t="str">
        <f t="shared" ref="K14599:K14630" si="2611">"813"</f>
        <v>813</v>
      </c>
      <c r="L14599">
        <v>729.12</v>
      </c>
    </row>
    <row r="14600" spans="1:12" x14ac:dyDescent="0.25">
      <c r="A14600" t="str">
        <f t="shared" si="2607"/>
        <v>89301000</v>
      </c>
      <c r="B14600" t="str">
        <f t="shared" ref="B14600:B14631" si="2612">"06539000"</f>
        <v>06539000</v>
      </c>
      <c r="C14600" t="str">
        <f t="shared" si="2610"/>
        <v>06539003</v>
      </c>
      <c r="D14600">
        <v>89301171</v>
      </c>
      <c r="E14600" t="str">
        <f t="shared" si="2608"/>
        <v>8255035316</v>
      </c>
      <c r="F14600" s="1">
        <v>45236</v>
      </c>
      <c r="G14600" t="str">
        <f t="shared" si="2609"/>
        <v>91413</v>
      </c>
      <c r="H14600">
        <v>1</v>
      </c>
      <c r="I14600">
        <v>868</v>
      </c>
      <c r="J14600">
        <v>0</v>
      </c>
      <c r="K14600" t="str">
        <f t="shared" si="2611"/>
        <v>813</v>
      </c>
      <c r="L14600">
        <v>729.12</v>
      </c>
    </row>
    <row r="14601" spans="1:12" x14ac:dyDescent="0.25">
      <c r="A14601" t="str">
        <f t="shared" si="2607"/>
        <v>89301000</v>
      </c>
      <c r="B14601" t="str">
        <f t="shared" si="2612"/>
        <v>06539000</v>
      </c>
      <c r="C14601" t="str">
        <f t="shared" si="2610"/>
        <v>06539003</v>
      </c>
      <c r="D14601">
        <v>89301171</v>
      </c>
      <c r="E14601" t="str">
        <f t="shared" si="2608"/>
        <v>8255035316</v>
      </c>
      <c r="F14601" s="1">
        <v>45236</v>
      </c>
      <c r="G14601" t="str">
        <f t="shared" si="2609"/>
        <v>91413</v>
      </c>
      <c r="H14601">
        <v>1</v>
      </c>
      <c r="I14601">
        <v>868</v>
      </c>
      <c r="J14601">
        <v>0</v>
      </c>
      <c r="K14601" t="str">
        <f t="shared" si="2611"/>
        <v>813</v>
      </c>
      <c r="L14601">
        <v>729.12</v>
      </c>
    </row>
    <row r="14602" spans="1:12" x14ac:dyDescent="0.25">
      <c r="A14602" t="str">
        <f t="shared" si="2607"/>
        <v>89301000</v>
      </c>
      <c r="B14602" t="str">
        <f t="shared" si="2612"/>
        <v>06539000</v>
      </c>
      <c r="C14602" t="str">
        <f t="shared" si="2610"/>
        <v>06539003</v>
      </c>
      <c r="D14602">
        <v>89301171</v>
      </c>
      <c r="E14602" t="str">
        <f t="shared" si="2608"/>
        <v>8255035316</v>
      </c>
      <c r="F14602" s="1">
        <v>45236</v>
      </c>
      <c r="G14602" t="str">
        <f t="shared" si="2609"/>
        <v>91413</v>
      </c>
      <c r="H14602">
        <v>1</v>
      </c>
      <c r="I14602">
        <v>868</v>
      </c>
      <c r="J14602">
        <v>0</v>
      </c>
      <c r="K14602" t="str">
        <f t="shared" si="2611"/>
        <v>813</v>
      </c>
      <c r="L14602">
        <v>729.12</v>
      </c>
    </row>
    <row r="14603" spans="1:12" x14ac:dyDescent="0.25">
      <c r="A14603" t="str">
        <f t="shared" si="2607"/>
        <v>89301000</v>
      </c>
      <c r="B14603" t="str">
        <f t="shared" si="2612"/>
        <v>06539000</v>
      </c>
      <c r="C14603" t="str">
        <f t="shared" si="2610"/>
        <v>06539003</v>
      </c>
      <c r="D14603">
        <v>89301171</v>
      </c>
      <c r="E14603" t="str">
        <f t="shared" si="2608"/>
        <v>8255035316</v>
      </c>
      <c r="F14603" s="1">
        <v>45236</v>
      </c>
      <c r="G14603" t="str">
        <f t="shared" si="2609"/>
        <v>91413</v>
      </c>
      <c r="H14603">
        <v>1</v>
      </c>
      <c r="I14603">
        <v>868</v>
      </c>
      <c r="J14603">
        <v>0</v>
      </c>
      <c r="K14603" t="str">
        <f t="shared" si="2611"/>
        <v>813</v>
      </c>
      <c r="L14603">
        <v>729.12</v>
      </c>
    </row>
    <row r="14604" spans="1:12" x14ac:dyDescent="0.25">
      <c r="A14604" t="str">
        <f t="shared" si="2607"/>
        <v>89301000</v>
      </c>
      <c r="B14604" t="str">
        <f t="shared" si="2612"/>
        <v>06539000</v>
      </c>
      <c r="C14604" t="str">
        <f t="shared" si="2610"/>
        <v>06539003</v>
      </c>
      <c r="D14604">
        <v>89301171</v>
      </c>
      <c r="E14604" t="str">
        <f t="shared" si="2608"/>
        <v>8255035316</v>
      </c>
      <c r="F14604" s="1">
        <v>45215</v>
      </c>
      <c r="G14604" t="str">
        <f t="shared" ref="G14604:G14609" si="2613">"91197"</f>
        <v>91197</v>
      </c>
      <c r="H14604">
        <v>1</v>
      </c>
      <c r="I14604">
        <v>1048</v>
      </c>
      <c r="J14604">
        <v>0</v>
      </c>
      <c r="K14604" t="str">
        <f t="shared" si="2611"/>
        <v>813</v>
      </c>
      <c r="L14604">
        <v>880.32</v>
      </c>
    </row>
    <row r="14605" spans="1:12" x14ac:dyDescent="0.25">
      <c r="A14605" t="str">
        <f t="shared" si="2607"/>
        <v>89301000</v>
      </c>
      <c r="B14605" t="str">
        <f t="shared" si="2612"/>
        <v>06539000</v>
      </c>
      <c r="C14605" t="str">
        <f t="shared" si="2610"/>
        <v>06539003</v>
      </c>
      <c r="D14605">
        <v>89301171</v>
      </c>
      <c r="E14605" t="str">
        <f t="shared" si="2608"/>
        <v>8255035316</v>
      </c>
      <c r="F14605" s="1">
        <v>45215</v>
      </c>
      <c r="G14605" t="str">
        <f t="shared" si="2613"/>
        <v>91197</v>
      </c>
      <c r="H14605">
        <v>1</v>
      </c>
      <c r="I14605">
        <v>1048</v>
      </c>
      <c r="J14605">
        <v>0</v>
      </c>
      <c r="K14605" t="str">
        <f t="shared" si="2611"/>
        <v>813</v>
      </c>
      <c r="L14605">
        <v>880.32</v>
      </c>
    </row>
    <row r="14606" spans="1:12" x14ac:dyDescent="0.25">
      <c r="A14606" t="str">
        <f t="shared" si="2607"/>
        <v>89301000</v>
      </c>
      <c r="B14606" t="str">
        <f t="shared" si="2612"/>
        <v>06539000</v>
      </c>
      <c r="C14606" t="str">
        <f t="shared" si="2610"/>
        <v>06539003</v>
      </c>
      <c r="D14606">
        <v>89301171</v>
      </c>
      <c r="E14606" t="str">
        <f t="shared" si="2608"/>
        <v>8255035316</v>
      </c>
      <c r="F14606" s="1">
        <v>45214</v>
      </c>
      <c r="G14606" t="str">
        <f t="shared" si="2613"/>
        <v>91197</v>
      </c>
      <c r="H14606">
        <v>1</v>
      </c>
      <c r="I14606">
        <v>1048</v>
      </c>
      <c r="J14606">
        <v>0</v>
      </c>
      <c r="K14606" t="str">
        <f t="shared" si="2611"/>
        <v>813</v>
      </c>
      <c r="L14606">
        <v>880.32</v>
      </c>
    </row>
    <row r="14607" spans="1:12" x14ac:dyDescent="0.25">
      <c r="A14607" t="str">
        <f t="shared" si="2607"/>
        <v>89301000</v>
      </c>
      <c r="B14607" t="str">
        <f t="shared" si="2612"/>
        <v>06539000</v>
      </c>
      <c r="C14607" t="str">
        <f t="shared" si="2610"/>
        <v>06539003</v>
      </c>
      <c r="D14607">
        <v>89301171</v>
      </c>
      <c r="E14607" t="str">
        <f t="shared" si="2608"/>
        <v>8255035316</v>
      </c>
      <c r="F14607" s="1">
        <v>45214</v>
      </c>
      <c r="G14607" t="str">
        <f t="shared" si="2613"/>
        <v>91197</v>
      </c>
      <c r="H14607">
        <v>1</v>
      </c>
      <c r="I14607">
        <v>1048</v>
      </c>
      <c r="J14607">
        <v>0</v>
      </c>
      <c r="K14607" t="str">
        <f t="shared" si="2611"/>
        <v>813</v>
      </c>
      <c r="L14607">
        <v>880.32</v>
      </c>
    </row>
    <row r="14608" spans="1:12" x14ac:dyDescent="0.25">
      <c r="A14608" t="str">
        <f t="shared" si="2607"/>
        <v>89301000</v>
      </c>
      <c r="B14608" t="str">
        <f t="shared" si="2612"/>
        <v>06539000</v>
      </c>
      <c r="C14608" t="str">
        <f t="shared" si="2610"/>
        <v>06539003</v>
      </c>
      <c r="D14608">
        <v>89301171</v>
      </c>
      <c r="E14608" t="str">
        <f t="shared" si="2608"/>
        <v>8255035316</v>
      </c>
      <c r="F14608" s="1">
        <v>45213</v>
      </c>
      <c r="G14608" t="str">
        <f t="shared" si="2613"/>
        <v>91197</v>
      </c>
      <c r="H14608">
        <v>1</v>
      </c>
      <c r="I14608">
        <v>1048</v>
      </c>
      <c r="J14608">
        <v>0</v>
      </c>
      <c r="K14608" t="str">
        <f t="shared" si="2611"/>
        <v>813</v>
      </c>
      <c r="L14608">
        <v>880.32</v>
      </c>
    </row>
    <row r="14609" spans="1:12" x14ac:dyDescent="0.25">
      <c r="A14609" t="str">
        <f t="shared" si="2607"/>
        <v>89301000</v>
      </c>
      <c r="B14609" t="str">
        <f t="shared" si="2612"/>
        <v>06539000</v>
      </c>
      <c r="C14609" t="str">
        <f t="shared" si="2610"/>
        <v>06539003</v>
      </c>
      <c r="D14609">
        <v>89301171</v>
      </c>
      <c r="E14609" t="str">
        <f t="shared" si="2608"/>
        <v>8255035316</v>
      </c>
      <c r="F14609" s="1">
        <v>45213</v>
      </c>
      <c r="G14609" t="str">
        <f t="shared" si="2613"/>
        <v>91197</v>
      </c>
      <c r="H14609">
        <v>1</v>
      </c>
      <c r="I14609">
        <v>1048</v>
      </c>
      <c r="J14609">
        <v>0</v>
      </c>
      <c r="K14609" t="str">
        <f t="shared" si="2611"/>
        <v>813</v>
      </c>
      <c r="L14609">
        <v>880.32</v>
      </c>
    </row>
    <row r="14610" spans="1:12" x14ac:dyDescent="0.25">
      <c r="A14610" t="str">
        <f t="shared" si="2607"/>
        <v>89301000</v>
      </c>
      <c r="B14610" t="str">
        <f t="shared" si="2612"/>
        <v>06539000</v>
      </c>
      <c r="C14610" t="str">
        <f t="shared" si="2610"/>
        <v>06539003</v>
      </c>
      <c r="D14610">
        <v>89301171</v>
      </c>
      <c r="E14610" t="str">
        <f t="shared" si="2608"/>
        <v>8255035316</v>
      </c>
      <c r="F14610" s="1">
        <v>45225</v>
      </c>
      <c r="G14610" t="str">
        <f>"91329"</f>
        <v>91329</v>
      </c>
      <c r="H14610">
        <v>2</v>
      </c>
      <c r="I14610">
        <v>436</v>
      </c>
      <c r="J14610">
        <v>0</v>
      </c>
      <c r="K14610" t="str">
        <f t="shared" si="2611"/>
        <v>813</v>
      </c>
      <c r="L14610">
        <v>366.24</v>
      </c>
    </row>
    <row r="14611" spans="1:12" x14ac:dyDescent="0.25">
      <c r="A14611" t="str">
        <f t="shared" si="2607"/>
        <v>89301000</v>
      </c>
      <c r="B14611" t="str">
        <f t="shared" si="2612"/>
        <v>06539000</v>
      </c>
      <c r="C14611" t="str">
        <f t="shared" si="2610"/>
        <v>06539003</v>
      </c>
      <c r="D14611">
        <v>89301171</v>
      </c>
      <c r="E14611" t="str">
        <f t="shared" si="2608"/>
        <v>8255035316</v>
      </c>
      <c r="F14611" s="1">
        <v>45225</v>
      </c>
      <c r="G14611" t="str">
        <f>"91329"</f>
        <v>91329</v>
      </c>
      <c r="H14611">
        <v>2</v>
      </c>
      <c r="I14611">
        <v>436</v>
      </c>
      <c r="J14611">
        <v>0</v>
      </c>
      <c r="K14611" t="str">
        <f t="shared" si="2611"/>
        <v>813</v>
      </c>
      <c r="L14611">
        <v>366.24</v>
      </c>
    </row>
    <row r="14612" spans="1:12" x14ac:dyDescent="0.25">
      <c r="A14612" t="str">
        <f t="shared" si="2607"/>
        <v>89301000</v>
      </c>
      <c r="B14612" t="str">
        <f t="shared" si="2612"/>
        <v>06539000</v>
      </c>
      <c r="C14612" t="str">
        <f t="shared" si="2610"/>
        <v>06539003</v>
      </c>
      <c r="D14612">
        <v>89301171</v>
      </c>
      <c r="E14612" t="str">
        <f t="shared" si="2608"/>
        <v>8255035316</v>
      </c>
      <c r="F14612" s="1">
        <v>45219</v>
      </c>
      <c r="G14612" t="str">
        <f>"91329"</f>
        <v>91329</v>
      </c>
      <c r="H14612">
        <v>2</v>
      </c>
      <c r="I14612">
        <v>436</v>
      </c>
      <c r="J14612">
        <v>0</v>
      </c>
      <c r="K14612" t="str">
        <f t="shared" si="2611"/>
        <v>813</v>
      </c>
      <c r="L14612">
        <v>366.24</v>
      </c>
    </row>
    <row r="14613" spans="1:12" x14ac:dyDescent="0.25">
      <c r="A14613" t="str">
        <f t="shared" si="2607"/>
        <v>89301000</v>
      </c>
      <c r="B14613" t="str">
        <f t="shared" si="2612"/>
        <v>06539000</v>
      </c>
      <c r="C14613" t="str">
        <f t="shared" si="2610"/>
        <v>06539003</v>
      </c>
      <c r="D14613">
        <v>89301171</v>
      </c>
      <c r="E14613" t="str">
        <f t="shared" si="2608"/>
        <v>8255035316</v>
      </c>
      <c r="F14613" s="1">
        <v>45219</v>
      </c>
      <c r="G14613" t="str">
        <f>"91329"</f>
        <v>91329</v>
      </c>
      <c r="H14613">
        <v>2</v>
      </c>
      <c r="I14613">
        <v>436</v>
      </c>
      <c r="J14613">
        <v>0</v>
      </c>
      <c r="K14613" t="str">
        <f t="shared" si="2611"/>
        <v>813</v>
      </c>
      <c r="L14613">
        <v>366.24</v>
      </c>
    </row>
    <row r="14614" spans="1:12" x14ac:dyDescent="0.25">
      <c r="A14614" t="str">
        <f t="shared" si="2607"/>
        <v>89301000</v>
      </c>
      <c r="B14614" t="str">
        <f t="shared" si="2612"/>
        <v>06539000</v>
      </c>
      <c r="C14614" t="str">
        <f t="shared" si="2610"/>
        <v>06539003</v>
      </c>
      <c r="D14614">
        <v>89301171</v>
      </c>
      <c r="E14614" t="str">
        <f t="shared" si="2608"/>
        <v>8255035316</v>
      </c>
      <c r="F14614" s="1">
        <v>45213</v>
      </c>
      <c r="G14614" t="str">
        <f>"91167"</f>
        <v>91167</v>
      </c>
      <c r="H14614">
        <v>1</v>
      </c>
      <c r="I14614">
        <v>426</v>
      </c>
      <c r="J14614">
        <v>0</v>
      </c>
      <c r="K14614" t="str">
        <f t="shared" si="2611"/>
        <v>813</v>
      </c>
      <c r="L14614">
        <v>357.84</v>
      </c>
    </row>
    <row r="14615" spans="1:12" x14ac:dyDescent="0.25">
      <c r="A14615" t="str">
        <f t="shared" si="2607"/>
        <v>89301000</v>
      </c>
      <c r="B14615" t="str">
        <f t="shared" si="2612"/>
        <v>06539000</v>
      </c>
      <c r="C14615" t="str">
        <f t="shared" si="2610"/>
        <v>06539003</v>
      </c>
      <c r="D14615">
        <v>89301171</v>
      </c>
      <c r="E14615" t="str">
        <f t="shared" si="2608"/>
        <v>8255035316</v>
      </c>
      <c r="F14615" s="1">
        <v>45213</v>
      </c>
      <c r="G14615" t="str">
        <f>"91169"</f>
        <v>91169</v>
      </c>
      <c r="H14615">
        <v>1</v>
      </c>
      <c r="I14615">
        <v>426</v>
      </c>
      <c r="J14615">
        <v>0</v>
      </c>
      <c r="K14615" t="str">
        <f t="shared" si="2611"/>
        <v>813</v>
      </c>
      <c r="L14615">
        <v>357.84</v>
      </c>
    </row>
    <row r="14616" spans="1:12" x14ac:dyDescent="0.25">
      <c r="A14616" t="str">
        <f t="shared" si="2607"/>
        <v>89301000</v>
      </c>
      <c r="B14616" t="str">
        <f t="shared" si="2612"/>
        <v>06539000</v>
      </c>
      <c r="C14616" t="str">
        <f t="shared" si="2610"/>
        <v>06539003</v>
      </c>
      <c r="D14616">
        <v>89301171</v>
      </c>
      <c r="E14616" t="str">
        <f t="shared" si="2608"/>
        <v>8255035316</v>
      </c>
      <c r="F14616" s="1">
        <v>45225</v>
      </c>
      <c r="G14616" t="str">
        <f>"91475"</f>
        <v>91475</v>
      </c>
      <c r="H14616">
        <v>1</v>
      </c>
      <c r="I14616">
        <v>213</v>
      </c>
      <c r="J14616">
        <v>0</v>
      </c>
      <c r="K14616" t="str">
        <f t="shared" si="2611"/>
        <v>813</v>
      </c>
      <c r="L14616">
        <v>178.92</v>
      </c>
    </row>
    <row r="14617" spans="1:12" x14ac:dyDescent="0.25">
      <c r="A14617" t="str">
        <f t="shared" si="2607"/>
        <v>89301000</v>
      </c>
      <c r="B14617" t="str">
        <f t="shared" si="2612"/>
        <v>06539000</v>
      </c>
      <c r="C14617" t="str">
        <f t="shared" si="2610"/>
        <v>06539003</v>
      </c>
      <c r="D14617">
        <v>89301171</v>
      </c>
      <c r="E14617" t="str">
        <f t="shared" ref="E14617:E14633" si="2614">"490617025"</f>
        <v>490617025</v>
      </c>
      <c r="F14617" s="1">
        <v>45224</v>
      </c>
      <c r="G14617" t="str">
        <f t="shared" ref="G14617:G14626" si="2615">"91413"</f>
        <v>91413</v>
      </c>
      <c r="H14617">
        <v>1</v>
      </c>
      <c r="I14617">
        <v>868</v>
      </c>
      <c r="J14617">
        <v>0</v>
      </c>
      <c r="K14617" t="str">
        <f t="shared" si="2611"/>
        <v>813</v>
      </c>
      <c r="L14617">
        <v>729.12</v>
      </c>
    </row>
    <row r="14618" spans="1:12" x14ac:dyDescent="0.25">
      <c r="A14618" t="str">
        <f t="shared" si="2607"/>
        <v>89301000</v>
      </c>
      <c r="B14618" t="str">
        <f t="shared" si="2612"/>
        <v>06539000</v>
      </c>
      <c r="C14618" t="str">
        <f t="shared" si="2610"/>
        <v>06539003</v>
      </c>
      <c r="D14618">
        <v>89301171</v>
      </c>
      <c r="E14618" t="str">
        <f t="shared" si="2614"/>
        <v>490617025</v>
      </c>
      <c r="F14618" s="1">
        <v>45224</v>
      </c>
      <c r="G14618" t="str">
        <f t="shared" si="2615"/>
        <v>91413</v>
      </c>
      <c r="H14618">
        <v>1</v>
      </c>
      <c r="I14618">
        <v>868</v>
      </c>
      <c r="J14618">
        <v>0</v>
      </c>
      <c r="K14618" t="str">
        <f t="shared" si="2611"/>
        <v>813</v>
      </c>
      <c r="L14618">
        <v>729.12</v>
      </c>
    </row>
    <row r="14619" spans="1:12" x14ac:dyDescent="0.25">
      <c r="A14619" t="str">
        <f t="shared" si="2607"/>
        <v>89301000</v>
      </c>
      <c r="B14619" t="str">
        <f t="shared" si="2612"/>
        <v>06539000</v>
      </c>
      <c r="C14619" t="str">
        <f t="shared" si="2610"/>
        <v>06539003</v>
      </c>
      <c r="D14619">
        <v>89301171</v>
      </c>
      <c r="E14619" t="str">
        <f t="shared" si="2614"/>
        <v>490617025</v>
      </c>
      <c r="F14619" s="1">
        <v>45239</v>
      </c>
      <c r="G14619" t="str">
        <f t="shared" si="2615"/>
        <v>91413</v>
      </c>
      <c r="H14619">
        <v>1</v>
      </c>
      <c r="I14619">
        <v>868</v>
      </c>
      <c r="J14619">
        <v>0</v>
      </c>
      <c r="K14619" t="str">
        <f t="shared" si="2611"/>
        <v>813</v>
      </c>
      <c r="L14619">
        <v>729.12</v>
      </c>
    </row>
    <row r="14620" spans="1:12" x14ac:dyDescent="0.25">
      <c r="A14620" t="str">
        <f t="shared" si="2607"/>
        <v>89301000</v>
      </c>
      <c r="B14620" t="str">
        <f t="shared" si="2612"/>
        <v>06539000</v>
      </c>
      <c r="C14620" t="str">
        <f t="shared" si="2610"/>
        <v>06539003</v>
      </c>
      <c r="D14620">
        <v>89301171</v>
      </c>
      <c r="E14620" t="str">
        <f t="shared" si="2614"/>
        <v>490617025</v>
      </c>
      <c r="F14620" s="1">
        <v>45239</v>
      </c>
      <c r="G14620" t="str">
        <f t="shared" si="2615"/>
        <v>91413</v>
      </c>
      <c r="H14620">
        <v>1</v>
      </c>
      <c r="I14620">
        <v>868</v>
      </c>
      <c r="J14620">
        <v>0</v>
      </c>
      <c r="K14620" t="str">
        <f t="shared" si="2611"/>
        <v>813</v>
      </c>
      <c r="L14620">
        <v>729.12</v>
      </c>
    </row>
    <row r="14621" spans="1:12" x14ac:dyDescent="0.25">
      <c r="A14621" t="str">
        <f t="shared" si="2607"/>
        <v>89301000</v>
      </c>
      <c r="B14621" t="str">
        <f t="shared" si="2612"/>
        <v>06539000</v>
      </c>
      <c r="C14621" t="str">
        <f t="shared" si="2610"/>
        <v>06539003</v>
      </c>
      <c r="D14621">
        <v>89301171</v>
      </c>
      <c r="E14621" t="str">
        <f t="shared" si="2614"/>
        <v>490617025</v>
      </c>
      <c r="F14621" s="1">
        <v>45238</v>
      </c>
      <c r="G14621" t="str">
        <f t="shared" si="2615"/>
        <v>91413</v>
      </c>
      <c r="H14621">
        <v>1</v>
      </c>
      <c r="I14621">
        <v>868</v>
      </c>
      <c r="J14621">
        <v>0</v>
      </c>
      <c r="K14621" t="str">
        <f t="shared" si="2611"/>
        <v>813</v>
      </c>
      <c r="L14621">
        <v>729.12</v>
      </c>
    </row>
    <row r="14622" spans="1:12" x14ac:dyDescent="0.25">
      <c r="A14622" t="str">
        <f t="shared" si="2607"/>
        <v>89301000</v>
      </c>
      <c r="B14622" t="str">
        <f t="shared" si="2612"/>
        <v>06539000</v>
      </c>
      <c r="C14622" t="str">
        <f t="shared" si="2610"/>
        <v>06539003</v>
      </c>
      <c r="D14622">
        <v>89301171</v>
      </c>
      <c r="E14622" t="str">
        <f t="shared" si="2614"/>
        <v>490617025</v>
      </c>
      <c r="F14622" s="1">
        <v>45238</v>
      </c>
      <c r="G14622" t="str">
        <f t="shared" si="2615"/>
        <v>91413</v>
      </c>
      <c r="H14622">
        <v>1</v>
      </c>
      <c r="I14622">
        <v>868</v>
      </c>
      <c r="J14622">
        <v>0</v>
      </c>
      <c r="K14622" t="str">
        <f t="shared" si="2611"/>
        <v>813</v>
      </c>
      <c r="L14622">
        <v>729.12</v>
      </c>
    </row>
    <row r="14623" spans="1:12" x14ac:dyDescent="0.25">
      <c r="A14623" t="str">
        <f t="shared" si="2607"/>
        <v>89301000</v>
      </c>
      <c r="B14623" t="str">
        <f t="shared" si="2612"/>
        <v>06539000</v>
      </c>
      <c r="C14623" t="str">
        <f t="shared" si="2610"/>
        <v>06539003</v>
      </c>
      <c r="D14623">
        <v>89301171</v>
      </c>
      <c r="E14623" t="str">
        <f t="shared" si="2614"/>
        <v>490617025</v>
      </c>
      <c r="F14623" s="1">
        <v>45239</v>
      </c>
      <c r="G14623" t="str">
        <f t="shared" si="2615"/>
        <v>91413</v>
      </c>
      <c r="H14623">
        <v>1</v>
      </c>
      <c r="I14623">
        <v>868</v>
      </c>
      <c r="J14623">
        <v>0</v>
      </c>
      <c r="K14623" t="str">
        <f t="shared" si="2611"/>
        <v>813</v>
      </c>
      <c r="L14623">
        <v>729.12</v>
      </c>
    </row>
    <row r="14624" spans="1:12" x14ac:dyDescent="0.25">
      <c r="A14624" t="str">
        <f t="shared" si="2607"/>
        <v>89301000</v>
      </c>
      <c r="B14624" t="str">
        <f t="shared" si="2612"/>
        <v>06539000</v>
      </c>
      <c r="C14624" t="str">
        <f t="shared" si="2610"/>
        <v>06539003</v>
      </c>
      <c r="D14624">
        <v>89301171</v>
      </c>
      <c r="E14624" t="str">
        <f t="shared" si="2614"/>
        <v>490617025</v>
      </c>
      <c r="F14624" s="1">
        <v>45239</v>
      </c>
      <c r="G14624" t="str">
        <f t="shared" si="2615"/>
        <v>91413</v>
      </c>
      <c r="H14624">
        <v>1</v>
      </c>
      <c r="I14624">
        <v>868</v>
      </c>
      <c r="J14624">
        <v>0</v>
      </c>
      <c r="K14624" t="str">
        <f t="shared" si="2611"/>
        <v>813</v>
      </c>
      <c r="L14624">
        <v>729.12</v>
      </c>
    </row>
    <row r="14625" spans="1:12" x14ac:dyDescent="0.25">
      <c r="A14625" t="str">
        <f t="shared" si="2607"/>
        <v>89301000</v>
      </c>
      <c r="B14625" t="str">
        <f t="shared" si="2612"/>
        <v>06539000</v>
      </c>
      <c r="C14625" t="str">
        <f t="shared" si="2610"/>
        <v>06539003</v>
      </c>
      <c r="D14625">
        <v>89301171</v>
      </c>
      <c r="E14625" t="str">
        <f t="shared" si="2614"/>
        <v>490617025</v>
      </c>
      <c r="F14625" s="1">
        <v>45239</v>
      </c>
      <c r="G14625" t="str">
        <f t="shared" si="2615"/>
        <v>91413</v>
      </c>
      <c r="H14625">
        <v>1</v>
      </c>
      <c r="I14625">
        <v>868</v>
      </c>
      <c r="J14625">
        <v>0</v>
      </c>
      <c r="K14625" t="str">
        <f t="shared" si="2611"/>
        <v>813</v>
      </c>
      <c r="L14625">
        <v>729.12</v>
      </c>
    </row>
    <row r="14626" spans="1:12" x14ac:dyDescent="0.25">
      <c r="A14626" t="str">
        <f t="shared" si="2607"/>
        <v>89301000</v>
      </c>
      <c r="B14626" t="str">
        <f t="shared" si="2612"/>
        <v>06539000</v>
      </c>
      <c r="C14626" t="str">
        <f t="shared" si="2610"/>
        <v>06539003</v>
      </c>
      <c r="D14626">
        <v>89301171</v>
      </c>
      <c r="E14626" t="str">
        <f t="shared" si="2614"/>
        <v>490617025</v>
      </c>
      <c r="F14626" s="1">
        <v>45239</v>
      </c>
      <c r="G14626" t="str">
        <f t="shared" si="2615"/>
        <v>91413</v>
      </c>
      <c r="H14626">
        <v>1</v>
      </c>
      <c r="I14626">
        <v>868</v>
      </c>
      <c r="J14626">
        <v>0</v>
      </c>
      <c r="K14626" t="str">
        <f t="shared" si="2611"/>
        <v>813</v>
      </c>
      <c r="L14626">
        <v>729.12</v>
      </c>
    </row>
    <row r="14627" spans="1:12" x14ac:dyDescent="0.25">
      <c r="A14627" t="str">
        <f t="shared" si="2607"/>
        <v>89301000</v>
      </c>
      <c r="B14627" t="str">
        <f t="shared" si="2612"/>
        <v>06539000</v>
      </c>
      <c r="C14627" t="str">
        <f t="shared" si="2610"/>
        <v>06539003</v>
      </c>
      <c r="D14627">
        <v>89301171</v>
      </c>
      <c r="E14627" t="str">
        <f t="shared" si="2614"/>
        <v>490617025</v>
      </c>
      <c r="F14627" s="1">
        <v>45221</v>
      </c>
      <c r="G14627" t="str">
        <f>"91197"</f>
        <v>91197</v>
      </c>
      <c r="H14627">
        <v>1</v>
      </c>
      <c r="I14627">
        <v>1048</v>
      </c>
      <c r="J14627">
        <v>0</v>
      </c>
      <c r="K14627" t="str">
        <f t="shared" si="2611"/>
        <v>813</v>
      </c>
      <c r="L14627">
        <v>880.32</v>
      </c>
    </row>
    <row r="14628" spans="1:12" x14ac:dyDescent="0.25">
      <c r="A14628" t="str">
        <f t="shared" si="2607"/>
        <v>89301000</v>
      </c>
      <c r="B14628" t="str">
        <f t="shared" si="2612"/>
        <v>06539000</v>
      </c>
      <c r="C14628" t="str">
        <f t="shared" si="2610"/>
        <v>06539003</v>
      </c>
      <c r="D14628">
        <v>89301171</v>
      </c>
      <c r="E14628" t="str">
        <f t="shared" si="2614"/>
        <v>490617025</v>
      </c>
      <c r="F14628" s="1">
        <v>45221</v>
      </c>
      <c r="G14628" t="str">
        <f>"91197"</f>
        <v>91197</v>
      </c>
      <c r="H14628">
        <v>1</v>
      </c>
      <c r="I14628">
        <v>1048</v>
      </c>
      <c r="J14628">
        <v>0</v>
      </c>
      <c r="K14628" t="str">
        <f t="shared" si="2611"/>
        <v>813</v>
      </c>
      <c r="L14628">
        <v>880.32</v>
      </c>
    </row>
    <row r="14629" spans="1:12" x14ac:dyDescent="0.25">
      <c r="A14629" t="str">
        <f t="shared" si="2607"/>
        <v>89301000</v>
      </c>
      <c r="B14629" t="str">
        <f t="shared" si="2612"/>
        <v>06539000</v>
      </c>
      <c r="C14629" t="str">
        <f t="shared" si="2610"/>
        <v>06539003</v>
      </c>
      <c r="D14629">
        <v>89301171</v>
      </c>
      <c r="E14629" t="str">
        <f t="shared" si="2614"/>
        <v>490617025</v>
      </c>
      <c r="F14629" s="1">
        <v>45220</v>
      </c>
      <c r="G14629" t="str">
        <f>"91197"</f>
        <v>91197</v>
      </c>
      <c r="H14629">
        <v>1</v>
      </c>
      <c r="I14629">
        <v>1048</v>
      </c>
      <c r="J14629">
        <v>0</v>
      </c>
      <c r="K14629" t="str">
        <f t="shared" si="2611"/>
        <v>813</v>
      </c>
      <c r="L14629">
        <v>880.32</v>
      </c>
    </row>
    <row r="14630" spans="1:12" x14ac:dyDescent="0.25">
      <c r="A14630" t="str">
        <f t="shared" si="2607"/>
        <v>89301000</v>
      </c>
      <c r="B14630" t="str">
        <f t="shared" si="2612"/>
        <v>06539000</v>
      </c>
      <c r="C14630" t="str">
        <f t="shared" si="2610"/>
        <v>06539003</v>
      </c>
      <c r="D14630">
        <v>89301171</v>
      </c>
      <c r="E14630" t="str">
        <f t="shared" si="2614"/>
        <v>490617025</v>
      </c>
      <c r="F14630" s="1">
        <v>45220</v>
      </c>
      <c r="G14630" t="str">
        <f>"91197"</f>
        <v>91197</v>
      </c>
      <c r="H14630">
        <v>1</v>
      </c>
      <c r="I14630">
        <v>1048</v>
      </c>
      <c r="J14630">
        <v>0</v>
      </c>
      <c r="K14630" t="str">
        <f t="shared" si="2611"/>
        <v>813</v>
      </c>
      <c r="L14630">
        <v>880.32</v>
      </c>
    </row>
    <row r="14631" spans="1:12" x14ac:dyDescent="0.25">
      <c r="A14631" t="str">
        <f t="shared" si="2607"/>
        <v>89301000</v>
      </c>
      <c r="B14631" t="str">
        <f t="shared" si="2612"/>
        <v>06539000</v>
      </c>
      <c r="C14631" t="str">
        <f t="shared" ref="C14631:C14640" si="2616">"06539003"</f>
        <v>06539003</v>
      </c>
      <c r="D14631">
        <v>89301171</v>
      </c>
      <c r="E14631" t="str">
        <f t="shared" si="2614"/>
        <v>490617025</v>
      </c>
      <c r="F14631" s="1">
        <v>45220</v>
      </c>
      <c r="G14631" t="str">
        <f>"91167"</f>
        <v>91167</v>
      </c>
      <c r="H14631">
        <v>1</v>
      </c>
      <c r="I14631">
        <v>426</v>
      </c>
      <c r="J14631">
        <v>0</v>
      </c>
      <c r="K14631" t="str">
        <f t="shared" ref="K14631:K14640" si="2617">"813"</f>
        <v>813</v>
      </c>
      <c r="L14631">
        <v>357.84</v>
      </c>
    </row>
    <row r="14632" spans="1:12" x14ac:dyDescent="0.25">
      <c r="A14632" t="str">
        <f t="shared" si="2607"/>
        <v>89301000</v>
      </c>
      <c r="B14632" t="str">
        <f t="shared" ref="B14632:B14657" si="2618">"06539000"</f>
        <v>06539000</v>
      </c>
      <c r="C14632" t="str">
        <f t="shared" si="2616"/>
        <v>06539003</v>
      </c>
      <c r="D14632">
        <v>89301171</v>
      </c>
      <c r="E14632" t="str">
        <f t="shared" si="2614"/>
        <v>490617025</v>
      </c>
      <c r="F14632" s="1">
        <v>45220</v>
      </c>
      <c r="G14632" t="str">
        <f>"91169"</f>
        <v>91169</v>
      </c>
      <c r="H14632">
        <v>1</v>
      </c>
      <c r="I14632">
        <v>426</v>
      </c>
      <c r="J14632">
        <v>0</v>
      </c>
      <c r="K14632" t="str">
        <f t="shared" si="2617"/>
        <v>813</v>
      </c>
      <c r="L14632">
        <v>357.84</v>
      </c>
    </row>
    <row r="14633" spans="1:12" x14ac:dyDescent="0.25">
      <c r="A14633" t="str">
        <f t="shared" si="2607"/>
        <v>89301000</v>
      </c>
      <c r="B14633" t="str">
        <f t="shared" si="2618"/>
        <v>06539000</v>
      </c>
      <c r="C14633" t="str">
        <f t="shared" si="2616"/>
        <v>06539003</v>
      </c>
      <c r="D14633">
        <v>89301171</v>
      </c>
      <c r="E14633" t="str">
        <f t="shared" si="2614"/>
        <v>490617025</v>
      </c>
      <c r="F14633" s="1">
        <v>45224</v>
      </c>
      <c r="G14633" t="str">
        <f>"91475"</f>
        <v>91475</v>
      </c>
      <c r="H14633">
        <v>1</v>
      </c>
      <c r="I14633">
        <v>213</v>
      </c>
      <c r="J14633">
        <v>0</v>
      </c>
      <c r="K14633" t="str">
        <f t="shared" si="2617"/>
        <v>813</v>
      </c>
      <c r="L14633">
        <v>178.92</v>
      </c>
    </row>
    <row r="14634" spans="1:12" x14ac:dyDescent="0.25">
      <c r="A14634" t="str">
        <f t="shared" si="2607"/>
        <v>89301000</v>
      </c>
      <c r="B14634" t="str">
        <f t="shared" si="2618"/>
        <v>06539000</v>
      </c>
      <c r="C14634" t="str">
        <f t="shared" si="2616"/>
        <v>06539003</v>
      </c>
      <c r="D14634">
        <v>89301171</v>
      </c>
      <c r="E14634" t="str">
        <f t="shared" ref="E14634:E14640" si="2619">"5406091845"</f>
        <v>5406091845</v>
      </c>
      <c r="F14634" s="1">
        <v>45239</v>
      </c>
      <c r="G14634" t="str">
        <f t="shared" ref="G14634:G14639" si="2620">"91413"</f>
        <v>91413</v>
      </c>
      <c r="H14634">
        <v>1</v>
      </c>
      <c r="I14634">
        <v>868</v>
      </c>
      <c r="J14634">
        <v>0</v>
      </c>
      <c r="K14634" t="str">
        <f t="shared" si="2617"/>
        <v>813</v>
      </c>
      <c r="L14634">
        <v>729.12</v>
      </c>
    </row>
    <row r="14635" spans="1:12" x14ac:dyDescent="0.25">
      <c r="A14635" t="str">
        <f t="shared" si="2607"/>
        <v>89301000</v>
      </c>
      <c r="B14635" t="str">
        <f t="shared" si="2618"/>
        <v>06539000</v>
      </c>
      <c r="C14635" t="str">
        <f t="shared" si="2616"/>
        <v>06539003</v>
      </c>
      <c r="D14635">
        <v>89301171</v>
      </c>
      <c r="E14635" t="str">
        <f t="shared" si="2619"/>
        <v>5406091845</v>
      </c>
      <c r="F14635" s="1">
        <v>45239</v>
      </c>
      <c r="G14635" t="str">
        <f t="shared" si="2620"/>
        <v>91413</v>
      </c>
      <c r="H14635">
        <v>1</v>
      </c>
      <c r="I14635">
        <v>868</v>
      </c>
      <c r="J14635">
        <v>0</v>
      </c>
      <c r="K14635" t="str">
        <f t="shared" si="2617"/>
        <v>813</v>
      </c>
      <c r="L14635">
        <v>729.12</v>
      </c>
    </row>
    <row r="14636" spans="1:12" x14ac:dyDescent="0.25">
      <c r="A14636" t="str">
        <f t="shared" si="2607"/>
        <v>89301000</v>
      </c>
      <c r="B14636" t="str">
        <f t="shared" si="2618"/>
        <v>06539000</v>
      </c>
      <c r="C14636" t="str">
        <f t="shared" si="2616"/>
        <v>06539003</v>
      </c>
      <c r="D14636">
        <v>89301171</v>
      </c>
      <c r="E14636" t="str">
        <f t="shared" si="2619"/>
        <v>5406091845</v>
      </c>
      <c r="F14636" s="1">
        <v>45239</v>
      </c>
      <c r="G14636" t="str">
        <f t="shared" si="2620"/>
        <v>91413</v>
      </c>
      <c r="H14636">
        <v>1</v>
      </c>
      <c r="I14636">
        <v>868</v>
      </c>
      <c r="J14636">
        <v>0</v>
      </c>
      <c r="K14636" t="str">
        <f t="shared" si="2617"/>
        <v>813</v>
      </c>
      <c r="L14636">
        <v>729.12</v>
      </c>
    </row>
    <row r="14637" spans="1:12" x14ac:dyDescent="0.25">
      <c r="A14637" t="str">
        <f t="shared" si="2607"/>
        <v>89301000</v>
      </c>
      <c r="B14637" t="str">
        <f t="shared" si="2618"/>
        <v>06539000</v>
      </c>
      <c r="C14637" t="str">
        <f t="shared" si="2616"/>
        <v>06539003</v>
      </c>
      <c r="D14637">
        <v>89301171</v>
      </c>
      <c r="E14637" t="str">
        <f t="shared" si="2619"/>
        <v>5406091845</v>
      </c>
      <c r="F14637" s="1">
        <v>45239</v>
      </c>
      <c r="G14637" t="str">
        <f t="shared" si="2620"/>
        <v>91413</v>
      </c>
      <c r="H14637">
        <v>1</v>
      </c>
      <c r="I14637">
        <v>868</v>
      </c>
      <c r="J14637">
        <v>0</v>
      </c>
      <c r="K14637" t="str">
        <f t="shared" si="2617"/>
        <v>813</v>
      </c>
      <c r="L14637">
        <v>729.12</v>
      </c>
    </row>
    <row r="14638" spans="1:12" x14ac:dyDescent="0.25">
      <c r="A14638" t="str">
        <f t="shared" si="2607"/>
        <v>89301000</v>
      </c>
      <c r="B14638" t="str">
        <f t="shared" si="2618"/>
        <v>06539000</v>
      </c>
      <c r="C14638" t="str">
        <f t="shared" si="2616"/>
        <v>06539003</v>
      </c>
      <c r="D14638">
        <v>89301171</v>
      </c>
      <c r="E14638" t="str">
        <f t="shared" si="2619"/>
        <v>5406091845</v>
      </c>
      <c r="F14638" s="1">
        <v>45239</v>
      </c>
      <c r="G14638" t="str">
        <f t="shared" si="2620"/>
        <v>91413</v>
      </c>
      <c r="H14638">
        <v>1</v>
      </c>
      <c r="I14638">
        <v>868</v>
      </c>
      <c r="J14638">
        <v>0</v>
      </c>
      <c r="K14638" t="str">
        <f t="shared" si="2617"/>
        <v>813</v>
      </c>
      <c r="L14638">
        <v>729.12</v>
      </c>
    </row>
    <row r="14639" spans="1:12" x14ac:dyDescent="0.25">
      <c r="A14639" t="str">
        <f t="shared" si="2607"/>
        <v>89301000</v>
      </c>
      <c r="B14639" t="str">
        <f t="shared" si="2618"/>
        <v>06539000</v>
      </c>
      <c r="C14639" t="str">
        <f t="shared" si="2616"/>
        <v>06539003</v>
      </c>
      <c r="D14639">
        <v>89301171</v>
      </c>
      <c r="E14639" t="str">
        <f t="shared" si="2619"/>
        <v>5406091845</v>
      </c>
      <c r="F14639" s="1">
        <v>45239</v>
      </c>
      <c r="G14639" t="str">
        <f t="shared" si="2620"/>
        <v>91413</v>
      </c>
      <c r="H14639">
        <v>1</v>
      </c>
      <c r="I14639">
        <v>868</v>
      </c>
      <c r="J14639">
        <v>0</v>
      </c>
      <c r="K14639" t="str">
        <f t="shared" si="2617"/>
        <v>813</v>
      </c>
      <c r="L14639">
        <v>729.12</v>
      </c>
    </row>
    <row r="14640" spans="1:12" x14ac:dyDescent="0.25">
      <c r="A14640" t="str">
        <f t="shared" si="2607"/>
        <v>89301000</v>
      </c>
      <c r="B14640" t="str">
        <f t="shared" si="2618"/>
        <v>06539000</v>
      </c>
      <c r="C14640" t="str">
        <f t="shared" si="2616"/>
        <v>06539003</v>
      </c>
      <c r="D14640">
        <v>89301171</v>
      </c>
      <c r="E14640" t="str">
        <f t="shared" si="2619"/>
        <v>5406091845</v>
      </c>
      <c r="F14640" s="1">
        <v>45239</v>
      </c>
      <c r="G14640" t="str">
        <f>"91475"</f>
        <v>91475</v>
      </c>
      <c r="H14640">
        <v>1</v>
      </c>
      <c r="I14640">
        <v>213</v>
      </c>
      <c r="J14640">
        <v>0</v>
      </c>
      <c r="K14640" t="str">
        <f t="shared" si="2617"/>
        <v>813</v>
      </c>
      <c r="L14640">
        <v>178.92</v>
      </c>
    </row>
    <row r="14641" spans="1:12" x14ac:dyDescent="0.25">
      <c r="A14641" t="str">
        <f t="shared" si="2607"/>
        <v>89301000</v>
      </c>
      <c r="B14641" t="str">
        <f t="shared" si="2618"/>
        <v>06539000</v>
      </c>
      <c r="C14641" t="str">
        <f>"06539001"</f>
        <v>06539001</v>
      </c>
      <c r="D14641">
        <v>89301171</v>
      </c>
      <c r="E14641" t="str">
        <f>"525320093"</f>
        <v>525320093</v>
      </c>
      <c r="F14641" s="1">
        <v>45231</v>
      </c>
      <c r="G14641" t="str">
        <f>"81705"</f>
        <v>81705</v>
      </c>
      <c r="H14641">
        <v>1</v>
      </c>
      <c r="I14641">
        <v>348</v>
      </c>
      <c r="J14641">
        <v>0</v>
      </c>
      <c r="K14641" t="str">
        <f>"801"</f>
        <v>801</v>
      </c>
      <c r="L14641">
        <v>292.32</v>
      </c>
    </row>
    <row r="14642" spans="1:12" x14ac:dyDescent="0.25">
      <c r="A14642" t="str">
        <f t="shared" si="2607"/>
        <v>89301000</v>
      </c>
      <c r="B14642" t="str">
        <f t="shared" si="2618"/>
        <v>06539000</v>
      </c>
      <c r="C14642" t="str">
        <f>"06539001"</f>
        <v>06539001</v>
      </c>
      <c r="D14642">
        <v>89301171</v>
      </c>
      <c r="E14642" t="str">
        <f>"525320093"</f>
        <v>525320093</v>
      </c>
      <c r="F14642" s="1">
        <v>45229</v>
      </c>
      <c r="G14642" t="str">
        <f>"81705"</f>
        <v>81705</v>
      </c>
      <c r="H14642">
        <v>1</v>
      </c>
      <c r="I14642">
        <v>348</v>
      </c>
      <c r="J14642">
        <v>0</v>
      </c>
      <c r="K14642" t="str">
        <f>"801"</f>
        <v>801</v>
      </c>
      <c r="L14642">
        <v>292.32</v>
      </c>
    </row>
    <row r="14643" spans="1:12" x14ac:dyDescent="0.25">
      <c r="A14643" t="str">
        <f t="shared" si="2607"/>
        <v>89301000</v>
      </c>
      <c r="B14643" t="str">
        <f t="shared" si="2618"/>
        <v>06539000</v>
      </c>
      <c r="C14643" t="str">
        <f>"06539003"</f>
        <v>06539003</v>
      </c>
      <c r="D14643">
        <v>89301171</v>
      </c>
      <c r="E14643" t="str">
        <f>"525320093"</f>
        <v>525320093</v>
      </c>
      <c r="F14643" s="1">
        <v>45229</v>
      </c>
      <c r="G14643" t="str">
        <f>"91329"</f>
        <v>91329</v>
      </c>
      <c r="H14643">
        <v>2</v>
      </c>
      <c r="I14643">
        <v>436</v>
      </c>
      <c r="J14643">
        <v>0</v>
      </c>
      <c r="K14643" t="str">
        <f>"813"</f>
        <v>813</v>
      </c>
      <c r="L14643">
        <v>366.24</v>
      </c>
    </row>
    <row r="14644" spans="1:12" x14ac:dyDescent="0.25">
      <c r="A14644" t="str">
        <f t="shared" si="2607"/>
        <v>89301000</v>
      </c>
      <c r="B14644" t="str">
        <f t="shared" si="2618"/>
        <v>06539000</v>
      </c>
      <c r="C14644" t="str">
        <f>"06539003"</f>
        <v>06539003</v>
      </c>
      <c r="D14644">
        <v>89301171</v>
      </c>
      <c r="E14644" t="str">
        <f>"525320093"</f>
        <v>525320093</v>
      </c>
      <c r="F14644" s="1">
        <v>45230</v>
      </c>
      <c r="G14644" t="str">
        <f>"91475"</f>
        <v>91475</v>
      </c>
      <c r="H14644">
        <v>1</v>
      </c>
      <c r="I14644">
        <v>213</v>
      </c>
      <c r="J14644">
        <v>0</v>
      </c>
      <c r="K14644" t="str">
        <f>"813"</f>
        <v>813</v>
      </c>
      <c r="L14644">
        <v>178.92</v>
      </c>
    </row>
    <row r="14645" spans="1:12" x14ac:dyDescent="0.25">
      <c r="A14645" t="str">
        <f t="shared" si="2607"/>
        <v>89301000</v>
      </c>
      <c r="B14645" t="str">
        <f t="shared" si="2618"/>
        <v>06539000</v>
      </c>
      <c r="C14645" t="str">
        <f>"06539001"</f>
        <v>06539001</v>
      </c>
      <c r="D14645">
        <v>89301101</v>
      </c>
      <c r="E14645" t="str">
        <f>"0960186062"</f>
        <v>0960186062</v>
      </c>
      <c r="F14645" s="1">
        <v>45250</v>
      </c>
      <c r="G14645" t="str">
        <f>"81705"</f>
        <v>81705</v>
      </c>
      <c r="H14645">
        <v>1</v>
      </c>
      <c r="I14645">
        <v>348</v>
      </c>
      <c r="J14645">
        <v>0</v>
      </c>
      <c r="K14645" t="str">
        <f>"801"</f>
        <v>801</v>
      </c>
      <c r="L14645">
        <v>292.32</v>
      </c>
    </row>
    <row r="14646" spans="1:12" x14ac:dyDescent="0.25">
      <c r="A14646" t="str">
        <f t="shared" si="2607"/>
        <v>89301000</v>
      </c>
      <c r="B14646" t="str">
        <f t="shared" si="2618"/>
        <v>06539000</v>
      </c>
      <c r="C14646" t="str">
        <f>"06539001"</f>
        <v>06539001</v>
      </c>
      <c r="D14646">
        <v>89301101</v>
      </c>
      <c r="E14646" t="str">
        <f>"0960186062"</f>
        <v>0960186062</v>
      </c>
      <c r="F14646" s="1">
        <v>45250</v>
      </c>
      <c r="G14646" t="str">
        <f>"81705"</f>
        <v>81705</v>
      </c>
      <c r="H14646">
        <v>1</v>
      </c>
      <c r="I14646">
        <v>348</v>
      </c>
      <c r="J14646">
        <v>0</v>
      </c>
      <c r="K14646" t="str">
        <f>"801"</f>
        <v>801</v>
      </c>
      <c r="L14646">
        <v>292.32</v>
      </c>
    </row>
    <row r="14647" spans="1:12" x14ac:dyDescent="0.25">
      <c r="A14647" t="str">
        <f t="shared" si="2607"/>
        <v>89301000</v>
      </c>
      <c r="B14647" t="str">
        <f t="shared" si="2618"/>
        <v>06539000</v>
      </c>
      <c r="C14647" t="str">
        <f t="shared" ref="C14647:C14657" si="2621">"06539003"</f>
        <v>06539003</v>
      </c>
      <c r="D14647">
        <v>89301101</v>
      </c>
      <c r="E14647" t="str">
        <f>"0960186062"</f>
        <v>0960186062</v>
      </c>
      <c r="F14647" s="1">
        <v>45250</v>
      </c>
      <c r="G14647" t="str">
        <f>"91329"</f>
        <v>91329</v>
      </c>
      <c r="H14647">
        <v>2</v>
      </c>
      <c r="I14647">
        <v>436</v>
      </c>
      <c r="J14647">
        <v>0</v>
      </c>
      <c r="K14647" t="str">
        <f t="shared" ref="K14647:K14657" si="2622">"813"</f>
        <v>813</v>
      </c>
      <c r="L14647">
        <v>366.24</v>
      </c>
    </row>
    <row r="14648" spans="1:12" x14ac:dyDescent="0.25">
      <c r="A14648" t="str">
        <f t="shared" si="2607"/>
        <v>89301000</v>
      </c>
      <c r="B14648" t="str">
        <f t="shared" si="2618"/>
        <v>06539000</v>
      </c>
      <c r="C14648" t="str">
        <f t="shared" si="2621"/>
        <v>06539003</v>
      </c>
      <c r="D14648">
        <v>89301172</v>
      </c>
      <c r="E14648" t="str">
        <f>"7356264465"</f>
        <v>7356264465</v>
      </c>
      <c r="F14648" s="1">
        <v>45253</v>
      </c>
      <c r="G14648" t="str">
        <f>"91329"</f>
        <v>91329</v>
      </c>
      <c r="H14648">
        <v>2</v>
      </c>
      <c r="I14648">
        <v>436</v>
      </c>
      <c r="J14648">
        <v>0</v>
      </c>
      <c r="K14648" t="str">
        <f t="shared" si="2622"/>
        <v>813</v>
      </c>
      <c r="L14648">
        <v>366.24</v>
      </c>
    </row>
    <row r="14649" spans="1:12" x14ac:dyDescent="0.25">
      <c r="A14649" t="str">
        <f t="shared" si="2607"/>
        <v>89301000</v>
      </c>
      <c r="B14649" t="str">
        <f t="shared" si="2618"/>
        <v>06539000</v>
      </c>
      <c r="C14649" t="str">
        <f t="shared" si="2621"/>
        <v>06539003</v>
      </c>
      <c r="D14649">
        <v>89301172</v>
      </c>
      <c r="E14649" t="str">
        <f>"7356264465"</f>
        <v>7356264465</v>
      </c>
      <c r="F14649" s="1">
        <v>45253</v>
      </c>
      <c r="G14649" t="str">
        <f>"91329"</f>
        <v>91329</v>
      </c>
      <c r="H14649">
        <v>2</v>
      </c>
      <c r="I14649">
        <v>436</v>
      </c>
      <c r="J14649">
        <v>0</v>
      </c>
      <c r="K14649" t="str">
        <f t="shared" si="2622"/>
        <v>813</v>
      </c>
      <c r="L14649">
        <v>366.24</v>
      </c>
    </row>
    <row r="14650" spans="1:12" x14ac:dyDescent="0.25">
      <c r="A14650" t="str">
        <f t="shared" si="2607"/>
        <v>89301000</v>
      </c>
      <c r="B14650" t="str">
        <f t="shared" si="2618"/>
        <v>06539000</v>
      </c>
      <c r="C14650" t="str">
        <f t="shared" si="2621"/>
        <v>06539003</v>
      </c>
      <c r="D14650">
        <v>89301172</v>
      </c>
      <c r="E14650" t="str">
        <f>"7356264465"</f>
        <v>7356264465</v>
      </c>
      <c r="F14650" s="1">
        <v>45243</v>
      </c>
      <c r="G14650" t="str">
        <f>"91329"</f>
        <v>91329</v>
      </c>
      <c r="H14650">
        <v>2</v>
      </c>
      <c r="I14650">
        <v>436</v>
      </c>
      <c r="J14650">
        <v>0</v>
      </c>
      <c r="K14650" t="str">
        <f t="shared" si="2622"/>
        <v>813</v>
      </c>
      <c r="L14650">
        <v>366.24</v>
      </c>
    </row>
    <row r="14651" spans="1:12" x14ac:dyDescent="0.25">
      <c r="A14651" t="str">
        <f t="shared" si="2607"/>
        <v>89301000</v>
      </c>
      <c r="B14651" t="str">
        <f t="shared" si="2618"/>
        <v>06539000</v>
      </c>
      <c r="C14651" t="str">
        <f t="shared" si="2621"/>
        <v>06539003</v>
      </c>
      <c r="D14651">
        <v>89301172</v>
      </c>
      <c r="E14651" t="str">
        <f>"7356264465"</f>
        <v>7356264465</v>
      </c>
      <c r="F14651" s="1">
        <v>45243</v>
      </c>
      <c r="G14651" t="str">
        <f>"91329"</f>
        <v>91329</v>
      </c>
      <c r="H14651">
        <v>2</v>
      </c>
      <c r="I14651">
        <v>436</v>
      </c>
      <c r="J14651">
        <v>0</v>
      </c>
      <c r="K14651" t="str">
        <f t="shared" si="2622"/>
        <v>813</v>
      </c>
      <c r="L14651">
        <v>366.24</v>
      </c>
    </row>
    <row r="14652" spans="1:12" x14ac:dyDescent="0.25">
      <c r="A14652" t="str">
        <f t="shared" si="2607"/>
        <v>89301000</v>
      </c>
      <c r="B14652" t="str">
        <f t="shared" si="2618"/>
        <v>06539000</v>
      </c>
      <c r="C14652" t="str">
        <f t="shared" si="2621"/>
        <v>06539003</v>
      </c>
      <c r="D14652">
        <v>89301172</v>
      </c>
      <c r="E14652" t="str">
        <f>"7356264465"</f>
        <v>7356264465</v>
      </c>
      <c r="F14652" s="1">
        <v>45253</v>
      </c>
      <c r="G14652" t="str">
        <f>"91475"</f>
        <v>91475</v>
      </c>
      <c r="H14652">
        <v>1</v>
      </c>
      <c r="I14652">
        <v>213</v>
      </c>
      <c r="J14652">
        <v>0</v>
      </c>
      <c r="K14652" t="str">
        <f t="shared" si="2622"/>
        <v>813</v>
      </c>
      <c r="L14652">
        <v>178.92</v>
      </c>
    </row>
    <row r="14653" spans="1:12" x14ac:dyDescent="0.25">
      <c r="A14653" t="str">
        <f t="shared" si="2607"/>
        <v>89301000</v>
      </c>
      <c r="B14653" t="str">
        <f t="shared" si="2618"/>
        <v>06539000</v>
      </c>
      <c r="C14653" t="str">
        <f t="shared" si="2621"/>
        <v>06539003</v>
      </c>
      <c r="D14653">
        <v>89301172</v>
      </c>
      <c r="E14653" t="str">
        <f>"6060080796"</f>
        <v>6060080796</v>
      </c>
      <c r="F14653" s="1">
        <v>45259</v>
      </c>
      <c r="G14653" t="str">
        <f>"91329"</f>
        <v>91329</v>
      </c>
      <c r="H14653">
        <v>2</v>
      </c>
      <c r="I14653">
        <v>436</v>
      </c>
      <c r="J14653">
        <v>0</v>
      </c>
      <c r="K14653" t="str">
        <f t="shared" si="2622"/>
        <v>813</v>
      </c>
      <c r="L14653">
        <v>366.24</v>
      </c>
    </row>
    <row r="14654" spans="1:12" x14ac:dyDescent="0.25">
      <c r="A14654" t="str">
        <f t="shared" si="2607"/>
        <v>89301000</v>
      </c>
      <c r="B14654" t="str">
        <f t="shared" si="2618"/>
        <v>06539000</v>
      </c>
      <c r="C14654" t="str">
        <f t="shared" si="2621"/>
        <v>06539003</v>
      </c>
      <c r="D14654">
        <v>89301172</v>
      </c>
      <c r="E14654" t="str">
        <f>"6060080796"</f>
        <v>6060080796</v>
      </c>
      <c r="F14654" s="1">
        <v>45259</v>
      </c>
      <c r="G14654" t="str">
        <f>"91329"</f>
        <v>91329</v>
      </c>
      <c r="H14654">
        <v>2</v>
      </c>
      <c r="I14654">
        <v>436</v>
      </c>
      <c r="J14654">
        <v>0</v>
      </c>
      <c r="K14654" t="str">
        <f t="shared" si="2622"/>
        <v>813</v>
      </c>
      <c r="L14654">
        <v>366.24</v>
      </c>
    </row>
    <row r="14655" spans="1:12" x14ac:dyDescent="0.25">
      <c r="A14655" t="str">
        <f t="shared" si="2607"/>
        <v>89301000</v>
      </c>
      <c r="B14655" t="str">
        <f t="shared" si="2618"/>
        <v>06539000</v>
      </c>
      <c r="C14655" t="str">
        <f t="shared" si="2621"/>
        <v>06539003</v>
      </c>
      <c r="D14655">
        <v>89301172</v>
      </c>
      <c r="E14655" t="str">
        <f>"6060080796"</f>
        <v>6060080796</v>
      </c>
      <c r="F14655" s="1">
        <v>45259</v>
      </c>
      <c r="G14655" t="str">
        <f>"91329"</f>
        <v>91329</v>
      </c>
      <c r="H14655">
        <v>2</v>
      </c>
      <c r="I14655">
        <v>436</v>
      </c>
      <c r="J14655">
        <v>0</v>
      </c>
      <c r="K14655" t="str">
        <f t="shared" si="2622"/>
        <v>813</v>
      </c>
      <c r="L14655">
        <v>366.24</v>
      </c>
    </row>
    <row r="14656" spans="1:12" x14ac:dyDescent="0.25">
      <c r="A14656" t="str">
        <f t="shared" si="2607"/>
        <v>89301000</v>
      </c>
      <c r="B14656" t="str">
        <f t="shared" si="2618"/>
        <v>06539000</v>
      </c>
      <c r="C14656" t="str">
        <f t="shared" si="2621"/>
        <v>06539003</v>
      </c>
      <c r="D14656">
        <v>89301172</v>
      </c>
      <c r="E14656" t="str">
        <f>"6060080796"</f>
        <v>6060080796</v>
      </c>
      <c r="F14656" s="1">
        <v>45259</v>
      </c>
      <c r="G14656" t="str">
        <f>"91329"</f>
        <v>91329</v>
      </c>
      <c r="H14656">
        <v>2</v>
      </c>
      <c r="I14656">
        <v>436</v>
      </c>
      <c r="J14656">
        <v>0</v>
      </c>
      <c r="K14656" t="str">
        <f t="shared" si="2622"/>
        <v>813</v>
      </c>
      <c r="L14656">
        <v>366.24</v>
      </c>
    </row>
    <row r="14657" spans="1:12" x14ac:dyDescent="0.25">
      <c r="A14657" t="str">
        <f t="shared" si="2607"/>
        <v>89301000</v>
      </c>
      <c r="B14657" t="str">
        <f t="shared" si="2618"/>
        <v>06539000</v>
      </c>
      <c r="C14657" t="str">
        <f t="shared" si="2621"/>
        <v>06539003</v>
      </c>
      <c r="D14657">
        <v>89301172</v>
      </c>
      <c r="E14657" t="str">
        <f>"6060080796"</f>
        <v>6060080796</v>
      </c>
      <c r="F14657" s="1">
        <v>45259</v>
      </c>
      <c r="G14657" t="str">
        <f>"91475"</f>
        <v>91475</v>
      </c>
      <c r="H14657">
        <v>1</v>
      </c>
      <c r="I14657">
        <v>213</v>
      </c>
      <c r="J14657">
        <v>0</v>
      </c>
      <c r="K14657" t="str">
        <f t="shared" si="2622"/>
        <v>813</v>
      </c>
      <c r="L14657">
        <v>178.92</v>
      </c>
    </row>
    <row r="14658" spans="1:12" x14ac:dyDescent="0.25">
      <c r="A14658" t="str">
        <f t="shared" ref="A14658:A14721" si="2623">"89301000"</f>
        <v>89301000</v>
      </c>
      <c r="B14658" t="str">
        <f t="shared" ref="B14658:B14683" si="2624">"91009000"</f>
        <v>91009000</v>
      </c>
      <c r="C14658" t="str">
        <f t="shared" ref="C14658:C14668" si="2625">"91009522"</f>
        <v>91009522</v>
      </c>
      <c r="D14658">
        <v>89301282</v>
      </c>
      <c r="E14658" t="str">
        <f>"8861265776"</f>
        <v>8861265776</v>
      </c>
      <c r="F14658" s="1">
        <v>45202</v>
      </c>
      <c r="G14658" t="str">
        <f>"94331"</f>
        <v>94331</v>
      </c>
      <c r="H14658">
        <v>1</v>
      </c>
      <c r="I14658">
        <v>7866</v>
      </c>
      <c r="J14658">
        <v>0</v>
      </c>
      <c r="K14658" t="str">
        <f t="shared" ref="K14658:K14668" si="2626">"816"</f>
        <v>816</v>
      </c>
      <c r="L14658">
        <v>7079.4</v>
      </c>
    </row>
    <row r="14659" spans="1:12" x14ac:dyDescent="0.25">
      <c r="A14659" t="str">
        <f t="shared" si="2623"/>
        <v>89301000</v>
      </c>
      <c r="B14659" t="str">
        <f t="shared" si="2624"/>
        <v>91009000</v>
      </c>
      <c r="C14659" t="str">
        <f t="shared" si="2625"/>
        <v>91009522</v>
      </c>
      <c r="D14659">
        <v>89301282</v>
      </c>
      <c r="E14659" t="str">
        <f>"8861265776"</f>
        <v>8861265776</v>
      </c>
      <c r="F14659" s="1">
        <v>45202</v>
      </c>
      <c r="G14659" t="str">
        <f>"94948"</f>
        <v>94948</v>
      </c>
      <c r="H14659">
        <v>1</v>
      </c>
      <c r="I14659">
        <v>0</v>
      </c>
      <c r="J14659">
        <v>0</v>
      </c>
      <c r="K14659" t="str">
        <f t="shared" si="2626"/>
        <v>816</v>
      </c>
      <c r="L14659">
        <v>0</v>
      </c>
    </row>
    <row r="14660" spans="1:12" x14ac:dyDescent="0.25">
      <c r="A14660" t="str">
        <f t="shared" si="2623"/>
        <v>89301000</v>
      </c>
      <c r="B14660" t="str">
        <f t="shared" si="2624"/>
        <v>91009000</v>
      </c>
      <c r="C14660" t="str">
        <f t="shared" si="2625"/>
        <v>91009522</v>
      </c>
      <c r="D14660">
        <v>89301282</v>
      </c>
      <c r="E14660" t="str">
        <f>"2112131505"</f>
        <v>2112131505</v>
      </c>
      <c r="F14660" s="1">
        <v>45235</v>
      </c>
      <c r="G14660" t="str">
        <f>"94948"</f>
        <v>94948</v>
      </c>
      <c r="H14660">
        <v>1</v>
      </c>
      <c r="I14660">
        <v>0</v>
      </c>
      <c r="J14660">
        <v>0</v>
      </c>
      <c r="K14660" t="str">
        <f t="shared" si="2626"/>
        <v>816</v>
      </c>
      <c r="L14660">
        <v>0</v>
      </c>
    </row>
    <row r="14661" spans="1:12" x14ac:dyDescent="0.25">
      <c r="A14661" t="str">
        <f t="shared" si="2623"/>
        <v>89301000</v>
      </c>
      <c r="B14661" t="str">
        <f t="shared" si="2624"/>
        <v>91009000</v>
      </c>
      <c r="C14661" t="str">
        <f t="shared" si="2625"/>
        <v>91009522</v>
      </c>
      <c r="D14661">
        <v>89301282</v>
      </c>
      <c r="E14661" t="str">
        <f>"2112131505"</f>
        <v>2112131505</v>
      </c>
      <c r="F14661" s="1">
        <v>45235</v>
      </c>
      <c r="G14661" t="str">
        <f>"94982"</f>
        <v>94982</v>
      </c>
      <c r="H14661">
        <v>1</v>
      </c>
      <c r="I14661">
        <v>0</v>
      </c>
      <c r="J14661">
        <v>27500</v>
      </c>
      <c r="K14661" t="str">
        <f t="shared" si="2626"/>
        <v>816</v>
      </c>
      <c r="L14661">
        <v>27500</v>
      </c>
    </row>
    <row r="14662" spans="1:12" x14ac:dyDescent="0.25">
      <c r="A14662" t="str">
        <f t="shared" si="2623"/>
        <v>89301000</v>
      </c>
      <c r="B14662" t="str">
        <f t="shared" si="2624"/>
        <v>91009000</v>
      </c>
      <c r="C14662" t="str">
        <f t="shared" si="2625"/>
        <v>91009522</v>
      </c>
      <c r="D14662">
        <v>89301282</v>
      </c>
      <c r="E14662" t="str">
        <f>"2112131505"</f>
        <v>2112131505</v>
      </c>
      <c r="F14662" s="1">
        <v>45235</v>
      </c>
      <c r="G14662" t="str">
        <f>"94996"</f>
        <v>94996</v>
      </c>
      <c r="H14662">
        <v>1</v>
      </c>
      <c r="I14662">
        <v>0</v>
      </c>
      <c r="J14662">
        <v>0</v>
      </c>
      <c r="K14662" t="str">
        <f t="shared" si="2626"/>
        <v>816</v>
      </c>
      <c r="L14662">
        <v>0</v>
      </c>
    </row>
    <row r="14663" spans="1:12" x14ac:dyDescent="0.25">
      <c r="A14663" t="str">
        <f t="shared" si="2623"/>
        <v>89301000</v>
      </c>
      <c r="B14663" t="str">
        <f t="shared" si="2624"/>
        <v>91009000</v>
      </c>
      <c r="C14663" t="str">
        <f t="shared" si="2625"/>
        <v>91009522</v>
      </c>
      <c r="D14663">
        <v>89301282</v>
      </c>
      <c r="E14663" t="str">
        <f>"8312155357"</f>
        <v>8312155357</v>
      </c>
      <c r="F14663" s="1">
        <v>45241</v>
      </c>
      <c r="G14663" t="str">
        <f>"94948"</f>
        <v>94948</v>
      </c>
      <c r="H14663">
        <v>1</v>
      </c>
      <c r="I14663">
        <v>0</v>
      </c>
      <c r="J14663">
        <v>0</v>
      </c>
      <c r="K14663" t="str">
        <f t="shared" si="2626"/>
        <v>816</v>
      </c>
      <c r="L14663">
        <v>0</v>
      </c>
    </row>
    <row r="14664" spans="1:12" x14ac:dyDescent="0.25">
      <c r="A14664" t="str">
        <f t="shared" si="2623"/>
        <v>89301000</v>
      </c>
      <c r="B14664" t="str">
        <f t="shared" si="2624"/>
        <v>91009000</v>
      </c>
      <c r="C14664" t="str">
        <f t="shared" si="2625"/>
        <v>91009522</v>
      </c>
      <c r="D14664">
        <v>89301282</v>
      </c>
      <c r="E14664" t="str">
        <f>"8312155357"</f>
        <v>8312155357</v>
      </c>
      <c r="F14664" s="1">
        <v>45241</v>
      </c>
      <c r="G14664" t="str">
        <f>"94982"</f>
        <v>94982</v>
      </c>
      <c r="H14664">
        <v>1</v>
      </c>
      <c r="I14664">
        <v>0</v>
      </c>
      <c r="J14664">
        <v>27500</v>
      </c>
      <c r="K14664" t="str">
        <f t="shared" si="2626"/>
        <v>816</v>
      </c>
      <c r="L14664">
        <v>27500</v>
      </c>
    </row>
    <row r="14665" spans="1:12" x14ac:dyDescent="0.25">
      <c r="A14665" t="str">
        <f t="shared" si="2623"/>
        <v>89301000</v>
      </c>
      <c r="B14665" t="str">
        <f t="shared" si="2624"/>
        <v>91009000</v>
      </c>
      <c r="C14665" t="str">
        <f t="shared" si="2625"/>
        <v>91009522</v>
      </c>
      <c r="D14665">
        <v>89301282</v>
      </c>
      <c r="E14665" t="str">
        <f>"8312155357"</f>
        <v>8312155357</v>
      </c>
      <c r="F14665" s="1">
        <v>45241</v>
      </c>
      <c r="G14665" t="str">
        <f>"94996"</f>
        <v>94996</v>
      </c>
      <c r="H14665">
        <v>1</v>
      </c>
      <c r="I14665">
        <v>0</v>
      </c>
      <c r="J14665">
        <v>0</v>
      </c>
      <c r="K14665" t="str">
        <f t="shared" si="2626"/>
        <v>816</v>
      </c>
      <c r="L14665">
        <v>0</v>
      </c>
    </row>
    <row r="14666" spans="1:12" x14ac:dyDescent="0.25">
      <c r="A14666" t="str">
        <f t="shared" si="2623"/>
        <v>89301000</v>
      </c>
      <c r="B14666" t="str">
        <f t="shared" si="2624"/>
        <v>91009000</v>
      </c>
      <c r="C14666" t="str">
        <f t="shared" si="2625"/>
        <v>91009522</v>
      </c>
      <c r="D14666">
        <v>89301282</v>
      </c>
      <c r="E14666" t="str">
        <f>"8354084475"</f>
        <v>8354084475</v>
      </c>
      <c r="F14666" s="1">
        <v>45232</v>
      </c>
      <c r="G14666" t="str">
        <f>"94948"</f>
        <v>94948</v>
      </c>
      <c r="H14666">
        <v>1</v>
      </c>
      <c r="I14666">
        <v>0</v>
      </c>
      <c r="J14666">
        <v>0</v>
      </c>
      <c r="K14666" t="str">
        <f t="shared" si="2626"/>
        <v>816</v>
      </c>
      <c r="L14666">
        <v>0</v>
      </c>
    </row>
    <row r="14667" spans="1:12" x14ac:dyDescent="0.25">
      <c r="A14667" t="str">
        <f t="shared" si="2623"/>
        <v>89301000</v>
      </c>
      <c r="B14667" t="str">
        <f t="shared" si="2624"/>
        <v>91009000</v>
      </c>
      <c r="C14667" t="str">
        <f t="shared" si="2625"/>
        <v>91009522</v>
      </c>
      <c r="D14667">
        <v>89301282</v>
      </c>
      <c r="E14667" t="str">
        <f>"8354084475"</f>
        <v>8354084475</v>
      </c>
      <c r="F14667" s="1">
        <v>45232</v>
      </c>
      <c r="G14667" t="str">
        <f>"94984"</f>
        <v>94984</v>
      </c>
      <c r="H14667">
        <v>1</v>
      </c>
      <c r="I14667">
        <v>0</v>
      </c>
      <c r="J14667">
        <v>57200</v>
      </c>
      <c r="K14667" t="str">
        <f t="shared" si="2626"/>
        <v>816</v>
      </c>
      <c r="L14667">
        <v>57200</v>
      </c>
    </row>
    <row r="14668" spans="1:12" x14ac:dyDescent="0.25">
      <c r="A14668" t="str">
        <f t="shared" si="2623"/>
        <v>89301000</v>
      </c>
      <c r="B14668" t="str">
        <f t="shared" si="2624"/>
        <v>91009000</v>
      </c>
      <c r="C14668" t="str">
        <f t="shared" si="2625"/>
        <v>91009522</v>
      </c>
      <c r="D14668">
        <v>89301282</v>
      </c>
      <c r="E14668" t="str">
        <f>"8354084475"</f>
        <v>8354084475</v>
      </c>
      <c r="F14668" s="1">
        <v>45232</v>
      </c>
      <c r="G14668" t="str">
        <f>"94996"</f>
        <v>94996</v>
      </c>
      <c r="H14668">
        <v>1</v>
      </c>
      <c r="I14668">
        <v>0</v>
      </c>
      <c r="J14668">
        <v>0</v>
      </c>
      <c r="K14668" t="str">
        <f t="shared" si="2626"/>
        <v>816</v>
      </c>
      <c r="L14668">
        <v>0</v>
      </c>
    </row>
    <row r="14669" spans="1:12" x14ac:dyDescent="0.25">
      <c r="A14669" t="str">
        <f t="shared" si="2623"/>
        <v>89301000</v>
      </c>
      <c r="B14669" t="str">
        <f t="shared" si="2624"/>
        <v>91009000</v>
      </c>
      <c r="C14669" t="str">
        <f>"91009132"</f>
        <v>91009132</v>
      </c>
      <c r="D14669">
        <v>89301212</v>
      </c>
      <c r="E14669" t="str">
        <f>"8556125776"</f>
        <v>8556125776</v>
      </c>
      <c r="F14669" s="1">
        <v>45244</v>
      </c>
      <c r="G14669" t="str">
        <f>"92157"</f>
        <v>92157</v>
      </c>
      <c r="H14669">
        <v>1</v>
      </c>
      <c r="I14669">
        <v>1778</v>
      </c>
      <c r="J14669">
        <v>0</v>
      </c>
      <c r="K14669" t="str">
        <f>"812"</f>
        <v>812</v>
      </c>
      <c r="L14669">
        <v>1493.52</v>
      </c>
    </row>
    <row r="14670" spans="1:12" x14ac:dyDescent="0.25">
      <c r="A14670" t="str">
        <f t="shared" si="2623"/>
        <v>89301000</v>
      </c>
      <c r="B14670" t="str">
        <f t="shared" si="2624"/>
        <v>91009000</v>
      </c>
      <c r="C14670" t="str">
        <f>"91009132"</f>
        <v>91009132</v>
      </c>
      <c r="D14670">
        <v>89301212</v>
      </c>
      <c r="E14670" t="str">
        <f>"8556125776"</f>
        <v>8556125776</v>
      </c>
      <c r="F14670" s="1">
        <v>45244</v>
      </c>
      <c r="G14670" t="str">
        <f>"99111"</f>
        <v>99111</v>
      </c>
      <c r="H14670">
        <v>1</v>
      </c>
      <c r="I14670">
        <v>213</v>
      </c>
      <c r="J14670">
        <v>0</v>
      </c>
      <c r="K14670" t="str">
        <f>"812"</f>
        <v>812</v>
      </c>
      <c r="L14670">
        <v>178.92</v>
      </c>
    </row>
    <row r="14671" spans="1:12" x14ac:dyDescent="0.25">
      <c r="A14671" t="str">
        <f t="shared" si="2623"/>
        <v>89301000</v>
      </c>
      <c r="B14671" t="str">
        <f t="shared" si="2624"/>
        <v>91009000</v>
      </c>
      <c r="C14671" t="str">
        <f>"91009132"</f>
        <v>91009132</v>
      </c>
      <c r="D14671">
        <v>89301167</v>
      </c>
      <c r="E14671" t="str">
        <f>"7506255636"</f>
        <v>7506255636</v>
      </c>
      <c r="F14671" s="1">
        <v>45244</v>
      </c>
      <c r="G14671" t="str">
        <f>"92157"</f>
        <v>92157</v>
      </c>
      <c r="H14671">
        <v>1</v>
      </c>
      <c r="I14671">
        <v>1778</v>
      </c>
      <c r="J14671">
        <v>0</v>
      </c>
      <c r="K14671" t="str">
        <f>"812"</f>
        <v>812</v>
      </c>
      <c r="L14671">
        <v>1493.52</v>
      </c>
    </row>
    <row r="14672" spans="1:12" x14ac:dyDescent="0.25">
      <c r="A14672" t="str">
        <f t="shared" si="2623"/>
        <v>89301000</v>
      </c>
      <c r="B14672" t="str">
        <f t="shared" si="2624"/>
        <v>91009000</v>
      </c>
      <c r="C14672" t="str">
        <f>"91009132"</f>
        <v>91009132</v>
      </c>
      <c r="D14672">
        <v>89301167</v>
      </c>
      <c r="E14672" t="str">
        <f>"7506255636"</f>
        <v>7506255636</v>
      </c>
      <c r="F14672" s="1">
        <v>45244</v>
      </c>
      <c r="G14672" t="str">
        <f>"99111"</f>
        <v>99111</v>
      </c>
      <c r="H14672">
        <v>1</v>
      </c>
      <c r="I14672">
        <v>213</v>
      </c>
      <c r="J14672">
        <v>0</v>
      </c>
      <c r="K14672" t="str">
        <f>"812"</f>
        <v>812</v>
      </c>
      <c r="L14672">
        <v>178.92</v>
      </c>
    </row>
    <row r="14673" spans="1:12" x14ac:dyDescent="0.25">
      <c r="A14673" t="str">
        <f t="shared" si="2623"/>
        <v>89301000</v>
      </c>
      <c r="B14673" t="str">
        <f t="shared" si="2624"/>
        <v>91009000</v>
      </c>
      <c r="C14673" t="str">
        <f>"91009581"</f>
        <v>91009581</v>
      </c>
      <c r="D14673">
        <v>89301167</v>
      </c>
      <c r="E14673" t="str">
        <f>"530220073"</f>
        <v>530220073</v>
      </c>
      <c r="F14673" s="1">
        <v>45233</v>
      </c>
      <c r="G14673" t="str">
        <f>"81383"</f>
        <v>81383</v>
      </c>
      <c r="H14673">
        <v>1</v>
      </c>
      <c r="I14673">
        <v>24</v>
      </c>
      <c r="J14673">
        <v>0</v>
      </c>
      <c r="K14673" t="str">
        <f>"801"</f>
        <v>801</v>
      </c>
      <c r="L14673">
        <v>20.16</v>
      </c>
    </row>
    <row r="14674" spans="1:12" x14ac:dyDescent="0.25">
      <c r="A14674" t="str">
        <f t="shared" si="2623"/>
        <v>89301000</v>
      </c>
      <c r="B14674" t="str">
        <f t="shared" si="2624"/>
        <v>91009000</v>
      </c>
      <c r="C14674" t="str">
        <f>"91009581"</f>
        <v>91009581</v>
      </c>
      <c r="D14674">
        <v>89301167</v>
      </c>
      <c r="E14674" t="str">
        <f>"530220073"</f>
        <v>530220073</v>
      </c>
      <c r="F14674" s="1">
        <v>45233</v>
      </c>
      <c r="G14674" t="str">
        <f>"97111"</f>
        <v>97111</v>
      </c>
      <c r="H14674">
        <v>1</v>
      </c>
      <c r="I14674">
        <v>19</v>
      </c>
      <c r="J14674">
        <v>0</v>
      </c>
      <c r="K14674" t="str">
        <f>"801"</f>
        <v>801</v>
      </c>
      <c r="L14674">
        <v>23.94</v>
      </c>
    </row>
    <row r="14675" spans="1:12" x14ac:dyDescent="0.25">
      <c r="A14675" t="str">
        <f t="shared" si="2623"/>
        <v>89301000</v>
      </c>
      <c r="B14675" t="str">
        <f t="shared" si="2624"/>
        <v>91009000</v>
      </c>
      <c r="C14675" t="str">
        <f>"91009581"</f>
        <v>91009581</v>
      </c>
      <c r="D14675">
        <v>89301212</v>
      </c>
      <c r="E14675" t="str">
        <f>"8556125776"</f>
        <v>8556125776</v>
      </c>
      <c r="F14675" s="1">
        <v>45244</v>
      </c>
      <c r="G14675" t="str">
        <f>"97111"</f>
        <v>97111</v>
      </c>
      <c r="H14675">
        <v>1</v>
      </c>
      <c r="I14675">
        <v>19</v>
      </c>
      <c r="J14675">
        <v>0</v>
      </c>
      <c r="K14675" t="str">
        <f>"801"</f>
        <v>801</v>
      </c>
      <c r="L14675">
        <v>23.94</v>
      </c>
    </row>
    <row r="14676" spans="1:12" x14ac:dyDescent="0.25">
      <c r="A14676" t="str">
        <f t="shared" si="2623"/>
        <v>89301000</v>
      </c>
      <c r="B14676" t="str">
        <f t="shared" si="2624"/>
        <v>91009000</v>
      </c>
      <c r="C14676" t="str">
        <f t="shared" ref="C14676:C14683" si="2627">"91009522"</f>
        <v>91009522</v>
      </c>
      <c r="D14676">
        <v>89301282</v>
      </c>
      <c r="E14676" t="str">
        <f>"8861265776"</f>
        <v>8861265776</v>
      </c>
      <c r="F14676" s="1">
        <v>45169</v>
      </c>
      <c r="G14676" t="str">
        <f>"94331"</f>
        <v>94331</v>
      </c>
      <c r="H14676">
        <v>1</v>
      </c>
      <c r="I14676">
        <v>7866</v>
      </c>
      <c r="J14676">
        <v>0</v>
      </c>
      <c r="K14676" t="str">
        <f t="shared" ref="K14676:K14683" si="2628">"816"</f>
        <v>816</v>
      </c>
      <c r="L14676">
        <v>7079.4</v>
      </c>
    </row>
    <row r="14677" spans="1:12" x14ac:dyDescent="0.25">
      <c r="A14677" t="str">
        <f t="shared" si="2623"/>
        <v>89301000</v>
      </c>
      <c r="B14677" t="str">
        <f t="shared" si="2624"/>
        <v>91009000</v>
      </c>
      <c r="C14677" t="str">
        <f t="shared" si="2627"/>
        <v>91009522</v>
      </c>
      <c r="D14677">
        <v>89301282</v>
      </c>
      <c r="E14677" t="str">
        <f>"8861265776"</f>
        <v>8861265776</v>
      </c>
      <c r="F14677" s="1">
        <v>45169</v>
      </c>
      <c r="G14677" t="str">
        <f>"94948"</f>
        <v>94948</v>
      </c>
      <c r="H14677">
        <v>1</v>
      </c>
      <c r="I14677">
        <v>0</v>
      </c>
      <c r="J14677">
        <v>0</v>
      </c>
      <c r="K14677" t="str">
        <f t="shared" si="2628"/>
        <v>816</v>
      </c>
      <c r="L14677">
        <v>0</v>
      </c>
    </row>
    <row r="14678" spans="1:12" x14ac:dyDescent="0.25">
      <c r="A14678" t="str">
        <f t="shared" si="2623"/>
        <v>89301000</v>
      </c>
      <c r="B14678" t="str">
        <f t="shared" si="2624"/>
        <v>91009000</v>
      </c>
      <c r="C14678" t="str">
        <f t="shared" si="2627"/>
        <v>91009522</v>
      </c>
      <c r="D14678">
        <v>89301282</v>
      </c>
      <c r="E14678" t="str">
        <f>"9207095711"</f>
        <v>9207095711</v>
      </c>
      <c r="F14678" s="1">
        <v>45175</v>
      </c>
      <c r="G14678" t="str">
        <f>"94331"</f>
        <v>94331</v>
      </c>
      <c r="H14678">
        <v>1</v>
      </c>
      <c r="I14678">
        <v>7866</v>
      </c>
      <c r="J14678">
        <v>0</v>
      </c>
      <c r="K14678" t="str">
        <f t="shared" si="2628"/>
        <v>816</v>
      </c>
      <c r="L14678">
        <v>7079.4</v>
      </c>
    </row>
    <row r="14679" spans="1:12" x14ac:dyDescent="0.25">
      <c r="A14679" t="str">
        <f t="shared" si="2623"/>
        <v>89301000</v>
      </c>
      <c r="B14679" t="str">
        <f t="shared" si="2624"/>
        <v>91009000</v>
      </c>
      <c r="C14679" t="str">
        <f t="shared" si="2627"/>
        <v>91009522</v>
      </c>
      <c r="D14679">
        <v>89301282</v>
      </c>
      <c r="E14679" t="str">
        <f>"9207095711"</f>
        <v>9207095711</v>
      </c>
      <c r="F14679" s="1">
        <v>45175</v>
      </c>
      <c r="G14679" t="str">
        <f>"94948"</f>
        <v>94948</v>
      </c>
      <c r="H14679">
        <v>1</v>
      </c>
      <c r="I14679">
        <v>0</v>
      </c>
      <c r="J14679">
        <v>0</v>
      </c>
      <c r="K14679" t="str">
        <f t="shared" si="2628"/>
        <v>816</v>
      </c>
      <c r="L14679">
        <v>0</v>
      </c>
    </row>
    <row r="14680" spans="1:12" x14ac:dyDescent="0.25">
      <c r="A14680" t="str">
        <f t="shared" si="2623"/>
        <v>89301000</v>
      </c>
      <c r="B14680" t="str">
        <f t="shared" si="2624"/>
        <v>91009000</v>
      </c>
      <c r="C14680" t="str">
        <f t="shared" si="2627"/>
        <v>91009522</v>
      </c>
      <c r="D14680">
        <v>89301282</v>
      </c>
      <c r="E14680" t="str">
        <f>"8856134914"</f>
        <v>8856134914</v>
      </c>
      <c r="F14680" s="1">
        <v>45141</v>
      </c>
      <c r="G14680" t="str">
        <f>"94345"</f>
        <v>94345</v>
      </c>
      <c r="H14680">
        <v>2</v>
      </c>
      <c r="I14680">
        <v>9324</v>
      </c>
      <c r="J14680">
        <v>0</v>
      </c>
      <c r="K14680" t="str">
        <f t="shared" si="2628"/>
        <v>816</v>
      </c>
      <c r="L14680">
        <v>8391.6</v>
      </c>
    </row>
    <row r="14681" spans="1:12" x14ac:dyDescent="0.25">
      <c r="A14681" t="str">
        <f t="shared" si="2623"/>
        <v>89301000</v>
      </c>
      <c r="B14681" t="str">
        <f t="shared" si="2624"/>
        <v>91009000</v>
      </c>
      <c r="C14681" t="str">
        <f t="shared" si="2627"/>
        <v>91009522</v>
      </c>
      <c r="D14681">
        <v>89301282</v>
      </c>
      <c r="E14681" t="str">
        <f>"8856134914"</f>
        <v>8856134914</v>
      </c>
      <c r="F14681" s="1">
        <v>45141</v>
      </c>
      <c r="G14681" t="str">
        <f>"94948"</f>
        <v>94948</v>
      </c>
      <c r="H14681">
        <v>1</v>
      </c>
      <c r="I14681">
        <v>0</v>
      </c>
      <c r="J14681">
        <v>0</v>
      </c>
      <c r="K14681" t="str">
        <f t="shared" si="2628"/>
        <v>816</v>
      </c>
      <c r="L14681">
        <v>0</v>
      </c>
    </row>
    <row r="14682" spans="1:12" x14ac:dyDescent="0.25">
      <c r="A14682" t="str">
        <f t="shared" si="2623"/>
        <v>89301000</v>
      </c>
      <c r="B14682" t="str">
        <f t="shared" si="2624"/>
        <v>91009000</v>
      </c>
      <c r="C14682" t="str">
        <f t="shared" si="2627"/>
        <v>91009522</v>
      </c>
      <c r="D14682">
        <v>89301282</v>
      </c>
      <c r="E14682" t="str">
        <f>"0511203242"</f>
        <v>0511203242</v>
      </c>
      <c r="F14682" s="1">
        <v>45141</v>
      </c>
      <c r="G14682" t="str">
        <f>"94982"</f>
        <v>94982</v>
      </c>
      <c r="H14682">
        <v>1</v>
      </c>
      <c r="I14682">
        <v>0</v>
      </c>
      <c r="J14682">
        <v>27500</v>
      </c>
      <c r="K14682" t="str">
        <f t="shared" si="2628"/>
        <v>816</v>
      </c>
      <c r="L14682">
        <v>27500</v>
      </c>
    </row>
    <row r="14683" spans="1:12" x14ac:dyDescent="0.25">
      <c r="A14683" t="str">
        <f t="shared" si="2623"/>
        <v>89301000</v>
      </c>
      <c r="B14683" t="str">
        <f t="shared" si="2624"/>
        <v>91009000</v>
      </c>
      <c r="C14683" t="str">
        <f t="shared" si="2627"/>
        <v>91009522</v>
      </c>
      <c r="D14683">
        <v>89301282</v>
      </c>
      <c r="E14683" t="str">
        <f>"0511203242"</f>
        <v>0511203242</v>
      </c>
      <c r="F14683" s="1">
        <v>45141</v>
      </c>
      <c r="G14683" t="str">
        <f>"94996"</f>
        <v>94996</v>
      </c>
      <c r="H14683">
        <v>1</v>
      </c>
      <c r="I14683">
        <v>0</v>
      </c>
      <c r="J14683">
        <v>0</v>
      </c>
      <c r="K14683" t="str">
        <f t="shared" si="2628"/>
        <v>816</v>
      </c>
      <c r="L14683">
        <v>0</v>
      </c>
    </row>
    <row r="14684" spans="1:12" x14ac:dyDescent="0.25">
      <c r="A14684" t="str">
        <f t="shared" si="2623"/>
        <v>89301000</v>
      </c>
      <c r="B14684" t="str">
        <f>"61004000"</f>
        <v>61004000</v>
      </c>
      <c r="C14684" t="str">
        <f>"61004776"</f>
        <v>61004776</v>
      </c>
      <c r="D14684">
        <v>89301212</v>
      </c>
      <c r="E14684" t="str">
        <f>"5812230127"</f>
        <v>5812230127</v>
      </c>
      <c r="F14684" s="1">
        <v>45160</v>
      </c>
      <c r="G14684" t="str">
        <f>"87223"</f>
        <v>87223</v>
      </c>
      <c r="H14684">
        <v>1</v>
      </c>
      <c r="I14684">
        <v>398</v>
      </c>
      <c r="J14684">
        <v>0</v>
      </c>
      <c r="K14684" t="str">
        <f>"807"</f>
        <v>807</v>
      </c>
      <c r="L14684">
        <v>334.32</v>
      </c>
    </row>
    <row r="14685" spans="1:12" x14ac:dyDescent="0.25">
      <c r="A14685" t="str">
        <f t="shared" si="2623"/>
        <v>89301000</v>
      </c>
      <c r="B14685" t="str">
        <f>"61004000"</f>
        <v>61004000</v>
      </c>
      <c r="C14685" t="str">
        <f>"61004776"</f>
        <v>61004776</v>
      </c>
      <c r="D14685">
        <v>89301212</v>
      </c>
      <c r="E14685" t="str">
        <f>"5812230127"</f>
        <v>5812230127</v>
      </c>
      <c r="F14685" s="1">
        <v>45160</v>
      </c>
      <c r="G14685" t="str">
        <f>"87617"</f>
        <v>87617</v>
      </c>
      <c r="H14685">
        <v>1</v>
      </c>
      <c r="I14685">
        <v>3750</v>
      </c>
      <c r="J14685">
        <v>0</v>
      </c>
      <c r="K14685" t="str">
        <f>"807"</f>
        <v>807</v>
      </c>
      <c r="L14685">
        <v>3150</v>
      </c>
    </row>
    <row r="14686" spans="1:12" x14ac:dyDescent="0.25">
      <c r="A14686" t="str">
        <f t="shared" si="2623"/>
        <v>89301000</v>
      </c>
      <c r="B14686" t="str">
        <f>"61004000"</f>
        <v>61004000</v>
      </c>
      <c r="C14686" t="str">
        <f>"61004776"</f>
        <v>61004776</v>
      </c>
      <c r="D14686">
        <v>89301212</v>
      </c>
      <c r="E14686" t="str">
        <f>"5812230127"</f>
        <v>5812230127</v>
      </c>
      <c r="F14686" s="1">
        <v>45162</v>
      </c>
      <c r="G14686" t="str">
        <f>"99798"</f>
        <v>99798</v>
      </c>
      <c r="H14686">
        <v>1</v>
      </c>
      <c r="I14686">
        <v>3199</v>
      </c>
      <c r="J14686">
        <v>0</v>
      </c>
      <c r="K14686" t="str">
        <f>"807"</f>
        <v>807</v>
      </c>
      <c r="L14686">
        <v>2687.16</v>
      </c>
    </row>
    <row r="14687" spans="1:12" x14ac:dyDescent="0.25">
      <c r="A14687" t="str">
        <f t="shared" si="2623"/>
        <v>89301000</v>
      </c>
      <c r="B14687" t="str">
        <f t="shared" ref="B14687:B14702" si="2629">"02004000"</f>
        <v>02004000</v>
      </c>
      <c r="C14687" t="str">
        <f>"02004153"</f>
        <v>02004153</v>
      </c>
      <c r="D14687">
        <v>89301282</v>
      </c>
      <c r="E14687" t="str">
        <f>"7962075396"</f>
        <v>7962075396</v>
      </c>
      <c r="F14687" s="1">
        <v>45246</v>
      </c>
      <c r="G14687" t="str">
        <f>"94982"</f>
        <v>94982</v>
      </c>
      <c r="H14687">
        <v>1</v>
      </c>
      <c r="I14687">
        <v>0</v>
      </c>
      <c r="J14687">
        <v>27500</v>
      </c>
      <c r="K14687" t="str">
        <f>"816"</f>
        <v>816</v>
      </c>
      <c r="L14687">
        <v>27500</v>
      </c>
    </row>
    <row r="14688" spans="1:12" x14ac:dyDescent="0.25">
      <c r="A14688" t="str">
        <f t="shared" si="2623"/>
        <v>89301000</v>
      </c>
      <c r="B14688" t="str">
        <f t="shared" si="2629"/>
        <v>02004000</v>
      </c>
      <c r="C14688" t="str">
        <f>"02004153"</f>
        <v>02004153</v>
      </c>
      <c r="D14688">
        <v>89301282</v>
      </c>
      <c r="E14688" t="str">
        <f>"7962075396"</f>
        <v>7962075396</v>
      </c>
      <c r="F14688" s="1">
        <v>45246</v>
      </c>
      <c r="G14688" t="str">
        <f>"94996"</f>
        <v>94996</v>
      </c>
      <c r="H14688">
        <v>1</v>
      </c>
      <c r="I14688">
        <v>0</v>
      </c>
      <c r="J14688">
        <v>0</v>
      </c>
      <c r="K14688" t="str">
        <f>"816"</f>
        <v>816</v>
      </c>
      <c r="L14688">
        <v>0</v>
      </c>
    </row>
    <row r="14689" spans="1:12" x14ac:dyDescent="0.25">
      <c r="A14689" t="str">
        <f t="shared" si="2623"/>
        <v>89301000</v>
      </c>
      <c r="B14689" t="str">
        <f t="shared" si="2629"/>
        <v>02004000</v>
      </c>
      <c r="C14689" t="str">
        <f>"02004561"</f>
        <v>02004561</v>
      </c>
      <c r="D14689">
        <v>89301702</v>
      </c>
      <c r="E14689" t="str">
        <f>"2305020190"</f>
        <v>2305020190</v>
      </c>
      <c r="F14689" s="1">
        <v>45231</v>
      </c>
      <c r="G14689" t="str">
        <f>"81657"</f>
        <v>81657</v>
      </c>
      <c r="H14689">
        <v>1</v>
      </c>
      <c r="I14689">
        <v>301</v>
      </c>
      <c r="J14689">
        <v>0</v>
      </c>
      <c r="K14689" t="str">
        <f>"801"</f>
        <v>801</v>
      </c>
      <c r="L14689">
        <v>252.84</v>
      </c>
    </row>
    <row r="14690" spans="1:12" x14ac:dyDescent="0.25">
      <c r="A14690" t="str">
        <f t="shared" si="2623"/>
        <v>89301000</v>
      </c>
      <c r="B14690" t="str">
        <f t="shared" si="2629"/>
        <v>02004000</v>
      </c>
      <c r="C14690" t="str">
        <f>"02004561"</f>
        <v>02004561</v>
      </c>
      <c r="D14690">
        <v>89301702</v>
      </c>
      <c r="E14690" t="str">
        <f>"2305020190"</f>
        <v>2305020190</v>
      </c>
      <c r="F14690" s="1">
        <v>45231</v>
      </c>
      <c r="G14690" t="str">
        <f>"97111"</f>
        <v>97111</v>
      </c>
      <c r="H14690">
        <v>1</v>
      </c>
      <c r="I14690">
        <v>19</v>
      </c>
      <c r="J14690">
        <v>0</v>
      </c>
      <c r="K14690" t="str">
        <f>"801"</f>
        <v>801</v>
      </c>
      <c r="L14690">
        <v>23.94</v>
      </c>
    </row>
    <row r="14691" spans="1:12" x14ac:dyDescent="0.25">
      <c r="A14691" t="str">
        <f t="shared" si="2623"/>
        <v>89301000</v>
      </c>
      <c r="B14691" t="str">
        <f t="shared" si="2629"/>
        <v>02004000</v>
      </c>
      <c r="C14691" t="str">
        <f t="shared" ref="C14691:C14700" si="2630">"02004556"</f>
        <v>02004556</v>
      </c>
      <c r="D14691">
        <v>89301102</v>
      </c>
      <c r="E14691" t="str">
        <f>"0706231383"</f>
        <v>0706231383</v>
      </c>
      <c r="F14691" s="1">
        <v>45226</v>
      </c>
      <c r="G14691" t="str">
        <f>"91249"</f>
        <v>91249</v>
      </c>
      <c r="H14691">
        <v>1</v>
      </c>
      <c r="I14691">
        <v>1495</v>
      </c>
      <c r="J14691">
        <v>0</v>
      </c>
      <c r="K14691" t="str">
        <f t="shared" ref="K14691:K14700" si="2631">"813"</f>
        <v>813</v>
      </c>
      <c r="L14691">
        <v>1255.8</v>
      </c>
    </row>
    <row r="14692" spans="1:12" x14ac:dyDescent="0.25">
      <c r="A14692" t="str">
        <f t="shared" si="2623"/>
        <v>89301000</v>
      </c>
      <c r="B14692" t="str">
        <f t="shared" si="2629"/>
        <v>02004000</v>
      </c>
      <c r="C14692" t="str">
        <f t="shared" si="2630"/>
        <v>02004556</v>
      </c>
      <c r="D14692">
        <v>89301102</v>
      </c>
      <c r="E14692" t="str">
        <f>"0706231383"</f>
        <v>0706231383</v>
      </c>
      <c r="F14692" s="1">
        <v>45226</v>
      </c>
      <c r="G14692" t="str">
        <f>"91251"</f>
        <v>91251</v>
      </c>
      <c r="H14692">
        <v>1</v>
      </c>
      <c r="I14692">
        <v>1495</v>
      </c>
      <c r="J14692">
        <v>0</v>
      </c>
      <c r="K14692" t="str">
        <f t="shared" si="2631"/>
        <v>813</v>
      </c>
      <c r="L14692">
        <v>1255.8</v>
      </c>
    </row>
    <row r="14693" spans="1:12" x14ac:dyDescent="0.25">
      <c r="A14693" t="str">
        <f t="shared" si="2623"/>
        <v>89301000</v>
      </c>
      <c r="B14693" t="str">
        <f t="shared" si="2629"/>
        <v>02004000</v>
      </c>
      <c r="C14693" t="str">
        <f t="shared" si="2630"/>
        <v>02004556</v>
      </c>
      <c r="D14693">
        <v>89301022</v>
      </c>
      <c r="E14693" t="str">
        <f>"7708314471"</f>
        <v>7708314471</v>
      </c>
      <c r="F14693" s="1">
        <v>45239</v>
      </c>
      <c r="G14693" t="str">
        <f>"91249"</f>
        <v>91249</v>
      </c>
      <c r="H14693">
        <v>1</v>
      </c>
      <c r="I14693">
        <v>1495</v>
      </c>
      <c r="J14693">
        <v>0</v>
      </c>
      <c r="K14693" t="str">
        <f t="shared" si="2631"/>
        <v>813</v>
      </c>
      <c r="L14693">
        <v>1255.8</v>
      </c>
    </row>
    <row r="14694" spans="1:12" x14ac:dyDescent="0.25">
      <c r="A14694" t="str">
        <f t="shared" si="2623"/>
        <v>89301000</v>
      </c>
      <c r="B14694" t="str">
        <f t="shared" si="2629"/>
        <v>02004000</v>
      </c>
      <c r="C14694" t="str">
        <f t="shared" si="2630"/>
        <v>02004556</v>
      </c>
      <c r="D14694">
        <v>89301022</v>
      </c>
      <c r="E14694" t="str">
        <f>"7708314471"</f>
        <v>7708314471</v>
      </c>
      <c r="F14694" s="1">
        <v>45239</v>
      </c>
      <c r="G14694" t="str">
        <f>"91251"</f>
        <v>91251</v>
      </c>
      <c r="H14694">
        <v>1</v>
      </c>
      <c r="I14694">
        <v>1495</v>
      </c>
      <c r="J14694">
        <v>0</v>
      </c>
      <c r="K14694" t="str">
        <f t="shared" si="2631"/>
        <v>813</v>
      </c>
      <c r="L14694">
        <v>1255.8</v>
      </c>
    </row>
    <row r="14695" spans="1:12" x14ac:dyDescent="0.25">
      <c r="A14695" t="str">
        <f t="shared" si="2623"/>
        <v>89301000</v>
      </c>
      <c r="B14695" t="str">
        <f t="shared" si="2629"/>
        <v>02004000</v>
      </c>
      <c r="C14695" t="str">
        <f t="shared" si="2630"/>
        <v>02004556</v>
      </c>
      <c r="D14695">
        <v>89301102</v>
      </c>
      <c r="E14695" t="str">
        <f>"0554043248"</f>
        <v>0554043248</v>
      </c>
      <c r="F14695" s="1">
        <v>45232</v>
      </c>
      <c r="G14695" t="str">
        <f>"91249"</f>
        <v>91249</v>
      </c>
      <c r="H14695">
        <v>1</v>
      </c>
      <c r="I14695">
        <v>1495</v>
      </c>
      <c r="J14695">
        <v>0</v>
      </c>
      <c r="K14695" t="str">
        <f t="shared" si="2631"/>
        <v>813</v>
      </c>
      <c r="L14695">
        <v>1255.8</v>
      </c>
    </row>
    <row r="14696" spans="1:12" x14ac:dyDescent="0.25">
      <c r="A14696" t="str">
        <f t="shared" si="2623"/>
        <v>89301000</v>
      </c>
      <c r="B14696" t="str">
        <f t="shared" si="2629"/>
        <v>02004000</v>
      </c>
      <c r="C14696" t="str">
        <f t="shared" si="2630"/>
        <v>02004556</v>
      </c>
      <c r="D14696">
        <v>89301102</v>
      </c>
      <c r="E14696" t="str">
        <f>"0554043248"</f>
        <v>0554043248</v>
      </c>
      <c r="F14696" s="1">
        <v>45232</v>
      </c>
      <c r="G14696" t="str">
        <f>"91251"</f>
        <v>91251</v>
      </c>
      <c r="H14696">
        <v>1</v>
      </c>
      <c r="I14696">
        <v>1495</v>
      </c>
      <c r="J14696">
        <v>0</v>
      </c>
      <c r="K14696" t="str">
        <f t="shared" si="2631"/>
        <v>813</v>
      </c>
      <c r="L14696">
        <v>1255.8</v>
      </c>
    </row>
    <row r="14697" spans="1:12" x14ac:dyDescent="0.25">
      <c r="A14697" t="str">
        <f t="shared" si="2623"/>
        <v>89301000</v>
      </c>
      <c r="B14697" t="str">
        <f t="shared" si="2629"/>
        <v>02004000</v>
      </c>
      <c r="C14697" t="str">
        <f t="shared" si="2630"/>
        <v>02004556</v>
      </c>
      <c r="D14697">
        <v>89301028</v>
      </c>
      <c r="E14697" t="str">
        <f>"6306261478"</f>
        <v>6306261478</v>
      </c>
      <c r="F14697" s="1">
        <v>45243</v>
      </c>
      <c r="G14697" t="str">
        <f>"91249"</f>
        <v>91249</v>
      </c>
      <c r="H14697">
        <v>1</v>
      </c>
      <c r="I14697">
        <v>1495</v>
      </c>
      <c r="J14697">
        <v>0</v>
      </c>
      <c r="K14697" t="str">
        <f t="shared" si="2631"/>
        <v>813</v>
      </c>
      <c r="L14697">
        <v>1255.8</v>
      </c>
    </row>
    <row r="14698" spans="1:12" x14ac:dyDescent="0.25">
      <c r="A14698" t="str">
        <f t="shared" si="2623"/>
        <v>89301000</v>
      </c>
      <c r="B14698" t="str">
        <f t="shared" si="2629"/>
        <v>02004000</v>
      </c>
      <c r="C14698" t="str">
        <f t="shared" si="2630"/>
        <v>02004556</v>
      </c>
      <c r="D14698">
        <v>89301028</v>
      </c>
      <c r="E14698" t="str">
        <f>"6306261478"</f>
        <v>6306261478</v>
      </c>
      <c r="F14698" s="1">
        <v>45243</v>
      </c>
      <c r="G14698" t="str">
        <f>"91251"</f>
        <v>91251</v>
      </c>
      <c r="H14698">
        <v>1</v>
      </c>
      <c r="I14698">
        <v>1495</v>
      </c>
      <c r="J14698">
        <v>0</v>
      </c>
      <c r="K14698" t="str">
        <f t="shared" si="2631"/>
        <v>813</v>
      </c>
      <c r="L14698">
        <v>1255.8</v>
      </c>
    </row>
    <row r="14699" spans="1:12" x14ac:dyDescent="0.25">
      <c r="A14699" t="str">
        <f t="shared" si="2623"/>
        <v>89301000</v>
      </c>
      <c r="B14699" t="str">
        <f t="shared" si="2629"/>
        <v>02004000</v>
      </c>
      <c r="C14699" t="str">
        <f t="shared" si="2630"/>
        <v>02004556</v>
      </c>
      <c r="D14699">
        <v>89301102</v>
      </c>
      <c r="E14699" t="str">
        <f>"1754070054"</f>
        <v>1754070054</v>
      </c>
      <c r="F14699" s="1">
        <v>45243</v>
      </c>
      <c r="G14699" t="str">
        <f>"91249"</f>
        <v>91249</v>
      </c>
      <c r="H14699">
        <v>1</v>
      </c>
      <c r="I14699">
        <v>1495</v>
      </c>
      <c r="J14699">
        <v>0</v>
      </c>
      <c r="K14699" t="str">
        <f t="shared" si="2631"/>
        <v>813</v>
      </c>
      <c r="L14699">
        <v>1255.8</v>
      </c>
    </row>
    <row r="14700" spans="1:12" x14ac:dyDescent="0.25">
      <c r="A14700" t="str">
        <f t="shared" si="2623"/>
        <v>89301000</v>
      </c>
      <c r="B14700" t="str">
        <f t="shared" si="2629"/>
        <v>02004000</v>
      </c>
      <c r="C14700" t="str">
        <f t="shared" si="2630"/>
        <v>02004556</v>
      </c>
      <c r="D14700">
        <v>89301102</v>
      </c>
      <c r="E14700" t="str">
        <f>"1754070054"</f>
        <v>1754070054</v>
      </c>
      <c r="F14700" s="1">
        <v>45243</v>
      </c>
      <c r="G14700" t="str">
        <f>"91251"</f>
        <v>91251</v>
      </c>
      <c r="H14700">
        <v>1</v>
      </c>
      <c r="I14700">
        <v>1495</v>
      </c>
      <c r="J14700">
        <v>0</v>
      </c>
      <c r="K14700" t="str">
        <f t="shared" si="2631"/>
        <v>813</v>
      </c>
      <c r="L14700">
        <v>1255.8</v>
      </c>
    </row>
    <row r="14701" spans="1:12" x14ac:dyDescent="0.25">
      <c r="A14701" t="str">
        <f t="shared" si="2623"/>
        <v>89301000</v>
      </c>
      <c r="B14701" t="str">
        <f t="shared" si="2629"/>
        <v>02004000</v>
      </c>
      <c r="C14701" t="str">
        <f>"02004155"</f>
        <v>02004155</v>
      </c>
      <c r="D14701">
        <v>89301522</v>
      </c>
      <c r="E14701" t="str">
        <f>"7512285770"</f>
        <v>7512285770</v>
      </c>
      <c r="F14701" s="1">
        <v>45254</v>
      </c>
      <c r="G14701" t="str">
        <f>"82099"</f>
        <v>82099</v>
      </c>
      <c r="H14701">
        <v>3</v>
      </c>
      <c r="I14701">
        <v>1329</v>
      </c>
      <c r="J14701">
        <v>0</v>
      </c>
      <c r="K14701" t="str">
        <f>"802"</f>
        <v>802</v>
      </c>
      <c r="L14701">
        <v>1289.1300000000001</v>
      </c>
    </row>
    <row r="14702" spans="1:12" x14ac:dyDescent="0.25">
      <c r="A14702" t="str">
        <f t="shared" si="2623"/>
        <v>89301000</v>
      </c>
      <c r="B14702" t="str">
        <f t="shared" si="2629"/>
        <v>02004000</v>
      </c>
      <c r="C14702" t="str">
        <f>"02004155"</f>
        <v>02004155</v>
      </c>
      <c r="D14702">
        <v>89301522</v>
      </c>
      <c r="E14702" t="str">
        <f>"7512285770"</f>
        <v>7512285770</v>
      </c>
      <c r="F14702" s="1">
        <v>45257</v>
      </c>
      <c r="G14702" t="str">
        <f>"82099"</f>
        <v>82099</v>
      </c>
      <c r="H14702">
        <v>2</v>
      </c>
      <c r="I14702">
        <v>886</v>
      </c>
      <c r="J14702">
        <v>0</v>
      </c>
      <c r="K14702" t="str">
        <f>"802"</f>
        <v>802</v>
      </c>
      <c r="L14702">
        <v>859.42</v>
      </c>
    </row>
    <row r="14703" spans="1:12" x14ac:dyDescent="0.25">
      <c r="A14703" t="str">
        <f t="shared" si="2623"/>
        <v>89301000</v>
      </c>
      <c r="B14703" t="str">
        <f t="shared" ref="B14703:B14746" si="2632">"72100000"</f>
        <v>72100000</v>
      </c>
      <c r="C14703" t="str">
        <f t="shared" ref="C14703:C14741" si="2633">"72100632"</f>
        <v>72100632</v>
      </c>
      <c r="D14703">
        <v>89301091</v>
      </c>
      <c r="E14703" t="str">
        <f>"8862205473"</f>
        <v>8862205473</v>
      </c>
      <c r="F14703" s="1">
        <v>45189</v>
      </c>
      <c r="G14703" t="str">
        <f t="shared" ref="G14703:G14709" si="2634">"94297"</f>
        <v>94297</v>
      </c>
      <c r="H14703">
        <v>1</v>
      </c>
      <c r="I14703">
        <v>304</v>
      </c>
      <c r="J14703">
        <v>0</v>
      </c>
      <c r="K14703" t="str">
        <f t="shared" ref="K14703:K14741" si="2635">"816"</f>
        <v>816</v>
      </c>
      <c r="L14703">
        <v>304</v>
      </c>
    </row>
    <row r="14704" spans="1:12" x14ac:dyDescent="0.25">
      <c r="A14704" t="str">
        <f t="shared" si="2623"/>
        <v>89301000</v>
      </c>
      <c r="B14704" t="str">
        <f t="shared" si="2632"/>
        <v>72100000</v>
      </c>
      <c r="C14704" t="str">
        <f t="shared" si="2633"/>
        <v>72100632</v>
      </c>
      <c r="D14704">
        <v>89301091</v>
      </c>
      <c r="E14704" t="str">
        <f>"9954215645"</f>
        <v>9954215645</v>
      </c>
      <c r="F14704" s="1">
        <v>45189</v>
      </c>
      <c r="G14704" t="str">
        <f t="shared" si="2634"/>
        <v>94297</v>
      </c>
      <c r="H14704">
        <v>1</v>
      </c>
      <c r="I14704">
        <v>304</v>
      </c>
      <c r="J14704">
        <v>0</v>
      </c>
      <c r="K14704" t="str">
        <f t="shared" si="2635"/>
        <v>816</v>
      </c>
      <c r="L14704">
        <v>304</v>
      </c>
    </row>
    <row r="14705" spans="1:12" x14ac:dyDescent="0.25">
      <c r="A14705" t="str">
        <f t="shared" si="2623"/>
        <v>89301000</v>
      </c>
      <c r="B14705" t="str">
        <f t="shared" si="2632"/>
        <v>72100000</v>
      </c>
      <c r="C14705" t="str">
        <f t="shared" si="2633"/>
        <v>72100632</v>
      </c>
      <c r="D14705">
        <v>89301091</v>
      </c>
      <c r="E14705" t="str">
        <f>"8362175305"</f>
        <v>8362175305</v>
      </c>
      <c r="F14705" s="1">
        <v>45189</v>
      </c>
      <c r="G14705" t="str">
        <f t="shared" si="2634"/>
        <v>94297</v>
      </c>
      <c r="H14705">
        <v>1</v>
      </c>
      <c r="I14705">
        <v>304</v>
      </c>
      <c r="J14705">
        <v>0</v>
      </c>
      <c r="K14705" t="str">
        <f t="shared" si="2635"/>
        <v>816</v>
      </c>
      <c r="L14705">
        <v>304</v>
      </c>
    </row>
    <row r="14706" spans="1:12" x14ac:dyDescent="0.25">
      <c r="A14706" t="str">
        <f t="shared" si="2623"/>
        <v>89301000</v>
      </c>
      <c r="B14706" t="str">
        <f t="shared" si="2632"/>
        <v>72100000</v>
      </c>
      <c r="C14706" t="str">
        <f t="shared" si="2633"/>
        <v>72100632</v>
      </c>
      <c r="D14706">
        <v>89301091</v>
      </c>
      <c r="E14706" t="str">
        <f>"9452265702"</f>
        <v>9452265702</v>
      </c>
      <c r="F14706" s="1">
        <v>45196</v>
      </c>
      <c r="G14706" t="str">
        <f t="shared" si="2634"/>
        <v>94297</v>
      </c>
      <c r="H14706">
        <v>1</v>
      </c>
      <c r="I14706">
        <v>304</v>
      </c>
      <c r="J14706">
        <v>0</v>
      </c>
      <c r="K14706" t="str">
        <f t="shared" si="2635"/>
        <v>816</v>
      </c>
      <c r="L14706">
        <v>304</v>
      </c>
    </row>
    <row r="14707" spans="1:12" x14ac:dyDescent="0.25">
      <c r="A14707" t="str">
        <f t="shared" si="2623"/>
        <v>89301000</v>
      </c>
      <c r="B14707" t="str">
        <f t="shared" si="2632"/>
        <v>72100000</v>
      </c>
      <c r="C14707" t="str">
        <f t="shared" si="2633"/>
        <v>72100632</v>
      </c>
      <c r="D14707">
        <v>89301091</v>
      </c>
      <c r="E14707" t="str">
        <f>"9051186144"</f>
        <v>9051186144</v>
      </c>
      <c r="F14707" s="1">
        <v>45196</v>
      </c>
      <c r="G14707" t="str">
        <f t="shared" si="2634"/>
        <v>94297</v>
      </c>
      <c r="H14707">
        <v>1</v>
      </c>
      <c r="I14707">
        <v>304</v>
      </c>
      <c r="J14707">
        <v>0</v>
      </c>
      <c r="K14707" t="str">
        <f t="shared" si="2635"/>
        <v>816</v>
      </c>
      <c r="L14707">
        <v>304</v>
      </c>
    </row>
    <row r="14708" spans="1:12" x14ac:dyDescent="0.25">
      <c r="A14708" t="str">
        <f t="shared" si="2623"/>
        <v>89301000</v>
      </c>
      <c r="B14708" t="str">
        <f t="shared" si="2632"/>
        <v>72100000</v>
      </c>
      <c r="C14708" t="str">
        <f t="shared" si="2633"/>
        <v>72100632</v>
      </c>
      <c r="D14708">
        <v>89301091</v>
      </c>
      <c r="E14708" t="str">
        <f>"9651205751"</f>
        <v>9651205751</v>
      </c>
      <c r="F14708" s="1">
        <v>45196</v>
      </c>
      <c r="G14708" t="str">
        <f t="shared" si="2634"/>
        <v>94297</v>
      </c>
      <c r="H14708">
        <v>1</v>
      </c>
      <c r="I14708">
        <v>304</v>
      </c>
      <c r="J14708">
        <v>0</v>
      </c>
      <c r="K14708" t="str">
        <f t="shared" si="2635"/>
        <v>816</v>
      </c>
      <c r="L14708">
        <v>304</v>
      </c>
    </row>
    <row r="14709" spans="1:12" x14ac:dyDescent="0.25">
      <c r="A14709" t="str">
        <f t="shared" si="2623"/>
        <v>89301000</v>
      </c>
      <c r="B14709" t="str">
        <f t="shared" si="2632"/>
        <v>72100000</v>
      </c>
      <c r="C14709" t="str">
        <f t="shared" si="2633"/>
        <v>72100632</v>
      </c>
      <c r="D14709">
        <v>89301091</v>
      </c>
      <c r="E14709" t="str">
        <f>"9758206139"</f>
        <v>9758206139</v>
      </c>
      <c r="F14709" s="1">
        <v>45196</v>
      </c>
      <c r="G14709" t="str">
        <f t="shared" si="2634"/>
        <v>94297</v>
      </c>
      <c r="H14709">
        <v>1</v>
      </c>
      <c r="I14709">
        <v>304</v>
      </c>
      <c r="J14709">
        <v>0</v>
      </c>
      <c r="K14709" t="str">
        <f t="shared" si="2635"/>
        <v>816</v>
      </c>
      <c r="L14709">
        <v>304</v>
      </c>
    </row>
    <row r="14710" spans="1:12" x14ac:dyDescent="0.25">
      <c r="A14710" t="str">
        <f t="shared" si="2623"/>
        <v>89301000</v>
      </c>
      <c r="B14710" t="str">
        <f t="shared" si="2632"/>
        <v>72100000</v>
      </c>
      <c r="C14710" t="str">
        <f t="shared" si="2633"/>
        <v>72100632</v>
      </c>
      <c r="D14710">
        <v>89301282</v>
      </c>
      <c r="E14710" t="str">
        <f>"0208165100"</f>
        <v>0208165100</v>
      </c>
      <c r="F14710" s="1">
        <v>45182</v>
      </c>
      <c r="G14710" t="str">
        <f>"94969"</f>
        <v>94969</v>
      </c>
      <c r="H14710">
        <v>1</v>
      </c>
      <c r="I14710">
        <v>0</v>
      </c>
      <c r="J14710">
        <v>27000</v>
      </c>
      <c r="K14710" t="str">
        <f t="shared" si="2635"/>
        <v>816</v>
      </c>
      <c r="L14710">
        <v>27000</v>
      </c>
    </row>
    <row r="14711" spans="1:12" x14ac:dyDescent="0.25">
      <c r="A14711" t="str">
        <f t="shared" si="2623"/>
        <v>89301000</v>
      </c>
      <c r="B14711" t="str">
        <f t="shared" si="2632"/>
        <v>72100000</v>
      </c>
      <c r="C14711" t="str">
        <f t="shared" si="2633"/>
        <v>72100632</v>
      </c>
      <c r="D14711">
        <v>89301091</v>
      </c>
      <c r="E14711" t="str">
        <f>"9460125708"</f>
        <v>9460125708</v>
      </c>
      <c r="F14711" s="1">
        <v>45201</v>
      </c>
      <c r="G14711" t="str">
        <f t="shared" ref="G14711:G14737" si="2636">"94297"</f>
        <v>94297</v>
      </c>
      <c r="H14711">
        <v>1</v>
      </c>
      <c r="I14711">
        <v>304</v>
      </c>
      <c r="J14711">
        <v>0</v>
      </c>
      <c r="K14711" t="str">
        <f t="shared" si="2635"/>
        <v>816</v>
      </c>
      <c r="L14711">
        <v>304</v>
      </c>
    </row>
    <row r="14712" spans="1:12" x14ac:dyDescent="0.25">
      <c r="A14712" t="str">
        <f t="shared" si="2623"/>
        <v>89301000</v>
      </c>
      <c r="B14712" t="str">
        <f t="shared" si="2632"/>
        <v>72100000</v>
      </c>
      <c r="C14712" t="str">
        <f t="shared" si="2633"/>
        <v>72100632</v>
      </c>
      <c r="D14712">
        <v>89301091</v>
      </c>
      <c r="E14712" t="str">
        <f>"2309250757"</f>
        <v>2309250757</v>
      </c>
      <c r="F14712" s="1">
        <v>45202</v>
      </c>
      <c r="G14712" t="str">
        <f t="shared" si="2636"/>
        <v>94297</v>
      </c>
      <c r="H14712">
        <v>1</v>
      </c>
      <c r="I14712">
        <v>304</v>
      </c>
      <c r="J14712">
        <v>0</v>
      </c>
      <c r="K14712" t="str">
        <f t="shared" si="2635"/>
        <v>816</v>
      </c>
      <c r="L14712">
        <v>304</v>
      </c>
    </row>
    <row r="14713" spans="1:12" x14ac:dyDescent="0.25">
      <c r="A14713" t="str">
        <f t="shared" si="2623"/>
        <v>89301000</v>
      </c>
      <c r="B14713" t="str">
        <f t="shared" si="2632"/>
        <v>72100000</v>
      </c>
      <c r="C14713" t="str">
        <f t="shared" si="2633"/>
        <v>72100632</v>
      </c>
      <c r="D14713">
        <v>89301091</v>
      </c>
      <c r="E14713" t="str">
        <f>"2359250432"</f>
        <v>2359250432</v>
      </c>
      <c r="F14713" s="1">
        <v>45202</v>
      </c>
      <c r="G14713" t="str">
        <f t="shared" si="2636"/>
        <v>94297</v>
      </c>
      <c r="H14713">
        <v>1</v>
      </c>
      <c r="I14713">
        <v>304</v>
      </c>
      <c r="J14713">
        <v>0</v>
      </c>
      <c r="K14713" t="str">
        <f t="shared" si="2635"/>
        <v>816</v>
      </c>
      <c r="L14713">
        <v>304</v>
      </c>
    </row>
    <row r="14714" spans="1:12" x14ac:dyDescent="0.25">
      <c r="A14714" t="str">
        <f t="shared" si="2623"/>
        <v>89301000</v>
      </c>
      <c r="B14714" t="str">
        <f t="shared" si="2632"/>
        <v>72100000</v>
      </c>
      <c r="C14714" t="str">
        <f t="shared" si="2633"/>
        <v>72100632</v>
      </c>
      <c r="D14714">
        <v>89301091</v>
      </c>
      <c r="E14714" t="str">
        <f>"2309250801"</f>
        <v>2309250801</v>
      </c>
      <c r="F14714" s="1">
        <v>45202</v>
      </c>
      <c r="G14714" t="str">
        <f t="shared" si="2636"/>
        <v>94297</v>
      </c>
      <c r="H14714">
        <v>1</v>
      </c>
      <c r="I14714">
        <v>304</v>
      </c>
      <c r="J14714">
        <v>0</v>
      </c>
      <c r="K14714" t="str">
        <f t="shared" si="2635"/>
        <v>816</v>
      </c>
      <c r="L14714">
        <v>304</v>
      </c>
    </row>
    <row r="14715" spans="1:12" x14ac:dyDescent="0.25">
      <c r="A14715" t="str">
        <f t="shared" si="2623"/>
        <v>89301000</v>
      </c>
      <c r="B14715" t="str">
        <f t="shared" si="2632"/>
        <v>72100000</v>
      </c>
      <c r="C14715" t="str">
        <f t="shared" si="2633"/>
        <v>72100632</v>
      </c>
      <c r="D14715">
        <v>89301091</v>
      </c>
      <c r="E14715" t="str">
        <f>"9253065701"</f>
        <v>9253065701</v>
      </c>
      <c r="F14715" s="1">
        <v>45202</v>
      </c>
      <c r="G14715" t="str">
        <f t="shared" si="2636"/>
        <v>94297</v>
      </c>
      <c r="H14715">
        <v>1</v>
      </c>
      <c r="I14715">
        <v>304</v>
      </c>
      <c r="J14715">
        <v>0</v>
      </c>
      <c r="K14715" t="str">
        <f t="shared" si="2635"/>
        <v>816</v>
      </c>
      <c r="L14715">
        <v>304</v>
      </c>
    </row>
    <row r="14716" spans="1:12" x14ac:dyDescent="0.25">
      <c r="A14716" t="str">
        <f t="shared" si="2623"/>
        <v>89301000</v>
      </c>
      <c r="B14716" t="str">
        <f t="shared" si="2632"/>
        <v>72100000</v>
      </c>
      <c r="C14716" t="str">
        <f t="shared" si="2633"/>
        <v>72100632</v>
      </c>
      <c r="D14716">
        <v>89301091</v>
      </c>
      <c r="E14716" t="str">
        <f>"9752215704"</f>
        <v>9752215704</v>
      </c>
      <c r="F14716" s="1">
        <v>45203</v>
      </c>
      <c r="G14716" t="str">
        <f t="shared" si="2636"/>
        <v>94297</v>
      </c>
      <c r="H14716">
        <v>1</v>
      </c>
      <c r="I14716">
        <v>304</v>
      </c>
      <c r="J14716">
        <v>0</v>
      </c>
      <c r="K14716" t="str">
        <f t="shared" si="2635"/>
        <v>816</v>
      </c>
      <c r="L14716">
        <v>304</v>
      </c>
    </row>
    <row r="14717" spans="1:12" x14ac:dyDescent="0.25">
      <c r="A14717" t="str">
        <f t="shared" si="2623"/>
        <v>89301000</v>
      </c>
      <c r="B14717" t="str">
        <f t="shared" si="2632"/>
        <v>72100000</v>
      </c>
      <c r="C14717" t="str">
        <f t="shared" si="2633"/>
        <v>72100632</v>
      </c>
      <c r="D14717">
        <v>89301091</v>
      </c>
      <c r="E14717" t="str">
        <f>"9151295747"</f>
        <v>9151295747</v>
      </c>
      <c r="F14717" s="1">
        <v>45203</v>
      </c>
      <c r="G14717" t="str">
        <f t="shared" si="2636"/>
        <v>94297</v>
      </c>
      <c r="H14717">
        <v>1</v>
      </c>
      <c r="I14717">
        <v>304</v>
      </c>
      <c r="J14717">
        <v>0</v>
      </c>
      <c r="K14717" t="str">
        <f t="shared" si="2635"/>
        <v>816</v>
      </c>
      <c r="L14717">
        <v>304</v>
      </c>
    </row>
    <row r="14718" spans="1:12" x14ac:dyDescent="0.25">
      <c r="A14718" t="str">
        <f t="shared" si="2623"/>
        <v>89301000</v>
      </c>
      <c r="B14718" t="str">
        <f t="shared" si="2632"/>
        <v>72100000</v>
      </c>
      <c r="C14718" t="str">
        <f t="shared" si="2633"/>
        <v>72100632</v>
      </c>
      <c r="D14718">
        <v>89301091</v>
      </c>
      <c r="E14718" t="str">
        <f>"9754185705"</f>
        <v>9754185705</v>
      </c>
      <c r="F14718" s="1">
        <v>45203</v>
      </c>
      <c r="G14718" t="str">
        <f t="shared" si="2636"/>
        <v>94297</v>
      </c>
      <c r="H14718">
        <v>1</v>
      </c>
      <c r="I14718">
        <v>304</v>
      </c>
      <c r="J14718">
        <v>0</v>
      </c>
      <c r="K14718" t="str">
        <f t="shared" si="2635"/>
        <v>816</v>
      </c>
      <c r="L14718">
        <v>304</v>
      </c>
    </row>
    <row r="14719" spans="1:12" x14ac:dyDescent="0.25">
      <c r="A14719" t="str">
        <f t="shared" si="2623"/>
        <v>89301000</v>
      </c>
      <c r="B14719" t="str">
        <f t="shared" si="2632"/>
        <v>72100000</v>
      </c>
      <c r="C14719" t="str">
        <f t="shared" si="2633"/>
        <v>72100632</v>
      </c>
      <c r="D14719">
        <v>89301091</v>
      </c>
      <c r="E14719" t="str">
        <f>"8560225773"</f>
        <v>8560225773</v>
      </c>
      <c r="F14719" s="1">
        <v>45204</v>
      </c>
      <c r="G14719" t="str">
        <f t="shared" si="2636"/>
        <v>94297</v>
      </c>
      <c r="H14719">
        <v>1</v>
      </c>
      <c r="I14719">
        <v>304</v>
      </c>
      <c r="J14719">
        <v>0</v>
      </c>
      <c r="K14719" t="str">
        <f t="shared" si="2635"/>
        <v>816</v>
      </c>
      <c r="L14719">
        <v>304</v>
      </c>
    </row>
    <row r="14720" spans="1:12" x14ac:dyDescent="0.25">
      <c r="A14720" t="str">
        <f t="shared" si="2623"/>
        <v>89301000</v>
      </c>
      <c r="B14720" t="str">
        <f t="shared" si="2632"/>
        <v>72100000</v>
      </c>
      <c r="C14720" t="str">
        <f t="shared" si="2633"/>
        <v>72100632</v>
      </c>
      <c r="D14720">
        <v>89301091</v>
      </c>
      <c r="E14720" t="str">
        <f>"9354114847"</f>
        <v>9354114847</v>
      </c>
      <c r="F14720" s="1">
        <v>45205</v>
      </c>
      <c r="G14720" t="str">
        <f t="shared" si="2636"/>
        <v>94297</v>
      </c>
      <c r="H14720">
        <v>1</v>
      </c>
      <c r="I14720">
        <v>304</v>
      </c>
      <c r="J14720">
        <v>0</v>
      </c>
      <c r="K14720" t="str">
        <f t="shared" si="2635"/>
        <v>816</v>
      </c>
      <c r="L14720">
        <v>304</v>
      </c>
    </row>
    <row r="14721" spans="1:12" x14ac:dyDescent="0.25">
      <c r="A14721" t="str">
        <f t="shared" si="2623"/>
        <v>89301000</v>
      </c>
      <c r="B14721" t="str">
        <f t="shared" si="2632"/>
        <v>72100000</v>
      </c>
      <c r="C14721" t="str">
        <f t="shared" si="2633"/>
        <v>72100632</v>
      </c>
      <c r="D14721">
        <v>89301091</v>
      </c>
      <c r="E14721" t="str">
        <f>"9454206157"</f>
        <v>9454206157</v>
      </c>
      <c r="F14721" s="1">
        <v>45205</v>
      </c>
      <c r="G14721" t="str">
        <f t="shared" si="2636"/>
        <v>94297</v>
      </c>
      <c r="H14721">
        <v>1</v>
      </c>
      <c r="I14721">
        <v>304</v>
      </c>
      <c r="J14721">
        <v>0</v>
      </c>
      <c r="K14721" t="str">
        <f t="shared" si="2635"/>
        <v>816</v>
      </c>
      <c r="L14721">
        <v>304</v>
      </c>
    </row>
    <row r="14722" spans="1:12" x14ac:dyDescent="0.25">
      <c r="A14722" t="str">
        <f t="shared" ref="A14722:A14785" si="2637">"89301000"</f>
        <v>89301000</v>
      </c>
      <c r="B14722" t="str">
        <f t="shared" si="2632"/>
        <v>72100000</v>
      </c>
      <c r="C14722" t="str">
        <f t="shared" si="2633"/>
        <v>72100632</v>
      </c>
      <c r="D14722">
        <v>89301091</v>
      </c>
      <c r="E14722" t="str">
        <f>"9459044859"</f>
        <v>9459044859</v>
      </c>
      <c r="F14722" s="1">
        <v>45205</v>
      </c>
      <c r="G14722" t="str">
        <f t="shared" si="2636"/>
        <v>94297</v>
      </c>
      <c r="H14722">
        <v>1</v>
      </c>
      <c r="I14722">
        <v>304</v>
      </c>
      <c r="J14722">
        <v>0</v>
      </c>
      <c r="K14722" t="str">
        <f t="shared" si="2635"/>
        <v>816</v>
      </c>
      <c r="L14722">
        <v>304</v>
      </c>
    </row>
    <row r="14723" spans="1:12" x14ac:dyDescent="0.25">
      <c r="A14723" t="str">
        <f t="shared" si="2637"/>
        <v>89301000</v>
      </c>
      <c r="B14723" t="str">
        <f t="shared" si="2632"/>
        <v>72100000</v>
      </c>
      <c r="C14723" t="str">
        <f t="shared" si="2633"/>
        <v>72100632</v>
      </c>
      <c r="D14723">
        <v>89301091</v>
      </c>
      <c r="E14723" t="str">
        <f>"9054235740"</f>
        <v>9054235740</v>
      </c>
      <c r="F14723" s="1">
        <v>45205</v>
      </c>
      <c r="G14723" t="str">
        <f t="shared" si="2636"/>
        <v>94297</v>
      </c>
      <c r="H14723">
        <v>1</v>
      </c>
      <c r="I14723">
        <v>304</v>
      </c>
      <c r="J14723">
        <v>0</v>
      </c>
      <c r="K14723" t="str">
        <f t="shared" si="2635"/>
        <v>816</v>
      </c>
      <c r="L14723">
        <v>304</v>
      </c>
    </row>
    <row r="14724" spans="1:12" x14ac:dyDescent="0.25">
      <c r="A14724" t="str">
        <f t="shared" si="2637"/>
        <v>89301000</v>
      </c>
      <c r="B14724" t="str">
        <f t="shared" si="2632"/>
        <v>72100000</v>
      </c>
      <c r="C14724" t="str">
        <f t="shared" si="2633"/>
        <v>72100632</v>
      </c>
      <c r="D14724">
        <v>89301091</v>
      </c>
      <c r="E14724" t="str">
        <f>"9656065716"</f>
        <v>9656065716</v>
      </c>
      <c r="F14724" s="1">
        <v>45205</v>
      </c>
      <c r="G14724" t="str">
        <f t="shared" si="2636"/>
        <v>94297</v>
      </c>
      <c r="H14724">
        <v>1</v>
      </c>
      <c r="I14724">
        <v>304</v>
      </c>
      <c r="J14724">
        <v>0</v>
      </c>
      <c r="K14724" t="str">
        <f t="shared" si="2635"/>
        <v>816</v>
      </c>
      <c r="L14724">
        <v>304</v>
      </c>
    </row>
    <row r="14725" spans="1:12" x14ac:dyDescent="0.25">
      <c r="A14725" t="str">
        <f t="shared" si="2637"/>
        <v>89301000</v>
      </c>
      <c r="B14725" t="str">
        <f t="shared" si="2632"/>
        <v>72100000</v>
      </c>
      <c r="C14725" t="str">
        <f t="shared" si="2633"/>
        <v>72100632</v>
      </c>
      <c r="D14725">
        <v>89301091</v>
      </c>
      <c r="E14725" t="str">
        <f>"0052165751"</f>
        <v>0052165751</v>
      </c>
      <c r="F14725" s="1">
        <v>45208</v>
      </c>
      <c r="G14725" t="str">
        <f t="shared" si="2636"/>
        <v>94297</v>
      </c>
      <c r="H14725">
        <v>1</v>
      </c>
      <c r="I14725">
        <v>304</v>
      </c>
      <c r="J14725">
        <v>0</v>
      </c>
      <c r="K14725" t="str">
        <f t="shared" si="2635"/>
        <v>816</v>
      </c>
      <c r="L14725">
        <v>304</v>
      </c>
    </row>
    <row r="14726" spans="1:12" x14ac:dyDescent="0.25">
      <c r="A14726" t="str">
        <f t="shared" si="2637"/>
        <v>89301000</v>
      </c>
      <c r="B14726" t="str">
        <f t="shared" si="2632"/>
        <v>72100000</v>
      </c>
      <c r="C14726" t="str">
        <f t="shared" si="2633"/>
        <v>72100632</v>
      </c>
      <c r="D14726">
        <v>89301091</v>
      </c>
      <c r="E14726" t="str">
        <f>"9451255319"</f>
        <v>9451255319</v>
      </c>
      <c r="F14726" s="1">
        <v>45210</v>
      </c>
      <c r="G14726" t="str">
        <f t="shared" si="2636"/>
        <v>94297</v>
      </c>
      <c r="H14726">
        <v>1</v>
      </c>
      <c r="I14726">
        <v>304</v>
      </c>
      <c r="J14726">
        <v>0</v>
      </c>
      <c r="K14726" t="str">
        <f t="shared" si="2635"/>
        <v>816</v>
      </c>
      <c r="L14726">
        <v>304</v>
      </c>
    </row>
    <row r="14727" spans="1:12" x14ac:dyDescent="0.25">
      <c r="A14727" t="str">
        <f t="shared" si="2637"/>
        <v>89301000</v>
      </c>
      <c r="B14727" t="str">
        <f t="shared" si="2632"/>
        <v>72100000</v>
      </c>
      <c r="C14727" t="str">
        <f t="shared" si="2633"/>
        <v>72100632</v>
      </c>
      <c r="D14727">
        <v>89301091</v>
      </c>
      <c r="E14727" t="str">
        <f>"9960075719"</f>
        <v>9960075719</v>
      </c>
      <c r="F14727" s="1">
        <v>45210</v>
      </c>
      <c r="G14727" t="str">
        <f t="shared" si="2636"/>
        <v>94297</v>
      </c>
      <c r="H14727">
        <v>1</v>
      </c>
      <c r="I14727">
        <v>304</v>
      </c>
      <c r="J14727">
        <v>0</v>
      </c>
      <c r="K14727" t="str">
        <f t="shared" si="2635"/>
        <v>816</v>
      </c>
      <c r="L14727">
        <v>304</v>
      </c>
    </row>
    <row r="14728" spans="1:12" x14ac:dyDescent="0.25">
      <c r="A14728" t="str">
        <f t="shared" si="2637"/>
        <v>89301000</v>
      </c>
      <c r="B14728" t="str">
        <f t="shared" si="2632"/>
        <v>72100000</v>
      </c>
      <c r="C14728" t="str">
        <f t="shared" si="2633"/>
        <v>72100632</v>
      </c>
      <c r="D14728">
        <v>89301091</v>
      </c>
      <c r="E14728" t="str">
        <f>"8661255790"</f>
        <v>8661255790</v>
      </c>
      <c r="F14728" s="1">
        <v>45210</v>
      </c>
      <c r="G14728" t="str">
        <f t="shared" si="2636"/>
        <v>94297</v>
      </c>
      <c r="H14728">
        <v>1</v>
      </c>
      <c r="I14728">
        <v>304</v>
      </c>
      <c r="J14728">
        <v>0</v>
      </c>
      <c r="K14728" t="str">
        <f t="shared" si="2635"/>
        <v>816</v>
      </c>
      <c r="L14728">
        <v>304</v>
      </c>
    </row>
    <row r="14729" spans="1:12" x14ac:dyDescent="0.25">
      <c r="A14729" t="str">
        <f t="shared" si="2637"/>
        <v>89301000</v>
      </c>
      <c r="B14729" t="str">
        <f t="shared" si="2632"/>
        <v>72100000</v>
      </c>
      <c r="C14729" t="str">
        <f t="shared" si="2633"/>
        <v>72100632</v>
      </c>
      <c r="D14729">
        <v>89301091</v>
      </c>
      <c r="E14729" t="str">
        <f>"9758275714"</f>
        <v>9758275714</v>
      </c>
      <c r="F14729" s="1">
        <v>45210</v>
      </c>
      <c r="G14729" t="str">
        <f t="shared" si="2636"/>
        <v>94297</v>
      </c>
      <c r="H14729">
        <v>1</v>
      </c>
      <c r="I14729">
        <v>304</v>
      </c>
      <c r="J14729">
        <v>0</v>
      </c>
      <c r="K14729" t="str">
        <f t="shared" si="2635"/>
        <v>816</v>
      </c>
      <c r="L14729">
        <v>304</v>
      </c>
    </row>
    <row r="14730" spans="1:12" x14ac:dyDescent="0.25">
      <c r="A14730" t="str">
        <f t="shared" si="2637"/>
        <v>89301000</v>
      </c>
      <c r="B14730" t="str">
        <f t="shared" si="2632"/>
        <v>72100000</v>
      </c>
      <c r="C14730" t="str">
        <f t="shared" si="2633"/>
        <v>72100632</v>
      </c>
      <c r="D14730">
        <v>89301091</v>
      </c>
      <c r="E14730" t="str">
        <f>"9451255319"</f>
        <v>9451255319</v>
      </c>
      <c r="F14730" s="1">
        <v>45210</v>
      </c>
      <c r="G14730" t="str">
        <f t="shared" si="2636"/>
        <v>94297</v>
      </c>
      <c r="H14730">
        <v>1</v>
      </c>
      <c r="I14730">
        <v>304</v>
      </c>
      <c r="J14730">
        <v>0</v>
      </c>
      <c r="K14730" t="str">
        <f t="shared" si="2635"/>
        <v>816</v>
      </c>
      <c r="L14730">
        <v>304</v>
      </c>
    </row>
    <row r="14731" spans="1:12" x14ac:dyDescent="0.25">
      <c r="A14731" t="str">
        <f t="shared" si="2637"/>
        <v>89301000</v>
      </c>
      <c r="B14731" t="str">
        <f t="shared" si="2632"/>
        <v>72100000</v>
      </c>
      <c r="C14731" t="str">
        <f t="shared" si="2633"/>
        <v>72100632</v>
      </c>
      <c r="D14731">
        <v>89301091</v>
      </c>
      <c r="E14731" t="str">
        <f>"8160235754"</f>
        <v>8160235754</v>
      </c>
      <c r="F14731" s="1">
        <v>45210</v>
      </c>
      <c r="G14731" t="str">
        <f t="shared" si="2636"/>
        <v>94297</v>
      </c>
      <c r="H14731">
        <v>1</v>
      </c>
      <c r="I14731">
        <v>304</v>
      </c>
      <c r="J14731">
        <v>0</v>
      </c>
      <c r="K14731" t="str">
        <f t="shared" si="2635"/>
        <v>816</v>
      </c>
      <c r="L14731">
        <v>304</v>
      </c>
    </row>
    <row r="14732" spans="1:12" x14ac:dyDescent="0.25">
      <c r="A14732" t="str">
        <f t="shared" si="2637"/>
        <v>89301000</v>
      </c>
      <c r="B14732" t="str">
        <f t="shared" si="2632"/>
        <v>72100000</v>
      </c>
      <c r="C14732" t="str">
        <f t="shared" si="2633"/>
        <v>72100632</v>
      </c>
      <c r="D14732">
        <v>89301091</v>
      </c>
      <c r="E14732" t="str">
        <f>"9353255758"</f>
        <v>9353255758</v>
      </c>
      <c r="F14732" s="1">
        <v>45210</v>
      </c>
      <c r="G14732" t="str">
        <f t="shared" si="2636"/>
        <v>94297</v>
      </c>
      <c r="H14732">
        <v>1</v>
      </c>
      <c r="I14732">
        <v>304</v>
      </c>
      <c r="J14732">
        <v>0</v>
      </c>
      <c r="K14732" t="str">
        <f t="shared" si="2635"/>
        <v>816</v>
      </c>
      <c r="L14732">
        <v>304</v>
      </c>
    </row>
    <row r="14733" spans="1:12" x14ac:dyDescent="0.25">
      <c r="A14733" t="str">
        <f t="shared" si="2637"/>
        <v>89301000</v>
      </c>
      <c r="B14733" t="str">
        <f t="shared" si="2632"/>
        <v>72100000</v>
      </c>
      <c r="C14733" t="str">
        <f t="shared" si="2633"/>
        <v>72100632</v>
      </c>
      <c r="D14733">
        <v>89301091</v>
      </c>
      <c r="E14733" t="str">
        <f>"9154296195"</f>
        <v>9154296195</v>
      </c>
      <c r="F14733" s="1">
        <v>45210</v>
      </c>
      <c r="G14733" t="str">
        <f t="shared" si="2636"/>
        <v>94297</v>
      </c>
      <c r="H14733">
        <v>1</v>
      </c>
      <c r="I14733">
        <v>304</v>
      </c>
      <c r="J14733">
        <v>0</v>
      </c>
      <c r="K14733" t="str">
        <f t="shared" si="2635"/>
        <v>816</v>
      </c>
      <c r="L14733">
        <v>304</v>
      </c>
    </row>
    <row r="14734" spans="1:12" x14ac:dyDescent="0.25">
      <c r="A14734" t="str">
        <f t="shared" si="2637"/>
        <v>89301000</v>
      </c>
      <c r="B14734" t="str">
        <f t="shared" si="2632"/>
        <v>72100000</v>
      </c>
      <c r="C14734" t="str">
        <f t="shared" si="2633"/>
        <v>72100632</v>
      </c>
      <c r="D14734">
        <v>89301091</v>
      </c>
      <c r="E14734" t="str">
        <f>"8959146284"</f>
        <v>8959146284</v>
      </c>
      <c r="F14734" s="1">
        <v>45211</v>
      </c>
      <c r="G14734" t="str">
        <f t="shared" si="2636"/>
        <v>94297</v>
      </c>
      <c r="H14734">
        <v>1</v>
      </c>
      <c r="I14734">
        <v>304</v>
      </c>
      <c r="J14734">
        <v>0</v>
      </c>
      <c r="K14734" t="str">
        <f t="shared" si="2635"/>
        <v>816</v>
      </c>
      <c r="L14734">
        <v>304</v>
      </c>
    </row>
    <row r="14735" spans="1:12" x14ac:dyDescent="0.25">
      <c r="A14735" t="str">
        <f t="shared" si="2637"/>
        <v>89301000</v>
      </c>
      <c r="B14735" t="str">
        <f t="shared" si="2632"/>
        <v>72100000</v>
      </c>
      <c r="C14735" t="str">
        <f t="shared" si="2633"/>
        <v>72100632</v>
      </c>
      <c r="D14735">
        <v>89301091</v>
      </c>
      <c r="E14735" t="str">
        <f>"8951285717"</f>
        <v>8951285717</v>
      </c>
      <c r="F14735" s="1">
        <v>45212</v>
      </c>
      <c r="G14735" t="str">
        <f t="shared" si="2636"/>
        <v>94297</v>
      </c>
      <c r="H14735">
        <v>1</v>
      </c>
      <c r="I14735">
        <v>304</v>
      </c>
      <c r="J14735">
        <v>0</v>
      </c>
      <c r="K14735" t="str">
        <f t="shared" si="2635"/>
        <v>816</v>
      </c>
      <c r="L14735">
        <v>304</v>
      </c>
    </row>
    <row r="14736" spans="1:12" x14ac:dyDescent="0.25">
      <c r="A14736" t="str">
        <f t="shared" si="2637"/>
        <v>89301000</v>
      </c>
      <c r="B14736" t="str">
        <f t="shared" si="2632"/>
        <v>72100000</v>
      </c>
      <c r="C14736" t="str">
        <f t="shared" si="2633"/>
        <v>72100632</v>
      </c>
      <c r="D14736">
        <v>89301091</v>
      </c>
      <c r="E14736" t="str">
        <f>"9162285814"</f>
        <v>9162285814</v>
      </c>
      <c r="F14736" s="1">
        <v>45215</v>
      </c>
      <c r="G14736" t="str">
        <f t="shared" si="2636"/>
        <v>94297</v>
      </c>
      <c r="H14736">
        <v>1</v>
      </c>
      <c r="I14736">
        <v>304</v>
      </c>
      <c r="J14736">
        <v>0</v>
      </c>
      <c r="K14736" t="str">
        <f t="shared" si="2635"/>
        <v>816</v>
      </c>
      <c r="L14736">
        <v>304</v>
      </c>
    </row>
    <row r="14737" spans="1:12" x14ac:dyDescent="0.25">
      <c r="A14737" t="str">
        <f t="shared" si="2637"/>
        <v>89301000</v>
      </c>
      <c r="B14737" t="str">
        <f t="shared" si="2632"/>
        <v>72100000</v>
      </c>
      <c r="C14737" t="str">
        <f t="shared" si="2633"/>
        <v>72100632</v>
      </c>
      <c r="D14737">
        <v>89301091</v>
      </c>
      <c r="E14737" t="str">
        <f>"0262046147"</f>
        <v>0262046147</v>
      </c>
      <c r="F14737" s="1">
        <v>45215</v>
      </c>
      <c r="G14737" t="str">
        <f t="shared" si="2636"/>
        <v>94297</v>
      </c>
      <c r="H14737">
        <v>1</v>
      </c>
      <c r="I14737">
        <v>304</v>
      </c>
      <c r="J14737">
        <v>0</v>
      </c>
      <c r="K14737" t="str">
        <f t="shared" si="2635"/>
        <v>816</v>
      </c>
      <c r="L14737">
        <v>304</v>
      </c>
    </row>
    <row r="14738" spans="1:12" x14ac:dyDescent="0.25">
      <c r="A14738" t="str">
        <f t="shared" si="2637"/>
        <v>89301000</v>
      </c>
      <c r="B14738" t="str">
        <f t="shared" si="2632"/>
        <v>72100000</v>
      </c>
      <c r="C14738" t="str">
        <f t="shared" si="2633"/>
        <v>72100632</v>
      </c>
      <c r="D14738">
        <v>89301282</v>
      </c>
      <c r="E14738" t="str">
        <f>"8208275779"</f>
        <v>8208275779</v>
      </c>
      <c r="F14738" s="1">
        <v>45204</v>
      </c>
      <c r="G14738" t="str">
        <f>"94221"</f>
        <v>94221</v>
      </c>
      <c r="H14738">
        <v>1</v>
      </c>
      <c r="I14738">
        <v>2467</v>
      </c>
      <c r="J14738">
        <v>0</v>
      </c>
      <c r="K14738" t="str">
        <f t="shared" si="2635"/>
        <v>816</v>
      </c>
      <c r="L14738">
        <v>2220.3000000000002</v>
      </c>
    </row>
    <row r="14739" spans="1:12" x14ac:dyDescent="0.25">
      <c r="A14739" t="str">
        <f t="shared" si="2637"/>
        <v>89301000</v>
      </c>
      <c r="B14739" t="str">
        <f t="shared" si="2632"/>
        <v>72100000</v>
      </c>
      <c r="C14739" t="str">
        <f t="shared" si="2633"/>
        <v>72100632</v>
      </c>
      <c r="D14739">
        <v>89301282</v>
      </c>
      <c r="E14739" t="str">
        <f>"8208275779"</f>
        <v>8208275779</v>
      </c>
      <c r="F14739" s="1">
        <v>45204</v>
      </c>
      <c r="G14739" t="str">
        <f>"94345"</f>
        <v>94345</v>
      </c>
      <c r="H14739">
        <v>1</v>
      </c>
      <c r="I14739">
        <v>4662</v>
      </c>
      <c r="J14739">
        <v>0</v>
      </c>
      <c r="K14739" t="str">
        <f t="shared" si="2635"/>
        <v>816</v>
      </c>
      <c r="L14739">
        <v>4195.8</v>
      </c>
    </row>
    <row r="14740" spans="1:12" x14ac:dyDescent="0.25">
      <c r="A14740" t="str">
        <f t="shared" si="2637"/>
        <v>89301000</v>
      </c>
      <c r="B14740" t="str">
        <f t="shared" si="2632"/>
        <v>72100000</v>
      </c>
      <c r="C14740" t="str">
        <f t="shared" si="2633"/>
        <v>72100632</v>
      </c>
      <c r="D14740">
        <v>89301091</v>
      </c>
      <c r="E14740" t="str">
        <f>"9751305707"</f>
        <v>9751305707</v>
      </c>
      <c r="F14740" s="1">
        <v>45216</v>
      </c>
      <c r="G14740" t="str">
        <f>"94297"</f>
        <v>94297</v>
      </c>
      <c r="H14740">
        <v>1</v>
      </c>
      <c r="I14740">
        <v>304</v>
      </c>
      <c r="J14740">
        <v>0</v>
      </c>
      <c r="K14740" t="str">
        <f t="shared" si="2635"/>
        <v>816</v>
      </c>
      <c r="L14740">
        <v>304</v>
      </c>
    </row>
    <row r="14741" spans="1:12" x14ac:dyDescent="0.25">
      <c r="A14741" t="str">
        <f t="shared" si="2637"/>
        <v>89301000</v>
      </c>
      <c r="B14741" t="str">
        <f t="shared" si="2632"/>
        <v>72100000</v>
      </c>
      <c r="C14741" t="str">
        <f t="shared" si="2633"/>
        <v>72100632</v>
      </c>
      <c r="D14741">
        <v>89301091</v>
      </c>
      <c r="E14741" t="str">
        <f>"2310100716"</f>
        <v>2310100716</v>
      </c>
      <c r="F14741" s="1">
        <v>45216</v>
      </c>
      <c r="G14741" t="str">
        <f>"94297"</f>
        <v>94297</v>
      </c>
      <c r="H14741">
        <v>1</v>
      </c>
      <c r="I14741">
        <v>304</v>
      </c>
      <c r="J14741">
        <v>0</v>
      </c>
      <c r="K14741" t="str">
        <f t="shared" si="2635"/>
        <v>816</v>
      </c>
      <c r="L14741">
        <v>304</v>
      </c>
    </row>
    <row r="14742" spans="1:12" x14ac:dyDescent="0.25">
      <c r="A14742" t="str">
        <f t="shared" si="2637"/>
        <v>89301000</v>
      </c>
      <c r="B14742" t="str">
        <f t="shared" si="2632"/>
        <v>72100000</v>
      </c>
      <c r="C14742" t="str">
        <f>"72100529"</f>
        <v>72100529</v>
      </c>
      <c r="D14742">
        <v>89301322</v>
      </c>
      <c r="E14742" t="str">
        <f>"510705075"</f>
        <v>510705075</v>
      </c>
      <c r="F14742" s="1">
        <v>45212</v>
      </c>
      <c r="G14742" t="str">
        <f>"97111"</f>
        <v>97111</v>
      </c>
      <c r="H14742">
        <v>1</v>
      </c>
      <c r="I14742">
        <v>19</v>
      </c>
      <c r="J14742">
        <v>0</v>
      </c>
      <c r="K14742" t="str">
        <f>"222"</f>
        <v>222</v>
      </c>
      <c r="L14742">
        <v>23.94</v>
      </c>
    </row>
    <row r="14743" spans="1:12" x14ac:dyDescent="0.25">
      <c r="A14743" t="str">
        <f t="shared" si="2637"/>
        <v>89301000</v>
      </c>
      <c r="B14743" t="str">
        <f t="shared" si="2632"/>
        <v>72100000</v>
      </c>
      <c r="C14743" t="str">
        <f>"72100529"</f>
        <v>72100529</v>
      </c>
      <c r="D14743">
        <v>89301322</v>
      </c>
      <c r="E14743" t="str">
        <f>"510705075"</f>
        <v>510705075</v>
      </c>
      <c r="F14743" s="1">
        <v>45229</v>
      </c>
      <c r="G14743" t="str">
        <f>"22122"</f>
        <v>22122</v>
      </c>
      <c r="H14743">
        <v>1</v>
      </c>
      <c r="I14743">
        <v>588</v>
      </c>
      <c r="J14743">
        <v>0</v>
      </c>
      <c r="K14743" t="str">
        <f>"222"</f>
        <v>222</v>
      </c>
      <c r="L14743">
        <v>493.92</v>
      </c>
    </row>
    <row r="14744" spans="1:12" x14ac:dyDescent="0.25">
      <c r="A14744" t="str">
        <f t="shared" si="2637"/>
        <v>89301000</v>
      </c>
      <c r="B14744" t="str">
        <f t="shared" si="2632"/>
        <v>72100000</v>
      </c>
      <c r="C14744" t="str">
        <f>"72100529"</f>
        <v>72100529</v>
      </c>
      <c r="D14744">
        <v>89301322</v>
      </c>
      <c r="E14744" t="str">
        <f>"510705075"</f>
        <v>510705075</v>
      </c>
      <c r="F14744" s="1">
        <v>45229</v>
      </c>
      <c r="G14744" t="str">
        <f>"22127"</f>
        <v>22127</v>
      </c>
      <c r="H14744">
        <v>1</v>
      </c>
      <c r="I14744">
        <v>340</v>
      </c>
      <c r="J14744">
        <v>0</v>
      </c>
      <c r="K14744" t="str">
        <f>"222"</f>
        <v>222</v>
      </c>
      <c r="L14744">
        <v>285.60000000000002</v>
      </c>
    </row>
    <row r="14745" spans="1:12" x14ac:dyDescent="0.25">
      <c r="A14745" t="str">
        <f t="shared" si="2637"/>
        <v>89301000</v>
      </c>
      <c r="B14745" t="str">
        <f t="shared" si="2632"/>
        <v>72100000</v>
      </c>
      <c r="C14745" t="str">
        <f>"72100529"</f>
        <v>72100529</v>
      </c>
      <c r="D14745">
        <v>89301322</v>
      </c>
      <c r="E14745" t="str">
        <f>"510705075"</f>
        <v>510705075</v>
      </c>
      <c r="F14745" s="1">
        <v>45229</v>
      </c>
      <c r="G14745" t="str">
        <f>"91431"</f>
        <v>91431</v>
      </c>
      <c r="H14745">
        <v>1</v>
      </c>
      <c r="I14745">
        <v>543</v>
      </c>
      <c r="J14745">
        <v>0</v>
      </c>
      <c r="K14745" t="str">
        <f>"222"</f>
        <v>222</v>
      </c>
      <c r="L14745">
        <v>456.12</v>
      </c>
    </row>
    <row r="14746" spans="1:12" x14ac:dyDescent="0.25">
      <c r="A14746" t="str">
        <f t="shared" si="2637"/>
        <v>89301000</v>
      </c>
      <c r="B14746" t="str">
        <f t="shared" si="2632"/>
        <v>72100000</v>
      </c>
      <c r="C14746" t="str">
        <f>"72100529"</f>
        <v>72100529</v>
      </c>
      <c r="D14746">
        <v>89301322</v>
      </c>
      <c r="E14746" t="str">
        <f>"510705075"</f>
        <v>510705075</v>
      </c>
      <c r="F14746" s="1">
        <v>45229</v>
      </c>
      <c r="G14746" t="str">
        <f>"91435"</f>
        <v>91435</v>
      </c>
      <c r="H14746">
        <v>1</v>
      </c>
      <c r="I14746">
        <v>312</v>
      </c>
      <c r="J14746">
        <v>0</v>
      </c>
      <c r="K14746" t="str">
        <f>"222"</f>
        <v>222</v>
      </c>
      <c r="L14746">
        <v>262.08</v>
      </c>
    </row>
    <row r="14747" spans="1:12" x14ac:dyDescent="0.25">
      <c r="A14747" t="str">
        <f t="shared" si="2637"/>
        <v>89301000</v>
      </c>
      <c r="B14747" t="str">
        <f t="shared" ref="B14747:B14779" si="2638">"89903000"</f>
        <v>89903000</v>
      </c>
      <c r="C14747" t="str">
        <f>"89903504"</f>
        <v>89903504</v>
      </c>
      <c r="D14747">
        <v>89301062</v>
      </c>
      <c r="E14747" t="str">
        <f>"7753125336"</f>
        <v>7753125336</v>
      </c>
      <c r="F14747" s="1">
        <v>45244</v>
      </c>
      <c r="G14747" t="str">
        <f>"89713"</f>
        <v>89713</v>
      </c>
      <c r="H14747">
        <v>2</v>
      </c>
      <c r="I14747">
        <v>10822</v>
      </c>
      <c r="J14747">
        <v>0</v>
      </c>
      <c r="K14747" t="str">
        <f>"810"</f>
        <v>810</v>
      </c>
      <c r="L14747">
        <v>7034.3</v>
      </c>
    </row>
    <row r="14748" spans="1:12" x14ac:dyDescent="0.25">
      <c r="A14748" t="str">
        <f t="shared" si="2637"/>
        <v>89301000</v>
      </c>
      <c r="B14748" t="str">
        <f t="shared" si="2638"/>
        <v>89903000</v>
      </c>
      <c r="C14748" t="str">
        <f>"89903504"</f>
        <v>89903504</v>
      </c>
      <c r="D14748">
        <v>89301062</v>
      </c>
      <c r="E14748" t="str">
        <f>"5808181445"</f>
        <v>5808181445</v>
      </c>
      <c r="F14748" s="1">
        <v>45252</v>
      </c>
      <c r="G14748" t="str">
        <f>"89713"</f>
        <v>89713</v>
      </c>
      <c r="H14748">
        <v>2</v>
      </c>
      <c r="I14748">
        <v>10822</v>
      </c>
      <c r="J14748">
        <v>0</v>
      </c>
      <c r="K14748" t="str">
        <f>"810"</f>
        <v>810</v>
      </c>
      <c r="L14748">
        <v>7034.3</v>
      </c>
    </row>
    <row r="14749" spans="1:12" x14ac:dyDescent="0.25">
      <c r="A14749" t="str">
        <f t="shared" si="2637"/>
        <v>89301000</v>
      </c>
      <c r="B14749" t="str">
        <f t="shared" si="2638"/>
        <v>89903000</v>
      </c>
      <c r="C14749" t="str">
        <f t="shared" ref="C14749:C14779" si="2639">"89903503"</f>
        <v>89903503</v>
      </c>
      <c r="D14749">
        <v>89301062</v>
      </c>
      <c r="E14749" t="str">
        <f>"7955125332"</f>
        <v>7955125332</v>
      </c>
      <c r="F14749" s="1">
        <v>45240</v>
      </c>
      <c r="G14749" t="str">
        <f>"09233"</f>
        <v>09233</v>
      </c>
      <c r="H14749">
        <v>1</v>
      </c>
      <c r="I14749">
        <v>102</v>
      </c>
      <c r="J14749">
        <v>0</v>
      </c>
      <c r="K14749" t="str">
        <f t="shared" ref="K14749:K14779" si="2640">"809"</f>
        <v>809</v>
      </c>
      <c r="L14749">
        <v>149.94</v>
      </c>
    </row>
    <row r="14750" spans="1:12" x14ac:dyDescent="0.25">
      <c r="A14750" t="str">
        <f t="shared" si="2637"/>
        <v>89301000</v>
      </c>
      <c r="B14750" t="str">
        <f t="shared" si="2638"/>
        <v>89903000</v>
      </c>
      <c r="C14750" t="str">
        <f t="shared" si="2639"/>
        <v>89903503</v>
      </c>
      <c r="D14750">
        <v>89301062</v>
      </c>
      <c r="E14750" t="str">
        <f>"7955125332"</f>
        <v>7955125332</v>
      </c>
      <c r="F14750" s="1">
        <v>45240</v>
      </c>
      <c r="G14750" t="str">
        <f>"89311"</f>
        <v>89311</v>
      </c>
      <c r="H14750">
        <v>1</v>
      </c>
      <c r="I14750">
        <v>970</v>
      </c>
      <c r="J14750">
        <v>0</v>
      </c>
      <c r="K14750" t="str">
        <f t="shared" si="2640"/>
        <v>809</v>
      </c>
      <c r="L14750">
        <v>1425.9</v>
      </c>
    </row>
    <row r="14751" spans="1:12" x14ac:dyDescent="0.25">
      <c r="A14751" t="str">
        <f t="shared" si="2637"/>
        <v>89301000</v>
      </c>
      <c r="B14751" t="str">
        <f t="shared" si="2638"/>
        <v>89903000</v>
      </c>
      <c r="C14751" t="str">
        <f t="shared" si="2639"/>
        <v>89903503</v>
      </c>
      <c r="D14751">
        <v>89301062</v>
      </c>
      <c r="E14751" t="str">
        <f>"7955125332"</f>
        <v>7955125332</v>
      </c>
      <c r="F14751" s="1">
        <v>45240</v>
      </c>
      <c r="G14751" t="str">
        <f>"89615"</f>
        <v>89615</v>
      </c>
      <c r="H14751">
        <v>1</v>
      </c>
      <c r="I14751">
        <v>2199</v>
      </c>
      <c r="J14751">
        <v>0</v>
      </c>
      <c r="K14751" t="str">
        <f t="shared" si="2640"/>
        <v>809</v>
      </c>
      <c r="L14751">
        <v>1429.35</v>
      </c>
    </row>
    <row r="14752" spans="1:12" x14ac:dyDescent="0.25">
      <c r="A14752" t="str">
        <f t="shared" si="2637"/>
        <v>89301000</v>
      </c>
      <c r="B14752" t="str">
        <f t="shared" si="2638"/>
        <v>89903000</v>
      </c>
      <c r="C14752" t="str">
        <f t="shared" si="2639"/>
        <v>89903503</v>
      </c>
      <c r="D14752">
        <v>89301062</v>
      </c>
      <c r="E14752" t="str">
        <f>"7955125332"</f>
        <v>7955125332</v>
      </c>
      <c r="F14752" s="1">
        <v>45240</v>
      </c>
      <c r="G14752" t="str">
        <f>"0000502"</f>
        <v>0000502</v>
      </c>
      <c r="H14752">
        <v>0.1</v>
      </c>
      <c r="J14752">
        <v>6.97</v>
      </c>
      <c r="K14752" t="str">
        <f t="shared" si="2640"/>
        <v>809</v>
      </c>
      <c r="L14752">
        <v>6.97</v>
      </c>
    </row>
    <row r="14753" spans="1:12" x14ac:dyDescent="0.25">
      <c r="A14753" t="str">
        <f t="shared" si="2637"/>
        <v>89301000</v>
      </c>
      <c r="B14753" t="str">
        <f t="shared" si="2638"/>
        <v>89903000</v>
      </c>
      <c r="C14753" t="str">
        <f t="shared" si="2639"/>
        <v>89903503</v>
      </c>
      <c r="D14753">
        <v>89301062</v>
      </c>
      <c r="E14753" t="str">
        <f>"7955125332"</f>
        <v>7955125332</v>
      </c>
      <c r="F14753" s="1">
        <v>45240</v>
      </c>
      <c r="G14753" t="str">
        <f>"0096251"</f>
        <v>0096251</v>
      </c>
      <c r="H14753">
        <v>8.0000000000000002E-3</v>
      </c>
      <c r="J14753">
        <v>9.36</v>
      </c>
      <c r="K14753" t="str">
        <f t="shared" si="2640"/>
        <v>809</v>
      </c>
      <c r="L14753">
        <v>9.36</v>
      </c>
    </row>
    <row r="14754" spans="1:12" x14ac:dyDescent="0.25">
      <c r="A14754" t="str">
        <f t="shared" si="2637"/>
        <v>89301000</v>
      </c>
      <c r="B14754" t="str">
        <f t="shared" si="2638"/>
        <v>89903000</v>
      </c>
      <c r="C14754" t="str">
        <f t="shared" si="2639"/>
        <v>89903503</v>
      </c>
      <c r="D14754">
        <v>89301062</v>
      </c>
      <c r="E14754" t="str">
        <f>"7358225325"</f>
        <v>7358225325</v>
      </c>
      <c r="F14754" s="1">
        <v>45240</v>
      </c>
      <c r="G14754" t="str">
        <f>"09233"</f>
        <v>09233</v>
      </c>
      <c r="H14754">
        <v>1</v>
      </c>
      <c r="I14754">
        <v>102</v>
      </c>
      <c r="J14754">
        <v>0</v>
      </c>
      <c r="K14754" t="str">
        <f t="shared" si="2640"/>
        <v>809</v>
      </c>
      <c r="L14754">
        <v>149.94</v>
      </c>
    </row>
    <row r="14755" spans="1:12" x14ac:dyDescent="0.25">
      <c r="A14755" t="str">
        <f t="shared" si="2637"/>
        <v>89301000</v>
      </c>
      <c r="B14755" t="str">
        <f t="shared" si="2638"/>
        <v>89903000</v>
      </c>
      <c r="C14755" t="str">
        <f t="shared" si="2639"/>
        <v>89903503</v>
      </c>
      <c r="D14755">
        <v>89301062</v>
      </c>
      <c r="E14755" t="str">
        <f>"7358225325"</f>
        <v>7358225325</v>
      </c>
      <c r="F14755" s="1">
        <v>45240</v>
      </c>
      <c r="G14755" t="str">
        <f>"89311"</f>
        <v>89311</v>
      </c>
      <c r="H14755">
        <v>1</v>
      </c>
      <c r="I14755">
        <v>970</v>
      </c>
      <c r="J14755">
        <v>0</v>
      </c>
      <c r="K14755" t="str">
        <f t="shared" si="2640"/>
        <v>809</v>
      </c>
      <c r="L14755">
        <v>1425.9</v>
      </c>
    </row>
    <row r="14756" spans="1:12" x14ac:dyDescent="0.25">
      <c r="A14756" t="str">
        <f t="shared" si="2637"/>
        <v>89301000</v>
      </c>
      <c r="B14756" t="str">
        <f t="shared" si="2638"/>
        <v>89903000</v>
      </c>
      <c r="C14756" t="str">
        <f t="shared" si="2639"/>
        <v>89903503</v>
      </c>
      <c r="D14756">
        <v>89301062</v>
      </c>
      <c r="E14756" t="str">
        <f>"7358225325"</f>
        <v>7358225325</v>
      </c>
      <c r="F14756" s="1">
        <v>45240</v>
      </c>
      <c r="G14756" t="str">
        <f>"89615"</f>
        <v>89615</v>
      </c>
      <c r="H14756">
        <v>1</v>
      </c>
      <c r="I14756">
        <v>2199</v>
      </c>
      <c r="J14756">
        <v>0</v>
      </c>
      <c r="K14756" t="str">
        <f t="shared" si="2640"/>
        <v>809</v>
      </c>
      <c r="L14756">
        <v>1429.35</v>
      </c>
    </row>
    <row r="14757" spans="1:12" x14ac:dyDescent="0.25">
      <c r="A14757" t="str">
        <f t="shared" si="2637"/>
        <v>89301000</v>
      </c>
      <c r="B14757" t="str">
        <f t="shared" si="2638"/>
        <v>89903000</v>
      </c>
      <c r="C14757" t="str">
        <f t="shared" si="2639"/>
        <v>89903503</v>
      </c>
      <c r="D14757">
        <v>89301062</v>
      </c>
      <c r="E14757" t="str">
        <f>"7358225325"</f>
        <v>7358225325</v>
      </c>
      <c r="F14757" s="1">
        <v>45240</v>
      </c>
      <c r="G14757" t="str">
        <f>"0084090"</f>
        <v>0084090</v>
      </c>
      <c r="H14757">
        <v>0.2</v>
      </c>
      <c r="J14757">
        <v>17.03</v>
      </c>
      <c r="K14757" t="str">
        <f t="shared" si="2640"/>
        <v>809</v>
      </c>
      <c r="L14757">
        <v>17.03</v>
      </c>
    </row>
    <row r="14758" spans="1:12" x14ac:dyDescent="0.25">
      <c r="A14758" t="str">
        <f t="shared" si="2637"/>
        <v>89301000</v>
      </c>
      <c r="B14758" t="str">
        <f t="shared" si="2638"/>
        <v>89903000</v>
      </c>
      <c r="C14758" t="str">
        <f t="shared" si="2639"/>
        <v>89903503</v>
      </c>
      <c r="D14758">
        <v>89301062</v>
      </c>
      <c r="E14758" t="str">
        <f t="shared" ref="E14758:E14764" si="2641">"5703161013"</f>
        <v>5703161013</v>
      </c>
      <c r="F14758" s="1">
        <v>45245</v>
      </c>
      <c r="G14758" t="str">
        <f>"09233"</f>
        <v>09233</v>
      </c>
      <c r="H14758">
        <v>1</v>
      </c>
      <c r="I14758">
        <v>102</v>
      </c>
      <c r="J14758">
        <v>0</v>
      </c>
      <c r="K14758" t="str">
        <f t="shared" si="2640"/>
        <v>809</v>
      </c>
      <c r="L14758">
        <v>149.94</v>
      </c>
    </row>
    <row r="14759" spans="1:12" x14ac:dyDescent="0.25">
      <c r="A14759" t="str">
        <f t="shared" si="2637"/>
        <v>89301000</v>
      </c>
      <c r="B14759" t="str">
        <f t="shared" si="2638"/>
        <v>89903000</v>
      </c>
      <c r="C14759" t="str">
        <f t="shared" si="2639"/>
        <v>89903503</v>
      </c>
      <c r="D14759">
        <v>89301062</v>
      </c>
      <c r="E14759" t="str">
        <f t="shared" si="2641"/>
        <v>5703161013</v>
      </c>
      <c r="F14759" s="1">
        <v>45245</v>
      </c>
      <c r="G14759" t="str">
        <f>"89311"</f>
        <v>89311</v>
      </c>
      <c r="H14759">
        <v>1</v>
      </c>
      <c r="I14759">
        <v>970</v>
      </c>
      <c r="J14759">
        <v>0</v>
      </c>
      <c r="K14759" t="str">
        <f t="shared" si="2640"/>
        <v>809</v>
      </c>
      <c r="L14759">
        <v>1425.9</v>
      </c>
    </row>
    <row r="14760" spans="1:12" x14ac:dyDescent="0.25">
      <c r="A14760" t="str">
        <f t="shared" si="2637"/>
        <v>89301000</v>
      </c>
      <c r="B14760" t="str">
        <f t="shared" si="2638"/>
        <v>89903000</v>
      </c>
      <c r="C14760" t="str">
        <f t="shared" si="2639"/>
        <v>89903503</v>
      </c>
      <c r="D14760">
        <v>89301062</v>
      </c>
      <c r="E14760" t="str">
        <f t="shared" si="2641"/>
        <v>5703161013</v>
      </c>
      <c r="F14760" s="1">
        <v>45245</v>
      </c>
      <c r="G14760" t="str">
        <f>"89615"</f>
        <v>89615</v>
      </c>
      <c r="H14760">
        <v>1</v>
      </c>
      <c r="I14760">
        <v>2199</v>
      </c>
      <c r="J14760">
        <v>0</v>
      </c>
      <c r="K14760" t="str">
        <f t="shared" si="2640"/>
        <v>809</v>
      </c>
      <c r="L14760">
        <v>1429.35</v>
      </c>
    </row>
    <row r="14761" spans="1:12" x14ac:dyDescent="0.25">
      <c r="A14761" t="str">
        <f t="shared" si="2637"/>
        <v>89301000</v>
      </c>
      <c r="B14761" t="str">
        <f t="shared" si="2638"/>
        <v>89903000</v>
      </c>
      <c r="C14761" t="str">
        <f t="shared" si="2639"/>
        <v>89903503</v>
      </c>
      <c r="D14761">
        <v>89301062</v>
      </c>
      <c r="E14761" t="str">
        <f t="shared" si="2641"/>
        <v>5703161013</v>
      </c>
      <c r="F14761" s="1">
        <v>45245</v>
      </c>
      <c r="G14761" t="str">
        <f>"0000502"</f>
        <v>0000502</v>
      </c>
      <c r="H14761">
        <v>0.1</v>
      </c>
      <c r="J14761">
        <v>6.97</v>
      </c>
      <c r="K14761" t="str">
        <f t="shared" si="2640"/>
        <v>809</v>
      </c>
      <c r="L14761">
        <v>6.97</v>
      </c>
    </row>
    <row r="14762" spans="1:12" x14ac:dyDescent="0.25">
      <c r="A14762" t="str">
        <f t="shared" si="2637"/>
        <v>89301000</v>
      </c>
      <c r="B14762" t="str">
        <f t="shared" si="2638"/>
        <v>89903000</v>
      </c>
      <c r="C14762" t="str">
        <f t="shared" si="2639"/>
        <v>89903503</v>
      </c>
      <c r="D14762">
        <v>89301062</v>
      </c>
      <c r="E14762" t="str">
        <f t="shared" si="2641"/>
        <v>5703161013</v>
      </c>
      <c r="F14762" s="1">
        <v>45245</v>
      </c>
      <c r="G14762" t="str">
        <f>"0084090"</f>
        <v>0084090</v>
      </c>
      <c r="H14762">
        <v>0.2</v>
      </c>
      <c r="J14762">
        <v>17.03</v>
      </c>
      <c r="K14762" t="str">
        <f t="shared" si="2640"/>
        <v>809</v>
      </c>
      <c r="L14762">
        <v>17.03</v>
      </c>
    </row>
    <row r="14763" spans="1:12" x14ac:dyDescent="0.25">
      <c r="A14763" t="str">
        <f t="shared" si="2637"/>
        <v>89301000</v>
      </c>
      <c r="B14763" t="str">
        <f t="shared" si="2638"/>
        <v>89903000</v>
      </c>
      <c r="C14763" t="str">
        <f t="shared" si="2639"/>
        <v>89903503</v>
      </c>
      <c r="D14763">
        <v>89301062</v>
      </c>
      <c r="E14763" t="str">
        <f t="shared" si="2641"/>
        <v>5703161013</v>
      </c>
      <c r="F14763" s="1">
        <v>45245</v>
      </c>
      <c r="G14763" t="str">
        <f>"0096251"</f>
        <v>0096251</v>
      </c>
      <c r="H14763">
        <v>8.0000000000000002E-3</v>
      </c>
      <c r="J14763">
        <v>9.36</v>
      </c>
      <c r="K14763" t="str">
        <f t="shared" si="2640"/>
        <v>809</v>
      </c>
      <c r="L14763">
        <v>9.36</v>
      </c>
    </row>
    <row r="14764" spans="1:12" x14ac:dyDescent="0.25">
      <c r="A14764" t="str">
        <f t="shared" si="2637"/>
        <v>89301000</v>
      </c>
      <c r="B14764" t="str">
        <f t="shared" si="2638"/>
        <v>89903000</v>
      </c>
      <c r="C14764" t="str">
        <f t="shared" si="2639"/>
        <v>89903503</v>
      </c>
      <c r="D14764">
        <v>89301062</v>
      </c>
      <c r="E14764" t="str">
        <f t="shared" si="2641"/>
        <v>5703161013</v>
      </c>
      <c r="F14764" s="1">
        <v>45245</v>
      </c>
      <c r="G14764" t="str">
        <f>"0194183"</f>
        <v>0194183</v>
      </c>
      <c r="H14764">
        <v>3</v>
      </c>
      <c r="J14764">
        <v>159</v>
      </c>
      <c r="K14764" t="str">
        <f t="shared" si="2640"/>
        <v>809</v>
      </c>
      <c r="L14764">
        <v>159</v>
      </c>
    </row>
    <row r="14765" spans="1:12" x14ac:dyDescent="0.25">
      <c r="A14765" t="str">
        <f t="shared" si="2637"/>
        <v>89301000</v>
      </c>
      <c r="B14765" t="str">
        <f t="shared" si="2638"/>
        <v>89903000</v>
      </c>
      <c r="C14765" t="str">
        <f t="shared" si="2639"/>
        <v>89903503</v>
      </c>
      <c r="D14765">
        <v>89301062</v>
      </c>
      <c r="E14765" t="str">
        <f>"535802056"</f>
        <v>535802056</v>
      </c>
      <c r="F14765" s="1">
        <v>45254</v>
      </c>
      <c r="G14765" t="str">
        <f>"09233"</f>
        <v>09233</v>
      </c>
      <c r="H14765">
        <v>1</v>
      </c>
      <c r="I14765">
        <v>102</v>
      </c>
      <c r="J14765">
        <v>0</v>
      </c>
      <c r="K14765" t="str">
        <f t="shared" si="2640"/>
        <v>809</v>
      </c>
      <c r="L14765">
        <v>149.94</v>
      </c>
    </row>
    <row r="14766" spans="1:12" x14ac:dyDescent="0.25">
      <c r="A14766" t="str">
        <f t="shared" si="2637"/>
        <v>89301000</v>
      </c>
      <c r="B14766" t="str">
        <f t="shared" si="2638"/>
        <v>89903000</v>
      </c>
      <c r="C14766" t="str">
        <f t="shared" si="2639"/>
        <v>89903503</v>
      </c>
      <c r="D14766">
        <v>89301062</v>
      </c>
      <c r="E14766" t="str">
        <f>"535802056"</f>
        <v>535802056</v>
      </c>
      <c r="F14766" s="1">
        <v>45254</v>
      </c>
      <c r="G14766" t="str">
        <f>"89311"</f>
        <v>89311</v>
      </c>
      <c r="H14766">
        <v>1</v>
      </c>
      <c r="I14766">
        <v>970</v>
      </c>
      <c r="J14766">
        <v>0</v>
      </c>
      <c r="K14766" t="str">
        <f t="shared" si="2640"/>
        <v>809</v>
      </c>
      <c r="L14766">
        <v>1425.9</v>
      </c>
    </row>
    <row r="14767" spans="1:12" x14ac:dyDescent="0.25">
      <c r="A14767" t="str">
        <f t="shared" si="2637"/>
        <v>89301000</v>
      </c>
      <c r="B14767" t="str">
        <f t="shared" si="2638"/>
        <v>89903000</v>
      </c>
      <c r="C14767" t="str">
        <f t="shared" si="2639"/>
        <v>89903503</v>
      </c>
      <c r="D14767">
        <v>89301062</v>
      </c>
      <c r="E14767" t="str">
        <f>"535802056"</f>
        <v>535802056</v>
      </c>
      <c r="F14767" s="1">
        <v>45254</v>
      </c>
      <c r="G14767" t="str">
        <f>"89615"</f>
        <v>89615</v>
      </c>
      <c r="H14767">
        <v>1</v>
      </c>
      <c r="I14767">
        <v>2199</v>
      </c>
      <c r="J14767">
        <v>0</v>
      </c>
      <c r="K14767" t="str">
        <f t="shared" si="2640"/>
        <v>809</v>
      </c>
      <c r="L14767">
        <v>1429.35</v>
      </c>
    </row>
    <row r="14768" spans="1:12" x14ac:dyDescent="0.25">
      <c r="A14768" t="str">
        <f t="shared" si="2637"/>
        <v>89301000</v>
      </c>
      <c r="B14768" t="str">
        <f t="shared" si="2638"/>
        <v>89903000</v>
      </c>
      <c r="C14768" t="str">
        <f t="shared" si="2639"/>
        <v>89903503</v>
      </c>
      <c r="D14768">
        <v>89301062</v>
      </c>
      <c r="E14768" t="str">
        <f>"535802056"</f>
        <v>535802056</v>
      </c>
      <c r="F14768" s="1">
        <v>45254</v>
      </c>
      <c r="G14768" t="str">
        <f>"0000502"</f>
        <v>0000502</v>
      </c>
      <c r="H14768">
        <v>0.1</v>
      </c>
      <c r="J14768">
        <v>6.97</v>
      </c>
      <c r="K14768" t="str">
        <f t="shared" si="2640"/>
        <v>809</v>
      </c>
      <c r="L14768">
        <v>6.97</v>
      </c>
    </row>
    <row r="14769" spans="1:12" x14ac:dyDescent="0.25">
      <c r="A14769" t="str">
        <f t="shared" si="2637"/>
        <v>89301000</v>
      </c>
      <c r="B14769" t="str">
        <f t="shared" si="2638"/>
        <v>89903000</v>
      </c>
      <c r="C14769" t="str">
        <f t="shared" si="2639"/>
        <v>89903503</v>
      </c>
      <c r="D14769">
        <v>89301062</v>
      </c>
      <c r="E14769" t="str">
        <f>"535802056"</f>
        <v>535802056</v>
      </c>
      <c r="F14769" s="1">
        <v>45254</v>
      </c>
      <c r="G14769" t="str">
        <f>"0096251"</f>
        <v>0096251</v>
      </c>
      <c r="H14769">
        <v>8.0000000000000002E-3</v>
      </c>
      <c r="J14769">
        <v>9.36</v>
      </c>
      <c r="K14769" t="str">
        <f t="shared" si="2640"/>
        <v>809</v>
      </c>
      <c r="L14769">
        <v>9.36</v>
      </c>
    </row>
    <row r="14770" spans="1:12" x14ac:dyDescent="0.25">
      <c r="A14770" t="str">
        <f t="shared" si="2637"/>
        <v>89301000</v>
      </c>
      <c r="B14770" t="str">
        <f t="shared" si="2638"/>
        <v>89903000</v>
      </c>
      <c r="C14770" t="str">
        <f t="shared" si="2639"/>
        <v>89903503</v>
      </c>
      <c r="D14770">
        <v>89301062</v>
      </c>
      <c r="E14770" t="str">
        <f>"535502286"</f>
        <v>535502286</v>
      </c>
      <c r="F14770" s="1">
        <v>45259</v>
      </c>
      <c r="G14770" t="str">
        <f>"09233"</f>
        <v>09233</v>
      </c>
      <c r="H14770">
        <v>1</v>
      </c>
      <c r="I14770">
        <v>102</v>
      </c>
      <c r="J14770">
        <v>0</v>
      </c>
      <c r="K14770" t="str">
        <f t="shared" si="2640"/>
        <v>809</v>
      </c>
      <c r="L14770">
        <v>149.94</v>
      </c>
    </row>
    <row r="14771" spans="1:12" x14ac:dyDescent="0.25">
      <c r="A14771" t="str">
        <f t="shared" si="2637"/>
        <v>89301000</v>
      </c>
      <c r="B14771" t="str">
        <f t="shared" si="2638"/>
        <v>89903000</v>
      </c>
      <c r="C14771" t="str">
        <f t="shared" si="2639"/>
        <v>89903503</v>
      </c>
      <c r="D14771">
        <v>89301062</v>
      </c>
      <c r="E14771" t="str">
        <f>"535502286"</f>
        <v>535502286</v>
      </c>
      <c r="F14771" s="1">
        <v>45259</v>
      </c>
      <c r="G14771" t="str">
        <f>"89311"</f>
        <v>89311</v>
      </c>
      <c r="H14771">
        <v>1</v>
      </c>
      <c r="I14771">
        <v>970</v>
      </c>
      <c r="J14771">
        <v>0</v>
      </c>
      <c r="K14771" t="str">
        <f t="shared" si="2640"/>
        <v>809</v>
      </c>
      <c r="L14771">
        <v>1425.9</v>
      </c>
    </row>
    <row r="14772" spans="1:12" x14ac:dyDescent="0.25">
      <c r="A14772" t="str">
        <f t="shared" si="2637"/>
        <v>89301000</v>
      </c>
      <c r="B14772" t="str">
        <f t="shared" si="2638"/>
        <v>89903000</v>
      </c>
      <c r="C14772" t="str">
        <f t="shared" si="2639"/>
        <v>89903503</v>
      </c>
      <c r="D14772">
        <v>89301062</v>
      </c>
      <c r="E14772" t="str">
        <f>"535502286"</f>
        <v>535502286</v>
      </c>
      <c r="F14772" s="1">
        <v>45259</v>
      </c>
      <c r="G14772" t="str">
        <f>"89615"</f>
        <v>89615</v>
      </c>
      <c r="H14772">
        <v>1</v>
      </c>
      <c r="I14772">
        <v>2199</v>
      </c>
      <c r="J14772">
        <v>0</v>
      </c>
      <c r="K14772" t="str">
        <f t="shared" si="2640"/>
        <v>809</v>
      </c>
      <c r="L14772">
        <v>1429.35</v>
      </c>
    </row>
    <row r="14773" spans="1:12" x14ac:dyDescent="0.25">
      <c r="A14773" t="str">
        <f t="shared" si="2637"/>
        <v>89301000</v>
      </c>
      <c r="B14773" t="str">
        <f t="shared" si="2638"/>
        <v>89903000</v>
      </c>
      <c r="C14773" t="str">
        <f t="shared" si="2639"/>
        <v>89903503</v>
      </c>
      <c r="D14773">
        <v>89301062</v>
      </c>
      <c r="E14773" t="str">
        <f>"535502286"</f>
        <v>535502286</v>
      </c>
      <c r="F14773" s="1">
        <v>45259</v>
      </c>
      <c r="G14773" t="str">
        <f>"0084090"</f>
        <v>0084090</v>
      </c>
      <c r="H14773">
        <v>0.2</v>
      </c>
      <c r="J14773">
        <v>17.03</v>
      </c>
      <c r="K14773" t="str">
        <f t="shared" si="2640"/>
        <v>809</v>
      </c>
      <c r="L14773">
        <v>17.03</v>
      </c>
    </row>
    <row r="14774" spans="1:12" x14ac:dyDescent="0.25">
      <c r="A14774" t="str">
        <f t="shared" si="2637"/>
        <v>89301000</v>
      </c>
      <c r="B14774" t="str">
        <f t="shared" si="2638"/>
        <v>89903000</v>
      </c>
      <c r="C14774" t="str">
        <f t="shared" si="2639"/>
        <v>89903503</v>
      </c>
      <c r="D14774">
        <v>89301062</v>
      </c>
      <c r="E14774" t="str">
        <f t="shared" ref="E14774:E14779" si="2642">"5703161013"</f>
        <v>5703161013</v>
      </c>
      <c r="F14774" s="1">
        <v>45233</v>
      </c>
      <c r="G14774" t="str">
        <f>"09233"</f>
        <v>09233</v>
      </c>
      <c r="H14774">
        <v>1</v>
      </c>
      <c r="I14774">
        <v>102</v>
      </c>
      <c r="J14774">
        <v>0</v>
      </c>
      <c r="K14774" t="str">
        <f t="shared" si="2640"/>
        <v>809</v>
      </c>
      <c r="L14774">
        <v>149.94</v>
      </c>
    </row>
    <row r="14775" spans="1:12" x14ac:dyDescent="0.25">
      <c r="A14775" t="str">
        <f t="shared" si="2637"/>
        <v>89301000</v>
      </c>
      <c r="B14775" t="str">
        <f t="shared" si="2638"/>
        <v>89903000</v>
      </c>
      <c r="C14775" t="str">
        <f t="shared" si="2639"/>
        <v>89903503</v>
      </c>
      <c r="D14775">
        <v>89301062</v>
      </c>
      <c r="E14775" t="str">
        <f t="shared" si="2642"/>
        <v>5703161013</v>
      </c>
      <c r="F14775" s="1">
        <v>45233</v>
      </c>
      <c r="G14775" t="str">
        <f>"89311"</f>
        <v>89311</v>
      </c>
      <c r="H14775">
        <v>1</v>
      </c>
      <c r="I14775">
        <v>970</v>
      </c>
      <c r="J14775">
        <v>0</v>
      </c>
      <c r="K14775" t="str">
        <f t="shared" si="2640"/>
        <v>809</v>
      </c>
      <c r="L14775">
        <v>1425.9</v>
      </c>
    </row>
    <row r="14776" spans="1:12" x14ac:dyDescent="0.25">
      <c r="A14776" t="str">
        <f t="shared" si="2637"/>
        <v>89301000</v>
      </c>
      <c r="B14776" t="str">
        <f t="shared" si="2638"/>
        <v>89903000</v>
      </c>
      <c r="C14776" t="str">
        <f t="shared" si="2639"/>
        <v>89903503</v>
      </c>
      <c r="D14776">
        <v>89301062</v>
      </c>
      <c r="E14776" t="str">
        <f t="shared" si="2642"/>
        <v>5703161013</v>
      </c>
      <c r="F14776" s="1">
        <v>45233</v>
      </c>
      <c r="G14776" t="str">
        <f>"89615"</f>
        <v>89615</v>
      </c>
      <c r="H14776">
        <v>1</v>
      </c>
      <c r="I14776">
        <v>2199</v>
      </c>
      <c r="J14776">
        <v>0</v>
      </c>
      <c r="K14776" t="str">
        <f t="shared" si="2640"/>
        <v>809</v>
      </c>
      <c r="L14776">
        <v>1429.35</v>
      </c>
    </row>
    <row r="14777" spans="1:12" x14ac:dyDescent="0.25">
      <c r="A14777" t="str">
        <f t="shared" si="2637"/>
        <v>89301000</v>
      </c>
      <c r="B14777" t="str">
        <f t="shared" si="2638"/>
        <v>89903000</v>
      </c>
      <c r="C14777" t="str">
        <f t="shared" si="2639"/>
        <v>89903503</v>
      </c>
      <c r="D14777">
        <v>89301062</v>
      </c>
      <c r="E14777" t="str">
        <f t="shared" si="2642"/>
        <v>5703161013</v>
      </c>
      <c r="F14777" s="1">
        <v>45233</v>
      </c>
      <c r="G14777" t="str">
        <f>"0084090"</f>
        <v>0084090</v>
      </c>
      <c r="H14777">
        <v>0.2</v>
      </c>
      <c r="J14777">
        <v>17.03</v>
      </c>
      <c r="K14777" t="str">
        <f t="shared" si="2640"/>
        <v>809</v>
      </c>
      <c r="L14777">
        <v>17.03</v>
      </c>
    </row>
    <row r="14778" spans="1:12" x14ac:dyDescent="0.25">
      <c r="A14778" t="str">
        <f t="shared" si="2637"/>
        <v>89301000</v>
      </c>
      <c r="B14778" t="str">
        <f t="shared" si="2638"/>
        <v>89903000</v>
      </c>
      <c r="C14778" t="str">
        <f t="shared" si="2639"/>
        <v>89903503</v>
      </c>
      <c r="D14778">
        <v>89301062</v>
      </c>
      <c r="E14778" t="str">
        <f t="shared" si="2642"/>
        <v>5703161013</v>
      </c>
      <c r="F14778" s="1">
        <v>45233</v>
      </c>
      <c r="G14778" t="str">
        <f>"0096251"</f>
        <v>0096251</v>
      </c>
      <c r="H14778">
        <v>8.0000000000000002E-3</v>
      </c>
      <c r="J14778">
        <v>9.36</v>
      </c>
      <c r="K14778" t="str">
        <f t="shared" si="2640"/>
        <v>809</v>
      </c>
      <c r="L14778">
        <v>9.36</v>
      </c>
    </row>
    <row r="14779" spans="1:12" x14ac:dyDescent="0.25">
      <c r="A14779" t="str">
        <f t="shared" si="2637"/>
        <v>89301000</v>
      </c>
      <c r="B14779" t="str">
        <f t="shared" si="2638"/>
        <v>89903000</v>
      </c>
      <c r="C14779" t="str">
        <f t="shared" si="2639"/>
        <v>89903503</v>
      </c>
      <c r="D14779">
        <v>89301062</v>
      </c>
      <c r="E14779" t="str">
        <f t="shared" si="2642"/>
        <v>5703161013</v>
      </c>
      <c r="F14779" s="1">
        <v>45233</v>
      </c>
      <c r="G14779" t="str">
        <f>"0194183"</f>
        <v>0194183</v>
      </c>
      <c r="H14779">
        <v>3</v>
      </c>
      <c r="J14779">
        <v>159</v>
      </c>
      <c r="K14779" t="str">
        <f t="shared" si="2640"/>
        <v>809</v>
      </c>
      <c r="L14779">
        <v>159</v>
      </c>
    </row>
    <row r="14780" spans="1:12" x14ac:dyDescent="0.25">
      <c r="A14780" t="str">
        <f t="shared" si="2637"/>
        <v>89301000</v>
      </c>
      <c r="B14780" t="str">
        <f t="shared" ref="B14780:B14786" si="2643">"06223000"</f>
        <v>06223000</v>
      </c>
      <c r="C14780" t="str">
        <f t="shared" ref="C14780:C14786" si="2644">"06223043"</f>
        <v>06223043</v>
      </c>
      <c r="D14780">
        <v>89301122</v>
      </c>
      <c r="E14780" t="str">
        <f>"490925287"</f>
        <v>490925287</v>
      </c>
      <c r="F14780" s="1">
        <v>45236</v>
      </c>
      <c r="G14780" t="str">
        <f t="shared" ref="G14780:G14786" si="2645">"81485"</f>
        <v>81485</v>
      </c>
      <c r="H14780">
        <v>1</v>
      </c>
      <c r="I14780">
        <v>461</v>
      </c>
      <c r="J14780">
        <v>0</v>
      </c>
      <c r="K14780" t="str">
        <f t="shared" ref="K14780:K14786" si="2646">"801"</f>
        <v>801</v>
      </c>
      <c r="L14780">
        <v>387.24</v>
      </c>
    </row>
    <row r="14781" spans="1:12" x14ac:dyDescent="0.25">
      <c r="A14781" t="str">
        <f t="shared" si="2637"/>
        <v>89301000</v>
      </c>
      <c r="B14781" t="str">
        <f t="shared" si="2643"/>
        <v>06223000</v>
      </c>
      <c r="C14781" t="str">
        <f t="shared" si="2644"/>
        <v>06223043</v>
      </c>
      <c r="D14781">
        <v>89301122</v>
      </c>
      <c r="E14781" t="str">
        <f>"7661285302"</f>
        <v>7661285302</v>
      </c>
      <c r="F14781" s="1">
        <v>45231</v>
      </c>
      <c r="G14781" t="str">
        <f t="shared" si="2645"/>
        <v>81485</v>
      </c>
      <c r="H14781">
        <v>1</v>
      </c>
      <c r="I14781">
        <v>461</v>
      </c>
      <c r="J14781">
        <v>0</v>
      </c>
      <c r="K14781" t="str">
        <f t="shared" si="2646"/>
        <v>801</v>
      </c>
      <c r="L14781">
        <v>387.24</v>
      </c>
    </row>
    <row r="14782" spans="1:12" x14ac:dyDescent="0.25">
      <c r="A14782" t="str">
        <f t="shared" si="2637"/>
        <v>89301000</v>
      </c>
      <c r="B14782" t="str">
        <f t="shared" si="2643"/>
        <v>06223000</v>
      </c>
      <c r="C14782" t="str">
        <f t="shared" si="2644"/>
        <v>06223043</v>
      </c>
      <c r="D14782">
        <v>89301122</v>
      </c>
      <c r="E14782" t="str">
        <f>"9312135723"</f>
        <v>9312135723</v>
      </c>
      <c r="F14782" s="1">
        <v>45231</v>
      </c>
      <c r="G14782" t="str">
        <f t="shared" si="2645"/>
        <v>81485</v>
      </c>
      <c r="H14782">
        <v>1</v>
      </c>
      <c r="I14782">
        <v>461</v>
      </c>
      <c r="J14782">
        <v>0</v>
      </c>
      <c r="K14782" t="str">
        <f t="shared" si="2646"/>
        <v>801</v>
      </c>
      <c r="L14782">
        <v>387.24</v>
      </c>
    </row>
    <row r="14783" spans="1:12" x14ac:dyDescent="0.25">
      <c r="A14783" t="str">
        <f t="shared" si="2637"/>
        <v>89301000</v>
      </c>
      <c r="B14783" t="str">
        <f t="shared" si="2643"/>
        <v>06223000</v>
      </c>
      <c r="C14783" t="str">
        <f t="shared" si="2644"/>
        <v>06223043</v>
      </c>
      <c r="D14783">
        <v>89301122</v>
      </c>
      <c r="E14783" t="str">
        <f>"7561255328"</f>
        <v>7561255328</v>
      </c>
      <c r="F14783" s="1">
        <v>45236</v>
      </c>
      <c r="G14783" t="str">
        <f t="shared" si="2645"/>
        <v>81485</v>
      </c>
      <c r="H14783">
        <v>1</v>
      </c>
      <c r="I14783">
        <v>461</v>
      </c>
      <c r="J14783">
        <v>0</v>
      </c>
      <c r="K14783" t="str">
        <f t="shared" si="2646"/>
        <v>801</v>
      </c>
      <c r="L14783">
        <v>387.24</v>
      </c>
    </row>
    <row r="14784" spans="1:12" x14ac:dyDescent="0.25">
      <c r="A14784" t="str">
        <f t="shared" si="2637"/>
        <v>89301000</v>
      </c>
      <c r="B14784" t="str">
        <f t="shared" si="2643"/>
        <v>06223000</v>
      </c>
      <c r="C14784" t="str">
        <f t="shared" si="2644"/>
        <v>06223043</v>
      </c>
      <c r="D14784">
        <v>89301122</v>
      </c>
      <c r="E14784" t="str">
        <f>"6712300452"</f>
        <v>6712300452</v>
      </c>
      <c r="F14784" s="1">
        <v>45245</v>
      </c>
      <c r="G14784" t="str">
        <f t="shared" si="2645"/>
        <v>81485</v>
      </c>
      <c r="H14784">
        <v>1</v>
      </c>
      <c r="I14784">
        <v>461</v>
      </c>
      <c r="J14784">
        <v>0</v>
      </c>
      <c r="K14784" t="str">
        <f t="shared" si="2646"/>
        <v>801</v>
      </c>
      <c r="L14784">
        <v>387.24</v>
      </c>
    </row>
    <row r="14785" spans="1:12" x14ac:dyDescent="0.25">
      <c r="A14785" t="str">
        <f t="shared" si="2637"/>
        <v>89301000</v>
      </c>
      <c r="B14785" t="str">
        <f t="shared" si="2643"/>
        <v>06223000</v>
      </c>
      <c r="C14785" t="str">
        <f t="shared" si="2644"/>
        <v>06223043</v>
      </c>
      <c r="D14785">
        <v>89301122</v>
      </c>
      <c r="E14785" t="str">
        <f>"6106150171"</f>
        <v>6106150171</v>
      </c>
      <c r="F14785" s="1">
        <v>45231</v>
      </c>
      <c r="G14785" t="str">
        <f t="shared" si="2645"/>
        <v>81485</v>
      </c>
      <c r="H14785">
        <v>1</v>
      </c>
      <c r="I14785">
        <v>461</v>
      </c>
      <c r="J14785">
        <v>0</v>
      </c>
      <c r="K14785" t="str">
        <f t="shared" si="2646"/>
        <v>801</v>
      </c>
      <c r="L14785">
        <v>387.24</v>
      </c>
    </row>
    <row r="14786" spans="1:12" x14ac:dyDescent="0.25">
      <c r="A14786" t="str">
        <f t="shared" ref="A14786:A14849" si="2647">"89301000"</f>
        <v>89301000</v>
      </c>
      <c r="B14786" t="str">
        <f t="shared" si="2643"/>
        <v>06223000</v>
      </c>
      <c r="C14786" t="str">
        <f t="shared" si="2644"/>
        <v>06223043</v>
      </c>
      <c r="D14786">
        <v>89301122</v>
      </c>
      <c r="E14786" t="str">
        <f>"7808275761"</f>
        <v>7808275761</v>
      </c>
      <c r="F14786" s="1">
        <v>45245</v>
      </c>
      <c r="G14786" t="str">
        <f t="shared" si="2645"/>
        <v>81485</v>
      </c>
      <c r="H14786">
        <v>1</v>
      </c>
      <c r="I14786">
        <v>461</v>
      </c>
      <c r="J14786">
        <v>0</v>
      </c>
      <c r="K14786" t="str">
        <f t="shared" si="2646"/>
        <v>801</v>
      </c>
      <c r="L14786">
        <v>387.24</v>
      </c>
    </row>
    <row r="14787" spans="1:12" x14ac:dyDescent="0.25">
      <c r="A14787" t="str">
        <f t="shared" si="2647"/>
        <v>89301000</v>
      </c>
      <c r="B14787" t="str">
        <f>"72932000"</f>
        <v>72932000</v>
      </c>
      <c r="C14787" t="str">
        <f>"72932050"</f>
        <v>72932050</v>
      </c>
      <c r="D14787">
        <v>89301032</v>
      </c>
      <c r="E14787" t="str">
        <f>"9559135762"</f>
        <v>9559135762</v>
      </c>
      <c r="F14787" s="1">
        <v>45245</v>
      </c>
      <c r="G14787" t="str">
        <f>"94225"</f>
        <v>94225</v>
      </c>
      <c r="H14787">
        <v>1</v>
      </c>
      <c r="I14787">
        <v>1208</v>
      </c>
      <c r="J14787">
        <v>0</v>
      </c>
      <c r="K14787" t="str">
        <f>"816"</f>
        <v>816</v>
      </c>
      <c r="L14787">
        <v>1087.2</v>
      </c>
    </row>
    <row r="14788" spans="1:12" x14ac:dyDescent="0.25">
      <c r="A14788" t="str">
        <f t="shared" si="2647"/>
        <v>89301000</v>
      </c>
      <c r="B14788" t="str">
        <f>"72932000"</f>
        <v>72932000</v>
      </c>
      <c r="C14788" t="str">
        <f>"72932050"</f>
        <v>72932050</v>
      </c>
      <c r="D14788">
        <v>89301032</v>
      </c>
      <c r="E14788" t="str">
        <f>"9559135762"</f>
        <v>9559135762</v>
      </c>
      <c r="F14788" s="1">
        <v>45245</v>
      </c>
      <c r="G14788" t="str">
        <f>"94956"</f>
        <v>94956</v>
      </c>
      <c r="H14788">
        <v>1</v>
      </c>
      <c r="I14788">
        <v>0</v>
      </c>
      <c r="J14788">
        <v>976</v>
      </c>
      <c r="K14788" t="str">
        <f>"816"</f>
        <v>816</v>
      </c>
      <c r="L14788">
        <v>976</v>
      </c>
    </row>
    <row r="14789" spans="1:12" x14ac:dyDescent="0.25">
      <c r="A14789" t="str">
        <f t="shared" si="2647"/>
        <v>89301000</v>
      </c>
      <c r="B14789" t="str">
        <f>"81001000"</f>
        <v>81001000</v>
      </c>
      <c r="C14789" t="str">
        <f>"81001920"</f>
        <v>81001920</v>
      </c>
      <c r="D14789">
        <v>89301212</v>
      </c>
      <c r="E14789" t="str">
        <f>"505210019"</f>
        <v>505210019</v>
      </c>
      <c r="F14789" s="1">
        <v>45254</v>
      </c>
      <c r="G14789" t="str">
        <f>"89131"</f>
        <v>89131</v>
      </c>
      <c r="H14789">
        <v>1</v>
      </c>
      <c r="I14789">
        <v>190</v>
      </c>
      <c r="J14789">
        <v>0</v>
      </c>
      <c r="K14789" t="str">
        <f>"809"</f>
        <v>809</v>
      </c>
      <c r="L14789">
        <v>279.3</v>
      </c>
    </row>
    <row r="14790" spans="1:12" x14ac:dyDescent="0.25">
      <c r="A14790" t="str">
        <f t="shared" si="2647"/>
        <v>89301000</v>
      </c>
      <c r="B14790" t="str">
        <f>"91866000"</f>
        <v>91866000</v>
      </c>
      <c r="C14790" t="str">
        <f>"91866313"</f>
        <v>91866313</v>
      </c>
      <c r="D14790">
        <v>89301101</v>
      </c>
      <c r="E14790" t="str">
        <f>"2256250238"</f>
        <v>2256250238</v>
      </c>
      <c r="F14790" s="1">
        <v>45230</v>
      </c>
      <c r="G14790" t="str">
        <f>"97111"</f>
        <v>97111</v>
      </c>
      <c r="H14790">
        <v>1</v>
      </c>
      <c r="I14790">
        <v>19</v>
      </c>
      <c r="J14790">
        <v>0</v>
      </c>
      <c r="K14790" t="str">
        <f t="shared" ref="K14790:K14800" si="2648">"802"</f>
        <v>802</v>
      </c>
      <c r="L14790">
        <v>23.94</v>
      </c>
    </row>
    <row r="14791" spans="1:12" x14ac:dyDescent="0.25">
      <c r="A14791" t="str">
        <f t="shared" si="2647"/>
        <v>89301000</v>
      </c>
      <c r="B14791" t="str">
        <f>"91866000"</f>
        <v>91866000</v>
      </c>
      <c r="C14791" t="str">
        <f>"91866313"</f>
        <v>91866313</v>
      </c>
      <c r="D14791">
        <v>89301101</v>
      </c>
      <c r="E14791" t="str">
        <f>"2256250238"</f>
        <v>2256250238</v>
      </c>
      <c r="F14791" s="1">
        <v>45230</v>
      </c>
      <c r="G14791" t="str">
        <f>"82087"</f>
        <v>82087</v>
      </c>
      <c r="H14791">
        <v>1</v>
      </c>
      <c r="I14791">
        <v>53</v>
      </c>
      <c r="J14791">
        <v>0</v>
      </c>
      <c r="K14791" t="str">
        <f t="shared" si="2648"/>
        <v>802</v>
      </c>
      <c r="L14791">
        <v>51.41</v>
      </c>
    </row>
    <row r="14792" spans="1:12" x14ac:dyDescent="0.25">
      <c r="A14792" t="str">
        <f t="shared" si="2647"/>
        <v>89301000</v>
      </c>
      <c r="B14792" t="str">
        <f t="shared" ref="B14792:B14800" si="2649">"89670000"</f>
        <v>89670000</v>
      </c>
      <c r="C14792" t="str">
        <f t="shared" ref="C14792:C14800" si="2650">"89670001"</f>
        <v>89670001</v>
      </c>
      <c r="D14792">
        <v>89301109</v>
      </c>
      <c r="E14792" t="str">
        <f>"0708075280"</f>
        <v>0708075280</v>
      </c>
      <c r="F14792" s="1">
        <v>45244</v>
      </c>
      <c r="G14792" t="str">
        <f>"97111"</f>
        <v>97111</v>
      </c>
      <c r="H14792">
        <v>1</v>
      </c>
      <c r="I14792">
        <v>19</v>
      </c>
      <c r="J14792">
        <v>0</v>
      </c>
      <c r="K14792" t="str">
        <f t="shared" si="2648"/>
        <v>802</v>
      </c>
      <c r="L14792">
        <v>23.94</v>
      </c>
    </row>
    <row r="14793" spans="1:12" x14ac:dyDescent="0.25">
      <c r="A14793" t="str">
        <f t="shared" si="2647"/>
        <v>89301000</v>
      </c>
      <c r="B14793" t="str">
        <f t="shared" si="2649"/>
        <v>89670000</v>
      </c>
      <c r="C14793" t="str">
        <f t="shared" si="2650"/>
        <v>89670001</v>
      </c>
      <c r="D14793">
        <v>89301109</v>
      </c>
      <c r="E14793" t="str">
        <f>"0708075280"</f>
        <v>0708075280</v>
      </c>
      <c r="F14793" s="1">
        <v>45245</v>
      </c>
      <c r="G14793" t="str">
        <f>"82097"</f>
        <v>82097</v>
      </c>
      <c r="H14793">
        <v>1</v>
      </c>
      <c r="I14793">
        <v>381</v>
      </c>
      <c r="J14793">
        <v>0</v>
      </c>
      <c r="K14793" t="str">
        <f t="shared" si="2648"/>
        <v>802</v>
      </c>
      <c r="L14793">
        <v>369.57</v>
      </c>
    </row>
    <row r="14794" spans="1:12" x14ac:dyDescent="0.25">
      <c r="A14794" t="str">
        <f t="shared" si="2647"/>
        <v>89301000</v>
      </c>
      <c r="B14794" t="str">
        <f t="shared" si="2649"/>
        <v>89670000</v>
      </c>
      <c r="C14794" t="str">
        <f t="shared" si="2650"/>
        <v>89670001</v>
      </c>
      <c r="D14794">
        <v>89301109</v>
      </c>
      <c r="E14794" t="str">
        <f>"0708075280"</f>
        <v>0708075280</v>
      </c>
      <c r="F14794" s="1">
        <v>45245</v>
      </c>
      <c r="G14794" t="str">
        <f>"82097"</f>
        <v>82097</v>
      </c>
      <c r="H14794">
        <v>1</v>
      </c>
      <c r="I14794">
        <v>381</v>
      </c>
      <c r="J14794">
        <v>0</v>
      </c>
      <c r="K14794" t="str">
        <f t="shared" si="2648"/>
        <v>802</v>
      </c>
      <c r="L14794">
        <v>369.57</v>
      </c>
    </row>
    <row r="14795" spans="1:12" x14ac:dyDescent="0.25">
      <c r="A14795" t="str">
        <f t="shared" si="2647"/>
        <v>89301000</v>
      </c>
      <c r="B14795" t="str">
        <f t="shared" si="2649"/>
        <v>89670000</v>
      </c>
      <c r="C14795" t="str">
        <f t="shared" si="2650"/>
        <v>89670001</v>
      </c>
      <c r="D14795">
        <v>89301522</v>
      </c>
      <c r="E14795" t="str">
        <f>"7661094463"</f>
        <v>7661094463</v>
      </c>
      <c r="F14795" s="1">
        <v>45258</v>
      </c>
      <c r="G14795" t="str">
        <f>"97111"</f>
        <v>97111</v>
      </c>
      <c r="H14795">
        <v>1</v>
      </c>
      <c r="I14795">
        <v>19</v>
      </c>
      <c r="J14795">
        <v>0</v>
      </c>
      <c r="K14795" t="str">
        <f t="shared" si="2648"/>
        <v>802</v>
      </c>
      <c r="L14795">
        <v>23.94</v>
      </c>
    </row>
    <row r="14796" spans="1:12" x14ac:dyDescent="0.25">
      <c r="A14796" t="str">
        <f t="shared" si="2647"/>
        <v>89301000</v>
      </c>
      <c r="B14796" t="str">
        <f t="shared" si="2649"/>
        <v>89670000</v>
      </c>
      <c r="C14796" t="str">
        <f t="shared" si="2650"/>
        <v>89670001</v>
      </c>
      <c r="D14796">
        <v>89301522</v>
      </c>
      <c r="E14796" t="str">
        <f>"7661094463"</f>
        <v>7661094463</v>
      </c>
      <c r="F14796" s="1">
        <v>45260</v>
      </c>
      <c r="G14796" t="str">
        <f>"82087"</f>
        <v>82087</v>
      </c>
      <c r="H14796">
        <v>2</v>
      </c>
      <c r="I14796">
        <v>106</v>
      </c>
      <c r="J14796">
        <v>0</v>
      </c>
      <c r="K14796" t="str">
        <f t="shared" si="2648"/>
        <v>802</v>
      </c>
      <c r="L14796">
        <v>102.82</v>
      </c>
    </row>
    <row r="14797" spans="1:12" x14ac:dyDescent="0.25">
      <c r="A14797" t="str">
        <f t="shared" si="2647"/>
        <v>89301000</v>
      </c>
      <c r="B14797" t="str">
        <f t="shared" si="2649"/>
        <v>89670000</v>
      </c>
      <c r="C14797" t="str">
        <f t="shared" si="2650"/>
        <v>89670001</v>
      </c>
      <c r="D14797">
        <v>89301336</v>
      </c>
      <c r="E14797" t="str">
        <f>"1059261027"</f>
        <v>1059261027</v>
      </c>
      <c r="F14797" s="1">
        <v>45250</v>
      </c>
      <c r="G14797" t="str">
        <f>"97111"</f>
        <v>97111</v>
      </c>
      <c r="H14797">
        <v>1</v>
      </c>
      <c r="I14797">
        <v>19</v>
      </c>
      <c r="J14797">
        <v>0</v>
      </c>
      <c r="K14797" t="str">
        <f t="shared" si="2648"/>
        <v>802</v>
      </c>
      <c r="L14797">
        <v>23.94</v>
      </c>
    </row>
    <row r="14798" spans="1:12" x14ac:dyDescent="0.25">
      <c r="A14798" t="str">
        <f t="shared" si="2647"/>
        <v>89301000</v>
      </c>
      <c r="B14798" t="str">
        <f t="shared" si="2649"/>
        <v>89670000</v>
      </c>
      <c r="C14798" t="str">
        <f t="shared" si="2650"/>
        <v>89670001</v>
      </c>
      <c r="D14798">
        <v>89301336</v>
      </c>
      <c r="E14798" t="str">
        <f>"1059261027"</f>
        <v>1059261027</v>
      </c>
      <c r="F14798" s="1">
        <v>45251</v>
      </c>
      <c r="G14798" t="str">
        <f>"82097"</f>
        <v>82097</v>
      </c>
      <c r="H14798">
        <v>1</v>
      </c>
      <c r="I14798">
        <v>381</v>
      </c>
      <c r="J14798">
        <v>0</v>
      </c>
      <c r="K14798" t="str">
        <f t="shared" si="2648"/>
        <v>802</v>
      </c>
      <c r="L14798">
        <v>369.57</v>
      </c>
    </row>
    <row r="14799" spans="1:12" x14ac:dyDescent="0.25">
      <c r="A14799" t="str">
        <f t="shared" si="2647"/>
        <v>89301000</v>
      </c>
      <c r="B14799" t="str">
        <f t="shared" si="2649"/>
        <v>89670000</v>
      </c>
      <c r="C14799" t="str">
        <f t="shared" si="2650"/>
        <v>89670001</v>
      </c>
      <c r="D14799">
        <v>89301336</v>
      </c>
      <c r="E14799" t="str">
        <f>"1059261027"</f>
        <v>1059261027</v>
      </c>
      <c r="F14799" s="1">
        <v>45251</v>
      </c>
      <c r="G14799" t="str">
        <f>"82097"</f>
        <v>82097</v>
      </c>
      <c r="H14799">
        <v>1</v>
      </c>
      <c r="I14799">
        <v>381</v>
      </c>
      <c r="J14799">
        <v>0</v>
      </c>
      <c r="K14799" t="str">
        <f t="shared" si="2648"/>
        <v>802</v>
      </c>
      <c r="L14799">
        <v>369.57</v>
      </c>
    </row>
    <row r="14800" spans="1:12" x14ac:dyDescent="0.25">
      <c r="A14800" t="str">
        <f t="shared" si="2647"/>
        <v>89301000</v>
      </c>
      <c r="B14800" t="str">
        <f t="shared" si="2649"/>
        <v>89670000</v>
      </c>
      <c r="C14800" t="str">
        <f t="shared" si="2650"/>
        <v>89670001</v>
      </c>
      <c r="D14800">
        <v>89301336</v>
      </c>
      <c r="E14800" t="str">
        <f>"1059261027"</f>
        <v>1059261027</v>
      </c>
      <c r="F14800" s="1">
        <v>45251</v>
      </c>
      <c r="G14800" t="str">
        <f>"91399"</f>
        <v>91399</v>
      </c>
      <c r="H14800">
        <v>2</v>
      </c>
      <c r="I14800">
        <v>4760</v>
      </c>
      <c r="J14800">
        <v>0</v>
      </c>
      <c r="K14800" t="str">
        <f t="shared" si="2648"/>
        <v>802</v>
      </c>
      <c r="L14800">
        <v>4617.2</v>
      </c>
    </row>
    <row r="14801" spans="1:12" x14ac:dyDescent="0.25">
      <c r="A14801" t="str">
        <f t="shared" si="2647"/>
        <v>89301000</v>
      </c>
      <c r="B14801" t="str">
        <f>"90001000"</f>
        <v>90001000</v>
      </c>
      <c r="C14801" t="str">
        <f>"90001525"</f>
        <v>90001525</v>
      </c>
      <c r="D14801">
        <v>89301212</v>
      </c>
      <c r="E14801" t="str">
        <f>"5407211051"</f>
        <v>5407211051</v>
      </c>
      <c r="F14801" s="1">
        <v>45245</v>
      </c>
      <c r="G14801" t="str">
        <f>"89611"</f>
        <v>89611</v>
      </c>
      <c r="H14801">
        <v>2</v>
      </c>
      <c r="I14801">
        <v>4524</v>
      </c>
      <c r="J14801">
        <v>0</v>
      </c>
      <c r="K14801" t="str">
        <f>"809"</f>
        <v>809</v>
      </c>
      <c r="L14801">
        <v>2940.6</v>
      </c>
    </row>
    <row r="14802" spans="1:12" x14ac:dyDescent="0.25">
      <c r="A14802" t="str">
        <f t="shared" si="2647"/>
        <v>89301000</v>
      </c>
      <c r="B14802" t="str">
        <f>"90001000"</f>
        <v>90001000</v>
      </c>
      <c r="C14802" t="str">
        <f>"90001525"</f>
        <v>90001525</v>
      </c>
      <c r="D14802">
        <v>89301212</v>
      </c>
      <c r="E14802" t="str">
        <f>"5407211051"</f>
        <v>5407211051</v>
      </c>
      <c r="F14802" s="1">
        <v>45245</v>
      </c>
      <c r="G14802" t="str">
        <f>"0137481"</f>
        <v>0137481</v>
      </c>
      <c r="H14802">
        <v>0.2</v>
      </c>
      <c r="J14802">
        <v>879.39</v>
      </c>
      <c r="K14802" t="str">
        <f>"809"</f>
        <v>809</v>
      </c>
      <c r="L14802">
        <v>879.39</v>
      </c>
    </row>
    <row r="14803" spans="1:12" x14ac:dyDescent="0.25">
      <c r="A14803" t="str">
        <f t="shared" si="2647"/>
        <v>89301000</v>
      </c>
      <c r="B14803" t="str">
        <f>"05002000"</f>
        <v>05002000</v>
      </c>
      <c r="C14803" t="str">
        <f>"05002397"</f>
        <v>05002397</v>
      </c>
      <c r="D14803">
        <v>89301109</v>
      </c>
      <c r="E14803" t="str">
        <f>"2109170943"</f>
        <v>2109170943</v>
      </c>
      <c r="F14803" s="1">
        <v>45250</v>
      </c>
      <c r="G14803" t="str">
        <f>"94225"</f>
        <v>94225</v>
      </c>
      <c r="H14803">
        <v>1</v>
      </c>
      <c r="I14803">
        <v>1208</v>
      </c>
      <c r="J14803">
        <v>0</v>
      </c>
      <c r="K14803" t="str">
        <f>"818"</f>
        <v>818</v>
      </c>
      <c r="L14803">
        <v>1171.76</v>
      </c>
    </row>
    <row r="14804" spans="1:12" x14ac:dyDescent="0.25">
      <c r="A14804" t="str">
        <f t="shared" si="2647"/>
        <v>89301000</v>
      </c>
      <c r="B14804" t="str">
        <f>"05002000"</f>
        <v>05002000</v>
      </c>
      <c r="C14804" t="str">
        <f>"05002397"</f>
        <v>05002397</v>
      </c>
      <c r="D14804">
        <v>89301109</v>
      </c>
      <c r="E14804" t="str">
        <f>"2109170943"</f>
        <v>2109170943</v>
      </c>
      <c r="F14804" s="1">
        <v>45250</v>
      </c>
      <c r="G14804" t="str">
        <f>"94337"</f>
        <v>94337</v>
      </c>
      <c r="H14804">
        <v>2</v>
      </c>
      <c r="I14804">
        <v>17998</v>
      </c>
      <c r="J14804">
        <v>0</v>
      </c>
      <c r="K14804" t="str">
        <f>"818"</f>
        <v>818</v>
      </c>
      <c r="L14804">
        <v>17458.060000000001</v>
      </c>
    </row>
    <row r="14805" spans="1:12" x14ac:dyDescent="0.25">
      <c r="A14805" t="str">
        <f t="shared" si="2647"/>
        <v>89301000</v>
      </c>
      <c r="B14805" t="str">
        <f>"05002000"</f>
        <v>05002000</v>
      </c>
      <c r="C14805" t="str">
        <f>"05002397"</f>
        <v>05002397</v>
      </c>
      <c r="D14805">
        <v>89301322</v>
      </c>
      <c r="E14805" t="str">
        <f>"6158040603"</f>
        <v>6158040603</v>
      </c>
      <c r="F14805" s="1">
        <v>45236</v>
      </c>
      <c r="G14805" t="str">
        <f>"94225"</f>
        <v>94225</v>
      </c>
      <c r="H14805">
        <v>1</v>
      </c>
      <c r="I14805">
        <v>1208</v>
      </c>
      <c r="J14805">
        <v>0</v>
      </c>
      <c r="K14805" t="str">
        <f>"818"</f>
        <v>818</v>
      </c>
      <c r="L14805">
        <v>1171.76</v>
      </c>
    </row>
    <row r="14806" spans="1:12" x14ac:dyDescent="0.25">
      <c r="A14806" t="str">
        <f t="shared" si="2647"/>
        <v>89301000</v>
      </c>
      <c r="B14806" t="str">
        <f>"05002000"</f>
        <v>05002000</v>
      </c>
      <c r="C14806" t="str">
        <f>"05002397"</f>
        <v>05002397</v>
      </c>
      <c r="D14806">
        <v>89301322</v>
      </c>
      <c r="E14806" t="str">
        <f>"6158040603"</f>
        <v>6158040603</v>
      </c>
      <c r="F14806" s="1">
        <v>45236</v>
      </c>
      <c r="G14806" t="str">
        <f>"94337"</f>
        <v>94337</v>
      </c>
      <c r="H14806">
        <v>2</v>
      </c>
      <c r="I14806">
        <v>17998</v>
      </c>
      <c r="J14806">
        <v>0</v>
      </c>
      <c r="K14806" t="str">
        <f>"818"</f>
        <v>818</v>
      </c>
      <c r="L14806">
        <v>17458.060000000001</v>
      </c>
    </row>
    <row r="14807" spans="1:12" x14ac:dyDescent="0.25">
      <c r="A14807" t="str">
        <f t="shared" si="2647"/>
        <v>89301000</v>
      </c>
      <c r="B14807" t="str">
        <f>"05002000"</f>
        <v>05002000</v>
      </c>
      <c r="C14807" t="str">
        <f>"05002174"</f>
        <v>05002174</v>
      </c>
      <c r="D14807">
        <v>89301172</v>
      </c>
      <c r="E14807" t="str">
        <f>"9205184593"</f>
        <v>9205184593</v>
      </c>
      <c r="F14807" s="1">
        <v>45210</v>
      </c>
      <c r="G14807" t="str">
        <f>"85115"</f>
        <v>85115</v>
      </c>
      <c r="H14807">
        <v>1</v>
      </c>
      <c r="I14807">
        <v>2450</v>
      </c>
      <c r="J14807">
        <v>0</v>
      </c>
      <c r="K14807" t="str">
        <f>"802"</f>
        <v>802</v>
      </c>
      <c r="L14807">
        <v>2376.5</v>
      </c>
    </row>
    <row r="14808" spans="1:12" x14ac:dyDescent="0.25">
      <c r="A14808" t="str">
        <f t="shared" si="2647"/>
        <v>89301000</v>
      </c>
      <c r="B14808" t="str">
        <f>"75002000"</f>
        <v>75002000</v>
      </c>
      <c r="C14808" t="str">
        <f>"75002810"</f>
        <v>75002810</v>
      </c>
      <c r="D14808">
        <v>89301172</v>
      </c>
      <c r="E14808" t="str">
        <f>"8058114262"</f>
        <v>8058114262</v>
      </c>
      <c r="F14808" s="1">
        <v>45232</v>
      </c>
      <c r="G14808" t="str">
        <f>"89713"</f>
        <v>89713</v>
      </c>
      <c r="H14808">
        <v>1</v>
      </c>
      <c r="I14808">
        <v>5411</v>
      </c>
      <c r="J14808">
        <v>0</v>
      </c>
      <c r="K14808" t="str">
        <f>"810"</f>
        <v>810</v>
      </c>
      <c r="L14808">
        <v>3517.15</v>
      </c>
    </row>
    <row r="14809" spans="1:12" x14ac:dyDescent="0.25">
      <c r="A14809" t="str">
        <f t="shared" si="2647"/>
        <v>89301000</v>
      </c>
      <c r="B14809" t="str">
        <f>"75002000"</f>
        <v>75002000</v>
      </c>
      <c r="C14809" t="str">
        <f>"75002810"</f>
        <v>75002810</v>
      </c>
      <c r="D14809">
        <v>89301172</v>
      </c>
      <c r="E14809" t="str">
        <f>"8058114262"</f>
        <v>8058114262</v>
      </c>
      <c r="F14809" s="1">
        <v>45232</v>
      </c>
      <c r="G14809" t="str">
        <f>"89725"</f>
        <v>89725</v>
      </c>
      <c r="H14809">
        <v>1</v>
      </c>
      <c r="I14809">
        <v>2863</v>
      </c>
      <c r="J14809">
        <v>0</v>
      </c>
      <c r="K14809" t="str">
        <f>"810"</f>
        <v>810</v>
      </c>
      <c r="L14809">
        <v>1860.95</v>
      </c>
    </row>
    <row r="14810" spans="1:12" x14ac:dyDescent="0.25">
      <c r="A14810" t="str">
        <f t="shared" si="2647"/>
        <v>89301000</v>
      </c>
      <c r="B14810" t="str">
        <f>"78915000"</f>
        <v>78915000</v>
      </c>
      <c r="C14810" t="str">
        <f>"78915001"</f>
        <v>78915001</v>
      </c>
      <c r="D14810">
        <v>89301215</v>
      </c>
      <c r="E14810" t="str">
        <f>"7756195326"</f>
        <v>7756195326</v>
      </c>
      <c r="F14810" s="1">
        <v>45224</v>
      </c>
      <c r="G14810" t="str">
        <f>"89715"</f>
        <v>89715</v>
      </c>
      <c r="H14810">
        <v>1</v>
      </c>
      <c r="I14810">
        <v>5523</v>
      </c>
      <c r="J14810">
        <v>0</v>
      </c>
      <c r="K14810" t="str">
        <f>"809"</f>
        <v>809</v>
      </c>
      <c r="L14810">
        <v>3589.95</v>
      </c>
    </row>
    <row r="14811" spans="1:12" x14ac:dyDescent="0.25">
      <c r="A14811" t="str">
        <f t="shared" si="2647"/>
        <v>89301000</v>
      </c>
      <c r="B14811" t="str">
        <f>"78915000"</f>
        <v>78915000</v>
      </c>
      <c r="C14811" t="str">
        <f>"78915001"</f>
        <v>78915001</v>
      </c>
      <c r="D14811">
        <v>89301215</v>
      </c>
      <c r="E14811" t="str">
        <f>"7756195326"</f>
        <v>7756195326</v>
      </c>
      <c r="F14811" s="1">
        <v>45224</v>
      </c>
      <c r="G14811" t="str">
        <f>"89725"</f>
        <v>89725</v>
      </c>
      <c r="H14811">
        <v>1</v>
      </c>
      <c r="I14811">
        <v>2863</v>
      </c>
      <c r="J14811">
        <v>0</v>
      </c>
      <c r="K14811" t="str">
        <f>"809"</f>
        <v>809</v>
      </c>
      <c r="L14811">
        <v>1860.95</v>
      </c>
    </row>
    <row r="14812" spans="1:12" x14ac:dyDescent="0.25">
      <c r="A14812" t="str">
        <f t="shared" si="2647"/>
        <v>89301000</v>
      </c>
      <c r="B14812" t="str">
        <f>"78915000"</f>
        <v>78915000</v>
      </c>
      <c r="C14812" t="str">
        <f>"78915001"</f>
        <v>78915001</v>
      </c>
      <c r="D14812">
        <v>89301215</v>
      </c>
      <c r="E14812" t="str">
        <f>"7756195326"</f>
        <v>7756195326</v>
      </c>
      <c r="F14812" s="1">
        <v>45224</v>
      </c>
      <c r="G14812" t="str">
        <f>"0207733"</f>
        <v>0207733</v>
      </c>
      <c r="H14812">
        <v>1.2</v>
      </c>
      <c r="J14812">
        <v>3108.64</v>
      </c>
      <c r="K14812" t="str">
        <f>"809"</f>
        <v>809</v>
      </c>
      <c r="L14812">
        <v>3108.64</v>
      </c>
    </row>
    <row r="14813" spans="1:12" x14ac:dyDescent="0.25">
      <c r="A14813" t="str">
        <f t="shared" si="2647"/>
        <v>89301000</v>
      </c>
      <c r="B14813" t="str">
        <f>"93641000"</f>
        <v>93641000</v>
      </c>
      <c r="C14813" t="str">
        <f>"93641001"</f>
        <v>93641001</v>
      </c>
      <c r="D14813">
        <v>89301212</v>
      </c>
      <c r="E14813" t="str">
        <f>"5753110099"</f>
        <v>5753110099</v>
      </c>
      <c r="F14813" s="1">
        <v>45279</v>
      </c>
      <c r="G14813" t="str">
        <f>"89312"</f>
        <v>89312</v>
      </c>
      <c r="H14813">
        <v>2</v>
      </c>
      <c r="I14813">
        <v>624</v>
      </c>
      <c r="J14813">
        <v>0</v>
      </c>
      <c r="K14813" t="str">
        <f>"809"</f>
        <v>809</v>
      </c>
      <c r="L14813">
        <v>680.16</v>
      </c>
    </row>
    <row r="14814" spans="1:12" x14ac:dyDescent="0.25">
      <c r="A14814" t="str">
        <f t="shared" si="2647"/>
        <v>89301000</v>
      </c>
      <c r="B14814" t="str">
        <f>"72077000"</f>
        <v>72077000</v>
      </c>
      <c r="C14814" t="str">
        <f>"72077001"</f>
        <v>72077001</v>
      </c>
      <c r="D14814">
        <v>89301152</v>
      </c>
      <c r="E14814" t="str">
        <f>"8356105340"</f>
        <v>8356105340</v>
      </c>
      <c r="F14814" s="1">
        <v>45161</v>
      </c>
      <c r="G14814" t="str">
        <f>"91359"</f>
        <v>91359</v>
      </c>
      <c r="H14814">
        <v>1</v>
      </c>
      <c r="I14814">
        <v>205</v>
      </c>
      <c r="J14814">
        <v>0</v>
      </c>
      <c r="K14814" t="str">
        <f>"813"</f>
        <v>813</v>
      </c>
      <c r="L14814">
        <v>172.2</v>
      </c>
    </row>
    <row r="14815" spans="1:12" x14ac:dyDescent="0.25">
      <c r="A14815" t="str">
        <f t="shared" si="2647"/>
        <v>89301000</v>
      </c>
      <c r="B14815" t="str">
        <f>"72077000"</f>
        <v>72077000</v>
      </c>
      <c r="C14815" t="str">
        <f>"72077001"</f>
        <v>72077001</v>
      </c>
      <c r="D14815">
        <v>89301152</v>
      </c>
      <c r="E14815" t="str">
        <f>"8356105340"</f>
        <v>8356105340</v>
      </c>
      <c r="F14815" s="1">
        <v>45161</v>
      </c>
      <c r="G14815" t="str">
        <f>"91361"</f>
        <v>91361</v>
      </c>
      <c r="H14815">
        <v>1</v>
      </c>
      <c r="I14815">
        <v>444</v>
      </c>
      <c r="J14815">
        <v>0</v>
      </c>
      <c r="K14815" t="str">
        <f>"813"</f>
        <v>813</v>
      </c>
      <c r="L14815">
        <v>372.96</v>
      </c>
    </row>
    <row r="14816" spans="1:12" x14ac:dyDescent="0.25">
      <c r="A14816" t="str">
        <f t="shared" si="2647"/>
        <v>89301000</v>
      </c>
      <c r="B14816" t="str">
        <f>"72077000"</f>
        <v>72077000</v>
      </c>
      <c r="C14816" t="str">
        <f>"72077001"</f>
        <v>72077001</v>
      </c>
      <c r="D14816">
        <v>89301152</v>
      </c>
      <c r="E14816" t="str">
        <f>"8356105340"</f>
        <v>8356105340</v>
      </c>
      <c r="F14816" s="1">
        <v>45162</v>
      </c>
      <c r="G14816" t="str">
        <f>"91171"</f>
        <v>91171</v>
      </c>
      <c r="H14816">
        <v>4</v>
      </c>
      <c r="I14816">
        <v>1448</v>
      </c>
      <c r="J14816">
        <v>0</v>
      </c>
      <c r="K14816" t="str">
        <f>"813"</f>
        <v>813</v>
      </c>
      <c r="L14816">
        <v>1216.32</v>
      </c>
    </row>
    <row r="14817" spans="1:12" x14ac:dyDescent="0.25">
      <c r="A14817" t="str">
        <f t="shared" si="2647"/>
        <v>89301000</v>
      </c>
      <c r="B14817" t="str">
        <f>"72077000"</f>
        <v>72077000</v>
      </c>
      <c r="C14817" t="str">
        <f>"72077002"</f>
        <v>72077002</v>
      </c>
      <c r="D14817">
        <v>89301152</v>
      </c>
      <c r="E14817" t="str">
        <f>"8356105340"</f>
        <v>8356105340</v>
      </c>
      <c r="F14817" s="1">
        <v>45160</v>
      </c>
      <c r="G14817" t="str">
        <f>"82097"</f>
        <v>82097</v>
      </c>
      <c r="H14817">
        <v>2</v>
      </c>
      <c r="I14817">
        <v>762</v>
      </c>
      <c r="J14817">
        <v>0</v>
      </c>
      <c r="K14817" t="str">
        <f>"802"</f>
        <v>802</v>
      </c>
      <c r="L14817">
        <v>739.14</v>
      </c>
    </row>
    <row r="14818" spans="1:12" x14ac:dyDescent="0.25">
      <c r="A14818" t="str">
        <f t="shared" si="2647"/>
        <v>89301000</v>
      </c>
      <c r="B14818" t="str">
        <f t="shared" ref="B14818:B14825" si="2651">"78610000"</f>
        <v>78610000</v>
      </c>
      <c r="C14818" t="str">
        <f t="shared" ref="C14818:C14825" si="2652">"78610001"</f>
        <v>78610001</v>
      </c>
      <c r="D14818">
        <v>89301322</v>
      </c>
      <c r="E14818" t="str">
        <f>"6554241188"</f>
        <v>6554241188</v>
      </c>
      <c r="F14818" s="1">
        <v>45273</v>
      </c>
      <c r="G14818" t="str">
        <f>"89513"</f>
        <v>89513</v>
      </c>
      <c r="H14818">
        <v>1</v>
      </c>
      <c r="I14818">
        <v>378</v>
      </c>
      <c r="J14818">
        <v>0</v>
      </c>
      <c r="K14818" t="str">
        <f t="shared" ref="K14818:K14849" si="2653">"809"</f>
        <v>809</v>
      </c>
      <c r="L14818">
        <v>555.66</v>
      </c>
    </row>
    <row r="14819" spans="1:12" x14ac:dyDescent="0.25">
      <c r="A14819" t="str">
        <f t="shared" si="2647"/>
        <v>89301000</v>
      </c>
      <c r="B14819" t="str">
        <f t="shared" si="2651"/>
        <v>78610000</v>
      </c>
      <c r="C14819" t="str">
        <f t="shared" si="2652"/>
        <v>78610001</v>
      </c>
      <c r="D14819">
        <v>89301322</v>
      </c>
      <c r="E14819" t="str">
        <f>"6554241188"</f>
        <v>6554241188</v>
      </c>
      <c r="F14819" s="1">
        <v>45273</v>
      </c>
      <c r="G14819" t="str">
        <f>"89514"</f>
        <v>89514</v>
      </c>
      <c r="H14819">
        <v>1</v>
      </c>
      <c r="I14819">
        <v>378</v>
      </c>
      <c r="J14819">
        <v>0</v>
      </c>
      <c r="K14819" t="str">
        <f t="shared" si="2653"/>
        <v>809</v>
      </c>
      <c r="L14819">
        <v>555.66</v>
      </c>
    </row>
    <row r="14820" spans="1:12" x14ac:dyDescent="0.25">
      <c r="A14820" t="str">
        <f t="shared" si="2647"/>
        <v>89301000</v>
      </c>
      <c r="B14820" t="str">
        <f t="shared" si="2651"/>
        <v>78610000</v>
      </c>
      <c r="C14820" t="str">
        <f t="shared" si="2652"/>
        <v>78610001</v>
      </c>
      <c r="D14820">
        <v>89301055</v>
      </c>
      <c r="E14820" t="str">
        <f>"480304257"</f>
        <v>480304257</v>
      </c>
      <c r="F14820" s="1">
        <v>45272</v>
      </c>
      <c r="G14820" t="str">
        <f t="shared" ref="G14820:G14825" si="2654">"89517"</f>
        <v>89517</v>
      </c>
      <c r="H14820">
        <v>1</v>
      </c>
      <c r="I14820">
        <v>994</v>
      </c>
      <c r="J14820">
        <v>0</v>
      </c>
      <c r="K14820" t="str">
        <f t="shared" si="2653"/>
        <v>809</v>
      </c>
      <c r="L14820">
        <v>1461.18</v>
      </c>
    </row>
    <row r="14821" spans="1:12" x14ac:dyDescent="0.25">
      <c r="A14821" t="str">
        <f t="shared" si="2647"/>
        <v>89301000</v>
      </c>
      <c r="B14821" t="str">
        <f t="shared" si="2651"/>
        <v>78610000</v>
      </c>
      <c r="C14821" t="str">
        <f t="shared" si="2652"/>
        <v>78610001</v>
      </c>
      <c r="D14821">
        <v>89301055</v>
      </c>
      <c r="E14821" t="str">
        <f>"495713147"</f>
        <v>495713147</v>
      </c>
      <c r="F14821" s="1">
        <v>45280</v>
      </c>
      <c r="G14821" t="str">
        <f t="shared" si="2654"/>
        <v>89517</v>
      </c>
      <c r="H14821">
        <v>1</v>
      </c>
      <c r="I14821">
        <v>994</v>
      </c>
      <c r="J14821">
        <v>0</v>
      </c>
      <c r="K14821" t="str">
        <f t="shared" si="2653"/>
        <v>809</v>
      </c>
      <c r="L14821">
        <v>1461.18</v>
      </c>
    </row>
    <row r="14822" spans="1:12" x14ac:dyDescent="0.25">
      <c r="A14822" t="str">
        <f t="shared" si="2647"/>
        <v>89301000</v>
      </c>
      <c r="B14822" t="str">
        <f t="shared" si="2651"/>
        <v>78610000</v>
      </c>
      <c r="C14822" t="str">
        <f t="shared" si="2652"/>
        <v>78610001</v>
      </c>
      <c r="D14822">
        <v>89301055</v>
      </c>
      <c r="E14822" t="str">
        <f>"5802152389"</f>
        <v>5802152389</v>
      </c>
      <c r="F14822" s="1">
        <v>45265</v>
      </c>
      <c r="G14822" t="str">
        <f t="shared" si="2654"/>
        <v>89517</v>
      </c>
      <c r="H14822">
        <v>1</v>
      </c>
      <c r="I14822">
        <v>994</v>
      </c>
      <c r="J14822">
        <v>0</v>
      </c>
      <c r="K14822" t="str">
        <f t="shared" si="2653"/>
        <v>809</v>
      </c>
      <c r="L14822">
        <v>1461.18</v>
      </c>
    </row>
    <row r="14823" spans="1:12" x14ac:dyDescent="0.25">
      <c r="A14823" t="str">
        <f t="shared" si="2647"/>
        <v>89301000</v>
      </c>
      <c r="B14823" t="str">
        <f t="shared" si="2651"/>
        <v>78610000</v>
      </c>
      <c r="C14823" t="str">
        <f t="shared" si="2652"/>
        <v>78610001</v>
      </c>
      <c r="D14823">
        <v>89301055</v>
      </c>
      <c r="E14823" t="str">
        <f>"6702250324"</f>
        <v>6702250324</v>
      </c>
      <c r="F14823" s="1">
        <v>45279</v>
      </c>
      <c r="G14823" t="str">
        <f t="shared" si="2654"/>
        <v>89517</v>
      </c>
      <c r="H14823">
        <v>1</v>
      </c>
      <c r="I14823">
        <v>994</v>
      </c>
      <c r="J14823">
        <v>0</v>
      </c>
      <c r="K14823" t="str">
        <f t="shared" si="2653"/>
        <v>809</v>
      </c>
      <c r="L14823">
        <v>1461.18</v>
      </c>
    </row>
    <row r="14824" spans="1:12" x14ac:dyDescent="0.25">
      <c r="A14824" t="str">
        <f t="shared" si="2647"/>
        <v>89301000</v>
      </c>
      <c r="B14824" t="str">
        <f t="shared" si="2651"/>
        <v>78610000</v>
      </c>
      <c r="C14824" t="str">
        <f t="shared" si="2652"/>
        <v>78610001</v>
      </c>
      <c r="D14824">
        <v>89301052</v>
      </c>
      <c r="E14824" t="str">
        <f>"6862051900"</f>
        <v>6862051900</v>
      </c>
      <c r="F14824" s="1">
        <v>45265</v>
      </c>
      <c r="G14824" t="str">
        <f t="shared" si="2654"/>
        <v>89517</v>
      </c>
      <c r="H14824">
        <v>1</v>
      </c>
      <c r="I14824">
        <v>994</v>
      </c>
      <c r="J14824">
        <v>0</v>
      </c>
      <c r="K14824" t="str">
        <f t="shared" si="2653"/>
        <v>809</v>
      </c>
      <c r="L14824">
        <v>1461.18</v>
      </c>
    </row>
    <row r="14825" spans="1:12" x14ac:dyDescent="0.25">
      <c r="A14825" t="str">
        <f t="shared" si="2647"/>
        <v>89301000</v>
      </c>
      <c r="B14825" t="str">
        <f t="shared" si="2651"/>
        <v>78610000</v>
      </c>
      <c r="C14825" t="str">
        <f t="shared" si="2652"/>
        <v>78610001</v>
      </c>
      <c r="D14825">
        <v>89301055</v>
      </c>
      <c r="E14825" t="str">
        <f>"7901055371"</f>
        <v>7901055371</v>
      </c>
      <c r="F14825" s="1">
        <v>45272</v>
      </c>
      <c r="G14825" t="str">
        <f t="shared" si="2654"/>
        <v>89517</v>
      </c>
      <c r="H14825">
        <v>1</v>
      </c>
      <c r="I14825">
        <v>994</v>
      </c>
      <c r="J14825">
        <v>0</v>
      </c>
      <c r="K14825" t="str">
        <f t="shared" si="2653"/>
        <v>809</v>
      </c>
      <c r="L14825">
        <v>1461.18</v>
      </c>
    </row>
    <row r="14826" spans="1:12" x14ac:dyDescent="0.25">
      <c r="A14826" t="str">
        <f t="shared" si="2647"/>
        <v>89301000</v>
      </c>
      <c r="B14826" t="str">
        <f>"95498000"</f>
        <v>95498000</v>
      </c>
      <c r="C14826" t="str">
        <f>"95498001"</f>
        <v>95498001</v>
      </c>
      <c r="D14826">
        <v>89301042</v>
      </c>
      <c r="E14826" t="str">
        <f>"5405131369"</f>
        <v>5405131369</v>
      </c>
      <c r="F14826" s="1">
        <v>45267</v>
      </c>
      <c r="G14826" t="str">
        <f>"89131"</f>
        <v>89131</v>
      </c>
      <c r="H14826">
        <v>1</v>
      </c>
      <c r="I14826">
        <v>190</v>
      </c>
      <c r="J14826">
        <v>0</v>
      </c>
      <c r="K14826" t="str">
        <f t="shared" si="2653"/>
        <v>809</v>
      </c>
      <c r="L14826">
        <v>279.3</v>
      </c>
    </row>
    <row r="14827" spans="1:12" x14ac:dyDescent="0.25">
      <c r="A14827" t="str">
        <f t="shared" si="2647"/>
        <v>89301000</v>
      </c>
      <c r="B14827" t="str">
        <f t="shared" ref="B14827:B14858" si="2655">"78915000"</f>
        <v>78915000</v>
      </c>
      <c r="C14827" t="str">
        <f t="shared" ref="C14827:C14858" si="2656">"78915001"</f>
        <v>78915001</v>
      </c>
      <c r="D14827">
        <v>89301062</v>
      </c>
      <c r="E14827" t="str">
        <f>"7857083377"</f>
        <v>7857083377</v>
      </c>
      <c r="F14827" s="1">
        <v>45253</v>
      </c>
      <c r="G14827" t="str">
        <f>"89713"</f>
        <v>89713</v>
      </c>
      <c r="H14827">
        <v>1</v>
      </c>
      <c r="I14827">
        <v>5411</v>
      </c>
      <c r="J14827">
        <v>0</v>
      </c>
      <c r="K14827" t="str">
        <f t="shared" si="2653"/>
        <v>809</v>
      </c>
      <c r="L14827">
        <v>3517.15</v>
      </c>
    </row>
    <row r="14828" spans="1:12" x14ac:dyDescent="0.25">
      <c r="A14828" t="str">
        <f t="shared" si="2647"/>
        <v>89301000</v>
      </c>
      <c r="B14828" t="str">
        <f t="shared" si="2655"/>
        <v>78915000</v>
      </c>
      <c r="C14828" t="str">
        <f t="shared" si="2656"/>
        <v>78915001</v>
      </c>
      <c r="D14828">
        <v>89301062</v>
      </c>
      <c r="E14828" t="str">
        <f>"7857083377"</f>
        <v>7857083377</v>
      </c>
      <c r="F14828" s="1">
        <v>45253</v>
      </c>
      <c r="G14828" t="str">
        <f>"89725"</f>
        <v>89725</v>
      </c>
      <c r="H14828">
        <v>1</v>
      </c>
      <c r="I14828">
        <v>2863</v>
      </c>
      <c r="J14828">
        <v>0</v>
      </c>
      <c r="K14828" t="str">
        <f t="shared" si="2653"/>
        <v>809</v>
      </c>
      <c r="L14828">
        <v>1860.95</v>
      </c>
    </row>
    <row r="14829" spans="1:12" x14ac:dyDescent="0.25">
      <c r="A14829" t="str">
        <f t="shared" si="2647"/>
        <v>89301000</v>
      </c>
      <c r="B14829" t="str">
        <f t="shared" si="2655"/>
        <v>78915000</v>
      </c>
      <c r="C14829" t="str">
        <f t="shared" si="2656"/>
        <v>78915001</v>
      </c>
      <c r="D14829">
        <v>89301112</v>
      </c>
      <c r="E14829" t="str">
        <f>"8003205309"</f>
        <v>8003205309</v>
      </c>
      <c r="F14829" s="1">
        <v>45255</v>
      </c>
      <c r="G14829" t="str">
        <f>"09569"</f>
        <v>09569</v>
      </c>
      <c r="H14829">
        <v>1</v>
      </c>
      <c r="I14829">
        <v>0</v>
      </c>
      <c r="J14829">
        <v>0</v>
      </c>
      <c r="K14829" t="str">
        <f t="shared" si="2653"/>
        <v>809</v>
      </c>
      <c r="L14829">
        <v>0</v>
      </c>
    </row>
    <row r="14830" spans="1:12" x14ac:dyDescent="0.25">
      <c r="A14830" t="str">
        <f t="shared" si="2647"/>
        <v>89301000</v>
      </c>
      <c r="B14830" t="str">
        <f t="shared" si="2655"/>
        <v>78915000</v>
      </c>
      <c r="C14830" t="str">
        <f t="shared" si="2656"/>
        <v>78915001</v>
      </c>
      <c r="D14830">
        <v>89301112</v>
      </c>
      <c r="E14830" t="str">
        <f>"8003205309"</f>
        <v>8003205309</v>
      </c>
      <c r="F14830" s="1">
        <v>45255</v>
      </c>
      <c r="G14830" t="str">
        <f>"89713"</f>
        <v>89713</v>
      </c>
      <c r="H14830">
        <v>1</v>
      </c>
      <c r="I14830">
        <v>5411</v>
      </c>
      <c r="J14830">
        <v>0</v>
      </c>
      <c r="K14830" t="str">
        <f t="shared" si="2653"/>
        <v>809</v>
      </c>
      <c r="L14830">
        <v>3517.15</v>
      </c>
    </row>
    <row r="14831" spans="1:12" x14ac:dyDescent="0.25">
      <c r="A14831" t="str">
        <f t="shared" si="2647"/>
        <v>89301000</v>
      </c>
      <c r="B14831" t="str">
        <f t="shared" si="2655"/>
        <v>78915000</v>
      </c>
      <c r="C14831" t="str">
        <f t="shared" si="2656"/>
        <v>78915001</v>
      </c>
      <c r="D14831">
        <v>89301312</v>
      </c>
      <c r="E14831" t="str">
        <f>"0754225307"</f>
        <v>0754225307</v>
      </c>
      <c r="F14831" s="1">
        <v>45261</v>
      </c>
      <c r="G14831" t="str">
        <f>"09569"</f>
        <v>09569</v>
      </c>
      <c r="H14831">
        <v>1</v>
      </c>
      <c r="I14831">
        <v>0</v>
      </c>
      <c r="J14831">
        <v>0</v>
      </c>
      <c r="K14831" t="str">
        <f t="shared" si="2653"/>
        <v>809</v>
      </c>
      <c r="L14831">
        <v>0</v>
      </c>
    </row>
    <row r="14832" spans="1:12" x14ac:dyDescent="0.25">
      <c r="A14832" t="str">
        <f t="shared" si="2647"/>
        <v>89301000</v>
      </c>
      <c r="B14832" t="str">
        <f t="shared" si="2655"/>
        <v>78915000</v>
      </c>
      <c r="C14832" t="str">
        <f t="shared" si="2656"/>
        <v>78915001</v>
      </c>
      <c r="D14832">
        <v>89301312</v>
      </c>
      <c r="E14832" t="str">
        <f>"0754225307"</f>
        <v>0754225307</v>
      </c>
      <c r="F14832" s="1">
        <v>45261</v>
      </c>
      <c r="G14832" t="str">
        <f>"89713"</f>
        <v>89713</v>
      </c>
      <c r="H14832">
        <v>1</v>
      </c>
      <c r="I14832">
        <v>5411</v>
      </c>
      <c r="J14832">
        <v>0</v>
      </c>
      <c r="K14832" t="str">
        <f t="shared" si="2653"/>
        <v>809</v>
      </c>
      <c r="L14832">
        <v>3517.15</v>
      </c>
    </row>
    <row r="14833" spans="1:12" x14ac:dyDescent="0.25">
      <c r="A14833" t="str">
        <f t="shared" si="2647"/>
        <v>89301000</v>
      </c>
      <c r="B14833" t="str">
        <f t="shared" si="2655"/>
        <v>78915000</v>
      </c>
      <c r="C14833" t="str">
        <f t="shared" si="2656"/>
        <v>78915001</v>
      </c>
      <c r="D14833">
        <v>89301312</v>
      </c>
      <c r="E14833" t="str">
        <f>"1156230163"</f>
        <v>1156230163</v>
      </c>
      <c r="F14833" s="1">
        <v>45264</v>
      </c>
      <c r="G14833" t="str">
        <f>"09569"</f>
        <v>09569</v>
      </c>
      <c r="H14833">
        <v>1</v>
      </c>
      <c r="I14833">
        <v>0</v>
      </c>
      <c r="J14833">
        <v>0</v>
      </c>
      <c r="K14833" t="str">
        <f t="shared" si="2653"/>
        <v>809</v>
      </c>
      <c r="L14833">
        <v>0</v>
      </c>
    </row>
    <row r="14834" spans="1:12" x14ac:dyDescent="0.25">
      <c r="A14834" t="str">
        <f t="shared" si="2647"/>
        <v>89301000</v>
      </c>
      <c r="B14834" t="str">
        <f t="shared" si="2655"/>
        <v>78915000</v>
      </c>
      <c r="C14834" t="str">
        <f t="shared" si="2656"/>
        <v>78915001</v>
      </c>
      <c r="D14834">
        <v>89301312</v>
      </c>
      <c r="E14834" t="str">
        <f>"1156230163"</f>
        <v>1156230163</v>
      </c>
      <c r="F14834" s="1">
        <v>45264</v>
      </c>
      <c r="G14834" t="str">
        <f>"89713"</f>
        <v>89713</v>
      </c>
      <c r="H14834">
        <v>1</v>
      </c>
      <c r="I14834">
        <v>5411</v>
      </c>
      <c r="J14834">
        <v>0</v>
      </c>
      <c r="K14834" t="str">
        <f t="shared" si="2653"/>
        <v>809</v>
      </c>
      <c r="L14834">
        <v>3517.15</v>
      </c>
    </row>
    <row r="14835" spans="1:12" x14ac:dyDescent="0.25">
      <c r="A14835" t="str">
        <f t="shared" si="2647"/>
        <v>89301000</v>
      </c>
      <c r="B14835" t="str">
        <f t="shared" si="2655"/>
        <v>78915000</v>
      </c>
      <c r="C14835" t="str">
        <f t="shared" si="2656"/>
        <v>78915001</v>
      </c>
      <c r="D14835">
        <v>89301062</v>
      </c>
      <c r="E14835" t="str">
        <f>"440224436"</f>
        <v>440224436</v>
      </c>
      <c r="F14835" s="1">
        <v>45279</v>
      </c>
      <c r="G14835" t="str">
        <f>"89713"</f>
        <v>89713</v>
      </c>
      <c r="H14835">
        <v>1</v>
      </c>
      <c r="I14835">
        <v>5411</v>
      </c>
      <c r="J14835">
        <v>0</v>
      </c>
      <c r="K14835" t="str">
        <f t="shared" si="2653"/>
        <v>809</v>
      </c>
      <c r="L14835">
        <v>3517.15</v>
      </c>
    </row>
    <row r="14836" spans="1:12" x14ac:dyDescent="0.25">
      <c r="A14836" t="str">
        <f t="shared" si="2647"/>
        <v>89301000</v>
      </c>
      <c r="B14836" t="str">
        <f t="shared" si="2655"/>
        <v>78915000</v>
      </c>
      <c r="C14836" t="str">
        <f t="shared" si="2656"/>
        <v>78915001</v>
      </c>
      <c r="D14836">
        <v>89301062</v>
      </c>
      <c r="E14836" t="str">
        <f>"440224436"</f>
        <v>440224436</v>
      </c>
      <c r="F14836" s="1">
        <v>45279</v>
      </c>
      <c r="G14836" t="str">
        <f>"89725"</f>
        <v>89725</v>
      </c>
      <c r="H14836">
        <v>1</v>
      </c>
      <c r="I14836">
        <v>2863</v>
      </c>
      <c r="J14836">
        <v>0</v>
      </c>
      <c r="K14836" t="str">
        <f t="shared" si="2653"/>
        <v>809</v>
      </c>
      <c r="L14836">
        <v>1860.95</v>
      </c>
    </row>
    <row r="14837" spans="1:12" x14ac:dyDescent="0.25">
      <c r="A14837" t="str">
        <f t="shared" si="2647"/>
        <v>89301000</v>
      </c>
      <c r="B14837" t="str">
        <f t="shared" si="2655"/>
        <v>78915000</v>
      </c>
      <c r="C14837" t="str">
        <f t="shared" si="2656"/>
        <v>78915001</v>
      </c>
      <c r="D14837">
        <v>89301062</v>
      </c>
      <c r="E14837" t="str">
        <f>"486205419"</f>
        <v>486205419</v>
      </c>
      <c r="F14837" s="1">
        <v>45275</v>
      </c>
      <c r="G14837" t="str">
        <f>"89713"</f>
        <v>89713</v>
      </c>
      <c r="H14837">
        <v>1</v>
      </c>
      <c r="I14837">
        <v>5411</v>
      </c>
      <c r="J14837">
        <v>0</v>
      </c>
      <c r="K14837" t="str">
        <f t="shared" si="2653"/>
        <v>809</v>
      </c>
      <c r="L14837">
        <v>3517.15</v>
      </c>
    </row>
    <row r="14838" spans="1:12" x14ac:dyDescent="0.25">
      <c r="A14838" t="str">
        <f t="shared" si="2647"/>
        <v>89301000</v>
      </c>
      <c r="B14838" t="str">
        <f t="shared" si="2655"/>
        <v>78915000</v>
      </c>
      <c r="C14838" t="str">
        <f t="shared" si="2656"/>
        <v>78915001</v>
      </c>
      <c r="D14838">
        <v>89301062</v>
      </c>
      <c r="E14838" t="str">
        <f>"486205419"</f>
        <v>486205419</v>
      </c>
      <c r="F14838" s="1">
        <v>45275</v>
      </c>
      <c r="G14838" t="str">
        <f>"89725"</f>
        <v>89725</v>
      </c>
      <c r="H14838">
        <v>1</v>
      </c>
      <c r="I14838">
        <v>2863</v>
      </c>
      <c r="J14838">
        <v>0</v>
      </c>
      <c r="K14838" t="str">
        <f t="shared" si="2653"/>
        <v>809</v>
      </c>
      <c r="L14838">
        <v>1860.95</v>
      </c>
    </row>
    <row r="14839" spans="1:12" x14ac:dyDescent="0.25">
      <c r="A14839" t="str">
        <f t="shared" si="2647"/>
        <v>89301000</v>
      </c>
      <c r="B14839" t="str">
        <f t="shared" si="2655"/>
        <v>78915000</v>
      </c>
      <c r="C14839" t="str">
        <f t="shared" si="2656"/>
        <v>78915001</v>
      </c>
      <c r="D14839">
        <v>89301062</v>
      </c>
      <c r="E14839" t="str">
        <f>"531108216"</f>
        <v>531108216</v>
      </c>
      <c r="F14839" s="1">
        <v>45281</v>
      </c>
      <c r="G14839" t="str">
        <f>"89713"</f>
        <v>89713</v>
      </c>
      <c r="H14839">
        <v>1</v>
      </c>
      <c r="I14839">
        <v>5411</v>
      </c>
      <c r="J14839">
        <v>0</v>
      </c>
      <c r="K14839" t="str">
        <f t="shared" si="2653"/>
        <v>809</v>
      </c>
      <c r="L14839">
        <v>3517.15</v>
      </c>
    </row>
    <row r="14840" spans="1:12" x14ac:dyDescent="0.25">
      <c r="A14840" t="str">
        <f t="shared" si="2647"/>
        <v>89301000</v>
      </c>
      <c r="B14840" t="str">
        <f t="shared" si="2655"/>
        <v>78915000</v>
      </c>
      <c r="C14840" t="str">
        <f t="shared" si="2656"/>
        <v>78915001</v>
      </c>
      <c r="D14840">
        <v>89301172</v>
      </c>
      <c r="E14840" t="str">
        <f>"5603202297"</f>
        <v>5603202297</v>
      </c>
      <c r="F14840" s="1">
        <v>45278</v>
      </c>
      <c r="G14840" t="str">
        <f>"89713"</f>
        <v>89713</v>
      </c>
      <c r="H14840">
        <v>1</v>
      </c>
      <c r="I14840">
        <v>5411</v>
      </c>
      <c r="J14840">
        <v>0</v>
      </c>
      <c r="K14840" t="str">
        <f t="shared" si="2653"/>
        <v>809</v>
      </c>
      <c r="L14840">
        <v>3517.15</v>
      </c>
    </row>
    <row r="14841" spans="1:12" x14ac:dyDescent="0.25">
      <c r="A14841" t="str">
        <f t="shared" si="2647"/>
        <v>89301000</v>
      </c>
      <c r="B14841" t="str">
        <f t="shared" si="2655"/>
        <v>78915000</v>
      </c>
      <c r="C14841" t="str">
        <f t="shared" si="2656"/>
        <v>78915001</v>
      </c>
      <c r="D14841">
        <v>89301172</v>
      </c>
      <c r="E14841" t="str">
        <f>"5603202297"</f>
        <v>5603202297</v>
      </c>
      <c r="F14841" s="1">
        <v>45278</v>
      </c>
      <c r="G14841" t="str">
        <f>"89725"</f>
        <v>89725</v>
      </c>
      <c r="H14841">
        <v>1</v>
      </c>
      <c r="I14841">
        <v>2863</v>
      </c>
      <c r="J14841">
        <v>0</v>
      </c>
      <c r="K14841" t="str">
        <f t="shared" si="2653"/>
        <v>809</v>
      </c>
      <c r="L14841">
        <v>1860.95</v>
      </c>
    </row>
    <row r="14842" spans="1:12" x14ac:dyDescent="0.25">
      <c r="A14842" t="str">
        <f t="shared" si="2647"/>
        <v>89301000</v>
      </c>
      <c r="B14842" t="str">
        <f t="shared" si="2655"/>
        <v>78915000</v>
      </c>
      <c r="C14842" t="str">
        <f t="shared" si="2656"/>
        <v>78915001</v>
      </c>
      <c r="D14842">
        <v>89301062</v>
      </c>
      <c r="E14842" t="str">
        <f>"5910310637"</f>
        <v>5910310637</v>
      </c>
      <c r="F14842" s="1">
        <v>45261</v>
      </c>
      <c r="G14842" t="str">
        <f>"09572"</f>
        <v>09572</v>
      </c>
      <c r="H14842">
        <v>1</v>
      </c>
      <c r="I14842">
        <v>0</v>
      </c>
      <c r="J14842">
        <v>0</v>
      </c>
      <c r="K14842" t="str">
        <f t="shared" si="2653"/>
        <v>809</v>
      </c>
      <c r="L14842">
        <v>0</v>
      </c>
    </row>
    <row r="14843" spans="1:12" x14ac:dyDescent="0.25">
      <c r="A14843" t="str">
        <f t="shared" si="2647"/>
        <v>89301000</v>
      </c>
      <c r="B14843" t="str">
        <f t="shared" si="2655"/>
        <v>78915000</v>
      </c>
      <c r="C14843" t="str">
        <f t="shared" si="2656"/>
        <v>78915001</v>
      </c>
      <c r="D14843">
        <v>89301062</v>
      </c>
      <c r="E14843" t="str">
        <f>"5910310637"</f>
        <v>5910310637</v>
      </c>
      <c r="F14843" s="1">
        <v>45261</v>
      </c>
      <c r="G14843" t="str">
        <f>"89713"</f>
        <v>89713</v>
      </c>
      <c r="H14843">
        <v>2</v>
      </c>
      <c r="I14843">
        <v>10822</v>
      </c>
      <c r="J14843">
        <v>0</v>
      </c>
      <c r="K14843" t="str">
        <f t="shared" si="2653"/>
        <v>809</v>
      </c>
      <c r="L14843">
        <v>7034.3</v>
      </c>
    </row>
    <row r="14844" spans="1:12" x14ac:dyDescent="0.25">
      <c r="A14844" t="str">
        <f t="shared" si="2647"/>
        <v>89301000</v>
      </c>
      <c r="B14844" t="str">
        <f t="shared" si="2655"/>
        <v>78915000</v>
      </c>
      <c r="C14844" t="str">
        <f t="shared" si="2656"/>
        <v>78915001</v>
      </c>
      <c r="D14844">
        <v>89301082</v>
      </c>
      <c r="E14844" t="str">
        <f>"6061261437"</f>
        <v>6061261437</v>
      </c>
      <c r="F14844" s="1">
        <v>45273</v>
      </c>
      <c r="G14844" t="str">
        <f>"89715"</f>
        <v>89715</v>
      </c>
      <c r="H14844">
        <v>1</v>
      </c>
      <c r="I14844">
        <v>5523</v>
      </c>
      <c r="J14844">
        <v>0</v>
      </c>
      <c r="K14844" t="str">
        <f t="shared" si="2653"/>
        <v>809</v>
      </c>
      <c r="L14844">
        <v>3589.95</v>
      </c>
    </row>
    <row r="14845" spans="1:12" x14ac:dyDescent="0.25">
      <c r="A14845" t="str">
        <f t="shared" si="2647"/>
        <v>89301000</v>
      </c>
      <c r="B14845" t="str">
        <f t="shared" si="2655"/>
        <v>78915000</v>
      </c>
      <c r="C14845" t="str">
        <f t="shared" si="2656"/>
        <v>78915001</v>
      </c>
      <c r="D14845">
        <v>89301082</v>
      </c>
      <c r="E14845" t="str">
        <f>"6061261437"</f>
        <v>6061261437</v>
      </c>
      <c r="F14845" s="1">
        <v>45273</v>
      </c>
      <c r="G14845" t="str">
        <f>"89725"</f>
        <v>89725</v>
      </c>
      <c r="H14845">
        <v>1</v>
      </c>
      <c r="I14845">
        <v>2863</v>
      </c>
      <c r="J14845">
        <v>0</v>
      </c>
      <c r="K14845" t="str">
        <f t="shared" si="2653"/>
        <v>809</v>
      </c>
      <c r="L14845">
        <v>1860.95</v>
      </c>
    </row>
    <row r="14846" spans="1:12" x14ac:dyDescent="0.25">
      <c r="A14846" t="str">
        <f t="shared" si="2647"/>
        <v>89301000</v>
      </c>
      <c r="B14846" t="str">
        <f t="shared" si="2655"/>
        <v>78915000</v>
      </c>
      <c r="C14846" t="str">
        <f t="shared" si="2656"/>
        <v>78915001</v>
      </c>
      <c r="D14846">
        <v>89301082</v>
      </c>
      <c r="E14846" t="str">
        <f>"6061261437"</f>
        <v>6061261437</v>
      </c>
      <c r="F14846" s="1">
        <v>45273</v>
      </c>
      <c r="G14846" t="str">
        <f>"0207733"</f>
        <v>0207733</v>
      </c>
      <c r="H14846">
        <v>1</v>
      </c>
      <c r="J14846">
        <v>2590.5300000000002</v>
      </c>
      <c r="K14846" t="str">
        <f t="shared" si="2653"/>
        <v>809</v>
      </c>
      <c r="L14846">
        <v>2590.5300000000002</v>
      </c>
    </row>
    <row r="14847" spans="1:12" x14ac:dyDescent="0.25">
      <c r="A14847" t="str">
        <f t="shared" si="2647"/>
        <v>89301000</v>
      </c>
      <c r="B14847" t="str">
        <f t="shared" si="2655"/>
        <v>78915000</v>
      </c>
      <c r="C14847" t="str">
        <f t="shared" si="2656"/>
        <v>78915001</v>
      </c>
      <c r="D14847">
        <v>89301112</v>
      </c>
      <c r="E14847" t="str">
        <f>"6161301344"</f>
        <v>6161301344</v>
      </c>
      <c r="F14847" s="1">
        <v>45276</v>
      </c>
      <c r="G14847" t="str">
        <f>"09569"</f>
        <v>09569</v>
      </c>
      <c r="H14847">
        <v>1</v>
      </c>
      <c r="I14847">
        <v>0</v>
      </c>
      <c r="J14847">
        <v>0</v>
      </c>
      <c r="K14847" t="str">
        <f t="shared" si="2653"/>
        <v>809</v>
      </c>
      <c r="L14847">
        <v>0</v>
      </c>
    </row>
    <row r="14848" spans="1:12" x14ac:dyDescent="0.25">
      <c r="A14848" t="str">
        <f t="shared" si="2647"/>
        <v>89301000</v>
      </c>
      <c r="B14848" t="str">
        <f t="shared" si="2655"/>
        <v>78915000</v>
      </c>
      <c r="C14848" t="str">
        <f t="shared" si="2656"/>
        <v>78915001</v>
      </c>
      <c r="D14848">
        <v>89301112</v>
      </c>
      <c r="E14848" t="str">
        <f>"6161301344"</f>
        <v>6161301344</v>
      </c>
      <c r="F14848" s="1">
        <v>45276</v>
      </c>
      <c r="G14848" t="str">
        <f>"89713"</f>
        <v>89713</v>
      </c>
      <c r="H14848">
        <v>1</v>
      </c>
      <c r="I14848">
        <v>5411</v>
      </c>
      <c r="J14848">
        <v>0</v>
      </c>
      <c r="K14848" t="str">
        <f t="shared" si="2653"/>
        <v>809</v>
      </c>
      <c r="L14848">
        <v>3517.15</v>
      </c>
    </row>
    <row r="14849" spans="1:12" x14ac:dyDescent="0.25">
      <c r="A14849" t="str">
        <f t="shared" si="2647"/>
        <v>89301000</v>
      </c>
      <c r="B14849" t="str">
        <f t="shared" si="2655"/>
        <v>78915000</v>
      </c>
      <c r="C14849" t="str">
        <f t="shared" si="2656"/>
        <v>78915001</v>
      </c>
      <c r="D14849">
        <v>89301074</v>
      </c>
      <c r="E14849" t="str">
        <f>"6505300296"</f>
        <v>6505300296</v>
      </c>
      <c r="F14849" s="1">
        <v>45266</v>
      </c>
      <c r="G14849" t="str">
        <f>"09572"</f>
        <v>09572</v>
      </c>
      <c r="H14849">
        <v>1</v>
      </c>
      <c r="I14849">
        <v>0</v>
      </c>
      <c r="J14849">
        <v>0</v>
      </c>
      <c r="K14849" t="str">
        <f t="shared" si="2653"/>
        <v>809</v>
      </c>
      <c r="L14849">
        <v>0</v>
      </c>
    </row>
    <row r="14850" spans="1:12" x14ac:dyDescent="0.25">
      <c r="A14850" t="str">
        <f t="shared" ref="A14850:A14913" si="2657">"89301000"</f>
        <v>89301000</v>
      </c>
      <c r="B14850" t="str">
        <f t="shared" si="2655"/>
        <v>78915000</v>
      </c>
      <c r="C14850" t="str">
        <f t="shared" si="2656"/>
        <v>78915001</v>
      </c>
      <c r="D14850">
        <v>89301074</v>
      </c>
      <c r="E14850" t="str">
        <f>"6505300296"</f>
        <v>6505300296</v>
      </c>
      <c r="F14850" s="1">
        <v>45266</v>
      </c>
      <c r="G14850" t="str">
        <f>"89713"</f>
        <v>89713</v>
      </c>
      <c r="H14850">
        <v>2</v>
      </c>
      <c r="I14850">
        <v>10822</v>
      </c>
      <c r="J14850">
        <v>0</v>
      </c>
      <c r="K14850" t="str">
        <f t="shared" ref="K14850:K14881" si="2658">"809"</f>
        <v>809</v>
      </c>
      <c r="L14850">
        <v>7034.3</v>
      </c>
    </row>
    <row r="14851" spans="1:12" x14ac:dyDescent="0.25">
      <c r="A14851" t="str">
        <f t="shared" si="2657"/>
        <v>89301000</v>
      </c>
      <c r="B14851" t="str">
        <f t="shared" si="2655"/>
        <v>78915000</v>
      </c>
      <c r="C14851" t="str">
        <f t="shared" si="2656"/>
        <v>78915001</v>
      </c>
      <c r="D14851">
        <v>89301062</v>
      </c>
      <c r="E14851" t="str">
        <f>"6712110482"</f>
        <v>6712110482</v>
      </c>
      <c r="F14851" s="1">
        <v>45281</v>
      </c>
      <c r="G14851" t="str">
        <f>"89713"</f>
        <v>89713</v>
      </c>
      <c r="H14851">
        <v>1</v>
      </c>
      <c r="I14851">
        <v>5411</v>
      </c>
      <c r="J14851">
        <v>0</v>
      </c>
      <c r="K14851" t="str">
        <f t="shared" si="2658"/>
        <v>809</v>
      </c>
      <c r="L14851">
        <v>3517.15</v>
      </c>
    </row>
    <row r="14852" spans="1:12" x14ac:dyDescent="0.25">
      <c r="A14852" t="str">
        <f t="shared" si="2657"/>
        <v>89301000</v>
      </c>
      <c r="B14852" t="str">
        <f t="shared" si="2655"/>
        <v>78915000</v>
      </c>
      <c r="C14852" t="str">
        <f t="shared" si="2656"/>
        <v>78915001</v>
      </c>
      <c r="D14852">
        <v>89301062</v>
      </c>
      <c r="E14852" t="str">
        <f>"6712110482"</f>
        <v>6712110482</v>
      </c>
      <c r="F14852" s="1">
        <v>45281</v>
      </c>
      <c r="G14852" t="str">
        <f>"89725"</f>
        <v>89725</v>
      </c>
      <c r="H14852">
        <v>1</v>
      </c>
      <c r="I14852">
        <v>2863</v>
      </c>
      <c r="J14852">
        <v>0</v>
      </c>
      <c r="K14852" t="str">
        <f t="shared" si="2658"/>
        <v>809</v>
      </c>
      <c r="L14852">
        <v>1860.95</v>
      </c>
    </row>
    <row r="14853" spans="1:12" x14ac:dyDescent="0.25">
      <c r="A14853" t="str">
        <f t="shared" si="2657"/>
        <v>89301000</v>
      </c>
      <c r="B14853" t="str">
        <f t="shared" si="2655"/>
        <v>78915000</v>
      </c>
      <c r="C14853" t="str">
        <f t="shared" si="2656"/>
        <v>78915001</v>
      </c>
      <c r="D14853">
        <v>89301262</v>
      </c>
      <c r="E14853" t="str">
        <f>"6760071670"</f>
        <v>6760071670</v>
      </c>
      <c r="F14853" s="1">
        <v>45281</v>
      </c>
      <c r="G14853" t="str">
        <f>"89713"</f>
        <v>89713</v>
      </c>
      <c r="H14853">
        <v>1</v>
      </c>
      <c r="I14853">
        <v>5411</v>
      </c>
      <c r="J14853">
        <v>0</v>
      </c>
      <c r="K14853" t="str">
        <f t="shared" si="2658"/>
        <v>809</v>
      </c>
      <c r="L14853">
        <v>3517.15</v>
      </c>
    </row>
    <row r="14854" spans="1:12" x14ac:dyDescent="0.25">
      <c r="A14854" t="str">
        <f t="shared" si="2657"/>
        <v>89301000</v>
      </c>
      <c r="B14854" t="str">
        <f t="shared" si="2655"/>
        <v>78915000</v>
      </c>
      <c r="C14854" t="str">
        <f t="shared" si="2656"/>
        <v>78915001</v>
      </c>
      <c r="D14854">
        <v>89301606</v>
      </c>
      <c r="E14854" t="str">
        <f>"6858021896"</f>
        <v>6858021896</v>
      </c>
      <c r="F14854" s="1">
        <v>45262</v>
      </c>
      <c r="G14854" t="str">
        <f>"89713"</f>
        <v>89713</v>
      </c>
      <c r="H14854">
        <v>1</v>
      </c>
      <c r="I14854">
        <v>5411</v>
      </c>
      <c r="J14854">
        <v>0</v>
      </c>
      <c r="K14854" t="str">
        <f t="shared" si="2658"/>
        <v>809</v>
      </c>
      <c r="L14854">
        <v>3517.15</v>
      </c>
    </row>
    <row r="14855" spans="1:12" x14ac:dyDescent="0.25">
      <c r="A14855" t="str">
        <f t="shared" si="2657"/>
        <v>89301000</v>
      </c>
      <c r="B14855" t="str">
        <f t="shared" si="2655"/>
        <v>78915000</v>
      </c>
      <c r="C14855" t="str">
        <f t="shared" si="2656"/>
        <v>78915001</v>
      </c>
      <c r="D14855">
        <v>89301606</v>
      </c>
      <c r="E14855" t="str">
        <f>"6858021896"</f>
        <v>6858021896</v>
      </c>
      <c r="F14855" s="1">
        <v>45262</v>
      </c>
      <c r="G14855" t="str">
        <f>"89725"</f>
        <v>89725</v>
      </c>
      <c r="H14855">
        <v>1</v>
      </c>
      <c r="I14855">
        <v>2863</v>
      </c>
      <c r="J14855">
        <v>0</v>
      </c>
      <c r="K14855" t="str">
        <f t="shared" si="2658"/>
        <v>809</v>
      </c>
      <c r="L14855">
        <v>1860.95</v>
      </c>
    </row>
    <row r="14856" spans="1:12" x14ac:dyDescent="0.25">
      <c r="A14856" t="str">
        <f t="shared" si="2657"/>
        <v>89301000</v>
      </c>
      <c r="B14856" t="str">
        <f t="shared" si="2655"/>
        <v>78915000</v>
      </c>
      <c r="C14856" t="str">
        <f t="shared" si="2656"/>
        <v>78915001</v>
      </c>
      <c r="D14856">
        <v>89301112</v>
      </c>
      <c r="E14856" t="str">
        <f>"7008084468"</f>
        <v>7008084468</v>
      </c>
      <c r="F14856" s="1">
        <v>45265</v>
      </c>
      <c r="G14856" t="str">
        <f>"89713"</f>
        <v>89713</v>
      </c>
      <c r="H14856">
        <v>1</v>
      </c>
      <c r="I14856">
        <v>5411</v>
      </c>
      <c r="J14856">
        <v>0</v>
      </c>
      <c r="K14856" t="str">
        <f t="shared" si="2658"/>
        <v>809</v>
      </c>
      <c r="L14856">
        <v>3517.15</v>
      </c>
    </row>
    <row r="14857" spans="1:12" x14ac:dyDescent="0.25">
      <c r="A14857" t="str">
        <f t="shared" si="2657"/>
        <v>89301000</v>
      </c>
      <c r="B14857" t="str">
        <f t="shared" si="2655"/>
        <v>78915000</v>
      </c>
      <c r="C14857" t="str">
        <f t="shared" si="2656"/>
        <v>78915001</v>
      </c>
      <c r="D14857">
        <v>89301112</v>
      </c>
      <c r="E14857" t="str">
        <f>"7008084468"</f>
        <v>7008084468</v>
      </c>
      <c r="F14857" s="1">
        <v>45265</v>
      </c>
      <c r="G14857" t="str">
        <f>"89725"</f>
        <v>89725</v>
      </c>
      <c r="H14857">
        <v>1</v>
      </c>
      <c r="I14857">
        <v>2863</v>
      </c>
      <c r="J14857">
        <v>0</v>
      </c>
      <c r="K14857" t="str">
        <f t="shared" si="2658"/>
        <v>809</v>
      </c>
      <c r="L14857">
        <v>1860.95</v>
      </c>
    </row>
    <row r="14858" spans="1:12" x14ac:dyDescent="0.25">
      <c r="A14858" t="str">
        <f t="shared" si="2657"/>
        <v>89301000</v>
      </c>
      <c r="B14858" t="str">
        <f t="shared" si="2655"/>
        <v>78915000</v>
      </c>
      <c r="C14858" t="str">
        <f t="shared" si="2656"/>
        <v>78915001</v>
      </c>
      <c r="D14858">
        <v>89301112</v>
      </c>
      <c r="E14858" t="str">
        <f>"7107085326"</f>
        <v>7107085326</v>
      </c>
      <c r="F14858" s="1">
        <v>45269</v>
      </c>
      <c r="G14858" t="str">
        <f>"09567"</f>
        <v>09567</v>
      </c>
      <c r="H14858">
        <v>1</v>
      </c>
      <c r="I14858">
        <v>0</v>
      </c>
      <c r="J14858">
        <v>0</v>
      </c>
      <c r="K14858" t="str">
        <f t="shared" si="2658"/>
        <v>809</v>
      </c>
      <c r="L14858">
        <v>0</v>
      </c>
    </row>
    <row r="14859" spans="1:12" x14ac:dyDescent="0.25">
      <c r="A14859" t="str">
        <f t="shared" si="2657"/>
        <v>89301000</v>
      </c>
      <c r="B14859" t="str">
        <f t="shared" ref="B14859:B14895" si="2659">"78915000"</f>
        <v>78915000</v>
      </c>
      <c r="C14859" t="str">
        <f t="shared" ref="C14859:C14895" si="2660">"78915001"</f>
        <v>78915001</v>
      </c>
      <c r="D14859">
        <v>89301112</v>
      </c>
      <c r="E14859" t="str">
        <f>"7107085326"</f>
        <v>7107085326</v>
      </c>
      <c r="F14859" s="1">
        <v>45269</v>
      </c>
      <c r="G14859" t="str">
        <f>"89713"</f>
        <v>89713</v>
      </c>
      <c r="H14859">
        <v>1</v>
      </c>
      <c r="I14859">
        <v>5411</v>
      </c>
      <c r="J14859">
        <v>0</v>
      </c>
      <c r="K14859" t="str">
        <f t="shared" si="2658"/>
        <v>809</v>
      </c>
      <c r="L14859">
        <v>3517.15</v>
      </c>
    </row>
    <row r="14860" spans="1:12" x14ac:dyDescent="0.25">
      <c r="A14860" t="str">
        <f t="shared" si="2657"/>
        <v>89301000</v>
      </c>
      <c r="B14860" t="str">
        <f t="shared" si="2659"/>
        <v>78915000</v>
      </c>
      <c r="C14860" t="str">
        <f t="shared" si="2660"/>
        <v>78915001</v>
      </c>
      <c r="D14860">
        <v>89301112</v>
      </c>
      <c r="E14860" t="str">
        <f>"7210105331"</f>
        <v>7210105331</v>
      </c>
      <c r="F14860" s="1">
        <v>45278</v>
      </c>
      <c r="G14860" t="str">
        <f>"09569"</f>
        <v>09569</v>
      </c>
      <c r="H14860">
        <v>1</v>
      </c>
      <c r="I14860">
        <v>0</v>
      </c>
      <c r="J14860">
        <v>0</v>
      </c>
      <c r="K14860" t="str">
        <f t="shared" si="2658"/>
        <v>809</v>
      </c>
      <c r="L14860">
        <v>0</v>
      </c>
    </row>
    <row r="14861" spans="1:12" x14ac:dyDescent="0.25">
      <c r="A14861" t="str">
        <f t="shared" si="2657"/>
        <v>89301000</v>
      </c>
      <c r="B14861" t="str">
        <f t="shared" si="2659"/>
        <v>78915000</v>
      </c>
      <c r="C14861" t="str">
        <f t="shared" si="2660"/>
        <v>78915001</v>
      </c>
      <c r="D14861">
        <v>89301112</v>
      </c>
      <c r="E14861" t="str">
        <f>"7210105331"</f>
        <v>7210105331</v>
      </c>
      <c r="F14861" s="1">
        <v>45278</v>
      </c>
      <c r="G14861" t="str">
        <f>"89713"</f>
        <v>89713</v>
      </c>
      <c r="H14861">
        <v>1</v>
      </c>
      <c r="I14861">
        <v>5411</v>
      </c>
      <c r="J14861">
        <v>0</v>
      </c>
      <c r="K14861" t="str">
        <f t="shared" si="2658"/>
        <v>809</v>
      </c>
      <c r="L14861">
        <v>3517.15</v>
      </c>
    </row>
    <row r="14862" spans="1:12" x14ac:dyDescent="0.25">
      <c r="A14862" t="str">
        <f t="shared" si="2657"/>
        <v>89301000</v>
      </c>
      <c r="B14862" t="str">
        <f t="shared" si="2659"/>
        <v>78915000</v>
      </c>
      <c r="C14862" t="str">
        <f t="shared" si="2660"/>
        <v>78915001</v>
      </c>
      <c r="D14862">
        <v>89301112</v>
      </c>
      <c r="E14862" t="str">
        <f>"7212317992"</f>
        <v>7212317992</v>
      </c>
      <c r="F14862" s="1">
        <v>45261</v>
      </c>
      <c r="G14862" t="str">
        <f>"09569"</f>
        <v>09569</v>
      </c>
      <c r="H14862">
        <v>1</v>
      </c>
      <c r="I14862">
        <v>0</v>
      </c>
      <c r="J14862">
        <v>0</v>
      </c>
      <c r="K14862" t="str">
        <f t="shared" si="2658"/>
        <v>809</v>
      </c>
      <c r="L14862">
        <v>0</v>
      </c>
    </row>
    <row r="14863" spans="1:12" x14ac:dyDescent="0.25">
      <c r="A14863" t="str">
        <f t="shared" si="2657"/>
        <v>89301000</v>
      </c>
      <c r="B14863" t="str">
        <f t="shared" si="2659"/>
        <v>78915000</v>
      </c>
      <c r="C14863" t="str">
        <f t="shared" si="2660"/>
        <v>78915001</v>
      </c>
      <c r="D14863">
        <v>89301112</v>
      </c>
      <c r="E14863" t="str">
        <f>"7212317992"</f>
        <v>7212317992</v>
      </c>
      <c r="F14863" s="1">
        <v>45261</v>
      </c>
      <c r="G14863" t="str">
        <f>"89713"</f>
        <v>89713</v>
      </c>
      <c r="H14863">
        <v>1</v>
      </c>
      <c r="I14863">
        <v>5411</v>
      </c>
      <c r="J14863">
        <v>0</v>
      </c>
      <c r="K14863" t="str">
        <f t="shared" si="2658"/>
        <v>809</v>
      </c>
      <c r="L14863">
        <v>3517.15</v>
      </c>
    </row>
    <row r="14864" spans="1:12" x14ac:dyDescent="0.25">
      <c r="A14864" t="str">
        <f t="shared" si="2657"/>
        <v>89301000</v>
      </c>
      <c r="B14864" t="str">
        <f t="shared" si="2659"/>
        <v>78915000</v>
      </c>
      <c r="C14864" t="str">
        <f t="shared" si="2660"/>
        <v>78915001</v>
      </c>
      <c r="D14864">
        <v>89301215</v>
      </c>
      <c r="E14864" t="str">
        <f>"7255304848"</f>
        <v>7255304848</v>
      </c>
      <c r="F14864" s="1">
        <v>45266</v>
      </c>
      <c r="G14864" t="str">
        <f>"89715"</f>
        <v>89715</v>
      </c>
      <c r="H14864">
        <v>1</v>
      </c>
      <c r="I14864">
        <v>5523</v>
      </c>
      <c r="J14864">
        <v>0</v>
      </c>
      <c r="K14864" t="str">
        <f t="shared" si="2658"/>
        <v>809</v>
      </c>
      <c r="L14864">
        <v>3589.95</v>
      </c>
    </row>
    <row r="14865" spans="1:12" x14ac:dyDescent="0.25">
      <c r="A14865" t="str">
        <f t="shared" si="2657"/>
        <v>89301000</v>
      </c>
      <c r="B14865" t="str">
        <f t="shared" si="2659"/>
        <v>78915000</v>
      </c>
      <c r="C14865" t="str">
        <f t="shared" si="2660"/>
        <v>78915001</v>
      </c>
      <c r="D14865">
        <v>89301215</v>
      </c>
      <c r="E14865" t="str">
        <f>"7255304848"</f>
        <v>7255304848</v>
      </c>
      <c r="F14865" s="1">
        <v>45266</v>
      </c>
      <c r="G14865" t="str">
        <f>"89725"</f>
        <v>89725</v>
      </c>
      <c r="H14865">
        <v>1</v>
      </c>
      <c r="I14865">
        <v>2863</v>
      </c>
      <c r="J14865">
        <v>0</v>
      </c>
      <c r="K14865" t="str">
        <f t="shared" si="2658"/>
        <v>809</v>
      </c>
      <c r="L14865">
        <v>1860.95</v>
      </c>
    </row>
    <row r="14866" spans="1:12" x14ac:dyDescent="0.25">
      <c r="A14866" t="str">
        <f t="shared" si="2657"/>
        <v>89301000</v>
      </c>
      <c r="B14866" t="str">
        <f t="shared" si="2659"/>
        <v>78915000</v>
      </c>
      <c r="C14866" t="str">
        <f t="shared" si="2660"/>
        <v>78915001</v>
      </c>
      <c r="D14866">
        <v>89301215</v>
      </c>
      <c r="E14866" t="str">
        <f>"7255304848"</f>
        <v>7255304848</v>
      </c>
      <c r="F14866" s="1">
        <v>45266</v>
      </c>
      <c r="G14866" t="str">
        <f>"0207733"</f>
        <v>0207733</v>
      </c>
      <c r="H14866">
        <v>1</v>
      </c>
      <c r="J14866">
        <v>2590.5300000000002</v>
      </c>
      <c r="K14866" t="str">
        <f t="shared" si="2658"/>
        <v>809</v>
      </c>
      <c r="L14866">
        <v>2590.5300000000002</v>
      </c>
    </row>
    <row r="14867" spans="1:12" x14ac:dyDescent="0.25">
      <c r="A14867" t="str">
        <f t="shared" si="2657"/>
        <v>89301000</v>
      </c>
      <c r="B14867" t="str">
        <f t="shared" si="2659"/>
        <v>78915000</v>
      </c>
      <c r="C14867" t="str">
        <f t="shared" si="2660"/>
        <v>78915001</v>
      </c>
      <c r="D14867">
        <v>89301312</v>
      </c>
      <c r="E14867" t="str">
        <f>"7310055390"</f>
        <v>7310055390</v>
      </c>
      <c r="F14867" s="1">
        <v>45261</v>
      </c>
      <c r="G14867" t="str">
        <f>"09567"</f>
        <v>09567</v>
      </c>
      <c r="H14867">
        <v>1</v>
      </c>
      <c r="I14867">
        <v>0</v>
      </c>
      <c r="J14867">
        <v>0</v>
      </c>
      <c r="K14867" t="str">
        <f t="shared" si="2658"/>
        <v>809</v>
      </c>
      <c r="L14867">
        <v>0</v>
      </c>
    </row>
    <row r="14868" spans="1:12" x14ac:dyDescent="0.25">
      <c r="A14868" t="str">
        <f t="shared" si="2657"/>
        <v>89301000</v>
      </c>
      <c r="B14868" t="str">
        <f t="shared" si="2659"/>
        <v>78915000</v>
      </c>
      <c r="C14868" t="str">
        <f t="shared" si="2660"/>
        <v>78915001</v>
      </c>
      <c r="D14868">
        <v>89301312</v>
      </c>
      <c r="E14868" t="str">
        <f>"7310055390"</f>
        <v>7310055390</v>
      </c>
      <c r="F14868" s="1">
        <v>45261</v>
      </c>
      <c r="G14868" t="str">
        <f>"89713"</f>
        <v>89713</v>
      </c>
      <c r="H14868">
        <v>1</v>
      </c>
      <c r="I14868">
        <v>5411</v>
      </c>
      <c r="J14868">
        <v>0</v>
      </c>
      <c r="K14868" t="str">
        <f t="shared" si="2658"/>
        <v>809</v>
      </c>
      <c r="L14868">
        <v>3517.15</v>
      </c>
    </row>
    <row r="14869" spans="1:12" x14ac:dyDescent="0.25">
      <c r="A14869" t="str">
        <f t="shared" si="2657"/>
        <v>89301000</v>
      </c>
      <c r="B14869" t="str">
        <f t="shared" si="2659"/>
        <v>78915000</v>
      </c>
      <c r="C14869" t="str">
        <f t="shared" si="2660"/>
        <v>78915001</v>
      </c>
      <c r="D14869">
        <v>89301062</v>
      </c>
      <c r="E14869" t="str">
        <f>"7362284171"</f>
        <v>7362284171</v>
      </c>
      <c r="F14869" s="1">
        <v>45290</v>
      </c>
      <c r="G14869" t="str">
        <f>"89713"</f>
        <v>89713</v>
      </c>
      <c r="H14869">
        <v>1</v>
      </c>
      <c r="I14869">
        <v>5411</v>
      </c>
      <c r="J14869">
        <v>0</v>
      </c>
      <c r="K14869" t="str">
        <f t="shared" si="2658"/>
        <v>809</v>
      </c>
      <c r="L14869">
        <v>3517.15</v>
      </c>
    </row>
    <row r="14870" spans="1:12" x14ac:dyDescent="0.25">
      <c r="A14870" t="str">
        <f t="shared" si="2657"/>
        <v>89301000</v>
      </c>
      <c r="B14870" t="str">
        <f t="shared" si="2659"/>
        <v>78915000</v>
      </c>
      <c r="C14870" t="str">
        <f t="shared" si="2660"/>
        <v>78915001</v>
      </c>
      <c r="D14870">
        <v>89301062</v>
      </c>
      <c r="E14870" t="str">
        <f>"7362284171"</f>
        <v>7362284171</v>
      </c>
      <c r="F14870" s="1">
        <v>45290</v>
      </c>
      <c r="G14870" t="str">
        <f>"89725"</f>
        <v>89725</v>
      </c>
      <c r="H14870">
        <v>1</v>
      </c>
      <c r="I14870">
        <v>2863</v>
      </c>
      <c r="J14870">
        <v>0</v>
      </c>
      <c r="K14870" t="str">
        <f t="shared" si="2658"/>
        <v>809</v>
      </c>
      <c r="L14870">
        <v>1860.95</v>
      </c>
    </row>
    <row r="14871" spans="1:12" x14ac:dyDescent="0.25">
      <c r="A14871" t="str">
        <f t="shared" si="2657"/>
        <v>89301000</v>
      </c>
      <c r="B14871" t="str">
        <f t="shared" si="2659"/>
        <v>78915000</v>
      </c>
      <c r="C14871" t="str">
        <f t="shared" si="2660"/>
        <v>78915001</v>
      </c>
      <c r="D14871">
        <v>89301215</v>
      </c>
      <c r="E14871" t="str">
        <f>"7552055313"</f>
        <v>7552055313</v>
      </c>
      <c r="F14871" s="1">
        <v>45280</v>
      </c>
      <c r="G14871" t="str">
        <f>"89715"</f>
        <v>89715</v>
      </c>
      <c r="H14871">
        <v>1</v>
      </c>
      <c r="I14871">
        <v>5523</v>
      </c>
      <c r="J14871">
        <v>0</v>
      </c>
      <c r="K14871" t="str">
        <f t="shared" si="2658"/>
        <v>809</v>
      </c>
      <c r="L14871">
        <v>3589.95</v>
      </c>
    </row>
    <row r="14872" spans="1:12" x14ac:dyDescent="0.25">
      <c r="A14872" t="str">
        <f t="shared" si="2657"/>
        <v>89301000</v>
      </c>
      <c r="B14872" t="str">
        <f t="shared" si="2659"/>
        <v>78915000</v>
      </c>
      <c r="C14872" t="str">
        <f t="shared" si="2660"/>
        <v>78915001</v>
      </c>
      <c r="D14872">
        <v>89301215</v>
      </c>
      <c r="E14872" t="str">
        <f>"7552055313"</f>
        <v>7552055313</v>
      </c>
      <c r="F14872" s="1">
        <v>45280</v>
      </c>
      <c r="G14872" t="str">
        <f>"89725"</f>
        <v>89725</v>
      </c>
      <c r="H14872">
        <v>1</v>
      </c>
      <c r="I14872">
        <v>2863</v>
      </c>
      <c r="J14872">
        <v>0</v>
      </c>
      <c r="K14872" t="str">
        <f t="shared" si="2658"/>
        <v>809</v>
      </c>
      <c r="L14872">
        <v>1860.95</v>
      </c>
    </row>
    <row r="14873" spans="1:12" x14ac:dyDescent="0.25">
      <c r="A14873" t="str">
        <f t="shared" si="2657"/>
        <v>89301000</v>
      </c>
      <c r="B14873" t="str">
        <f t="shared" si="2659"/>
        <v>78915000</v>
      </c>
      <c r="C14873" t="str">
        <f t="shared" si="2660"/>
        <v>78915001</v>
      </c>
      <c r="D14873">
        <v>89301215</v>
      </c>
      <c r="E14873" t="str">
        <f>"7552055313"</f>
        <v>7552055313</v>
      </c>
      <c r="F14873" s="1">
        <v>45280</v>
      </c>
      <c r="G14873" t="str">
        <f>"0207733"</f>
        <v>0207733</v>
      </c>
      <c r="H14873">
        <v>1</v>
      </c>
      <c r="J14873">
        <v>2590.5300000000002</v>
      </c>
      <c r="K14873" t="str">
        <f t="shared" si="2658"/>
        <v>809</v>
      </c>
      <c r="L14873">
        <v>2590.5300000000002</v>
      </c>
    </row>
    <row r="14874" spans="1:12" x14ac:dyDescent="0.25">
      <c r="A14874" t="str">
        <f t="shared" si="2657"/>
        <v>89301000</v>
      </c>
      <c r="B14874" t="str">
        <f t="shared" si="2659"/>
        <v>78915000</v>
      </c>
      <c r="C14874" t="str">
        <f t="shared" si="2660"/>
        <v>78915001</v>
      </c>
      <c r="D14874">
        <v>89301112</v>
      </c>
      <c r="E14874" t="str">
        <f>"7601085338"</f>
        <v>7601085338</v>
      </c>
      <c r="F14874" s="1">
        <v>45290</v>
      </c>
      <c r="G14874" t="str">
        <f>"09569"</f>
        <v>09569</v>
      </c>
      <c r="H14874">
        <v>1</v>
      </c>
      <c r="I14874">
        <v>0</v>
      </c>
      <c r="J14874">
        <v>0</v>
      </c>
      <c r="K14874" t="str">
        <f t="shared" si="2658"/>
        <v>809</v>
      </c>
      <c r="L14874">
        <v>0</v>
      </c>
    </row>
    <row r="14875" spans="1:12" x14ac:dyDescent="0.25">
      <c r="A14875" t="str">
        <f t="shared" si="2657"/>
        <v>89301000</v>
      </c>
      <c r="B14875" t="str">
        <f t="shared" si="2659"/>
        <v>78915000</v>
      </c>
      <c r="C14875" t="str">
        <f t="shared" si="2660"/>
        <v>78915001</v>
      </c>
      <c r="D14875">
        <v>89301112</v>
      </c>
      <c r="E14875" t="str">
        <f>"7601085338"</f>
        <v>7601085338</v>
      </c>
      <c r="F14875" s="1">
        <v>45290</v>
      </c>
      <c r="G14875" t="str">
        <f>"89713"</f>
        <v>89713</v>
      </c>
      <c r="H14875">
        <v>1</v>
      </c>
      <c r="I14875">
        <v>5411</v>
      </c>
      <c r="J14875">
        <v>0</v>
      </c>
      <c r="K14875" t="str">
        <f t="shared" si="2658"/>
        <v>809</v>
      </c>
      <c r="L14875">
        <v>3517.15</v>
      </c>
    </row>
    <row r="14876" spans="1:12" x14ac:dyDescent="0.25">
      <c r="A14876" t="str">
        <f t="shared" si="2657"/>
        <v>89301000</v>
      </c>
      <c r="B14876" t="str">
        <f t="shared" si="2659"/>
        <v>78915000</v>
      </c>
      <c r="C14876" t="str">
        <f t="shared" si="2660"/>
        <v>78915001</v>
      </c>
      <c r="D14876">
        <v>89301062</v>
      </c>
      <c r="E14876" t="str">
        <f>"7701175350"</f>
        <v>7701175350</v>
      </c>
      <c r="F14876" s="1">
        <v>45287</v>
      </c>
      <c r="G14876" t="str">
        <f>"89713"</f>
        <v>89713</v>
      </c>
      <c r="H14876">
        <v>1</v>
      </c>
      <c r="I14876">
        <v>5411</v>
      </c>
      <c r="J14876">
        <v>0</v>
      </c>
      <c r="K14876" t="str">
        <f t="shared" si="2658"/>
        <v>809</v>
      </c>
      <c r="L14876">
        <v>3517.15</v>
      </c>
    </row>
    <row r="14877" spans="1:12" x14ac:dyDescent="0.25">
      <c r="A14877" t="str">
        <f t="shared" si="2657"/>
        <v>89301000</v>
      </c>
      <c r="B14877" t="str">
        <f t="shared" si="2659"/>
        <v>78915000</v>
      </c>
      <c r="C14877" t="str">
        <f t="shared" si="2660"/>
        <v>78915001</v>
      </c>
      <c r="D14877">
        <v>89301062</v>
      </c>
      <c r="E14877" t="str">
        <f>"7701175350"</f>
        <v>7701175350</v>
      </c>
      <c r="F14877" s="1">
        <v>45287</v>
      </c>
      <c r="G14877" t="str">
        <f>"89725"</f>
        <v>89725</v>
      </c>
      <c r="H14877">
        <v>1</v>
      </c>
      <c r="I14877">
        <v>2863</v>
      </c>
      <c r="J14877">
        <v>0</v>
      </c>
      <c r="K14877" t="str">
        <f t="shared" si="2658"/>
        <v>809</v>
      </c>
      <c r="L14877">
        <v>1860.95</v>
      </c>
    </row>
    <row r="14878" spans="1:12" x14ac:dyDescent="0.25">
      <c r="A14878" t="str">
        <f t="shared" si="2657"/>
        <v>89301000</v>
      </c>
      <c r="B14878" t="str">
        <f t="shared" si="2659"/>
        <v>78915000</v>
      </c>
      <c r="C14878" t="str">
        <f t="shared" si="2660"/>
        <v>78915001</v>
      </c>
      <c r="D14878">
        <v>89301606</v>
      </c>
      <c r="E14878" t="str">
        <f>"7752125876"</f>
        <v>7752125876</v>
      </c>
      <c r="F14878" s="1">
        <v>45290</v>
      </c>
      <c r="G14878" t="str">
        <f>"89713"</f>
        <v>89713</v>
      </c>
      <c r="H14878">
        <v>1</v>
      </c>
      <c r="I14878">
        <v>5411</v>
      </c>
      <c r="J14878">
        <v>0</v>
      </c>
      <c r="K14878" t="str">
        <f t="shared" si="2658"/>
        <v>809</v>
      </c>
      <c r="L14878">
        <v>3517.15</v>
      </c>
    </row>
    <row r="14879" spans="1:12" x14ac:dyDescent="0.25">
      <c r="A14879" t="str">
        <f t="shared" si="2657"/>
        <v>89301000</v>
      </c>
      <c r="B14879" t="str">
        <f t="shared" si="2659"/>
        <v>78915000</v>
      </c>
      <c r="C14879" t="str">
        <f t="shared" si="2660"/>
        <v>78915001</v>
      </c>
      <c r="D14879">
        <v>89301606</v>
      </c>
      <c r="E14879" t="str">
        <f>"7752125876"</f>
        <v>7752125876</v>
      </c>
      <c r="F14879" s="1">
        <v>45290</v>
      </c>
      <c r="G14879" t="str">
        <f>"89725"</f>
        <v>89725</v>
      </c>
      <c r="H14879">
        <v>1</v>
      </c>
      <c r="I14879">
        <v>2863</v>
      </c>
      <c r="J14879">
        <v>0</v>
      </c>
      <c r="K14879" t="str">
        <f t="shared" si="2658"/>
        <v>809</v>
      </c>
      <c r="L14879">
        <v>1860.95</v>
      </c>
    </row>
    <row r="14880" spans="1:12" x14ac:dyDescent="0.25">
      <c r="A14880" t="str">
        <f t="shared" si="2657"/>
        <v>89301000</v>
      </c>
      <c r="B14880" t="str">
        <f t="shared" si="2659"/>
        <v>78915000</v>
      </c>
      <c r="C14880" t="str">
        <f t="shared" si="2660"/>
        <v>78915001</v>
      </c>
      <c r="D14880">
        <v>89301045</v>
      </c>
      <c r="E14880" t="str">
        <f>"7858085323"</f>
        <v>7858085323</v>
      </c>
      <c r="F14880" s="1">
        <v>45280</v>
      </c>
      <c r="G14880" t="str">
        <f>"89715"</f>
        <v>89715</v>
      </c>
      <c r="H14880">
        <v>1</v>
      </c>
      <c r="I14880">
        <v>5523</v>
      </c>
      <c r="J14880">
        <v>0</v>
      </c>
      <c r="K14880" t="str">
        <f t="shared" si="2658"/>
        <v>809</v>
      </c>
      <c r="L14880">
        <v>3589.95</v>
      </c>
    </row>
    <row r="14881" spans="1:12" x14ac:dyDescent="0.25">
      <c r="A14881" t="str">
        <f t="shared" si="2657"/>
        <v>89301000</v>
      </c>
      <c r="B14881" t="str">
        <f t="shared" si="2659"/>
        <v>78915000</v>
      </c>
      <c r="C14881" t="str">
        <f t="shared" si="2660"/>
        <v>78915001</v>
      </c>
      <c r="D14881">
        <v>89301045</v>
      </c>
      <c r="E14881" t="str">
        <f>"7858085323"</f>
        <v>7858085323</v>
      </c>
      <c r="F14881" s="1">
        <v>45280</v>
      </c>
      <c r="G14881" t="str">
        <f>"89725"</f>
        <v>89725</v>
      </c>
      <c r="H14881">
        <v>1</v>
      </c>
      <c r="I14881">
        <v>2863</v>
      </c>
      <c r="J14881">
        <v>0</v>
      </c>
      <c r="K14881" t="str">
        <f t="shared" si="2658"/>
        <v>809</v>
      </c>
      <c r="L14881">
        <v>1860.95</v>
      </c>
    </row>
    <row r="14882" spans="1:12" x14ac:dyDescent="0.25">
      <c r="A14882" t="str">
        <f t="shared" si="2657"/>
        <v>89301000</v>
      </c>
      <c r="B14882" t="str">
        <f t="shared" si="2659"/>
        <v>78915000</v>
      </c>
      <c r="C14882" t="str">
        <f t="shared" si="2660"/>
        <v>78915001</v>
      </c>
      <c r="D14882">
        <v>89301045</v>
      </c>
      <c r="E14882" t="str">
        <f>"7858085323"</f>
        <v>7858085323</v>
      </c>
      <c r="F14882" s="1">
        <v>45280</v>
      </c>
      <c r="G14882" t="str">
        <f>"0207733"</f>
        <v>0207733</v>
      </c>
      <c r="H14882">
        <v>1</v>
      </c>
      <c r="J14882">
        <v>2590.5300000000002</v>
      </c>
      <c r="K14882" t="str">
        <f t="shared" ref="K14882:K14913" si="2661">"809"</f>
        <v>809</v>
      </c>
      <c r="L14882">
        <v>2590.5300000000002</v>
      </c>
    </row>
    <row r="14883" spans="1:12" x14ac:dyDescent="0.25">
      <c r="A14883" t="str">
        <f t="shared" si="2657"/>
        <v>89301000</v>
      </c>
      <c r="B14883" t="str">
        <f t="shared" si="2659"/>
        <v>78915000</v>
      </c>
      <c r="C14883" t="str">
        <f t="shared" si="2660"/>
        <v>78915001</v>
      </c>
      <c r="D14883">
        <v>89301312</v>
      </c>
      <c r="E14883" t="str">
        <f>"7862285321"</f>
        <v>7862285321</v>
      </c>
      <c r="F14883" s="1">
        <v>45275</v>
      </c>
      <c r="G14883" t="str">
        <f>"09569"</f>
        <v>09569</v>
      </c>
      <c r="H14883">
        <v>1</v>
      </c>
      <c r="I14883">
        <v>0</v>
      </c>
      <c r="J14883">
        <v>0</v>
      </c>
      <c r="K14883" t="str">
        <f t="shared" si="2661"/>
        <v>809</v>
      </c>
      <c r="L14883">
        <v>0</v>
      </c>
    </row>
    <row r="14884" spans="1:12" x14ac:dyDescent="0.25">
      <c r="A14884" t="str">
        <f t="shared" si="2657"/>
        <v>89301000</v>
      </c>
      <c r="B14884" t="str">
        <f t="shared" si="2659"/>
        <v>78915000</v>
      </c>
      <c r="C14884" t="str">
        <f t="shared" si="2660"/>
        <v>78915001</v>
      </c>
      <c r="D14884">
        <v>89301312</v>
      </c>
      <c r="E14884" t="str">
        <f>"7862285321"</f>
        <v>7862285321</v>
      </c>
      <c r="F14884" s="1">
        <v>45275</v>
      </c>
      <c r="G14884" t="str">
        <f>"89713"</f>
        <v>89713</v>
      </c>
      <c r="H14884">
        <v>1</v>
      </c>
      <c r="I14884">
        <v>5411</v>
      </c>
      <c r="J14884">
        <v>0</v>
      </c>
      <c r="K14884" t="str">
        <f t="shared" si="2661"/>
        <v>809</v>
      </c>
      <c r="L14884">
        <v>3517.15</v>
      </c>
    </row>
    <row r="14885" spans="1:12" x14ac:dyDescent="0.25">
      <c r="A14885" t="str">
        <f t="shared" si="2657"/>
        <v>89301000</v>
      </c>
      <c r="B14885" t="str">
        <f t="shared" si="2659"/>
        <v>78915000</v>
      </c>
      <c r="C14885" t="str">
        <f t="shared" si="2660"/>
        <v>78915001</v>
      </c>
      <c r="D14885">
        <v>89301073</v>
      </c>
      <c r="E14885" t="str">
        <f>"7954104389"</f>
        <v>7954104389</v>
      </c>
      <c r="F14885" s="1">
        <v>45287</v>
      </c>
      <c r="G14885" t="str">
        <f>"89713"</f>
        <v>89713</v>
      </c>
      <c r="H14885">
        <v>1</v>
      </c>
      <c r="I14885">
        <v>5411</v>
      </c>
      <c r="J14885">
        <v>0</v>
      </c>
      <c r="K14885" t="str">
        <f t="shared" si="2661"/>
        <v>809</v>
      </c>
      <c r="L14885">
        <v>3517.15</v>
      </c>
    </row>
    <row r="14886" spans="1:12" x14ac:dyDescent="0.25">
      <c r="A14886" t="str">
        <f t="shared" si="2657"/>
        <v>89301000</v>
      </c>
      <c r="B14886" t="str">
        <f t="shared" si="2659"/>
        <v>78915000</v>
      </c>
      <c r="C14886" t="str">
        <f t="shared" si="2660"/>
        <v>78915001</v>
      </c>
      <c r="D14886">
        <v>89301073</v>
      </c>
      <c r="E14886" t="str">
        <f>"7954104389"</f>
        <v>7954104389</v>
      </c>
      <c r="F14886" s="1">
        <v>45287</v>
      </c>
      <c r="G14886" t="str">
        <f>"89723"</f>
        <v>89723</v>
      </c>
      <c r="H14886">
        <v>1</v>
      </c>
      <c r="I14886">
        <v>5940</v>
      </c>
      <c r="J14886">
        <v>0</v>
      </c>
      <c r="K14886" t="str">
        <f t="shared" si="2661"/>
        <v>809</v>
      </c>
      <c r="L14886">
        <v>3861</v>
      </c>
    </row>
    <row r="14887" spans="1:12" x14ac:dyDescent="0.25">
      <c r="A14887" t="str">
        <f t="shared" si="2657"/>
        <v>89301000</v>
      </c>
      <c r="B14887" t="str">
        <f t="shared" si="2659"/>
        <v>78915000</v>
      </c>
      <c r="C14887" t="str">
        <f t="shared" si="2660"/>
        <v>78915001</v>
      </c>
      <c r="D14887">
        <v>89301073</v>
      </c>
      <c r="E14887" t="str">
        <f>"7954104389"</f>
        <v>7954104389</v>
      </c>
      <c r="F14887" s="1">
        <v>45287</v>
      </c>
      <c r="G14887" t="str">
        <f>"89725"</f>
        <v>89725</v>
      </c>
      <c r="H14887">
        <v>1</v>
      </c>
      <c r="I14887">
        <v>2863</v>
      </c>
      <c r="J14887">
        <v>0</v>
      </c>
      <c r="K14887" t="str">
        <f t="shared" si="2661"/>
        <v>809</v>
      </c>
      <c r="L14887">
        <v>1860.95</v>
      </c>
    </row>
    <row r="14888" spans="1:12" x14ac:dyDescent="0.25">
      <c r="A14888" t="str">
        <f t="shared" si="2657"/>
        <v>89301000</v>
      </c>
      <c r="B14888" t="str">
        <f t="shared" si="2659"/>
        <v>78915000</v>
      </c>
      <c r="C14888" t="str">
        <f t="shared" si="2660"/>
        <v>78915001</v>
      </c>
      <c r="D14888">
        <v>89301172</v>
      </c>
      <c r="E14888" t="str">
        <f>"8454215363"</f>
        <v>8454215363</v>
      </c>
      <c r="F14888" s="1">
        <v>45276</v>
      </c>
      <c r="G14888" t="str">
        <f>"89713"</f>
        <v>89713</v>
      </c>
      <c r="H14888">
        <v>2</v>
      </c>
      <c r="I14888">
        <v>10822</v>
      </c>
      <c r="J14888">
        <v>0</v>
      </c>
      <c r="K14888" t="str">
        <f t="shared" si="2661"/>
        <v>809</v>
      </c>
      <c r="L14888">
        <v>7034.3</v>
      </c>
    </row>
    <row r="14889" spans="1:12" x14ac:dyDescent="0.25">
      <c r="A14889" t="str">
        <f t="shared" si="2657"/>
        <v>89301000</v>
      </c>
      <c r="B14889" t="str">
        <f t="shared" si="2659"/>
        <v>78915000</v>
      </c>
      <c r="C14889" t="str">
        <f t="shared" si="2660"/>
        <v>78915001</v>
      </c>
      <c r="D14889">
        <v>89301062</v>
      </c>
      <c r="E14889" t="str">
        <f>"8462205763"</f>
        <v>8462205763</v>
      </c>
      <c r="F14889" s="1">
        <v>45288</v>
      </c>
      <c r="G14889" t="str">
        <f>"89713"</f>
        <v>89713</v>
      </c>
      <c r="H14889">
        <v>1</v>
      </c>
      <c r="I14889">
        <v>5411</v>
      </c>
      <c r="J14889">
        <v>0</v>
      </c>
      <c r="K14889" t="str">
        <f t="shared" si="2661"/>
        <v>809</v>
      </c>
      <c r="L14889">
        <v>3517.15</v>
      </c>
    </row>
    <row r="14890" spans="1:12" x14ac:dyDescent="0.25">
      <c r="A14890" t="str">
        <f t="shared" si="2657"/>
        <v>89301000</v>
      </c>
      <c r="B14890" t="str">
        <f t="shared" si="2659"/>
        <v>78915000</v>
      </c>
      <c r="C14890" t="str">
        <f t="shared" si="2660"/>
        <v>78915001</v>
      </c>
      <c r="D14890">
        <v>89301062</v>
      </c>
      <c r="E14890" t="str">
        <f>"8462205763"</f>
        <v>8462205763</v>
      </c>
      <c r="F14890" s="1">
        <v>45288</v>
      </c>
      <c r="G14890" t="str">
        <f>"89725"</f>
        <v>89725</v>
      </c>
      <c r="H14890">
        <v>1</v>
      </c>
      <c r="I14890">
        <v>2863</v>
      </c>
      <c r="J14890">
        <v>0</v>
      </c>
      <c r="K14890" t="str">
        <f t="shared" si="2661"/>
        <v>809</v>
      </c>
      <c r="L14890">
        <v>1860.95</v>
      </c>
    </row>
    <row r="14891" spans="1:12" x14ac:dyDescent="0.25">
      <c r="A14891" t="str">
        <f t="shared" si="2657"/>
        <v>89301000</v>
      </c>
      <c r="B14891" t="str">
        <f t="shared" si="2659"/>
        <v>78915000</v>
      </c>
      <c r="C14891" t="str">
        <f t="shared" si="2660"/>
        <v>78915001</v>
      </c>
      <c r="D14891">
        <v>89301112</v>
      </c>
      <c r="E14891" t="str">
        <f>"9004275742"</f>
        <v>9004275742</v>
      </c>
      <c r="F14891" s="1">
        <v>45288</v>
      </c>
      <c r="G14891" t="str">
        <f>"09569"</f>
        <v>09569</v>
      </c>
      <c r="H14891">
        <v>1</v>
      </c>
      <c r="I14891">
        <v>0</v>
      </c>
      <c r="J14891">
        <v>0</v>
      </c>
      <c r="K14891" t="str">
        <f t="shared" si="2661"/>
        <v>809</v>
      </c>
      <c r="L14891">
        <v>0</v>
      </c>
    </row>
    <row r="14892" spans="1:12" x14ac:dyDescent="0.25">
      <c r="A14892" t="str">
        <f t="shared" si="2657"/>
        <v>89301000</v>
      </c>
      <c r="B14892" t="str">
        <f t="shared" si="2659"/>
        <v>78915000</v>
      </c>
      <c r="C14892" t="str">
        <f t="shared" si="2660"/>
        <v>78915001</v>
      </c>
      <c r="D14892">
        <v>89301112</v>
      </c>
      <c r="E14892" t="str">
        <f>"9004275742"</f>
        <v>9004275742</v>
      </c>
      <c r="F14892" s="1">
        <v>45288</v>
      </c>
      <c r="G14892" t="str">
        <f>"89713"</f>
        <v>89713</v>
      </c>
      <c r="H14892">
        <v>1</v>
      </c>
      <c r="I14892">
        <v>5411</v>
      </c>
      <c r="J14892">
        <v>0</v>
      </c>
      <c r="K14892" t="str">
        <f t="shared" si="2661"/>
        <v>809</v>
      </c>
      <c r="L14892">
        <v>3517.15</v>
      </c>
    </row>
    <row r="14893" spans="1:12" x14ac:dyDescent="0.25">
      <c r="A14893" t="str">
        <f t="shared" si="2657"/>
        <v>89301000</v>
      </c>
      <c r="B14893" t="str">
        <f t="shared" si="2659"/>
        <v>78915000</v>
      </c>
      <c r="C14893" t="str">
        <f t="shared" si="2660"/>
        <v>78915001</v>
      </c>
      <c r="D14893">
        <v>89301062</v>
      </c>
      <c r="E14893" t="str">
        <f>"9301035711"</f>
        <v>9301035711</v>
      </c>
      <c r="F14893" s="1">
        <v>45274</v>
      </c>
      <c r="G14893" t="str">
        <f>"89713"</f>
        <v>89713</v>
      </c>
      <c r="H14893">
        <v>1</v>
      </c>
      <c r="I14893">
        <v>5411</v>
      </c>
      <c r="J14893">
        <v>0</v>
      </c>
      <c r="K14893" t="str">
        <f t="shared" si="2661"/>
        <v>809</v>
      </c>
      <c r="L14893">
        <v>3517.15</v>
      </c>
    </row>
    <row r="14894" spans="1:12" x14ac:dyDescent="0.25">
      <c r="A14894" t="str">
        <f t="shared" si="2657"/>
        <v>89301000</v>
      </c>
      <c r="B14894" t="str">
        <f t="shared" si="2659"/>
        <v>78915000</v>
      </c>
      <c r="C14894" t="str">
        <f t="shared" si="2660"/>
        <v>78915001</v>
      </c>
      <c r="D14894">
        <v>89301062</v>
      </c>
      <c r="E14894" t="str">
        <f>"9301035711"</f>
        <v>9301035711</v>
      </c>
      <c r="F14894" s="1">
        <v>45274</v>
      </c>
      <c r="G14894" t="str">
        <f>"89725"</f>
        <v>89725</v>
      </c>
      <c r="H14894">
        <v>1</v>
      </c>
      <c r="I14894">
        <v>2863</v>
      </c>
      <c r="J14894">
        <v>0</v>
      </c>
      <c r="K14894" t="str">
        <f t="shared" si="2661"/>
        <v>809</v>
      </c>
      <c r="L14894">
        <v>1860.95</v>
      </c>
    </row>
    <row r="14895" spans="1:12" x14ac:dyDescent="0.25">
      <c r="A14895" t="str">
        <f t="shared" si="2657"/>
        <v>89301000</v>
      </c>
      <c r="B14895" t="str">
        <f t="shared" si="2659"/>
        <v>78915000</v>
      </c>
      <c r="C14895" t="str">
        <f t="shared" si="2660"/>
        <v>78915001</v>
      </c>
      <c r="D14895">
        <v>89301062</v>
      </c>
      <c r="E14895" t="str">
        <f>"9910314854"</f>
        <v>9910314854</v>
      </c>
      <c r="F14895" s="1">
        <v>45280</v>
      </c>
      <c r="G14895" t="str">
        <f>"89713"</f>
        <v>89713</v>
      </c>
      <c r="H14895">
        <v>1</v>
      </c>
      <c r="I14895">
        <v>5411</v>
      </c>
      <c r="J14895">
        <v>0</v>
      </c>
      <c r="K14895" t="str">
        <f t="shared" si="2661"/>
        <v>809</v>
      </c>
      <c r="L14895">
        <v>3517.15</v>
      </c>
    </row>
    <row r="14896" spans="1:12" x14ac:dyDescent="0.25">
      <c r="A14896" t="str">
        <f t="shared" si="2657"/>
        <v>89301000</v>
      </c>
      <c r="B14896" t="str">
        <f>"86106000"</f>
        <v>86106000</v>
      </c>
      <c r="C14896" t="str">
        <f>"86106764"</f>
        <v>86106764</v>
      </c>
      <c r="D14896">
        <v>89301037</v>
      </c>
      <c r="E14896" t="str">
        <f>"6754200332"</f>
        <v>6754200332</v>
      </c>
      <c r="F14896" s="1">
        <v>45266</v>
      </c>
      <c r="G14896" t="str">
        <f>"89713"</f>
        <v>89713</v>
      </c>
      <c r="H14896">
        <v>1</v>
      </c>
      <c r="I14896">
        <v>5411</v>
      </c>
      <c r="J14896">
        <v>0</v>
      </c>
      <c r="K14896" t="str">
        <f t="shared" si="2661"/>
        <v>809</v>
      </c>
      <c r="L14896">
        <v>3517.15</v>
      </c>
    </row>
    <row r="14897" spans="1:12" x14ac:dyDescent="0.25">
      <c r="A14897" t="str">
        <f t="shared" si="2657"/>
        <v>89301000</v>
      </c>
      <c r="B14897" t="str">
        <f>"86106000"</f>
        <v>86106000</v>
      </c>
      <c r="C14897" t="str">
        <f>"86106764"</f>
        <v>86106764</v>
      </c>
      <c r="D14897">
        <v>89301037</v>
      </c>
      <c r="E14897" t="str">
        <f>"6754200332"</f>
        <v>6754200332</v>
      </c>
      <c r="F14897" s="1">
        <v>45266</v>
      </c>
      <c r="G14897" t="str">
        <f>"89713"</f>
        <v>89713</v>
      </c>
      <c r="H14897">
        <v>1</v>
      </c>
      <c r="I14897">
        <v>5411</v>
      </c>
      <c r="J14897">
        <v>0</v>
      </c>
      <c r="K14897" t="str">
        <f t="shared" si="2661"/>
        <v>809</v>
      </c>
      <c r="L14897">
        <v>3517.15</v>
      </c>
    </row>
    <row r="14898" spans="1:12" x14ac:dyDescent="0.25">
      <c r="A14898" t="str">
        <f t="shared" si="2657"/>
        <v>89301000</v>
      </c>
      <c r="B14898" t="str">
        <f>"86106000"</f>
        <v>86106000</v>
      </c>
      <c r="C14898" t="str">
        <f>"86106764"</f>
        <v>86106764</v>
      </c>
      <c r="D14898">
        <v>89301037</v>
      </c>
      <c r="E14898" t="str">
        <f>"6754200332"</f>
        <v>6754200332</v>
      </c>
      <c r="F14898" s="1">
        <v>45266</v>
      </c>
      <c r="G14898" t="str">
        <f>"89725"</f>
        <v>89725</v>
      </c>
      <c r="H14898">
        <v>1</v>
      </c>
      <c r="I14898">
        <v>2863</v>
      </c>
      <c r="J14898">
        <v>0</v>
      </c>
      <c r="K14898" t="str">
        <f t="shared" si="2661"/>
        <v>809</v>
      </c>
      <c r="L14898">
        <v>1860.95</v>
      </c>
    </row>
    <row r="14899" spans="1:12" x14ac:dyDescent="0.25">
      <c r="A14899" t="str">
        <f t="shared" si="2657"/>
        <v>89301000</v>
      </c>
      <c r="B14899" t="str">
        <f t="shared" ref="B14899:B14930" si="2662">"78051000"</f>
        <v>78051000</v>
      </c>
      <c r="C14899" t="str">
        <f t="shared" ref="C14899:C14930" si="2663">"78051004"</f>
        <v>78051004</v>
      </c>
      <c r="D14899">
        <v>89301062</v>
      </c>
      <c r="E14899" t="str">
        <f>"8451175766"</f>
        <v>8451175766</v>
      </c>
      <c r="F14899" s="1">
        <v>45265</v>
      </c>
      <c r="G14899" t="str">
        <f>"89311"</f>
        <v>89311</v>
      </c>
      <c r="H14899">
        <v>1</v>
      </c>
      <c r="I14899">
        <v>970</v>
      </c>
      <c r="J14899">
        <v>0</v>
      </c>
      <c r="K14899" t="str">
        <f t="shared" si="2661"/>
        <v>809</v>
      </c>
      <c r="L14899">
        <v>1425.9</v>
      </c>
    </row>
    <row r="14900" spans="1:12" x14ac:dyDescent="0.25">
      <c r="A14900" t="str">
        <f t="shared" si="2657"/>
        <v>89301000</v>
      </c>
      <c r="B14900" t="str">
        <f t="shared" si="2662"/>
        <v>78051000</v>
      </c>
      <c r="C14900" t="str">
        <f t="shared" si="2663"/>
        <v>78051004</v>
      </c>
      <c r="D14900">
        <v>89301062</v>
      </c>
      <c r="E14900" t="str">
        <f>"8451175766"</f>
        <v>8451175766</v>
      </c>
      <c r="F14900" s="1">
        <v>45265</v>
      </c>
      <c r="G14900" t="str">
        <f>"0090044"</f>
        <v>0090044</v>
      </c>
      <c r="H14900">
        <v>1</v>
      </c>
      <c r="J14900">
        <v>16.8</v>
      </c>
      <c r="K14900" t="str">
        <f t="shared" si="2661"/>
        <v>809</v>
      </c>
      <c r="L14900">
        <v>16.8</v>
      </c>
    </row>
    <row r="14901" spans="1:12" x14ac:dyDescent="0.25">
      <c r="A14901" t="str">
        <f t="shared" si="2657"/>
        <v>89301000</v>
      </c>
      <c r="B14901" t="str">
        <f t="shared" si="2662"/>
        <v>78051000</v>
      </c>
      <c r="C14901" t="str">
        <f t="shared" si="2663"/>
        <v>78051004</v>
      </c>
      <c r="D14901">
        <v>89301062</v>
      </c>
      <c r="E14901" t="str">
        <f>"8451175766"</f>
        <v>8451175766</v>
      </c>
      <c r="F14901" s="1">
        <v>45265</v>
      </c>
      <c r="G14901" t="str">
        <f>"0225891"</f>
        <v>0225891</v>
      </c>
      <c r="H14901">
        <v>0.2</v>
      </c>
      <c r="J14901">
        <v>44.65</v>
      </c>
      <c r="K14901" t="str">
        <f t="shared" si="2661"/>
        <v>809</v>
      </c>
      <c r="L14901">
        <v>44.65</v>
      </c>
    </row>
    <row r="14902" spans="1:12" x14ac:dyDescent="0.25">
      <c r="A14902" t="str">
        <f t="shared" si="2657"/>
        <v>89301000</v>
      </c>
      <c r="B14902" t="str">
        <f t="shared" si="2662"/>
        <v>78051000</v>
      </c>
      <c r="C14902" t="str">
        <f t="shared" si="2663"/>
        <v>78051004</v>
      </c>
      <c r="D14902">
        <v>89301062</v>
      </c>
      <c r="E14902" t="str">
        <f>"8451175766"</f>
        <v>8451175766</v>
      </c>
      <c r="F14902" s="1">
        <v>45265</v>
      </c>
      <c r="G14902" t="str">
        <f>"0096251"</f>
        <v>0096251</v>
      </c>
      <c r="H14902">
        <v>0.17</v>
      </c>
      <c r="J14902">
        <v>198.83</v>
      </c>
      <c r="K14902" t="str">
        <f t="shared" si="2661"/>
        <v>809</v>
      </c>
      <c r="L14902">
        <v>198.83</v>
      </c>
    </row>
    <row r="14903" spans="1:12" x14ac:dyDescent="0.25">
      <c r="A14903" t="str">
        <f t="shared" si="2657"/>
        <v>89301000</v>
      </c>
      <c r="B14903" t="str">
        <f t="shared" si="2662"/>
        <v>78051000</v>
      </c>
      <c r="C14903" t="str">
        <f t="shared" si="2663"/>
        <v>78051004</v>
      </c>
      <c r="D14903">
        <v>89301062</v>
      </c>
      <c r="E14903" t="str">
        <f>"8451175766"</f>
        <v>8451175766</v>
      </c>
      <c r="F14903" s="1">
        <v>45265</v>
      </c>
      <c r="G14903" t="str">
        <f>"0098943"</f>
        <v>0098943</v>
      </c>
      <c r="H14903">
        <v>1</v>
      </c>
      <c r="J14903">
        <v>293.81</v>
      </c>
      <c r="K14903" t="str">
        <f t="shared" si="2661"/>
        <v>809</v>
      </c>
      <c r="L14903">
        <v>293.81</v>
      </c>
    </row>
    <row r="14904" spans="1:12" x14ac:dyDescent="0.25">
      <c r="A14904" t="str">
        <f t="shared" si="2657"/>
        <v>89301000</v>
      </c>
      <c r="B14904" t="str">
        <f t="shared" si="2662"/>
        <v>78051000</v>
      </c>
      <c r="C14904" t="str">
        <f t="shared" si="2663"/>
        <v>78051004</v>
      </c>
      <c r="D14904">
        <v>89301062</v>
      </c>
      <c r="E14904" t="str">
        <f>"520429041"</f>
        <v>520429041</v>
      </c>
      <c r="F14904" s="1">
        <v>45265</v>
      </c>
      <c r="G14904" t="str">
        <f>"89311"</f>
        <v>89311</v>
      </c>
      <c r="H14904">
        <v>1</v>
      </c>
      <c r="I14904">
        <v>970</v>
      </c>
      <c r="J14904">
        <v>0</v>
      </c>
      <c r="K14904" t="str">
        <f t="shared" si="2661"/>
        <v>809</v>
      </c>
      <c r="L14904">
        <v>1425.9</v>
      </c>
    </row>
    <row r="14905" spans="1:12" x14ac:dyDescent="0.25">
      <c r="A14905" t="str">
        <f t="shared" si="2657"/>
        <v>89301000</v>
      </c>
      <c r="B14905" t="str">
        <f t="shared" si="2662"/>
        <v>78051000</v>
      </c>
      <c r="C14905" t="str">
        <f t="shared" si="2663"/>
        <v>78051004</v>
      </c>
      <c r="D14905">
        <v>89301062</v>
      </c>
      <c r="E14905" t="str">
        <f>"520429041"</f>
        <v>520429041</v>
      </c>
      <c r="F14905" s="1">
        <v>45265</v>
      </c>
      <c r="G14905" t="str">
        <f>"0090044"</f>
        <v>0090044</v>
      </c>
      <c r="H14905">
        <v>1</v>
      </c>
      <c r="J14905">
        <v>16.8</v>
      </c>
      <c r="K14905" t="str">
        <f t="shared" si="2661"/>
        <v>809</v>
      </c>
      <c r="L14905">
        <v>16.8</v>
      </c>
    </row>
    <row r="14906" spans="1:12" x14ac:dyDescent="0.25">
      <c r="A14906" t="str">
        <f t="shared" si="2657"/>
        <v>89301000</v>
      </c>
      <c r="B14906" t="str">
        <f t="shared" si="2662"/>
        <v>78051000</v>
      </c>
      <c r="C14906" t="str">
        <f t="shared" si="2663"/>
        <v>78051004</v>
      </c>
      <c r="D14906">
        <v>89301062</v>
      </c>
      <c r="E14906" t="str">
        <f>"520429041"</f>
        <v>520429041</v>
      </c>
      <c r="F14906" s="1">
        <v>45265</v>
      </c>
      <c r="G14906" t="str">
        <f>"0225891"</f>
        <v>0225891</v>
      </c>
      <c r="H14906">
        <v>0.2</v>
      </c>
      <c r="J14906">
        <v>44.65</v>
      </c>
      <c r="K14906" t="str">
        <f t="shared" si="2661"/>
        <v>809</v>
      </c>
      <c r="L14906">
        <v>44.65</v>
      </c>
    </row>
    <row r="14907" spans="1:12" x14ac:dyDescent="0.25">
      <c r="A14907" t="str">
        <f t="shared" si="2657"/>
        <v>89301000</v>
      </c>
      <c r="B14907" t="str">
        <f t="shared" si="2662"/>
        <v>78051000</v>
      </c>
      <c r="C14907" t="str">
        <f t="shared" si="2663"/>
        <v>78051004</v>
      </c>
      <c r="D14907">
        <v>89301062</v>
      </c>
      <c r="E14907" t="str">
        <f>"520429041"</f>
        <v>520429041</v>
      </c>
      <c r="F14907" s="1">
        <v>45265</v>
      </c>
      <c r="G14907" t="str">
        <f>"0096251"</f>
        <v>0096251</v>
      </c>
      <c r="H14907">
        <v>0.17</v>
      </c>
      <c r="J14907">
        <v>198.83</v>
      </c>
      <c r="K14907" t="str">
        <f t="shared" si="2661"/>
        <v>809</v>
      </c>
      <c r="L14907">
        <v>198.83</v>
      </c>
    </row>
    <row r="14908" spans="1:12" x14ac:dyDescent="0.25">
      <c r="A14908" t="str">
        <f t="shared" si="2657"/>
        <v>89301000</v>
      </c>
      <c r="B14908" t="str">
        <f t="shared" si="2662"/>
        <v>78051000</v>
      </c>
      <c r="C14908" t="str">
        <f t="shared" si="2663"/>
        <v>78051004</v>
      </c>
      <c r="D14908">
        <v>89301062</v>
      </c>
      <c r="E14908" t="str">
        <f>"520429041"</f>
        <v>520429041</v>
      </c>
      <c r="F14908" s="1">
        <v>45265</v>
      </c>
      <c r="G14908" t="str">
        <f>"0098943"</f>
        <v>0098943</v>
      </c>
      <c r="H14908">
        <v>1</v>
      </c>
      <c r="J14908">
        <v>293.81</v>
      </c>
      <c r="K14908" t="str">
        <f t="shared" si="2661"/>
        <v>809</v>
      </c>
      <c r="L14908">
        <v>293.81</v>
      </c>
    </row>
    <row r="14909" spans="1:12" x14ac:dyDescent="0.25">
      <c r="A14909" t="str">
        <f t="shared" si="2657"/>
        <v>89301000</v>
      </c>
      <c r="B14909" t="str">
        <f t="shared" si="2662"/>
        <v>78051000</v>
      </c>
      <c r="C14909" t="str">
        <f t="shared" si="2663"/>
        <v>78051004</v>
      </c>
      <c r="D14909">
        <v>89301062</v>
      </c>
      <c r="E14909" t="str">
        <f>"7154139927"</f>
        <v>7154139927</v>
      </c>
      <c r="F14909" s="1">
        <v>45265</v>
      </c>
      <c r="G14909" t="str">
        <f>"89311"</f>
        <v>89311</v>
      </c>
      <c r="H14909">
        <v>1</v>
      </c>
      <c r="I14909">
        <v>970</v>
      </c>
      <c r="J14909">
        <v>0</v>
      </c>
      <c r="K14909" t="str">
        <f t="shared" si="2661"/>
        <v>809</v>
      </c>
      <c r="L14909">
        <v>1425.9</v>
      </c>
    </row>
    <row r="14910" spans="1:12" x14ac:dyDescent="0.25">
      <c r="A14910" t="str">
        <f t="shared" si="2657"/>
        <v>89301000</v>
      </c>
      <c r="B14910" t="str">
        <f t="shared" si="2662"/>
        <v>78051000</v>
      </c>
      <c r="C14910" t="str">
        <f t="shared" si="2663"/>
        <v>78051004</v>
      </c>
      <c r="D14910">
        <v>89301062</v>
      </c>
      <c r="E14910" t="str">
        <f>"7154139927"</f>
        <v>7154139927</v>
      </c>
      <c r="F14910" s="1">
        <v>45265</v>
      </c>
      <c r="G14910" t="str">
        <f>"0090044"</f>
        <v>0090044</v>
      </c>
      <c r="H14910">
        <v>1</v>
      </c>
      <c r="J14910">
        <v>16.8</v>
      </c>
      <c r="K14910" t="str">
        <f t="shared" si="2661"/>
        <v>809</v>
      </c>
      <c r="L14910">
        <v>16.8</v>
      </c>
    </row>
    <row r="14911" spans="1:12" x14ac:dyDescent="0.25">
      <c r="A14911" t="str">
        <f t="shared" si="2657"/>
        <v>89301000</v>
      </c>
      <c r="B14911" t="str">
        <f t="shared" si="2662"/>
        <v>78051000</v>
      </c>
      <c r="C14911" t="str">
        <f t="shared" si="2663"/>
        <v>78051004</v>
      </c>
      <c r="D14911">
        <v>89301062</v>
      </c>
      <c r="E14911" t="str">
        <f>"7154139927"</f>
        <v>7154139927</v>
      </c>
      <c r="F14911" s="1">
        <v>45265</v>
      </c>
      <c r="G14911" t="str">
        <f>"0225891"</f>
        <v>0225891</v>
      </c>
      <c r="H14911">
        <v>0.2</v>
      </c>
      <c r="J14911">
        <v>44.65</v>
      </c>
      <c r="K14911" t="str">
        <f t="shared" si="2661"/>
        <v>809</v>
      </c>
      <c r="L14911">
        <v>44.65</v>
      </c>
    </row>
    <row r="14912" spans="1:12" x14ac:dyDescent="0.25">
      <c r="A14912" t="str">
        <f t="shared" si="2657"/>
        <v>89301000</v>
      </c>
      <c r="B14912" t="str">
        <f t="shared" si="2662"/>
        <v>78051000</v>
      </c>
      <c r="C14912" t="str">
        <f t="shared" si="2663"/>
        <v>78051004</v>
      </c>
      <c r="D14912">
        <v>89301062</v>
      </c>
      <c r="E14912" t="str">
        <f>"7154139927"</f>
        <v>7154139927</v>
      </c>
      <c r="F14912" s="1">
        <v>45265</v>
      </c>
      <c r="G14912" t="str">
        <f>"0096251"</f>
        <v>0096251</v>
      </c>
      <c r="H14912">
        <v>0.17</v>
      </c>
      <c r="J14912">
        <v>198.83</v>
      </c>
      <c r="K14912" t="str">
        <f t="shared" si="2661"/>
        <v>809</v>
      </c>
      <c r="L14912">
        <v>198.83</v>
      </c>
    </row>
    <row r="14913" spans="1:12" x14ac:dyDescent="0.25">
      <c r="A14913" t="str">
        <f t="shared" si="2657"/>
        <v>89301000</v>
      </c>
      <c r="B14913" t="str">
        <f t="shared" si="2662"/>
        <v>78051000</v>
      </c>
      <c r="C14913" t="str">
        <f t="shared" si="2663"/>
        <v>78051004</v>
      </c>
      <c r="D14913">
        <v>89301062</v>
      </c>
      <c r="E14913" t="str">
        <f>"7154139927"</f>
        <v>7154139927</v>
      </c>
      <c r="F14913" s="1">
        <v>45265</v>
      </c>
      <c r="G14913" t="str">
        <f>"0098943"</f>
        <v>0098943</v>
      </c>
      <c r="H14913">
        <v>1</v>
      </c>
      <c r="J14913">
        <v>293.81</v>
      </c>
      <c r="K14913" t="str">
        <f t="shared" si="2661"/>
        <v>809</v>
      </c>
      <c r="L14913">
        <v>293.81</v>
      </c>
    </row>
    <row r="14914" spans="1:12" x14ac:dyDescent="0.25">
      <c r="A14914" t="str">
        <f t="shared" ref="A14914:A14977" si="2664">"89301000"</f>
        <v>89301000</v>
      </c>
      <c r="B14914" t="str">
        <f t="shared" si="2662"/>
        <v>78051000</v>
      </c>
      <c r="C14914" t="str">
        <f t="shared" si="2663"/>
        <v>78051004</v>
      </c>
      <c r="D14914">
        <v>89301062</v>
      </c>
      <c r="E14914" t="str">
        <f>"8654206143"</f>
        <v>8654206143</v>
      </c>
      <c r="F14914" s="1">
        <v>45265</v>
      </c>
      <c r="G14914" t="str">
        <f>"89311"</f>
        <v>89311</v>
      </c>
      <c r="H14914">
        <v>1</v>
      </c>
      <c r="I14914">
        <v>970</v>
      </c>
      <c r="J14914">
        <v>0</v>
      </c>
      <c r="K14914" t="str">
        <f t="shared" ref="K14914:K14945" si="2665">"809"</f>
        <v>809</v>
      </c>
      <c r="L14914">
        <v>1425.9</v>
      </c>
    </row>
    <row r="14915" spans="1:12" x14ac:dyDescent="0.25">
      <c r="A14915" t="str">
        <f t="shared" si="2664"/>
        <v>89301000</v>
      </c>
      <c r="B14915" t="str">
        <f t="shared" si="2662"/>
        <v>78051000</v>
      </c>
      <c r="C14915" t="str">
        <f t="shared" si="2663"/>
        <v>78051004</v>
      </c>
      <c r="D14915">
        <v>89301062</v>
      </c>
      <c r="E14915" t="str">
        <f>"8654206143"</f>
        <v>8654206143</v>
      </c>
      <c r="F14915" s="1">
        <v>45265</v>
      </c>
      <c r="G14915" t="str">
        <f>"0090044"</f>
        <v>0090044</v>
      </c>
      <c r="H14915">
        <v>1</v>
      </c>
      <c r="J14915">
        <v>16.8</v>
      </c>
      <c r="K14915" t="str">
        <f t="shared" si="2665"/>
        <v>809</v>
      </c>
      <c r="L14915">
        <v>16.8</v>
      </c>
    </row>
    <row r="14916" spans="1:12" x14ac:dyDescent="0.25">
      <c r="A14916" t="str">
        <f t="shared" si="2664"/>
        <v>89301000</v>
      </c>
      <c r="B14916" t="str">
        <f t="shared" si="2662"/>
        <v>78051000</v>
      </c>
      <c r="C14916" t="str">
        <f t="shared" si="2663"/>
        <v>78051004</v>
      </c>
      <c r="D14916">
        <v>89301062</v>
      </c>
      <c r="E14916" t="str">
        <f>"8654206143"</f>
        <v>8654206143</v>
      </c>
      <c r="F14916" s="1">
        <v>45265</v>
      </c>
      <c r="G14916" t="str">
        <f>"0225891"</f>
        <v>0225891</v>
      </c>
      <c r="H14916">
        <v>0.2</v>
      </c>
      <c r="J14916">
        <v>44.65</v>
      </c>
      <c r="K14916" t="str">
        <f t="shared" si="2665"/>
        <v>809</v>
      </c>
      <c r="L14916">
        <v>44.65</v>
      </c>
    </row>
    <row r="14917" spans="1:12" x14ac:dyDescent="0.25">
      <c r="A14917" t="str">
        <f t="shared" si="2664"/>
        <v>89301000</v>
      </c>
      <c r="B14917" t="str">
        <f t="shared" si="2662"/>
        <v>78051000</v>
      </c>
      <c r="C14917" t="str">
        <f t="shared" si="2663"/>
        <v>78051004</v>
      </c>
      <c r="D14917">
        <v>89301062</v>
      </c>
      <c r="E14917" t="str">
        <f>"8654206143"</f>
        <v>8654206143</v>
      </c>
      <c r="F14917" s="1">
        <v>45265</v>
      </c>
      <c r="G14917" t="str">
        <f>"0096251"</f>
        <v>0096251</v>
      </c>
      <c r="H14917">
        <v>0.17</v>
      </c>
      <c r="J14917">
        <v>198.83</v>
      </c>
      <c r="K14917" t="str">
        <f t="shared" si="2665"/>
        <v>809</v>
      </c>
      <c r="L14917">
        <v>198.83</v>
      </c>
    </row>
    <row r="14918" spans="1:12" x14ac:dyDescent="0.25">
      <c r="A14918" t="str">
        <f t="shared" si="2664"/>
        <v>89301000</v>
      </c>
      <c r="B14918" t="str">
        <f t="shared" si="2662"/>
        <v>78051000</v>
      </c>
      <c r="C14918" t="str">
        <f t="shared" si="2663"/>
        <v>78051004</v>
      </c>
      <c r="D14918">
        <v>89301062</v>
      </c>
      <c r="E14918" t="str">
        <f>"8654206143"</f>
        <v>8654206143</v>
      </c>
      <c r="F14918" s="1">
        <v>45265</v>
      </c>
      <c r="G14918" t="str">
        <f>"0098943"</f>
        <v>0098943</v>
      </c>
      <c r="H14918">
        <v>1</v>
      </c>
      <c r="J14918">
        <v>293.81</v>
      </c>
      <c r="K14918" t="str">
        <f t="shared" si="2665"/>
        <v>809</v>
      </c>
      <c r="L14918">
        <v>293.81</v>
      </c>
    </row>
    <row r="14919" spans="1:12" x14ac:dyDescent="0.25">
      <c r="A14919" t="str">
        <f t="shared" si="2664"/>
        <v>89301000</v>
      </c>
      <c r="B14919" t="str">
        <f t="shared" si="2662"/>
        <v>78051000</v>
      </c>
      <c r="C14919" t="str">
        <f t="shared" si="2663"/>
        <v>78051004</v>
      </c>
      <c r="D14919">
        <v>89301062</v>
      </c>
      <c r="E14919" t="str">
        <f>"8110275118"</f>
        <v>8110275118</v>
      </c>
      <c r="F14919" s="1">
        <v>45265</v>
      </c>
      <c r="G14919" t="str">
        <f>"89311"</f>
        <v>89311</v>
      </c>
      <c r="H14919">
        <v>1</v>
      </c>
      <c r="I14919">
        <v>970</v>
      </c>
      <c r="J14919">
        <v>0</v>
      </c>
      <c r="K14919" t="str">
        <f t="shared" si="2665"/>
        <v>809</v>
      </c>
      <c r="L14919">
        <v>1425.9</v>
      </c>
    </row>
    <row r="14920" spans="1:12" x14ac:dyDescent="0.25">
      <c r="A14920" t="str">
        <f t="shared" si="2664"/>
        <v>89301000</v>
      </c>
      <c r="B14920" t="str">
        <f t="shared" si="2662"/>
        <v>78051000</v>
      </c>
      <c r="C14920" t="str">
        <f t="shared" si="2663"/>
        <v>78051004</v>
      </c>
      <c r="D14920">
        <v>89301062</v>
      </c>
      <c r="E14920" t="str">
        <f>"8110275118"</f>
        <v>8110275118</v>
      </c>
      <c r="F14920" s="1">
        <v>45265</v>
      </c>
      <c r="G14920" t="str">
        <f>"0090044"</f>
        <v>0090044</v>
      </c>
      <c r="H14920">
        <v>1</v>
      </c>
      <c r="J14920">
        <v>16.8</v>
      </c>
      <c r="K14920" t="str">
        <f t="shared" si="2665"/>
        <v>809</v>
      </c>
      <c r="L14920">
        <v>16.8</v>
      </c>
    </row>
    <row r="14921" spans="1:12" x14ac:dyDescent="0.25">
      <c r="A14921" t="str">
        <f t="shared" si="2664"/>
        <v>89301000</v>
      </c>
      <c r="B14921" t="str">
        <f t="shared" si="2662"/>
        <v>78051000</v>
      </c>
      <c r="C14921" t="str">
        <f t="shared" si="2663"/>
        <v>78051004</v>
      </c>
      <c r="D14921">
        <v>89301062</v>
      </c>
      <c r="E14921" t="str">
        <f>"8110275118"</f>
        <v>8110275118</v>
      </c>
      <c r="F14921" s="1">
        <v>45265</v>
      </c>
      <c r="G14921" t="str">
        <f>"0225891"</f>
        <v>0225891</v>
      </c>
      <c r="H14921">
        <v>0.2</v>
      </c>
      <c r="J14921">
        <v>44.65</v>
      </c>
      <c r="K14921" t="str">
        <f t="shared" si="2665"/>
        <v>809</v>
      </c>
      <c r="L14921">
        <v>44.65</v>
      </c>
    </row>
    <row r="14922" spans="1:12" x14ac:dyDescent="0.25">
      <c r="A14922" t="str">
        <f t="shared" si="2664"/>
        <v>89301000</v>
      </c>
      <c r="B14922" t="str">
        <f t="shared" si="2662"/>
        <v>78051000</v>
      </c>
      <c r="C14922" t="str">
        <f t="shared" si="2663"/>
        <v>78051004</v>
      </c>
      <c r="D14922">
        <v>89301062</v>
      </c>
      <c r="E14922" t="str">
        <f>"8110275118"</f>
        <v>8110275118</v>
      </c>
      <c r="F14922" s="1">
        <v>45265</v>
      </c>
      <c r="G14922" t="str">
        <f>"0096251"</f>
        <v>0096251</v>
      </c>
      <c r="H14922">
        <v>0.17</v>
      </c>
      <c r="J14922">
        <v>198.83</v>
      </c>
      <c r="K14922" t="str">
        <f t="shared" si="2665"/>
        <v>809</v>
      </c>
      <c r="L14922">
        <v>198.83</v>
      </c>
    </row>
    <row r="14923" spans="1:12" x14ac:dyDescent="0.25">
      <c r="A14923" t="str">
        <f t="shared" si="2664"/>
        <v>89301000</v>
      </c>
      <c r="B14923" t="str">
        <f t="shared" si="2662"/>
        <v>78051000</v>
      </c>
      <c r="C14923" t="str">
        <f t="shared" si="2663"/>
        <v>78051004</v>
      </c>
      <c r="D14923">
        <v>89301062</v>
      </c>
      <c r="E14923" t="str">
        <f>"8110275118"</f>
        <v>8110275118</v>
      </c>
      <c r="F14923" s="1">
        <v>45265</v>
      </c>
      <c r="G14923" t="str">
        <f>"0098943"</f>
        <v>0098943</v>
      </c>
      <c r="H14923">
        <v>1</v>
      </c>
      <c r="J14923">
        <v>293.81</v>
      </c>
      <c r="K14923" t="str">
        <f t="shared" si="2665"/>
        <v>809</v>
      </c>
      <c r="L14923">
        <v>293.81</v>
      </c>
    </row>
    <row r="14924" spans="1:12" x14ac:dyDescent="0.25">
      <c r="A14924" t="str">
        <f t="shared" si="2664"/>
        <v>89301000</v>
      </c>
      <c r="B14924" t="str">
        <f t="shared" si="2662"/>
        <v>78051000</v>
      </c>
      <c r="C14924" t="str">
        <f t="shared" si="2663"/>
        <v>78051004</v>
      </c>
      <c r="D14924">
        <v>89301062</v>
      </c>
      <c r="E14924" t="str">
        <f>"5901282145"</f>
        <v>5901282145</v>
      </c>
      <c r="F14924" s="1">
        <v>45273</v>
      </c>
      <c r="G14924" t="str">
        <f>"89311"</f>
        <v>89311</v>
      </c>
      <c r="H14924">
        <v>1</v>
      </c>
      <c r="I14924">
        <v>970</v>
      </c>
      <c r="J14924">
        <v>0</v>
      </c>
      <c r="K14924" t="str">
        <f t="shared" si="2665"/>
        <v>809</v>
      </c>
      <c r="L14924">
        <v>1425.9</v>
      </c>
    </row>
    <row r="14925" spans="1:12" x14ac:dyDescent="0.25">
      <c r="A14925" t="str">
        <f t="shared" si="2664"/>
        <v>89301000</v>
      </c>
      <c r="B14925" t="str">
        <f t="shared" si="2662"/>
        <v>78051000</v>
      </c>
      <c r="C14925" t="str">
        <f t="shared" si="2663"/>
        <v>78051004</v>
      </c>
      <c r="D14925">
        <v>89301062</v>
      </c>
      <c r="E14925" t="str">
        <f>"5901282145"</f>
        <v>5901282145</v>
      </c>
      <c r="F14925" s="1">
        <v>45273</v>
      </c>
      <c r="G14925" t="str">
        <f>"0090044"</f>
        <v>0090044</v>
      </c>
      <c r="H14925">
        <v>1</v>
      </c>
      <c r="J14925">
        <v>16.8</v>
      </c>
      <c r="K14925" t="str">
        <f t="shared" si="2665"/>
        <v>809</v>
      </c>
      <c r="L14925">
        <v>16.8</v>
      </c>
    </row>
    <row r="14926" spans="1:12" x14ac:dyDescent="0.25">
      <c r="A14926" t="str">
        <f t="shared" si="2664"/>
        <v>89301000</v>
      </c>
      <c r="B14926" t="str">
        <f t="shared" si="2662"/>
        <v>78051000</v>
      </c>
      <c r="C14926" t="str">
        <f t="shared" si="2663"/>
        <v>78051004</v>
      </c>
      <c r="D14926">
        <v>89301062</v>
      </c>
      <c r="E14926" t="str">
        <f>"5901282145"</f>
        <v>5901282145</v>
      </c>
      <c r="F14926" s="1">
        <v>45273</v>
      </c>
      <c r="G14926" t="str">
        <f>"0225891"</f>
        <v>0225891</v>
      </c>
      <c r="H14926">
        <v>0.2</v>
      </c>
      <c r="J14926">
        <v>44.65</v>
      </c>
      <c r="K14926" t="str">
        <f t="shared" si="2665"/>
        <v>809</v>
      </c>
      <c r="L14926">
        <v>44.65</v>
      </c>
    </row>
    <row r="14927" spans="1:12" x14ac:dyDescent="0.25">
      <c r="A14927" t="str">
        <f t="shared" si="2664"/>
        <v>89301000</v>
      </c>
      <c r="B14927" t="str">
        <f t="shared" si="2662"/>
        <v>78051000</v>
      </c>
      <c r="C14927" t="str">
        <f t="shared" si="2663"/>
        <v>78051004</v>
      </c>
      <c r="D14927">
        <v>89301062</v>
      </c>
      <c r="E14927" t="str">
        <f>"5901282145"</f>
        <v>5901282145</v>
      </c>
      <c r="F14927" s="1">
        <v>45273</v>
      </c>
      <c r="G14927" t="str">
        <f>"0096251"</f>
        <v>0096251</v>
      </c>
      <c r="H14927">
        <v>0.17</v>
      </c>
      <c r="J14927">
        <v>198.83</v>
      </c>
      <c r="K14927" t="str">
        <f t="shared" si="2665"/>
        <v>809</v>
      </c>
      <c r="L14927">
        <v>198.83</v>
      </c>
    </row>
    <row r="14928" spans="1:12" x14ac:dyDescent="0.25">
      <c r="A14928" t="str">
        <f t="shared" si="2664"/>
        <v>89301000</v>
      </c>
      <c r="B14928" t="str">
        <f t="shared" si="2662"/>
        <v>78051000</v>
      </c>
      <c r="C14928" t="str">
        <f t="shared" si="2663"/>
        <v>78051004</v>
      </c>
      <c r="D14928">
        <v>89301062</v>
      </c>
      <c r="E14928" t="str">
        <f>"5901282145"</f>
        <v>5901282145</v>
      </c>
      <c r="F14928" s="1">
        <v>45273</v>
      </c>
      <c r="G14928" t="str">
        <f>"0098943"</f>
        <v>0098943</v>
      </c>
      <c r="H14928">
        <v>1</v>
      </c>
      <c r="J14928">
        <v>293.81</v>
      </c>
      <c r="K14928" t="str">
        <f t="shared" si="2665"/>
        <v>809</v>
      </c>
      <c r="L14928">
        <v>293.81</v>
      </c>
    </row>
    <row r="14929" spans="1:12" x14ac:dyDescent="0.25">
      <c r="A14929" t="str">
        <f t="shared" si="2664"/>
        <v>89301000</v>
      </c>
      <c r="B14929" t="str">
        <f t="shared" si="2662"/>
        <v>78051000</v>
      </c>
      <c r="C14929" t="str">
        <f t="shared" si="2663"/>
        <v>78051004</v>
      </c>
      <c r="D14929">
        <v>89301062</v>
      </c>
      <c r="E14929" t="str">
        <f>"6912084850"</f>
        <v>6912084850</v>
      </c>
      <c r="F14929" s="1">
        <v>45273</v>
      </c>
      <c r="G14929" t="str">
        <f>"89311"</f>
        <v>89311</v>
      </c>
      <c r="H14929">
        <v>1</v>
      </c>
      <c r="I14929">
        <v>970</v>
      </c>
      <c r="J14929">
        <v>0</v>
      </c>
      <c r="K14929" t="str">
        <f t="shared" si="2665"/>
        <v>809</v>
      </c>
      <c r="L14929">
        <v>1425.9</v>
      </c>
    </row>
    <row r="14930" spans="1:12" x14ac:dyDescent="0.25">
      <c r="A14930" t="str">
        <f t="shared" si="2664"/>
        <v>89301000</v>
      </c>
      <c r="B14930" t="str">
        <f t="shared" si="2662"/>
        <v>78051000</v>
      </c>
      <c r="C14930" t="str">
        <f t="shared" si="2663"/>
        <v>78051004</v>
      </c>
      <c r="D14930">
        <v>89301062</v>
      </c>
      <c r="E14930" t="str">
        <f>"6912084850"</f>
        <v>6912084850</v>
      </c>
      <c r="F14930" s="1">
        <v>45273</v>
      </c>
      <c r="G14930" t="str">
        <f>"0090044"</f>
        <v>0090044</v>
      </c>
      <c r="H14930">
        <v>1</v>
      </c>
      <c r="J14930">
        <v>16.8</v>
      </c>
      <c r="K14930" t="str">
        <f t="shared" si="2665"/>
        <v>809</v>
      </c>
      <c r="L14930">
        <v>16.8</v>
      </c>
    </row>
    <row r="14931" spans="1:12" x14ac:dyDescent="0.25">
      <c r="A14931" t="str">
        <f t="shared" si="2664"/>
        <v>89301000</v>
      </c>
      <c r="B14931" t="str">
        <f t="shared" ref="B14931:B14965" si="2666">"78051000"</f>
        <v>78051000</v>
      </c>
      <c r="C14931" t="str">
        <f t="shared" ref="C14931:C14953" si="2667">"78051004"</f>
        <v>78051004</v>
      </c>
      <c r="D14931">
        <v>89301062</v>
      </c>
      <c r="E14931" t="str">
        <f>"6912084850"</f>
        <v>6912084850</v>
      </c>
      <c r="F14931" s="1">
        <v>45273</v>
      </c>
      <c r="G14931" t="str">
        <f>"0225891"</f>
        <v>0225891</v>
      </c>
      <c r="H14931">
        <v>0.2</v>
      </c>
      <c r="J14931">
        <v>44.65</v>
      </c>
      <c r="K14931" t="str">
        <f t="shared" si="2665"/>
        <v>809</v>
      </c>
      <c r="L14931">
        <v>44.65</v>
      </c>
    </row>
    <row r="14932" spans="1:12" x14ac:dyDescent="0.25">
      <c r="A14932" t="str">
        <f t="shared" si="2664"/>
        <v>89301000</v>
      </c>
      <c r="B14932" t="str">
        <f t="shared" si="2666"/>
        <v>78051000</v>
      </c>
      <c r="C14932" t="str">
        <f t="shared" si="2667"/>
        <v>78051004</v>
      </c>
      <c r="D14932">
        <v>89301062</v>
      </c>
      <c r="E14932" t="str">
        <f>"6912084850"</f>
        <v>6912084850</v>
      </c>
      <c r="F14932" s="1">
        <v>45273</v>
      </c>
      <c r="G14932" t="str">
        <f>"0096251"</f>
        <v>0096251</v>
      </c>
      <c r="H14932">
        <v>0.17</v>
      </c>
      <c r="J14932">
        <v>198.83</v>
      </c>
      <c r="K14932" t="str">
        <f t="shared" si="2665"/>
        <v>809</v>
      </c>
      <c r="L14932">
        <v>198.83</v>
      </c>
    </row>
    <row r="14933" spans="1:12" x14ac:dyDescent="0.25">
      <c r="A14933" t="str">
        <f t="shared" si="2664"/>
        <v>89301000</v>
      </c>
      <c r="B14933" t="str">
        <f t="shared" si="2666"/>
        <v>78051000</v>
      </c>
      <c r="C14933" t="str">
        <f t="shared" si="2667"/>
        <v>78051004</v>
      </c>
      <c r="D14933">
        <v>89301062</v>
      </c>
      <c r="E14933" t="str">
        <f>"6912084850"</f>
        <v>6912084850</v>
      </c>
      <c r="F14933" s="1">
        <v>45273</v>
      </c>
      <c r="G14933" t="str">
        <f>"0098943"</f>
        <v>0098943</v>
      </c>
      <c r="H14933">
        <v>1</v>
      </c>
      <c r="J14933">
        <v>293.81</v>
      </c>
      <c r="K14933" t="str">
        <f t="shared" si="2665"/>
        <v>809</v>
      </c>
      <c r="L14933">
        <v>293.81</v>
      </c>
    </row>
    <row r="14934" spans="1:12" x14ac:dyDescent="0.25">
      <c r="A14934" t="str">
        <f t="shared" si="2664"/>
        <v>89301000</v>
      </c>
      <c r="B14934" t="str">
        <f t="shared" si="2666"/>
        <v>78051000</v>
      </c>
      <c r="C14934" t="str">
        <f t="shared" si="2667"/>
        <v>78051004</v>
      </c>
      <c r="D14934">
        <v>89301062</v>
      </c>
      <c r="E14934" t="str">
        <f>"531128222"</f>
        <v>531128222</v>
      </c>
      <c r="F14934" s="1">
        <v>45273</v>
      </c>
      <c r="G14934" t="str">
        <f>"89311"</f>
        <v>89311</v>
      </c>
      <c r="H14934">
        <v>1</v>
      </c>
      <c r="I14934">
        <v>970</v>
      </c>
      <c r="J14934">
        <v>0</v>
      </c>
      <c r="K14934" t="str">
        <f t="shared" si="2665"/>
        <v>809</v>
      </c>
      <c r="L14934">
        <v>1425.9</v>
      </c>
    </row>
    <row r="14935" spans="1:12" x14ac:dyDescent="0.25">
      <c r="A14935" t="str">
        <f t="shared" si="2664"/>
        <v>89301000</v>
      </c>
      <c r="B14935" t="str">
        <f t="shared" si="2666"/>
        <v>78051000</v>
      </c>
      <c r="C14935" t="str">
        <f t="shared" si="2667"/>
        <v>78051004</v>
      </c>
      <c r="D14935">
        <v>89301062</v>
      </c>
      <c r="E14935" t="str">
        <f>"531128222"</f>
        <v>531128222</v>
      </c>
      <c r="F14935" s="1">
        <v>45273</v>
      </c>
      <c r="G14935" t="str">
        <f>"0090044"</f>
        <v>0090044</v>
      </c>
      <c r="H14935">
        <v>1</v>
      </c>
      <c r="J14935">
        <v>16.8</v>
      </c>
      <c r="K14935" t="str">
        <f t="shared" si="2665"/>
        <v>809</v>
      </c>
      <c r="L14935">
        <v>16.8</v>
      </c>
    </row>
    <row r="14936" spans="1:12" x14ac:dyDescent="0.25">
      <c r="A14936" t="str">
        <f t="shared" si="2664"/>
        <v>89301000</v>
      </c>
      <c r="B14936" t="str">
        <f t="shared" si="2666"/>
        <v>78051000</v>
      </c>
      <c r="C14936" t="str">
        <f t="shared" si="2667"/>
        <v>78051004</v>
      </c>
      <c r="D14936">
        <v>89301062</v>
      </c>
      <c r="E14936" t="str">
        <f>"531128222"</f>
        <v>531128222</v>
      </c>
      <c r="F14936" s="1">
        <v>45273</v>
      </c>
      <c r="G14936" t="str">
        <f>"0225891"</f>
        <v>0225891</v>
      </c>
      <c r="H14936">
        <v>0.2</v>
      </c>
      <c r="J14936">
        <v>44.65</v>
      </c>
      <c r="K14936" t="str">
        <f t="shared" si="2665"/>
        <v>809</v>
      </c>
      <c r="L14936">
        <v>44.65</v>
      </c>
    </row>
    <row r="14937" spans="1:12" x14ac:dyDescent="0.25">
      <c r="A14937" t="str">
        <f t="shared" si="2664"/>
        <v>89301000</v>
      </c>
      <c r="B14937" t="str">
        <f t="shared" si="2666"/>
        <v>78051000</v>
      </c>
      <c r="C14937" t="str">
        <f t="shared" si="2667"/>
        <v>78051004</v>
      </c>
      <c r="D14937">
        <v>89301062</v>
      </c>
      <c r="E14937" t="str">
        <f>"531128222"</f>
        <v>531128222</v>
      </c>
      <c r="F14937" s="1">
        <v>45273</v>
      </c>
      <c r="G14937" t="str">
        <f>"0096251"</f>
        <v>0096251</v>
      </c>
      <c r="H14937">
        <v>0.17</v>
      </c>
      <c r="J14937">
        <v>198.83</v>
      </c>
      <c r="K14937" t="str">
        <f t="shared" si="2665"/>
        <v>809</v>
      </c>
      <c r="L14937">
        <v>198.83</v>
      </c>
    </row>
    <row r="14938" spans="1:12" x14ac:dyDescent="0.25">
      <c r="A14938" t="str">
        <f t="shared" si="2664"/>
        <v>89301000</v>
      </c>
      <c r="B14938" t="str">
        <f t="shared" si="2666"/>
        <v>78051000</v>
      </c>
      <c r="C14938" t="str">
        <f t="shared" si="2667"/>
        <v>78051004</v>
      </c>
      <c r="D14938">
        <v>89301062</v>
      </c>
      <c r="E14938" t="str">
        <f>"531128222"</f>
        <v>531128222</v>
      </c>
      <c r="F14938" s="1">
        <v>45273</v>
      </c>
      <c r="G14938" t="str">
        <f>"0098943"</f>
        <v>0098943</v>
      </c>
      <c r="H14938">
        <v>1</v>
      </c>
      <c r="J14938">
        <v>293.81</v>
      </c>
      <c r="K14938" t="str">
        <f t="shared" si="2665"/>
        <v>809</v>
      </c>
      <c r="L14938">
        <v>293.81</v>
      </c>
    </row>
    <row r="14939" spans="1:12" x14ac:dyDescent="0.25">
      <c r="A14939" t="str">
        <f t="shared" si="2664"/>
        <v>89301000</v>
      </c>
      <c r="B14939" t="str">
        <f t="shared" si="2666"/>
        <v>78051000</v>
      </c>
      <c r="C14939" t="str">
        <f t="shared" si="2667"/>
        <v>78051004</v>
      </c>
      <c r="D14939">
        <v>89301062</v>
      </c>
      <c r="E14939" t="str">
        <f>"7555035334"</f>
        <v>7555035334</v>
      </c>
      <c r="F14939" s="1">
        <v>45273</v>
      </c>
      <c r="G14939" t="str">
        <f>"89311"</f>
        <v>89311</v>
      </c>
      <c r="H14939">
        <v>1</v>
      </c>
      <c r="I14939">
        <v>970</v>
      </c>
      <c r="J14939">
        <v>0</v>
      </c>
      <c r="K14939" t="str">
        <f t="shared" si="2665"/>
        <v>809</v>
      </c>
      <c r="L14939">
        <v>1425.9</v>
      </c>
    </row>
    <row r="14940" spans="1:12" x14ac:dyDescent="0.25">
      <c r="A14940" t="str">
        <f t="shared" si="2664"/>
        <v>89301000</v>
      </c>
      <c r="B14940" t="str">
        <f t="shared" si="2666"/>
        <v>78051000</v>
      </c>
      <c r="C14940" t="str">
        <f t="shared" si="2667"/>
        <v>78051004</v>
      </c>
      <c r="D14940">
        <v>89301062</v>
      </c>
      <c r="E14940" t="str">
        <f>"7555035334"</f>
        <v>7555035334</v>
      </c>
      <c r="F14940" s="1">
        <v>45273</v>
      </c>
      <c r="G14940" t="str">
        <f>"0090044"</f>
        <v>0090044</v>
      </c>
      <c r="H14940">
        <v>1</v>
      </c>
      <c r="J14940">
        <v>16.8</v>
      </c>
      <c r="K14940" t="str">
        <f t="shared" si="2665"/>
        <v>809</v>
      </c>
      <c r="L14940">
        <v>16.8</v>
      </c>
    </row>
    <row r="14941" spans="1:12" x14ac:dyDescent="0.25">
      <c r="A14941" t="str">
        <f t="shared" si="2664"/>
        <v>89301000</v>
      </c>
      <c r="B14941" t="str">
        <f t="shared" si="2666"/>
        <v>78051000</v>
      </c>
      <c r="C14941" t="str">
        <f t="shared" si="2667"/>
        <v>78051004</v>
      </c>
      <c r="D14941">
        <v>89301062</v>
      </c>
      <c r="E14941" t="str">
        <f>"7555035334"</f>
        <v>7555035334</v>
      </c>
      <c r="F14941" s="1">
        <v>45273</v>
      </c>
      <c r="G14941" t="str">
        <f>"0225891"</f>
        <v>0225891</v>
      </c>
      <c r="H14941">
        <v>0.2</v>
      </c>
      <c r="J14941">
        <v>44.65</v>
      </c>
      <c r="K14941" t="str">
        <f t="shared" si="2665"/>
        <v>809</v>
      </c>
      <c r="L14941">
        <v>44.65</v>
      </c>
    </row>
    <row r="14942" spans="1:12" x14ac:dyDescent="0.25">
      <c r="A14942" t="str">
        <f t="shared" si="2664"/>
        <v>89301000</v>
      </c>
      <c r="B14942" t="str">
        <f t="shared" si="2666"/>
        <v>78051000</v>
      </c>
      <c r="C14942" t="str">
        <f t="shared" si="2667"/>
        <v>78051004</v>
      </c>
      <c r="D14942">
        <v>89301062</v>
      </c>
      <c r="E14942" t="str">
        <f>"7555035334"</f>
        <v>7555035334</v>
      </c>
      <c r="F14942" s="1">
        <v>45273</v>
      </c>
      <c r="G14942" t="str">
        <f>"0096251"</f>
        <v>0096251</v>
      </c>
      <c r="H14942">
        <v>0.17</v>
      </c>
      <c r="J14942">
        <v>198.83</v>
      </c>
      <c r="K14942" t="str">
        <f t="shared" si="2665"/>
        <v>809</v>
      </c>
      <c r="L14942">
        <v>198.83</v>
      </c>
    </row>
    <row r="14943" spans="1:12" x14ac:dyDescent="0.25">
      <c r="A14943" t="str">
        <f t="shared" si="2664"/>
        <v>89301000</v>
      </c>
      <c r="B14943" t="str">
        <f t="shared" si="2666"/>
        <v>78051000</v>
      </c>
      <c r="C14943" t="str">
        <f t="shared" si="2667"/>
        <v>78051004</v>
      </c>
      <c r="D14943">
        <v>89301062</v>
      </c>
      <c r="E14943" t="str">
        <f>"7555035334"</f>
        <v>7555035334</v>
      </c>
      <c r="F14943" s="1">
        <v>45273</v>
      </c>
      <c r="G14943" t="str">
        <f>"0098943"</f>
        <v>0098943</v>
      </c>
      <c r="H14943">
        <v>1</v>
      </c>
      <c r="J14943">
        <v>293.81</v>
      </c>
      <c r="K14943" t="str">
        <f t="shared" si="2665"/>
        <v>809</v>
      </c>
      <c r="L14943">
        <v>293.81</v>
      </c>
    </row>
    <row r="14944" spans="1:12" x14ac:dyDescent="0.25">
      <c r="A14944" t="str">
        <f t="shared" si="2664"/>
        <v>89301000</v>
      </c>
      <c r="B14944" t="str">
        <f t="shared" si="2666"/>
        <v>78051000</v>
      </c>
      <c r="C14944" t="str">
        <f t="shared" si="2667"/>
        <v>78051004</v>
      </c>
      <c r="D14944">
        <v>89301062</v>
      </c>
      <c r="E14944" t="str">
        <f>"6354191283"</f>
        <v>6354191283</v>
      </c>
      <c r="F14944" s="1">
        <v>45279</v>
      </c>
      <c r="G14944" t="str">
        <f>"89311"</f>
        <v>89311</v>
      </c>
      <c r="H14944">
        <v>1</v>
      </c>
      <c r="I14944">
        <v>970</v>
      </c>
      <c r="J14944">
        <v>0</v>
      </c>
      <c r="K14944" t="str">
        <f t="shared" si="2665"/>
        <v>809</v>
      </c>
      <c r="L14944">
        <v>1425.9</v>
      </c>
    </row>
    <row r="14945" spans="1:12" x14ac:dyDescent="0.25">
      <c r="A14945" t="str">
        <f t="shared" si="2664"/>
        <v>89301000</v>
      </c>
      <c r="B14945" t="str">
        <f t="shared" si="2666"/>
        <v>78051000</v>
      </c>
      <c r="C14945" t="str">
        <f t="shared" si="2667"/>
        <v>78051004</v>
      </c>
      <c r="D14945">
        <v>89301062</v>
      </c>
      <c r="E14945" t="str">
        <f>"6354191283"</f>
        <v>6354191283</v>
      </c>
      <c r="F14945" s="1">
        <v>45279</v>
      </c>
      <c r="G14945" t="str">
        <f>"0090044"</f>
        <v>0090044</v>
      </c>
      <c r="H14945">
        <v>1</v>
      </c>
      <c r="J14945">
        <v>16.8</v>
      </c>
      <c r="K14945" t="str">
        <f t="shared" si="2665"/>
        <v>809</v>
      </c>
      <c r="L14945">
        <v>16.8</v>
      </c>
    </row>
    <row r="14946" spans="1:12" x14ac:dyDescent="0.25">
      <c r="A14946" t="str">
        <f t="shared" si="2664"/>
        <v>89301000</v>
      </c>
      <c r="B14946" t="str">
        <f t="shared" si="2666"/>
        <v>78051000</v>
      </c>
      <c r="C14946" t="str">
        <f t="shared" si="2667"/>
        <v>78051004</v>
      </c>
      <c r="D14946">
        <v>89301062</v>
      </c>
      <c r="E14946" t="str">
        <f>"6354191283"</f>
        <v>6354191283</v>
      </c>
      <c r="F14946" s="1">
        <v>45279</v>
      </c>
      <c r="G14946" t="str">
        <f>"0225891"</f>
        <v>0225891</v>
      </c>
      <c r="H14946">
        <v>0.2</v>
      </c>
      <c r="J14946">
        <v>44.65</v>
      </c>
      <c r="K14946" t="str">
        <f t="shared" ref="K14946:K14953" si="2668">"809"</f>
        <v>809</v>
      </c>
      <c r="L14946">
        <v>44.65</v>
      </c>
    </row>
    <row r="14947" spans="1:12" x14ac:dyDescent="0.25">
      <c r="A14947" t="str">
        <f t="shared" si="2664"/>
        <v>89301000</v>
      </c>
      <c r="B14947" t="str">
        <f t="shared" si="2666"/>
        <v>78051000</v>
      </c>
      <c r="C14947" t="str">
        <f t="shared" si="2667"/>
        <v>78051004</v>
      </c>
      <c r="D14947">
        <v>89301062</v>
      </c>
      <c r="E14947" t="str">
        <f>"6354191283"</f>
        <v>6354191283</v>
      </c>
      <c r="F14947" s="1">
        <v>45279</v>
      </c>
      <c r="G14947" t="str">
        <f>"0096251"</f>
        <v>0096251</v>
      </c>
      <c r="H14947">
        <v>0.17</v>
      </c>
      <c r="J14947">
        <v>198.83</v>
      </c>
      <c r="K14947" t="str">
        <f t="shared" si="2668"/>
        <v>809</v>
      </c>
      <c r="L14947">
        <v>198.83</v>
      </c>
    </row>
    <row r="14948" spans="1:12" x14ac:dyDescent="0.25">
      <c r="A14948" t="str">
        <f t="shared" si="2664"/>
        <v>89301000</v>
      </c>
      <c r="B14948" t="str">
        <f t="shared" si="2666"/>
        <v>78051000</v>
      </c>
      <c r="C14948" t="str">
        <f t="shared" si="2667"/>
        <v>78051004</v>
      </c>
      <c r="D14948">
        <v>89301062</v>
      </c>
      <c r="E14948" t="str">
        <f>"6354191283"</f>
        <v>6354191283</v>
      </c>
      <c r="F14948" s="1">
        <v>45279</v>
      </c>
      <c r="G14948" t="str">
        <f>"0098943"</f>
        <v>0098943</v>
      </c>
      <c r="H14948">
        <v>1</v>
      </c>
      <c r="J14948">
        <v>293.81</v>
      </c>
      <c r="K14948" t="str">
        <f t="shared" si="2668"/>
        <v>809</v>
      </c>
      <c r="L14948">
        <v>293.81</v>
      </c>
    </row>
    <row r="14949" spans="1:12" x14ac:dyDescent="0.25">
      <c r="A14949" t="str">
        <f t="shared" si="2664"/>
        <v>89301000</v>
      </c>
      <c r="B14949" t="str">
        <f t="shared" si="2666"/>
        <v>78051000</v>
      </c>
      <c r="C14949" t="str">
        <f t="shared" si="2667"/>
        <v>78051004</v>
      </c>
      <c r="D14949">
        <v>89301062</v>
      </c>
      <c r="E14949" t="str">
        <f>"530521106"</f>
        <v>530521106</v>
      </c>
      <c r="F14949" s="1">
        <v>45279</v>
      </c>
      <c r="G14949" t="str">
        <f>"89311"</f>
        <v>89311</v>
      </c>
      <c r="H14949">
        <v>1</v>
      </c>
      <c r="I14949">
        <v>970</v>
      </c>
      <c r="J14949">
        <v>0</v>
      </c>
      <c r="K14949" t="str">
        <f t="shared" si="2668"/>
        <v>809</v>
      </c>
      <c r="L14949">
        <v>1425.9</v>
      </c>
    </row>
    <row r="14950" spans="1:12" x14ac:dyDescent="0.25">
      <c r="A14950" t="str">
        <f t="shared" si="2664"/>
        <v>89301000</v>
      </c>
      <c r="B14950" t="str">
        <f t="shared" si="2666"/>
        <v>78051000</v>
      </c>
      <c r="C14950" t="str">
        <f t="shared" si="2667"/>
        <v>78051004</v>
      </c>
      <c r="D14950">
        <v>89301062</v>
      </c>
      <c r="E14950" t="str">
        <f>"530521106"</f>
        <v>530521106</v>
      </c>
      <c r="F14950" s="1">
        <v>45279</v>
      </c>
      <c r="G14950" t="str">
        <f>"0090044"</f>
        <v>0090044</v>
      </c>
      <c r="H14950">
        <v>1</v>
      </c>
      <c r="J14950">
        <v>16.8</v>
      </c>
      <c r="K14950" t="str">
        <f t="shared" si="2668"/>
        <v>809</v>
      </c>
      <c r="L14950">
        <v>16.8</v>
      </c>
    </row>
    <row r="14951" spans="1:12" x14ac:dyDescent="0.25">
      <c r="A14951" t="str">
        <f t="shared" si="2664"/>
        <v>89301000</v>
      </c>
      <c r="B14951" t="str">
        <f t="shared" si="2666"/>
        <v>78051000</v>
      </c>
      <c r="C14951" t="str">
        <f t="shared" si="2667"/>
        <v>78051004</v>
      </c>
      <c r="D14951">
        <v>89301062</v>
      </c>
      <c r="E14951" t="str">
        <f>"530521106"</f>
        <v>530521106</v>
      </c>
      <c r="F14951" s="1">
        <v>45279</v>
      </c>
      <c r="G14951" t="str">
        <f>"0225891"</f>
        <v>0225891</v>
      </c>
      <c r="H14951">
        <v>0.2</v>
      </c>
      <c r="J14951">
        <v>44.65</v>
      </c>
      <c r="K14951" t="str">
        <f t="shared" si="2668"/>
        <v>809</v>
      </c>
      <c r="L14951">
        <v>44.65</v>
      </c>
    </row>
    <row r="14952" spans="1:12" x14ac:dyDescent="0.25">
      <c r="A14952" t="str">
        <f t="shared" si="2664"/>
        <v>89301000</v>
      </c>
      <c r="B14952" t="str">
        <f t="shared" si="2666"/>
        <v>78051000</v>
      </c>
      <c r="C14952" t="str">
        <f t="shared" si="2667"/>
        <v>78051004</v>
      </c>
      <c r="D14952">
        <v>89301062</v>
      </c>
      <c r="E14952" t="str">
        <f>"530521106"</f>
        <v>530521106</v>
      </c>
      <c r="F14952" s="1">
        <v>45279</v>
      </c>
      <c r="G14952" t="str">
        <f>"0096251"</f>
        <v>0096251</v>
      </c>
      <c r="H14952">
        <v>0.17</v>
      </c>
      <c r="J14952">
        <v>198.83</v>
      </c>
      <c r="K14952" t="str">
        <f t="shared" si="2668"/>
        <v>809</v>
      </c>
      <c r="L14952">
        <v>198.83</v>
      </c>
    </row>
    <row r="14953" spans="1:12" x14ac:dyDescent="0.25">
      <c r="A14953" t="str">
        <f t="shared" si="2664"/>
        <v>89301000</v>
      </c>
      <c r="B14953" t="str">
        <f t="shared" si="2666"/>
        <v>78051000</v>
      </c>
      <c r="C14953" t="str">
        <f t="shared" si="2667"/>
        <v>78051004</v>
      </c>
      <c r="D14953">
        <v>89301062</v>
      </c>
      <c r="E14953" t="str">
        <f>"530521106"</f>
        <v>530521106</v>
      </c>
      <c r="F14953" s="1">
        <v>45279</v>
      </c>
      <c r="G14953" t="str">
        <f>"0098943"</f>
        <v>0098943</v>
      </c>
      <c r="H14953">
        <v>1</v>
      </c>
      <c r="J14953">
        <v>293.81</v>
      </c>
      <c r="K14953" t="str">
        <f t="shared" si="2668"/>
        <v>809</v>
      </c>
      <c r="L14953">
        <v>293.81</v>
      </c>
    </row>
    <row r="14954" spans="1:12" x14ac:dyDescent="0.25">
      <c r="A14954" t="str">
        <f t="shared" si="2664"/>
        <v>89301000</v>
      </c>
      <c r="B14954" t="str">
        <f t="shared" si="2666"/>
        <v>78051000</v>
      </c>
      <c r="C14954" t="str">
        <f t="shared" ref="C14954:C14965" si="2669">"78051017"</f>
        <v>78051017</v>
      </c>
      <c r="D14954">
        <v>89301062</v>
      </c>
      <c r="E14954" t="str">
        <f>"8451175766"</f>
        <v>8451175766</v>
      </c>
      <c r="F14954" s="1">
        <v>45265</v>
      </c>
      <c r="G14954" t="str">
        <f t="shared" ref="G14954:G14965" si="2670">"89615"</f>
        <v>89615</v>
      </c>
      <c r="H14954">
        <v>1</v>
      </c>
      <c r="I14954">
        <v>2199</v>
      </c>
      <c r="J14954">
        <v>0</v>
      </c>
      <c r="K14954" t="str">
        <f t="shared" ref="K14954:K14965" si="2671">"810"</f>
        <v>810</v>
      </c>
      <c r="L14954">
        <v>1429.35</v>
      </c>
    </row>
    <row r="14955" spans="1:12" x14ac:dyDescent="0.25">
      <c r="A14955" t="str">
        <f t="shared" si="2664"/>
        <v>89301000</v>
      </c>
      <c r="B14955" t="str">
        <f t="shared" si="2666"/>
        <v>78051000</v>
      </c>
      <c r="C14955" t="str">
        <f t="shared" si="2669"/>
        <v>78051017</v>
      </c>
      <c r="D14955">
        <v>89301062</v>
      </c>
      <c r="E14955" t="str">
        <f>"520429041"</f>
        <v>520429041</v>
      </c>
      <c r="F14955" s="1">
        <v>45265</v>
      </c>
      <c r="G14955" t="str">
        <f t="shared" si="2670"/>
        <v>89615</v>
      </c>
      <c r="H14955">
        <v>1</v>
      </c>
      <c r="I14955">
        <v>2199</v>
      </c>
      <c r="J14955">
        <v>0</v>
      </c>
      <c r="K14955" t="str">
        <f t="shared" si="2671"/>
        <v>810</v>
      </c>
      <c r="L14955">
        <v>1429.35</v>
      </c>
    </row>
    <row r="14956" spans="1:12" x14ac:dyDescent="0.25">
      <c r="A14956" t="str">
        <f t="shared" si="2664"/>
        <v>89301000</v>
      </c>
      <c r="B14956" t="str">
        <f t="shared" si="2666"/>
        <v>78051000</v>
      </c>
      <c r="C14956" t="str">
        <f t="shared" si="2669"/>
        <v>78051017</v>
      </c>
      <c r="D14956">
        <v>89301062</v>
      </c>
      <c r="E14956" t="str">
        <f>"7154139927"</f>
        <v>7154139927</v>
      </c>
      <c r="F14956" s="1">
        <v>45265</v>
      </c>
      <c r="G14956" t="str">
        <f t="shared" si="2670"/>
        <v>89615</v>
      </c>
      <c r="H14956">
        <v>1</v>
      </c>
      <c r="I14956">
        <v>2199</v>
      </c>
      <c r="J14956">
        <v>0</v>
      </c>
      <c r="K14956" t="str">
        <f t="shared" si="2671"/>
        <v>810</v>
      </c>
      <c r="L14956">
        <v>1429.35</v>
      </c>
    </row>
    <row r="14957" spans="1:12" x14ac:dyDescent="0.25">
      <c r="A14957" t="str">
        <f t="shared" si="2664"/>
        <v>89301000</v>
      </c>
      <c r="B14957" t="str">
        <f t="shared" si="2666"/>
        <v>78051000</v>
      </c>
      <c r="C14957" t="str">
        <f t="shared" si="2669"/>
        <v>78051017</v>
      </c>
      <c r="D14957">
        <v>89301062</v>
      </c>
      <c r="E14957" t="str">
        <f>"8654206143"</f>
        <v>8654206143</v>
      </c>
      <c r="F14957" s="1">
        <v>45265</v>
      </c>
      <c r="G14957" t="str">
        <f t="shared" si="2670"/>
        <v>89615</v>
      </c>
      <c r="H14957">
        <v>1</v>
      </c>
      <c r="I14957">
        <v>2199</v>
      </c>
      <c r="J14957">
        <v>0</v>
      </c>
      <c r="K14957" t="str">
        <f t="shared" si="2671"/>
        <v>810</v>
      </c>
      <c r="L14957">
        <v>1429.35</v>
      </c>
    </row>
    <row r="14958" spans="1:12" x14ac:dyDescent="0.25">
      <c r="A14958" t="str">
        <f t="shared" si="2664"/>
        <v>89301000</v>
      </c>
      <c r="B14958" t="str">
        <f t="shared" si="2666"/>
        <v>78051000</v>
      </c>
      <c r="C14958" t="str">
        <f t="shared" si="2669"/>
        <v>78051017</v>
      </c>
      <c r="D14958">
        <v>89301062</v>
      </c>
      <c r="E14958" t="str">
        <f>"8110275118"</f>
        <v>8110275118</v>
      </c>
      <c r="F14958" s="1">
        <v>45265</v>
      </c>
      <c r="G14958" t="str">
        <f t="shared" si="2670"/>
        <v>89615</v>
      </c>
      <c r="H14958">
        <v>1</v>
      </c>
      <c r="I14958">
        <v>2199</v>
      </c>
      <c r="J14958">
        <v>0</v>
      </c>
      <c r="K14958" t="str">
        <f t="shared" si="2671"/>
        <v>810</v>
      </c>
      <c r="L14958">
        <v>1429.35</v>
      </c>
    </row>
    <row r="14959" spans="1:12" x14ac:dyDescent="0.25">
      <c r="A14959" t="str">
        <f t="shared" si="2664"/>
        <v>89301000</v>
      </c>
      <c r="B14959" t="str">
        <f t="shared" si="2666"/>
        <v>78051000</v>
      </c>
      <c r="C14959" t="str">
        <f t="shared" si="2669"/>
        <v>78051017</v>
      </c>
      <c r="D14959">
        <v>89301062</v>
      </c>
      <c r="E14959" t="str">
        <f>"526220112"</f>
        <v>526220112</v>
      </c>
      <c r="F14959" s="1">
        <v>45272</v>
      </c>
      <c r="G14959" t="str">
        <f t="shared" si="2670"/>
        <v>89615</v>
      </c>
      <c r="H14959">
        <v>1</v>
      </c>
      <c r="I14959">
        <v>2199</v>
      </c>
      <c r="J14959">
        <v>0</v>
      </c>
      <c r="K14959" t="str">
        <f t="shared" si="2671"/>
        <v>810</v>
      </c>
      <c r="L14959">
        <v>1429.35</v>
      </c>
    </row>
    <row r="14960" spans="1:12" x14ac:dyDescent="0.25">
      <c r="A14960" t="str">
        <f t="shared" si="2664"/>
        <v>89301000</v>
      </c>
      <c r="B14960" t="str">
        <f t="shared" si="2666"/>
        <v>78051000</v>
      </c>
      <c r="C14960" t="str">
        <f t="shared" si="2669"/>
        <v>78051017</v>
      </c>
      <c r="D14960">
        <v>89301062</v>
      </c>
      <c r="E14960" t="str">
        <f>"5901282145"</f>
        <v>5901282145</v>
      </c>
      <c r="F14960" s="1">
        <v>45273</v>
      </c>
      <c r="G14960" t="str">
        <f t="shared" si="2670"/>
        <v>89615</v>
      </c>
      <c r="H14960">
        <v>1</v>
      </c>
      <c r="I14960">
        <v>2199</v>
      </c>
      <c r="J14960">
        <v>0</v>
      </c>
      <c r="K14960" t="str">
        <f t="shared" si="2671"/>
        <v>810</v>
      </c>
      <c r="L14960">
        <v>1429.35</v>
      </c>
    </row>
    <row r="14961" spans="1:12" x14ac:dyDescent="0.25">
      <c r="A14961" t="str">
        <f t="shared" si="2664"/>
        <v>89301000</v>
      </c>
      <c r="B14961" t="str">
        <f t="shared" si="2666"/>
        <v>78051000</v>
      </c>
      <c r="C14961" t="str">
        <f t="shared" si="2669"/>
        <v>78051017</v>
      </c>
      <c r="D14961">
        <v>89301062</v>
      </c>
      <c r="E14961" t="str">
        <f>"6912084850"</f>
        <v>6912084850</v>
      </c>
      <c r="F14961" s="1">
        <v>45273</v>
      </c>
      <c r="G14961" t="str">
        <f t="shared" si="2670"/>
        <v>89615</v>
      </c>
      <c r="H14961">
        <v>1</v>
      </c>
      <c r="I14961">
        <v>2199</v>
      </c>
      <c r="J14961">
        <v>0</v>
      </c>
      <c r="K14961" t="str">
        <f t="shared" si="2671"/>
        <v>810</v>
      </c>
      <c r="L14961">
        <v>1429.35</v>
      </c>
    </row>
    <row r="14962" spans="1:12" x14ac:dyDescent="0.25">
      <c r="A14962" t="str">
        <f t="shared" si="2664"/>
        <v>89301000</v>
      </c>
      <c r="B14962" t="str">
        <f t="shared" si="2666"/>
        <v>78051000</v>
      </c>
      <c r="C14962" t="str">
        <f t="shared" si="2669"/>
        <v>78051017</v>
      </c>
      <c r="D14962">
        <v>89301062</v>
      </c>
      <c r="E14962" t="str">
        <f>"531128222"</f>
        <v>531128222</v>
      </c>
      <c r="F14962" s="1">
        <v>45273</v>
      </c>
      <c r="G14962" t="str">
        <f t="shared" si="2670"/>
        <v>89615</v>
      </c>
      <c r="H14962">
        <v>1</v>
      </c>
      <c r="I14962">
        <v>2199</v>
      </c>
      <c r="J14962">
        <v>0</v>
      </c>
      <c r="K14962" t="str">
        <f t="shared" si="2671"/>
        <v>810</v>
      </c>
      <c r="L14962">
        <v>1429.35</v>
      </c>
    </row>
    <row r="14963" spans="1:12" x14ac:dyDescent="0.25">
      <c r="A14963" t="str">
        <f t="shared" si="2664"/>
        <v>89301000</v>
      </c>
      <c r="B14963" t="str">
        <f t="shared" si="2666"/>
        <v>78051000</v>
      </c>
      <c r="C14963" t="str">
        <f t="shared" si="2669"/>
        <v>78051017</v>
      </c>
      <c r="D14963">
        <v>89301062</v>
      </c>
      <c r="E14963" t="str">
        <f>"7555035334"</f>
        <v>7555035334</v>
      </c>
      <c r="F14963" s="1">
        <v>45273</v>
      </c>
      <c r="G14963" t="str">
        <f t="shared" si="2670"/>
        <v>89615</v>
      </c>
      <c r="H14963">
        <v>1</v>
      </c>
      <c r="I14963">
        <v>2199</v>
      </c>
      <c r="J14963">
        <v>0</v>
      </c>
      <c r="K14963" t="str">
        <f t="shared" si="2671"/>
        <v>810</v>
      </c>
      <c r="L14963">
        <v>1429.35</v>
      </c>
    </row>
    <row r="14964" spans="1:12" x14ac:dyDescent="0.25">
      <c r="A14964" t="str">
        <f t="shared" si="2664"/>
        <v>89301000</v>
      </c>
      <c r="B14964" t="str">
        <f t="shared" si="2666"/>
        <v>78051000</v>
      </c>
      <c r="C14964" t="str">
        <f t="shared" si="2669"/>
        <v>78051017</v>
      </c>
      <c r="D14964">
        <v>89301062</v>
      </c>
      <c r="E14964" t="str">
        <f>"6354191283"</f>
        <v>6354191283</v>
      </c>
      <c r="F14964" s="1">
        <v>45279</v>
      </c>
      <c r="G14964" t="str">
        <f t="shared" si="2670"/>
        <v>89615</v>
      </c>
      <c r="H14964">
        <v>1</v>
      </c>
      <c r="I14964">
        <v>2199</v>
      </c>
      <c r="J14964">
        <v>0</v>
      </c>
      <c r="K14964" t="str">
        <f t="shared" si="2671"/>
        <v>810</v>
      </c>
      <c r="L14964">
        <v>1429.35</v>
      </c>
    </row>
    <row r="14965" spans="1:12" x14ac:dyDescent="0.25">
      <c r="A14965" t="str">
        <f t="shared" si="2664"/>
        <v>89301000</v>
      </c>
      <c r="B14965" t="str">
        <f t="shared" si="2666"/>
        <v>78051000</v>
      </c>
      <c r="C14965" t="str">
        <f t="shared" si="2669"/>
        <v>78051017</v>
      </c>
      <c r="D14965">
        <v>89301062</v>
      </c>
      <c r="E14965" t="str">
        <f>"530521106"</f>
        <v>530521106</v>
      </c>
      <c r="F14965" s="1">
        <v>45279</v>
      </c>
      <c r="G14965" t="str">
        <f t="shared" si="2670"/>
        <v>89615</v>
      </c>
      <c r="H14965">
        <v>1</v>
      </c>
      <c r="I14965">
        <v>2199</v>
      </c>
      <c r="J14965">
        <v>0</v>
      </c>
      <c r="K14965" t="str">
        <f t="shared" si="2671"/>
        <v>810</v>
      </c>
      <c r="L14965">
        <v>1429.35</v>
      </c>
    </row>
    <row r="14966" spans="1:12" x14ac:dyDescent="0.25">
      <c r="A14966" t="str">
        <f t="shared" si="2664"/>
        <v>89301000</v>
      </c>
      <c r="B14966" t="str">
        <f t="shared" ref="B14966:B15011" si="2672">"91866000"</f>
        <v>91866000</v>
      </c>
      <c r="C14966" t="str">
        <f t="shared" ref="C14966:C15011" si="2673">"91866313"</f>
        <v>91866313</v>
      </c>
      <c r="D14966">
        <v>89301522</v>
      </c>
      <c r="E14966" t="str">
        <f t="shared" ref="E14966:E14989" si="2674">"7759125352"</f>
        <v>7759125352</v>
      </c>
      <c r="F14966" s="1">
        <v>45267</v>
      </c>
      <c r="G14966" t="str">
        <f>"82079"</f>
        <v>82079</v>
      </c>
      <c r="H14966">
        <v>1</v>
      </c>
      <c r="I14966">
        <v>333</v>
      </c>
      <c r="J14966">
        <v>0</v>
      </c>
      <c r="K14966" t="str">
        <f t="shared" ref="K14966:K15011" si="2675">"802"</f>
        <v>802</v>
      </c>
      <c r="L14966">
        <v>323.01</v>
      </c>
    </row>
    <row r="14967" spans="1:12" x14ac:dyDescent="0.25">
      <c r="A14967" t="str">
        <f t="shared" si="2664"/>
        <v>89301000</v>
      </c>
      <c r="B14967" t="str">
        <f t="shared" si="2672"/>
        <v>91866000</v>
      </c>
      <c r="C14967" t="str">
        <f t="shared" si="2673"/>
        <v>91866313</v>
      </c>
      <c r="D14967">
        <v>89301522</v>
      </c>
      <c r="E14967" t="str">
        <f t="shared" si="2674"/>
        <v>7759125352</v>
      </c>
      <c r="F14967" s="1">
        <v>45267</v>
      </c>
      <c r="G14967" t="str">
        <f>"82079"</f>
        <v>82079</v>
      </c>
      <c r="H14967">
        <v>1</v>
      </c>
      <c r="I14967">
        <v>333</v>
      </c>
      <c r="J14967">
        <v>0</v>
      </c>
      <c r="K14967" t="str">
        <f t="shared" si="2675"/>
        <v>802</v>
      </c>
      <c r="L14967">
        <v>323.01</v>
      </c>
    </row>
    <row r="14968" spans="1:12" x14ac:dyDescent="0.25">
      <c r="A14968" t="str">
        <f t="shared" si="2664"/>
        <v>89301000</v>
      </c>
      <c r="B14968" t="str">
        <f t="shared" si="2672"/>
        <v>91866000</v>
      </c>
      <c r="C14968" t="str">
        <f t="shared" si="2673"/>
        <v>91866313</v>
      </c>
      <c r="D14968">
        <v>89301522</v>
      </c>
      <c r="E14968" t="str">
        <f t="shared" si="2674"/>
        <v>7759125352</v>
      </c>
      <c r="F14968" s="1">
        <v>45267</v>
      </c>
      <c r="G14968" t="str">
        <f>"82079"</f>
        <v>82079</v>
      </c>
      <c r="H14968">
        <v>1</v>
      </c>
      <c r="I14968">
        <v>333</v>
      </c>
      <c r="J14968">
        <v>0</v>
      </c>
      <c r="K14968" t="str">
        <f t="shared" si="2675"/>
        <v>802</v>
      </c>
      <c r="L14968">
        <v>323.01</v>
      </c>
    </row>
    <row r="14969" spans="1:12" x14ac:dyDescent="0.25">
      <c r="A14969" t="str">
        <f t="shared" si="2664"/>
        <v>89301000</v>
      </c>
      <c r="B14969" t="str">
        <f t="shared" si="2672"/>
        <v>91866000</v>
      </c>
      <c r="C14969" t="str">
        <f t="shared" si="2673"/>
        <v>91866313</v>
      </c>
      <c r="D14969">
        <v>89301522</v>
      </c>
      <c r="E14969" t="str">
        <f t="shared" si="2674"/>
        <v>7759125352</v>
      </c>
      <c r="F14969" s="1">
        <v>45267</v>
      </c>
      <c r="G14969" t="str">
        <f>"82079"</f>
        <v>82079</v>
      </c>
      <c r="H14969">
        <v>1</v>
      </c>
      <c r="I14969">
        <v>333</v>
      </c>
      <c r="J14969">
        <v>0</v>
      </c>
      <c r="K14969" t="str">
        <f t="shared" si="2675"/>
        <v>802</v>
      </c>
      <c r="L14969">
        <v>323.01</v>
      </c>
    </row>
    <row r="14970" spans="1:12" x14ac:dyDescent="0.25">
      <c r="A14970" t="str">
        <f t="shared" si="2664"/>
        <v>89301000</v>
      </c>
      <c r="B14970" t="str">
        <f t="shared" si="2672"/>
        <v>91866000</v>
      </c>
      <c r="C14970" t="str">
        <f t="shared" si="2673"/>
        <v>91866313</v>
      </c>
      <c r="D14970">
        <v>89301522</v>
      </c>
      <c r="E14970" t="str">
        <f t="shared" si="2674"/>
        <v>7759125352</v>
      </c>
      <c r="F14970" s="1">
        <v>45268</v>
      </c>
      <c r="G14970" t="str">
        <f t="shared" ref="G14970:G14975" si="2676">"82093"</f>
        <v>82093</v>
      </c>
      <c r="H14970">
        <v>1</v>
      </c>
      <c r="I14970">
        <v>217</v>
      </c>
      <c r="J14970">
        <v>0</v>
      </c>
      <c r="K14970" t="str">
        <f t="shared" si="2675"/>
        <v>802</v>
      </c>
      <c r="L14970">
        <v>210.49</v>
      </c>
    </row>
    <row r="14971" spans="1:12" x14ac:dyDescent="0.25">
      <c r="A14971" t="str">
        <f t="shared" si="2664"/>
        <v>89301000</v>
      </c>
      <c r="B14971" t="str">
        <f t="shared" si="2672"/>
        <v>91866000</v>
      </c>
      <c r="C14971" t="str">
        <f t="shared" si="2673"/>
        <v>91866313</v>
      </c>
      <c r="D14971">
        <v>89301522</v>
      </c>
      <c r="E14971" t="str">
        <f t="shared" si="2674"/>
        <v>7759125352</v>
      </c>
      <c r="F14971" s="1">
        <v>45268</v>
      </c>
      <c r="G14971" t="str">
        <f t="shared" si="2676"/>
        <v>82093</v>
      </c>
      <c r="H14971">
        <v>1</v>
      </c>
      <c r="I14971">
        <v>217</v>
      </c>
      <c r="J14971">
        <v>0</v>
      </c>
      <c r="K14971" t="str">
        <f t="shared" si="2675"/>
        <v>802</v>
      </c>
      <c r="L14971">
        <v>210.49</v>
      </c>
    </row>
    <row r="14972" spans="1:12" x14ac:dyDescent="0.25">
      <c r="A14972" t="str">
        <f t="shared" si="2664"/>
        <v>89301000</v>
      </c>
      <c r="B14972" t="str">
        <f t="shared" si="2672"/>
        <v>91866000</v>
      </c>
      <c r="C14972" t="str">
        <f t="shared" si="2673"/>
        <v>91866313</v>
      </c>
      <c r="D14972">
        <v>89301522</v>
      </c>
      <c r="E14972" t="str">
        <f t="shared" si="2674"/>
        <v>7759125352</v>
      </c>
      <c r="F14972" s="1">
        <v>45268</v>
      </c>
      <c r="G14972" t="str">
        <f t="shared" si="2676"/>
        <v>82093</v>
      </c>
      <c r="H14972">
        <v>1</v>
      </c>
      <c r="I14972">
        <v>217</v>
      </c>
      <c r="J14972">
        <v>0</v>
      </c>
      <c r="K14972" t="str">
        <f t="shared" si="2675"/>
        <v>802</v>
      </c>
      <c r="L14972">
        <v>210.49</v>
      </c>
    </row>
    <row r="14973" spans="1:12" x14ac:dyDescent="0.25">
      <c r="A14973" t="str">
        <f t="shared" si="2664"/>
        <v>89301000</v>
      </c>
      <c r="B14973" t="str">
        <f t="shared" si="2672"/>
        <v>91866000</v>
      </c>
      <c r="C14973" t="str">
        <f t="shared" si="2673"/>
        <v>91866313</v>
      </c>
      <c r="D14973">
        <v>89301522</v>
      </c>
      <c r="E14973" t="str">
        <f t="shared" si="2674"/>
        <v>7759125352</v>
      </c>
      <c r="F14973" s="1">
        <v>45268</v>
      </c>
      <c r="G14973" t="str">
        <f t="shared" si="2676"/>
        <v>82093</v>
      </c>
      <c r="H14973">
        <v>1</v>
      </c>
      <c r="I14973">
        <v>217</v>
      </c>
      <c r="J14973">
        <v>0</v>
      </c>
      <c r="K14973" t="str">
        <f t="shared" si="2675"/>
        <v>802</v>
      </c>
      <c r="L14973">
        <v>210.49</v>
      </c>
    </row>
    <row r="14974" spans="1:12" x14ac:dyDescent="0.25">
      <c r="A14974" t="str">
        <f t="shared" si="2664"/>
        <v>89301000</v>
      </c>
      <c r="B14974" t="str">
        <f t="shared" si="2672"/>
        <v>91866000</v>
      </c>
      <c r="C14974" t="str">
        <f t="shared" si="2673"/>
        <v>91866313</v>
      </c>
      <c r="D14974">
        <v>89301522</v>
      </c>
      <c r="E14974" t="str">
        <f t="shared" si="2674"/>
        <v>7759125352</v>
      </c>
      <c r="F14974" s="1">
        <v>45268</v>
      </c>
      <c r="G14974" t="str">
        <f t="shared" si="2676"/>
        <v>82093</v>
      </c>
      <c r="H14974">
        <v>1</v>
      </c>
      <c r="I14974">
        <v>217</v>
      </c>
      <c r="J14974">
        <v>0</v>
      </c>
      <c r="K14974" t="str">
        <f t="shared" si="2675"/>
        <v>802</v>
      </c>
      <c r="L14974">
        <v>210.49</v>
      </c>
    </row>
    <row r="14975" spans="1:12" x14ac:dyDescent="0.25">
      <c r="A14975" t="str">
        <f t="shared" si="2664"/>
        <v>89301000</v>
      </c>
      <c r="B14975" t="str">
        <f t="shared" si="2672"/>
        <v>91866000</v>
      </c>
      <c r="C14975" t="str">
        <f t="shared" si="2673"/>
        <v>91866313</v>
      </c>
      <c r="D14975">
        <v>89301522</v>
      </c>
      <c r="E14975" t="str">
        <f t="shared" si="2674"/>
        <v>7759125352</v>
      </c>
      <c r="F14975" s="1">
        <v>45268</v>
      </c>
      <c r="G14975" t="str">
        <f t="shared" si="2676"/>
        <v>82093</v>
      </c>
      <c r="H14975">
        <v>1</v>
      </c>
      <c r="I14975">
        <v>217</v>
      </c>
      <c r="J14975">
        <v>0</v>
      </c>
      <c r="K14975" t="str">
        <f t="shared" si="2675"/>
        <v>802</v>
      </c>
      <c r="L14975">
        <v>210.49</v>
      </c>
    </row>
    <row r="14976" spans="1:12" x14ac:dyDescent="0.25">
      <c r="A14976" t="str">
        <f t="shared" si="2664"/>
        <v>89301000</v>
      </c>
      <c r="B14976" t="str">
        <f t="shared" si="2672"/>
        <v>91866000</v>
      </c>
      <c r="C14976" t="str">
        <f t="shared" si="2673"/>
        <v>91866313</v>
      </c>
      <c r="D14976">
        <v>89301522</v>
      </c>
      <c r="E14976" t="str">
        <f t="shared" si="2674"/>
        <v>7759125352</v>
      </c>
      <c r="F14976" s="1">
        <v>45267</v>
      </c>
      <c r="G14976" t="str">
        <f t="shared" ref="G14976:G14989" si="2677">"82079"</f>
        <v>82079</v>
      </c>
      <c r="H14976">
        <v>1</v>
      </c>
      <c r="I14976">
        <v>333</v>
      </c>
      <c r="J14976">
        <v>0</v>
      </c>
      <c r="K14976" t="str">
        <f t="shared" si="2675"/>
        <v>802</v>
      </c>
      <c r="L14976">
        <v>323.01</v>
      </c>
    </row>
    <row r="14977" spans="1:12" x14ac:dyDescent="0.25">
      <c r="A14977" t="str">
        <f t="shared" si="2664"/>
        <v>89301000</v>
      </c>
      <c r="B14977" t="str">
        <f t="shared" si="2672"/>
        <v>91866000</v>
      </c>
      <c r="C14977" t="str">
        <f t="shared" si="2673"/>
        <v>91866313</v>
      </c>
      <c r="D14977">
        <v>89301522</v>
      </c>
      <c r="E14977" t="str">
        <f t="shared" si="2674"/>
        <v>7759125352</v>
      </c>
      <c r="F14977" s="1">
        <v>45267</v>
      </c>
      <c r="G14977" t="str">
        <f t="shared" si="2677"/>
        <v>82079</v>
      </c>
      <c r="H14977">
        <v>1</v>
      </c>
      <c r="I14977">
        <v>333</v>
      </c>
      <c r="J14977">
        <v>0</v>
      </c>
      <c r="K14977" t="str">
        <f t="shared" si="2675"/>
        <v>802</v>
      </c>
      <c r="L14977">
        <v>323.01</v>
      </c>
    </row>
    <row r="14978" spans="1:12" x14ac:dyDescent="0.25">
      <c r="A14978" t="str">
        <f t="shared" ref="A14978:A15041" si="2678">"89301000"</f>
        <v>89301000</v>
      </c>
      <c r="B14978" t="str">
        <f t="shared" si="2672"/>
        <v>91866000</v>
      </c>
      <c r="C14978" t="str">
        <f t="shared" si="2673"/>
        <v>91866313</v>
      </c>
      <c r="D14978">
        <v>89301522</v>
      </c>
      <c r="E14978" t="str">
        <f t="shared" si="2674"/>
        <v>7759125352</v>
      </c>
      <c r="F14978" s="1">
        <v>45267</v>
      </c>
      <c r="G14978" t="str">
        <f t="shared" si="2677"/>
        <v>82079</v>
      </c>
      <c r="H14978">
        <v>1</v>
      </c>
      <c r="I14978">
        <v>333</v>
      </c>
      <c r="J14978">
        <v>0</v>
      </c>
      <c r="K14978" t="str">
        <f t="shared" si="2675"/>
        <v>802</v>
      </c>
      <c r="L14978">
        <v>323.01</v>
      </c>
    </row>
    <row r="14979" spans="1:12" x14ac:dyDescent="0.25">
      <c r="A14979" t="str">
        <f t="shared" si="2678"/>
        <v>89301000</v>
      </c>
      <c r="B14979" t="str">
        <f t="shared" si="2672"/>
        <v>91866000</v>
      </c>
      <c r="C14979" t="str">
        <f t="shared" si="2673"/>
        <v>91866313</v>
      </c>
      <c r="D14979">
        <v>89301522</v>
      </c>
      <c r="E14979" t="str">
        <f t="shared" si="2674"/>
        <v>7759125352</v>
      </c>
      <c r="F14979" s="1">
        <v>45267</v>
      </c>
      <c r="G14979" t="str">
        <f t="shared" si="2677"/>
        <v>82079</v>
      </c>
      <c r="H14979">
        <v>1</v>
      </c>
      <c r="I14979">
        <v>333</v>
      </c>
      <c r="J14979">
        <v>0</v>
      </c>
      <c r="K14979" t="str">
        <f t="shared" si="2675"/>
        <v>802</v>
      </c>
      <c r="L14979">
        <v>323.01</v>
      </c>
    </row>
    <row r="14980" spans="1:12" x14ac:dyDescent="0.25">
      <c r="A14980" t="str">
        <f t="shared" si="2678"/>
        <v>89301000</v>
      </c>
      <c r="B14980" t="str">
        <f t="shared" si="2672"/>
        <v>91866000</v>
      </c>
      <c r="C14980" t="str">
        <f t="shared" si="2673"/>
        <v>91866313</v>
      </c>
      <c r="D14980">
        <v>89301522</v>
      </c>
      <c r="E14980" t="str">
        <f t="shared" si="2674"/>
        <v>7759125352</v>
      </c>
      <c r="F14980" s="1">
        <v>45267</v>
      </c>
      <c r="G14980" t="str">
        <f t="shared" si="2677"/>
        <v>82079</v>
      </c>
      <c r="H14980">
        <v>1</v>
      </c>
      <c r="I14980">
        <v>333</v>
      </c>
      <c r="J14980">
        <v>0</v>
      </c>
      <c r="K14980" t="str">
        <f t="shared" si="2675"/>
        <v>802</v>
      </c>
      <c r="L14980">
        <v>323.01</v>
      </c>
    </row>
    <row r="14981" spans="1:12" x14ac:dyDescent="0.25">
      <c r="A14981" t="str">
        <f t="shared" si="2678"/>
        <v>89301000</v>
      </c>
      <c r="B14981" t="str">
        <f t="shared" si="2672"/>
        <v>91866000</v>
      </c>
      <c r="C14981" t="str">
        <f t="shared" si="2673"/>
        <v>91866313</v>
      </c>
      <c r="D14981">
        <v>89301522</v>
      </c>
      <c r="E14981" t="str">
        <f t="shared" si="2674"/>
        <v>7759125352</v>
      </c>
      <c r="F14981" s="1">
        <v>45267</v>
      </c>
      <c r="G14981" t="str">
        <f t="shared" si="2677"/>
        <v>82079</v>
      </c>
      <c r="H14981">
        <v>1</v>
      </c>
      <c r="I14981">
        <v>333</v>
      </c>
      <c r="J14981">
        <v>0</v>
      </c>
      <c r="K14981" t="str">
        <f t="shared" si="2675"/>
        <v>802</v>
      </c>
      <c r="L14981">
        <v>323.01</v>
      </c>
    </row>
    <row r="14982" spans="1:12" x14ac:dyDescent="0.25">
      <c r="A14982" t="str">
        <f t="shared" si="2678"/>
        <v>89301000</v>
      </c>
      <c r="B14982" t="str">
        <f t="shared" si="2672"/>
        <v>91866000</v>
      </c>
      <c r="C14982" t="str">
        <f t="shared" si="2673"/>
        <v>91866313</v>
      </c>
      <c r="D14982">
        <v>89301522</v>
      </c>
      <c r="E14982" t="str">
        <f t="shared" si="2674"/>
        <v>7759125352</v>
      </c>
      <c r="F14982" s="1">
        <v>45267</v>
      </c>
      <c r="G14982" t="str">
        <f t="shared" si="2677"/>
        <v>82079</v>
      </c>
      <c r="H14982">
        <v>1</v>
      </c>
      <c r="I14982">
        <v>333</v>
      </c>
      <c r="J14982">
        <v>0</v>
      </c>
      <c r="K14982" t="str">
        <f t="shared" si="2675"/>
        <v>802</v>
      </c>
      <c r="L14982">
        <v>323.01</v>
      </c>
    </row>
    <row r="14983" spans="1:12" x14ac:dyDescent="0.25">
      <c r="A14983" t="str">
        <f t="shared" si="2678"/>
        <v>89301000</v>
      </c>
      <c r="B14983" t="str">
        <f t="shared" si="2672"/>
        <v>91866000</v>
      </c>
      <c r="C14983" t="str">
        <f t="shared" si="2673"/>
        <v>91866313</v>
      </c>
      <c r="D14983">
        <v>89301522</v>
      </c>
      <c r="E14983" t="str">
        <f t="shared" si="2674"/>
        <v>7759125352</v>
      </c>
      <c r="F14983" s="1">
        <v>45267</v>
      </c>
      <c r="G14983" t="str">
        <f t="shared" si="2677"/>
        <v>82079</v>
      </c>
      <c r="H14983">
        <v>1</v>
      </c>
      <c r="I14983">
        <v>333</v>
      </c>
      <c r="J14983">
        <v>0</v>
      </c>
      <c r="K14983" t="str">
        <f t="shared" si="2675"/>
        <v>802</v>
      </c>
      <c r="L14983">
        <v>323.01</v>
      </c>
    </row>
    <row r="14984" spans="1:12" x14ac:dyDescent="0.25">
      <c r="A14984" t="str">
        <f t="shared" si="2678"/>
        <v>89301000</v>
      </c>
      <c r="B14984" t="str">
        <f t="shared" si="2672"/>
        <v>91866000</v>
      </c>
      <c r="C14984" t="str">
        <f t="shared" si="2673"/>
        <v>91866313</v>
      </c>
      <c r="D14984">
        <v>89301522</v>
      </c>
      <c r="E14984" t="str">
        <f t="shared" si="2674"/>
        <v>7759125352</v>
      </c>
      <c r="F14984" s="1">
        <v>45267</v>
      </c>
      <c r="G14984" t="str">
        <f t="shared" si="2677"/>
        <v>82079</v>
      </c>
      <c r="H14984">
        <v>1</v>
      </c>
      <c r="I14984">
        <v>333</v>
      </c>
      <c r="J14984">
        <v>0</v>
      </c>
      <c r="K14984" t="str">
        <f t="shared" si="2675"/>
        <v>802</v>
      </c>
      <c r="L14984">
        <v>323.01</v>
      </c>
    </row>
    <row r="14985" spans="1:12" x14ac:dyDescent="0.25">
      <c r="A14985" t="str">
        <f t="shared" si="2678"/>
        <v>89301000</v>
      </c>
      <c r="B14985" t="str">
        <f t="shared" si="2672"/>
        <v>91866000</v>
      </c>
      <c r="C14985" t="str">
        <f t="shared" si="2673"/>
        <v>91866313</v>
      </c>
      <c r="D14985">
        <v>89301522</v>
      </c>
      <c r="E14985" t="str">
        <f t="shared" si="2674"/>
        <v>7759125352</v>
      </c>
      <c r="F14985" s="1">
        <v>45267</v>
      </c>
      <c r="G14985" t="str">
        <f t="shared" si="2677"/>
        <v>82079</v>
      </c>
      <c r="H14985">
        <v>1</v>
      </c>
      <c r="I14985">
        <v>333</v>
      </c>
      <c r="J14985">
        <v>0</v>
      </c>
      <c r="K14985" t="str">
        <f t="shared" si="2675"/>
        <v>802</v>
      </c>
      <c r="L14985">
        <v>323.01</v>
      </c>
    </row>
    <row r="14986" spans="1:12" x14ac:dyDescent="0.25">
      <c r="A14986" t="str">
        <f t="shared" si="2678"/>
        <v>89301000</v>
      </c>
      <c r="B14986" t="str">
        <f t="shared" si="2672"/>
        <v>91866000</v>
      </c>
      <c r="C14986" t="str">
        <f t="shared" si="2673"/>
        <v>91866313</v>
      </c>
      <c r="D14986">
        <v>89301522</v>
      </c>
      <c r="E14986" t="str">
        <f t="shared" si="2674"/>
        <v>7759125352</v>
      </c>
      <c r="F14986" s="1">
        <v>45267</v>
      </c>
      <c r="G14986" t="str">
        <f t="shared" si="2677"/>
        <v>82079</v>
      </c>
      <c r="H14986">
        <v>1</v>
      </c>
      <c r="I14986">
        <v>333</v>
      </c>
      <c r="J14986">
        <v>0</v>
      </c>
      <c r="K14986" t="str">
        <f t="shared" si="2675"/>
        <v>802</v>
      </c>
      <c r="L14986">
        <v>323.01</v>
      </c>
    </row>
    <row r="14987" spans="1:12" x14ac:dyDescent="0.25">
      <c r="A14987" t="str">
        <f t="shared" si="2678"/>
        <v>89301000</v>
      </c>
      <c r="B14987" t="str">
        <f t="shared" si="2672"/>
        <v>91866000</v>
      </c>
      <c r="C14987" t="str">
        <f t="shared" si="2673"/>
        <v>91866313</v>
      </c>
      <c r="D14987">
        <v>89301522</v>
      </c>
      <c r="E14987" t="str">
        <f t="shared" si="2674"/>
        <v>7759125352</v>
      </c>
      <c r="F14987" s="1">
        <v>45267</v>
      </c>
      <c r="G14987" t="str">
        <f t="shared" si="2677"/>
        <v>82079</v>
      </c>
      <c r="H14987">
        <v>1</v>
      </c>
      <c r="I14987">
        <v>333</v>
      </c>
      <c r="J14987">
        <v>0</v>
      </c>
      <c r="K14987" t="str">
        <f t="shared" si="2675"/>
        <v>802</v>
      </c>
      <c r="L14987">
        <v>323.01</v>
      </c>
    </row>
    <row r="14988" spans="1:12" x14ac:dyDescent="0.25">
      <c r="A14988" t="str">
        <f t="shared" si="2678"/>
        <v>89301000</v>
      </c>
      <c r="B14988" t="str">
        <f t="shared" si="2672"/>
        <v>91866000</v>
      </c>
      <c r="C14988" t="str">
        <f t="shared" si="2673"/>
        <v>91866313</v>
      </c>
      <c r="D14988">
        <v>89301522</v>
      </c>
      <c r="E14988" t="str">
        <f t="shared" si="2674"/>
        <v>7759125352</v>
      </c>
      <c r="F14988" s="1">
        <v>45267</v>
      </c>
      <c r="G14988" t="str">
        <f t="shared" si="2677"/>
        <v>82079</v>
      </c>
      <c r="H14988">
        <v>1</v>
      </c>
      <c r="I14988">
        <v>333</v>
      </c>
      <c r="J14988">
        <v>0</v>
      </c>
      <c r="K14988" t="str">
        <f t="shared" si="2675"/>
        <v>802</v>
      </c>
      <c r="L14988">
        <v>323.01</v>
      </c>
    </row>
    <row r="14989" spans="1:12" x14ac:dyDescent="0.25">
      <c r="A14989" t="str">
        <f t="shared" si="2678"/>
        <v>89301000</v>
      </c>
      <c r="B14989" t="str">
        <f t="shared" si="2672"/>
        <v>91866000</v>
      </c>
      <c r="C14989" t="str">
        <f t="shared" si="2673"/>
        <v>91866313</v>
      </c>
      <c r="D14989">
        <v>89301522</v>
      </c>
      <c r="E14989" t="str">
        <f t="shared" si="2674"/>
        <v>7759125352</v>
      </c>
      <c r="F14989" s="1">
        <v>45267</v>
      </c>
      <c r="G14989" t="str">
        <f t="shared" si="2677"/>
        <v>82079</v>
      </c>
      <c r="H14989">
        <v>1</v>
      </c>
      <c r="I14989">
        <v>333</v>
      </c>
      <c r="J14989">
        <v>0</v>
      </c>
      <c r="K14989" t="str">
        <f t="shared" si="2675"/>
        <v>802</v>
      </c>
      <c r="L14989">
        <v>323.01</v>
      </c>
    </row>
    <row r="14990" spans="1:12" x14ac:dyDescent="0.25">
      <c r="A14990" t="str">
        <f t="shared" si="2678"/>
        <v>89301000</v>
      </c>
      <c r="B14990" t="str">
        <f t="shared" si="2672"/>
        <v>91866000</v>
      </c>
      <c r="C14990" t="str">
        <f t="shared" si="2673"/>
        <v>91866313</v>
      </c>
      <c r="D14990">
        <v>89301101</v>
      </c>
      <c r="E14990" t="str">
        <f>"0508076151"</f>
        <v>0508076151</v>
      </c>
      <c r="F14990" s="1">
        <v>45269</v>
      </c>
      <c r="G14990" t="str">
        <f>"82117"</f>
        <v>82117</v>
      </c>
      <c r="H14990">
        <v>1</v>
      </c>
      <c r="I14990">
        <v>529</v>
      </c>
      <c r="J14990">
        <v>0</v>
      </c>
      <c r="K14990" t="str">
        <f t="shared" si="2675"/>
        <v>802</v>
      </c>
      <c r="L14990">
        <v>513.13</v>
      </c>
    </row>
    <row r="14991" spans="1:12" x14ac:dyDescent="0.25">
      <c r="A14991" t="str">
        <f t="shared" si="2678"/>
        <v>89301000</v>
      </c>
      <c r="B14991" t="str">
        <f t="shared" si="2672"/>
        <v>91866000</v>
      </c>
      <c r="C14991" t="str">
        <f t="shared" si="2673"/>
        <v>91866313</v>
      </c>
      <c r="D14991">
        <v>89301101</v>
      </c>
      <c r="E14991" t="str">
        <f>"0508076151"</f>
        <v>0508076151</v>
      </c>
      <c r="F14991" s="1">
        <v>45280</v>
      </c>
      <c r="G14991" t="str">
        <f>"82079"</f>
        <v>82079</v>
      </c>
      <c r="H14991">
        <v>1</v>
      </c>
      <c r="I14991">
        <v>333</v>
      </c>
      <c r="J14991">
        <v>0</v>
      </c>
      <c r="K14991" t="str">
        <f t="shared" si="2675"/>
        <v>802</v>
      </c>
      <c r="L14991">
        <v>323.01</v>
      </c>
    </row>
    <row r="14992" spans="1:12" x14ac:dyDescent="0.25">
      <c r="A14992" t="str">
        <f t="shared" si="2678"/>
        <v>89301000</v>
      </c>
      <c r="B14992" t="str">
        <f t="shared" si="2672"/>
        <v>91866000</v>
      </c>
      <c r="C14992" t="str">
        <f t="shared" si="2673"/>
        <v>91866313</v>
      </c>
      <c r="D14992">
        <v>89301101</v>
      </c>
      <c r="E14992" t="str">
        <f>"0508076151"</f>
        <v>0508076151</v>
      </c>
      <c r="F14992" s="1">
        <v>45280</v>
      </c>
      <c r="G14992" t="str">
        <f>"82079"</f>
        <v>82079</v>
      </c>
      <c r="H14992">
        <v>1</v>
      </c>
      <c r="I14992">
        <v>333</v>
      </c>
      <c r="J14992">
        <v>0</v>
      </c>
      <c r="K14992" t="str">
        <f t="shared" si="2675"/>
        <v>802</v>
      </c>
      <c r="L14992">
        <v>323.01</v>
      </c>
    </row>
    <row r="14993" spans="1:12" x14ac:dyDescent="0.25">
      <c r="A14993" t="str">
        <f t="shared" si="2678"/>
        <v>89301000</v>
      </c>
      <c r="B14993" t="str">
        <f t="shared" si="2672"/>
        <v>91866000</v>
      </c>
      <c r="C14993" t="str">
        <f t="shared" si="2673"/>
        <v>91866313</v>
      </c>
      <c r="D14993">
        <v>89301101</v>
      </c>
      <c r="E14993" t="str">
        <f>"0508076151"</f>
        <v>0508076151</v>
      </c>
      <c r="F14993" s="1">
        <v>45280</v>
      </c>
      <c r="G14993" t="str">
        <f>"82079"</f>
        <v>82079</v>
      </c>
      <c r="H14993">
        <v>1</v>
      </c>
      <c r="I14993">
        <v>333</v>
      </c>
      <c r="J14993">
        <v>0</v>
      </c>
      <c r="K14993" t="str">
        <f t="shared" si="2675"/>
        <v>802</v>
      </c>
      <c r="L14993">
        <v>323.01</v>
      </c>
    </row>
    <row r="14994" spans="1:12" x14ac:dyDescent="0.25">
      <c r="A14994" t="str">
        <f t="shared" si="2678"/>
        <v>89301000</v>
      </c>
      <c r="B14994" t="str">
        <f t="shared" si="2672"/>
        <v>91866000</v>
      </c>
      <c r="C14994" t="str">
        <f t="shared" si="2673"/>
        <v>91866313</v>
      </c>
      <c r="D14994">
        <v>89301101</v>
      </c>
      <c r="E14994" t="str">
        <f>"0508076151"</f>
        <v>0508076151</v>
      </c>
      <c r="F14994" s="1">
        <v>45280</v>
      </c>
      <c r="G14994" t="str">
        <f>"82079"</f>
        <v>82079</v>
      </c>
      <c r="H14994">
        <v>1</v>
      </c>
      <c r="I14994">
        <v>333</v>
      </c>
      <c r="J14994">
        <v>0</v>
      </c>
      <c r="K14994" t="str">
        <f t="shared" si="2675"/>
        <v>802</v>
      </c>
      <c r="L14994">
        <v>323.01</v>
      </c>
    </row>
    <row r="14995" spans="1:12" x14ac:dyDescent="0.25">
      <c r="A14995" t="str">
        <f t="shared" si="2678"/>
        <v>89301000</v>
      </c>
      <c r="B14995" t="str">
        <f t="shared" si="2672"/>
        <v>91866000</v>
      </c>
      <c r="C14995" t="str">
        <f t="shared" si="2673"/>
        <v>91866313</v>
      </c>
      <c r="D14995">
        <v>89301031</v>
      </c>
      <c r="E14995" t="str">
        <f t="shared" ref="E14995:E15000" si="2679">"530609144"</f>
        <v>530609144</v>
      </c>
      <c r="F14995" s="1">
        <v>45272</v>
      </c>
      <c r="G14995" t="str">
        <f t="shared" ref="G14995:G15000" si="2680">"82121"</f>
        <v>82121</v>
      </c>
      <c r="H14995">
        <v>1</v>
      </c>
      <c r="I14995">
        <v>811</v>
      </c>
      <c r="J14995">
        <v>0</v>
      </c>
      <c r="K14995" t="str">
        <f t="shared" si="2675"/>
        <v>802</v>
      </c>
      <c r="L14995">
        <v>786.67</v>
      </c>
    </row>
    <row r="14996" spans="1:12" x14ac:dyDescent="0.25">
      <c r="A14996" t="str">
        <f t="shared" si="2678"/>
        <v>89301000</v>
      </c>
      <c r="B14996" t="str">
        <f t="shared" si="2672"/>
        <v>91866000</v>
      </c>
      <c r="C14996" t="str">
        <f t="shared" si="2673"/>
        <v>91866313</v>
      </c>
      <c r="D14996">
        <v>89301031</v>
      </c>
      <c r="E14996" t="str">
        <f t="shared" si="2679"/>
        <v>530609144</v>
      </c>
      <c r="F14996" s="1">
        <v>45272</v>
      </c>
      <c r="G14996" t="str">
        <f t="shared" si="2680"/>
        <v>82121</v>
      </c>
      <c r="H14996">
        <v>1</v>
      </c>
      <c r="I14996">
        <v>811</v>
      </c>
      <c r="J14996">
        <v>0</v>
      </c>
      <c r="K14996" t="str">
        <f t="shared" si="2675"/>
        <v>802</v>
      </c>
      <c r="L14996">
        <v>786.67</v>
      </c>
    </row>
    <row r="14997" spans="1:12" x14ac:dyDescent="0.25">
      <c r="A14997" t="str">
        <f t="shared" si="2678"/>
        <v>89301000</v>
      </c>
      <c r="B14997" t="str">
        <f t="shared" si="2672"/>
        <v>91866000</v>
      </c>
      <c r="C14997" t="str">
        <f t="shared" si="2673"/>
        <v>91866313</v>
      </c>
      <c r="D14997">
        <v>89301031</v>
      </c>
      <c r="E14997" t="str">
        <f t="shared" si="2679"/>
        <v>530609144</v>
      </c>
      <c r="F14997" s="1">
        <v>45272</v>
      </c>
      <c r="G14997" t="str">
        <f t="shared" si="2680"/>
        <v>82121</v>
      </c>
      <c r="H14997">
        <v>1</v>
      </c>
      <c r="I14997">
        <v>811</v>
      </c>
      <c r="J14997">
        <v>0</v>
      </c>
      <c r="K14997" t="str">
        <f t="shared" si="2675"/>
        <v>802</v>
      </c>
      <c r="L14997">
        <v>786.67</v>
      </c>
    </row>
    <row r="14998" spans="1:12" x14ac:dyDescent="0.25">
      <c r="A14998" t="str">
        <f t="shared" si="2678"/>
        <v>89301000</v>
      </c>
      <c r="B14998" t="str">
        <f t="shared" si="2672"/>
        <v>91866000</v>
      </c>
      <c r="C14998" t="str">
        <f t="shared" si="2673"/>
        <v>91866313</v>
      </c>
      <c r="D14998">
        <v>89301031</v>
      </c>
      <c r="E14998" t="str">
        <f t="shared" si="2679"/>
        <v>530609144</v>
      </c>
      <c r="F14998" s="1">
        <v>45272</v>
      </c>
      <c r="G14998" t="str">
        <f t="shared" si="2680"/>
        <v>82121</v>
      </c>
      <c r="H14998">
        <v>1</v>
      </c>
      <c r="I14998">
        <v>811</v>
      </c>
      <c r="J14998">
        <v>0</v>
      </c>
      <c r="K14998" t="str">
        <f t="shared" si="2675"/>
        <v>802</v>
      </c>
      <c r="L14998">
        <v>786.67</v>
      </c>
    </row>
    <row r="14999" spans="1:12" x14ac:dyDescent="0.25">
      <c r="A14999" t="str">
        <f t="shared" si="2678"/>
        <v>89301000</v>
      </c>
      <c r="B14999" t="str">
        <f t="shared" si="2672"/>
        <v>91866000</v>
      </c>
      <c r="C14999" t="str">
        <f t="shared" si="2673"/>
        <v>91866313</v>
      </c>
      <c r="D14999">
        <v>89301031</v>
      </c>
      <c r="E14999" t="str">
        <f t="shared" si="2679"/>
        <v>530609144</v>
      </c>
      <c r="F14999" s="1">
        <v>45272</v>
      </c>
      <c r="G14999" t="str">
        <f t="shared" si="2680"/>
        <v>82121</v>
      </c>
      <c r="H14999">
        <v>1</v>
      </c>
      <c r="I14999">
        <v>811</v>
      </c>
      <c r="J14999">
        <v>0</v>
      </c>
      <c r="K14999" t="str">
        <f t="shared" si="2675"/>
        <v>802</v>
      </c>
      <c r="L14999">
        <v>786.67</v>
      </c>
    </row>
    <row r="15000" spans="1:12" x14ac:dyDescent="0.25">
      <c r="A15000" t="str">
        <f t="shared" si="2678"/>
        <v>89301000</v>
      </c>
      <c r="B15000" t="str">
        <f t="shared" si="2672"/>
        <v>91866000</v>
      </c>
      <c r="C15000" t="str">
        <f t="shared" si="2673"/>
        <v>91866313</v>
      </c>
      <c r="D15000">
        <v>89301031</v>
      </c>
      <c r="E15000" t="str">
        <f t="shared" si="2679"/>
        <v>530609144</v>
      </c>
      <c r="F15000" s="1">
        <v>45272</v>
      </c>
      <c r="G15000" t="str">
        <f t="shared" si="2680"/>
        <v>82121</v>
      </c>
      <c r="H15000">
        <v>1</v>
      </c>
      <c r="I15000">
        <v>811</v>
      </c>
      <c r="J15000">
        <v>0</v>
      </c>
      <c r="K15000" t="str">
        <f t="shared" si="2675"/>
        <v>802</v>
      </c>
      <c r="L15000">
        <v>786.67</v>
      </c>
    </row>
    <row r="15001" spans="1:12" x14ac:dyDescent="0.25">
      <c r="A15001" t="str">
        <f t="shared" si="2678"/>
        <v>89301000</v>
      </c>
      <c r="B15001" t="str">
        <f t="shared" si="2672"/>
        <v>91866000</v>
      </c>
      <c r="C15001" t="str">
        <f t="shared" si="2673"/>
        <v>91866313</v>
      </c>
      <c r="D15001">
        <v>89301162</v>
      </c>
      <c r="E15001" t="str">
        <f>"7506255636"</f>
        <v>7506255636</v>
      </c>
      <c r="F15001" s="1">
        <v>45274</v>
      </c>
      <c r="G15001" t="str">
        <f>"82034"</f>
        <v>82034</v>
      </c>
      <c r="H15001">
        <v>1</v>
      </c>
      <c r="I15001">
        <v>354</v>
      </c>
      <c r="J15001">
        <v>0</v>
      </c>
      <c r="K15001" t="str">
        <f t="shared" si="2675"/>
        <v>802</v>
      </c>
      <c r="L15001">
        <v>343.38</v>
      </c>
    </row>
    <row r="15002" spans="1:12" x14ac:dyDescent="0.25">
      <c r="A15002" t="str">
        <f t="shared" si="2678"/>
        <v>89301000</v>
      </c>
      <c r="B15002" t="str">
        <f t="shared" si="2672"/>
        <v>91866000</v>
      </c>
      <c r="C15002" t="str">
        <f t="shared" si="2673"/>
        <v>91866313</v>
      </c>
      <c r="D15002">
        <v>89301162</v>
      </c>
      <c r="E15002" t="str">
        <f>"7506255636"</f>
        <v>7506255636</v>
      </c>
      <c r="F15002" s="1">
        <v>45274</v>
      </c>
      <c r="G15002" t="str">
        <f>"82038"</f>
        <v>82038</v>
      </c>
      <c r="H15002">
        <v>1</v>
      </c>
      <c r="I15002">
        <v>2149</v>
      </c>
      <c r="J15002">
        <v>0</v>
      </c>
      <c r="K15002" t="str">
        <f t="shared" si="2675"/>
        <v>802</v>
      </c>
      <c r="L15002">
        <v>2084.5300000000002</v>
      </c>
    </row>
    <row r="15003" spans="1:12" x14ac:dyDescent="0.25">
      <c r="A15003" t="str">
        <f t="shared" si="2678"/>
        <v>89301000</v>
      </c>
      <c r="B15003" t="str">
        <f t="shared" si="2672"/>
        <v>91866000</v>
      </c>
      <c r="C15003" t="str">
        <f t="shared" si="2673"/>
        <v>91866313</v>
      </c>
      <c r="D15003">
        <v>89301172</v>
      </c>
      <c r="E15003" t="str">
        <f>"7056085311"</f>
        <v>7056085311</v>
      </c>
      <c r="F15003" s="1">
        <v>45282</v>
      </c>
      <c r="G15003" t="str">
        <f>"97111"</f>
        <v>97111</v>
      </c>
      <c r="H15003">
        <v>1</v>
      </c>
      <c r="I15003">
        <v>19</v>
      </c>
      <c r="J15003">
        <v>0</v>
      </c>
      <c r="K15003" t="str">
        <f t="shared" si="2675"/>
        <v>802</v>
      </c>
      <c r="L15003">
        <v>23.94</v>
      </c>
    </row>
    <row r="15004" spans="1:12" x14ac:dyDescent="0.25">
      <c r="A15004" t="str">
        <f t="shared" si="2678"/>
        <v>89301000</v>
      </c>
      <c r="B15004" t="str">
        <f t="shared" si="2672"/>
        <v>91866000</v>
      </c>
      <c r="C15004" t="str">
        <f t="shared" si="2673"/>
        <v>91866313</v>
      </c>
      <c r="D15004">
        <v>89301172</v>
      </c>
      <c r="E15004" t="str">
        <f>"7056085311"</f>
        <v>7056085311</v>
      </c>
      <c r="F15004" s="1">
        <v>45282</v>
      </c>
      <c r="G15004" t="str">
        <f>"82147"</f>
        <v>82147</v>
      </c>
      <c r="H15004">
        <v>3</v>
      </c>
      <c r="I15004">
        <v>720</v>
      </c>
      <c r="J15004">
        <v>0</v>
      </c>
      <c r="K15004" t="str">
        <f t="shared" si="2675"/>
        <v>802</v>
      </c>
      <c r="L15004">
        <v>698.4</v>
      </c>
    </row>
    <row r="15005" spans="1:12" x14ac:dyDescent="0.25">
      <c r="A15005" t="str">
        <f t="shared" si="2678"/>
        <v>89301000</v>
      </c>
      <c r="B15005" t="str">
        <f t="shared" si="2672"/>
        <v>91866000</v>
      </c>
      <c r="C15005" t="str">
        <f t="shared" si="2673"/>
        <v>91866313</v>
      </c>
      <c r="D15005">
        <v>89301172</v>
      </c>
      <c r="E15005" t="str">
        <f>"7056085311"</f>
        <v>7056085311</v>
      </c>
      <c r="F15005" s="1">
        <v>45282</v>
      </c>
      <c r="G15005" t="str">
        <f>"82147"</f>
        <v>82147</v>
      </c>
      <c r="H15005">
        <v>9</v>
      </c>
      <c r="I15005">
        <v>2160</v>
      </c>
      <c r="J15005">
        <v>0</v>
      </c>
      <c r="K15005" t="str">
        <f t="shared" si="2675"/>
        <v>802</v>
      </c>
      <c r="L15005">
        <v>2095.1999999999998</v>
      </c>
    </row>
    <row r="15006" spans="1:12" x14ac:dyDescent="0.25">
      <c r="A15006" t="str">
        <f t="shared" si="2678"/>
        <v>89301000</v>
      </c>
      <c r="B15006" t="str">
        <f t="shared" si="2672"/>
        <v>91866000</v>
      </c>
      <c r="C15006" t="str">
        <f t="shared" si="2673"/>
        <v>91866313</v>
      </c>
      <c r="D15006">
        <v>89301101</v>
      </c>
      <c r="E15006" t="str">
        <f t="shared" ref="E15006:E15011" si="2681">"0801166157"</f>
        <v>0801166157</v>
      </c>
      <c r="F15006" s="1">
        <v>45291</v>
      </c>
      <c r="G15006" t="str">
        <f t="shared" ref="G15006:G15011" si="2682">"82087"</f>
        <v>82087</v>
      </c>
      <c r="H15006">
        <v>1</v>
      </c>
      <c r="I15006">
        <v>53</v>
      </c>
      <c r="J15006">
        <v>0</v>
      </c>
      <c r="K15006" t="str">
        <f t="shared" si="2675"/>
        <v>802</v>
      </c>
      <c r="L15006">
        <v>51.41</v>
      </c>
    </row>
    <row r="15007" spans="1:12" x14ac:dyDescent="0.25">
      <c r="A15007" t="str">
        <f t="shared" si="2678"/>
        <v>89301000</v>
      </c>
      <c r="B15007" t="str">
        <f t="shared" si="2672"/>
        <v>91866000</v>
      </c>
      <c r="C15007" t="str">
        <f t="shared" si="2673"/>
        <v>91866313</v>
      </c>
      <c r="D15007">
        <v>89301101</v>
      </c>
      <c r="E15007" t="str">
        <f t="shared" si="2681"/>
        <v>0801166157</v>
      </c>
      <c r="F15007" s="1">
        <v>45289</v>
      </c>
      <c r="G15007" t="str">
        <f t="shared" si="2682"/>
        <v>82087</v>
      </c>
      <c r="H15007">
        <v>1</v>
      </c>
      <c r="I15007">
        <v>53</v>
      </c>
      <c r="J15007">
        <v>0</v>
      </c>
      <c r="K15007" t="str">
        <f t="shared" si="2675"/>
        <v>802</v>
      </c>
      <c r="L15007">
        <v>51.41</v>
      </c>
    </row>
    <row r="15008" spans="1:12" x14ac:dyDescent="0.25">
      <c r="A15008" t="str">
        <f t="shared" si="2678"/>
        <v>89301000</v>
      </c>
      <c r="B15008" t="str">
        <f t="shared" si="2672"/>
        <v>91866000</v>
      </c>
      <c r="C15008" t="str">
        <f t="shared" si="2673"/>
        <v>91866313</v>
      </c>
      <c r="D15008">
        <v>89301101</v>
      </c>
      <c r="E15008" t="str">
        <f t="shared" si="2681"/>
        <v>0801166157</v>
      </c>
      <c r="F15008" s="1">
        <v>45290</v>
      </c>
      <c r="G15008" t="str">
        <f t="shared" si="2682"/>
        <v>82087</v>
      </c>
      <c r="H15008">
        <v>1</v>
      </c>
      <c r="I15008">
        <v>53</v>
      </c>
      <c r="J15008">
        <v>0</v>
      </c>
      <c r="K15008" t="str">
        <f t="shared" si="2675"/>
        <v>802</v>
      </c>
      <c r="L15008">
        <v>51.41</v>
      </c>
    </row>
    <row r="15009" spans="1:12" x14ac:dyDescent="0.25">
      <c r="A15009" t="str">
        <f t="shared" si="2678"/>
        <v>89301000</v>
      </c>
      <c r="B15009" t="str">
        <f t="shared" si="2672"/>
        <v>91866000</v>
      </c>
      <c r="C15009" t="str">
        <f t="shared" si="2673"/>
        <v>91866313</v>
      </c>
      <c r="D15009">
        <v>89301101</v>
      </c>
      <c r="E15009" t="str">
        <f t="shared" si="2681"/>
        <v>0801166157</v>
      </c>
      <c r="F15009" s="1">
        <v>45289</v>
      </c>
      <c r="G15009" t="str">
        <f t="shared" si="2682"/>
        <v>82087</v>
      </c>
      <c r="H15009">
        <v>1</v>
      </c>
      <c r="I15009">
        <v>53</v>
      </c>
      <c r="J15009">
        <v>0</v>
      </c>
      <c r="K15009" t="str">
        <f t="shared" si="2675"/>
        <v>802</v>
      </c>
      <c r="L15009">
        <v>51.41</v>
      </c>
    </row>
    <row r="15010" spans="1:12" x14ac:dyDescent="0.25">
      <c r="A15010" t="str">
        <f t="shared" si="2678"/>
        <v>89301000</v>
      </c>
      <c r="B15010" t="str">
        <f t="shared" si="2672"/>
        <v>91866000</v>
      </c>
      <c r="C15010" t="str">
        <f t="shared" si="2673"/>
        <v>91866313</v>
      </c>
      <c r="D15010">
        <v>89301101</v>
      </c>
      <c r="E15010" t="str">
        <f t="shared" si="2681"/>
        <v>0801166157</v>
      </c>
      <c r="F15010" s="1">
        <v>45290</v>
      </c>
      <c r="G15010" t="str">
        <f t="shared" si="2682"/>
        <v>82087</v>
      </c>
      <c r="H15010">
        <v>1</v>
      </c>
      <c r="I15010">
        <v>53</v>
      </c>
      <c r="J15010">
        <v>0</v>
      </c>
      <c r="K15010" t="str">
        <f t="shared" si="2675"/>
        <v>802</v>
      </c>
      <c r="L15010">
        <v>51.41</v>
      </c>
    </row>
    <row r="15011" spans="1:12" x14ac:dyDescent="0.25">
      <c r="A15011" t="str">
        <f t="shared" si="2678"/>
        <v>89301000</v>
      </c>
      <c r="B15011" t="str">
        <f t="shared" si="2672"/>
        <v>91866000</v>
      </c>
      <c r="C15011" t="str">
        <f t="shared" si="2673"/>
        <v>91866313</v>
      </c>
      <c r="D15011">
        <v>89301101</v>
      </c>
      <c r="E15011" t="str">
        <f t="shared" si="2681"/>
        <v>0801166157</v>
      </c>
      <c r="F15011" s="1">
        <v>45291</v>
      </c>
      <c r="G15011" t="str">
        <f t="shared" si="2682"/>
        <v>82087</v>
      </c>
      <c r="H15011">
        <v>1</v>
      </c>
      <c r="I15011">
        <v>53</v>
      </c>
      <c r="J15011">
        <v>0</v>
      </c>
      <c r="K15011" t="str">
        <f t="shared" si="2675"/>
        <v>802</v>
      </c>
      <c r="L15011">
        <v>51.41</v>
      </c>
    </row>
    <row r="15012" spans="1:12" x14ac:dyDescent="0.25">
      <c r="A15012" t="str">
        <f t="shared" si="2678"/>
        <v>89301000</v>
      </c>
      <c r="B15012" t="str">
        <f>"91027035"</f>
        <v>91027035</v>
      </c>
      <c r="C15012" t="str">
        <f>"91027035"</f>
        <v>91027035</v>
      </c>
      <c r="D15012">
        <v>89301036</v>
      </c>
      <c r="E15012" t="str">
        <f>"7055145691"</f>
        <v>7055145691</v>
      </c>
      <c r="F15012" s="1">
        <v>45274</v>
      </c>
      <c r="G15012" t="str">
        <f>"97111"</f>
        <v>97111</v>
      </c>
      <c r="H15012">
        <v>1</v>
      </c>
      <c r="I15012">
        <v>19</v>
      </c>
      <c r="J15012">
        <v>0</v>
      </c>
      <c r="K15012" t="str">
        <f>"801"</f>
        <v>801</v>
      </c>
      <c r="L15012">
        <v>23.94</v>
      </c>
    </row>
    <row r="15013" spans="1:12" x14ac:dyDescent="0.25">
      <c r="A15013" t="str">
        <f t="shared" si="2678"/>
        <v>89301000</v>
      </c>
      <c r="B15013" t="str">
        <f>"91027035"</f>
        <v>91027035</v>
      </c>
      <c r="C15013" t="str">
        <f>"91027035"</f>
        <v>91027035</v>
      </c>
      <c r="D15013">
        <v>89301036</v>
      </c>
      <c r="E15013" t="str">
        <f>"7055145691"</f>
        <v>7055145691</v>
      </c>
      <c r="F15013" s="1">
        <v>45274</v>
      </c>
      <c r="G15013" t="str">
        <f>"81435"</f>
        <v>81435</v>
      </c>
      <c r="H15013">
        <v>1</v>
      </c>
      <c r="I15013">
        <v>22</v>
      </c>
      <c r="J15013">
        <v>0</v>
      </c>
      <c r="K15013" t="str">
        <f>"801"</f>
        <v>801</v>
      </c>
      <c r="L15013">
        <v>18.48</v>
      </c>
    </row>
    <row r="15014" spans="1:12" x14ac:dyDescent="0.25">
      <c r="A15014" t="str">
        <f t="shared" si="2678"/>
        <v>89301000</v>
      </c>
      <c r="B15014" t="str">
        <f t="shared" ref="B15014:C15033" si="2683">"89063000"</f>
        <v>89063000</v>
      </c>
      <c r="C15014" t="str">
        <f t="shared" si="2683"/>
        <v>89063000</v>
      </c>
      <c r="D15014">
        <v>89301037</v>
      </c>
      <c r="E15014" t="str">
        <f>"6112161341"</f>
        <v>6112161341</v>
      </c>
      <c r="F15014" s="1">
        <v>45261</v>
      </c>
      <c r="G15014" t="str">
        <f t="shared" ref="G15014:G15058" si="2684">"89312"</f>
        <v>89312</v>
      </c>
      <c r="H15014">
        <v>3</v>
      </c>
      <c r="I15014">
        <v>936</v>
      </c>
      <c r="J15014">
        <v>0</v>
      </c>
      <c r="K15014" t="str">
        <f t="shared" ref="K15014:K15045" si="2685">"809"</f>
        <v>809</v>
      </c>
      <c r="L15014">
        <v>1020.24</v>
      </c>
    </row>
    <row r="15015" spans="1:12" x14ac:dyDescent="0.25">
      <c r="A15015" t="str">
        <f t="shared" si="2678"/>
        <v>89301000</v>
      </c>
      <c r="B15015" t="str">
        <f t="shared" si="2683"/>
        <v>89063000</v>
      </c>
      <c r="C15015" t="str">
        <f t="shared" si="2683"/>
        <v>89063000</v>
      </c>
      <c r="D15015">
        <v>89301212</v>
      </c>
      <c r="E15015" t="str">
        <f>"6558160466"</f>
        <v>6558160466</v>
      </c>
      <c r="F15015" s="1">
        <v>45261</v>
      </c>
      <c r="G15015" t="str">
        <f t="shared" si="2684"/>
        <v>89312</v>
      </c>
      <c r="H15015">
        <v>3</v>
      </c>
      <c r="I15015">
        <v>936</v>
      </c>
      <c r="J15015">
        <v>0</v>
      </c>
      <c r="K15015" t="str">
        <f t="shared" si="2685"/>
        <v>809</v>
      </c>
      <c r="L15015">
        <v>1020.24</v>
      </c>
    </row>
    <row r="15016" spans="1:12" x14ac:dyDescent="0.25">
      <c r="A15016" t="str">
        <f t="shared" si="2678"/>
        <v>89301000</v>
      </c>
      <c r="B15016" t="str">
        <f t="shared" si="2683"/>
        <v>89063000</v>
      </c>
      <c r="C15016" t="str">
        <f t="shared" si="2683"/>
        <v>89063000</v>
      </c>
      <c r="D15016">
        <v>89301037</v>
      </c>
      <c r="E15016" t="str">
        <f>"6353316244"</f>
        <v>6353316244</v>
      </c>
      <c r="F15016" s="1">
        <v>45261</v>
      </c>
      <c r="G15016" t="str">
        <f t="shared" si="2684"/>
        <v>89312</v>
      </c>
      <c r="H15016">
        <v>3</v>
      </c>
      <c r="I15016">
        <v>936</v>
      </c>
      <c r="J15016">
        <v>0</v>
      </c>
      <c r="K15016" t="str">
        <f t="shared" si="2685"/>
        <v>809</v>
      </c>
      <c r="L15016">
        <v>1020.24</v>
      </c>
    </row>
    <row r="15017" spans="1:12" x14ac:dyDescent="0.25">
      <c r="A15017" t="str">
        <f t="shared" si="2678"/>
        <v>89301000</v>
      </c>
      <c r="B15017" t="str">
        <f t="shared" si="2683"/>
        <v>89063000</v>
      </c>
      <c r="C15017" t="str">
        <f t="shared" si="2683"/>
        <v>89063000</v>
      </c>
      <c r="D15017">
        <v>89301037</v>
      </c>
      <c r="E15017" t="str">
        <f>"5657091737"</f>
        <v>5657091737</v>
      </c>
      <c r="F15017" s="1">
        <v>45261</v>
      </c>
      <c r="G15017" t="str">
        <f t="shared" si="2684"/>
        <v>89312</v>
      </c>
      <c r="H15017">
        <v>3</v>
      </c>
      <c r="I15017">
        <v>936</v>
      </c>
      <c r="J15017">
        <v>0</v>
      </c>
      <c r="K15017" t="str">
        <f t="shared" si="2685"/>
        <v>809</v>
      </c>
      <c r="L15017">
        <v>1020.24</v>
      </c>
    </row>
    <row r="15018" spans="1:12" x14ac:dyDescent="0.25">
      <c r="A15018" t="str">
        <f t="shared" si="2678"/>
        <v>89301000</v>
      </c>
      <c r="B15018" t="str">
        <f t="shared" si="2683"/>
        <v>89063000</v>
      </c>
      <c r="C15018" t="str">
        <f t="shared" si="2683"/>
        <v>89063000</v>
      </c>
      <c r="D15018">
        <v>89301037</v>
      </c>
      <c r="E15018" t="str">
        <f>"7456275343"</f>
        <v>7456275343</v>
      </c>
      <c r="F15018" s="1">
        <v>45264</v>
      </c>
      <c r="G15018" t="str">
        <f t="shared" si="2684"/>
        <v>89312</v>
      </c>
      <c r="H15018">
        <v>3</v>
      </c>
      <c r="I15018">
        <v>936</v>
      </c>
      <c r="J15018">
        <v>0</v>
      </c>
      <c r="K15018" t="str">
        <f t="shared" si="2685"/>
        <v>809</v>
      </c>
      <c r="L15018">
        <v>1020.24</v>
      </c>
    </row>
    <row r="15019" spans="1:12" x14ac:dyDescent="0.25">
      <c r="A15019" t="str">
        <f t="shared" si="2678"/>
        <v>89301000</v>
      </c>
      <c r="B15019" t="str">
        <f t="shared" si="2683"/>
        <v>89063000</v>
      </c>
      <c r="C15019" t="str">
        <f t="shared" si="2683"/>
        <v>89063000</v>
      </c>
      <c r="D15019">
        <v>89301037</v>
      </c>
      <c r="E15019" t="str">
        <f>"7103165388"</f>
        <v>7103165388</v>
      </c>
      <c r="F15019" s="1">
        <v>45264</v>
      </c>
      <c r="G15019" t="str">
        <f t="shared" si="2684"/>
        <v>89312</v>
      </c>
      <c r="H15019">
        <v>3</v>
      </c>
      <c r="I15019">
        <v>936</v>
      </c>
      <c r="J15019">
        <v>0</v>
      </c>
      <c r="K15019" t="str">
        <f t="shared" si="2685"/>
        <v>809</v>
      </c>
      <c r="L15019">
        <v>1020.24</v>
      </c>
    </row>
    <row r="15020" spans="1:12" x14ac:dyDescent="0.25">
      <c r="A15020" t="str">
        <f t="shared" si="2678"/>
        <v>89301000</v>
      </c>
      <c r="B15020" t="str">
        <f t="shared" si="2683"/>
        <v>89063000</v>
      </c>
      <c r="C15020" t="str">
        <f t="shared" si="2683"/>
        <v>89063000</v>
      </c>
      <c r="D15020">
        <v>89301102</v>
      </c>
      <c r="E15020" t="str">
        <f>"0509086204"</f>
        <v>0509086204</v>
      </c>
      <c r="F15020" s="1">
        <v>45264</v>
      </c>
      <c r="G15020" t="str">
        <f t="shared" si="2684"/>
        <v>89312</v>
      </c>
      <c r="H15020">
        <v>1</v>
      </c>
      <c r="I15020">
        <v>312</v>
      </c>
      <c r="J15020">
        <v>0</v>
      </c>
      <c r="K15020" t="str">
        <f t="shared" si="2685"/>
        <v>809</v>
      </c>
      <c r="L15020">
        <v>340.08</v>
      </c>
    </row>
    <row r="15021" spans="1:12" x14ac:dyDescent="0.25">
      <c r="A15021" t="str">
        <f t="shared" si="2678"/>
        <v>89301000</v>
      </c>
      <c r="B15021" t="str">
        <f t="shared" si="2683"/>
        <v>89063000</v>
      </c>
      <c r="C15021" t="str">
        <f t="shared" si="2683"/>
        <v>89063000</v>
      </c>
      <c r="D15021">
        <v>89301212</v>
      </c>
      <c r="E15021" t="str">
        <f>"6260270874"</f>
        <v>6260270874</v>
      </c>
      <c r="F15021" s="1">
        <v>45264</v>
      </c>
      <c r="G15021" t="str">
        <f t="shared" si="2684"/>
        <v>89312</v>
      </c>
      <c r="H15021">
        <v>3</v>
      </c>
      <c r="I15021">
        <v>936</v>
      </c>
      <c r="J15021">
        <v>0</v>
      </c>
      <c r="K15021" t="str">
        <f t="shared" si="2685"/>
        <v>809</v>
      </c>
      <c r="L15021">
        <v>1020.24</v>
      </c>
    </row>
    <row r="15022" spans="1:12" x14ac:dyDescent="0.25">
      <c r="A15022" t="str">
        <f t="shared" si="2678"/>
        <v>89301000</v>
      </c>
      <c r="B15022" t="str">
        <f t="shared" si="2683"/>
        <v>89063000</v>
      </c>
      <c r="C15022" t="str">
        <f t="shared" si="2683"/>
        <v>89063000</v>
      </c>
      <c r="D15022">
        <v>89301037</v>
      </c>
      <c r="E15022" t="str">
        <f>"5554181776"</f>
        <v>5554181776</v>
      </c>
      <c r="F15022" s="1">
        <v>45264</v>
      </c>
      <c r="G15022" t="str">
        <f t="shared" si="2684"/>
        <v>89312</v>
      </c>
      <c r="H15022">
        <v>3</v>
      </c>
      <c r="I15022">
        <v>936</v>
      </c>
      <c r="J15022">
        <v>0</v>
      </c>
      <c r="K15022" t="str">
        <f t="shared" si="2685"/>
        <v>809</v>
      </c>
      <c r="L15022">
        <v>1020.24</v>
      </c>
    </row>
    <row r="15023" spans="1:12" x14ac:dyDescent="0.25">
      <c r="A15023" t="str">
        <f t="shared" si="2678"/>
        <v>89301000</v>
      </c>
      <c r="B15023" t="str">
        <f t="shared" si="2683"/>
        <v>89063000</v>
      </c>
      <c r="C15023" t="str">
        <f t="shared" si="2683"/>
        <v>89063000</v>
      </c>
      <c r="D15023">
        <v>89301037</v>
      </c>
      <c r="E15023" t="str">
        <f>"8607265788"</f>
        <v>8607265788</v>
      </c>
      <c r="F15023" s="1">
        <v>45265</v>
      </c>
      <c r="G15023" t="str">
        <f t="shared" si="2684"/>
        <v>89312</v>
      </c>
      <c r="H15023">
        <v>3</v>
      </c>
      <c r="I15023">
        <v>936</v>
      </c>
      <c r="J15023">
        <v>0</v>
      </c>
      <c r="K15023" t="str">
        <f t="shared" si="2685"/>
        <v>809</v>
      </c>
      <c r="L15023">
        <v>1020.24</v>
      </c>
    </row>
    <row r="15024" spans="1:12" x14ac:dyDescent="0.25">
      <c r="A15024" t="str">
        <f t="shared" si="2678"/>
        <v>89301000</v>
      </c>
      <c r="B15024" t="str">
        <f t="shared" si="2683"/>
        <v>89063000</v>
      </c>
      <c r="C15024" t="str">
        <f t="shared" si="2683"/>
        <v>89063000</v>
      </c>
      <c r="D15024">
        <v>89301037</v>
      </c>
      <c r="E15024" t="str">
        <f>"6852170149"</f>
        <v>6852170149</v>
      </c>
      <c r="F15024" s="1">
        <v>45265</v>
      </c>
      <c r="G15024" t="str">
        <f t="shared" si="2684"/>
        <v>89312</v>
      </c>
      <c r="H15024">
        <v>3</v>
      </c>
      <c r="I15024">
        <v>936</v>
      </c>
      <c r="J15024">
        <v>0</v>
      </c>
      <c r="K15024" t="str">
        <f t="shared" si="2685"/>
        <v>809</v>
      </c>
      <c r="L15024">
        <v>1020.24</v>
      </c>
    </row>
    <row r="15025" spans="1:12" x14ac:dyDescent="0.25">
      <c r="A15025" t="str">
        <f t="shared" si="2678"/>
        <v>89301000</v>
      </c>
      <c r="B15025" t="str">
        <f t="shared" si="2683"/>
        <v>89063000</v>
      </c>
      <c r="C15025" t="str">
        <f t="shared" si="2683"/>
        <v>89063000</v>
      </c>
      <c r="D15025">
        <v>89301037</v>
      </c>
      <c r="E15025" t="str">
        <f>"5461153357"</f>
        <v>5461153357</v>
      </c>
      <c r="F15025" s="1">
        <v>45265</v>
      </c>
      <c r="G15025" t="str">
        <f t="shared" si="2684"/>
        <v>89312</v>
      </c>
      <c r="H15025">
        <v>3</v>
      </c>
      <c r="I15025">
        <v>936</v>
      </c>
      <c r="J15025">
        <v>0</v>
      </c>
      <c r="K15025" t="str">
        <f t="shared" si="2685"/>
        <v>809</v>
      </c>
      <c r="L15025">
        <v>1020.24</v>
      </c>
    </row>
    <row r="15026" spans="1:12" x14ac:dyDescent="0.25">
      <c r="A15026" t="str">
        <f t="shared" si="2678"/>
        <v>89301000</v>
      </c>
      <c r="B15026" t="str">
        <f t="shared" si="2683"/>
        <v>89063000</v>
      </c>
      <c r="C15026" t="str">
        <f t="shared" si="2683"/>
        <v>89063000</v>
      </c>
      <c r="D15026">
        <v>89301037</v>
      </c>
      <c r="E15026" t="str">
        <f>"6862271603"</f>
        <v>6862271603</v>
      </c>
      <c r="F15026" s="1">
        <v>45265</v>
      </c>
      <c r="G15026" t="str">
        <f t="shared" si="2684"/>
        <v>89312</v>
      </c>
      <c r="H15026">
        <v>3</v>
      </c>
      <c r="I15026">
        <v>936</v>
      </c>
      <c r="J15026">
        <v>0</v>
      </c>
      <c r="K15026" t="str">
        <f t="shared" si="2685"/>
        <v>809</v>
      </c>
      <c r="L15026">
        <v>1020.24</v>
      </c>
    </row>
    <row r="15027" spans="1:12" x14ac:dyDescent="0.25">
      <c r="A15027" t="str">
        <f t="shared" si="2678"/>
        <v>89301000</v>
      </c>
      <c r="B15027" t="str">
        <f t="shared" si="2683"/>
        <v>89063000</v>
      </c>
      <c r="C15027" t="str">
        <f t="shared" si="2683"/>
        <v>89063000</v>
      </c>
      <c r="D15027">
        <v>89301215</v>
      </c>
      <c r="E15027" t="str">
        <f>"6954245309"</f>
        <v>6954245309</v>
      </c>
      <c r="F15027" s="1">
        <v>45266</v>
      </c>
      <c r="G15027" t="str">
        <f t="shared" si="2684"/>
        <v>89312</v>
      </c>
      <c r="H15027">
        <v>3</v>
      </c>
      <c r="I15027">
        <v>936</v>
      </c>
      <c r="J15027">
        <v>0</v>
      </c>
      <c r="K15027" t="str">
        <f t="shared" si="2685"/>
        <v>809</v>
      </c>
      <c r="L15027">
        <v>1020.24</v>
      </c>
    </row>
    <row r="15028" spans="1:12" x14ac:dyDescent="0.25">
      <c r="A15028" t="str">
        <f t="shared" si="2678"/>
        <v>89301000</v>
      </c>
      <c r="B15028" t="str">
        <f t="shared" si="2683"/>
        <v>89063000</v>
      </c>
      <c r="C15028" t="str">
        <f t="shared" si="2683"/>
        <v>89063000</v>
      </c>
      <c r="D15028">
        <v>89301036</v>
      </c>
      <c r="E15028" t="str">
        <f>"5553310598"</f>
        <v>5553310598</v>
      </c>
      <c r="F15028" s="1">
        <v>45266</v>
      </c>
      <c r="G15028" t="str">
        <f t="shared" si="2684"/>
        <v>89312</v>
      </c>
      <c r="H15028">
        <v>3</v>
      </c>
      <c r="I15028">
        <v>936</v>
      </c>
      <c r="J15028">
        <v>0</v>
      </c>
      <c r="K15028" t="str">
        <f t="shared" si="2685"/>
        <v>809</v>
      </c>
      <c r="L15028">
        <v>1020.24</v>
      </c>
    </row>
    <row r="15029" spans="1:12" x14ac:dyDescent="0.25">
      <c r="A15029" t="str">
        <f t="shared" si="2678"/>
        <v>89301000</v>
      </c>
      <c r="B15029" t="str">
        <f t="shared" si="2683"/>
        <v>89063000</v>
      </c>
      <c r="C15029" t="str">
        <f t="shared" si="2683"/>
        <v>89063000</v>
      </c>
      <c r="D15029">
        <v>89301037</v>
      </c>
      <c r="E15029" t="str">
        <f>"6458130481"</f>
        <v>6458130481</v>
      </c>
      <c r="F15029" s="1">
        <v>45266</v>
      </c>
      <c r="G15029" t="str">
        <f t="shared" si="2684"/>
        <v>89312</v>
      </c>
      <c r="H15029">
        <v>3</v>
      </c>
      <c r="I15029">
        <v>936</v>
      </c>
      <c r="J15029">
        <v>0</v>
      </c>
      <c r="K15029" t="str">
        <f t="shared" si="2685"/>
        <v>809</v>
      </c>
      <c r="L15029">
        <v>1020.24</v>
      </c>
    </row>
    <row r="15030" spans="1:12" x14ac:dyDescent="0.25">
      <c r="A15030" t="str">
        <f t="shared" si="2678"/>
        <v>89301000</v>
      </c>
      <c r="B15030" t="str">
        <f t="shared" si="2683"/>
        <v>89063000</v>
      </c>
      <c r="C15030" t="str">
        <f t="shared" si="2683"/>
        <v>89063000</v>
      </c>
      <c r="D15030">
        <v>89301037</v>
      </c>
      <c r="E15030" t="str">
        <f>"5801251940"</f>
        <v>5801251940</v>
      </c>
      <c r="F15030" s="1">
        <v>45267</v>
      </c>
      <c r="G15030" t="str">
        <f t="shared" si="2684"/>
        <v>89312</v>
      </c>
      <c r="H15030">
        <v>3</v>
      </c>
      <c r="I15030">
        <v>936</v>
      </c>
      <c r="J15030">
        <v>0</v>
      </c>
      <c r="K15030" t="str">
        <f t="shared" si="2685"/>
        <v>809</v>
      </c>
      <c r="L15030">
        <v>1020.24</v>
      </c>
    </row>
    <row r="15031" spans="1:12" x14ac:dyDescent="0.25">
      <c r="A15031" t="str">
        <f t="shared" si="2678"/>
        <v>89301000</v>
      </c>
      <c r="B15031" t="str">
        <f t="shared" si="2683"/>
        <v>89063000</v>
      </c>
      <c r="C15031" t="str">
        <f t="shared" si="2683"/>
        <v>89063000</v>
      </c>
      <c r="D15031">
        <v>89301037</v>
      </c>
      <c r="E15031" t="str">
        <f>"6860221863"</f>
        <v>6860221863</v>
      </c>
      <c r="F15031" s="1">
        <v>45268</v>
      </c>
      <c r="G15031" t="str">
        <f t="shared" si="2684"/>
        <v>89312</v>
      </c>
      <c r="H15031">
        <v>3</v>
      </c>
      <c r="I15031">
        <v>936</v>
      </c>
      <c r="J15031">
        <v>0</v>
      </c>
      <c r="K15031" t="str">
        <f t="shared" si="2685"/>
        <v>809</v>
      </c>
      <c r="L15031">
        <v>1020.24</v>
      </c>
    </row>
    <row r="15032" spans="1:12" x14ac:dyDescent="0.25">
      <c r="A15032" t="str">
        <f t="shared" si="2678"/>
        <v>89301000</v>
      </c>
      <c r="B15032" t="str">
        <f t="shared" si="2683"/>
        <v>89063000</v>
      </c>
      <c r="C15032" t="str">
        <f t="shared" si="2683"/>
        <v>89063000</v>
      </c>
      <c r="D15032">
        <v>89301037</v>
      </c>
      <c r="E15032" t="str">
        <f>"535215035"</f>
        <v>535215035</v>
      </c>
      <c r="F15032" s="1">
        <v>45268</v>
      </c>
      <c r="G15032" t="str">
        <f t="shared" si="2684"/>
        <v>89312</v>
      </c>
      <c r="H15032">
        <v>3</v>
      </c>
      <c r="I15032">
        <v>936</v>
      </c>
      <c r="J15032">
        <v>0</v>
      </c>
      <c r="K15032" t="str">
        <f t="shared" si="2685"/>
        <v>809</v>
      </c>
      <c r="L15032">
        <v>1020.24</v>
      </c>
    </row>
    <row r="15033" spans="1:12" x14ac:dyDescent="0.25">
      <c r="A15033" t="str">
        <f t="shared" si="2678"/>
        <v>89301000</v>
      </c>
      <c r="B15033" t="str">
        <f t="shared" si="2683"/>
        <v>89063000</v>
      </c>
      <c r="C15033" t="str">
        <f t="shared" si="2683"/>
        <v>89063000</v>
      </c>
      <c r="D15033">
        <v>89301162</v>
      </c>
      <c r="E15033" t="str">
        <f>"446014423"</f>
        <v>446014423</v>
      </c>
      <c r="F15033" s="1">
        <v>45268</v>
      </c>
      <c r="G15033" t="str">
        <f t="shared" si="2684"/>
        <v>89312</v>
      </c>
      <c r="H15033">
        <v>3</v>
      </c>
      <c r="I15033">
        <v>936</v>
      </c>
      <c r="J15033">
        <v>0</v>
      </c>
      <c r="K15033" t="str">
        <f t="shared" si="2685"/>
        <v>809</v>
      </c>
      <c r="L15033">
        <v>1020.24</v>
      </c>
    </row>
    <row r="15034" spans="1:12" x14ac:dyDescent="0.25">
      <c r="A15034" t="str">
        <f t="shared" si="2678"/>
        <v>89301000</v>
      </c>
      <c r="B15034" t="str">
        <f t="shared" ref="B15034:C15058" si="2686">"89063000"</f>
        <v>89063000</v>
      </c>
      <c r="C15034" t="str">
        <f t="shared" si="2686"/>
        <v>89063000</v>
      </c>
      <c r="D15034">
        <v>89301037</v>
      </c>
      <c r="E15034" t="str">
        <f>"465904459"</f>
        <v>465904459</v>
      </c>
      <c r="F15034" s="1">
        <v>45271</v>
      </c>
      <c r="G15034" t="str">
        <f t="shared" si="2684"/>
        <v>89312</v>
      </c>
      <c r="H15034">
        <v>3</v>
      </c>
      <c r="I15034">
        <v>936</v>
      </c>
      <c r="J15034">
        <v>0</v>
      </c>
      <c r="K15034" t="str">
        <f t="shared" si="2685"/>
        <v>809</v>
      </c>
      <c r="L15034">
        <v>1020.24</v>
      </c>
    </row>
    <row r="15035" spans="1:12" x14ac:dyDescent="0.25">
      <c r="A15035" t="str">
        <f t="shared" si="2678"/>
        <v>89301000</v>
      </c>
      <c r="B15035" t="str">
        <f t="shared" si="2686"/>
        <v>89063000</v>
      </c>
      <c r="C15035" t="str">
        <f t="shared" si="2686"/>
        <v>89063000</v>
      </c>
      <c r="D15035">
        <v>89301036</v>
      </c>
      <c r="E15035" t="str">
        <f>"6411150944"</f>
        <v>6411150944</v>
      </c>
      <c r="F15035" s="1">
        <v>45271</v>
      </c>
      <c r="G15035" t="str">
        <f t="shared" si="2684"/>
        <v>89312</v>
      </c>
      <c r="H15035">
        <v>3</v>
      </c>
      <c r="I15035">
        <v>936</v>
      </c>
      <c r="J15035">
        <v>0</v>
      </c>
      <c r="K15035" t="str">
        <f t="shared" si="2685"/>
        <v>809</v>
      </c>
      <c r="L15035">
        <v>1020.24</v>
      </c>
    </row>
    <row r="15036" spans="1:12" x14ac:dyDescent="0.25">
      <c r="A15036" t="str">
        <f t="shared" si="2678"/>
        <v>89301000</v>
      </c>
      <c r="B15036" t="str">
        <f t="shared" si="2686"/>
        <v>89063000</v>
      </c>
      <c r="C15036" t="str">
        <f t="shared" si="2686"/>
        <v>89063000</v>
      </c>
      <c r="D15036">
        <v>89301037</v>
      </c>
      <c r="E15036" t="str">
        <f>"6062101364"</f>
        <v>6062101364</v>
      </c>
      <c r="F15036" s="1">
        <v>45271</v>
      </c>
      <c r="G15036" t="str">
        <f t="shared" si="2684"/>
        <v>89312</v>
      </c>
      <c r="H15036">
        <v>3</v>
      </c>
      <c r="I15036">
        <v>936</v>
      </c>
      <c r="J15036">
        <v>0</v>
      </c>
      <c r="K15036" t="str">
        <f t="shared" si="2685"/>
        <v>809</v>
      </c>
      <c r="L15036">
        <v>1020.24</v>
      </c>
    </row>
    <row r="15037" spans="1:12" x14ac:dyDescent="0.25">
      <c r="A15037" t="str">
        <f t="shared" si="2678"/>
        <v>89301000</v>
      </c>
      <c r="B15037" t="str">
        <f t="shared" si="2686"/>
        <v>89063000</v>
      </c>
      <c r="C15037" t="str">
        <f t="shared" si="2686"/>
        <v>89063000</v>
      </c>
      <c r="D15037">
        <v>89301037</v>
      </c>
      <c r="E15037" t="str">
        <f>"0157165701"</f>
        <v>0157165701</v>
      </c>
      <c r="F15037" s="1">
        <v>45272</v>
      </c>
      <c r="G15037" t="str">
        <f t="shared" si="2684"/>
        <v>89312</v>
      </c>
      <c r="H15037">
        <v>3</v>
      </c>
      <c r="I15037">
        <v>936</v>
      </c>
      <c r="J15037">
        <v>0</v>
      </c>
      <c r="K15037" t="str">
        <f t="shared" si="2685"/>
        <v>809</v>
      </c>
      <c r="L15037">
        <v>1020.24</v>
      </c>
    </row>
    <row r="15038" spans="1:12" x14ac:dyDescent="0.25">
      <c r="A15038" t="str">
        <f t="shared" si="2678"/>
        <v>89301000</v>
      </c>
      <c r="B15038" t="str">
        <f t="shared" si="2686"/>
        <v>89063000</v>
      </c>
      <c r="C15038" t="str">
        <f t="shared" si="2686"/>
        <v>89063000</v>
      </c>
      <c r="D15038">
        <v>89301037</v>
      </c>
      <c r="E15038" t="str">
        <f>"505307144"</f>
        <v>505307144</v>
      </c>
      <c r="F15038" s="1">
        <v>45273</v>
      </c>
      <c r="G15038" t="str">
        <f t="shared" si="2684"/>
        <v>89312</v>
      </c>
      <c r="H15038">
        <v>3</v>
      </c>
      <c r="I15038">
        <v>936</v>
      </c>
      <c r="J15038">
        <v>0</v>
      </c>
      <c r="K15038" t="str">
        <f t="shared" si="2685"/>
        <v>809</v>
      </c>
      <c r="L15038">
        <v>1020.24</v>
      </c>
    </row>
    <row r="15039" spans="1:12" x14ac:dyDescent="0.25">
      <c r="A15039" t="str">
        <f t="shared" si="2678"/>
        <v>89301000</v>
      </c>
      <c r="B15039" t="str">
        <f t="shared" si="2686"/>
        <v>89063000</v>
      </c>
      <c r="C15039" t="str">
        <f t="shared" si="2686"/>
        <v>89063000</v>
      </c>
      <c r="D15039">
        <v>89301037</v>
      </c>
      <c r="E15039" t="str">
        <f>"535502055"</f>
        <v>535502055</v>
      </c>
      <c r="F15039" s="1">
        <v>45273</v>
      </c>
      <c r="G15039" t="str">
        <f t="shared" si="2684"/>
        <v>89312</v>
      </c>
      <c r="H15039">
        <v>3</v>
      </c>
      <c r="I15039">
        <v>936</v>
      </c>
      <c r="J15039">
        <v>0</v>
      </c>
      <c r="K15039" t="str">
        <f t="shared" si="2685"/>
        <v>809</v>
      </c>
      <c r="L15039">
        <v>1020.24</v>
      </c>
    </row>
    <row r="15040" spans="1:12" x14ac:dyDescent="0.25">
      <c r="A15040" t="str">
        <f t="shared" si="2678"/>
        <v>89301000</v>
      </c>
      <c r="B15040" t="str">
        <f t="shared" si="2686"/>
        <v>89063000</v>
      </c>
      <c r="C15040" t="str">
        <f t="shared" si="2686"/>
        <v>89063000</v>
      </c>
      <c r="D15040">
        <v>89301036</v>
      </c>
      <c r="E15040" t="str">
        <f>"6862170810"</f>
        <v>6862170810</v>
      </c>
      <c r="F15040" s="1">
        <v>45273</v>
      </c>
      <c r="G15040" t="str">
        <f t="shared" si="2684"/>
        <v>89312</v>
      </c>
      <c r="H15040">
        <v>3</v>
      </c>
      <c r="I15040">
        <v>936</v>
      </c>
      <c r="J15040">
        <v>0</v>
      </c>
      <c r="K15040" t="str">
        <f t="shared" si="2685"/>
        <v>809</v>
      </c>
      <c r="L15040">
        <v>1020.24</v>
      </c>
    </row>
    <row r="15041" spans="1:12" x14ac:dyDescent="0.25">
      <c r="A15041" t="str">
        <f t="shared" si="2678"/>
        <v>89301000</v>
      </c>
      <c r="B15041" t="str">
        <f t="shared" si="2686"/>
        <v>89063000</v>
      </c>
      <c r="C15041" t="str">
        <f t="shared" si="2686"/>
        <v>89063000</v>
      </c>
      <c r="D15041">
        <v>89301036</v>
      </c>
      <c r="E15041" t="str">
        <f>"9152065736"</f>
        <v>9152065736</v>
      </c>
      <c r="F15041" s="1">
        <v>45273</v>
      </c>
      <c r="G15041" t="str">
        <f t="shared" si="2684"/>
        <v>89312</v>
      </c>
      <c r="H15041">
        <v>3</v>
      </c>
      <c r="I15041">
        <v>936</v>
      </c>
      <c r="J15041">
        <v>0</v>
      </c>
      <c r="K15041" t="str">
        <f t="shared" si="2685"/>
        <v>809</v>
      </c>
      <c r="L15041">
        <v>1020.24</v>
      </c>
    </row>
    <row r="15042" spans="1:12" x14ac:dyDescent="0.25">
      <c r="A15042" t="str">
        <f t="shared" ref="A15042:A15105" si="2687">"89301000"</f>
        <v>89301000</v>
      </c>
      <c r="B15042" t="str">
        <f t="shared" si="2686"/>
        <v>89063000</v>
      </c>
      <c r="C15042" t="str">
        <f t="shared" si="2686"/>
        <v>89063000</v>
      </c>
      <c r="D15042">
        <v>89301037</v>
      </c>
      <c r="E15042" t="str">
        <f>"6158110354"</f>
        <v>6158110354</v>
      </c>
      <c r="F15042" s="1">
        <v>45274</v>
      </c>
      <c r="G15042" t="str">
        <f t="shared" si="2684"/>
        <v>89312</v>
      </c>
      <c r="H15042">
        <v>3</v>
      </c>
      <c r="I15042">
        <v>936</v>
      </c>
      <c r="J15042">
        <v>0</v>
      </c>
      <c r="K15042" t="str">
        <f t="shared" si="2685"/>
        <v>809</v>
      </c>
      <c r="L15042">
        <v>1020.24</v>
      </c>
    </row>
    <row r="15043" spans="1:12" x14ac:dyDescent="0.25">
      <c r="A15043" t="str">
        <f t="shared" si="2687"/>
        <v>89301000</v>
      </c>
      <c r="B15043" t="str">
        <f t="shared" si="2686"/>
        <v>89063000</v>
      </c>
      <c r="C15043" t="str">
        <f t="shared" si="2686"/>
        <v>89063000</v>
      </c>
      <c r="D15043">
        <v>89301037</v>
      </c>
      <c r="E15043" t="str">
        <f>"5954050762"</f>
        <v>5954050762</v>
      </c>
      <c r="F15043" s="1">
        <v>45274</v>
      </c>
      <c r="G15043" t="str">
        <f t="shared" si="2684"/>
        <v>89312</v>
      </c>
      <c r="H15043">
        <v>3</v>
      </c>
      <c r="I15043">
        <v>936</v>
      </c>
      <c r="J15043">
        <v>0</v>
      </c>
      <c r="K15043" t="str">
        <f t="shared" si="2685"/>
        <v>809</v>
      </c>
      <c r="L15043">
        <v>1020.24</v>
      </c>
    </row>
    <row r="15044" spans="1:12" x14ac:dyDescent="0.25">
      <c r="A15044" t="str">
        <f t="shared" si="2687"/>
        <v>89301000</v>
      </c>
      <c r="B15044" t="str">
        <f t="shared" si="2686"/>
        <v>89063000</v>
      </c>
      <c r="C15044" t="str">
        <f t="shared" si="2686"/>
        <v>89063000</v>
      </c>
      <c r="D15044">
        <v>89301036</v>
      </c>
      <c r="E15044" t="str">
        <f>"6560176403"</f>
        <v>6560176403</v>
      </c>
      <c r="F15044" s="1">
        <v>45274</v>
      </c>
      <c r="G15044" t="str">
        <f t="shared" si="2684"/>
        <v>89312</v>
      </c>
      <c r="H15044">
        <v>3</v>
      </c>
      <c r="I15044">
        <v>936</v>
      </c>
      <c r="J15044">
        <v>0</v>
      </c>
      <c r="K15044" t="str">
        <f t="shared" si="2685"/>
        <v>809</v>
      </c>
      <c r="L15044">
        <v>1020.24</v>
      </c>
    </row>
    <row r="15045" spans="1:12" x14ac:dyDescent="0.25">
      <c r="A15045" t="str">
        <f t="shared" si="2687"/>
        <v>89301000</v>
      </c>
      <c r="B15045" t="str">
        <f t="shared" si="2686"/>
        <v>89063000</v>
      </c>
      <c r="C15045" t="str">
        <f t="shared" si="2686"/>
        <v>89063000</v>
      </c>
      <c r="D15045">
        <v>89301702</v>
      </c>
      <c r="E15045" t="str">
        <f>"1651311167"</f>
        <v>1651311167</v>
      </c>
      <c r="F15045" s="1">
        <v>45274</v>
      </c>
      <c r="G15045" t="str">
        <f t="shared" si="2684"/>
        <v>89312</v>
      </c>
      <c r="H15045">
        <v>1</v>
      </c>
      <c r="I15045">
        <v>312</v>
      </c>
      <c r="J15045">
        <v>0</v>
      </c>
      <c r="K15045" t="str">
        <f t="shared" si="2685"/>
        <v>809</v>
      </c>
      <c r="L15045">
        <v>340.08</v>
      </c>
    </row>
    <row r="15046" spans="1:12" x14ac:dyDescent="0.25">
      <c r="A15046" t="str">
        <f t="shared" si="2687"/>
        <v>89301000</v>
      </c>
      <c r="B15046" t="str">
        <f t="shared" si="2686"/>
        <v>89063000</v>
      </c>
      <c r="C15046" t="str">
        <f t="shared" si="2686"/>
        <v>89063000</v>
      </c>
      <c r="D15046">
        <v>89301702</v>
      </c>
      <c r="E15046" t="str">
        <f>"1553180585"</f>
        <v>1553180585</v>
      </c>
      <c r="F15046" s="1">
        <v>45274</v>
      </c>
      <c r="G15046" t="str">
        <f t="shared" si="2684"/>
        <v>89312</v>
      </c>
      <c r="H15046">
        <v>1</v>
      </c>
      <c r="I15046">
        <v>312</v>
      </c>
      <c r="J15046">
        <v>0</v>
      </c>
      <c r="K15046" t="str">
        <f t="shared" ref="K15046:K15064" si="2688">"809"</f>
        <v>809</v>
      </c>
      <c r="L15046">
        <v>340.08</v>
      </c>
    </row>
    <row r="15047" spans="1:12" x14ac:dyDescent="0.25">
      <c r="A15047" t="str">
        <f t="shared" si="2687"/>
        <v>89301000</v>
      </c>
      <c r="B15047" t="str">
        <f t="shared" si="2686"/>
        <v>89063000</v>
      </c>
      <c r="C15047" t="str">
        <f t="shared" si="2686"/>
        <v>89063000</v>
      </c>
      <c r="D15047">
        <v>89301037</v>
      </c>
      <c r="E15047" t="str">
        <f>"510705075"</f>
        <v>510705075</v>
      </c>
      <c r="F15047" s="1">
        <v>45275</v>
      </c>
      <c r="G15047" t="str">
        <f t="shared" si="2684"/>
        <v>89312</v>
      </c>
      <c r="H15047">
        <v>3</v>
      </c>
      <c r="I15047">
        <v>936</v>
      </c>
      <c r="J15047">
        <v>0</v>
      </c>
      <c r="K15047" t="str">
        <f t="shared" si="2688"/>
        <v>809</v>
      </c>
      <c r="L15047">
        <v>1020.24</v>
      </c>
    </row>
    <row r="15048" spans="1:12" x14ac:dyDescent="0.25">
      <c r="A15048" t="str">
        <f t="shared" si="2687"/>
        <v>89301000</v>
      </c>
      <c r="B15048" t="str">
        <f t="shared" si="2686"/>
        <v>89063000</v>
      </c>
      <c r="C15048" t="str">
        <f t="shared" si="2686"/>
        <v>89063000</v>
      </c>
      <c r="D15048">
        <v>89301037</v>
      </c>
      <c r="E15048" t="str">
        <f>"536006240"</f>
        <v>536006240</v>
      </c>
      <c r="F15048" s="1">
        <v>45275</v>
      </c>
      <c r="G15048" t="str">
        <f t="shared" si="2684"/>
        <v>89312</v>
      </c>
      <c r="H15048">
        <v>3</v>
      </c>
      <c r="I15048">
        <v>936</v>
      </c>
      <c r="J15048">
        <v>0</v>
      </c>
      <c r="K15048" t="str">
        <f t="shared" si="2688"/>
        <v>809</v>
      </c>
      <c r="L15048">
        <v>1020.24</v>
      </c>
    </row>
    <row r="15049" spans="1:12" x14ac:dyDescent="0.25">
      <c r="A15049" t="str">
        <f t="shared" si="2687"/>
        <v>89301000</v>
      </c>
      <c r="B15049" t="str">
        <f t="shared" si="2686"/>
        <v>89063000</v>
      </c>
      <c r="C15049" t="str">
        <f t="shared" si="2686"/>
        <v>89063000</v>
      </c>
      <c r="D15049">
        <v>89301037</v>
      </c>
      <c r="E15049" t="str">
        <f>"5958171494"</f>
        <v>5958171494</v>
      </c>
      <c r="F15049" s="1">
        <v>45279</v>
      </c>
      <c r="G15049" t="str">
        <f t="shared" si="2684"/>
        <v>89312</v>
      </c>
      <c r="H15049">
        <v>3</v>
      </c>
      <c r="I15049">
        <v>936</v>
      </c>
      <c r="J15049">
        <v>0</v>
      </c>
      <c r="K15049" t="str">
        <f t="shared" si="2688"/>
        <v>809</v>
      </c>
      <c r="L15049">
        <v>1020.24</v>
      </c>
    </row>
    <row r="15050" spans="1:12" x14ac:dyDescent="0.25">
      <c r="A15050" t="str">
        <f t="shared" si="2687"/>
        <v>89301000</v>
      </c>
      <c r="B15050" t="str">
        <f t="shared" si="2686"/>
        <v>89063000</v>
      </c>
      <c r="C15050" t="str">
        <f t="shared" si="2686"/>
        <v>89063000</v>
      </c>
      <c r="D15050">
        <v>89301212</v>
      </c>
      <c r="E15050" t="str">
        <f>"450424411"</f>
        <v>450424411</v>
      </c>
      <c r="F15050" s="1">
        <v>45279</v>
      </c>
      <c r="G15050" t="str">
        <f t="shared" si="2684"/>
        <v>89312</v>
      </c>
      <c r="H15050">
        <v>3</v>
      </c>
      <c r="I15050">
        <v>936</v>
      </c>
      <c r="J15050">
        <v>0</v>
      </c>
      <c r="K15050" t="str">
        <f t="shared" si="2688"/>
        <v>809</v>
      </c>
      <c r="L15050">
        <v>1020.24</v>
      </c>
    </row>
    <row r="15051" spans="1:12" x14ac:dyDescent="0.25">
      <c r="A15051" t="str">
        <f t="shared" si="2687"/>
        <v>89301000</v>
      </c>
      <c r="B15051" t="str">
        <f t="shared" si="2686"/>
        <v>89063000</v>
      </c>
      <c r="C15051" t="str">
        <f t="shared" si="2686"/>
        <v>89063000</v>
      </c>
      <c r="D15051">
        <v>89301037</v>
      </c>
      <c r="E15051" t="str">
        <f>"6808011914"</f>
        <v>6808011914</v>
      </c>
      <c r="F15051" s="1">
        <v>45280</v>
      </c>
      <c r="G15051" t="str">
        <f t="shared" si="2684"/>
        <v>89312</v>
      </c>
      <c r="H15051">
        <v>3</v>
      </c>
      <c r="I15051">
        <v>936</v>
      </c>
      <c r="J15051">
        <v>0</v>
      </c>
      <c r="K15051" t="str">
        <f t="shared" si="2688"/>
        <v>809</v>
      </c>
      <c r="L15051">
        <v>1020.24</v>
      </c>
    </row>
    <row r="15052" spans="1:12" x14ac:dyDescent="0.25">
      <c r="A15052" t="str">
        <f t="shared" si="2687"/>
        <v>89301000</v>
      </c>
      <c r="B15052" t="str">
        <f t="shared" si="2686"/>
        <v>89063000</v>
      </c>
      <c r="C15052" t="str">
        <f t="shared" si="2686"/>
        <v>89063000</v>
      </c>
      <c r="D15052">
        <v>89301037</v>
      </c>
      <c r="E15052" t="str">
        <f>"6161011362"</f>
        <v>6161011362</v>
      </c>
      <c r="F15052" s="1">
        <v>45280</v>
      </c>
      <c r="G15052" t="str">
        <f t="shared" si="2684"/>
        <v>89312</v>
      </c>
      <c r="H15052">
        <v>3</v>
      </c>
      <c r="I15052">
        <v>936</v>
      </c>
      <c r="J15052">
        <v>0</v>
      </c>
      <c r="K15052" t="str">
        <f t="shared" si="2688"/>
        <v>809</v>
      </c>
      <c r="L15052">
        <v>1020.24</v>
      </c>
    </row>
    <row r="15053" spans="1:12" x14ac:dyDescent="0.25">
      <c r="A15053" t="str">
        <f t="shared" si="2687"/>
        <v>89301000</v>
      </c>
      <c r="B15053" t="str">
        <f t="shared" si="2686"/>
        <v>89063000</v>
      </c>
      <c r="C15053" t="str">
        <f t="shared" si="2686"/>
        <v>89063000</v>
      </c>
      <c r="D15053">
        <v>89301037</v>
      </c>
      <c r="E15053" t="str">
        <f>"425330448"</f>
        <v>425330448</v>
      </c>
      <c r="F15053" s="1">
        <v>45280</v>
      </c>
      <c r="G15053" t="str">
        <f t="shared" si="2684"/>
        <v>89312</v>
      </c>
      <c r="H15053">
        <v>3</v>
      </c>
      <c r="I15053">
        <v>936</v>
      </c>
      <c r="J15053">
        <v>0</v>
      </c>
      <c r="K15053" t="str">
        <f t="shared" si="2688"/>
        <v>809</v>
      </c>
      <c r="L15053">
        <v>1020.24</v>
      </c>
    </row>
    <row r="15054" spans="1:12" x14ac:dyDescent="0.25">
      <c r="A15054" t="str">
        <f t="shared" si="2687"/>
        <v>89301000</v>
      </c>
      <c r="B15054" t="str">
        <f t="shared" si="2686"/>
        <v>89063000</v>
      </c>
      <c r="C15054" t="str">
        <f t="shared" si="2686"/>
        <v>89063000</v>
      </c>
      <c r="D15054">
        <v>89301037</v>
      </c>
      <c r="E15054" t="str">
        <f>"6662056852"</f>
        <v>6662056852</v>
      </c>
      <c r="F15054" s="1">
        <v>45280</v>
      </c>
      <c r="G15054" t="str">
        <f t="shared" si="2684"/>
        <v>89312</v>
      </c>
      <c r="H15054">
        <v>3</v>
      </c>
      <c r="I15054">
        <v>936</v>
      </c>
      <c r="J15054">
        <v>0</v>
      </c>
      <c r="K15054" t="str">
        <f t="shared" si="2688"/>
        <v>809</v>
      </c>
      <c r="L15054">
        <v>1020.24</v>
      </c>
    </row>
    <row r="15055" spans="1:12" x14ac:dyDescent="0.25">
      <c r="A15055" t="str">
        <f t="shared" si="2687"/>
        <v>89301000</v>
      </c>
      <c r="B15055" t="str">
        <f t="shared" si="2686"/>
        <v>89063000</v>
      </c>
      <c r="C15055" t="str">
        <f t="shared" si="2686"/>
        <v>89063000</v>
      </c>
      <c r="D15055">
        <v>89301037</v>
      </c>
      <c r="E15055" t="str">
        <f>"7904115758"</f>
        <v>7904115758</v>
      </c>
      <c r="F15055" s="1">
        <v>45280</v>
      </c>
      <c r="G15055" t="str">
        <f t="shared" si="2684"/>
        <v>89312</v>
      </c>
      <c r="H15055">
        <v>3</v>
      </c>
      <c r="I15055">
        <v>936</v>
      </c>
      <c r="J15055">
        <v>0</v>
      </c>
      <c r="K15055" t="str">
        <f t="shared" si="2688"/>
        <v>809</v>
      </c>
      <c r="L15055">
        <v>1020.24</v>
      </c>
    </row>
    <row r="15056" spans="1:12" x14ac:dyDescent="0.25">
      <c r="A15056" t="str">
        <f t="shared" si="2687"/>
        <v>89301000</v>
      </c>
      <c r="B15056" t="str">
        <f t="shared" si="2686"/>
        <v>89063000</v>
      </c>
      <c r="C15056" t="str">
        <f t="shared" si="2686"/>
        <v>89063000</v>
      </c>
      <c r="D15056">
        <v>89301028</v>
      </c>
      <c r="E15056" t="str">
        <f>"8751266205"</f>
        <v>8751266205</v>
      </c>
      <c r="F15056" s="1">
        <v>45280</v>
      </c>
      <c r="G15056" t="str">
        <f t="shared" si="2684"/>
        <v>89312</v>
      </c>
      <c r="H15056">
        <v>3</v>
      </c>
      <c r="I15056">
        <v>936</v>
      </c>
      <c r="J15056">
        <v>0</v>
      </c>
      <c r="K15056" t="str">
        <f t="shared" si="2688"/>
        <v>809</v>
      </c>
      <c r="L15056">
        <v>1020.24</v>
      </c>
    </row>
    <row r="15057" spans="1:12" x14ac:dyDescent="0.25">
      <c r="A15057" t="str">
        <f t="shared" si="2687"/>
        <v>89301000</v>
      </c>
      <c r="B15057" t="str">
        <f t="shared" si="2686"/>
        <v>89063000</v>
      </c>
      <c r="C15057" t="str">
        <f t="shared" si="2686"/>
        <v>89063000</v>
      </c>
      <c r="D15057">
        <v>89301037</v>
      </c>
      <c r="E15057" t="str">
        <f>"515621119"</f>
        <v>515621119</v>
      </c>
      <c r="F15057" s="1">
        <v>45281</v>
      </c>
      <c r="G15057" t="str">
        <f t="shared" si="2684"/>
        <v>89312</v>
      </c>
      <c r="H15057">
        <v>3</v>
      </c>
      <c r="I15057">
        <v>936</v>
      </c>
      <c r="J15057">
        <v>0</v>
      </c>
      <c r="K15057" t="str">
        <f t="shared" si="2688"/>
        <v>809</v>
      </c>
      <c r="L15057">
        <v>1020.24</v>
      </c>
    </row>
    <row r="15058" spans="1:12" x14ac:dyDescent="0.25">
      <c r="A15058" t="str">
        <f t="shared" si="2687"/>
        <v>89301000</v>
      </c>
      <c r="B15058" t="str">
        <f t="shared" si="2686"/>
        <v>89063000</v>
      </c>
      <c r="C15058" t="str">
        <f t="shared" si="2686"/>
        <v>89063000</v>
      </c>
      <c r="D15058">
        <v>89301037</v>
      </c>
      <c r="E15058" t="str">
        <f>"8254154843"</f>
        <v>8254154843</v>
      </c>
      <c r="F15058" s="1">
        <v>45282</v>
      </c>
      <c r="G15058" t="str">
        <f t="shared" si="2684"/>
        <v>89312</v>
      </c>
      <c r="H15058">
        <v>3</v>
      </c>
      <c r="I15058">
        <v>936</v>
      </c>
      <c r="J15058">
        <v>0</v>
      </c>
      <c r="K15058" t="str">
        <f t="shared" si="2688"/>
        <v>809</v>
      </c>
      <c r="L15058">
        <v>1020.24</v>
      </c>
    </row>
    <row r="15059" spans="1:12" x14ac:dyDescent="0.25">
      <c r="A15059" t="str">
        <f t="shared" si="2687"/>
        <v>89301000</v>
      </c>
      <c r="B15059" t="str">
        <f>"89511000"</f>
        <v>89511000</v>
      </c>
      <c r="C15059" t="str">
        <f>"89511001"</f>
        <v>89511001</v>
      </c>
      <c r="D15059">
        <v>89301606</v>
      </c>
      <c r="E15059" t="str">
        <f>"9356214846"</f>
        <v>9356214846</v>
      </c>
      <c r="F15059" s="1">
        <v>45266</v>
      </c>
      <c r="G15059" t="str">
        <f>"89127"</f>
        <v>89127</v>
      </c>
      <c r="H15059">
        <v>2</v>
      </c>
      <c r="I15059">
        <v>484</v>
      </c>
      <c r="J15059">
        <v>0</v>
      </c>
      <c r="K15059" t="str">
        <f t="shared" si="2688"/>
        <v>809</v>
      </c>
      <c r="L15059">
        <v>711.48</v>
      </c>
    </row>
    <row r="15060" spans="1:12" x14ac:dyDescent="0.25">
      <c r="A15060" t="str">
        <f t="shared" si="2687"/>
        <v>89301000</v>
      </c>
      <c r="B15060" t="str">
        <f>"93507000"</f>
        <v>93507000</v>
      </c>
      <c r="C15060" t="str">
        <f>"93507001"</f>
        <v>93507001</v>
      </c>
      <c r="D15060">
        <v>89301212</v>
      </c>
      <c r="E15060" t="str">
        <f>"475923411"</f>
        <v>475923411</v>
      </c>
      <c r="F15060" s="1">
        <v>45271</v>
      </c>
      <c r="G15060" t="str">
        <f>"89513"</f>
        <v>89513</v>
      </c>
      <c r="H15060">
        <v>1</v>
      </c>
      <c r="I15060">
        <v>378</v>
      </c>
      <c r="J15060">
        <v>0</v>
      </c>
      <c r="K15060" t="str">
        <f t="shared" si="2688"/>
        <v>809</v>
      </c>
      <c r="L15060">
        <v>555.66</v>
      </c>
    </row>
    <row r="15061" spans="1:12" x14ac:dyDescent="0.25">
      <c r="A15061" t="str">
        <f t="shared" si="2687"/>
        <v>89301000</v>
      </c>
      <c r="B15061" t="str">
        <f>"93507000"</f>
        <v>93507000</v>
      </c>
      <c r="C15061" t="str">
        <f>"93507001"</f>
        <v>93507001</v>
      </c>
      <c r="D15061">
        <v>89301212</v>
      </c>
      <c r="E15061" t="str">
        <f>"475923411"</f>
        <v>475923411</v>
      </c>
      <c r="F15061" s="1">
        <v>45271</v>
      </c>
      <c r="G15061" t="str">
        <f>"89514"</f>
        <v>89514</v>
      </c>
      <c r="H15061">
        <v>1</v>
      </c>
      <c r="I15061">
        <v>378</v>
      </c>
      <c r="J15061">
        <v>0</v>
      </c>
      <c r="K15061" t="str">
        <f t="shared" si="2688"/>
        <v>809</v>
      </c>
      <c r="L15061">
        <v>555.66</v>
      </c>
    </row>
    <row r="15062" spans="1:12" x14ac:dyDescent="0.25">
      <c r="A15062" t="str">
        <f t="shared" si="2687"/>
        <v>89301000</v>
      </c>
      <c r="B15062" t="str">
        <f>"93507000"</f>
        <v>93507000</v>
      </c>
      <c r="C15062" t="str">
        <f>"93507001"</f>
        <v>93507001</v>
      </c>
      <c r="D15062">
        <v>89301212</v>
      </c>
      <c r="E15062" t="str">
        <f>"6158021606"</f>
        <v>6158021606</v>
      </c>
      <c r="F15062" s="1">
        <v>45266</v>
      </c>
      <c r="G15062" t="str">
        <f>"89131"</f>
        <v>89131</v>
      </c>
      <c r="H15062">
        <v>1</v>
      </c>
      <c r="I15062">
        <v>190</v>
      </c>
      <c r="J15062">
        <v>0</v>
      </c>
      <c r="K15062" t="str">
        <f t="shared" si="2688"/>
        <v>809</v>
      </c>
      <c r="L15062">
        <v>279.3</v>
      </c>
    </row>
    <row r="15063" spans="1:12" x14ac:dyDescent="0.25">
      <c r="A15063" t="str">
        <f t="shared" si="2687"/>
        <v>89301000</v>
      </c>
      <c r="B15063" t="str">
        <f>"93507000"</f>
        <v>93507000</v>
      </c>
      <c r="C15063" t="str">
        <f>"93507001"</f>
        <v>93507001</v>
      </c>
      <c r="D15063">
        <v>89301212</v>
      </c>
      <c r="E15063" t="str">
        <f>"6158021606"</f>
        <v>6158021606</v>
      </c>
      <c r="F15063" s="1">
        <v>45266</v>
      </c>
      <c r="G15063" t="str">
        <f>"89513"</f>
        <v>89513</v>
      </c>
      <c r="H15063">
        <v>1</v>
      </c>
      <c r="I15063">
        <v>378</v>
      </c>
      <c r="J15063">
        <v>0</v>
      </c>
      <c r="K15063" t="str">
        <f t="shared" si="2688"/>
        <v>809</v>
      </c>
      <c r="L15063">
        <v>555.66</v>
      </c>
    </row>
    <row r="15064" spans="1:12" x14ac:dyDescent="0.25">
      <c r="A15064" t="str">
        <f t="shared" si="2687"/>
        <v>89301000</v>
      </c>
      <c r="B15064" t="str">
        <f>"93507000"</f>
        <v>93507000</v>
      </c>
      <c r="C15064" t="str">
        <f>"93507001"</f>
        <v>93507001</v>
      </c>
      <c r="D15064">
        <v>89301212</v>
      </c>
      <c r="E15064" t="str">
        <f>"6158021606"</f>
        <v>6158021606</v>
      </c>
      <c r="F15064" s="1">
        <v>45266</v>
      </c>
      <c r="G15064" t="str">
        <f>"89514"</f>
        <v>89514</v>
      </c>
      <c r="H15064">
        <v>1</v>
      </c>
      <c r="I15064">
        <v>378</v>
      </c>
      <c r="J15064">
        <v>0</v>
      </c>
      <c r="K15064" t="str">
        <f t="shared" si="2688"/>
        <v>809</v>
      </c>
      <c r="L15064">
        <v>555.66</v>
      </c>
    </row>
    <row r="15065" spans="1:12" x14ac:dyDescent="0.25">
      <c r="A15065" t="str">
        <f t="shared" si="2687"/>
        <v>89301000</v>
      </c>
      <c r="B15065" t="str">
        <f t="shared" ref="B15065:B15096" si="2689">"93501000"</f>
        <v>93501000</v>
      </c>
      <c r="C15065" t="str">
        <f t="shared" ref="C15065:C15096" si="2690">"93501001"</f>
        <v>93501001</v>
      </c>
      <c r="D15065">
        <v>89301167</v>
      </c>
      <c r="E15065" t="str">
        <f t="shared" ref="E15065:E15102" si="2691">"470127462"</f>
        <v>470127462</v>
      </c>
      <c r="F15065" s="1">
        <v>45261</v>
      </c>
      <c r="G15065" t="str">
        <f>"09119"</f>
        <v>09119</v>
      </c>
      <c r="H15065">
        <v>1</v>
      </c>
      <c r="I15065">
        <v>43</v>
      </c>
      <c r="J15065">
        <v>0</v>
      </c>
      <c r="K15065" t="str">
        <f t="shared" ref="K15065:K15096" si="2692">"801"</f>
        <v>801</v>
      </c>
      <c r="L15065">
        <v>54.18</v>
      </c>
    </row>
    <row r="15066" spans="1:12" x14ac:dyDescent="0.25">
      <c r="A15066" t="str">
        <f t="shared" si="2687"/>
        <v>89301000</v>
      </c>
      <c r="B15066" t="str">
        <f t="shared" si="2689"/>
        <v>93501000</v>
      </c>
      <c r="C15066" t="str">
        <f t="shared" si="2690"/>
        <v>93501001</v>
      </c>
      <c r="D15066">
        <v>89301167</v>
      </c>
      <c r="E15066" t="str">
        <f t="shared" si="2691"/>
        <v>470127462</v>
      </c>
      <c r="F15066" s="1">
        <v>45261</v>
      </c>
      <c r="G15066" t="str">
        <f>"81329"</f>
        <v>81329</v>
      </c>
      <c r="H15066">
        <v>1</v>
      </c>
      <c r="I15066">
        <v>17</v>
      </c>
      <c r="J15066">
        <v>0</v>
      </c>
      <c r="K15066" t="str">
        <f t="shared" si="2692"/>
        <v>801</v>
      </c>
      <c r="L15066">
        <v>14.28</v>
      </c>
    </row>
    <row r="15067" spans="1:12" x14ac:dyDescent="0.25">
      <c r="A15067" t="str">
        <f t="shared" si="2687"/>
        <v>89301000</v>
      </c>
      <c r="B15067" t="str">
        <f t="shared" si="2689"/>
        <v>93501000</v>
      </c>
      <c r="C15067" t="str">
        <f t="shared" si="2690"/>
        <v>93501001</v>
      </c>
      <c r="D15067">
        <v>89301167</v>
      </c>
      <c r="E15067" t="str">
        <f t="shared" si="2691"/>
        <v>470127462</v>
      </c>
      <c r="F15067" s="1">
        <v>45261</v>
      </c>
      <c r="G15067" t="str">
        <f>"81337"</f>
        <v>81337</v>
      </c>
      <c r="H15067">
        <v>1</v>
      </c>
      <c r="I15067">
        <v>20</v>
      </c>
      <c r="J15067">
        <v>0</v>
      </c>
      <c r="K15067" t="str">
        <f t="shared" si="2692"/>
        <v>801</v>
      </c>
      <c r="L15067">
        <v>16.8</v>
      </c>
    </row>
    <row r="15068" spans="1:12" x14ac:dyDescent="0.25">
      <c r="A15068" t="str">
        <f t="shared" si="2687"/>
        <v>89301000</v>
      </c>
      <c r="B15068" t="str">
        <f t="shared" si="2689"/>
        <v>93501000</v>
      </c>
      <c r="C15068" t="str">
        <f t="shared" si="2690"/>
        <v>93501001</v>
      </c>
      <c r="D15068">
        <v>89301167</v>
      </c>
      <c r="E15068" t="str">
        <f t="shared" si="2691"/>
        <v>470127462</v>
      </c>
      <c r="F15068" s="1">
        <v>45261</v>
      </c>
      <c r="G15068" t="str">
        <f>"81357"</f>
        <v>81357</v>
      </c>
      <c r="H15068">
        <v>1</v>
      </c>
      <c r="I15068">
        <v>20</v>
      </c>
      <c r="J15068">
        <v>0</v>
      </c>
      <c r="K15068" t="str">
        <f t="shared" si="2692"/>
        <v>801</v>
      </c>
      <c r="L15068">
        <v>16.8</v>
      </c>
    </row>
    <row r="15069" spans="1:12" x14ac:dyDescent="0.25">
      <c r="A15069" t="str">
        <f t="shared" si="2687"/>
        <v>89301000</v>
      </c>
      <c r="B15069" t="str">
        <f t="shared" si="2689"/>
        <v>93501000</v>
      </c>
      <c r="C15069" t="str">
        <f t="shared" si="2690"/>
        <v>93501001</v>
      </c>
      <c r="D15069">
        <v>89301167</v>
      </c>
      <c r="E15069" t="str">
        <f t="shared" si="2691"/>
        <v>470127462</v>
      </c>
      <c r="F15069" s="1">
        <v>45261</v>
      </c>
      <c r="G15069" t="str">
        <f>"81361"</f>
        <v>81361</v>
      </c>
      <c r="H15069">
        <v>1</v>
      </c>
      <c r="I15069">
        <v>17</v>
      </c>
      <c r="J15069">
        <v>0</v>
      </c>
      <c r="K15069" t="str">
        <f t="shared" si="2692"/>
        <v>801</v>
      </c>
      <c r="L15069">
        <v>14.28</v>
      </c>
    </row>
    <row r="15070" spans="1:12" x14ac:dyDescent="0.25">
      <c r="A15070" t="str">
        <f t="shared" si="2687"/>
        <v>89301000</v>
      </c>
      <c r="B15070" t="str">
        <f t="shared" si="2689"/>
        <v>93501000</v>
      </c>
      <c r="C15070" t="str">
        <f t="shared" si="2690"/>
        <v>93501001</v>
      </c>
      <c r="D15070">
        <v>89301167</v>
      </c>
      <c r="E15070" t="str">
        <f t="shared" si="2691"/>
        <v>470127462</v>
      </c>
      <c r="F15070" s="1">
        <v>45261</v>
      </c>
      <c r="G15070" t="str">
        <f>"81365"</f>
        <v>81365</v>
      </c>
      <c r="H15070">
        <v>1</v>
      </c>
      <c r="I15070">
        <v>16</v>
      </c>
      <c r="J15070">
        <v>0</v>
      </c>
      <c r="K15070" t="str">
        <f t="shared" si="2692"/>
        <v>801</v>
      </c>
      <c r="L15070">
        <v>13.44</v>
      </c>
    </row>
    <row r="15071" spans="1:12" x14ac:dyDescent="0.25">
      <c r="A15071" t="str">
        <f t="shared" si="2687"/>
        <v>89301000</v>
      </c>
      <c r="B15071" t="str">
        <f t="shared" si="2689"/>
        <v>93501000</v>
      </c>
      <c r="C15071" t="str">
        <f t="shared" si="2690"/>
        <v>93501001</v>
      </c>
      <c r="D15071">
        <v>89301167</v>
      </c>
      <c r="E15071" t="str">
        <f t="shared" si="2691"/>
        <v>470127462</v>
      </c>
      <c r="F15071" s="1">
        <v>45261</v>
      </c>
      <c r="G15071" t="str">
        <f>"81383"</f>
        <v>81383</v>
      </c>
      <c r="H15071">
        <v>1</v>
      </c>
      <c r="I15071">
        <v>24</v>
      </c>
      <c r="J15071">
        <v>0</v>
      </c>
      <c r="K15071" t="str">
        <f t="shared" si="2692"/>
        <v>801</v>
      </c>
      <c r="L15071">
        <v>20.16</v>
      </c>
    </row>
    <row r="15072" spans="1:12" x14ac:dyDescent="0.25">
      <c r="A15072" t="str">
        <f t="shared" si="2687"/>
        <v>89301000</v>
      </c>
      <c r="B15072" t="str">
        <f t="shared" si="2689"/>
        <v>93501000</v>
      </c>
      <c r="C15072" t="str">
        <f t="shared" si="2690"/>
        <v>93501001</v>
      </c>
      <c r="D15072">
        <v>89301167</v>
      </c>
      <c r="E15072" t="str">
        <f t="shared" si="2691"/>
        <v>470127462</v>
      </c>
      <c r="F15072" s="1">
        <v>45261</v>
      </c>
      <c r="G15072" t="str">
        <f>"81393"</f>
        <v>81393</v>
      </c>
      <c r="H15072">
        <v>1</v>
      </c>
      <c r="I15072">
        <v>24</v>
      </c>
      <c r="J15072">
        <v>0</v>
      </c>
      <c r="K15072" t="str">
        <f t="shared" si="2692"/>
        <v>801</v>
      </c>
      <c r="L15072">
        <v>20.16</v>
      </c>
    </row>
    <row r="15073" spans="1:12" x14ac:dyDescent="0.25">
      <c r="A15073" t="str">
        <f t="shared" si="2687"/>
        <v>89301000</v>
      </c>
      <c r="B15073" t="str">
        <f t="shared" si="2689"/>
        <v>93501000</v>
      </c>
      <c r="C15073" t="str">
        <f t="shared" si="2690"/>
        <v>93501001</v>
      </c>
      <c r="D15073">
        <v>89301167</v>
      </c>
      <c r="E15073" t="str">
        <f t="shared" si="2691"/>
        <v>470127462</v>
      </c>
      <c r="F15073" s="1">
        <v>45261</v>
      </c>
      <c r="G15073" t="str">
        <f>"81421"</f>
        <v>81421</v>
      </c>
      <c r="H15073">
        <v>1</v>
      </c>
      <c r="I15073">
        <v>19</v>
      </c>
      <c r="J15073">
        <v>0</v>
      </c>
      <c r="K15073" t="str">
        <f t="shared" si="2692"/>
        <v>801</v>
      </c>
      <c r="L15073">
        <v>15.96</v>
      </c>
    </row>
    <row r="15074" spans="1:12" x14ac:dyDescent="0.25">
      <c r="A15074" t="str">
        <f t="shared" si="2687"/>
        <v>89301000</v>
      </c>
      <c r="B15074" t="str">
        <f t="shared" si="2689"/>
        <v>93501000</v>
      </c>
      <c r="C15074" t="str">
        <f t="shared" si="2690"/>
        <v>93501001</v>
      </c>
      <c r="D15074">
        <v>89301167</v>
      </c>
      <c r="E15074" t="str">
        <f t="shared" si="2691"/>
        <v>470127462</v>
      </c>
      <c r="F15074" s="1">
        <v>45261</v>
      </c>
      <c r="G15074" t="str">
        <f>"81435"</f>
        <v>81435</v>
      </c>
      <c r="H15074">
        <v>1</v>
      </c>
      <c r="I15074">
        <v>22</v>
      </c>
      <c r="J15074">
        <v>0</v>
      </c>
      <c r="K15074" t="str">
        <f t="shared" si="2692"/>
        <v>801</v>
      </c>
      <c r="L15074">
        <v>18.48</v>
      </c>
    </row>
    <row r="15075" spans="1:12" x14ac:dyDescent="0.25">
      <c r="A15075" t="str">
        <f t="shared" si="2687"/>
        <v>89301000</v>
      </c>
      <c r="B15075" t="str">
        <f t="shared" si="2689"/>
        <v>93501000</v>
      </c>
      <c r="C15075" t="str">
        <f t="shared" si="2690"/>
        <v>93501001</v>
      </c>
      <c r="D15075">
        <v>89301167</v>
      </c>
      <c r="E15075" t="str">
        <f t="shared" si="2691"/>
        <v>470127462</v>
      </c>
      <c r="F15075" s="1">
        <v>45261</v>
      </c>
      <c r="G15075" t="str">
        <f>"81439"</f>
        <v>81439</v>
      </c>
      <c r="H15075">
        <v>1</v>
      </c>
      <c r="I15075">
        <v>16</v>
      </c>
      <c r="J15075">
        <v>0</v>
      </c>
      <c r="K15075" t="str">
        <f t="shared" si="2692"/>
        <v>801</v>
      </c>
      <c r="L15075">
        <v>13.44</v>
      </c>
    </row>
    <row r="15076" spans="1:12" x14ac:dyDescent="0.25">
      <c r="A15076" t="str">
        <f t="shared" si="2687"/>
        <v>89301000</v>
      </c>
      <c r="B15076" t="str">
        <f t="shared" si="2689"/>
        <v>93501000</v>
      </c>
      <c r="C15076" t="str">
        <f t="shared" si="2690"/>
        <v>93501001</v>
      </c>
      <c r="D15076">
        <v>89301167</v>
      </c>
      <c r="E15076" t="str">
        <f t="shared" si="2691"/>
        <v>470127462</v>
      </c>
      <c r="F15076" s="1">
        <v>45261</v>
      </c>
      <c r="G15076" t="str">
        <f>"81469"</f>
        <v>81469</v>
      </c>
      <c r="H15076">
        <v>1</v>
      </c>
      <c r="I15076">
        <v>16</v>
      </c>
      <c r="J15076">
        <v>0</v>
      </c>
      <c r="K15076" t="str">
        <f t="shared" si="2692"/>
        <v>801</v>
      </c>
      <c r="L15076">
        <v>13.44</v>
      </c>
    </row>
    <row r="15077" spans="1:12" x14ac:dyDescent="0.25">
      <c r="A15077" t="str">
        <f t="shared" si="2687"/>
        <v>89301000</v>
      </c>
      <c r="B15077" t="str">
        <f t="shared" si="2689"/>
        <v>93501000</v>
      </c>
      <c r="C15077" t="str">
        <f t="shared" si="2690"/>
        <v>93501001</v>
      </c>
      <c r="D15077">
        <v>89301167</v>
      </c>
      <c r="E15077" t="str">
        <f t="shared" si="2691"/>
        <v>470127462</v>
      </c>
      <c r="F15077" s="1">
        <v>45261</v>
      </c>
      <c r="G15077" t="str">
        <f>"81499"</f>
        <v>81499</v>
      </c>
      <c r="H15077">
        <v>1</v>
      </c>
      <c r="I15077">
        <v>18</v>
      </c>
      <c r="J15077">
        <v>0</v>
      </c>
      <c r="K15077" t="str">
        <f t="shared" si="2692"/>
        <v>801</v>
      </c>
      <c r="L15077">
        <v>15.12</v>
      </c>
    </row>
    <row r="15078" spans="1:12" x14ac:dyDescent="0.25">
      <c r="A15078" t="str">
        <f t="shared" si="2687"/>
        <v>89301000</v>
      </c>
      <c r="B15078" t="str">
        <f t="shared" si="2689"/>
        <v>93501000</v>
      </c>
      <c r="C15078" t="str">
        <f t="shared" si="2690"/>
        <v>93501001</v>
      </c>
      <c r="D15078">
        <v>89301167</v>
      </c>
      <c r="E15078" t="str">
        <f t="shared" si="2691"/>
        <v>470127462</v>
      </c>
      <c r="F15078" s="1">
        <v>45261</v>
      </c>
      <c r="G15078" t="str">
        <f>"81523"</f>
        <v>81523</v>
      </c>
      <c r="H15078">
        <v>1</v>
      </c>
      <c r="I15078">
        <v>23</v>
      </c>
      <c r="J15078">
        <v>0</v>
      </c>
      <c r="K15078" t="str">
        <f t="shared" si="2692"/>
        <v>801</v>
      </c>
      <c r="L15078">
        <v>19.32</v>
      </c>
    </row>
    <row r="15079" spans="1:12" x14ac:dyDescent="0.25">
      <c r="A15079" t="str">
        <f t="shared" si="2687"/>
        <v>89301000</v>
      </c>
      <c r="B15079" t="str">
        <f t="shared" si="2689"/>
        <v>93501000</v>
      </c>
      <c r="C15079" t="str">
        <f t="shared" si="2690"/>
        <v>93501001</v>
      </c>
      <c r="D15079">
        <v>89301167</v>
      </c>
      <c r="E15079" t="str">
        <f t="shared" si="2691"/>
        <v>470127462</v>
      </c>
      <c r="F15079" s="1">
        <v>45261</v>
      </c>
      <c r="G15079" t="str">
        <f>"81593"</f>
        <v>81593</v>
      </c>
      <c r="H15079">
        <v>1</v>
      </c>
      <c r="I15079">
        <v>22</v>
      </c>
      <c r="J15079">
        <v>0</v>
      </c>
      <c r="K15079" t="str">
        <f t="shared" si="2692"/>
        <v>801</v>
      </c>
      <c r="L15079">
        <v>18.48</v>
      </c>
    </row>
    <row r="15080" spans="1:12" x14ac:dyDescent="0.25">
      <c r="A15080" t="str">
        <f t="shared" si="2687"/>
        <v>89301000</v>
      </c>
      <c r="B15080" t="str">
        <f t="shared" si="2689"/>
        <v>93501000</v>
      </c>
      <c r="C15080" t="str">
        <f t="shared" si="2690"/>
        <v>93501001</v>
      </c>
      <c r="D15080">
        <v>89301167</v>
      </c>
      <c r="E15080" t="str">
        <f t="shared" si="2691"/>
        <v>470127462</v>
      </c>
      <c r="F15080" s="1">
        <v>45261</v>
      </c>
      <c r="G15080" t="str">
        <f>"81621"</f>
        <v>81621</v>
      </c>
      <c r="H15080">
        <v>1</v>
      </c>
      <c r="I15080">
        <v>19</v>
      </c>
      <c r="J15080">
        <v>0</v>
      </c>
      <c r="K15080" t="str">
        <f t="shared" si="2692"/>
        <v>801</v>
      </c>
      <c r="L15080">
        <v>15.96</v>
      </c>
    </row>
    <row r="15081" spans="1:12" x14ac:dyDescent="0.25">
      <c r="A15081" t="str">
        <f t="shared" si="2687"/>
        <v>89301000</v>
      </c>
      <c r="B15081" t="str">
        <f t="shared" si="2689"/>
        <v>93501000</v>
      </c>
      <c r="C15081" t="str">
        <f t="shared" si="2690"/>
        <v>93501001</v>
      </c>
      <c r="D15081">
        <v>89301167</v>
      </c>
      <c r="E15081" t="str">
        <f t="shared" si="2691"/>
        <v>470127462</v>
      </c>
      <c r="F15081" s="1">
        <v>45261</v>
      </c>
      <c r="G15081" t="str">
        <f>"81625"</f>
        <v>81625</v>
      </c>
      <c r="H15081">
        <v>1</v>
      </c>
      <c r="I15081">
        <v>21</v>
      </c>
      <c r="J15081">
        <v>0</v>
      </c>
      <c r="K15081" t="str">
        <f t="shared" si="2692"/>
        <v>801</v>
      </c>
      <c r="L15081">
        <v>17.64</v>
      </c>
    </row>
    <row r="15082" spans="1:12" x14ac:dyDescent="0.25">
      <c r="A15082" t="str">
        <f t="shared" si="2687"/>
        <v>89301000</v>
      </c>
      <c r="B15082" t="str">
        <f t="shared" si="2689"/>
        <v>93501000</v>
      </c>
      <c r="C15082" t="str">
        <f t="shared" si="2690"/>
        <v>93501001</v>
      </c>
      <c r="D15082">
        <v>89301167</v>
      </c>
      <c r="E15082" t="str">
        <f t="shared" si="2691"/>
        <v>470127462</v>
      </c>
      <c r="F15082" s="1">
        <v>45261</v>
      </c>
      <c r="G15082" t="str">
        <f>"81731"</f>
        <v>81731</v>
      </c>
      <c r="H15082">
        <v>1</v>
      </c>
      <c r="I15082">
        <v>861</v>
      </c>
      <c r="J15082">
        <v>0</v>
      </c>
      <c r="K15082" t="str">
        <f t="shared" si="2692"/>
        <v>801</v>
      </c>
      <c r="L15082">
        <v>723.24</v>
      </c>
    </row>
    <row r="15083" spans="1:12" x14ac:dyDescent="0.25">
      <c r="A15083" t="str">
        <f t="shared" si="2687"/>
        <v>89301000</v>
      </c>
      <c r="B15083" t="str">
        <f t="shared" si="2689"/>
        <v>93501000</v>
      </c>
      <c r="C15083" t="str">
        <f t="shared" si="2690"/>
        <v>93501001</v>
      </c>
      <c r="D15083">
        <v>89301167</v>
      </c>
      <c r="E15083" t="str">
        <f t="shared" si="2691"/>
        <v>470127462</v>
      </c>
      <c r="F15083" s="1">
        <v>45261</v>
      </c>
      <c r="G15083" t="str">
        <f>"91153"</f>
        <v>91153</v>
      </c>
      <c r="H15083">
        <v>1</v>
      </c>
      <c r="I15083">
        <v>153</v>
      </c>
      <c r="J15083">
        <v>0</v>
      </c>
      <c r="K15083" t="str">
        <f t="shared" si="2692"/>
        <v>801</v>
      </c>
      <c r="L15083">
        <v>128.52000000000001</v>
      </c>
    </row>
    <row r="15084" spans="1:12" x14ac:dyDescent="0.25">
      <c r="A15084" t="str">
        <f t="shared" si="2687"/>
        <v>89301000</v>
      </c>
      <c r="B15084" t="str">
        <f t="shared" si="2689"/>
        <v>93501000</v>
      </c>
      <c r="C15084" t="str">
        <f t="shared" si="2690"/>
        <v>93501001</v>
      </c>
      <c r="D15084">
        <v>89301167</v>
      </c>
      <c r="E15084" t="str">
        <f t="shared" si="2691"/>
        <v>470127462</v>
      </c>
      <c r="F15084" s="1">
        <v>45261</v>
      </c>
      <c r="G15084" t="str">
        <f>"93189"</f>
        <v>93189</v>
      </c>
      <c r="H15084">
        <v>1</v>
      </c>
      <c r="I15084">
        <v>191</v>
      </c>
      <c r="J15084">
        <v>0</v>
      </c>
      <c r="K15084" t="str">
        <f t="shared" si="2692"/>
        <v>801</v>
      </c>
      <c r="L15084">
        <v>160.44</v>
      </c>
    </row>
    <row r="15085" spans="1:12" x14ac:dyDescent="0.25">
      <c r="A15085" t="str">
        <f t="shared" si="2687"/>
        <v>89301000</v>
      </c>
      <c r="B15085" t="str">
        <f t="shared" si="2689"/>
        <v>93501000</v>
      </c>
      <c r="C15085" t="str">
        <f t="shared" si="2690"/>
        <v>93501001</v>
      </c>
      <c r="D15085">
        <v>89301167</v>
      </c>
      <c r="E15085" t="str">
        <f t="shared" si="2691"/>
        <v>470127462</v>
      </c>
      <c r="F15085" s="1">
        <v>45261</v>
      </c>
      <c r="G15085" t="str">
        <f>"93195"</f>
        <v>93195</v>
      </c>
      <c r="H15085">
        <v>1</v>
      </c>
      <c r="I15085">
        <v>183</v>
      </c>
      <c r="J15085">
        <v>0</v>
      </c>
      <c r="K15085" t="str">
        <f t="shared" si="2692"/>
        <v>801</v>
      </c>
      <c r="L15085">
        <v>153.72</v>
      </c>
    </row>
    <row r="15086" spans="1:12" x14ac:dyDescent="0.25">
      <c r="A15086" t="str">
        <f t="shared" si="2687"/>
        <v>89301000</v>
      </c>
      <c r="B15086" t="str">
        <f t="shared" si="2689"/>
        <v>93501000</v>
      </c>
      <c r="C15086" t="str">
        <f t="shared" si="2690"/>
        <v>93501001</v>
      </c>
      <c r="D15086">
        <v>89301167</v>
      </c>
      <c r="E15086" t="str">
        <f t="shared" si="2691"/>
        <v>470127462</v>
      </c>
      <c r="F15086" s="1">
        <v>45261</v>
      </c>
      <c r="G15086" t="str">
        <f>"97111"</f>
        <v>97111</v>
      </c>
      <c r="H15086">
        <v>1</v>
      </c>
      <c r="I15086">
        <v>19</v>
      </c>
      <c r="J15086">
        <v>0</v>
      </c>
      <c r="K15086" t="str">
        <f t="shared" si="2692"/>
        <v>801</v>
      </c>
      <c r="L15086">
        <v>23.94</v>
      </c>
    </row>
    <row r="15087" spans="1:12" x14ac:dyDescent="0.25">
      <c r="A15087" t="str">
        <f t="shared" si="2687"/>
        <v>89301000</v>
      </c>
      <c r="B15087" t="str">
        <f t="shared" si="2689"/>
        <v>93501000</v>
      </c>
      <c r="C15087" t="str">
        <f t="shared" si="2690"/>
        <v>93501001</v>
      </c>
      <c r="D15087">
        <v>89301167</v>
      </c>
      <c r="E15087" t="str">
        <f t="shared" si="2691"/>
        <v>470127462</v>
      </c>
      <c r="F15087" s="1">
        <v>45272</v>
      </c>
      <c r="G15087" t="str">
        <f>"09119"</f>
        <v>09119</v>
      </c>
      <c r="H15087">
        <v>1</v>
      </c>
      <c r="I15087">
        <v>43</v>
      </c>
      <c r="J15087">
        <v>0</v>
      </c>
      <c r="K15087" t="str">
        <f t="shared" si="2692"/>
        <v>801</v>
      </c>
      <c r="L15087">
        <v>54.18</v>
      </c>
    </row>
    <row r="15088" spans="1:12" x14ac:dyDescent="0.25">
      <c r="A15088" t="str">
        <f t="shared" si="2687"/>
        <v>89301000</v>
      </c>
      <c r="B15088" t="str">
        <f t="shared" si="2689"/>
        <v>93501000</v>
      </c>
      <c r="C15088" t="str">
        <f t="shared" si="2690"/>
        <v>93501001</v>
      </c>
      <c r="D15088">
        <v>89301167</v>
      </c>
      <c r="E15088" t="str">
        <f t="shared" si="2691"/>
        <v>470127462</v>
      </c>
      <c r="F15088" s="1">
        <v>45272</v>
      </c>
      <c r="G15088" t="str">
        <f>"81329"</f>
        <v>81329</v>
      </c>
      <c r="H15088">
        <v>1</v>
      </c>
      <c r="I15088">
        <v>17</v>
      </c>
      <c r="J15088">
        <v>0</v>
      </c>
      <c r="K15088" t="str">
        <f t="shared" si="2692"/>
        <v>801</v>
      </c>
      <c r="L15088">
        <v>14.28</v>
      </c>
    </row>
    <row r="15089" spans="1:12" x14ac:dyDescent="0.25">
      <c r="A15089" t="str">
        <f t="shared" si="2687"/>
        <v>89301000</v>
      </c>
      <c r="B15089" t="str">
        <f t="shared" si="2689"/>
        <v>93501000</v>
      </c>
      <c r="C15089" t="str">
        <f t="shared" si="2690"/>
        <v>93501001</v>
      </c>
      <c r="D15089">
        <v>89301167</v>
      </c>
      <c r="E15089" t="str">
        <f t="shared" si="2691"/>
        <v>470127462</v>
      </c>
      <c r="F15089" s="1">
        <v>45272</v>
      </c>
      <c r="G15089" t="str">
        <f>"81337"</f>
        <v>81337</v>
      </c>
      <c r="H15089">
        <v>1</v>
      </c>
      <c r="I15089">
        <v>20</v>
      </c>
      <c r="J15089">
        <v>0</v>
      </c>
      <c r="K15089" t="str">
        <f t="shared" si="2692"/>
        <v>801</v>
      </c>
      <c r="L15089">
        <v>16.8</v>
      </c>
    </row>
    <row r="15090" spans="1:12" x14ac:dyDescent="0.25">
      <c r="A15090" t="str">
        <f t="shared" si="2687"/>
        <v>89301000</v>
      </c>
      <c r="B15090" t="str">
        <f t="shared" si="2689"/>
        <v>93501000</v>
      </c>
      <c r="C15090" t="str">
        <f t="shared" si="2690"/>
        <v>93501001</v>
      </c>
      <c r="D15090">
        <v>89301167</v>
      </c>
      <c r="E15090" t="str">
        <f t="shared" si="2691"/>
        <v>470127462</v>
      </c>
      <c r="F15090" s="1">
        <v>45272</v>
      </c>
      <c r="G15090" t="str">
        <f>"81357"</f>
        <v>81357</v>
      </c>
      <c r="H15090">
        <v>1</v>
      </c>
      <c r="I15090">
        <v>20</v>
      </c>
      <c r="J15090">
        <v>0</v>
      </c>
      <c r="K15090" t="str">
        <f t="shared" si="2692"/>
        <v>801</v>
      </c>
      <c r="L15090">
        <v>16.8</v>
      </c>
    </row>
    <row r="15091" spans="1:12" x14ac:dyDescent="0.25">
      <c r="A15091" t="str">
        <f t="shared" si="2687"/>
        <v>89301000</v>
      </c>
      <c r="B15091" t="str">
        <f t="shared" si="2689"/>
        <v>93501000</v>
      </c>
      <c r="C15091" t="str">
        <f t="shared" si="2690"/>
        <v>93501001</v>
      </c>
      <c r="D15091">
        <v>89301167</v>
      </c>
      <c r="E15091" t="str">
        <f t="shared" si="2691"/>
        <v>470127462</v>
      </c>
      <c r="F15091" s="1">
        <v>45272</v>
      </c>
      <c r="G15091" t="str">
        <f>"81361"</f>
        <v>81361</v>
      </c>
      <c r="H15091">
        <v>1</v>
      </c>
      <c r="I15091">
        <v>17</v>
      </c>
      <c r="J15091">
        <v>0</v>
      </c>
      <c r="K15091" t="str">
        <f t="shared" si="2692"/>
        <v>801</v>
      </c>
      <c r="L15091">
        <v>14.28</v>
      </c>
    </row>
    <row r="15092" spans="1:12" x14ac:dyDescent="0.25">
      <c r="A15092" t="str">
        <f t="shared" si="2687"/>
        <v>89301000</v>
      </c>
      <c r="B15092" t="str">
        <f t="shared" si="2689"/>
        <v>93501000</v>
      </c>
      <c r="C15092" t="str">
        <f t="shared" si="2690"/>
        <v>93501001</v>
      </c>
      <c r="D15092">
        <v>89301167</v>
      </c>
      <c r="E15092" t="str">
        <f t="shared" si="2691"/>
        <v>470127462</v>
      </c>
      <c r="F15092" s="1">
        <v>45272</v>
      </c>
      <c r="G15092" t="str">
        <f>"81383"</f>
        <v>81383</v>
      </c>
      <c r="H15092">
        <v>1</v>
      </c>
      <c r="I15092">
        <v>24</v>
      </c>
      <c r="J15092">
        <v>0</v>
      </c>
      <c r="K15092" t="str">
        <f t="shared" si="2692"/>
        <v>801</v>
      </c>
      <c r="L15092">
        <v>20.16</v>
      </c>
    </row>
    <row r="15093" spans="1:12" x14ac:dyDescent="0.25">
      <c r="A15093" t="str">
        <f t="shared" si="2687"/>
        <v>89301000</v>
      </c>
      <c r="B15093" t="str">
        <f t="shared" si="2689"/>
        <v>93501000</v>
      </c>
      <c r="C15093" t="str">
        <f t="shared" si="2690"/>
        <v>93501001</v>
      </c>
      <c r="D15093">
        <v>89301167</v>
      </c>
      <c r="E15093" t="str">
        <f t="shared" si="2691"/>
        <v>470127462</v>
      </c>
      <c r="F15093" s="1">
        <v>45272</v>
      </c>
      <c r="G15093" t="str">
        <f>"81393"</f>
        <v>81393</v>
      </c>
      <c r="H15093">
        <v>1</v>
      </c>
      <c r="I15093">
        <v>24</v>
      </c>
      <c r="J15093">
        <v>0</v>
      </c>
      <c r="K15093" t="str">
        <f t="shared" si="2692"/>
        <v>801</v>
      </c>
      <c r="L15093">
        <v>20.16</v>
      </c>
    </row>
    <row r="15094" spans="1:12" x14ac:dyDescent="0.25">
      <c r="A15094" t="str">
        <f t="shared" si="2687"/>
        <v>89301000</v>
      </c>
      <c r="B15094" t="str">
        <f t="shared" si="2689"/>
        <v>93501000</v>
      </c>
      <c r="C15094" t="str">
        <f t="shared" si="2690"/>
        <v>93501001</v>
      </c>
      <c r="D15094">
        <v>89301167</v>
      </c>
      <c r="E15094" t="str">
        <f t="shared" si="2691"/>
        <v>470127462</v>
      </c>
      <c r="F15094" s="1">
        <v>45272</v>
      </c>
      <c r="G15094" t="str">
        <f>"81439"</f>
        <v>81439</v>
      </c>
      <c r="H15094">
        <v>1</v>
      </c>
      <c r="I15094">
        <v>16</v>
      </c>
      <c r="J15094">
        <v>0</v>
      </c>
      <c r="K15094" t="str">
        <f t="shared" si="2692"/>
        <v>801</v>
      </c>
      <c r="L15094">
        <v>13.44</v>
      </c>
    </row>
    <row r="15095" spans="1:12" x14ac:dyDescent="0.25">
      <c r="A15095" t="str">
        <f t="shared" si="2687"/>
        <v>89301000</v>
      </c>
      <c r="B15095" t="str">
        <f t="shared" si="2689"/>
        <v>93501000</v>
      </c>
      <c r="C15095" t="str">
        <f t="shared" si="2690"/>
        <v>93501001</v>
      </c>
      <c r="D15095">
        <v>89301167</v>
      </c>
      <c r="E15095" t="str">
        <f t="shared" si="2691"/>
        <v>470127462</v>
      </c>
      <c r="F15095" s="1">
        <v>45272</v>
      </c>
      <c r="G15095" t="str">
        <f>"81469"</f>
        <v>81469</v>
      </c>
      <c r="H15095">
        <v>1</v>
      </c>
      <c r="I15095">
        <v>16</v>
      </c>
      <c r="J15095">
        <v>0</v>
      </c>
      <c r="K15095" t="str">
        <f t="shared" si="2692"/>
        <v>801</v>
      </c>
      <c r="L15095">
        <v>13.44</v>
      </c>
    </row>
    <row r="15096" spans="1:12" x14ac:dyDescent="0.25">
      <c r="A15096" t="str">
        <f t="shared" si="2687"/>
        <v>89301000</v>
      </c>
      <c r="B15096" t="str">
        <f t="shared" si="2689"/>
        <v>93501000</v>
      </c>
      <c r="C15096" t="str">
        <f t="shared" si="2690"/>
        <v>93501001</v>
      </c>
      <c r="D15096">
        <v>89301167</v>
      </c>
      <c r="E15096" t="str">
        <f t="shared" si="2691"/>
        <v>470127462</v>
      </c>
      <c r="F15096" s="1">
        <v>45272</v>
      </c>
      <c r="G15096" t="str">
        <f>"81499"</f>
        <v>81499</v>
      </c>
      <c r="H15096">
        <v>1</v>
      </c>
      <c r="I15096">
        <v>18</v>
      </c>
      <c r="J15096">
        <v>0</v>
      </c>
      <c r="K15096" t="str">
        <f t="shared" si="2692"/>
        <v>801</v>
      </c>
      <c r="L15096">
        <v>15.12</v>
      </c>
    </row>
    <row r="15097" spans="1:12" x14ac:dyDescent="0.25">
      <c r="A15097" t="str">
        <f t="shared" si="2687"/>
        <v>89301000</v>
      </c>
      <c r="B15097" t="str">
        <f t="shared" ref="B15097:B15128" si="2693">"93501000"</f>
        <v>93501000</v>
      </c>
      <c r="C15097" t="str">
        <f t="shared" ref="C15097:C15125" si="2694">"93501001"</f>
        <v>93501001</v>
      </c>
      <c r="D15097">
        <v>89301167</v>
      </c>
      <c r="E15097" t="str">
        <f t="shared" si="2691"/>
        <v>470127462</v>
      </c>
      <c r="F15097" s="1">
        <v>45272</v>
      </c>
      <c r="G15097" t="str">
        <f>"81593"</f>
        <v>81593</v>
      </c>
      <c r="H15097">
        <v>1</v>
      </c>
      <c r="I15097">
        <v>22</v>
      </c>
      <c r="J15097">
        <v>0</v>
      </c>
      <c r="K15097" t="str">
        <f t="shared" ref="K15097:K15126" si="2695">"801"</f>
        <v>801</v>
      </c>
      <c r="L15097">
        <v>18.48</v>
      </c>
    </row>
    <row r="15098" spans="1:12" x14ac:dyDescent="0.25">
      <c r="A15098" t="str">
        <f t="shared" si="2687"/>
        <v>89301000</v>
      </c>
      <c r="B15098" t="str">
        <f t="shared" si="2693"/>
        <v>93501000</v>
      </c>
      <c r="C15098" t="str">
        <f t="shared" si="2694"/>
        <v>93501001</v>
      </c>
      <c r="D15098">
        <v>89301167</v>
      </c>
      <c r="E15098" t="str">
        <f t="shared" si="2691"/>
        <v>470127462</v>
      </c>
      <c r="F15098" s="1">
        <v>45272</v>
      </c>
      <c r="G15098" t="str">
        <f>"81621"</f>
        <v>81621</v>
      </c>
      <c r="H15098">
        <v>1</v>
      </c>
      <c r="I15098">
        <v>19</v>
      </c>
      <c r="J15098">
        <v>0</v>
      </c>
      <c r="K15098" t="str">
        <f t="shared" si="2695"/>
        <v>801</v>
      </c>
      <c r="L15098">
        <v>15.96</v>
      </c>
    </row>
    <row r="15099" spans="1:12" x14ac:dyDescent="0.25">
      <c r="A15099" t="str">
        <f t="shared" si="2687"/>
        <v>89301000</v>
      </c>
      <c r="B15099" t="str">
        <f t="shared" si="2693"/>
        <v>93501000</v>
      </c>
      <c r="C15099" t="str">
        <f t="shared" si="2694"/>
        <v>93501001</v>
      </c>
      <c r="D15099">
        <v>89301167</v>
      </c>
      <c r="E15099" t="str">
        <f t="shared" si="2691"/>
        <v>470127462</v>
      </c>
      <c r="F15099" s="1">
        <v>45272</v>
      </c>
      <c r="G15099" t="str">
        <f>"81625"</f>
        <v>81625</v>
      </c>
      <c r="H15099">
        <v>1</v>
      </c>
      <c r="I15099">
        <v>21</v>
      </c>
      <c r="J15099">
        <v>0</v>
      </c>
      <c r="K15099" t="str">
        <f t="shared" si="2695"/>
        <v>801</v>
      </c>
      <c r="L15099">
        <v>17.64</v>
      </c>
    </row>
    <row r="15100" spans="1:12" x14ac:dyDescent="0.25">
      <c r="A15100" t="str">
        <f t="shared" si="2687"/>
        <v>89301000</v>
      </c>
      <c r="B15100" t="str">
        <f t="shared" si="2693"/>
        <v>93501000</v>
      </c>
      <c r="C15100" t="str">
        <f t="shared" si="2694"/>
        <v>93501001</v>
      </c>
      <c r="D15100">
        <v>89301167</v>
      </c>
      <c r="E15100" t="str">
        <f t="shared" si="2691"/>
        <v>470127462</v>
      </c>
      <c r="F15100" s="1">
        <v>45272</v>
      </c>
      <c r="G15100" t="str">
        <f>"91153"</f>
        <v>91153</v>
      </c>
      <c r="H15100">
        <v>1</v>
      </c>
      <c r="I15100">
        <v>153</v>
      </c>
      <c r="J15100">
        <v>0</v>
      </c>
      <c r="K15100" t="str">
        <f t="shared" si="2695"/>
        <v>801</v>
      </c>
      <c r="L15100">
        <v>128.52000000000001</v>
      </c>
    </row>
    <row r="15101" spans="1:12" x14ac:dyDescent="0.25">
      <c r="A15101" t="str">
        <f t="shared" si="2687"/>
        <v>89301000</v>
      </c>
      <c r="B15101" t="str">
        <f t="shared" si="2693"/>
        <v>93501000</v>
      </c>
      <c r="C15101" t="str">
        <f t="shared" si="2694"/>
        <v>93501001</v>
      </c>
      <c r="D15101">
        <v>89301167</v>
      </c>
      <c r="E15101" t="str">
        <f t="shared" si="2691"/>
        <v>470127462</v>
      </c>
      <c r="F15101" s="1">
        <v>45272</v>
      </c>
      <c r="G15101" t="str">
        <f>"97111"</f>
        <v>97111</v>
      </c>
      <c r="H15101">
        <v>1</v>
      </c>
      <c r="I15101">
        <v>19</v>
      </c>
      <c r="J15101">
        <v>0</v>
      </c>
      <c r="K15101" t="str">
        <f t="shared" si="2695"/>
        <v>801</v>
      </c>
      <c r="L15101">
        <v>23.94</v>
      </c>
    </row>
    <row r="15102" spans="1:12" x14ac:dyDescent="0.25">
      <c r="A15102" t="str">
        <f t="shared" si="2687"/>
        <v>89301000</v>
      </c>
      <c r="B15102" t="str">
        <f t="shared" si="2693"/>
        <v>93501000</v>
      </c>
      <c r="C15102" t="str">
        <f t="shared" si="2694"/>
        <v>93501001</v>
      </c>
      <c r="D15102">
        <v>89301167</v>
      </c>
      <c r="E15102" t="str">
        <f t="shared" si="2691"/>
        <v>470127462</v>
      </c>
      <c r="F15102" s="1">
        <v>45278</v>
      </c>
      <c r="G15102" t="str">
        <f>"09119"</f>
        <v>09119</v>
      </c>
      <c r="H15102">
        <v>1</v>
      </c>
      <c r="I15102">
        <v>43</v>
      </c>
      <c r="J15102">
        <v>0</v>
      </c>
      <c r="K15102" t="str">
        <f t="shared" si="2695"/>
        <v>801</v>
      </c>
      <c r="L15102">
        <v>54.18</v>
      </c>
    </row>
    <row r="15103" spans="1:12" x14ac:dyDescent="0.25">
      <c r="A15103" t="str">
        <f t="shared" si="2687"/>
        <v>89301000</v>
      </c>
      <c r="B15103" t="str">
        <f t="shared" si="2693"/>
        <v>93501000</v>
      </c>
      <c r="C15103" t="str">
        <f t="shared" si="2694"/>
        <v>93501001</v>
      </c>
      <c r="D15103">
        <v>89301167</v>
      </c>
      <c r="E15103" t="str">
        <f t="shared" ref="E15103:E15123" si="2696">"420102444"</f>
        <v>420102444</v>
      </c>
      <c r="F15103" s="1">
        <v>45274</v>
      </c>
      <c r="G15103" t="str">
        <f>"09119"</f>
        <v>09119</v>
      </c>
      <c r="H15103">
        <v>1</v>
      </c>
      <c r="I15103">
        <v>43</v>
      </c>
      <c r="J15103">
        <v>0</v>
      </c>
      <c r="K15103" t="str">
        <f t="shared" si="2695"/>
        <v>801</v>
      </c>
      <c r="L15103">
        <v>54.18</v>
      </c>
    </row>
    <row r="15104" spans="1:12" x14ac:dyDescent="0.25">
      <c r="A15104" t="str">
        <f t="shared" si="2687"/>
        <v>89301000</v>
      </c>
      <c r="B15104" t="str">
        <f t="shared" si="2693"/>
        <v>93501000</v>
      </c>
      <c r="C15104" t="str">
        <f t="shared" si="2694"/>
        <v>93501001</v>
      </c>
      <c r="D15104">
        <v>89301167</v>
      </c>
      <c r="E15104" t="str">
        <f t="shared" si="2696"/>
        <v>420102444</v>
      </c>
      <c r="F15104" s="1">
        <v>45274</v>
      </c>
      <c r="G15104" t="str">
        <f>"81249"</f>
        <v>81249</v>
      </c>
      <c r="H15104">
        <v>1</v>
      </c>
      <c r="I15104">
        <v>334</v>
      </c>
      <c r="J15104">
        <v>0</v>
      </c>
      <c r="K15104" t="str">
        <f t="shared" si="2695"/>
        <v>801</v>
      </c>
      <c r="L15104">
        <v>280.56</v>
      </c>
    </row>
    <row r="15105" spans="1:12" x14ac:dyDescent="0.25">
      <c r="A15105" t="str">
        <f t="shared" si="2687"/>
        <v>89301000</v>
      </c>
      <c r="B15105" t="str">
        <f t="shared" si="2693"/>
        <v>93501000</v>
      </c>
      <c r="C15105" t="str">
        <f t="shared" si="2694"/>
        <v>93501001</v>
      </c>
      <c r="D15105">
        <v>89301167</v>
      </c>
      <c r="E15105" t="str">
        <f t="shared" si="2696"/>
        <v>420102444</v>
      </c>
      <c r="F15105" s="1">
        <v>45274</v>
      </c>
      <c r="G15105" t="str">
        <f>"81329"</f>
        <v>81329</v>
      </c>
      <c r="H15105">
        <v>1</v>
      </c>
      <c r="I15105">
        <v>17</v>
      </c>
      <c r="J15105">
        <v>0</v>
      </c>
      <c r="K15105" t="str">
        <f t="shared" si="2695"/>
        <v>801</v>
      </c>
      <c r="L15105">
        <v>14.28</v>
      </c>
    </row>
    <row r="15106" spans="1:12" x14ac:dyDescent="0.25">
      <c r="A15106" t="str">
        <f t="shared" ref="A15106:A15169" si="2697">"89301000"</f>
        <v>89301000</v>
      </c>
      <c r="B15106" t="str">
        <f t="shared" si="2693"/>
        <v>93501000</v>
      </c>
      <c r="C15106" t="str">
        <f t="shared" si="2694"/>
        <v>93501001</v>
      </c>
      <c r="D15106">
        <v>89301167</v>
      </c>
      <c r="E15106" t="str">
        <f t="shared" si="2696"/>
        <v>420102444</v>
      </c>
      <c r="F15106" s="1">
        <v>45274</v>
      </c>
      <c r="G15106" t="str">
        <f>"81337"</f>
        <v>81337</v>
      </c>
      <c r="H15106">
        <v>1</v>
      </c>
      <c r="I15106">
        <v>20</v>
      </c>
      <c r="J15106">
        <v>0</v>
      </c>
      <c r="K15106" t="str">
        <f t="shared" si="2695"/>
        <v>801</v>
      </c>
      <c r="L15106">
        <v>16.8</v>
      </c>
    </row>
    <row r="15107" spans="1:12" x14ac:dyDescent="0.25">
      <c r="A15107" t="str">
        <f t="shared" si="2697"/>
        <v>89301000</v>
      </c>
      <c r="B15107" t="str">
        <f t="shared" si="2693"/>
        <v>93501000</v>
      </c>
      <c r="C15107" t="str">
        <f t="shared" si="2694"/>
        <v>93501001</v>
      </c>
      <c r="D15107">
        <v>89301167</v>
      </c>
      <c r="E15107" t="str">
        <f t="shared" si="2696"/>
        <v>420102444</v>
      </c>
      <c r="F15107" s="1">
        <v>45274</v>
      </c>
      <c r="G15107" t="str">
        <f>"81357"</f>
        <v>81357</v>
      </c>
      <c r="H15107">
        <v>1</v>
      </c>
      <c r="I15107">
        <v>20</v>
      </c>
      <c r="J15107">
        <v>0</v>
      </c>
      <c r="K15107" t="str">
        <f t="shared" si="2695"/>
        <v>801</v>
      </c>
      <c r="L15107">
        <v>16.8</v>
      </c>
    </row>
    <row r="15108" spans="1:12" x14ac:dyDescent="0.25">
      <c r="A15108" t="str">
        <f t="shared" si="2697"/>
        <v>89301000</v>
      </c>
      <c r="B15108" t="str">
        <f t="shared" si="2693"/>
        <v>93501000</v>
      </c>
      <c r="C15108" t="str">
        <f t="shared" si="2694"/>
        <v>93501001</v>
      </c>
      <c r="D15108">
        <v>89301167</v>
      </c>
      <c r="E15108" t="str">
        <f t="shared" si="2696"/>
        <v>420102444</v>
      </c>
      <c r="F15108" s="1">
        <v>45274</v>
      </c>
      <c r="G15108" t="str">
        <f>"81361"</f>
        <v>81361</v>
      </c>
      <c r="H15108">
        <v>1</v>
      </c>
      <c r="I15108">
        <v>17</v>
      </c>
      <c r="J15108">
        <v>0</v>
      </c>
      <c r="K15108" t="str">
        <f t="shared" si="2695"/>
        <v>801</v>
      </c>
      <c r="L15108">
        <v>14.28</v>
      </c>
    </row>
    <row r="15109" spans="1:12" x14ac:dyDescent="0.25">
      <c r="A15109" t="str">
        <f t="shared" si="2697"/>
        <v>89301000</v>
      </c>
      <c r="B15109" t="str">
        <f t="shared" si="2693"/>
        <v>93501000</v>
      </c>
      <c r="C15109" t="str">
        <f t="shared" si="2694"/>
        <v>93501001</v>
      </c>
      <c r="D15109">
        <v>89301167</v>
      </c>
      <c r="E15109" t="str">
        <f t="shared" si="2696"/>
        <v>420102444</v>
      </c>
      <c r="F15109" s="1">
        <v>45274</v>
      </c>
      <c r="G15109" t="str">
        <f>"81365"</f>
        <v>81365</v>
      </c>
      <c r="H15109">
        <v>1</v>
      </c>
      <c r="I15109">
        <v>16</v>
      </c>
      <c r="J15109">
        <v>0</v>
      </c>
      <c r="K15109" t="str">
        <f t="shared" si="2695"/>
        <v>801</v>
      </c>
      <c r="L15109">
        <v>13.44</v>
      </c>
    </row>
    <row r="15110" spans="1:12" x14ac:dyDescent="0.25">
      <c r="A15110" t="str">
        <f t="shared" si="2697"/>
        <v>89301000</v>
      </c>
      <c r="B15110" t="str">
        <f t="shared" si="2693"/>
        <v>93501000</v>
      </c>
      <c r="C15110" t="str">
        <f t="shared" si="2694"/>
        <v>93501001</v>
      </c>
      <c r="D15110">
        <v>89301167</v>
      </c>
      <c r="E15110" t="str">
        <f t="shared" si="2696"/>
        <v>420102444</v>
      </c>
      <c r="F15110" s="1">
        <v>45274</v>
      </c>
      <c r="G15110" t="str">
        <f>"81383"</f>
        <v>81383</v>
      </c>
      <c r="H15110">
        <v>1</v>
      </c>
      <c r="I15110">
        <v>24</v>
      </c>
      <c r="J15110">
        <v>0</v>
      </c>
      <c r="K15110" t="str">
        <f t="shared" si="2695"/>
        <v>801</v>
      </c>
      <c r="L15110">
        <v>20.16</v>
      </c>
    </row>
    <row r="15111" spans="1:12" x14ac:dyDescent="0.25">
      <c r="A15111" t="str">
        <f t="shared" si="2697"/>
        <v>89301000</v>
      </c>
      <c r="B15111" t="str">
        <f t="shared" si="2693"/>
        <v>93501000</v>
      </c>
      <c r="C15111" t="str">
        <f t="shared" si="2694"/>
        <v>93501001</v>
      </c>
      <c r="D15111">
        <v>89301167</v>
      </c>
      <c r="E15111" t="str">
        <f t="shared" si="2696"/>
        <v>420102444</v>
      </c>
      <c r="F15111" s="1">
        <v>45274</v>
      </c>
      <c r="G15111" t="str">
        <f>"81393"</f>
        <v>81393</v>
      </c>
      <c r="H15111">
        <v>1</v>
      </c>
      <c r="I15111">
        <v>24</v>
      </c>
      <c r="J15111">
        <v>0</v>
      </c>
      <c r="K15111" t="str">
        <f t="shared" si="2695"/>
        <v>801</v>
      </c>
      <c r="L15111">
        <v>20.16</v>
      </c>
    </row>
    <row r="15112" spans="1:12" x14ac:dyDescent="0.25">
      <c r="A15112" t="str">
        <f t="shared" si="2697"/>
        <v>89301000</v>
      </c>
      <c r="B15112" t="str">
        <f t="shared" si="2693"/>
        <v>93501000</v>
      </c>
      <c r="C15112" t="str">
        <f t="shared" si="2694"/>
        <v>93501001</v>
      </c>
      <c r="D15112">
        <v>89301167</v>
      </c>
      <c r="E15112" t="str">
        <f t="shared" si="2696"/>
        <v>420102444</v>
      </c>
      <c r="F15112" s="1">
        <v>45274</v>
      </c>
      <c r="G15112" t="str">
        <f>"81421"</f>
        <v>81421</v>
      </c>
      <c r="H15112">
        <v>1</v>
      </c>
      <c r="I15112">
        <v>19</v>
      </c>
      <c r="J15112">
        <v>0</v>
      </c>
      <c r="K15112" t="str">
        <f t="shared" si="2695"/>
        <v>801</v>
      </c>
      <c r="L15112">
        <v>15.96</v>
      </c>
    </row>
    <row r="15113" spans="1:12" x14ac:dyDescent="0.25">
      <c r="A15113" t="str">
        <f t="shared" si="2697"/>
        <v>89301000</v>
      </c>
      <c r="B15113" t="str">
        <f t="shared" si="2693"/>
        <v>93501000</v>
      </c>
      <c r="C15113" t="str">
        <f t="shared" si="2694"/>
        <v>93501001</v>
      </c>
      <c r="D15113">
        <v>89301167</v>
      </c>
      <c r="E15113" t="str">
        <f t="shared" si="2696"/>
        <v>420102444</v>
      </c>
      <c r="F15113" s="1">
        <v>45274</v>
      </c>
      <c r="G15113" t="str">
        <f>"81435"</f>
        <v>81435</v>
      </c>
      <c r="H15113">
        <v>1</v>
      </c>
      <c r="I15113">
        <v>22</v>
      </c>
      <c r="J15113">
        <v>0</v>
      </c>
      <c r="K15113" t="str">
        <f t="shared" si="2695"/>
        <v>801</v>
      </c>
      <c r="L15113">
        <v>18.48</v>
      </c>
    </row>
    <row r="15114" spans="1:12" x14ac:dyDescent="0.25">
      <c r="A15114" t="str">
        <f t="shared" si="2697"/>
        <v>89301000</v>
      </c>
      <c r="B15114" t="str">
        <f t="shared" si="2693"/>
        <v>93501000</v>
      </c>
      <c r="C15114" t="str">
        <f t="shared" si="2694"/>
        <v>93501001</v>
      </c>
      <c r="D15114">
        <v>89301167</v>
      </c>
      <c r="E15114" t="str">
        <f t="shared" si="2696"/>
        <v>420102444</v>
      </c>
      <c r="F15114" s="1">
        <v>45274</v>
      </c>
      <c r="G15114" t="str">
        <f>"81439"</f>
        <v>81439</v>
      </c>
      <c r="H15114">
        <v>1</v>
      </c>
      <c r="I15114">
        <v>16</v>
      </c>
      <c r="J15114">
        <v>0</v>
      </c>
      <c r="K15114" t="str">
        <f t="shared" si="2695"/>
        <v>801</v>
      </c>
      <c r="L15114">
        <v>13.44</v>
      </c>
    </row>
    <row r="15115" spans="1:12" x14ac:dyDescent="0.25">
      <c r="A15115" t="str">
        <f t="shared" si="2697"/>
        <v>89301000</v>
      </c>
      <c r="B15115" t="str">
        <f t="shared" si="2693"/>
        <v>93501000</v>
      </c>
      <c r="C15115" t="str">
        <f t="shared" si="2694"/>
        <v>93501001</v>
      </c>
      <c r="D15115">
        <v>89301167</v>
      </c>
      <c r="E15115" t="str">
        <f t="shared" si="2696"/>
        <v>420102444</v>
      </c>
      <c r="F15115" s="1">
        <v>45274</v>
      </c>
      <c r="G15115" t="str">
        <f>"81469"</f>
        <v>81469</v>
      </c>
      <c r="H15115">
        <v>1</v>
      </c>
      <c r="I15115">
        <v>16</v>
      </c>
      <c r="J15115">
        <v>0</v>
      </c>
      <c r="K15115" t="str">
        <f t="shared" si="2695"/>
        <v>801</v>
      </c>
      <c r="L15115">
        <v>13.44</v>
      </c>
    </row>
    <row r="15116" spans="1:12" x14ac:dyDescent="0.25">
      <c r="A15116" t="str">
        <f t="shared" si="2697"/>
        <v>89301000</v>
      </c>
      <c r="B15116" t="str">
        <f t="shared" si="2693"/>
        <v>93501000</v>
      </c>
      <c r="C15116" t="str">
        <f t="shared" si="2694"/>
        <v>93501001</v>
      </c>
      <c r="D15116">
        <v>89301167</v>
      </c>
      <c r="E15116" t="str">
        <f t="shared" si="2696"/>
        <v>420102444</v>
      </c>
      <c r="F15116" s="1">
        <v>45274</v>
      </c>
      <c r="G15116" t="str">
        <f>"81499"</f>
        <v>81499</v>
      </c>
      <c r="H15116">
        <v>1</v>
      </c>
      <c r="I15116">
        <v>18</v>
      </c>
      <c r="J15116">
        <v>0</v>
      </c>
      <c r="K15116" t="str">
        <f t="shared" si="2695"/>
        <v>801</v>
      </c>
      <c r="L15116">
        <v>15.12</v>
      </c>
    </row>
    <row r="15117" spans="1:12" x14ac:dyDescent="0.25">
      <c r="A15117" t="str">
        <f t="shared" si="2697"/>
        <v>89301000</v>
      </c>
      <c r="B15117" t="str">
        <f t="shared" si="2693"/>
        <v>93501000</v>
      </c>
      <c r="C15117" t="str">
        <f t="shared" si="2694"/>
        <v>93501001</v>
      </c>
      <c r="D15117">
        <v>89301167</v>
      </c>
      <c r="E15117" t="str">
        <f t="shared" si="2696"/>
        <v>420102444</v>
      </c>
      <c r="F15117" s="1">
        <v>45274</v>
      </c>
      <c r="G15117" t="str">
        <f>"81523"</f>
        <v>81523</v>
      </c>
      <c r="H15117">
        <v>1</v>
      </c>
      <c r="I15117">
        <v>23</v>
      </c>
      <c r="J15117">
        <v>0</v>
      </c>
      <c r="K15117" t="str">
        <f t="shared" si="2695"/>
        <v>801</v>
      </c>
      <c r="L15117">
        <v>19.32</v>
      </c>
    </row>
    <row r="15118" spans="1:12" x14ac:dyDescent="0.25">
      <c r="A15118" t="str">
        <f t="shared" si="2697"/>
        <v>89301000</v>
      </c>
      <c r="B15118" t="str">
        <f t="shared" si="2693"/>
        <v>93501000</v>
      </c>
      <c r="C15118" t="str">
        <f t="shared" si="2694"/>
        <v>93501001</v>
      </c>
      <c r="D15118">
        <v>89301167</v>
      </c>
      <c r="E15118" t="str">
        <f t="shared" si="2696"/>
        <v>420102444</v>
      </c>
      <c r="F15118" s="1">
        <v>45274</v>
      </c>
      <c r="G15118" t="str">
        <f>"81593"</f>
        <v>81593</v>
      </c>
      <c r="H15118">
        <v>1</v>
      </c>
      <c r="I15118">
        <v>22</v>
      </c>
      <c r="J15118">
        <v>0</v>
      </c>
      <c r="K15118" t="str">
        <f t="shared" si="2695"/>
        <v>801</v>
      </c>
      <c r="L15118">
        <v>18.48</v>
      </c>
    </row>
    <row r="15119" spans="1:12" x14ac:dyDescent="0.25">
      <c r="A15119" t="str">
        <f t="shared" si="2697"/>
        <v>89301000</v>
      </c>
      <c r="B15119" t="str">
        <f t="shared" si="2693"/>
        <v>93501000</v>
      </c>
      <c r="C15119" t="str">
        <f t="shared" si="2694"/>
        <v>93501001</v>
      </c>
      <c r="D15119">
        <v>89301167</v>
      </c>
      <c r="E15119" t="str">
        <f t="shared" si="2696"/>
        <v>420102444</v>
      </c>
      <c r="F15119" s="1">
        <v>45274</v>
      </c>
      <c r="G15119" t="str">
        <f>"81621"</f>
        <v>81621</v>
      </c>
      <c r="H15119">
        <v>1</v>
      </c>
      <c r="I15119">
        <v>19</v>
      </c>
      <c r="J15119">
        <v>0</v>
      </c>
      <c r="K15119" t="str">
        <f t="shared" si="2695"/>
        <v>801</v>
      </c>
      <c r="L15119">
        <v>15.96</v>
      </c>
    </row>
    <row r="15120" spans="1:12" x14ac:dyDescent="0.25">
      <c r="A15120" t="str">
        <f t="shared" si="2697"/>
        <v>89301000</v>
      </c>
      <c r="B15120" t="str">
        <f t="shared" si="2693"/>
        <v>93501000</v>
      </c>
      <c r="C15120" t="str">
        <f t="shared" si="2694"/>
        <v>93501001</v>
      </c>
      <c r="D15120">
        <v>89301167</v>
      </c>
      <c r="E15120" t="str">
        <f t="shared" si="2696"/>
        <v>420102444</v>
      </c>
      <c r="F15120" s="1">
        <v>45274</v>
      </c>
      <c r="G15120" t="str">
        <f>"81625"</f>
        <v>81625</v>
      </c>
      <c r="H15120">
        <v>1</v>
      </c>
      <c r="I15120">
        <v>21</v>
      </c>
      <c r="J15120">
        <v>0</v>
      </c>
      <c r="K15120" t="str">
        <f t="shared" si="2695"/>
        <v>801</v>
      </c>
      <c r="L15120">
        <v>17.64</v>
      </c>
    </row>
    <row r="15121" spans="1:12" x14ac:dyDescent="0.25">
      <c r="A15121" t="str">
        <f t="shared" si="2697"/>
        <v>89301000</v>
      </c>
      <c r="B15121" t="str">
        <f t="shared" si="2693"/>
        <v>93501000</v>
      </c>
      <c r="C15121" t="str">
        <f t="shared" si="2694"/>
        <v>93501001</v>
      </c>
      <c r="D15121">
        <v>89301167</v>
      </c>
      <c r="E15121" t="str">
        <f t="shared" si="2696"/>
        <v>420102444</v>
      </c>
      <c r="F15121" s="1">
        <v>45274</v>
      </c>
      <c r="G15121" t="str">
        <f>"91153"</f>
        <v>91153</v>
      </c>
      <c r="H15121">
        <v>1</v>
      </c>
      <c r="I15121">
        <v>153</v>
      </c>
      <c r="J15121">
        <v>0</v>
      </c>
      <c r="K15121" t="str">
        <f t="shared" si="2695"/>
        <v>801</v>
      </c>
      <c r="L15121">
        <v>128.52000000000001</v>
      </c>
    </row>
    <row r="15122" spans="1:12" x14ac:dyDescent="0.25">
      <c r="A15122" t="str">
        <f t="shared" si="2697"/>
        <v>89301000</v>
      </c>
      <c r="B15122" t="str">
        <f t="shared" si="2693"/>
        <v>93501000</v>
      </c>
      <c r="C15122" t="str">
        <f t="shared" si="2694"/>
        <v>93501001</v>
      </c>
      <c r="D15122">
        <v>89301167</v>
      </c>
      <c r="E15122" t="str">
        <f t="shared" si="2696"/>
        <v>420102444</v>
      </c>
      <c r="F15122" s="1">
        <v>45274</v>
      </c>
      <c r="G15122" t="str">
        <f>"93131"</f>
        <v>93131</v>
      </c>
      <c r="H15122">
        <v>1</v>
      </c>
      <c r="I15122">
        <v>197</v>
      </c>
      <c r="J15122">
        <v>0</v>
      </c>
      <c r="K15122" t="str">
        <f t="shared" si="2695"/>
        <v>801</v>
      </c>
      <c r="L15122">
        <v>165.48</v>
      </c>
    </row>
    <row r="15123" spans="1:12" x14ac:dyDescent="0.25">
      <c r="A15123" t="str">
        <f t="shared" si="2697"/>
        <v>89301000</v>
      </c>
      <c r="B15123" t="str">
        <f t="shared" si="2693"/>
        <v>93501000</v>
      </c>
      <c r="C15123" t="str">
        <f t="shared" si="2694"/>
        <v>93501001</v>
      </c>
      <c r="D15123">
        <v>89301167</v>
      </c>
      <c r="E15123" t="str">
        <f t="shared" si="2696"/>
        <v>420102444</v>
      </c>
      <c r="F15123" s="1">
        <v>45274</v>
      </c>
      <c r="G15123" t="str">
        <f>"97111"</f>
        <v>97111</v>
      </c>
      <c r="H15123">
        <v>1</v>
      </c>
      <c r="I15123">
        <v>19</v>
      </c>
      <c r="J15123">
        <v>0</v>
      </c>
      <c r="K15123" t="str">
        <f t="shared" si="2695"/>
        <v>801</v>
      </c>
      <c r="L15123">
        <v>23.94</v>
      </c>
    </row>
    <row r="15124" spans="1:12" x14ac:dyDescent="0.25">
      <c r="A15124" t="str">
        <f t="shared" si="2697"/>
        <v>89301000</v>
      </c>
      <c r="B15124" t="str">
        <f t="shared" si="2693"/>
        <v>93501000</v>
      </c>
      <c r="C15124" t="str">
        <f t="shared" si="2694"/>
        <v>93501001</v>
      </c>
      <c r="D15124">
        <v>89301082</v>
      </c>
      <c r="E15124" t="str">
        <f>"9058066160"</f>
        <v>9058066160</v>
      </c>
      <c r="F15124" s="1">
        <v>45282</v>
      </c>
      <c r="G15124" t="str">
        <f>"93159"</f>
        <v>93159</v>
      </c>
      <c r="H15124">
        <v>1</v>
      </c>
      <c r="I15124">
        <v>197</v>
      </c>
      <c r="J15124">
        <v>0</v>
      </c>
      <c r="K15124" t="str">
        <f t="shared" si="2695"/>
        <v>801</v>
      </c>
      <c r="L15124">
        <v>165.48</v>
      </c>
    </row>
    <row r="15125" spans="1:12" x14ac:dyDescent="0.25">
      <c r="A15125" t="str">
        <f t="shared" si="2697"/>
        <v>89301000</v>
      </c>
      <c r="B15125" t="str">
        <f t="shared" si="2693"/>
        <v>93501000</v>
      </c>
      <c r="C15125" t="str">
        <f t="shared" si="2694"/>
        <v>93501001</v>
      </c>
      <c r="D15125">
        <v>89301082</v>
      </c>
      <c r="E15125" t="str">
        <f>"9058066160"</f>
        <v>9058066160</v>
      </c>
      <c r="F15125" s="1">
        <v>45282</v>
      </c>
      <c r="G15125" t="str">
        <f>"97111"</f>
        <v>97111</v>
      </c>
      <c r="H15125">
        <v>1</v>
      </c>
      <c r="I15125">
        <v>19</v>
      </c>
      <c r="J15125">
        <v>0</v>
      </c>
      <c r="K15125" t="str">
        <f t="shared" si="2695"/>
        <v>801</v>
      </c>
      <c r="L15125">
        <v>23.94</v>
      </c>
    </row>
    <row r="15126" spans="1:12" x14ac:dyDescent="0.25">
      <c r="A15126" t="str">
        <f t="shared" si="2697"/>
        <v>89301000</v>
      </c>
      <c r="B15126" t="str">
        <f t="shared" si="2693"/>
        <v>93501000</v>
      </c>
      <c r="C15126" t="str">
        <f>"93501003"</f>
        <v>93501003</v>
      </c>
      <c r="D15126">
        <v>89301082</v>
      </c>
      <c r="E15126" t="str">
        <f>"9058066160"</f>
        <v>9058066160</v>
      </c>
      <c r="F15126" s="1">
        <v>45282</v>
      </c>
      <c r="G15126" t="str">
        <f>"09119"</f>
        <v>09119</v>
      </c>
      <c r="H15126">
        <v>1</v>
      </c>
      <c r="I15126">
        <v>43</v>
      </c>
      <c r="J15126">
        <v>0</v>
      </c>
      <c r="K15126" t="str">
        <f t="shared" si="2695"/>
        <v>801</v>
      </c>
      <c r="L15126">
        <v>54.18</v>
      </c>
    </row>
    <row r="15127" spans="1:12" x14ac:dyDescent="0.25">
      <c r="A15127" t="str">
        <f t="shared" si="2697"/>
        <v>89301000</v>
      </c>
      <c r="B15127" t="str">
        <f t="shared" si="2693"/>
        <v>93501000</v>
      </c>
      <c r="C15127" t="str">
        <f t="shared" ref="C15127:C15136" si="2698">"93501005"</f>
        <v>93501005</v>
      </c>
      <c r="D15127">
        <v>89301167</v>
      </c>
      <c r="E15127" t="str">
        <f t="shared" ref="E15127:E15135" si="2699">"470127462"</f>
        <v>470127462</v>
      </c>
      <c r="F15127" s="1">
        <v>45272</v>
      </c>
      <c r="G15127" t="str">
        <f>"96167"</f>
        <v>96167</v>
      </c>
      <c r="H15127">
        <v>1</v>
      </c>
      <c r="I15127">
        <v>67</v>
      </c>
      <c r="J15127">
        <v>0</v>
      </c>
      <c r="K15127" t="str">
        <f t="shared" ref="K15127:K15136" si="2700">"818"</f>
        <v>818</v>
      </c>
      <c r="L15127">
        <v>64.989999999999995</v>
      </c>
    </row>
    <row r="15128" spans="1:12" x14ac:dyDescent="0.25">
      <c r="A15128" t="str">
        <f t="shared" si="2697"/>
        <v>89301000</v>
      </c>
      <c r="B15128" t="str">
        <f t="shared" si="2693"/>
        <v>93501000</v>
      </c>
      <c r="C15128" t="str">
        <f t="shared" si="2698"/>
        <v>93501005</v>
      </c>
      <c r="D15128">
        <v>89301167</v>
      </c>
      <c r="E15128" t="str">
        <f t="shared" si="2699"/>
        <v>470127462</v>
      </c>
      <c r="F15128" s="1">
        <v>45272</v>
      </c>
      <c r="G15128" t="str">
        <f>"96315"</f>
        <v>96315</v>
      </c>
      <c r="H15128">
        <v>1</v>
      </c>
      <c r="I15128">
        <v>30</v>
      </c>
      <c r="J15128">
        <v>0</v>
      </c>
      <c r="K15128" t="str">
        <f t="shared" si="2700"/>
        <v>818</v>
      </c>
      <c r="L15128">
        <v>29.1</v>
      </c>
    </row>
    <row r="15129" spans="1:12" x14ac:dyDescent="0.25">
      <c r="A15129" t="str">
        <f t="shared" si="2697"/>
        <v>89301000</v>
      </c>
      <c r="B15129" t="str">
        <f t="shared" ref="B15129:B15136" si="2701">"93501000"</f>
        <v>93501000</v>
      </c>
      <c r="C15129" t="str">
        <f t="shared" si="2698"/>
        <v>93501005</v>
      </c>
      <c r="D15129">
        <v>89301167</v>
      </c>
      <c r="E15129" t="str">
        <f t="shared" si="2699"/>
        <v>470127462</v>
      </c>
      <c r="F15129" s="1">
        <v>45272</v>
      </c>
      <c r="G15129" t="str">
        <f>"96711"</f>
        <v>96711</v>
      </c>
      <c r="H15129">
        <v>1</v>
      </c>
      <c r="I15129">
        <v>28</v>
      </c>
      <c r="J15129">
        <v>0</v>
      </c>
      <c r="K15129" t="str">
        <f t="shared" si="2700"/>
        <v>818</v>
      </c>
      <c r="L15129">
        <v>27.16</v>
      </c>
    </row>
    <row r="15130" spans="1:12" x14ac:dyDescent="0.25">
      <c r="A15130" t="str">
        <f t="shared" si="2697"/>
        <v>89301000</v>
      </c>
      <c r="B15130" t="str">
        <f t="shared" si="2701"/>
        <v>93501000</v>
      </c>
      <c r="C15130" t="str">
        <f t="shared" si="2698"/>
        <v>93501005</v>
      </c>
      <c r="D15130">
        <v>89301167</v>
      </c>
      <c r="E15130" t="str">
        <f t="shared" si="2699"/>
        <v>470127462</v>
      </c>
      <c r="F15130" s="1">
        <v>45272</v>
      </c>
      <c r="G15130" t="str">
        <f>"96713"</f>
        <v>96713</v>
      </c>
      <c r="H15130">
        <v>1</v>
      </c>
      <c r="I15130">
        <v>14</v>
      </c>
      <c r="J15130">
        <v>0</v>
      </c>
      <c r="K15130" t="str">
        <f t="shared" si="2700"/>
        <v>818</v>
      </c>
      <c r="L15130">
        <v>13.58</v>
      </c>
    </row>
    <row r="15131" spans="1:12" x14ac:dyDescent="0.25">
      <c r="A15131" t="str">
        <f t="shared" si="2697"/>
        <v>89301000</v>
      </c>
      <c r="B15131" t="str">
        <f t="shared" si="2701"/>
        <v>93501000</v>
      </c>
      <c r="C15131" t="str">
        <f t="shared" si="2698"/>
        <v>93501005</v>
      </c>
      <c r="D15131">
        <v>89301167</v>
      </c>
      <c r="E15131" t="str">
        <f t="shared" si="2699"/>
        <v>470127462</v>
      </c>
      <c r="F15131" s="1">
        <v>45261</v>
      </c>
      <c r="G15131" t="str">
        <f>"96167"</f>
        <v>96167</v>
      </c>
      <c r="H15131">
        <v>1</v>
      </c>
      <c r="I15131">
        <v>67</v>
      </c>
      <c r="J15131">
        <v>0</v>
      </c>
      <c r="K15131" t="str">
        <f t="shared" si="2700"/>
        <v>818</v>
      </c>
      <c r="L15131">
        <v>64.989999999999995</v>
      </c>
    </row>
    <row r="15132" spans="1:12" x14ac:dyDescent="0.25">
      <c r="A15132" t="str">
        <f t="shared" si="2697"/>
        <v>89301000</v>
      </c>
      <c r="B15132" t="str">
        <f t="shared" si="2701"/>
        <v>93501000</v>
      </c>
      <c r="C15132" t="str">
        <f t="shared" si="2698"/>
        <v>93501005</v>
      </c>
      <c r="D15132">
        <v>89301167</v>
      </c>
      <c r="E15132" t="str">
        <f t="shared" si="2699"/>
        <v>470127462</v>
      </c>
      <c r="F15132" s="1">
        <v>45278</v>
      </c>
      <c r="G15132" t="str">
        <f>"96167"</f>
        <v>96167</v>
      </c>
      <c r="H15132">
        <v>1</v>
      </c>
      <c r="I15132">
        <v>67</v>
      </c>
      <c r="J15132">
        <v>0</v>
      </c>
      <c r="K15132" t="str">
        <f t="shared" si="2700"/>
        <v>818</v>
      </c>
      <c r="L15132">
        <v>64.989999999999995</v>
      </c>
    </row>
    <row r="15133" spans="1:12" x14ac:dyDescent="0.25">
      <c r="A15133" t="str">
        <f t="shared" si="2697"/>
        <v>89301000</v>
      </c>
      <c r="B15133" t="str">
        <f t="shared" si="2701"/>
        <v>93501000</v>
      </c>
      <c r="C15133" t="str">
        <f t="shared" si="2698"/>
        <v>93501005</v>
      </c>
      <c r="D15133">
        <v>89301167</v>
      </c>
      <c r="E15133" t="str">
        <f t="shared" si="2699"/>
        <v>470127462</v>
      </c>
      <c r="F15133" s="1">
        <v>45278</v>
      </c>
      <c r="G15133" t="str">
        <f>"96315"</f>
        <v>96315</v>
      </c>
      <c r="H15133">
        <v>1</v>
      </c>
      <c r="I15133">
        <v>30</v>
      </c>
      <c r="J15133">
        <v>0</v>
      </c>
      <c r="K15133" t="str">
        <f t="shared" si="2700"/>
        <v>818</v>
      </c>
      <c r="L15133">
        <v>29.1</v>
      </c>
    </row>
    <row r="15134" spans="1:12" x14ac:dyDescent="0.25">
      <c r="A15134" t="str">
        <f t="shared" si="2697"/>
        <v>89301000</v>
      </c>
      <c r="B15134" t="str">
        <f t="shared" si="2701"/>
        <v>93501000</v>
      </c>
      <c r="C15134" t="str">
        <f t="shared" si="2698"/>
        <v>93501005</v>
      </c>
      <c r="D15134">
        <v>89301167</v>
      </c>
      <c r="E15134" t="str">
        <f t="shared" si="2699"/>
        <v>470127462</v>
      </c>
      <c r="F15134" s="1">
        <v>45278</v>
      </c>
      <c r="G15134" t="str">
        <f>"96711"</f>
        <v>96711</v>
      </c>
      <c r="H15134">
        <v>1</v>
      </c>
      <c r="I15134">
        <v>28</v>
      </c>
      <c r="J15134">
        <v>0</v>
      </c>
      <c r="K15134" t="str">
        <f t="shared" si="2700"/>
        <v>818</v>
      </c>
      <c r="L15134">
        <v>27.16</v>
      </c>
    </row>
    <row r="15135" spans="1:12" x14ac:dyDescent="0.25">
      <c r="A15135" t="str">
        <f t="shared" si="2697"/>
        <v>89301000</v>
      </c>
      <c r="B15135" t="str">
        <f t="shared" si="2701"/>
        <v>93501000</v>
      </c>
      <c r="C15135" t="str">
        <f t="shared" si="2698"/>
        <v>93501005</v>
      </c>
      <c r="D15135">
        <v>89301167</v>
      </c>
      <c r="E15135" t="str">
        <f t="shared" si="2699"/>
        <v>470127462</v>
      </c>
      <c r="F15135" s="1">
        <v>45278</v>
      </c>
      <c r="G15135" t="str">
        <f>"96713"</f>
        <v>96713</v>
      </c>
      <c r="H15135">
        <v>1</v>
      </c>
      <c r="I15135">
        <v>14</v>
      </c>
      <c r="J15135">
        <v>0</v>
      </c>
      <c r="K15135" t="str">
        <f t="shared" si="2700"/>
        <v>818</v>
      </c>
      <c r="L15135">
        <v>13.58</v>
      </c>
    </row>
    <row r="15136" spans="1:12" x14ac:dyDescent="0.25">
      <c r="A15136" t="str">
        <f t="shared" si="2697"/>
        <v>89301000</v>
      </c>
      <c r="B15136" t="str">
        <f t="shared" si="2701"/>
        <v>93501000</v>
      </c>
      <c r="C15136" t="str">
        <f t="shared" si="2698"/>
        <v>93501005</v>
      </c>
      <c r="D15136">
        <v>89301167</v>
      </c>
      <c r="E15136" t="str">
        <f>"420102444"</f>
        <v>420102444</v>
      </c>
      <c r="F15136" s="1">
        <v>45274</v>
      </c>
      <c r="G15136" t="str">
        <f>"96167"</f>
        <v>96167</v>
      </c>
      <c r="H15136">
        <v>1</v>
      </c>
      <c r="I15136">
        <v>67</v>
      </c>
      <c r="J15136">
        <v>0</v>
      </c>
      <c r="K15136" t="str">
        <f t="shared" si="2700"/>
        <v>818</v>
      </c>
      <c r="L15136">
        <v>64.989999999999995</v>
      </c>
    </row>
    <row r="15137" spans="1:12" x14ac:dyDescent="0.25">
      <c r="A15137" t="str">
        <f t="shared" si="2697"/>
        <v>89301000</v>
      </c>
      <c r="B15137" t="str">
        <f>"89445000"</f>
        <v>89445000</v>
      </c>
      <c r="C15137" t="str">
        <f>"89445001"</f>
        <v>89445001</v>
      </c>
      <c r="D15137">
        <v>89301082</v>
      </c>
      <c r="E15137" t="str">
        <f>"8451074489"</f>
        <v>8451074489</v>
      </c>
      <c r="F15137" s="1">
        <v>45280</v>
      </c>
      <c r="G15137" t="str">
        <f>"09119"</f>
        <v>09119</v>
      </c>
      <c r="H15137">
        <v>1</v>
      </c>
      <c r="I15137">
        <v>43</v>
      </c>
      <c r="J15137">
        <v>0</v>
      </c>
      <c r="K15137" t="str">
        <f t="shared" ref="K15137:K15142" si="2702">"801"</f>
        <v>801</v>
      </c>
      <c r="L15137">
        <v>54.18</v>
      </c>
    </row>
    <row r="15138" spans="1:12" x14ac:dyDescent="0.25">
      <c r="A15138" t="str">
        <f t="shared" si="2697"/>
        <v>89301000</v>
      </c>
      <c r="B15138" t="str">
        <f>"89445000"</f>
        <v>89445000</v>
      </c>
      <c r="C15138" t="str">
        <f>"89445001"</f>
        <v>89445001</v>
      </c>
      <c r="D15138">
        <v>89301082</v>
      </c>
      <c r="E15138" t="str">
        <f>"8451074489"</f>
        <v>8451074489</v>
      </c>
      <c r="F15138" s="1">
        <v>45280</v>
      </c>
      <c r="G15138" t="str">
        <f>"93177"</f>
        <v>93177</v>
      </c>
      <c r="H15138">
        <v>1</v>
      </c>
      <c r="I15138">
        <v>180</v>
      </c>
      <c r="J15138">
        <v>0</v>
      </c>
      <c r="K15138" t="str">
        <f t="shared" si="2702"/>
        <v>801</v>
      </c>
      <c r="L15138">
        <v>151.19999999999999</v>
      </c>
    </row>
    <row r="15139" spans="1:12" x14ac:dyDescent="0.25">
      <c r="A15139" t="str">
        <f t="shared" si="2697"/>
        <v>89301000</v>
      </c>
      <c r="B15139" t="str">
        <f>"89445000"</f>
        <v>89445000</v>
      </c>
      <c r="C15139" t="str">
        <f>"89445001"</f>
        <v>89445001</v>
      </c>
      <c r="D15139">
        <v>89301082</v>
      </c>
      <c r="E15139" t="str">
        <f>"8451074489"</f>
        <v>8451074489</v>
      </c>
      <c r="F15139" s="1">
        <v>45280</v>
      </c>
      <c r="G15139" t="str">
        <f>"93137"</f>
        <v>93137</v>
      </c>
      <c r="H15139">
        <v>1</v>
      </c>
      <c r="I15139">
        <v>186</v>
      </c>
      <c r="J15139">
        <v>0</v>
      </c>
      <c r="K15139" t="str">
        <f t="shared" si="2702"/>
        <v>801</v>
      </c>
      <c r="L15139">
        <v>156.24</v>
      </c>
    </row>
    <row r="15140" spans="1:12" x14ac:dyDescent="0.25">
      <c r="A15140" t="str">
        <f t="shared" si="2697"/>
        <v>89301000</v>
      </c>
      <c r="B15140" t="str">
        <f>"89445000"</f>
        <v>89445000</v>
      </c>
      <c r="C15140" t="str">
        <f>"89445001"</f>
        <v>89445001</v>
      </c>
      <c r="D15140">
        <v>89301082</v>
      </c>
      <c r="E15140" t="str">
        <f>"8451074489"</f>
        <v>8451074489</v>
      </c>
      <c r="F15140" s="1">
        <v>45280</v>
      </c>
      <c r="G15140" t="str">
        <f>"97111"</f>
        <v>97111</v>
      </c>
      <c r="H15140">
        <v>1</v>
      </c>
      <c r="I15140">
        <v>19</v>
      </c>
      <c r="J15140">
        <v>0</v>
      </c>
      <c r="K15140" t="str">
        <f t="shared" si="2702"/>
        <v>801</v>
      </c>
      <c r="L15140">
        <v>23.94</v>
      </c>
    </row>
    <row r="15141" spans="1:12" x14ac:dyDescent="0.25">
      <c r="A15141" t="str">
        <f t="shared" si="2697"/>
        <v>89301000</v>
      </c>
      <c r="B15141" t="str">
        <f>"91970116"</f>
        <v>91970116</v>
      </c>
      <c r="C15141" t="str">
        <f>"91970116"</f>
        <v>91970116</v>
      </c>
      <c r="D15141">
        <v>89301082</v>
      </c>
      <c r="E15141" t="str">
        <f>"7858025582"</f>
        <v>7858025582</v>
      </c>
      <c r="F15141" s="1">
        <v>45278</v>
      </c>
      <c r="G15141" t="str">
        <f>"97111"</f>
        <v>97111</v>
      </c>
      <c r="H15141">
        <v>1</v>
      </c>
      <c r="I15141">
        <v>19</v>
      </c>
      <c r="J15141">
        <v>0</v>
      </c>
      <c r="K15141" t="str">
        <f t="shared" si="2702"/>
        <v>801</v>
      </c>
      <c r="L15141">
        <v>23.94</v>
      </c>
    </row>
    <row r="15142" spans="1:12" x14ac:dyDescent="0.25">
      <c r="A15142" t="str">
        <f t="shared" si="2697"/>
        <v>89301000</v>
      </c>
      <c r="B15142" t="str">
        <f>"91970116"</f>
        <v>91970116</v>
      </c>
      <c r="C15142" t="str">
        <f>"91970116"</f>
        <v>91970116</v>
      </c>
      <c r="D15142">
        <v>89301082</v>
      </c>
      <c r="E15142" t="str">
        <f>"7858025582"</f>
        <v>7858025582</v>
      </c>
      <c r="F15142" s="1">
        <v>45278</v>
      </c>
      <c r="G15142" t="str">
        <f>"93159"</f>
        <v>93159</v>
      </c>
      <c r="H15142">
        <v>1</v>
      </c>
      <c r="I15142">
        <v>197</v>
      </c>
      <c r="J15142">
        <v>0</v>
      </c>
      <c r="K15142" t="str">
        <f t="shared" si="2702"/>
        <v>801</v>
      </c>
      <c r="L15142">
        <v>165.48</v>
      </c>
    </row>
    <row r="15143" spans="1:12" x14ac:dyDescent="0.25">
      <c r="A15143" t="str">
        <f t="shared" si="2697"/>
        <v>89301000</v>
      </c>
      <c r="B15143" t="str">
        <f t="shared" ref="B15143:B15167" si="2703">"91970116"</f>
        <v>91970116</v>
      </c>
      <c r="C15143" t="str">
        <f>"91970115"</f>
        <v>91970115</v>
      </c>
      <c r="D15143">
        <v>89301082</v>
      </c>
      <c r="E15143" t="str">
        <f>"7858025582"</f>
        <v>7858025582</v>
      </c>
      <c r="F15143" s="1">
        <v>45278</v>
      </c>
      <c r="G15143" t="str">
        <f>"09119"</f>
        <v>09119</v>
      </c>
      <c r="H15143">
        <v>1</v>
      </c>
      <c r="I15143">
        <v>43</v>
      </c>
      <c r="J15143">
        <v>0</v>
      </c>
      <c r="K15143" t="str">
        <f>"818"</f>
        <v>818</v>
      </c>
      <c r="L15143">
        <v>54.18</v>
      </c>
    </row>
    <row r="15144" spans="1:12" x14ac:dyDescent="0.25">
      <c r="A15144" t="str">
        <f t="shared" si="2697"/>
        <v>89301000</v>
      </c>
      <c r="B15144" t="str">
        <f t="shared" si="2703"/>
        <v>91970116</v>
      </c>
      <c r="C15144" t="str">
        <f t="shared" ref="C15144:C15164" si="2704">"91970116"</f>
        <v>91970116</v>
      </c>
      <c r="D15144">
        <v>89301167</v>
      </c>
      <c r="E15144" t="str">
        <f t="shared" ref="E15144:E15167" si="2705">"530220073"</f>
        <v>530220073</v>
      </c>
      <c r="F15144" s="1">
        <v>45261</v>
      </c>
      <c r="G15144" t="str">
        <f>"97111"</f>
        <v>97111</v>
      </c>
      <c r="H15144">
        <v>1</v>
      </c>
      <c r="I15144">
        <v>19</v>
      </c>
      <c r="J15144">
        <v>0</v>
      </c>
      <c r="K15144" t="str">
        <f t="shared" ref="K15144:K15164" si="2706">"801"</f>
        <v>801</v>
      </c>
      <c r="L15144">
        <v>23.94</v>
      </c>
    </row>
    <row r="15145" spans="1:12" x14ac:dyDescent="0.25">
      <c r="A15145" t="str">
        <f t="shared" si="2697"/>
        <v>89301000</v>
      </c>
      <c r="B15145" t="str">
        <f t="shared" si="2703"/>
        <v>91970116</v>
      </c>
      <c r="C15145" t="str">
        <f t="shared" si="2704"/>
        <v>91970116</v>
      </c>
      <c r="D15145">
        <v>89301167</v>
      </c>
      <c r="E15145" t="str">
        <f t="shared" si="2705"/>
        <v>530220073</v>
      </c>
      <c r="F15145" s="1">
        <v>45261</v>
      </c>
      <c r="G15145" t="str">
        <f>"81625"</f>
        <v>81625</v>
      </c>
      <c r="H15145">
        <v>1</v>
      </c>
      <c r="I15145">
        <v>21</v>
      </c>
      <c r="J15145">
        <v>0</v>
      </c>
      <c r="K15145" t="str">
        <f t="shared" si="2706"/>
        <v>801</v>
      </c>
      <c r="L15145">
        <v>17.64</v>
      </c>
    </row>
    <row r="15146" spans="1:12" x14ac:dyDescent="0.25">
      <c r="A15146" t="str">
        <f t="shared" si="2697"/>
        <v>89301000</v>
      </c>
      <c r="B15146" t="str">
        <f t="shared" si="2703"/>
        <v>91970116</v>
      </c>
      <c r="C15146" t="str">
        <f t="shared" si="2704"/>
        <v>91970116</v>
      </c>
      <c r="D15146">
        <v>89301167</v>
      </c>
      <c r="E15146" t="str">
        <f t="shared" si="2705"/>
        <v>530220073</v>
      </c>
      <c r="F15146" s="1">
        <v>45261</v>
      </c>
      <c r="G15146" t="str">
        <f>"81621"</f>
        <v>81621</v>
      </c>
      <c r="H15146">
        <v>1</v>
      </c>
      <c r="I15146">
        <v>19</v>
      </c>
      <c r="J15146">
        <v>0</v>
      </c>
      <c r="K15146" t="str">
        <f t="shared" si="2706"/>
        <v>801</v>
      </c>
      <c r="L15146">
        <v>15.96</v>
      </c>
    </row>
    <row r="15147" spans="1:12" x14ac:dyDescent="0.25">
      <c r="A15147" t="str">
        <f t="shared" si="2697"/>
        <v>89301000</v>
      </c>
      <c r="B15147" t="str">
        <f t="shared" si="2703"/>
        <v>91970116</v>
      </c>
      <c r="C15147" t="str">
        <f t="shared" si="2704"/>
        <v>91970116</v>
      </c>
      <c r="D15147">
        <v>89301167</v>
      </c>
      <c r="E15147" t="str">
        <f t="shared" si="2705"/>
        <v>530220073</v>
      </c>
      <c r="F15147" s="1">
        <v>45261</v>
      </c>
      <c r="G15147" t="str">
        <f>"81499"</f>
        <v>81499</v>
      </c>
      <c r="H15147">
        <v>1</v>
      </c>
      <c r="I15147">
        <v>18</v>
      </c>
      <c r="J15147">
        <v>0</v>
      </c>
      <c r="K15147" t="str">
        <f t="shared" si="2706"/>
        <v>801</v>
      </c>
      <c r="L15147">
        <v>15.12</v>
      </c>
    </row>
    <row r="15148" spans="1:12" x14ac:dyDescent="0.25">
      <c r="A15148" t="str">
        <f t="shared" si="2697"/>
        <v>89301000</v>
      </c>
      <c r="B15148" t="str">
        <f t="shared" si="2703"/>
        <v>91970116</v>
      </c>
      <c r="C15148" t="str">
        <f t="shared" si="2704"/>
        <v>91970116</v>
      </c>
      <c r="D15148">
        <v>89301167</v>
      </c>
      <c r="E15148" t="str">
        <f t="shared" si="2705"/>
        <v>530220073</v>
      </c>
      <c r="F15148" s="1">
        <v>45261</v>
      </c>
      <c r="G15148" t="str">
        <f>"81523"</f>
        <v>81523</v>
      </c>
      <c r="H15148">
        <v>1</v>
      </c>
      <c r="I15148">
        <v>23</v>
      </c>
      <c r="J15148">
        <v>0</v>
      </c>
      <c r="K15148" t="str">
        <f t="shared" si="2706"/>
        <v>801</v>
      </c>
      <c r="L15148">
        <v>19.32</v>
      </c>
    </row>
    <row r="15149" spans="1:12" x14ac:dyDescent="0.25">
      <c r="A15149" t="str">
        <f t="shared" si="2697"/>
        <v>89301000</v>
      </c>
      <c r="B15149" t="str">
        <f t="shared" si="2703"/>
        <v>91970116</v>
      </c>
      <c r="C15149" t="str">
        <f t="shared" si="2704"/>
        <v>91970116</v>
      </c>
      <c r="D15149">
        <v>89301167</v>
      </c>
      <c r="E15149" t="str">
        <f t="shared" si="2705"/>
        <v>530220073</v>
      </c>
      <c r="F15149" s="1">
        <v>45261</v>
      </c>
      <c r="G15149" t="str">
        <f>"81365"</f>
        <v>81365</v>
      </c>
      <c r="H15149">
        <v>1</v>
      </c>
      <c r="I15149">
        <v>16</v>
      </c>
      <c r="J15149">
        <v>0</v>
      </c>
      <c r="K15149" t="str">
        <f t="shared" si="2706"/>
        <v>801</v>
      </c>
      <c r="L15149">
        <v>13.44</v>
      </c>
    </row>
    <row r="15150" spans="1:12" x14ac:dyDescent="0.25">
      <c r="A15150" t="str">
        <f t="shared" si="2697"/>
        <v>89301000</v>
      </c>
      <c r="B15150" t="str">
        <f t="shared" si="2703"/>
        <v>91970116</v>
      </c>
      <c r="C15150" t="str">
        <f t="shared" si="2704"/>
        <v>91970116</v>
      </c>
      <c r="D15150">
        <v>89301167</v>
      </c>
      <c r="E15150" t="str">
        <f t="shared" si="2705"/>
        <v>530220073</v>
      </c>
      <c r="F15150" s="1">
        <v>45261</v>
      </c>
      <c r="G15150" t="str">
        <f>"81329"</f>
        <v>81329</v>
      </c>
      <c r="H15150">
        <v>1</v>
      </c>
      <c r="I15150">
        <v>17</v>
      </c>
      <c r="J15150">
        <v>0</v>
      </c>
      <c r="K15150" t="str">
        <f t="shared" si="2706"/>
        <v>801</v>
      </c>
      <c r="L15150">
        <v>14.28</v>
      </c>
    </row>
    <row r="15151" spans="1:12" x14ac:dyDescent="0.25">
      <c r="A15151" t="str">
        <f t="shared" si="2697"/>
        <v>89301000</v>
      </c>
      <c r="B15151" t="str">
        <f t="shared" si="2703"/>
        <v>91970116</v>
      </c>
      <c r="C15151" t="str">
        <f t="shared" si="2704"/>
        <v>91970116</v>
      </c>
      <c r="D15151">
        <v>89301167</v>
      </c>
      <c r="E15151" t="str">
        <f t="shared" si="2705"/>
        <v>530220073</v>
      </c>
      <c r="F15151" s="1">
        <v>45261</v>
      </c>
      <c r="G15151" t="str">
        <f>"81361"</f>
        <v>81361</v>
      </c>
      <c r="H15151">
        <v>1</v>
      </c>
      <c r="I15151">
        <v>17</v>
      </c>
      <c r="J15151">
        <v>0</v>
      </c>
      <c r="K15151" t="str">
        <f t="shared" si="2706"/>
        <v>801</v>
      </c>
      <c r="L15151">
        <v>14.28</v>
      </c>
    </row>
    <row r="15152" spans="1:12" x14ac:dyDescent="0.25">
      <c r="A15152" t="str">
        <f t="shared" si="2697"/>
        <v>89301000</v>
      </c>
      <c r="B15152" t="str">
        <f t="shared" si="2703"/>
        <v>91970116</v>
      </c>
      <c r="C15152" t="str">
        <f t="shared" si="2704"/>
        <v>91970116</v>
      </c>
      <c r="D15152">
        <v>89301167</v>
      </c>
      <c r="E15152" t="str">
        <f t="shared" si="2705"/>
        <v>530220073</v>
      </c>
      <c r="F15152" s="1">
        <v>45261</v>
      </c>
      <c r="G15152" t="str">
        <f>"81337"</f>
        <v>81337</v>
      </c>
      <c r="H15152">
        <v>1</v>
      </c>
      <c r="I15152">
        <v>20</v>
      </c>
      <c r="J15152">
        <v>0</v>
      </c>
      <c r="K15152" t="str">
        <f t="shared" si="2706"/>
        <v>801</v>
      </c>
      <c r="L15152">
        <v>16.8</v>
      </c>
    </row>
    <row r="15153" spans="1:12" x14ac:dyDescent="0.25">
      <c r="A15153" t="str">
        <f t="shared" si="2697"/>
        <v>89301000</v>
      </c>
      <c r="B15153" t="str">
        <f t="shared" si="2703"/>
        <v>91970116</v>
      </c>
      <c r="C15153" t="str">
        <f t="shared" si="2704"/>
        <v>91970116</v>
      </c>
      <c r="D15153">
        <v>89301167</v>
      </c>
      <c r="E15153" t="str">
        <f t="shared" si="2705"/>
        <v>530220073</v>
      </c>
      <c r="F15153" s="1">
        <v>45261</v>
      </c>
      <c r="G15153" t="str">
        <f>"81357"</f>
        <v>81357</v>
      </c>
      <c r="H15153">
        <v>1</v>
      </c>
      <c r="I15153">
        <v>20</v>
      </c>
      <c r="J15153">
        <v>0</v>
      </c>
      <c r="K15153" t="str">
        <f t="shared" si="2706"/>
        <v>801</v>
      </c>
      <c r="L15153">
        <v>16.8</v>
      </c>
    </row>
    <row r="15154" spans="1:12" x14ac:dyDescent="0.25">
      <c r="A15154" t="str">
        <f t="shared" si="2697"/>
        <v>89301000</v>
      </c>
      <c r="B15154" t="str">
        <f t="shared" si="2703"/>
        <v>91970116</v>
      </c>
      <c r="C15154" t="str">
        <f t="shared" si="2704"/>
        <v>91970116</v>
      </c>
      <c r="D15154">
        <v>89301167</v>
      </c>
      <c r="E15154" t="str">
        <f t="shared" si="2705"/>
        <v>530220073</v>
      </c>
      <c r="F15154" s="1">
        <v>45261</v>
      </c>
      <c r="G15154" t="str">
        <f>"81421"</f>
        <v>81421</v>
      </c>
      <c r="H15154">
        <v>1</v>
      </c>
      <c r="I15154">
        <v>19</v>
      </c>
      <c r="J15154">
        <v>0</v>
      </c>
      <c r="K15154" t="str">
        <f t="shared" si="2706"/>
        <v>801</v>
      </c>
      <c r="L15154">
        <v>15.96</v>
      </c>
    </row>
    <row r="15155" spans="1:12" x14ac:dyDescent="0.25">
      <c r="A15155" t="str">
        <f t="shared" si="2697"/>
        <v>89301000</v>
      </c>
      <c r="B15155" t="str">
        <f t="shared" si="2703"/>
        <v>91970116</v>
      </c>
      <c r="C15155" t="str">
        <f t="shared" si="2704"/>
        <v>91970116</v>
      </c>
      <c r="D15155">
        <v>89301167</v>
      </c>
      <c r="E15155" t="str">
        <f t="shared" si="2705"/>
        <v>530220073</v>
      </c>
      <c r="F15155" s="1">
        <v>45261</v>
      </c>
      <c r="G15155" t="str">
        <f>"81435"</f>
        <v>81435</v>
      </c>
      <c r="H15155">
        <v>1</v>
      </c>
      <c r="I15155">
        <v>22</v>
      </c>
      <c r="J15155">
        <v>0</v>
      </c>
      <c r="K15155" t="str">
        <f t="shared" si="2706"/>
        <v>801</v>
      </c>
      <c r="L15155">
        <v>18.48</v>
      </c>
    </row>
    <row r="15156" spans="1:12" x14ac:dyDescent="0.25">
      <c r="A15156" t="str">
        <f t="shared" si="2697"/>
        <v>89301000</v>
      </c>
      <c r="B15156" t="str">
        <f t="shared" si="2703"/>
        <v>91970116</v>
      </c>
      <c r="C15156" t="str">
        <f t="shared" si="2704"/>
        <v>91970116</v>
      </c>
      <c r="D15156">
        <v>89301167</v>
      </c>
      <c r="E15156" t="str">
        <f t="shared" si="2705"/>
        <v>530220073</v>
      </c>
      <c r="F15156" s="1">
        <v>45261</v>
      </c>
      <c r="G15156" t="str">
        <f>"81439"</f>
        <v>81439</v>
      </c>
      <c r="H15156">
        <v>1</v>
      </c>
      <c r="I15156">
        <v>16</v>
      </c>
      <c r="J15156">
        <v>0</v>
      </c>
      <c r="K15156" t="str">
        <f t="shared" si="2706"/>
        <v>801</v>
      </c>
      <c r="L15156">
        <v>13.44</v>
      </c>
    </row>
    <row r="15157" spans="1:12" x14ac:dyDescent="0.25">
      <c r="A15157" t="str">
        <f t="shared" si="2697"/>
        <v>89301000</v>
      </c>
      <c r="B15157" t="str">
        <f t="shared" si="2703"/>
        <v>91970116</v>
      </c>
      <c r="C15157" t="str">
        <f t="shared" si="2704"/>
        <v>91970116</v>
      </c>
      <c r="D15157">
        <v>89301167</v>
      </c>
      <c r="E15157" t="str">
        <f t="shared" si="2705"/>
        <v>530220073</v>
      </c>
      <c r="F15157" s="1">
        <v>45261</v>
      </c>
      <c r="G15157" t="str">
        <f>"91153"</f>
        <v>91153</v>
      </c>
      <c r="H15157">
        <v>1</v>
      </c>
      <c r="I15157">
        <v>153</v>
      </c>
      <c r="J15157">
        <v>0</v>
      </c>
      <c r="K15157" t="str">
        <f t="shared" si="2706"/>
        <v>801</v>
      </c>
      <c r="L15157">
        <v>128.52000000000001</v>
      </c>
    </row>
    <row r="15158" spans="1:12" x14ac:dyDescent="0.25">
      <c r="A15158" t="str">
        <f t="shared" si="2697"/>
        <v>89301000</v>
      </c>
      <c r="B15158" t="str">
        <f t="shared" si="2703"/>
        <v>91970116</v>
      </c>
      <c r="C15158" t="str">
        <f t="shared" si="2704"/>
        <v>91970116</v>
      </c>
      <c r="D15158">
        <v>89301167</v>
      </c>
      <c r="E15158" t="str">
        <f t="shared" si="2705"/>
        <v>530220073</v>
      </c>
      <c r="F15158" s="1">
        <v>45261</v>
      </c>
      <c r="G15158" t="str">
        <f>"81511"</f>
        <v>81511</v>
      </c>
      <c r="H15158">
        <v>1</v>
      </c>
      <c r="I15158">
        <v>10</v>
      </c>
      <c r="J15158">
        <v>0</v>
      </c>
      <c r="K15158" t="str">
        <f t="shared" si="2706"/>
        <v>801</v>
      </c>
      <c r="L15158">
        <v>8.4</v>
      </c>
    </row>
    <row r="15159" spans="1:12" x14ac:dyDescent="0.25">
      <c r="A15159" t="str">
        <f t="shared" si="2697"/>
        <v>89301000</v>
      </c>
      <c r="B15159" t="str">
        <f t="shared" si="2703"/>
        <v>91970116</v>
      </c>
      <c r="C15159" t="str">
        <f t="shared" si="2704"/>
        <v>91970116</v>
      </c>
      <c r="D15159">
        <v>89301167</v>
      </c>
      <c r="E15159" t="str">
        <f t="shared" si="2705"/>
        <v>530220073</v>
      </c>
      <c r="F15159" s="1">
        <v>45261</v>
      </c>
      <c r="G15159" t="str">
        <f>"81593"</f>
        <v>81593</v>
      </c>
      <c r="H15159">
        <v>1</v>
      </c>
      <c r="I15159">
        <v>22</v>
      </c>
      <c r="J15159">
        <v>0</v>
      </c>
      <c r="K15159" t="str">
        <f t="shared" si="2706"/>
        <v>801</v>
      </c>
      <c r="L15159">
        <v>18.48</v>
      </c>
    </row>
    <row r="15160" spans="1:12" x14ac:dyDescent="0.25">
      <c r="A15160" t="str">
        <f t="shared" si="2697"/>
        <v>89301000</v>
      </c>
      <c r="B15160" t="str">
        <f t="shared" si="2703"/>
        <v>91970116</v>
      </c>
      <c r="C15160" t="str">
        <f t="shared" si="2704"/>
        <v>91970116</v>
      </c>
      <c r="D15160">
        <v>89301167</v>
      </c>
      <c r="E15160" t="str">
        <f t="shared" si="2705"/>
        <v>530220073</v>
      </c>
      <c r="F15160" s="1">
        <v>45261</v>
      </c>
      <c r="G15160" t="str">
        <f>"81393"</f>
        <v>81393</v>
      </c>
      <c r="H15160">
        <v>1</v>
      </c>
      <c r="I15160">
        <v>24</v>
      </c>
      <c r="J15160">
        <v>0</v>
      </c>
      <c r="K15160" t="str">
        <f t="shared" si="2706"/>
        <v>801</v>
      </c>
      <c r="L15160">
        <v>20.16</v>
      </c>
    </row>
    <row r="15161" spans="1:12" x14ac:dyDescent="0.25">
      <c r="A15161" t="str">
        <f t="shared" si="2697"/>
        <v>89301000</v>
      </c>
      <c r="B15161" t="str">
        <f t="shared" si="2703"/>
        <v>91970116</v>
      </c>
      <c r="C15161" t="str">
        <f t="shared" si="2704"/>
        <v>91970116</v>
      </c>
      <c r="D15161">
        <v>89301167</v>
      </c>
      <c r="E15161" t="str">
        <f t="shared" si="2705"/>
        <v>530220073</v>
      </c>
      <c r="F15161" s="1">
        <v>45261</v>
      </c>
      <c r="G15161" t="str">
        <f>"81469"</f>
        <v>81469</v>
      </c>
      <c r="H15161">
        <v>1</v>
      </c>
      <c r="I15161">
        <v>16</v>
      </c>
      <c r="J15161">
        <v>0</v>
      </c>
      <c r="K15161" t="str">
        <f t="shared" si="2706"/>
        <v>801</v>
      </c>
      <c r="L15161">
        <v>13.44</v>
      </c>
    </row>
    <row r="15162" spans="1:12" x14ac:dyDescent="0.25">
      <c r="A15162" t="str">
        <f t="shared" si="2697"/>
        <v>89301000</v>
      </c>
      <c r="B15162" t="str">
        <f t="shared" si="2703"/>
        <v>91970116</v>
      </c>
      <c r="C15162" t="str">
        <f t="shared" si="2704"/>
        <v>91970116</v>
      </c>
      <c r="D15162">
        <v>89301167</v>
      </c>
      <c r="E15162" t="str">
        <f t="shared" si="2705"/>
        <v>530220073</v>
      </c>
      <c r="F15162" s="1">
        <v>45261</v>
      </c>
      <c r="G15162" t="str">
        <f>"93195"</f>
        <v>93195</v>
      </c>
      <c r="H15162">
        <v>1</v>
      </c>
      <c r="I15162">
        <v>183</v>
      </c>
      <c r="J15162">
        <v>0</v>
      </c>
      <c r="K15162" t="str">
        <f t="shared" si="2706"/>
        <v>801</v>
      </c>
      <c r="L15162">
        <v>153.72</v>
      </c>
    </row>
    <row r="15163" spans="1:12" x14ac:dyDescent="0.25">
      <c r="A15163" t="str">
        <f t="shared" si="2697"/>
        <v>89301000</v>
      </c>
      <c r="B15163" t="str">
        <f t="shared" si="2703"/>
        <v>91970116</v>
      </c>
      <c r="C15163" t="str">
        <f t="shared" si="2704"/>
        <v>91970116</v>
      </c>
      <c r="D15163">
        <v>89301167</v>
      </c>
      <c r="E15163" t="str">
        <f t="shared" si="2705"/>
        <v>530220073</v>
      </c>
      <c r="F15163" s="1">
        <v>45261</v>
      </c>
      <c r="G15163" t="str">
        <f>"93189"</f>
        <v>93189</v>
      </c>
      <c r="H15163">
        <v>1</v>
      </c>
      <c r="I15163">
        <v>191</v>
      </c>
      <c r="J15163">
        <v>0</v>
      </c>
      <c r="K15163" t="str">
        <f t="shared" si="2706"/>
        <v>801</v>
      </c>
      <c r="L15163">
        <v>160.44</v>
      </c>
    </row>
    <row r="15164" spans="1:12" x14ac:dyDescent="0.25">
      <c r="A15164" t="str">
        <f t="shared" si="2697"/>
        <v>89301000</v>
      </c>
      <c r="B15164" t="str">
        <f t="shared" si="2703"/>
        <v>91970116</v>
      </c>
      <c r="C15164" t="str">
        <f t="shared" si="2704"/>
        <v>91970116</v>
      </c>
      <c r="D15164">
        <v>89301167</v>
      </c>
      <c r="E15164" t="str">
        <f t="shared" si="2705"/>
        <v>530220073</v>
      </c>
      <c r="F15164" s="1">
        <v>45261</v>
      </c>
      <c r="G15164" t="str">
        <f>"81249"</f>
        <v>81249</v>
      </c>
      <c r="H15164">
        <v>1</v>
      </c>
      <c r="I15164">
        <v>334</v>
      </c>
      <c r="J15164">
        <v>0</v>
      </c>
      <c r="K15164" t="str">
        <f t="shared" si="2706"/>
        <v>801</v>
      </c>
      <c r="L15164">
        <v>280.56</v>
      </c>
    </row>
    <row r="15165" spans="1:12" x14ac:dyDescent="0.25">
      <c r="A15165" t="str">
        <f t="shared" si="2697"/>
        <v>89301000</v>
      </c>
      <c r="B15165" t="str">
        <f t="shared" si="2703"/>
        <v>91970116</v>
      </c>
      <c r="C15165" t="str">
        <f>"91970115"</f>
        <v>91970115</v>
      </c>
      <c r="D15165">
        <v>89301167</v>
      </c>
      <c r="E15165" t="str">
        <f t="shared" si="2705"/>
        <v>530220073</v>
      </c>
      <c r="F15165" s="1">
        <v>45261</v>
      </c>
      <c r="G15165" t="str">
        <f>"09119"</f>
        <v>09119</v>
      </c>
      <c r="H15165">
        <v>1</v>
      </c>
      <c r="I15165">
        <v>43</v>
      </c>
      <c r="J15165">
        <v>0</v>
      </c>
      <c r="K15165" t="str">
        <f>"818"</f>
        <v>818</v>
      </c>
      <c r="L15165">
        <v>54.18</v>
      </c>
    </row>
    <row r="15166" spans="1:12" x14ac:dyDescent="0.25">
      <c r="A15166" t="str">
        <f t="shared" si="2697"/>
        <v>89301000</v>
      </c>
      <c r="B15166" t="str">
        <f t="shared" si="2703"/>
        <v>91970116</v>
      </c>
      <c r="C15166" t="str">
        <f>"91970115"</f>
        <v>91970115</v>
      </c>
      <c r="D15166">
        <v>89301167</v>
      </c>
      <c r="E15166" t="str">
        <f t="shared" si="2705"/>
        <v>530220073</v>
      </c>
      <c r="F15166" s="1">
        <v>45261</v>
      </c>
      <c r="G15166" t="str">
        <f>"96163"</f>
        <v>96163</v>
      </c>
      <c r="H15166">
        <v>1</v>
      </c>
      <c r="I15166">
        <v>28</v>
      </c>
      <c r="J15166">
        <v>0</v>
      </c>
      <c r="K15166" t="str">
        <f>"818"</f>
        <v>818</v>
      </c>
      <c r="L15166">
        <v>27.16</v>
      </c>
    </row>
    <row r="15167" spans="1:12" x14ac:dyDescent="0.25">
      <c r="A15167" t="str">
        <f t="shared" si="2697"/>
        <v>89301000</v>
      </c>
      <c r="B15167" t="str">
        <f t="shared" si="2703"/>
        <v>91970116</v>
      </c>
      <c r="C15167" t="str">
        <f>"91970115"</f>
        <v>91970115</v>
      </c>
      <c r="D15167">
        <v>89301167</v>
      </c>
      <c r="E15167" t="str">
        <f t="shared" si="2705"/>
        <v>530220073</v>
      </c>
      <c r="F15167" s="1">
        <v>45261</v>
      </c>
      <c r="G15167" t="str">
        <f>"96523"</f>
        <v>96523</v>
      </c>
      <c r="H15167">
        <v>1</v>
      </c>
      <c r="I15167">
        <v>53</v>
      </c>
      <c r="J15167">
        <v>0</v>
      </c>
      <c r="K15167" t="str">
        <f>"818"</f>
        <v>818</v>
      </c>
      <c r="L15167">
        <v>51.41</v>
      </c>
    </row>
    <row r="15168" spans="1:12" x14ac:dyDescent="0.25">
      <c r="A15168" t="str">
        <f t="shared" si="2697"/>
        <v>89301000</v>
      </c>
      <c r="B15168" t="str">
        <f>"89148219"</f>
        <v>89148219</v>
      </c>
      <c r="C15168" t="str">
        <f>"89148219"</f>
        <v>89148219</v>
      </c>
      <c r="D15168">
        <v>89301212</v>
      </c>
      <c r="E15168" t="str">
        <f>"7753164914"</f>
        <v>7753164914</v>
      </c>
      <c r="F15168" s="1">
        <v>45264</v>
      </c>
      <c r="G15168" t="str">
        <f>"89131"</f>
        <v>89131</v>
      </c>
      <c r="H15168">
        <v>1</v>
      </c>
      <c r="I15168">
        <v>190</v>
      </c>
      <c r="J15168">
        <v>0</v>
      </c>
      <c r="K15168" t="str">
        <f>"809"</f>
        <v>809</v>
      </c>
      <c r="L15168">
        <v>279.3</v>
      </c>
    </row>
    <row r="15169" spans="1:12" x14ac:dyDescent="0.25">
      <c r="A15169" t="str">
        <f t="shared" si="2697"/>
        <v>89301000</v>
      </c>
      <c r="B15169" t="str">
        <f>"91997900"</f>
        <v>91997900</v>
      </c>
      <c r="C15169" t="str">
        <f>"91997901"</f>
        <v>91997901</v>
      </c>
      <c r="D15169">
        <v>89301322</v>
      </c>
      <c r="E15169" t="str">
        <f>"5506150716"</f>
        <v>5506150716</v>
      </c>
      <c r="F15169" s="1">
        <v>45260</v>
      </c>
      <c r="G15169" t="str">
        <f>"97111"</f>
        <v>97111</v>
      </c>
      <c r="H15169">
        <v>1</v>
      </c>
      <c r="I15169">
        <v>19</v>
      </c>
      <c r="J15169">
        <v>0</v>
      </c>
      <c r="K15169" t="str">
        <f>"801"</f>
        <v>801</v>
      </c>
      <c r="L15169">
        <v>23.94</v>
      </c>
    </row>
    <row r="15170" spans="1:12" x14ac:dyDescent="0.25">
      <c r="A15170" t="str">
        <f t="shared" ref="A15170:A15233" si="2707">"89301000"</f>
        <v>89301000</v>
      </c>
      <c r="B15170" t="str">
        <f>"91997900"</f>
        <v>91997900</v>
      </c>
      <c r="C15170" t="str">
        <f>"91997901"</f>
        <v>91997901</v>
      </c>
      <c r="D15170">
        <v>89301322</v>
      </c>
      <c r="E15170" t="str">
        <f>"5506150716"</f>
        <v>5506150716</v>
      </c>
      <c r="F15170" s="1">
        <v>45275</v>
      </c>
      <c r="G15170" t="str">
        <f>"92157"</f>
        <v>92157</v>
      </c>
      <c r="H15170">
        <v>1</v>
      </c>
      <c r="I15170">
        <v>1778</v>
      </c>
      <c r="J15170">
        <v>0</v>
      </c>
      <c r="K15170" t="str">
        <f>"801"</f>
        <v>801</v>
      </c>
      <c r="L15170">
        <v>1493.52</v>
      </c>
    </row>
    <row r="15171" spans="1:12" x14ac:dyDescent="0.25">
      <c r="A15171" t="str">
        <f t="shared" si="2707"/>
        <v>89301000</v>
      </c>
      <c r="B15171" t="str">
        <f t="shared" ref="B15171:B15202" si="2708">"89383000"</f>
        <v>89383000</v>
      </c>
      <c r="C15171" t="str">
        <f t="shared" ref="C15171:C15202" si="2709">"89383002"</f>
        <v>89383002</v>
      </c>
      <c r="D15171">
        <v>89301212</v>
      </c>
      <c r="E15171" t="str">
        <f>"7151195315"</f>
        <v>7151195315</v>
      </c>
      <c r="F15171" s="1">
        <v>45261</v>
      </c>
      <c r="G15171" t="str">
        <f>"89180"</f>
        <v>89180</v>
      </c>
      <c r="H15171">
        <v>2</v>
      </c>
      <c r="I15171">
        <v>762</v>
      </c>
      <c r="J15171">
        <v>0</v>
      </c>
      <c r="K15171" t="str">
        <f t="shared" ref="K15171:K15202" si="2710">"809"</f>
        <v>809</v>
      </c>
      <c r="L15171">
        <v>1120.1400000000001</v>
      </c>
    </row>
    <row r="15172" spans="1:12" x14ac:dyDescent="0.25">
      <c r="A15172" t="str">
        <f t="shared" si="2707"/>
        <v>89301000</v>
      </c>
      <c r="B15172" t="str">
        <f t="shared" si="2708"/>
        <v>89383000</v>
      </c>
      <c r="C15172" t="str">
        <f t="shared" si="2709"/>
        <v>89383002</v>
      </c>
      <c r="D15172">
        <v>89301212</v>
      </c>
      <c r="E15172" t="str">
        <f>"7151195315"</f>
        <v>7151195315</v>
      </c>
      <c r="F15172" s="1">
        <v>45261</v>
      </c>
      <c r="G15172" t="str">
        <f>"89512"</f>
        <v>89512</v>
      </c>
      <c r="H15172">
        <v>1</v>
      </c>
      <c r="I15172">
        <v>283</v>
      </c>
      <c r="J15172">
        <v>0</v>
      </c>
      <c r="K15172" t="str">
        <f t="shared" si="2710"/>
        <v>809</v>
      </c>
      <c r="L15172">
        <v>416.01</v>
      </c>
    </row>
    <row r="15173" spans="1:12" x14ac:dyDescent="0.25">
      <c r="A15173" t="str">
        <f t="shared" si="2707"/>
        <v>89301000</v>
      </c>
      <c r="B15173" t="str">
        <f t="shared" si="2708"/>
        <v>89383000</v>
      </c>
      <c r="C15173" t="str">
        <f t="shared" si="2709"/>
        <v>89383002</v>
      </c>
      <c r="D15173">
        <v>89301212</v>
      </c>
      <c r="E15173" t="str">
        <f>"9057246088"</f>
        <v>9057246088</v>
      </c>
      <c r="F15173" s="1">
        <v>45261</v>
      </c>
      <c r="G15173" t="str">
        <f>"89180"</f>
        <v>89180</v>
      </c>
      <c r="H15173">
        <v>2</v>
      </c>
      <c r="I15173">
        <v>762</v>
      </c>
      <c r="J15173">
        <v>0</v>
      </c>
      <c r="K15173" t="str">
        <f t="shared" si="2710"/>
        <v>809</v>
      </c>
      <c r="L15173">
        <v>1120.1400000000001</v>
      </c>
    </row>
    <row r="15174" spans="1:12" x14ac:dyDescent="0.25">
      <c r="A15174" t="str">
        <f t="shared" si="2707"/>
        <v>89301000</v>
      </c>
      <c r="B15174" t="str">
        <f t="shared" si="2708"/>
        <v>89383000</v>
      </c>
      <c r="C15174" t="str">
        <f t="shared" si="2709"/>
        <v>89383002</v>
      </c>
      <c r="D15174">
        <v>89301212</v>
      </c>
      <c r="E15174" t="str">
        <f>"9057246088"</f>
        <v>9057246088</v>
      </c>
      <c r="F15174" s="1">
        <v>45261</v>
      </c>
      <c r="G15174" t="str">
        <f>"89512"</f>
        <v>89512</v>
      </c>
      <c r="H15174">
        <v>1</v>
      </c>
      <c r="I15174">
        <v>283</v>
      </c>
      <c r="J15174">
        <v>0</v>
      </c>
      <c r="K15174" t="str">
        <f t="shared" si="2710"/>
        <v>809</v>
      </c>
      <c r="L15174">
        <v>416.01</v>
      </c>
    </row>
    <row r="15175" spans="1:12" x14ac:dyDescent="0.25">
      <c r="A15175" t="str">
        <f t="shared" si="2707"/>
        <v>89301000</v>
      </c>
      <c r="B15175" t="str">
        <f t="shared" si="2708"/>
        <v>89383000</v>
      </c>
      <c r="C15175" t="str">
        <f t="shared" si="2709"/>
        <v>89383002</v>
      </c>
      <c r="D15175">
        <v>89301212</v>
      </c>
      <c r="E15175" t="str">
        <f>"9057246088"</f>
        <v>9057246088</v>
      </c>
      <c r="F15175" s="1">
        <v>45261</v>
      </c>
      <c r="G15175" t="str">
        <f>"89513"</f>
        <v>89513</v>
      </c>
      <c r="H15175">
        <v>1</v>
      </c>
      <c r="I15175">
        <v>378</v>
      </c>
      <c r="J15175">
        <v>0</v>
      </c>
      <c r="K15175" t="str">
        <f t="shared" si="2710"/>
        <v>809</v>
      </c>
      <c r="L15175">
        <v>555.66</v>
      </c>
    </row>
    <row r="15176" spans="1:12" x14ac:dyDescent="0.25">
      <c r="A15176" t="str">
        <f t="shared" si="2707"/>
        <v>89301000</v>
      </c>
      <c r="B15176" t="str">
        <f t="shared" si="2708"/>
        <v>89383000</v>
      </c>
      <c r="C15176" t="str">
        <f t="shared" si="2709"/>
        <v>89383002</v>
      </c>
      <c r="D15176">
        <v>89301212</v>
      </c>
      <c r="E15176" t="str">
        <f>"9057246088"</f>
        <v>9057246088</v>
      </c>
      <c r="F15176" s="1">
        <v>45261</v>
      </c>
      <c r="G15176" t="str">
        <f>"89514"</f>
        <v>89514</v>
      </c>
      <c r="H15176">
        <v>1</v>
      </c>
      <c r="I15176">
        <v>378</v>
      </c>
      <c r="J15176">
        <v>0</v>
      </c>
      <c r="K15176" t="str">
        <f t="shared" si="2710"/>
        <v>809</v>
      </c>
      <c r="L15176">
        <v>555.66</v>
      </c>
    </row>
    <row r="15177" spans="1:12" x14ac:dyDescent="0.25">
      <c r="A15177" t="str">
        <f t="shared" si="2707"/>
        <v>89301000</v>
      </c>
      <c r="B15177" t="str">
        <f t="shared" si="2708"/>
        <v>89383000</v>
      </c>
      <c r="C15177" t="str">
        <f t="shared" si="2709"/>
        <v>89383002</v>
      </c>
      <c r="D15177">
        <v>89301212</v>
      </c>
      <c r="E15177" t="str">
        <f>"6954269916"</f>
        <v>6954269916</v>
      </c>
      <c r="F15177" s="1">
        <v>45264</v>
      </c>
      <c r="G15177" t="str">
        <f>"89513"</f>
        <v>89513</v>
      </c>
      <c r="H15177">
        <v>1</v>
      </c>
      <c r="I15177">
        <v>378</v>
      </c>
      <c r="J15177">
        <v>0</v>
      </c>
      <c r="K15177" t="str">
        <f t="shared" si="2710"/>
        <v>809</v>
      </c>
      <c r="L15177">
        <v>555.66</v>
      </c>
    </row>
    <row r="15178" spans="1:12" x14ac:dyDescent="0.25">
      <c r="A15178" t="str">
        <f t="shared" si="2707"/>
        <v>89301000</v>
      </c>
      <c r="B15178" t="str">
        <f t="shared" si="2708"/>
        <v>89383000</v>
      </c>
      <c r="C15178" t="str">
        <f t="shared" si="2709"/>
        <v>89383002</v>
      </c>
      <c r="D15178">
        <v>89301212</v>
      </c>
      <c r="E15178" t="str">
        <f>"6954269916"</f>
        <v>6954269916</v>
      </c>
      <c r="F15178" s="1">
        <v>45264</v>
      </c>
      <c r="G15178" t="str">
        <f>"89514"</f>
        <v>89514</v>
      </c>
      <c r="H15178">
        <v>1</v>
      </c>
      <c r="I15178">
        <v>378</v>
      </c>
      <c r="J15178">
        <v>0</v>
      </c>
      <c r="K15178" t="str">
        <f t="shared" si="2710"/>
        <v>809</v>
      </c>
      <c r="L15178">
        <v>555.66</v>
      </c>
    </row>
    <row r="15179" spans="1:12" x14ac:dyDescent="0.25">
      <c r="A15179" t="str">
        <f t="shared" si="2707"/>
        <v>89301000</v>
      </c>
      <c r="B15179" t="str">
        <f t="shared" si="2708"/>
        <v>89383000</v>
      </c>
      <c r="C15179" t="str">
        <f t="shared" si="2709"/>
        <v>89383002</v>
      </c>
      <c r="D15179">
        <v>89301212</v>
      </c>
      <c r="E15179" t="str">
        <f>"8059295343"</f>
        <v>8059295343</v>
      </c>
      <c r="F15179" s="1">
        <v>45264</v>
      </c>
      <c r="G15179" t="str">
        <f>"89180"</f>
        <v>89180</v>
      </c>
      <c r="H15179">
        <v>2</v>
      </c>
      <c r="I15179">
        <v>762</v>
      </c>
      <c r="J15179">
        <v>0</v>
      </c>
      <c r="K15179" t="str">
        <f t="shared" si="2710"/>
        <v>809</v>
      </c>
      <c r="L15179">
        <v>1120.1400000000001</v>
      </c>
    </row>
    <row r="15180" spans="1:12" x14ac:dyDescent="0.25">
      <c r="A15180" t="str">
        <f t="shared" si="2707"/>
        <v>89301000</v>
      </c>
      <c r="B15180" t="str">
        <f t="shared" si="2708"/>
        <v>89383000</v>
      </c>
      <c r="C15180" t="str">
        <f t="shared" si="2709"/>
        <v>89383002</v>
      </c>
      <c r="D15180">
        <v>89301212</v>
      </c>
      <c r="E15180" t="str">
        <f>"8059295343"</f>
        <v>8059295343</v>
      </c>
      <c r="F15180" s="1">
        <v>45264</v>
      </c>
      <c r="G15180" t="str">
        <f>"89512"</f>
        <v>89512</v>
      </c>
      <c r="H15180">
        <v>1</v>
      </c>
      <c r="I15180">
        <v>283</v>
      </c>
      <c r="J15180">
        <v>0</v>
      </c>
      <c r="K15180" t="str">
        <f t="shared" si="2710"/>
        <v>809</v>
      </c>
      <c r="L15180">
        <v>416.01</v>
      </c>
    </row>
    <row r="15181" spans="1:12" x14ac:dyDescent="0.25">
      <c r="A15181" t="str">
        <f t="shared" si="2707"/>
        <v>89301000</v>
      </c>
      <c r="B15181" t="str">
        <f t="shared" si="2708"/>
        <v>89383000</v>
      </c>
      <c r="C15181" t="str">
        <f t="shared" si="2709"/>
        <v>89383002</v>
      </c>
      <c r="D15181">
        <v>89301212</v>
      </c>
      <c r="E15181" t="str">
        <f>"8059295343"</f>
        <v>8059295343</v>
      </c>
      <c r="F15181" s="1">
        <v>45264</v>
      </c>
      <c r="G15181" t="str">
        <f>"89513"</f>
        <v>89513</v>
      </c>
      <c r="H15181">
        <v>1</v>
      </c>
      <c r="I15181">
        <v>378</v>
      </c>
      <c r="J15181">
        <v>0</v>
      </c>
      <c r="K15181" t="str">
        <f t="shared" si="2710"/>
        <v>809</v>
      </c>
      <c r="L15181">
        <v>555.66</v>
      </c>
    </row>
    <row r="15182" spans="1:12" x14ac:dyDescent="0.25">
      <c r="A15182" t="str">
        <f t="shared" si="2707"/>
        <v>89301000</v>
      </c>
      <c r="B15182" t="str">
        <f t="shared" si="2708"/>
        <v>89383000</v>
      </c>
      <c r="C15182" t="str">
        <f t="shared" si="2709"/>
        <v>89383002</v>
      </c>
      <c r="D15182">
        <v>89301212</v>
      </c>
      <c r="E15182" t="str">
        <f>"8059295343"</f>
        <v>8059295343</v>
      </c>
      <c r="F15182" s="1">
        <v>45264</v>
      </c>
      <c r="G15182" t="str">
        <f>"89514"</f>
        <v>89514</v>
      </c>
      <c r="H15182">
        <v>1</v>
      </c>
      <c r="I15182">
        <v>378</v>
      </c>
      <c r="J15182">
        <v>0</v>
      </c>
      <c r="K15182" t="str">
        <f t="shared" si="2710"/>
        <v>809</v>
      </c>
      <c r="L15182">
        <v>555.66</v>
      </c>
    </row>
    <row r="15183" spans="1:12" x14ac:dyDescent="0.25">
      <c r="A15183" t="str">
        <f t="shared" si="2707"/>
        <v>89301000</v>
      </c>
      <c r="B15183" t="str">
        <f t="shared" si="2708"/>
        <v>89383000</v>
      </c>
      <c r="C15183" t="str">
        <f t="shared" si="2709"/>
        <v>89383002</v>
      </c>
      <c r="D15183">
        <v>89301212</v>
      </c>
      <c r="E15183" t="str">
        <f>"7055164710"</f>
        <v>7055164710</v>
      </c>
      <c r="F15183" s="1">
        <v>45264</v>
      </c>
      <c r="G15183" t="str">
        <f>"89512"</f>
        <v>89512</v>
      </c>
      <c r="H15183">
        <v>1</v>
      </c>
      <c r="I15183">
        <v>283</v>
      </c>
      <c r="J15183">
        <v>0</v>
      </c>
      <c r="K15183" t="str">
        <f t="shared" si="2710"/>
        <v>809</v>
      </c>
      <c r="L15183">
        <v>416.01</v>
      </c>
    </row>
    <row r="15184" spans="1:12" x14ac:dyDescent="0.25">
      <c r="A15184" t="str">
        <f t="shared" si="2707"/>
        <v>89301000</v>
      </c>
      <c r="B15184" t="str">
        <f t="shared" si="2708"/>
        <v>89383000</v>
      </c>
      <c r="C15184" t="str">
        <f t="shared" si="2709"/>
        <v>89383002</v>
      </c>
      <c r="D15184">
        <v>89301215</v>
      </c>
      <c r="E15184" t="str">
        <f>"7858025329"</f>
        <v>7858025329</v>
      </c>
      <c r="F15184" s="1">
        <v>45265</v>
      </c>
      <c r="G15184" t="str">
        <f>"89512"</f>
        <v>89512</v>
      </c>
      <c r="H15184">
        <v>1</v>
      </c>
      <c r="I15184">
        <v>283</v>
      </c>
      <c r="J15184">
        <v>0</v>
      </c>
      <c r="K15184" t="str">
        <f t="shared" si="2710"/>
        <v>809</v>
      </c>
      <c r="L15184">
        <v>416.01</v>
      </c>
    </row>
    <row r="15185" spans="1:12" x14ac:dyDescent="0.25">
      <c r="A15185" t="str">
        <f t="shared" si="2707"/>
        <v>89301000</v>
      </c>
      <c r="B15185" t="str">
        <f t="shared" si="2708"/>
        <v>89383000</v>
      </c>
      <c r="C15185" t="str">
        <f t="shared" si="2709"/>
        <v>89383002</v>
      </c>
      <c r="D15185">
        <v>89301212</v>
      </c>
      <c r="E15185" t="str">
        <f>"7055164710"</f>
        <v>7055164710</v>
      </c>
      <c r="F15185" s="1">
        <v>45265</v>
      </c>
      <c r="G15185" t="str">
        <f>"89512"</f>
        <v>89512</v>
      </c>
      <c r="H15185">
        <v>1</v>
      </c>
      <c r="I15185">
        <v>283</v>
      </c>
      <c r="J15185">
        <v>0</v>
      </c>
      <c r="K15185" t="str">
        <f t="shared" si="2710"/>
        <v>809</v>
      </c>
      <c r="L15185">
        <v>416.01</v>
      </c>
    </row>
    <row r="15186" spans="1:12" x14ac:dyDescent="0.25">
      <c r="A15186" t="str">
        <f t="shared" si="2707"/>
        <v>89301000</v>
      </c>
      <c r="B15186" t="str">
        <f t="shared" si="2708"/>
        <v>89383000</v>
      </c>
      <c r="C15186" t="str">
        <f t="shared" si="2709"/>
        <v>89383002</v>
      </c>
      <c r="D15186">
        <v>89301212</v>
      </c>
      <c r="E15186" t="str">
        <f>"7055164710"</f>
        <v>7055164710</v>
      </c>
      <c r="F15186" s="1">
        <v>45265</v>
      </c>
      <c r="G15186" t="str">
        <f>"89311"</f>
        <v>89311</v>
      </c>
      <c r="H15186">
        <v>1</v>
      </c>
      <c r="I15186">
        <v>970</v>
      </c>
      <c r="J15186">
        <v>0</v>
      </c>
      <c r="K15186" t="str">
        <f t="shared" si="2710"/>
        <v>809</v>
      </c>
      <c r="L15186">
        <v>1425.9</v>
      </c>
    </row>
    <row r="15187" spans="1:12" x14ac:dyDescent="0.25">
      <c r="A15187" t="str">
        <f t="shared" si="2707"/>
        <v>89301000</v>
      </c>
      <c r="B15187" t="str">
        <f t="shared" si="2708"/>
        <v>89383000</v>
      </c>
      <c r="C15187" t="str">
        <f t="shared" si="2709"/>
        <v>89383002</v>
      </c>
      <c r="D15187">
        <v>89301215</v>
      </c>
      <c r="E15187" t="str">
        <f t="shared" ref="E15187:E15192" si="2711">"7652245799"</f>
        <v>7652245799</v>
      </c>
      <c r="F15187" s="1">
        <v>45266</v>
      </c>
      <c r="G15187" t="str">
        <f>"89313"</f>
        <v>89313</v>
      </c>
      <c r="H15187">
        <v>1</v>
      </c>
      <c r="I15187">
        <v>420</v>
      </c>
      <c r="J15187">
        <v>0</v>
      </c>
      <c r="K15187" t="str">
        <f t="shared" si="2710"/>
        <v>809</v>
      </c>
      <c r="L15187">
        <v>617.4</v>
      </c>
    </row>
    <row r="15188" spans="1:12" x14ac:dyDescent="0.25">
      <c r="A15188" t="str">
        <f t="shared" si="2707"/>
        <v>89301000</v>
      </c>
      <c r="B15188" t="str">
        <f t="shared" si="2708"/>
        <v>89383000</v>
      </c>
      <c r="C15188" t="str">
        <f t="shared" si="2709"/>
        <v>89383002</v>
      </c>
      <c r="D15188">
        <v>89301215</v>
      </c>
      <c r="E15188" t="str">
        <f t="shared" si="2711"/>
        <v>7652245799</v>
      </c>
      <c r="F15188" s="1">
        <v>45266</v>
      </c>
      <c r="G15188" t="str">
        <f>"09233"</f>
        <v>09233</v>
      </c>
      <c r="H15188">
        <v>1</v>
      </c>
      <c r="I15188">
        <v>102</v>
      </c>
      <c r="J15188">
        <v>0</v>
      </c>
      <c r="K15188" t="str">
        <f t="shared" si="2710"/>
        <v>809</v>
      </c>
      <c r="L15188">
        <v>149.94</v>
      </c>
    </row>
    <row r="15189" spans="1:12" x14ac:dyDescent="0.25">
      <c r="A15189" t="str">
        <f t="shared" si="2707"/>
        <v>89301000</v>
      </c>
      <c r="B15189" t="str">
        <f t="shared" si="2708"/>
        <v>89383000</v>
      </c>
      <c r="C15189" t="str">
        <f t="shared" si="2709"/>
        <v>89383002</v>
      </c>
      <c r="D15189">
        <v>89301215</v>
      </c>
      <c r="E15189" t="str">
        <f t="shared" si="2711"/>
        <v>7652245799</v>
      </c>
      <c r="F15189" s="1">
        <v>45266</v>
      </c>
      <c r="G15189" t="str">
        <f>"89515"</f>
        <v>89515</v>
      </c>
      <c r="H15189">
        <v>1</v>
      </c>
      <c r="I15189">
        <v>347</v>
      </c>
      <c r="J15189">
        <v>0</v>
      </c>
      <c r="K15189" t="str">
        <f t="shared" si="2710"/>
        <v>809</v>
      </c>
      <c r="L15189">
        <v>510.09</v>
      </c>
    </row>
    <row r="15190" spans="1:12" x14ac:dyDescent="0.25">
      <c r="A15190" t="str">
        <f t="shared" si="2707"/>
        <v>89301000</v>
      </c>
      <c r="B15190" t="str">
        <f t="shared" si="2708"/>
        <v>89383000</v>
      </c>
      <c r="C15190" t="str">
        <f t="shared" si="2709"/>
        <v>89383002</v>
      </c>
      <c r="D15190">
        <v>89301215</v>
      </c>
      <c r="E15190" t="str">
        <f t="shared" si="2711"/>
        <v>7652245799</v>
      </c>
      <c r="F15190" s="1">
        <v>45266</v>
      </c>
      <c r="G15190" t="str">
        <f>"89512"</f>
        <v>89512</v>
      </c>
      <c r="H15190">
        <v>1</v>
      </c>
      <c r="I15190">
        <v>283</v>
      </c>
      <c r="J15190">
        <v>0</v>
      </c>
      <c r="K15190" t="str">
        <f t="shared" si="2710"/>
        <v>809</v>
      </c>
      <c r="L15190">
        <v>416.01</v>
      </c>
    </row>
    <row r="15191" spans="1:12" x14ac:dyDescent="0.25">
      <c r="A15191" t="str">
        <f t="shared" si="2707"/>
        <v>89301000</v>
      </c>
      <c r="B15191" t="str">
        <f t="shared" si="2708"/>
        <v>89383000</v>
      </c>
      <c r="C15191" t="str">
        <f t="shared" si="2709"/>
        <v>89383002</v>
      </c>
      <c r="D15191">
        <v>89301215</v>
      </c>
      <c r="E15191" t="str">
        <f t="shared" si="2711"/>
        <v>7652245799</v>
      </c>
      <c r="F15191" s="1">
        <v>45266</v>
      </c>
      <c r="G15191" t="str">
        <f>"0093109"</f>
        <v>0093109</v>
      </c>
      <c r="H15191">
        <v>0.2</v>
      </c>
      <c r="J15191">
        <v>54.2</v>
      </c>
      <c r="K15191" t="str">
        <f t="shared" si="2710"/>
        <v>809</v>
      </c>
      <c r="L15191">
        <v>54.2</v>
      </c>
    </row>
    <row r="15192" spans="1:12" x14ac:dyDescent="0.25">
      <c r="A15192" t="str">
        <f t="shared" si="2707"/>
        <v>89301000</v>
      </c>
      <c r="B15192" t="str">
        <f t="shared" si="2708"/>
        <v>89383000</v>
      </c>
      <c r="C15192" t="str">
        <f t="shared" si="2709"/>
        <v>89383002</v>
      </c>
      <c r="D15192">
        <v>89301215</v>
      </c>
      <c r="E15192" t="str">
        <f t="shared" si="2711"/>
        <v>7652245799</v>
      </c>
      <c r="F15192" s="1">
        <v>45266</v>
      </c>
      <c r="G15192" t="str">
        <f>"0142908"</f>
        <v>0142908</v>
      </c>
      <c r="H15192">
        <v>1</v>
      </c>
      <c r="J15192">
        <v>910</v>
      </c>
      <c r="K15192" t="str">
        <f t="shared" si="2710"/>
        <v>809</v>
      </c>
      <c r="L15192">
        <v>910</v>
      </c>
    </row>
    <row r="15193" spans="1:12" x14ac:dyDescent="0.25">
      <c r="A15193" t="str">
        <f t="shared" si="2707"/>
        <v>89301000</v>
      </c>
      <c r="B15193" t="str">
        <f t="shared" si="2708"/>
        <v>89383000</v>
      </c>
      <c r="C15193" t="str">
        <f t="shared" si="2709"/>
        <v>89383002</v>
      </c>
      <c r="D15193">
        <v>89301045</v>
      </c>
      <c r="E15193" t="str">
        <f>"7454275312"</f>
        <v>7454275312</v>
      </c>
      <c r="F15193" s="1">
        <v>45266</v>
      </c>
      <c r="G15193" t="str">
        <f>"89313"</f>
        <v>89313</v>
      </c>
      <c r="H15193">
        <v>1</v>
      </c>
      <c r="I15193">
        <v>420</v>
      </c>
      <c r="J15193">
        <v>0</v>
      </c>
      <c r="K15193" t="str">
        <f t="shared" si="2710"/>
        <v>809</v>
      </c>
      <c r="L15193">
        <v>617.4</v>
      </c>
    </row>
    <row r="15194" spans="1:12" x14ac:dyDescent="0.25">
      <c r="A15194" t="str">
        <f t="shared" si="2707"/>
        <v>89301000</v>
      </c>
      <c r="B15194" t="str">
        <f t="shared" si="2708"/>
        <v>89383000</v>
      </c>
      <c r="C15194" t="str">
        <f t="shared" si="2709"/>
        <v>89383002</v>
      </c>
      <c r="D15194">
        <v>89301045</v>
      </c>
      <c r="E15194" t="str">
        <f>"7454275312"</f>
        <v>7454275312</v>
      </c>
      <c r="F15194" s="1">
        <v>45266</v>
      </c>
      <c r="G15194" t="str">
        <f>"09233"</f>
        <v>09233</v>
      </c>
      <c r="H15194">
        <v>1</v>
      </c>
      <c r="I15194">
        <v>102</v>
      </c>
      <c r="J15194">
        <v>0</v>
      </c>
      <c r="K15194" t="str">
        <f t="shared" si="2710"/>
        <v>809</v>
      </c>
      <c r="L15194">
        <v>149.94</v>
      </c>
    </row>
    <row r="15195" spans="1:12" x14ac:dyDescent="0.25">
      <c r="A15195" t="str">
        <f t="shared" si="2707"/>
        <v>89301000</v>
      </c>
      <c r="B15195" t="str">
        <f t="shared" si="2708"/>
        <v>89383000</v>
      </c>
      <c r="C15195" t="str">
        <f t="shared" si="2709"/>
        <v>89383002</v>
      </c>
      <c r="D15195">
        <v>89301045</v>
      </c>
      <c r="E15195" t="str">
        <f>"7454275312"</f>
        <v>7454275312</v>
      </c>
      <c r="F15195" s="1">
        <v>45266</v>
      </c>
      <c r="G15195" t="str">
        <f>"89512"</f>
        <v>89512</v>
      </c>
      <c r="H15195">
        <v>1</v>
      </c>
      <c r="I15195">
        <v>283</v>
      </c>
      <c r="J15195">
        <v>0</v>
      </c>
      <c r="K15195" t="str">
        <f t="shared" si="2710"/>
        <v>809</v>
      </c>
      <c r="L15195">
        <v>416.01</v>
      </c>
    </row>
    <row r="15196" spans="1:12" x14ac:dyDescent="0.25">
      <c r="A15196" t="str">
        <f t="shared" si="2707"/>
        <v>89301000</v>
      </c>
      <c r="B15196" t="str">
        <f t="shared" si="2708"/>
        <v>89383000</v>
      </c>
      <c r="C15196" t="str">
        <f t="shared" si="2709"/>
        <v>89383002</v>
      </c>
      <c r="D15196">
        <v>89301045</v>
      </c>
      <c r="E15196" t="str">
        <f>"7454275312"</f>
        <v>7454275312</v>
      </c>
      <c r="F15196" s="1">
        <v>45266</v>
      </c>
      <c r="G15196" t="str">
        <f>"0093109"</f>
        <v>0093109</v>
      </c>
      <c r="H15196">
        <v>0.2</v>
      </c>
      <c r="J15196">
        <v>54.2</v>
      </c>
      <c r="K15196" t="str">
        <f t="shared" si="2710"/>
        <v>809</v>
      </c>
      <c r="L15196">
        <v>54.2</v>
      </c>
    </row>
    <row r="15197" spans="1:12" x14ac:dyDescent="0.25">
      <c r="A15197" t="str">
        <f t="shared" si="2707"/>
        <v>89301000</v>
      </c>
      <c r="B15197" t="str">
        <f t="shared" si="2708"/>
        <v>89383000</v>
      </c>
      <c r="C15197" t="str">
        <f t="shared" si="2709"/>
        <v>89383002</v>
      </c>
      <c r="D15197">
        <v>89301045</v>
      </c>
      <c r="E15197" t="str">
        <f>"7454275312"</f>
        <v>7454275312</v>
      </c>
      <c r="F15197" s="1">
        <v>45266</v>
      </c>
      <c r="G15197" t="str">
        <f>"0142906"</f>
        <v>0142906</v>
      </c>
      <c r="H15197">
        <v>1</v>
      </c>
      <c r="J15197">
        <v>6990</v>
      </c>
      <c r="K15197" t="str">
        <f t="shared" si="2710"/>
        <v>809</v>
      </c>
      <c r="L15197">
        <v>6990</v>
      </c>
    </row>
    <row r="15198" spans="1:12" x14ac:dyDescent="0.25">
      <c r="A15198" t="str">
        <f t="shared" si="2707"/>
        <v>89301000</v>
      </c>
      <c r="B15198" t="str">
        <f t="shared" si="2708"/>
        <v>89383000</v>
      </c>
      <c r="C15198" t="str">
        <f t="shared" si="2709"/>
        <v>89383002</v>
      </c>
      <c r="D15198">
        <v>89301212</v>
      </c>
      <c r="E15198" t="str">
        <f>"7855023616"</f>
        <v>7855023616</v>
      </c>
      <c r="F15198" s="1">
        <v>45266</v>
      </c>
      <c r="G15198" t="str">
        <f>"89512"</f>
        <v>89512</v>
      </c>
      <c r="H15198">
        <v>1</v>
      </c>
      <c r="I15198">
        <v>283</v>
      </c>
      <c r="J15198">
        <v>0</v>
      </c>
      <c r="K15198" t="str">
        <f t="shared" si="2710"/>
        <v>809</v>
      </c>
      <c r="L15198">
        <v>416.01</v>
      </c>
    </row>
    <row r="15199" spans="1:12" x14ac:dyDescent="0.25">
      <c r="A15199" t="str">
        <f t="shared" si="2707"/>
        <v>89301000</v>
      </c>
      <c r="B15199" t="str">
        <f t="shared" si="2708"/>
        <v>89383000</v>
      </c>
      <c r="C15199" t="str">
        <f t="shared" si="2709"/>
        <v>89383002</v>
      </c>
      <c r="D15199">
        <v>89301042</v>
      </c>
      <c r="E15199" t="str">
        <f>"7061285308"</f>
        <v>7061285308</v>
      </c>
      <c r="F15199" s="1">
        <v>45266</v>
      </c>
      <c r="G15199" t="str">
        <f>"89313"</f>
        <v>89313</v>
      </c>
      <c r="H15199">
        <v>1</v>
      </c>
      <c r="I15199">
        <v>420</v>
      </c>
      <c r="J15199">
        <v>0</v>
      </c>
      <c r="K15199" t="str">
        <f t="shared" si="2710"/>
        <v>809</v>
      </c>
      <c r="L15199">
        <v>617.4</v>
      </c>
    </row>
    <row r="15200" spans="1:12" x14ac:dyDescent="0.25">
      <c r="A15200" t="str">
        <f t="shared" si="2707"/>
        <v>89301000</v>
      </c>
      <c r="B15200" t="str">
        <f t="shared" si="2708"/>
        <v>89383000</v>
      </c>
      <c r="C15200" t="str">
        <f t="shared" si="2709"/>
        <v>89383002</v>
      </c>
      <c r="D15200">
        <v>89301042</v>
      </c>
      <c r="E15200" t="str">
        <f>"7061285308"</f>
        <v>7061285308</v>
      </c>
      <c r="F15200" s="1">
        <v>45266</v>
      </c>
      <c r="G15200" t="str">
        <f>"09233"</f>
        <v>09233</v>
      </c>
      <c r="H15200">
        <v>1</v>
      </c>
      <c r="I15200">
        <v>102</v>
      </c>
      <c r="J15200">
        <v>0</v>
      </c>
      <c r="K15200" t="str">
        <f t="shared" si="2710"/>
        <v>809</v>
      </c>
      <c r="L15200">
        <v>149.94</v>
      </c>
    </row>
    <row r="15201" spans="1:12" x14ac:dyDescent="0.25">
      <c r="A15201" t="str">
        <f t="shared" si="2707"/>
        <v>89301000</v>
      </c>
      <c r="B15201" t="str">
        <f t="shared" si="2708"/>
        <v>89383000</v>
      </c>
      <c r="C15201" t="str">
        <f t="shared" si="2709"/>
        <v>89383002</v>
      </c>
      <c r="D15201">
        <v>89301042</v>
      </c>
      <c r="E15201" t="str">
        <f>"7061285308"</f>
        <v>7061285308</v>
      </c>
      <c r="F15201" s="1">
        <v>45266</v>
      </c>
      <c r="G15201" t="str">
        <f>"89512"</f>
        <v>89512</v>
      </c>
      <c r="H15201">
        <v>1</v>
      </c>
      <c r="I15201">
        <v>283</v>
      </c>
      <c r="J15201">
        <v>0</v>
      </c>
      <c r="K15201" t="str">
        <f t="shared" si="2710"/>
        <v>809</v>
      </c>
      <c r="L15201">
        <v>416.01</v>
      </c>
    </row>
    <row r="15202" spans="1:12" x14ac:dyDescent="0.25">
      <c r="A15202" t="str">
        <f t="shared" si="2707"/>
        <v>89301000</v>
      </c>
      <c r="B15202" t="str">
        <f t="shared" si="2708"/>
        <v>89383000</v>
      </c>
      <c r="C15202" t="str">
        <f t="shared" si="2709"/>
        <v>89383002</v>
      </c>
      <c r="D15202">
        <v>89301042</v>
      </c>
      <c r="E15202" t="str">
        <f>"7061285308"</f>
        <v>7061285308</v>
      </c>
      <c r="F15202" s="1">
        <v>45266</v>
      </c>
      <c r="G15202" t="str">
        <f>"0093109"</f>
        <v>0093109</v>
      </c>
      <c r="H15202">
        <v>0.2</v>
      </c>
      <c r="J15202">
        <v>54.2</v>
      </c>
      <c r="K15202" t="str">
        <f t="shared" si="2710"/>
        <v>809</v>
      </c>
      <c r="L15202">
        <v>54.2</v>
      </c>
    </row>
    <row r="15203" spans="1:12" x14ac:dyDescent="0.25">
      <c r="A15203" t="str">
        <f t="shared" si="2707"/>
        <v>89301000</v>
      </c>
      <c r="B15203" t="str">
        <f t="shared" ref="B15203:B15234" si="2712">"89383000"</f>
        <v>89383000</v>
      </c>
      <c r="C15203" t="str">
        <f t="shared" ref="C15203:C15234" si="2713">"89383002"</f>
        <v>89383002</v>
      </c>
      <c r="D15203">
        <v>89301042</v>
      </c>
      <c r="E15203" t="str">
        <f>"7061285308"</f>
        <v>7061285308</v>
      </c>
      <c r="F15203" s="1">
        <v>45266</v>
      </c>
      <c r="G15203" t="str">
        <f>"0142906"</f>
        <v>0142906</v>
      </c>
      <c r="H15203">
        <v>1</v>
      </c>
      <c r="J15203">
        <v>6990</v>
      </c>
      <c r="K15203" t="str">
        <f t="shared" ref="K15203:K15234" si="2714">"809"</f>
        <v>809</v>
      </c>
      <c r="L15203">
        <v>6990</v>
      </c>
    </row>
    <row r="15204" spans="1:12" x14ac:dyDescent="0.25">
      <c r="A15204" t="str">
        <f t="shared" si="2707"/>
        <v>89301000</v>
      </c>
      <c r="B15204" t="str">
        <f t="shared" si="2712"/>
        <v>89383000</v>
      </c>
      <c r="C15204" t="str">
        <f t="shared" si="2713"/>
        <v>89383002</v>
      </c>
      <c r="D15204">
        <v>89301212</v>
      </c>
      <c r="E15204" t="str">
        <f>"505105165"</f>
        <v>505105165</v>
      </c>
      <c r="F15204" s="1">
        <v>45267</v>
      </c>
      <c r="G15204" t="str">
        <f>"89180"</f>
        <v>89180</v>
      </c>
      <c r="H15204">
        <v>2</v>
      </c>
      <c r="I15204">
        <v>762</v>
      </c>
      <c r="J15204">
        <v>0</v>
      </c>
      <c r="K15204" t="str">
        <f t="shared" si="2714"/>
        <v>809</v>
      </c>
      <c r="L15204">
        <v>1120.1400000000001</v>
      </c>
    </row>
    <row r="15205" spans="1:12" x14ac:dyDescent="0.25">
      <c r="A15205" t="str">
        <f t="shared" si="2707"/>
        <v>89301000</v>
      </c>
      <c r="B15205" t="str">
        <f t="shared" si="2712"/>
        <v>89383000</v>
      </c>
      <c r="C15205" t="str">
        <f t="shared" si="2713"/>
        <v>89383002</v>
      </c>
      <c r="D15205">
        <v>89301212</v>
      </c>
      <c r="E15205" t="str">
        <f>"505105165"</f>
        <v>505105165</v>
      </c>
      <c r="F15205" s="1">
        <v>45267</v>
      </c>
      <c r="G15205" t="str">
        <f>"89512"</f>
        <v>89512</v>
      </c>
      <c r="H15205">
        <v>1</v>
      </c>
      <c r="I15205">
        <v>283</v>
      </c>
      <c r="J15205">
        <v>0</v>
      </c>
      <c r="K15205" t="str">
        <f t="shared" si="2714"/>
        <v>809</v>
      </c>
      <c r="L15205">
        <v>416.01</v>
      </c>
    </row>
    <row r="15206" spans="1:12" x14ac:dyDescent="0.25">
      <c r="A15206" t="str">
        <f t="shared" si="2707"/>
        <v>89301000</v>
      </c>
      <c r="B15206" t="str">
        <f t="shared" si="2712"/>
        <v>89383000</v>
      </c>
      <c r="C15206" t="str">
        <f t="shared" si="2713"/>
        <v>89383002</v>
      </c>
      <c r="D15206">
        <v>89301042</v>
      </c>
      <c r="E15206" t="str">
        <f>"505105165"</f>
        <v>505105165</v>
      </c>
      <c r="F15206" s="1">
        <v>45267</v>
      </c>
      <c r="G15206" t="str">
        <f>"89513"</f>
        <v>89513</v>
      </c>
      <c r="H15206">
        <v>1</v>
      </c>
      <c r="I15206">
        <v>378</v>
      </c>
      <c r="J15206">
        <v>0</v>
      </c>
      <c r="K15206" t="str">
        <f t="shared" si="2714"/>
        <v>809</v>
      </c>
      <c r="L15206">
        <v>555.66</v>
      </c>
    </row>
    <row r="15207" spans="1:12" x14ac:dyDescent="0.25">
      <c r="A15207" t="str">
        <f t="shared" si="2707"/>
        <v>89301000</v>
      </c>
      <c r="B15207" t="str">
        <f t="shared" si="2712"/>
        <v>89383000</v>
      </c>
      <c r="C15207" t="str">
        <f t="shared" si="2713"/>
        <v>89383002</v>
      </c>
      <c r="D15207">
        <v>89301042</v>
      </c>
      <c r="E15207" t="str">
        <f>"505105165"</f>
        <v>505105165</v>
      </c>
      <c r="F15207" s="1">
        <v>45267</v>
      </c>
      <c r="G15207" t="str">
        <f>"89514"</f>
        <v>89514</v>
      </c>
      <c r="H15207">
        <v>1</v>
      </c>
      <c r="I15207">
        <v>378</v>
      </c>
      <c r="J15207">
        <v>0</v>
      </c>
      <c r="K15207" t="str">
        <f t="shared" si="2714"/>
        <v>809</v>
      </c>
      <c r="L15207">
        <v>555.66</v>
      </c>
    </row>
    <row r="15208" spans="1:12" x14ac:dyDescent="0.25">
      <c r="A15208" t="str">
        <f t="shared" si="2707"/>
        <v>89301000</v>
      </c>
      <c r="B15208" t="str">
        <f t="shared" si="2712"/>
        <v>89383000</v>
      </c>
      <c r="C15208" t="str">
        <f t="shared" si="2713"/>
        <v>89383002</v>
      </c>
      <c r="D15208">
        <v>89301212</v>
      </c>
      <c r="E15208" t="str">
        <f>"6160121671"</f>
        <v>6160121671</v>
      </c>
      <c r="F15208" s="1">
        <v>45268</v>
      </c>
      <c r="G15208" t="str">
        <f>"89180"</f>
        <v>89180</v>
      </c>
      <c r="H15208">
        <v>2</v>
      </c>
      <c r="I15208">
        <v>762</v>
      </c>
      <c r="J15208">
        <v>0</v>
      </c>
      <c r="K15208" t="str">
        <f t="shared" si="2714"/>
        <v>809</v>
      </c>
      <c r="L15208">
        <v>1120.1400000000001</v>
      </c>
    </row>
    <row r="15209" spans="1:12" x14ac:dyDescent="0.25">
      <c r="A15209" t="str">
        <f t="shared" si="2707"/>
        <v>89301000</v>
      </c>
      <c r="B15209" t="str">
        <f t="shared" si="2712"/>
        <v>89383000</v>
      </c>
      <c r="C15209" t="str">
        <f t="shared" si="2713"/>
        <v>89383002</v>
      </c>
      <c r="D15209">
        <v>89301212</v>
      </c>
      <c r="E15209" t="str">
        <f>"6160121671"</f>
        <v>6160121671</v>
      </c>
      <c r="F15209" s="1">
        <v>45268</v>
      </c>
      <c r="G15209" t="str">
        <f>"89512"</f>
        <v>89512</v>
      </c>
      <c r="H15209">
        <v>1</v>
      </c>
      <c r="I15209">
        <v>283</v>
      </c>
      <c r="J15209">
        <v>0</v>
      </c>
      <c r="K15209" t="str">
        <f t="shared" si="2714"/>
        <v>809</v>
      </c>
      <c r="L15209">
        <v>416.01</v>
      </c>
    </row>
    <row r="15210" spans="1:12" x14ac:dyDescent="0.25">
      <c r="A15210" t="str">
        <f t="shared" si="2707"/>
        <v>89301000</v>
      </c>
      <c r="B15210" t="str">
        <f t="shared" si="2712"/>
        <v>89383000</v>
      </c>
      <c r="C15210" t="str">
        <f t="shared" si="2713"/>
        <v>89383002</v>
      </c>
      <c r="D15210">
        <v>89301212</v>
      </c>
      <c r="E15210" t="str">
        <f>"6160121671"</f>
        <v>6160121671</v>
      </c>
      <c r="F15210" s="1">
        <v>45268</v>
      </c>
      <c r="G15210" t="str">
        <f>"89513"</f>
        <v>89513</v>
      </c>
      <c r="H15210">
        <v>1</v>
      </c>
      <c r="I15210">
        <v>378</v>
      </c>
      <c r="J15210">
        <v>0</v>
      </c>
      <c r="K15210" t="str">
        <f t="shared" si="2714"/>
        <v>809</v>
      </c>
      <c r="L15210">
        <v>555.66</v>
      </c>
    </row>
    <row r="15211" spans="1:12" x14ac:dyDescent="0.25">
      <c r="A15211" t="str">
        <f t="shared" si="2707"/>
        <v>89301000</v>
      </c>
      <c r="B15211" t="str">
        <f t="shared" si="2712"/>
        <v>89383000</v>
      </c>
      <c r="C15211" t="str">
        <f t="shared" si="2713"/>
        <v>89383002</v>
      </c>
      <c r="D15211">
        <v>89301212</v>
      </c>
      <c r="E15211" t="str">
        <f>"6160121671"</f>
        <v>6160121671</v>
      </c>
      <c r="F15211" s="1">
        <v>45268</v>
      </c>
      <c r="G15211" t="str">
        <f>"89514"</f>
        <v>89514</v>
      </c>
      <c r="H15211">
        <v>1</v>
      </c>
      <c r="I15211">
        <v>378</v>
      </c>
      <c r="J15211">
        <v>0</v>
      </c>
      <c r="K15211" t="str">
        <f t="shared" si="2714"/>
        <v>809</v>
      </c>
      <c r="L15211">
        <v>555.66</v>
      </c>
    </row>
    <row r="15212" spans="1:12" x14ac:dyDescent="0.25">
      <c r="A15212" t="str">
        <f t="shared" si="2707"/>
        <v>89301000</v>
      </c>
      <c r="B15212" t="str">
        <f t="shared" si="2712"/>
        <v>89383000</v>
      </c>
      <c r="C15212" t="str">
        <f t="shared" si="2713"/>
        <v>89383002</v>
      </c>
      <c r="D15212">
        <v>89301212</v>
      </c>
      <c r="E15212" t="str">
        <f>"7155031213"</f>
        <v>7155031213</v>
      </c>
      <c r="F15212" s="1">
        <v>45268</v>
      </c>
      <c r="G15212" t="str">
        <f>"89180"</f>
        <v>89180</v>
      </c>
      <c r="H15212">
        <v>2</v>
      </c>
      <c r="I15212">
        <v>762</v>
      </c>
      <c r="J15212">
        <v>0</v>
      </c>
      <c r="K15212" t="str">
        <f t="shared" si="2714"/>
        <v>809</v>
      </c>
      <c r="L15212">
        <v>1120.1400000000001</v>
      </c>
    </row>
    <row r="15213" spans="1:12" x14ac:dyDescent="0.25">
      <c r="A15213" t="str">
        <f t="shared" si="2707"/>
        <v>89301000</v>
      </c>
      <c r="B15213" t="str">
        <f t="shared" si="2712"/>
        <v>89383000</v>
      </c>
      <c r="C15213" t="str">
        <f t="shared" si="2713"/>
        <v>89383002</v>
      </c>
      <c r="D15213">
        <v>89301212</v>
      </c>
      <c r="E15213" t="str">
        <f>"7155031213"</f>
        <v>7155031213</v>
      </c>
      <c r="F15213" s="1">
        <v>45268</v>
      </c>
      <c r="G15213" t="str">
        <f>"89512"</f>
        <v>89512</v>
      </c>
      <c r="H15213">
        <v>1</v>
      </c>
      <c r="I15213">
        <v>283</v>
      </c>
      <c r="J15213">
        <v>0</v>
      </c>
      <c r="K15213" t="str">
        <f t="shared" si="2714"/>
        <v>809</v>
      </c>
      <c r="L15213">
        <v>416.01</v>
      </c>
    </row>
    <row r="15214" spans="1:12" x14ac:dyDescent="0.25">
      <c r="A15214" t="str">
        <f t="shared" si="2707"/>
        <v>89301000</v>
      </c>
      <c r="B15214" t="str">
        <f t="shared" si="2712"/>
        <v>89383000</v>
      </c>
      <c r="C15214" t="str">
        <f t="shared" si="2713"/>
        <v>89383002</v>
      </c>
      <c r="D15214">
        <v>89301212</v>
      </c>
      <c r="E15214" t="str">
        <f>"7155031213"</f>
        <v>7155031213</v>
      </c>
      <c r="F15214" s="1">
        <v>45268</v>
      </c>
      <c r="G15214" t="str">
        <f>"89513"</f>
        <v>89513</v>
      </c>
      <c r="H15214">
        <v>1</v>
      </c>
      <c r="I15214">
        <v>378</v>
      </c>
      <c r="J15214">
        <v>0</v>
      </c>
      <c r="K15214" t="str">
        <f t="shared" si="2714"/>
        <v>809</v>
      </c>
      <c r="L15214">
        <v>555.66</v>
      </c>
    </row>
    <row r="15215" spans="1:12" x14ac:dyDescent="0.25">
      <c r="A15215" t="str">
        <f t="shared" si="2707"/>
        <v>89301000</v>
      </c>
      <c r="B15215" t="str">
        <f t="shared" si="2712"/>
        <v>89383000</v>
      </c>
      <c r="C15215" t="str">
        <f t="shared" si="2713"/>
        <v>89383002</v>
      </c>
      <c r="D15215">
        <v>89301212</v>
      </c>
      <c r="E15215" t="str">
        <f>"7155031213"</f>
        <v>7155031213</v>
      </c>
      <c r="F15215" s="1">
        <v>45268</v>
      </c>
      <c r="G15215" t="str">
        <f>"89514"</f>
        <v>89514</v>
      </c>
      <c r="H15215">
        <v>1</v>
      </c>
      <c r="I15215">
        <v>378</v>
      </c>
      <c r="J15215">
        <v>0</v>
      </c>
      <c r="K15215" t="str">
        <f t="shared" si="2714"/>
        <v>809</v>
      </c>
      <c r="L15215">
        <v>555.66</v>
      </c>
    </row>
    <row r="15216" spans="1:12" x14ac:dyDescent="0.25">
      <c r="A15216" t="str">
        <f t="shared" si="2707"/>
        <v>89301000</v>
      </c>
      <c r="B15216" t="str">
        <f t="shared" si="2712"/>
        <v>89383000</v>
      </c>
      <c r="C15216" t="str">
        <f t="shared" si="2713"/>
        <v>89383002</v>
      </c>
      <c r="D15216">
        <v>89301212</v>
      </c>
      <c r="E15216" t="str">
        <f>"7651292264"</f>
        <v>7651292264</v>
      </c>
      <c r="F15216" s="1">
        <v>45268</v>
      </c>
      <c r="G15216" t="str">
        <f>"89512"</f>
        <v>89512</v>
      </c>
      <c r="H15216">
        <v>1</v>
      </c>
      <c r="I15216">
        <v>283</v>
      </c>
      <c r="J15216">
        <v>0</v>
      </c>
      <c r="K15216" t="str">
        <f t="shared" si="2714"/>
        <v>809</v>
      </c>
      <c r="L15216">
        <v>416.01</v>
      </c>
    </row>
    <row r="15217" spans="1:12" x14ac:dyDescent="0.25">
      <c r="A15217" t="str">
        <f t="shared" si="2707"/>
        <v>89301000</v>
      </c>
      <c r="B15217" t="str">
        <f t="shared" si="2712"/>
        <v>89383000</v>
      </c>
      <c r="C15217" t="str">
        <f t="shared" si="2713"/>
        <v>89383002</v>
      </c>
      <c r="D15217">
        <v>89301212</v>
      </c>
      <c r="E15217" t="str">
        <f>"515729119"</f>
        <v>515729119</v>
      </c>
      <c r="F15217" s="1">
        <v>45268</v>
      </c>
      <c r="G15217" t="str">
        <f>"89180"</f>
        <v>89180</v>
      </c>
      <c r="H15217">
        <v>2</v>
      </c>
      <c r="I15217">
        <v>762</v>
      </c>
      <c r="J15217">
        <v>0</v>
      </c>
      <c r="K15217" t="str">
        <f t="shared" si="2714"/>
        <v>809</v>
      </c>
      <c r="L15217">
        <v>1120.1400000000001</v>
      </c>
    </row>
    <row r="15218" spans="1:12" x14ac:dyDescent="0.25">
      <c r="A15218" t="str">
        <f t="shared" si="2707"/>
        <v>89301000</v>
      </c>
      <c r="B15218" t="str">
        <f t="shared" si="2712"/>
        <v>89383000</v>
      </c>
      <c r="C15218" t="str">
        <f t="shared" si="2713"/>
        <v>89383002</v>
      </c>
      <c r="D15218">
        <v>89301212</v>
      </c>
      <c r="E15218" t="str">
        <f>"515729119"</f>
        <v>515729119</v>
      </c>
      <c r="F15218" s="1">
        <v>45268</v>
      </c>
      <c r="G15218" t="str">
        <f>"89512"</f>
        <v>89512</v>
      </c>
      <c r="H15218">
        <v>1</v>
      </c>
      <c r="I15218">
        <v>283</v>
      </c>
      <c r="J15218">
        <v>0</v>
      </c>
      <c r="K15218" t="str">
        <f t="shared" si="2714"/>
        <v>809</v>
      </c>
      <c r="L15218">
        <v>416.01</v>
      </c>
    </row>
    <row r="15219" spans="1:12" x14ac:dyDescent="0.25">
      <c r="A15219" t="str">
        <f t="shared" si="2707"/>
        <v>89301000</v>
      </c>
      <c r="B15219" t="str">
        <f t="shared" si="2712"/>
        <v>89383000</v>
      </c>
      <c r="C15219" t="str">
        <f t="shared" si="2713"/>
        <v>89383002</v>
      </c>
      <c r="D15219">
        <v>89301212</v>
      </c>
      <c r="E15219" t="str">
        <f>"8659135771"</f>
        <v>8659135771</v>
      </c>
      <c r="F15219" s="1">
        <v>45268</v>
      </c>
      <c r="G15219" t="str">
        <f>"89512"</f>
        <v>89512</v>
      </c>
      <c r="H15219">
        <v>1</v>
      </c>
      <c r="I15219">
        <v>283</v>
      </c>
      <c r="J15219">
        <v>0</v>
      </c>
      <c r="K15219" t="str">
        <f t="shared" si="2714"/>
        <v>809</v>
      </c>
      <c r="L15219">
        <v>416.01</v>
      </c>
    </row>
    <row r="15220" spans="1:12" x14ac:dyDescent="0.25">
      <c r="A15220" t="str">
        <f t="shared" si="2707"/>
        <v>89301000</v>
      </c>
      <c r="B15220" t="str">
        <f t="shared" si="2712"/>
        <v>89383000</v>
      </c>
      <c r="C15220" t="str">
        <f t="shared" si="2713"/>
        <v>89383002</v>
      </c>
      <c r="D15220">
        <v>89301212</v>
      </c>
      <c r="E15220" t="str">
        <f>"7054195368"</f>
        <v>7054195368</v>
      </c>
      <c r="F15220" s="1">
        <v>45268</v>
      </c>
      <c r="G15220" t="str">
        <f>"89512"</f>
        <v>89512</v>
      </c>
      <c r="H15220">
        <v>1</v>
      </c>
      <c r="I15220">
        <v>283</v>
      </c>
      <c r="J15220">
        <v>0</v>
      </c>
      <c r="K15220" t="str">
        <f t="shared" si="2714"/>
        <v>809</v>
      </c>
      <c r="L15220">
        <v>416.01</v>
      </c>
    </row>
    <row r="15221" spans="1:12" x14ac:dyDescent="0.25">
      <c r="A15221" t="str">
        <f t="shared" si="2707"/>
        <v>89301000</v>
      </c>
      <c r="B15221" t="str">
        <f t="shared" si="2712"/>
        <v>89383000</v>
      </c>
      <c r="C15221" t="str">
        <f t="shared" si="2713"/>
        <v>89383002</v>
      </c>
      <c r="D15221">
        <v>89301212</v>
      </c>
      <c r="E15221" t="str">
        <f>"7054195368"</f>
        <v>7054195368</v>
      </c>
      <c r="F15221" s="1">
        <v>45268</v>
      </c>
      <c r="G15221" t="str">
        <f>"89180"</f>
        <v>89180</v>
      </c>
      <c r="H15221">
        <v>2</v>
      </c>
      <c r="I15221">
        <v>762</v>
      </c>
      <c r="J15221">
        <v>0</v>
      </c>
      <c r="K15221" t="str">
        <f t="shared" si="2714"/>
        <v>809</v>
      </c>
      <c r="L15221">
        <v>1120.1400000000001</v>
      </c>
    </row>
    <row r="15222" spans="1:12" x14ac:dyDescent="0.25">
      <c r="A15222" t="str">
        <f t="shared" si="2707"/>
        <v>89301000</v>
      </c>
      <c r="B15222" t="str">
        <f t="shared" si="2712"/>
        <v>89383000</v>
      </c>
      <c r="C15222" t="str">
        <f t="shared" si="2713"/>
        <v>89383002</v>
      </c>
      <c r="D15222">
        <v>89301172</v>
      </c>
      <c r="E15222" t="str">
        <f>"8051035344"</f>
        <v>8051035344</v>
      </c>
      <c r="F15222" s="1">
        <v>45271</v>
      </c>
      <c r="G15222" t="str">
        <f>"89180"</f>
        <v>89180</v>
      </c>
      <c r="H15222">
        <v>2</v>
      </c>
      <c r="I15222">
        <v>762</v>
      </c>
      <c r="J15222">
        <v>0</v>
      </c>
      <c r="K15222" t="str">
        <f t="shared" si="2714"/>
        <v>809</v>
      </c>
      <c r="L15222">
        <v>1120.1400000000001</v>
      </c>
    </row>
    <row r="15223" spans="1:12" x14ac:dyDescent="0.25">
      <c r="A15223" t="str">
        <f t="shared" si="2707"/>
        <v>89301000</v>
      </c>
      <c r="B15223" t="str">
        <f t="shared" si="2712"/>
        <v>89383000</v>
      </c>
      <c r="C15223" t="str">
        <f t="shared" si="2713"/>
        <v>89383002</v>
      </c>
      <c r="D15223">
        <v>89301172</v>
      </c>
      <c r="E15223" t="str">
        <f>"8051035344"</f>
        <v>8051035344</v>
      </c>
      <c r="F15223" s="1">
        <v>45271</v>
      </c>
      <c r="G15223" t="str">
        <f>"89512"</f>
        <v>89512</v>
      </c>
      <c r="H15223">
        <v>1</v>
      </c>
      <c r="I15223">
        <v>283</v>
      </c>
      <c r="J15223">
        <v>0</v>
      </c>
      <c r="K15223" t="str">
        <f t="shared" si="2714"/>
        <v>809</v>
      </c>
      <c r="L15223">
        <v>416.01</v>
      </c>
    </row>
    <row r="15224" spans="1:12" x14ac:dyDescent="0.25">
      <c r="A15224" t="str">
        <f t="shared" si="2707"/>
        <v>89301000</v>
      </c>
      <c r="B15224" t="str">
        <f t="shared" si="2712"/>
        <v>89383000</v>
      </c>
      <c r="C15224" t="str">
        <f t="shared" si="2713"/>
        <v>89383002</v>
      </c>
      <c r="D15224">
        <v>89301172</v>
      </c>
      <c r="E15224" t="str">
        <f>"8051035344"</f>
        <v>8051035344</v>
      </c>
      <c r="F15224" s="1">
        <v>45271</v>
      </c>
      <c r="G15224" t="str">
        <f>"89513"</f>
        <v>89513</v>
      </c>
      <c r="H15224">
        <v>1</v>
      </c>
      <c r="I15224">
        <v>378</v>
      </c>
      <c r="J15224">
        <v>0</v>
      </c>
      <c r="K15224" t="str">
        <f t="shared" si="2714"/>
        <v>809</v>
      </c>
      <c r="L15224">
        <v>555.66</v>
      </c>
    </row>
    <row r="15225" spans="1:12" x14ac:dyDescent="0.25">
      <c r="A15225" t="str">
        <f t="shared" si="2707"/>
        <v>89301000</v>
      </c>
      <c r="B15225" t="str">
        <f t="shared" si="2712"/>
        <v>89383000</v>
      </c>
      <c r="C15225" t="str">
        <f t="shared" si="2713"/>
        <v>89383002</v>
      </c>
      <c r="D15225">
        <v>89301172</v>
      </c>
      <c r="E15225" t="str">
        <f>"8051035344"</f>
        <v>8051035344</v>
      </c>
      <c r="F15225" s="1">
        <v>45271</v>
      </c>
      <c r="G15225" t="str">
        <f>"89514"</f>
        <v>89514</v>
      </c>
      <c r="H15225">
        <v>1</v>
      </c>
      <c r="I15225">
        <v>378</v>
      </c>
      <c r="J15225">
        <v>0</v>
      </c>
      <c r="K15225" t="str">
        <f t="shared" si="2714"/>
        <v>809</v>
      </c>
      <c r="L15225">
        <v>555.66</v>
      </c>
    </row>
    <row r="15226" spans="1:12" x14ac:dyDescent="0.25">
      <c r="A15226" t="str">
        <f t="shared" si="2707"/>
        <v>89301000</v>
      </c>
      <c r="B15226" t="str">
        <f t="shared" si="2712"/>
        <v>89383000</v>
      </c>
      <c r="C15226" t="str">
        <f t="shared" si="2713"/>
        <v>89383002</v>
      </c>
      <c r="D15226">
        <v>89301212</v>
      </c>
      <c r="E15226" t="str">
        <f>"5555111650"</f>
        <v>5555111650</v>
      </c>
      <c r="F15226" s="1">
        <v>45271</v>
      </c>
      <c r="G15226" t="str">
        <f>"89512"</f>
        <v>89512</v>
      </c>
      <c r="H15226">
        <v>1</v>
      </c>
      <c r="I15226">
        <v>283</v>
      </c>
      <c r="J15226">
        <v>0</v>
      </c>
      <c r="K15226" t="str">
        <f t="shared" si="2714"/>
        <v>809</v>
      </c>
      <c r="L15226">
        <v>416.01</v>
      </c>
    </row>
    <row r="15227" spans="1:12" x14ac:dyDescent="0.25">
      <c r="A15227" t="str">
        <f t="shared" si="2707"/>
        <v>89301000</v>
      </c>
      <c r="B15227" t="str">
        <f t="shared" si="2712"/>
        <v>89383000</v>
      </c>
      <c r="C15227" t="str">
        <f t="shared" si="2713"/>
        <v>89383002</v>
      </c>
      <c r="D15227">
        <v>89301212</v>
      </c>
      <c r="E15227" t="str">
        <f>"7259095360"</f>
        <v>7259095360</v>
      </c>
      <c r="F15227" s="1">
        <v>45271</v>
      </c>
      <c r="G15227" t="str">
        <f>"89180"</f>
        <v>89180</v>
      </c>
      <c r="H15227">
        <v>2</v>
      </c>
      <c r="I15227">
        <v>762</v>
      </c>
      <c r="J15227">
        <v>0</v>
      </c>
      <c r="K15227" t="str">
        <f t="shared" si="2714"/>
        <v>809</v>
      </c>
      <c r="L15227">
        <v>1120.1400000000001</v>
      </c>
    </row>
    <row r="15228" spans="1:12" x14ac:dyDescent="0.25">
      <c r="A15228" t="str">
        <f t="shared" si="2707"/>
        <v>89301000</v>
      </c>
      <c r="B15228" t="str">
        <f t="shared" si="2712"/>
        <v>89383000</v>
      </c>
      <c r="C15228" t="str">
        <f t="shared" si="2713"/>
        <v>89383002</v>
      </c>
      <c r="D15228">
        <v>89301212</v>
      </c>
      <c r="E15228" t="str">
        <f>"7259095360"</f>
        <v>7259095360</v>
      </c>
      <c r="F15228" s="1">
        <v>45271</v>
      </c>
      <c r="G15228" t="str">
        <f>"89512"</f>
        <v>89512</v>
      </c>
      <c r="H15228">
        <v>1</v>
      </c>
      <c r="I15228">
        <v>283</v>
      </c>
      <c r="J15228">
        <v>0</v>
      </c>
      <c r="K15228" t="str">
        <f t="shared" si="2714"/>
        <v>809</v>
      </c>
      <c r="L15228">
        <v>416.01</v>
      </c>
    </row>
    <row r="15229" spans="1:12" x14ac:dyDescent="0.25">
      <c r="A15229" t="str">
        <f t="shared" si="2707"/>
        <v>89301000</v>
      </c>
      <c r="B15229" t="str">
        <f t="shared" si="2712"/>
        <v>89383000</v>
      </c>
      <c r="C15229" t="str">
        <f t="shared" si="2713"/>
        <v>89383002</v>
      </c>
      <c r="D15229">
        <v>89301212</v>
      </c>
      <c r="E15229" t="str">
        <f>"7259095360"</f>
        <v>7259095360</v>
      </c>
      <c r="F15229" s="1">
        <v>45271</v>
      </c>
      <c r="G15229" t="str">
        <f>"89513"</f>
        <v>89513</v>
      </c>
      <c r="H15229">
        <v>1</v>
      </c>
      <c r="I15229">
        <v>378</v>
      </c>
      <c r="J15229">
        <v>0</v>
      </c>
      <c r="K15229" t="str">
        <f t="shared" si="2714"/>
        <v>809</v>
      </c>
      <c r="L15229">
        <v>555.66</v>
      </c>
    </row>
    <row r="15230" spans="1:12" x14ac:dyDescent="0.25">
      <c r="A15230" t="str">
        <f t="shared" si="2707"/>
        <v>89301000</v>
      </c>
      <c r="B15230" t="str">
        <f t="shared" si="2712"/>
        <v>89383000</v>
      </c>
      <c r="C15230" t="str">
        <f t="shared" si="2713"/>
        <v>89383002</v>
      </c>
      <c r="D15230">
        <v>89301212</v>
      </c>
      <c r="E15230" t="str">
        <f>"7259095360"</f>
        <v>7259095360</v>
      </c>
      <c r="F15230" s="1">
        <v>45271</v>
      </c>
      <c r="G15230" t="str">
        <f>"89514"</f>
        <v>89514</v>
      </c>
      <c r="H15230">
        <v>1</v>
      </c>
      <c r="I15230">
        <v>378</v>
      </c>
      <c r="J15230">
        <v>0</v>
      </c>
      <c r="K15230" t="str">
        <f t="shared" si="2714"/>
        <v>809</v>
      </c>
      <c r="L15230">
        <v>555.66</v>
      </c>
    </row>
    <row r="15231" spans="1:12" x14ac:dyDescent="0.25">
      <c r="A15231" t="str">
        <f t="shared" si="2707"/>
        <v>89301000</v>
      </c>
      <c r="B15231" t="str">
        <f t="shared" si="2712"/>
        <v>89383000</v>
      </c>
      <c r="C15231" t="str">
        <f t="shared" si="2713"/>
        <v>89383002</v>
      </c>
      <c r="D15231">
        <v>89301212</v>
      </c>
      <c r="E15231" t="str">
        <f>"6253210722"</f>
        <v>6253210722</v>
      </c>
      <c r="F15231" s="1">
        <v>45271</v>
      </c>
      <c r="G15231" t="str">
        <f>"89180"</f>
        <v>89180</v>
      </c>
      <c r="H15231">
        <v>2</v>
      </c>
      <c r="I15231">
        <v>762</v>
      </c>
      <c r="J15231">
        <v>0</v>
      </c>
      <c r="K15231" t="str">
        <f t="shared" si="2714"/>
        <v>809</v>
      </c>
      <c r="L15231">
        <v>1120.1400000000001</v>
      </c>
    </row>
    <row r="15232" spans="1:12" x14ac:dyDescent="0.25">
      <c r="A15232" t="str">
        <f t="shared" si="2707"/>
        <v>89301000</v>
      </c>
      <c r="B15232" t="str">
        <f t="shared" si="2712"/>
        <v>89383000</v>
      </c>
      <c r="C15232" t="str">
        <f t="shared" si="2713"/>
        <v>89383002</v>
      </c>
      <c r="D15232">
        <v>89301212</v>
      </c>
      <c r="E15232" t="str">
        <f>"6253210722"</f>
        <v>6253210722</v>
      </c>
      <c r="F15232" s="1">
        <v>45271</v>
      </c>
      <c r="G15232" t="str">
        <f>"89512"</f>
        <v>89512</v>
      </c>
      <c r="H15232">
        <v>1</v>
      </c>
      <c r="I15232">
        <v>283</v>
      </c>
      <c r="J15232">
        <v>0</v>
      </c>
      <c r="K15232" t="str">
        <f t="shared" si="2714"/>
        <v>809</v>
      </c>
      <c r="L15232">
        <v>416.01</v>
      </c>
    </row>
    <row r="15233" spans="1:12" x14ac:dyDescent="0.25">
      <c r="A15233" t="str">
        <f t="shared" si="2707"/>
        <v>89301000</v>
      </c>
      <c r="B15233" t="str">
        <f t="shared" si="2712"/>
        <v>89383000</v>
      </c>
      <c r="C15233" t="str">
        <f t="shared" si="2713"/>
        <v>89383002</v>
      </c>
      <c r="D15233">
        <v>89301212</v>
      </c>
      <c r="E15233" t="str">
        <f>"7262285349"</f>
        <v>7262285349</v>
      </c>
      <c r="F15233" s="1">
        <v>45272</v>
      </c>
      <c r="G15233" t="str">
        <f>"89180"</f>
        <v>89180</v>
      </c>
      <c r="H15233">
        <v>1</v>
      </c>
      <c r="I15233">
        <v>381</v>
      </c>
      <c r="J15233">
        <v>0</v>
      </c>
      <c r="K15233" t="str">
        <f t="shared" si="2714"/>
        <v>809</v>
      </c>
      <c r="L15233">
        <v>560.07000000000005</v>
      </c>
    </row>
    <row r="15234" spans="1:12" x14ac:dyDescent="0.25">
      <c r="A15234" t="str">
        <f t="shared" ref="A15234:A15297" si="2715">"89301000"</f>
        <v>89301000</v>
      </c>
      <c r="B15234" t="str">
        <f t="shared" si="2712"/>
        <v>89383000</v>
      </c>
      <c r="C15234" t="str">
        <f t="shared" si="2713"/>
        <v>89383002</v>
      </c>
      <c r="D15234">
        <v>89301212</v>
      </c>
      <c r="E15234" t="str">
        <f>"7262285349"</f>
        <v>7262285349</v>
      </c>
      <c r="F15234" s="1">
        <v>45272</v>
      </c>
      <c r="G15234" t="str">
        <f>"89512"</f>
        <v>89512</v>
      </c>
      <c r="H15234">
        <v>1</v>
      </c>
      <c r="I15234">
        <v>283</v>
      </c>
      <c r="J15234">
        <v>0</v>
      </c>
      <c r="K15234" t="str">
        <f t="shared" si="2714"/>
        <v>809</v>
      </c>
      <c r="L15234">
        <v>416.01</v>
      </c>
    </row>
    <row r="15235" spans="1:12" x14ac:dyDescent="0.25">
      <c r="A15235" t="str">
        <f t="shared" si="2715"/>
        <v>89301000</v>
      </c>
      <c r="B15235" t="str">
        <f t="shared" ref="B15235:B15266" si="2716">"89383000"</f>
        <v>89383000</v>
      </c>
      <c r="C15235" t="str">
        <f t="shared" ref="C15235:C15266" si="2717">"89383002"</f>
        <v>89383002</v>
      </c>
      <c r="D15235">
        <v>89301212</v>
      </c>
      <c r="E15235" t="str">
        <f>"7262285349"</f>
        <v>7262285349</v>
      </c>
      <c r="F15235" s="1">
        <v>45272</v>
      </c>
      <c r="G15235" t="str">
        <f>"89513"</f>
        <v>89513</v>
      </c>
      <c r="H15235">
        <v>1</v>
      </c>
      <c r="I15235">
        <v>378</v>
      </c>
      <c r="J15235">
        <v>0</v>
      </c>
      <c r="K15235" t="str">
        <f t="shared" ref="K15235:K15266" si="2718">"809"</f>
        <v>809</v>
      </c>
      <c r="L15235">
        <v>555.66</v>
      </c>
    </row>
    <row r="15236" spans="1:12" x14ac:dyDescent="0.25">
      <c r="A15236" t="str">
        <f t="shared" si="2715"/>
        <v>89301000</v>
      </c>
      <c r="B15236" t="str">
        <f t="shared" si="2716"/>
        <v>89383000</v>
      </c>
      <c r="C15236" t="str">
        <f t="shared" si="2717"/>
        <v>89383002</v>
      </c>
      <c r="D15236">
        <v>89301212</v>
      </c>
      <c r="E15236" t="str">
        <f>"7262285349"</f>
        <v>7262285349</v>
      </c>
      <c r="F15236" s="1">
        <v>45272</v>
      </c>
      <c r="G15236" t="str">
        <f>"89514"</f>
        <v>89514</v>
      </c>
      <c r="H15236">
        <v>1</v>
      </c>
      <c r="I15236">
        <v>378</v>
      </c>
      <c r="J15236">
        <v>0</v>
      </c>
      <c r="K15236" t="str">
        <f t="shared" si="2718"/>
        <v>809</v>
      </c>
      <c r="L15236">
        <v>555.66</v>
      </c>
    </row>
    <row r="15237" spans="1:12" x14ac:dyDescent="0.25">
      <c r="A15237" t="str">
        <f t="shared" si="2715"/>
        <v>89301000</v>
      </c>
      <c r="B15237" t="str">
        <f t="shared" si="2716"/>
        <v>89383000</v>
      </c>
      <c r="C15237" t="str">
        <f t="shared" si="2717"/>
        <v>89383002</v>
      </c>
      <c r="D15237">
        <v>89301212</v>
      </c>
      <c r="E15237" t="str">
        <f>"485916412"</f>
        <v>485916412</v>
      </c>
      <c r="F15237" s="1">
        <v>45272</v>
      </c>
      <c r="G15237" t="str">
        <f>"89180"</f>
        <v>89180</v>
      </c>
      <c r="H15237">
        <v>2</v>
      </c>
      <c r="I15237">
        <v>762</v>
      </c>
      <c r="J15237">
        <v>0</v>
      </c>
      <c r="K15237" t="str">
        <f t="shared" si="2718"/>
        <v>809</v>
      </c>
      <c r="L15237">
        <v>1120.1400000000001</v>
      </c>
    </row>
    <row r="15238" spans="1:12" x14ac:dyDescent="0.25">
      <c r="A15238" t="str">
        <f t="shared" si="2715"/>
        <v>89301000</v>
      </c>
      <c r="B15238" t="str">
        <f t="shared" si="2716"/>
        <v>89383000</v>
      </c>
      <c r="C15238" t="str">
        <f t="shared" si="2717"/>
        <v>89383002</v>
      </c>
      <c r="D15238">
        <v>89301212</v>
      </c>
      <c r="E15238" t="str">
        <f>"485916412"</f>
        <v>485916412</v>
      </c>
      <c r="F15238" s="1">
        <v>45272</v>
      </c>
      <c r="G15238" t="str">
        <f>"89512"</f>
        <v>89512</v>
      </c>
      <c r="H15238">
        <v>1</v>
      </c>
      <c r="I15238">
        <v>283</v>
      </c>
      <c r="J15238">
        <v>0</v>
      </c>
      <c r="K15238" t="str">
        <f t="shared" si="2718"/>
        <v>809</v>
      </c>
      <c r="L15238">
        <v>416.01</v>
      </c>
    </row>
    <row r="15239" spans="1:12" x14ac:dyDescent="0.25">
      <c r="A15239" t="str">
        <f t="shared" si="2715"/>
        <v>89301000</v>
      </c>
      <c r="B15239" t="str">
        <f t="shared" si="2716"/>
        <v>89383000</v>
      </c>
      <c r="C15239" t="str">
        <f t="shared" si="2717"/>
        <v>89383002</v>
      </c>
      <c r="D15239">
        <v>89301212</v>
      </c>
      <c r="E15239" t="str">
        <f>"485916412"</f>
        <v>485916412</v>
      </c>
      <c r="F15239" s="1">
        <v>45272</v>
      </c>
      <c r="G15239" t="str">
        <f>"89513"</f>
        <v>89513</v>
      </c>
      <c r="H15239">
        <v>1</v>
      </c>
      <c r="I15239">
        <v>378</v>
      </c>
      <c r="J15239">
        <v>0</v>
      </c>
      <c r="K15239" t="str">
        <f t="shared" si="2718"/>
        <v>809</v>
      </c>
      <c r="L15239">
        <v>555.66</v>
      </c>
    </row>
    <row r="15240" spans="1:12" x14ac:dyDescent="0.25">
      <c r="A15240" t="str">
        <f t="shared" si="2715"/>
        <v>89301000</v>
      </c>
      <c r="B15240" t="str">
        <f t="shared" si="2716"/>
        <v>89383000</v>
      </c>
      <c r="C15240" t="str">
        <f t="shared" si="2717"/>
        <v>89383002</v>
      </c>
      <c r="D15240">
        <v>89301212</v>
      </c>
      <c r="E15240" t="str">
        <f>"485916412"</f>
        <v>485916412</v>
      </c>
      <c r="F15240" s="1">
        <v>45272</v>
      </c>
      <c r="G15240" t="str">
        <f>"89514"</f>
        <v>89514</v>
      </c>
      <c r="H15240">
        <v>1</v>
      </c>
      <c r="I15240">
        <v>378</v>
      </c>
      <c r="J15240">
        <v>0</v>
      </c>
      <c r="K15240" t="str">
        <f t="shared" si="2718"/>
        <v>809</v>
      </c>
      <c r="L15240">
        <v>555.66</v>
      </c>
    </row>
    <row r="15241" spans="1:12" x14ac:dyDescent="0.25">
      <c r="A15241" t="str">
        <f t="shared" si="2715"/>
        <v>89301000</v>
      </c>
      <c r="B15241" t="str">
        <f t="shared" si="2716"/>
        <v>89383000</v>
      </c>
      <c r="C15241" t="str">
        <f t="shared" si="2717"/>
        <v>89383002</v>
      </c>
      <c r="D15241">
        <v>89301212</v>
      </c>
      <c r="E15241" t="str">
        <f>"7051113498"</f>
        <v>7051113498</v>
      </c>
      <c r="F15241" s="1">
        <v>45272</v>
      </c>
      <c r="G15241" t="str">
        <f>"89180"</f>
        <v>89180</v>
      </c>
      <c r="H15241">
        <v>2</v>
      </c>
      <c r="I15241">
        <v>762</v>
      </c>
      <c r="J15241">
        <v>0</v>
      </c>
      <c r="K15241" t="str">
        <f t="shared" si="2718"/>
        <v>809</v>
      </c>
      <c r="L15241">
        <v>1120.1400000000001</v>
      </c>
    </row>
    <row r="15242" spans="1:12" x14ac:dyDescent="0.25">
      <c r="A15242" t="str">
        <f t="shared" si="2715"/>
        <v>89301000</v>
      </c>
      <c r="B15242" t="str">
        <f t="shared" si="2716"/>
        <v>89383000</v>
      </c>
      <c r="C15242" t="str">
        <f t="shared" si="2717"/>
        <v>89383002</v>
      </c>
      <c r="D15242">
        <v>89301212</v>
      </c>
      <c r="E15242" t="str">
        <f>"7051113498"</f>
        <v>7051113498</v>
      </c>
      <c r="F15242" s="1">
        <v>45272</v>
      </c>
      <c r="G15242" t="str">
        <f>"89512"</f>
        <v>89512</v>
      </c>
      <c r="H15242">
        <v>1</v>
      </c>
      <c r="I15242">
        <v>283</v>
      </c>
      <c r="J15242">
        <v>0</v>
      </c>
      <c r="K15242" t="str">
        <f t="shared" si="2718"/>
        <v>809</v>
      </c>
      <c r="L15242">
        <v>416.01</v>
      </c>
    </row>
    <row r="15243" spans="1:12" x14ac:dyDescent="0.25">
      <c r="A15243" t="str">
        <f t="shared" si="2715"/>
        <v>89301000</v>
      </c>
      <c r="B15243" t="str">
        <f t="shared" si="2716"/>
        <v>89383000</v>
      </c>
      <c r="C15243" t="str">
        <f t="shared" si="2717"/>
        <v>89383002</v>
      </c>
      <c r="D15243">
        <v>89301212</v>
      </c>
      <c r="E15243" t="str">
        <f>"7458025806"</f>
        <v>7458025806</v>
      </c>
      <c r="F15243" s="1">
        <v>45272</v>
      </c>
      <c r="G15243" t="str">
        <f>"89180"</f>
        <v>89180</v>
      </c>
      <c r="H15243">
        <v>2</v>
      </c>
      <c r="I15243">
        <v>762</v>
      </c>
      <c r="J15243">
        <v>0</v>
      </c>
      <c r="K15243" t="str">
        <f t="shared" si="2718"/>
        <v>809</v>
      </c>
      <c r="L15243">
        <v>1120.1400000000001</v>
      </c>
    </row>
    <row r="15244" spans="1:12" x14ac:dyDescent="0.25">
      <c r="A15244" t="str">
        <f t="shared" si="2715"/>
        <v>89301000</v>
      </c>
      <c r="B15244" t="str">
        <f t="shared" si="2716"/>
        <v>89383000</v>
      </c>
      <c r="C15244" t="str">
        <f t="shared" si="2717"/>
        <v>89383002</v>
      </c>
      <c r="D15244">
        <v>89301212</v>
      </c>
      <c r="E15244" t="str">
        <f>"7458025806"</f>
        <v>7458025806</v>
      </c>
      <c r="F15244" s="1">
        <v>45272</v>
      </c>
      <c r="G15244" t="str">
        <f>"89512"</f>
        <v>89512</v>
      </c>
      <c r="H15244">
        <v>1</v>
      </c>
      <c r="I15244">
        <v>283</v>
      </c>
      <c r="J15244">
        <v>0</v>
      </c>
      <c r="K15244" t="str">
        <f t="shared" si="2718"/>
        <v>809</v>
      </c>
      <c r="L15244">
        <v>416.01</v>
      </c>
    </row>
    <row r="15245" spans="1:12" x14ac:dyDescent="0.25">
      <c r="A15245" t="str">
        <f t="shared" si="2715"/>
        <v>89301000</v>
      </c>
      <c r="B15245" t="str">
        <f t="shared" si="2716"/>
        <v>89383000</v>
      </c>
      <c r="C15245" t="str">
        <f t="shared" si="2717"/>
        <v>89383002</v>
      </c>
      <c r="D15245">
        <v>89301215</v>
      </c>
      <c r="E15245" t="str">
        <f>"7158265334"</f>
        <v>7158265334</v>
      </c>
      <c r="F15245" s="1">
        <v>45272</v>
      </c>
      <c r="G15245" t="str">
        <f>"89512"</f>
        <v>89512</v>
      </c>
      <c r="H15245">
        <v>1</v>
      </c>
      <c r="I15245">
        <v>283</v>
      </c>
      <c r="J15245">
        <v>0</v>
      </c>
      <c r="K15245" t="str">
        <f t="shared" si="2718"/>
        <v>809</v>
      </c>
      <c r="L15245">
        <v>416.01</v>
      </c>
    </row>
    <row r="15246" spans="1:12" x14ac:dyDescent="0.25">
      <c r="A15246" t="str">
        <f t="shared" si="2715"/>
        <v>89301000</v>
      </c>
      <c r="B15246" t="str">
        <f t="shared" si="2716"/>
        <v>89383000</v>
      </c>
      <c r="C15246" t="str">
        <f t="shared" si="2717"/>
        <v>89383002</v>
      </c>
      <c r="D15246">
        <v>89301212</v>
      </c>
      <c r="E15246" t="str">
        <f>"5956212141"</f>
        <v>5956212141</v>
      </c>
      <c r="F15246" s="1">
        <v>45273</v>
      </c>
      <c r="G15246" t="str">
        <f>"89180"</f>
        <v>89180</v>
      </c>
      <c r="H15246">
        <v>2</v>
      </c>
      <c r="I15246">
        <v>762</v>
      </c>
      <c r="J15246">
        <v>0</v>
      </c>
      <c r="K15246" t="str">
        <f t="shared" si="2718"/>
        <v>809</v>
      </c>
      <c r="L15246">
        <v>1120.1400000000001</v>
      </c>
    </row>
    <row r="15247" spans="1:12" x14ac:dyDescent="0.25">
      <c r="A15247" t="str">
        <f t="shared" si="2715"/>
        <v>89301000</v>
      </c>
      <c r="B15247" t="str">
        <f t="shared" si="2716"/>
        <v>89383000</v>
      </c>
      <c r="C15247" t="str">
        <f t="shared" si="2717"/>
        <v>89383002</v>
      </c>
      <c r="D15247">
        <v>89301212</v>
      </c>
      <c r="E15247" t="str">
        <f>"5956212141"</f>
        <v>5956212141</v>
      </c>
      <c r="F15247" s="1">
        <v>45273</v>
      </c>
      <c r="G15247" t="str">
        <f>"89512"</f>
        <v>89512</v>
      </c>
      <c r="H15247">
        <v>1</v>
      </c>
      <c r="I15247">
        <v>283</v>
      </c>
      <c r="J15247">
        <v>0</v>
      </c>
      <c r="K15247" t="str">
        <f t="shared" si="2718"/>
        <v>809</v>
      </c>
      <c r="L15247">
        <v>416.01</v>
      </c>
    </row>
    <row r="15248" spans="1:12" x14ac:dyDescent="0.25">
      <c r="A15248" t="str">
        <f t="shared" si="2715"/>
        <v>89301000</v>
      </c>
      <c r="B15248" t="str">
        <f t="shared" si="2716"/>
        <v>89383000</v>
      </c>
      <c r="C15248" t="str">
        <f t="shared" si="2717"/>
        <v>89383002</v>
      </c>
      <c r="D15248">
        <v>89301212</v>
      </c>
      <c r="E15248" t="str">
        <f>"5956212141"</f>
        <v>5956212141</v>
      </c>
      <c r="F15248" s="1">
        <v>45273</v>
      </c>
      <c r="G15248" t="str">
        <f>"89513"</f>
        <v>89513</v>
      </c>
      <c r="H15248">
        <v>1</v>
      </c>
      <c r="I15248">
        <v>378</v>
      </c>
      <c r="J15248">
        <v>0</v>
      </c>
      <c r="K15248" t="str">
        <f t="shared" si="2718"/>
        <v>809</v>
      </c>
      <c r="L15248">
        <v>555.66</v>
      </c>
    </row>
    <row r="15249" spans="1:12" x14ac:dyDescent="0.25">
      <c r="A15249" t="str">
        <f t="shared" si="2715"/>
        <v>89301000</v>
      </c>
      <c r="B15249" t="str">
        <f t="shared" si="2716"/>
        <v>89383000</v>
      </c>
      <c r="C15249" t="str">
        <f t="shared" si="2717"/>
        <v>89383002</v>
      </c>
      <c r="D15249">
        <v>89301212</v>
      </c>
      <c r="E15249" t="str">
        <f>"5956212141"</f>
        <v>5956212141</v>
      </c>
      <c r="F15249" s="1">
        <v>45273</v>
      </c>
      <c r="G15249" t="str">
        <f>"89514"</f>
        <v>89514</v>
      </c>
      <c r="H15249">
        <v>1</v>
      </c>
      <c r="I15249">
        <v>378</v>
      </c>
      <c r="J15249">
        <v>0</v>
      </c>
      <c r="K15249" t="str">
        <f t="shared" si="2718"/>
        <v>809</v>
      </c>
      <c r="L15249">
        <v>555.66</v>
      </c>
    </row>
    <row r="15250" spans="1:12" x14ac:dyDescent="0.25">
      <c r="A15250" t="str">
        <f t="shared" si="2715"/>
        <v>89301000</v>
      </c>
      <c r="B15250" t="str">
        <f t="shared" si="2716"/>
        <v>89383000</v>
      </c>
      <c r="C15250" t="str">
        <f t="shared" si="2717"/>
        <v>89383002</v>
      </c>
      <c r="D15250">
        <v>89301042</v>
      </c>
      <c r="E15250" t="str">
        <f>"6452041871"</f>
        <v>6452041871</v>
      </c>
      <c r="F15250" s="1">
        <v>45273</v>
      </c>
      <c r="G15250" t="str">
        <f>"89180"</f>
        <v>89180</v>
      </c>
      <c r="H15250">
        <v>2</v>
      </c>
      <c r="I15250">
        <v>762</v>
      </c>
      <c r="J15250">
        <v>0</v>
      </c>
      <c r="K15250" t="str">
        <f t="shared" si="2718"/>
        <v>809</v>
      </c>
      <c r="L15250">
        <v>1120.1400000000001</v>
      </c>
    </row>
    <row r="15251" spans="1:12" x14ac:dyDescent="0.25">
      <c r="A15251" t="str">
        <f t="shared" si="2715"/>
        <v>89301000</v>
      </c>
      <c r="B15251" t="str">
        <f t="shared" si="2716"/>
        <v>89383000</v>
      </c>
      <c r="C15251" t="str">
        <f t="shared" si="2717"/>
        <v>89383002</v>
      </c>
      <c r="D15251">
        <v>89301042</v>
      </c>
      <c r="E15251" t="str">
        <f>"6452041871"</f>
        <v>6452041871</v>
      </c>
      <c r="F15251" s="1">
        <v>45273</v>
      </c>
      <c r="G15251" t="str">
        <f>"89512"</f>
        <v>89512</v>
      </c>
      <c r="H15251">
        <v>1</v>
      </c>
      <c r="I15251">
        <v>283</v>
      </c>
      <c r="J15251">
        <v>0</v>
      </c>
      <c r="K15251" t="str">
        <f t="shared" si="2718"/>
        <v>809</v>
      </c>
      <c r="L15251">
        <v>416.01</v>
      </c>
    </row>
    <row r="15252" spans="1:12" x14ac:dyDescent="0.25">
      <c r="A15252" t="str">
        <f t="shared" si="2715"/>
        <v>89301000</v>
      </c>
      <c r="B15252" t="str">
        <f t="shared" si="2716"/>
        <v>89383000</v>
      </c>
      <c r="C15252" t="str">
        <f t="shared" si="2717"/>
        <v>89383002</v>
      </c>
      <c r="D15252">
        <v>89301042</v>
      </c>
      <c r="E15252" t="str">
        <f>"6452041871"</f>
        <v>6452041871</v>
      </c>
      <c r="F15252" s="1">
        <v>45273</v>
      </c>
      <c r="G15252" t="str">
        <f>"89513"</f>
        <v>89513</v>
      </c>
      <c r="H15252">
        <v>1</v>
      </c>
      <c r="I15252">
        <v>378</v>
      </c>
      <c r="J15252">
        <v>0</v>
      </c>
      <c r="K15252" t="str">
        <f t="shared" si="2718"/>
        <v>809</v>
      </c>
      <c r="L15252">
        <v>555.66</v>
      </c>
    </row>
    <row r="15253" spans="1:12" x14ac:dyDescent="0.25">
      <c r="A15253" t="str">
        <f t="shared" si="2715"/>
        <v>89301000</v>
      </c>
      <c r="B15253" t="str">
        <f t="shared" si="2716"/>
        <v>89383000</v>
      </c>
      <c r="C15253" t="str">
        <f t="shared" si="2717"/>
        <v>89383002</v>
      </c>
      <c r="D15253">
        <v>89301042</v>
      </c>
      <c r="E15253" t="str">
        <f>"6452041871"</f>
        <v>6452041871</v>
      </c>
      <c r="F15253" s="1">
        <v>45273</v>
      </c>
      <c r="G15253" t="str">
        <f>"89514"</f>
        <v>89514</v>
      </c>
      <c r="H15253">
        <v>1</v>
      </c>
      <c r="I15253">
        <v>378</v>
      </c>
      <c r="J15253">
        <v>0</v>
      </c>
      <c r="K15253" t="str">
        <f t="shared" si="2718"/>
        <v>809</v>
      </c>
      <c r="L15253">
        <v>555.66</v>
      </c>
    </row>
    <row r="15254" spans="1:12" x14ac:dyDescent="0.25">
      <c r="A15254" t="str">
        <f t="shared" si="2715"/>
        <v>89301000</v>
      </c>
      <c r="B15254" t="str">
        <f t="shared" si="2716"/>
        <v>89383000</v>
      </c>
      <c r="C15254" t="str">
        <f t="shared" si="2717"/>
        <v>89383002</v>
      </c>
      <c r="D15254">
        <v>89301212</v>
      </c>
      <c r="E15254" t="str">
        <f>"7958025361"</f>
        <v>7958025361</v>
      </c>
      <c r="F15254" s="1">
        <v>45273</v>
      </c>
      <c r="G15254" t="str">
        <f>"89512"</f>
        <v>89512</v>
      </c>
      <c r="H15254">
        <v>1</v>
      </c>
      <c r="I15254">
        <v>283</v>
      </c>
      <c r="J15254">
        <v>0</v>
      </c>
      <c r="K15254" t="str">
        <f t="shared" si="2718"/>
        <v>809</v>
      </c>
      <c r="L15254">
        <v>416.01</v>
      </c>
    </row>
    <row r="15255" spans="1:12" x14ac:dyDescent="0.25">
      <c r="A15255" t="str">
        <f t="shared" si="2715"/>
        <v>89301000</v>
      </c>
      <c r="B15255" t="str">
        <f t="shared" si="2716"/>
        <v>89383000</v>
      </c>
      <c r="C15255" t="str">
        <f t="shared" si="2717"/>
        <v>89383002</v>
      </c>
      <c r="D15255">
        <v>89301212</v>
      </c>
      <c r="E15255" t="str">
        <f>"7958025361"</f>
        <v>7958025361</v>
      </c>
      <c r="F15255" s="1">
        <v>45273</v>
      </c>
      <c r="G15255" t="str">
        <f>"89513"</f>
        <v>89513</v>
      </c>
      <c r="H15255">
        <v>1</v>
      </c>
      <c r="I15255">
        <v>378</v>
      </c>
      <c r="J15255">
        <v>0</v>
      </c>
      <c r="K15255" t="str">
        <f t="shared" si="2718"/>
        <v>809</v>
      </c>
      <c r="L15255">
        <v>555.66</v>
      </c>
    </row>
    <row r="15256" spans="1:12" x14ac:dyDescent="0.25">
      <c r="A15256" t="str">
        <f t="shared" si="2715"/>
        <v>89301000</v>
      </c>
      <c r="B15256" t="str">
        <f t="shared" si="2716"/>
        <v>89383000</v>
      </c>
      <c r="C15256" t="str">
        <f t="shared" si="2717"/>
        <v>89383002</v>
      </c>
      <c r="D15256">
        <v>89301212</v>
      </c>
      <c r="E15256" t="str">
        <f>"7958025361"</f>
        <v>7958025361</v>
      </c>
      <c r="F15256" s="1">
        <v>45273</v>
      </c>
      <c r="G15256" t="str">
        <f>"89514"</f>
        <v>89514</v>
      </c>
      <c r="H15256">
        <v>1</v>
      </c>
      <c r="I15256">
        <v>378</v>
      </c>
      <c r="J15256">
        <v>0</v>
      </c>
      <c r="K15256" t="str">
        <f t="shared" si="2718"/>
        <v>809</v>
      </c>
      <c r="L15256">
        <v>555.66</v>
      </c>
    </row>
    <row r="15257" spans="1:12" x14ac:dyDescent="0.25">
      <c r="A15257" t="str">
        <f t="shared" si="2715"/>
        <v>89301000</v>
      </c>
      <c r="B15257" t="str">
        <f t="shared" si="2716"/>
        <v>89383000</v>
      </c>
      <c r="C15257" t="str">
        <f t="shared" si="2717"/>
        <v>89383002</v>
      </c>
      <c r="D15257">
        <v>89301215</v>
      </c>
      <c r="E15257" t="str">
        <f t="shared" ref="E15257:E15262" si="2719">"7158265334"</f>
        <v>7158265334</v>
      </c>
      <c r="F15257" s="1">
        <v>45273</v>
      </c>
      <c r="G15257" t="str">
        <f>"89313"</f>
        <v>89313</v>
      </c>
      <c r="H15257">
        <v>1</v>
      </c>
      <c r="I15257">
        <v>420</v>
      </c>
      <c r="J15257">
        <v>0</v>
      </c>
      <c r="K15257" t="str">
        <f t="shared" si="2718"/>
        <v>809</v>
      </c>
      <c r="L15257">
        <v>617.4</v>
      </c>
    </row>
    <row r="15258" spans="1:12" x14ac:dyDescent="0.25">
      <c r="A15258" t="str">
        <f t="shared" si="2715"/>
        <v>89301000</v>
      </c>
      <c r="B15258" t="str">
        <f t="shared" si="2716"/>
        <v>89383000</v>
      </c>
      <c r="C15258" t="str">
        <f t="shared" si="2717"/>
        <v>89383002</v>
      </c>
      <c r="D15258">
        <v>89301215</v>
      </c>
      <c r="E15258" t="str">
        <f t="shared" si="2719"/>
        <v>7158265334</v>
      </c>
      <c r="F15258" s="1">
        <v>45273</v>
      </c>
      <c r="G15258" t="str">
        <f>"09233"</f>
        <v>09233</v>
      </c>
      <c r="H15258">
        <v>1</v>
      </c>
      <c r="I15258">
        <v>102</v>
      </c>
      <c r="J15258">
        <v>0</v>
      </c>
      <c r="K15258" t="str">
        <f t="shared" si="2718"/>
        <v>809</v>
      </c>
      <c r="L15258">
        <v>149.94</v>
      </c>
    </row>
    <row r="15259" spans="1:12" x14ac:dyDescent="0.25">
      <c r="A15259" t="str">
        <f t="shared" si="2715"/>
        <v>89301000</v>
      </c>
      <c r="B15259" t="str">
        <f t="shared" si="2716"/>
        <v>89383000</v>
      </c>
      <c r="C15259" t="str">
        <f t="shared" si="2717"/>
        <v>89383002</v>
      </c>
      <c r="D15259">
        <v>89301215</v>
      </c>
      <c r="E15259" t="str">
        <f t="shared" si="2719"/>
        <v>7158265334</v>
      </c>
      <c r="F15259" s="1">
        <v>45273</v>
      </c>
      <c r="G15259" t="str">
        <f>"89515"</f>
        <v>89515</v>
      </c>
      <c r="H15259">
        <v>1</v>
      </c>
      <c r="I15259">
        <v>347</v>
      </c>
      <c r="J15259">
        <v>0</v>
      </c>
      <c r="K15259" t="str">
        <f t="shared" si="2718"/>
        <v>809</v>
      </c>
      <c r="L15259">
        <v>510.09</v>
      </c>
    </row>
    <row r="15260" spans="1:12" x14ac:dyDescent="0.25">
      <c r="A15260" t="str">
        <f t="shared" si="2715"/>
        <v>89301000</v>
      </c>
      <c r="B15260" t="str">
        <f t="shared" si="2716"/>
        <v>89383000</v>
      </c>
      <c r="C15260" t="str">
        <f t="shared" si="2717"/>
        <v>89383002</v>
      </c>
      <c r="D15260">
        <v>89301215</v>
      </c>
      <c r="E15260" t="str">
        <f t="shared" si="2719"/>
        <v>7158265334</v>
      </c>
      <c r="F15260" s="1">
        <v>45273</v>
      </c>
      <c r="G15260" t="str">
        <f>"89512"</f>
        <v>89512</v>
      </c>
      <c r="H15260">
        <v>1</v>
      </c>
      <c r="I15260">
        <v>283</v>
      </c>
      <c r="J15260">
        <v>0</v>
      </c>
      <c r="K15260" t="str">
        <f t="shared" si="2718"/>
        <v>809</v>
      </c>
      <c r="L15260">
        <v>416.01</v>
      </c>
    </row>
    <row r="15261" spans="1:12" x14ac:dyDescent="0.25">
      <c r="A15261" t="str">
        <f t="shared" si="2715"/>
        <v>89301000</v>
      </c>
      <c r="B15261" t="str">
        <f t="shared" si="2716"/>
        <v>89383000</v>
      </c>
      <c r="C15261" t="str">
        <f t="shared" si="2717"/>
        <v>89383002</v>
      </c>
      <c r="D15261">
        <v>89301215</v>
      </c>
      <c r="E15261" t="str">
        <f t="shared" si="2719"/>
        <v>7158265334</v>
      </c>
      <c r="F15261" s="1">
        <v>45273</v>
      </c>
      <c r="G15261" t="str">
        <f>"0093109"</f>
        <v>0093109</v>
      </c>
      <c r="H15261">
        <v>0.2</v>
      </c>
      <c r="J15261">
        <v>54.2</v>
      </c>
      <c r="K15261" t="str">
        <f t="shared" si="2718"/>
        <v>809</v>
      </c>
      <c r="L15261">
        <v>54.2</v>
      </c>
    </row>
    <row r="15262" spans="1:12" x14ac:dyDescent="0.25">
      <c r="A15262" t="str">
        <f t="shared" si="2715"/>
        <v>89301000</v>
      </c>
      <c r="B15262" t="str">
        <f t="shared" si="2716"/>
        <v>89383000</v>
      </c>
      <c r="C15262" t="str">
        <f t="shared" si="2717"/>
        <v>89383002</v>
      </c>
      <c r="D15262">
        <v>89301215</v>
      </c>
      <c r="E15262" t="str">
        <f t="shared" si="2719"/>
        <v>7158265334</v>
      </c>
      <c r="F15262" s="1">
        <v>45273</v>
      </c>
      <c r="G15262" t="str">
        <f>"0142908"</f>
        <v>0142908</v>
      </c>
      <c r="H15262">
        <v>1</v>
      </c>
      <c r="J15262">
        <v>910</v>
      </c>
      <c r="K15262" t="str">
        <f t="shared" si="2718"/>
        <v>809</v>
      </c>
      <c r="L15262">
        <v>910</v>
      </c>
    </row>
    <row r="15263" spans="1:12" x14ac:dyDescent="0.25">
      <c r="A15263" t="str">
        <f t="shared" si="2715"/>
        <v>89301000</v>
      </c>
      <c r="B15263" t="str">
        <f t="shared" si="2716"/>
        <v>89383000</v>
      </c>
      <c r="C15263" t="str">
        <f t="shared" si="2717"/>
        <v>89383002</v>
      </c>
      <c r="D15263">
        <v>89301045</v>
      </c>
      <c r="E15263" t="str">
        <f t="shared" ref="E15263:E15268" si="2720">"445224412"</f>
        <v>445224412</v>
      </c>
      <c r="F15263" s="1">
        <v>45273</v>
      </c>
      <c r="G15263" t="str">
        <f>"89313"</f>
        <v>89313</v>
      </c>
      <c r="H15263">
        <v>1</v>
      </c>
      <c r="I15263">
        <v>420</v>
      </c>
      <c r="J15263">
        <v>0</v>
      </c>
      <c r="K15263" t="str">
        <f t="shared" si="2718"/>
        <v>809</v>
      </c>
      <c r="L15263">
        <v>617.4</v>
      </c>
    </row>
    <row r="15264" spans="1:12" x14ac:dyDescent="0.25">
      <c r="A15264" t="str">
        <f t="shared" si="2715"/>
        <v>89301000</v>
      </c>
      <c r="B15264" t="str">
        <f t="shared" si="2716"/>
        <v>89383000</v>
      </c>
      <c r="C15264" t="str">
        <f t="shared" si="2717"/>
        <v>89383002</v>
      </c>
      <c r="D15264">
        <v>89301045</v>
      </c>
      <c r="E15264" t="str">
        <f t="shared" si="2720"/>
        <v>445224412</v>
      </c>
      <c r="F15264" s="1">
        <v>45273</v>
      </c>
      <c r="G15264" t="str">
        <f>"09233"</f>
        <v>09233</v>
      </c>
      <c r="H15264">
        <v>1</v>
      </c>
      <c r="I15264">
        <v>102</v>
      </c>
      <c r="J15264">
        <v>0</v>
      </c>
      <c r="K15264" t="str">
        <f t="shared" si="2718"/>
        <v>809</v>
      </c>
      <c r="L15264">
        <v>149.94</v>
      </c>
    </row>
    <row r="15265" spans="1:12" x14ac:dyDescent="0.25">
      <c r="A15265" t="str">
        <f t="shared" si="2715"/>
        <v>89301000</v>
      </c>
      <c r="B15265" t="str">
        <f t="shared" si="2716"/>
        <v>89383000</v>
      </c>
      <c r="C15265" t="str">
        <f t="shared" si="2717"/>
        <v>89383002</v>
      </c>
      <c r="D15265">
        <v>89301045</v>
      </c>
      <c r="E15265" t="str">
        <f t="shared" si="2720"/>
        <v>445224412</v>
      </c>
      <c r="F15265" s="1">
        <v>45273</v>
      </c>
      <c r="G15265" t="str">
        <f>"89512"</f>
        <v>89512</v>
      </c>
      <c r="H15265">
        <v>1</v>
      </c>
      <c r="I15265">
        <v>283</v>
      </c>
      <c r="J15265">
        <v>0</v>
      </c>
      <c r="K15265" t="str">
        <f t="shared" si="2718"/>
        <v>809</v>
      </c>
      <c r="L15265">
        <v>416.01</v>
      </c>
    </row>
    <row r="15266" spans="1:12" x14ac:dyDescent="0.25">
      <c r="A15266" t="str">
        <f t="shared" si="2715"/>
        <v>89301000</v>
      </c>
      <c r="B15266" t="str">
        <f t="shared" si="2716"/>
        <v>89383000</v>
      </c>
      <c r="C15266" t="str">
        <f t="shared" si="2717"/>
        <v>89383002</v>
      </c>
      <c r="D15266">
        <v>89301045</v>
      </c>
      <c r="E15266" t="str">
        <f t="shared" si="2720"/>
        <v>445224412</v>
      </c>
      <c r="F15266" s="1">
        <v>45273</v>
      </c>
      <c r="G15266" t="str">
        <f>"89180"</f>
        <v>89180</v>
      </c>
      <c r="H15266">
        <v>1</v>
      </c>
      <c r="I15266">
        <v>381</v>
      </c>
      <c r="J15266">
        <v>0</v>
      </c>
      <c r="K15266" t="str">
        <f t="shared" si="2718"/>
        <v>809</v>
      </c>
      <c r="L15266">
        <v>560.07000000000005</v>
      </c>
    </row>
    <row r="15267" spans="1:12" x14ac:dyDescent="0.25">
      <c r="A15267" t="str">
        <f t="shared" si="2715"/>
        <v>89301000</v>
      </c>
      <c r="B15267" t="str">
        <f t="shared" ref="B15267:B15298" si="2721">"89383000"</f>
        <v>89383000</v>
      </c>
      <c r="C15267" t="str">
        <f t="shared" ref="C15267:C15298" si="2722">"89383002"</f>
        <v>89383002</v>
      </c>
      <c r="D15267">
        <v>89301045</v>
      </c>
      <c r="E15267" t="str">
        <f t="shared" si="2720"/>
        <v>445224412</v>
      </c>
      <c r="F15267" s="1">
        <v>45273</v>
      </c>
      <c r="G15267" t="str">
        <f>"0093109"</f>
        <v>0093109</v>
      </c>
      <c r="H15267">
        <v>0.2</v>
      </c>
      <c r="J15267">
        <v>54.2</v>
      </c>
      <c r="K15267" t="str">
        <f t="shared" ref="K15267:K15298" si="2723">"809"</f>
        <v>809</v>
      </c>
      <c r="L15267">
        <v>54.2</v>
      </c>
    </row>
    <row r="15268" spans="1:12" x14ac:dyDescent="0.25">
      <c r="A15268" t="str">
        <f t="shared" si="2715"/>
        <v>89301000</v>
      </c>
      <c r="B15268" t="str">
        <f t="shared" si="2721"/>
        <v>89383000</v>
      </c>
      <c r="C15268" t="str">
        <f t="shared" si="2722"/>
        <v>89383002</v>
      </c>
      <c r="D15268">
        <v>89301045</v>
      </c>
      <c r="E15268" t="str">
        <f t="shared" si="2720"/>
        <v>445224412</v>
      </c>
      <c r="F15268" s="1">
        <v>45273</v>
      </c>
      <c r="G15268" t="str">
        <f>"0142906"</f>
        <v>0142906</v>
      </c>
      <c r="H15268">
        <v>1</v>
      </c>
      <c r="J15268">
        <v>6990</v>
      </c>
      <c r="K15268" t="str">
        <f t="shared" si="2723"/>
        <v>809</v>
      </c>
      <c r="L15268">
        <v>6990</v>
      </c>
    </row>
    <row r="15269" spans="1:12" x14ac:dyDescent="0.25">
      <c r="A15269" t="str">
        <f t="shared" si="2715"/>
        <v>89301000</v>
      </c>
      <c r="B15269" t="str">
        <f t="shared" si="2721"/>
        <v>89383000</v>
      </c>
      <c r="C15269" t="str">
        <f t="shared" si="2722"/>
        <v>89383002</v>
      </c>
      <c r="D15269">
        <v>89301212</v>
      </c>
      <c r="E15269" t="str">
        <f>"6360061378"</f>
        <v>6360061378</v>
      </c>
      <c r="F15269" s="1">
        <v>45275</v>
      </c>
      <c r="G15269" t="str">
        <f>"89180"</f>
        <v>89180</v>
      </c>
      <c r="H15269">
        <v>2</v>
      </c>
      <c r="I15269">
        <v>762</v>
      </c>
      <c r="J15269">
        <v>0</v>
      </c>
      <c r="K15269" t="str">
        <f t="shared" si="2723"/>
        <v>809</v>
      </c>
      <c r="L15269">
        <v>1120.1400000000001</v>
      </c>
    </row>
    <row r="15270" spans="1:12" x14ac:dyDescent="0.25">
      <c r="A15270" t="str">
        <f t="shared" si="2715"/>
        <v>89301000</v>
      </c>
      <c r="B15270" t="str">
        <f t="shared" si="2721"/>
        <v>89383000</v>
      </c>
      <c r="C15270" t="str">
        <f t="shared" si="2722"/>
        <v>89383002</v>
      </c>
      <c r="D15270">
        <v>89301212</v>
      </c>
      <c r="E15270" t="str">
        <f>"6360061378"</f>
        <v>6360061378</v>
      </c>
      <c r="F15270" s="1">
        <v>45275</v>
      </c>
      <c r="G15270" t="str">
        <f>"89512"</f>
        <v>89512</v>
      </c>
      <c r="H15270">
        <v>1</v>
      </c>
      <c r="I15270">
        <v>283</v>
      </c>
      <c r="J15270">
        <v>0</v>
      </c>
      <c r="K15270" t="str">
        <f t="shared" si="2723"/>
        <v>809</v>
      </c>
      <c r="L15270">
        <v>416.01</v>
      </c>
    </row>
    <row r="15271" spans="1:12" x14ac:dyDescent="0.25">
      <c r="A15271" t="str">
        <f t="shared" si="2715"/>
        <v>89301000</v>
      </c>
      <c r="B15271" t="str">
        <f t="shared" si="2721"/>
        <v>89383000</v>
      </c>
      <c r="C15271" t="str">
        <f t="shared" si="2722"/>
        <v>89383002</v>
      </c>
      <c r="D15271">
        <v>89301212</v>
      </c>
      <c r="E15271" t="str">
        <f>"6360061378"</f>
        <v>6360061378</v>
      </c>
      <c r="F15271" s="1">
        <v>45275</v>
      </c>
      <c r="G15271" t="str">
        <f>"89513"</f>
        <v>89513</v>
      </c>
      <c r="H15271">
        <v>1</v>
      </c>
      <c r="I15271">
        <v>378</v>
      </c>
      <c r="J15271">
        <v>0</v>
      </c>
      <c r="K15271" t="str">
        <f t="shared" si="2723"/>
        <v>809</v>
      </c>
      <c r="L15271">
        <v>555.66</v>
      </c>
    </row>
    <row r="15272" spans="1:12" x14ac:dyDescent="0.25">
      <c r="A15272" t="str">
        <f t="shared" si="2715"/>
        <v>89301000</v>
      </c>
      <c r="B15272" t="str">
        <f t="shared" si="2721"/>
        <v>89383000</v>
      </c>
      <c r="C15272" t="str">
        <f t="shared" si="2722"/>
        <v>89383002</v>
      </c>
      <c r="D15272">
        <v>89301212</v>
      </c>
      <c r="E15272" t="str">
        <f>"6360061378"</f>
        <v>6360061378</v>
      </c>
      <c r="F15272" s="1">
        <v>45275</v>
      </c>
      <c r="G15272" t="str">
        <f>"89514"</f>
        <v>89514</v>
      </c>
      <c r="H15272">
        <v>1</v>
      </c>
      <c r="I15272">
        <v>378</v>
      </c>
      <c r="J15272">
        <v>0</v>
      </c>
      <c r="K15272" t="str">
        <f t="shared" si="2723"/>
        <v>809</v>
      </c>
      <c r="L15272">
        <v>555.66</v>
      </c>
    </row>
    <row r="15273" spans="1:12" x14ac:dyDescent="0.25">
      <c r="A15273" t="str">
        <f t="shared" si="2715"/>
        <v>89301000</v>
      </c>
      <c r="B15273" t="str">
        <f t="shared" si="2721"/>
        <v>89383000</v>
      </c>
      <c r="C15273" t="str">
        <f t="shared" si="2722"/>
        <v>89383002</v>
      </c>
      <c r="D15273">
        <v>89301212</v>
      </c>
      <c r="E15273" t="str">
        <f>"6456182216"</f>
        <v>6456182216</v>
      </c>
      <c r="F15273" s="1">
        <v>45275</v>
      </c>
      <c r="G15273" t="str">
        <f>"89180"</f>
        <v>89180</v>
      </c>
      <c r="H15273">
        <v>2</v>
      </c>
      <c r="I15273">
        <v>762</v>
      </c>
      <c r="J15273">
        <v>0</v>
      </c>
      <c r="K15273" t="str">
        <f t="shared" si="2723"/>
        <v>809</v>
      </c>
      <c r="L15273">
        <v>1120.1400000000001</v>
      </c>
    </row>
    <row r="15274" spans="1:12" x14ac:dyDescent="0.25">
      <c r="A15274" t="str">
        <f t="shared" si="2715"/>
        <v>89301000</v>
      </c>
      <c r="B15274" t="str">
        <f t="shared" si="2721"/>
        <v>89383000</v>
      </c>
      <c r="C15274" t="str">
        <f t="shared" si="2722"/>
        <v>89383002</v>
      </c>
      <c r="D15274">
        <v>89301212</v>
      </c>
      <c r="E15274" t="str">
        <f>"6456182216"</f>
        <v>6456182216</v>
      </c>
      <c r="F15274" s="1">
        <v>45275</v>
      </c>
      <c r="G15274" t="str">
        <f>"89512"</f>
        <v>89512</v>
      </c>
      <c r="H15274">
        <v>1</v>
      </c>
      <c r="I15274">
        <v>283</v>
      </c>
      <c r="J15274">
        <v>0</v>
      </c>
      <c r="K15274" t="str">
        <f t="shared" si="2723"/>
        <v>809</v>
      </c>
      <c r="L15274">
        <v>416.01</v>
      </c>
    </row>
    <row r="15275" spans="1:12" x14ac:dyDescent="0.25">
      <c r="A15275" t="str">
        <f t="shared" si="2715"/>
        <v>89301000</v>
      </c>
      <c r="B15275" t="str">
        <f t="shared" si="2721"/>
        <v>89383000</v>
      </c>
      <c r="C15275" t="str">
        <f t="shared" si="2722"/>
        <v>89383002</v>
      </c>
      <c r="D15275">
        <v>89301212</v>
      </c>
      <c r="E15275" t="str">
        <f>"6456182216"</f>
        <v>6456182216</v>
      </c>
      <c r="F15275" s="1">
        <v>45275</v>
      </c>
      <c r="G15275" t="str">
        <f>"89513"</f>
        <v>89513</v>
      </c>
      <c r="H15275">
        <v>1</v>
      </c>
      <c r="I15275">
        <v>378</v>
      </c>
      <c r="J15275">
        <v>0</v>
      </c>
      <c r="K15275" t="str">
        <f t="shared" si="2723"/>
        <v>809</v>
      </c>
      <c r="L15275">
        <v>555.66</v>
      </c>
    </row>
    <row r="15276" spans="1:12" x14ac:dyDescent="0.25">
      <c r="A15276" t="str">
        <f t="shared" si="2715"/>
        <v>89301000</v>
      </c>
      <c r="B15276" t="str">
        <f t="shared" si="2721"/>
        <v>89383000</v>
      </c>
      <c r="C15276" t="str">
        <f t="shared" si="2722"/>
        <v>89383002</v>
      </c>
      <c r="D15276">
        <v>89301212</v>
      </c>
      <c r="E15276" t="str">
        <f>"6456182216"</f>
        <v>6456182216</v>
      </c>
      <c r="F15276" s="1">
        <v>45275</v>
      </c>
      <c r="G15276" t="str">
        <f>"89514"</f>
        <v>89514</v>
      </c>
      <c r="H15276">
        <v>1</v>
      </c>
      <c r="I15276">
        <v>378</v>
      </c>
      <c r="J15276">
        <v>0</v>
      </c>
      <c r="K15276" t="str">
        <f t="shared" si="2723"/>
        <v>809</v>
      </c>
      <c r="L15276">
        <v>555.66</v>
      </c>
    </row>
    <row r="15277" spans="1:12" x14ac:dyDescent="0.25">
      <c r="A15277" t="str">
        <f t="shared" si="2715"/>
        <v>89301000</v>
      </c>
      <c r="B15277" t="str">
        <f t="shared" si="2721"/>
        <v>89383000</v>
      </c>
      <c r="C15277" t="str">
        <f t="shared" si="2722"/>
        <v>89383002</v>
      </c>
      <c r="D15277">
        <v>89301215</v>
      </c>
      <c r="E15277" t="str">
        <f>"5962191576"</f>
        <v>5962191576</v>
      </c>
      <c r="F15277" s="1">
        <v>45278</v>
      </c>
      <c r="G15277" t="str">
        <f>"89180"</f>
        <v>89180</v>
      </c>
      <c r="H15277">
        <v>2</v>
      </c>
      <c r="I15277">
        <v>762</v>
      </c>
      <c r="J15277">
        <v>0</v>
      </c>
      <c r="K15277" t="str">
        <f t="shared" si="2723"/>
        <v>809</v>
      </c>
      <c r="L15277">
        <v>1120.1400000000001</v>
      </c>
    </row>
    <row r="15278" spans="1:12" x14ac:dyDescent="0.25">
      <c r="A15278" t="str">
        <f t="shared" si="2715"/>
        <v>89301000</v>
      </c>
      <c r="B15278" t="str">
        <f t="shared" si="2721"/>
        <v>89383000</v>
      </c>
      <c r="C15278" t="str">
        <f t="shared" si="2722"/>
        <v>89383002</v>
      </c>
      <c r="D15278">
        <v>89301215</v>
      </c>
      <c r="E15278" t="str">
        <f>"5962191576"</f>
        <v>5962191576</v>
      </c>
      <c r="F15278" s="1">
        <v>45278</v>
      </c>
      <c r="G15278" t="str">
        <f>"89512"</f>
        <v>89512</v>
      </c>
      <c r="H15278">
        <v>1</v>
      </c>
      <c r="I15278">
        <v>283</v>
      </c>
      <c r="J15278">
        <v>0</v>
      </c>
      <c r="K15278" t="str">
        <f t="shared" si="2723"/>
        <v>809</v>
      </c>
      <c r="L15278">
        <v>416.01</v>
      </c>
    </row>
    <row r="15279" spans="1:12" x14ac:dyDescent="0.25">
      <c r="A15279" t="str">
        <f t="shared" si="2715"/>
        <v>89301000</v>
      </c>
      <c r="B15279" t="str">
        <f t="shared" si="2721"/>
        <v>89383000</v>
      </c>
      <c r="C15279" t="str">
        <f t="shared" si="2722"/>
        <v>89383002</v>
      </c>
      <c r="D15279">
        <v>89301215</v>
      </c>
      <c r="E15279" t="str">
        <f>"5962191576"</f>
        <v>5962191576</v>
      </c>
      <c r="F15279" s="1">
        <v>45278</v>
      </c>
      <c r="G15279" t="str">
        <f>"89513"</f>
        <v>89513</v>
      </c>
      <c r="H15279">
        <v>1</v>
      </c>
      <c r="I15279">
        <v>378</v>
      </c>
      <c r="J15279">
        <v>0</v>
      </c>
      <c r="K15279" t="str">
        <f t="shared" si="2723"/>
        <v>809</v>
      </c>
      <c r="L15279">
        <v>555.66</v>
      </c>
    </row>
    <row r="15280" spans="1:12" x14ac:dyDescent="0.25">
      <c r="A15280" t="str">
        <f t="shared" si="2715"/>
        <v>89301000</v>
      </c>
      <c r="B15280" t="str">
        <f t="shared" si="2721"/>
        <v>89383000</v>
      </c>
      <c r="C15280" t="str">
        <f t="shared" si="2722"/>
        <v>89383002</v>
      </c>
      <c r="D15280">
        <v>89301215</v>
      </c>
      <c r="E15280" t="str">
        <f>"5962191576"</f>
        <v>5962191576</v>
      </c>
      <c r="F15280" s="1">
        <v>45278</v>
      </c>
      <c r="G15280" t="str">
        <f>"89514"</f>
        <v>89514</v>
      </c>
      <c r="H15280">
        <v>1</v>
      </c>
      <c r="I15280">
        <v>378</v>
      </c>
      <c r="J15280">
        <v>0</v>
      </c>
      <c r="K15280" t="str">
        <f t="shared" si="2723"/>
        <v>809</v>
      </c>
      <c r="L15280">
        <v>555.66</v>
      </c>
    </row>
    <row r="15281" spans="1:12" x14ac:dyDescent="0.25">
      <c r="A15281" t="str">
        <f t="shared" si="2715"/>
        <v>89301000</v>
      </c>
      <c r="B15281" t="str">
        <f t="shared" si="2721"/>
        <v>89383000</v>
      </c>
      <c r="C15281" t="str">
        <f t="shared" si="2722"/>
        <v>89383002</v>
      </c>
      <c r="D15281">
        <v>89301212</v>
      </c>
      <c r="E15281" t="str">
        <f>"8061225755"</f>
        <v>8061225755</v>
      </c>
      <c r="F15281" s="1">
        <v>45278</v>
      </c>
      <c r="G15281" t="str">
        <f>"89512"</f>
        <v>89512</v>
      </c>
      <c r="H15281">
        <v>1</v>
      </c>
      <c r="I15281">
        <v>283</v>
      </c>
      <c r="J15281">
        <v>0</v>
      </c>
      <c r="K15281" t="str">
        <f t="shared" si="2723"/>
        <v>809</v>
      </c>
      <c r="L15281">
        <v>416.01</v>
      </c>
    </row>
    <row r="15282" spans="1:12" x14ac:dyDescent="0.25">
      <c r="A15282" t="str">
        <f t="shared" si="2715"/>
        <v>89301000</v>
      </c>
      <c r="B15282" t="str">
        <f t="shared" si="2721"/>
        <v>89383000</v>
      </c>
      <c r="C15282" t="str">
        <f t="shared" si="2722"/>
        <v>89383002</v>
      </c>
      <c r="D15282">
        <v>89301045</v>
      </c>
      <c r="E15282" t="str">
        <f>"7959094858"</f>
        <v>7959094858</v>
      </c>
      <c r="F15282" s="1">
        <v>45278</v>
      </c>
      <c r="G15282" t="str">
        <f>"89512"</f>
        <v>89512</v>
      </c>
      <c r="H15282">
        <v>1</v>
      </c>
      <c r="I15282">
        <v>283</v>
      </c>
      <c r="J15282">
        <v>0</v>
      </c>
      <c r="K15282" t="str">
        <f t="shared" si="2723"/>
        <v>809</v>
      </c>
      <c r="L15282">
        <v>416.01</v>
      </c>
    </row>
    <row r="15283" spans="1:12" x14ac:dyDescent="0.25">
      <c r="A15283" t="str">
        <f t="shared" si="2715"/>
        <v>89301000</v>
      </c>
      <c r="B15283" t="str">
        <f t="shared" si="2721"/>
        <v>89383000</v>
      </c>
      <c r="C15283" t="str">
        <f t="shared" si="2722"/>
        <v>89383002</v>
      </c>
      <c r="D15283">
        <v>89301212</v>
      </c>
      <c r="E15283" t="str">
        <f>"7953145387"</f>
        <v>7953145387</v>
      </c>
      <c r="F15283" s="1">
        <v>45278</v>
      </c>
      <c r="G15283" t="str">
        <f>"89512"</f>
        <v>89512</v>
      </c>
      <c r="H15283">
        <v>1</v>
      </c>
      <c r="I15283">
        <v>283</v>
      </c>
      <c r="J15283">
        <v>0</v>
      </c>
      <c r="K15283" t="str">
        <f t="shared" si="2723"/>
        <v>809</v>
      </c>
      <c r="L15283">
        <v>416.01</v>
      </c>
    </row>
    <row r="15284" spans="1:12" x14ac:dyDescent="0.25">
      <c r="A15284" t="str">
        <f t="shared" si="2715"/>
        <v>89301000</v>
      </c>
      <c r="B15284" t="str">
        <f t="shared" si="2721"/>
        <v>89383000</v>
      </c>
      <c r="C15284" t="str">
        <f t="shared" si="2722"/>
        <v>89383002</v>
      </c>
      <c r="D15284">
        <v>89301212</v>
      </c>
      <c r="E15284" t="str">
        <f>"8453186390"</f>
        <v>8453186390</v>
      </c>
      <c r="F15284" s="1">
        <v>45278</v>
      </c>
      <c r="G15284" t="str">
        <f>"89512"</f>
        <v>89512</v>
      </c>
      <c r="H15284">
        <v>1</v>
      </c>
      <c r="I15284">
        <v>283</v>
      </c>
      <c r="J15284">
        <v>0</v>
      </c>
      <c r="K15284" t="str">
        <f t="shared" si="2723"/>
        <v>809</v>
      </c>
      <c r="L15284">
        <v>416.01</v>
      </c>
    </row>
    <row r="15285" spans="1:12" x14ac:dyDescent="0.25">
      <c r="A15285" t="str">
        <f t="shared" si="2715"/>
        <v>89301000</v>
      </c>
      <c r="B15285" t="str">
        <f t="shared" si="2721"/>
        <v>89383000</v>
      </c>
      <c r="C15285" t="str">
        <f t="shared" si="2722"/>
        <v>89383002</v>
      </c>
      <c r="D15285">
        <v>89301212</v>
      </c>
      <c r="E15285" t="str">
        <f>"386209422"</f>
        <v>386209422</v>
      </c>
      <c r="F15285" s="1">
        <v>45279</v>
      </c>
      <c r="G15285" t="str">
        <f>"89180"</f>
        <v>89180</v>
      </c>
      <c r="H15285">
        <v>2</v>
      </c>
      <c r="I15285">
        <v>762</v>
      </c>
      <c r="J15285">
        <v>0</v>
      </c>
      <c r="K15285" t="str">
        <f t="shared" si="2723"/>
        <v>809</v>
      </c>
      <c r="L15285">
        <v>1120.1400000000001</v>
      </c>
    </row>
    <row r="15286" spans="1:12" x14ac:dyDescent="0.25">
      <c r="A15286" t="str">
        <f t="shared" si="2715"/>
        <v>89301000</v>
      </c>
      <c r="B15286" t="str">
        <f t="shared" si="2721"/>
        <v>89383000</v>
      </c>
      <c r="C15286" t="str">
        <f t="shared" si="2722"/>
        <v>89383002</v>
      </c>
      <c r="D15286">
        <v>89301212</v>
      </c>
      <c r="E15286" t="str">
        <f>"386209422"</f>
        <v>386209422</v>
      </c>
      <c r="F15286" s="1">
        <v>45279</v>
      </c>
      <c r="G15286" t="str">
        <f>"89512"</f>
        <v>89512</v>
      </c>
      <c r="H15286">
        <v>1</v>
      </c>
      <c r="I15286">
        <v>283</v>
      </c>
      <c r="J15286">
        <v>0</v>
      </c>
      <c r="K15286" t="str">
        <f t="shared" si="2723"/>
        <v>809</v>
      </c>
      <c r="L15286">
        <v>416.01</v>
      </c>
    </row>
    <row r="15287" spans="1:12" x14ac:dyDescent="0.25">
      <c r="A15287" t="str">
        <f t="shared" si="2715"/>
        <v>89301000</v>
      </c>
      <c r="B15287" t="str">
        <f t="shared" si="2721"/>
        <v>89383000</v>
      </c>
      <c r="C15287" t="str">
        <f t="shared" si="2722"/>
        <v>89383002</v>
      </c>
      <c r="D15287">
        <v>89301212</v>
      </c>
      <c r="E15287" t="str">
        <f>"6354031101"</f>
        <v>6354031101</v>
      </c>
      <c r="F15287" s="1">
        <v>45279</v>
      </c>
      <c r="G15287" t="str">
        <f>"89512"</f>
        <v>89512</v>
      </c>
      <c r="H15287">
        <v>1</v>
      </c>
      <c r="I15287">
        <v>283</v>
      </c>
      <c r="J15287">
        <v>0</v>
      </c>
      <c r="K15287" t="str">
        <f t="shared" si="2723"/>
        <v>809</v>
      </c>
      <c r="L15287">
        <v>416.01</v>
      </c>
    </row>
    <row r="15288" spans="1:12" x14ac:dyDescent="0.25">
      <c r="A15288" t="str">
        <f t="shared" si="2715"/>
        <v>89301000</v>
      </c>
      <c r="B15288" t="str">
        <f t="shared" si="2721"/>
        <v>89383000</v>
      </c>
      <c r="C15288" t="str">
        <f t="shared" si="2722"/>
        <v>89383002</v>
      </c>
      <c r="D15288">
        <v>89301212</v>
      </c>
      <c r="E15288" t="str">
        <f>"6354031101"</f>
        <v>6354031101</v>
      </c>
      <c r="F15288" s="1">
        <v>45279</v>
      </c>
      <c r="G15288" t="str">
        <f>"89513"</f>
        <v>89513</v>
      </c>
      <c r="H15288">
        <v>1</v>
      </c>
      <c r="I15288">
        <v>378</v>
      </c>
      <c r="J15288">
        <v>0</v>
      </c>
      <c r="K15288" t="str">
        <f t="shared" si="2723"/>
        <v>809</v>
      </c>
      <c r="L15288">
        <v>555.66</v>
      </c>
    </row>
    <row r="15289" spans="1:12" x14ac:dyDescent="0.25">
      <c r="A15289" t="str">
        <f t="shared" si="2715"/>
        <v>89301000</v>
      </c>
      <c r="B15289" t="str">
        <f t="shared" si="2721"/>
        <v>89383000</v>
      </c>
      <c r="C15289" t="str">
        <f t="shared" si="2722"/>
        <v>89383002</v>
      </c>
      <c r="D15289">
        <v>89301212</v>
      </c>
      <c r="E15289" t="str">
        <f>"6354031101"</f>
        <v>6354031101</v>
      </c>
      <c r="F15289" s="1">
        <v>45279</v>
      </c>
      <c r="G15289" t="str">
        <f>"89514"</f>
        <v>89514</v>
      </c>
      <c r="H15289">
        <v>1</v>
      </c>
      <c r="I15289">
        <v>378</v>
      </c>
      <c r="J15289">
        <v>0</v>
      </c>
      <c r="K15289" t="str">
        <f t="shared" si="2723"/>
        <v>809</v>
      </c>
      <c r="L15289">
        <v>555.66</v>
      </c>
    </row>
    <row r="15290" spans="1:12" x14ac:dyDescent="0.25">
      <c r="A15290" t="str">
        <f t="shared" si="2715"/>
        <v>89301000</v>
      </c>
      <c r="B15290" t="str">
        <f t="shared" si="2721"/>
        <v>89383000</v>
      </c>
      <c r="C15290" t="str">
        <f t="shared" si="2722"/>
        <v>89383002</v>
      </c>
      <c r="D15290">
        <v>89301212</v>
      </c>
      <c r="E15290" t="str">
        <f>"7358145344"</f>
        <v>7358145344</v>
      </c>
      <c r="F15290" s="1">
        <v>45279</v>
      </c>
      <c r="G15290" t="str">
        <f>"89512"</f>
        <v>89512</v>
      </c>
      <c r="H15290">
        <v>1</v>
      </c>
      <c r="I15290">
        <v>283</v>
      </c>
      <c r="J15290">
        <v>0</v>
      </c>
      <c r="K15290" t="str">
        <f t="shared" si="2723"/>
        <v>809</v>
      </c>
      <c r="L15290">
        <v>416.01</v>
      </c>
    </row>
    <row r="15291" spans="1:12" x14ac:dyDescent="0.25">
      <c r="A15291" t="str">
        <f t="shared" si="2715"/>
        <v>89301000</v>
      </c>
      <c r="B15291" t="str">
        <f t="shared" si="2721"/>
        <v>89383000</v>
      </c>
      <c r="C15291" t="str">
        <f t="shared" si="2722"/>
        <v>89383002</v>
      </c>
      <c r="D15291">
        <v>89301212</v>
      </c>
      <c r="E15291" t="str">
        <f>"6452210721"</f>
        <v>6452210721</v>
      </c>
      <c r="F15291" s="1">
        <v>45280</v>
      </c>
      <c r="G15291" t="str">
        <f>"89180"</f>
        <v>89180</v>
      </c>
      <c r="H15291">
        <v>2</v>
      </c>
      <c r="I15291">
        <v>762</v>
      </c>
      <c r="J15291">
        <v>0</v>
      </c>
      <c r="K15291" t="str">
        <f t="shared" si="2723"/>
        <v>809</v>
      </c>
      <c r="L15291">
        <v>1120.1400000000001</v>
      </c>
    </row>
    <row r="15292" spans="1:12" x14ac:dyDescent="0.25">
      <c r="A15292" t="str">
        <f t="shared" si="2715"/>
        <v>89301000</v>
      </c>
      <c r="B15292" t="str">
        <f t="shared" si="2721"/>
        <v>89383000</v>
      </c>
      <c r="C15292" t="str">
        <f t="shared" si="2722"/>
        <v>89383002</v>
      </c>
      <c r="D15292">
        <v>89301212</v>
      </c>
      <c r="E15292" t="str">
        <f>"6452210721"</f>
        <v>6452210721</v>
      </c>
      <c r="F15292" s="1">
        <v>45280</v>
      </c>
      <c r="G15292" t="str">
        <f>"89512"</f>
        <v>89512</v>
      </c>
      <c r="H15292">
        <v>1</v>
      </c>
      <c r="I15292">
        <v>283</v>
      </c>
      <c r="J15292">
        <v>0</v>
      </c>
      <c r="K15292" t="str">
        <f t="shared" si="2723"/>
        <v>809</v>
      </c>
      <c r="L15292">
        <v>416.01</v>
      </c>
    </row>
    <row r="15293" spans="1:12" x14ac:dyDescent="0.25">
      <c r="A15293" t="str">
        <f t="shared" si="2715"/>
        <v>89301000</v>
      </c>
      <c r="B15293" t="str">
        <f t="shared" si="2721"/>
        <v>89383000</v>
      </c>
      <c r="C15293" t="str">
        <f t="shared" si="2722"/>
        <v>89383002</v>
      </c>
      <c r="D15293">
        <v>89301212</v>
      </c>
      <c r="E15293" t="str">
        <f>"6452210721"</f>
        <v>6452210721</v>
      </c>
      <c r="F15293" s="1">
        <v>45280</v>
      </c>
      <c r="G15293" t="str">
        <f>"89513"</f>
        <v>89513</v>
      </c>
      <c r="H15293">
        <v>1</v>
      </c>
      <c r="I15293">
        <v>378</v>
      </c>
      <c r="J15293">
        <v>0</v>
      </c>
      <c r="K15293" t="str">
        <f t="shared" si="2723"/>
        <v>809</v>
      </c>
      <c r="L15293">
        <v>555.66</v>
      </c>
    </row>
    <row r="15294" spans="1:12" x14ac:dyDescent="0.25">
      <c r="A15294" t="str">
        <f t="shared" si="2715"/>
        <v>89301000</v>
      </c>
      <c r="B15294" t="str">
        <f t="shared" si="2721"/>
        <v>89383000</v>
      </c>
      <c r="C15294" t="str">
        <f t="shared" si="2722"/>
        <v>89383002</v>
      </c>
      <c r="D15294">
        <v>89301212</v>
      </c>
      <c r="E15294" t="str">
        <f>"6452210721"</f>
        <v>6452210721</v>
      </c>
      <c r="F15294" s="1">
        <v>45280</v>
      </c>
      <c r="G15294" t="str">
        <f>"89514"</f>
        <v>89514</v>
      </c>
      <c r="H15294">
        <v>1</v>
      </c>
      <c r="I15294">
        <v>378</v>
      </c>
      <c r="J15294">
        <v>0</v>
      </c>
      <c r="K15294" t="str">
        <f t="shared" si="2723"/>
        <v>809</v>
      </c>
      <c r="L15294">
        <v>555.66</v>
      </c>
    </row>
    <row r="15295" spans="1:12" x14ac:dyDescent="0.25">
      <c r="A15295" t="str">
        <f t="shared" si="2715"/>
        <v>89301000</v>
      </c>
      <c r="B15295" t="str">
        <f t="shared" si="2721"/>
        <v>89383000</v>
      </c>
      <c r="C15295" t="str">
        <f t="shared" si="2722"/>
        <v>89383002</v>
      </c>
      <c r="D15295">
        <v>89301212</v>
      </c>
      <c r="E15295" t="str">
        <f>"6652016701"</f>
        <v>6652016701</v>
      </c>
      <c r="F15295" s="1">
        <v>45280</v>
      </c>
      <c r="G15295" t="str">
        <f>"89180"</f>
        <v>89180</v>
      </c>
      <c r="H15295">
        <v>2</v>
      </c>
      <c r="I15295">
        <v>762</v>
      </c>
      <c r="J15295">
        <v>0</v>
      </c>
      <c r="K15295" t="str">
        <f t="shared" si="2723"/>
        <v>809</v>
      </c>
      <c r="L15295">
        <v>1120.1400000000001</v>
      </c>
    </row>
    <row r="15296" spans="1:12" x14ac:dyDescent="0.25">
      <c r="A15296" t="str">
        <f t="shared" si="2715"/>
        <v>89301000</v>
      </c>
      <c r="B15296" t="str">
        <f t="shared" si="2721"/>
        <v>89383000</v>
      </c>
      <c r="C15296" t="str">
        <f t="shared" si="2722"/>
        <v>89383002</v>
      </c>
      <c r="D15296">
        <v>89301212</v>
      </c>
      <c r="E15296" t="str">
        <f>"6652016701"</f>
        <v>6652016701</v>
      </c>
      <c r="F15296" s="1">
        <v>45280</v>
      </c>
      <c r="G15296" t="str">
        <f>"89512"</f>
        <v>89512</v>
      </c>
      <c r="H15296">
        <v>1</v>
      </c>
      <c r="I15296">
        <v>283</v>
      </c>
      <c r="J15296">
        <v>0</v>
      </c>
      <c r="K15296" t="str">
        <f t="shared" si="2723"/>
        <v>809</v>
      </c>
      <c r="L15296">
        <v>416.01</v>
      </c>
    </row>
    <row r="15297" spans="1:12" x14ac:dyDescent="0.25">
      <c r="A15297" t="str">
        <f t="shared" si="2715"/>
        <v>89301000</v>
      </c>
      <c r="B15297" t="str">
        <f t="shared" si="2721"/>
        <v>89383000</v>
      </c>
      <c r="C15297" t="str">
        <f t="shared" si="2722"/>
        <v>89383002</v>
      </c>
      <c r="D15297">
        <v>89301212</v>
      </c>
      <c r="E15297" t="str">
        <f t="shared" ref="E15297:E15302" si="2724">"5462163025"</f>
        <v>5462163025</v>
      </c>
      <c r="F15297" s="1">
        <v>45274</v>
      </c>
      <c r="G15297" t="str">
        <f>"89313"</f>
        <v>89313</v>
      </c>
      <c r="H15297">
        <v>1</v>
      </c>
      <c r="I15297">
        <v>420</v>
      </c>
      <c r="J15297">
        <v>0</v>
      </c>
      <c r="K15297" t="str">
        <f t="shared" si="2723"/>
        <v>809</v>
      </c>
      <c r="L15297">
        <v>617.4</v>
      </c>
    </row>
    <row r="15298" spans="1:12" x14ac:dyDescent="0.25">
      <c r="A15298" t="str">
        <f t="shared" ref="A15298:A15361" si="2725">"89301000"</f>
        <v>89301000</v>
      </c>
      <c r="B15298" t="str">
        <f t="shared" si="2721"/>
        <v>89383000</v>
      </c>
      <c r="C15298" t="str">
        <f t="shared" si="2722"/>
        <v>89383002</v>
      </c>
      <c r="D15298">
        <v>89301212</v>
      </c>
      <c r="E15298" t="str">
        <f t="shared" si="2724"/>
        <v>5462163025</v>
      </c>
      <c r="F15298" s="1">
        <v>45274</v>
      </c>
      <c r="G15298" t="str">
        <f>"09233"</f>
        <v>09233</v>
      </c>
      <c r="H15298">
        <v>1</v>
      </c>
      <c r="I15298">
        <v>102</v>
      </c>
      <c r="J15298">
        <v>0</v>
      </c>
      <c r="K15298" t="str">
        <f t="shared" si="2723"/>
        <v>809</v>
      </c>
      <c r="L15298">
        <v>149.94</v>
      </c>
    </row>
    <row r="15299" spans="1:12" x14ac:dyDescent="0.25">
      <c r="A15299" t="str">
        <f t="shared" si="2725"/>
        <v>89301000</v>
      </c>
      <c r="B15299" t="str">
        <f t="shared" ref="B15299:B15321" si="2726">"89383000"</f>
        <v>89383000</v>
      </c>
      <c r="C15299" t="str">
        <f t="shared" ref="C15299:C15321" si="2727">"89383002"</f>
        <v>89383002</v>
      </c>
      <c r="D15299">
        <v>89301212</v>
      </c>
      <c r="E15299" t="str">
        <f t="shared" si="2724"/>
        <v>5462163025</v>
      </c>
      <c r="F15299" s="1">
        <v>45274</v>
      </c>
      <c r="G15299" t="str">
        <f>"89512"</f>
        <v>89512</v>
      </c>
      <c r="H15299">
        <v>1</v>
      </c>
      <c r="I15299">
        <v>283</v>
      </c>
      <c r="J15299">
        <v>0</v>
      </c>
      <c r="K15299" t="str">
        <f t="shared" ref="K15299:K15321" si="2728">"809"</f>
        <v>809</v>
      </c>
      <c r="L15299">
        <v>416.01</v>
      </c>
    </row>
    <row r="15300" spans="1:12" x14ac:dyDescent="0.25">
      <c r="A15300" t="str">
        <f t="shared" si="2725"/>
        <v>89301000</v>
      </c>
      <c r="B15300" t="str">
        <f t="shared" si="2726"/>
        <v>89383000</v>
      </c>
      <c r="C15300" t="str">
        <f t="shared" si="2727"/>
        <v>89383002</v>
      </c>
      <c r="D15300">
        <v>89301212</v>
      </c>
      <c r="E15300" t="str">
        <f t="shared" si="2724"/>
        <v>5462163025</v>
      </c>
      <c r="F15300" s="1">
        <v>45274</v>
      </c>
      <c r="G15300" t="str">
        <f>"89180"</f>
        <v>89180</v>
      </c>
      <c r="H15300">
        <v>1</v>
      </c>
      <c r="I15300">
        <v>381</v>
      </c>
      <c r="J15300">
        <v>0</v>
      </c>
      <c r="K15300" t="str">
        <f t="shared" si="2728"/>
        <v>809</v>
      </c>
      <c r="L15300">
        <v>560.07000000000005</v>
      </c>
    </row>
    <row r="15301" spans="1:12" x14ac:dyDescent="0.25">
      <c r="A15301" t="str">
        <f t="shared" si="2725"/>
        <v>89301000</v>
      </c>
      <c r="B15301" t="str">
        <f t="shared" si="2726"/>
        <v>89383000</v>
      </c>
      <c r="C15301" t="str">
        <f t="shared" si="2727"/>
        <v>89383002</v>
      </c>
      <c r="D15301">
        <v>89301212</v>
      </c>
      <c r="E15301" t="str">
        <f t="shared" si="2724"/>
        <v>5462163025</v>
      </c>
      <c r="F15301" s="1">
        <v>45274</v>
      </c>
      <c r="G15301" t="str">
        <f>"0093109"</f>
        <v>0093109</v>
      </c>
      <c r="H15301">
        <v>0.2</v>
      </c>
      <c r="J15301">
        <v>54.2</v>
      </c>
      <c r="K15301" t="str">
        <f t="shared" si="2728"/>
        <v>809</v>
      </c>
      <c r="L15301">
        <v>54.2</v>
      </c>
    </row>
    <row r="15302" spans="1:12" x14ac:dyDescent="0.25">
      <c r="A15302" t="str">
        <f t="shared" si="2725"/>
        <v>89301000</v>
      </c>
      <c r="B15302" t="str">
        <f t="shared" si="2726"/>
        <v>89383000</v>
      </c>
      <c r="C15302" t="str">
        <f t="shared" si="2727"/>
        <v>89383002</v>
      </c>
      <c r="D15302">
        <v>89301212</v>
      </c>
      <c r="E15302" t="str">
        <f t="shared" si="2724"/>
        <v>5462163025</v>
      </c>
      <c r="F15302" s="1">
        <v>45274</v>
      </c>
      <c r="G15302" t="str">
        <f>"0142906"</f>
        <v>0142906</v>
      </c>
      <c r="H15302">
        <v>1</v>
      </c>
      <c r="J15302">
        <v>6990</v>
      </c>
      <c r="K15302" t="str">
        <f t="shared" si="2728"/>
        <v>809</v>
      </c>
      <c r="L15302">
        <v>6990</v>
      </c>
    </row>
    <row r="15303" spans="1:12" x14ac:dyDescent="0.25">
      <c r="A15303" t="str">
        <f t="shared" si="2725"/>
        <v>89301000</v>
      </c>
      <c r="B15303" t="str">
        <f t="shared" si="2726"/>
        <v>89383000</v>
      </c>
      <c r="C15303" t="str">
        <f t="shared" si="2727"/>
        <v>89383002</v>
      </c>
      <c r="D15303">
        <v>89301212</v>
      </c>
      <c r="E15303" t="str">
        <f>"8453186390"</f>
        <v>8453186390</v>
      </c>
      <c r="F15303" s="1">
        <v>45279</v>
      </c>
      <c r="G15303" t="str">
        <f>"89311"</f>
        <v>89311</v>
      </c>
      <c r="H15303">
        <v>1</v>
      </c>
      <c r="I15303">
        <v>970</v>
      </c>
      <c r="J15303">
        <v>0</v>
      </c>
      <c r="K15303" t="str">
        <f t="shared" si="2728"/>
        <v>809</v>
      </c>
      <c r="L15303">
        <v>1425.9</v>
      </c>
    </row>
    <row r="15304" spans="1:12" x14ac:dyDescent="0.25">
      <c r="A15304" t="str">
        <f t="shared" si="2725"/>
        <v>89301000</v>
      </c>
      <c r="B15304" t="str">
        <f t="shared" si="2726"/>
        <v>89383000</v>
      </c>
      <c r="C15304" t="str">
        <f t="shared" si="2727"/>
        <v>89383002</v>
      </c>
      <c r="D15304">
        <v>89301212</v>
      </c>
      <c r="E15304" t="str">
        <f>"8453186390"</f>
        <v>8453186390</v>
      </c>
      <c r="F15304" s="1">
        <v>45279</v>
      </c>
      <c r="G15304" t="str">
        <f>"89512"</f>
        <v>89512</v>
      </c>
      <c r="H15304">
        <v>1</v>
      </c>
      <c r="I15304">
        <v>283</v>
      </c>
      <c r="J15304">
        <v>0</v>
      </c>
      <c r="K15304" t="str">
        <f t="shared" si="2728"/>
        <v>809</v>
      </c>
      <c r="L15304">
        <v>416.01</v>
      </c>
    </row>
    <row r="15305" spans="1:12" x14ac:dyDescent="0.25">
      <c r="A15305" t="str">
        <f t="shared" si="2725"/>
        <v>89301000</v>
      </c>
      <c r="B15305" t="str">
        <f t="shared" si="2726"/>
        <v>89383000</v>
      </c>
      <c r="C15305" t="str">
        <f t="shared" si="2727"/>
        <v>89383002</v>
      </c>
      <c r="D15305">
        <v>89301212</v>
      </c>
      <c r="E15305" t="str">
        <f>"7559204466"</f>
        <v>7559204466</v>
      </c>
      <c r="F15305" s="1">
        <v>45281</v>
      </c>
      <c r="G15305" t="str">
        <f>"89512"</f>
        <v>89512</v>
      </c>
      <c r="H15305">
        <v>1</v>
      </c>
      <c r="I15305">
        <v>283</v>
      </c>
      <c r="J15305">
        <v>0</v>
      </c>
      <c r="K15305" t="str">
        <f t="shared" si="2728"/>
        <v>809</v>
      </c>
      <c r="L15305">
        <v>416.01</v>
      </c>
    </row>
    <row r="15306" spans="1:12" x14ac:dyDescent="0.25">
      <c r="A15306" t="str">
        <f t="shared" si="2725"/>
        <v>89301000</v>
      </c>
      <c r="B15306" t="str">
        <f t="shared" si="2726"/>
        <v>89383000</v>
      </c>
      <c r="C15306" t="str">
        <f t="shared" si="2727"/>
        <v>89383002</v>
      </c>
      <c r="D15306">
        <v>89301212</v>
      </c>
      <c r="E15306" t="str">
        <f>"7559204466"</f>
        <v>7559204466</v>
      </c>
      <c r="F15306" s="1">
        <v>45281</v>
      </c>
      <c r="G15306" t="str">
        <f>"89513"</f>
        <v>89513</v>
      </c>
      <c r="H15306">
        <v>1</v>
      </c>
      <c r="I15306">
        <v>378</v>
      </c>
      <c r="J15306">
        <v>0</v>
      </c>
      <c r="K15306" t="str">
        <f t="shared" si="2728"/>
        <v>809</v>
      </c>
      <c r="L15306">
        <v>555.66</v>
      </c>
    </row>
    <row r="15307" spans="1:12" x14ac:dyDescent="0.25">
      <c r="A15307" t="str">
        <f t="shared" si="2725"/>
        <v>89301000</v>
      </c>
      <c r="B15307" t="str">
        <f t="shared" si="2726"/>
        <v>89383000</v>
      </c>
      <c r="C15307" t="str">
        <f t="shared" si="2727"/>
        <v>89383002</v>
      </c>
      <c r="D15307">
        <v>89301212</v>
      </c>
      <c r="E15307" t="str">
        <f>"7559204466"</f>
        <v>7559204466</v>
      </c>
      <c r="F15307" s="1">
        <v>45281</v>
      </c>
      <c r="G15307" t="str">
        <f>"89514"</f>
        <v>89514</v>
      </c>
      <c r="H15307">
        <v>1</v>
      </c>
      <c r="I15307">
        <v>378</v>
      </c>
      <c r="J15307">
        <v>0</v>
      </c>
      <c r="K15307" t="str">
        <f t="shared" si="2728"/>
        <v>809</v>
      </c>
      <c r="L15307">
        <v>555.66</v>
      </c>
    </row>
    <row r="15308" spans="1:12" x14ac:dyDescent="0.25">
      <c r="A15308" t="str">
        <f t="shared" si="2725"/>
        <v>89301000</v>
      </c>
      <c r="B15308" t="str">
        <f t="shared" si="2726"/>
        <v>89383000</v>
      </c>
      <c r="C15308" t="str">
        <f t="shared" si="2727"/>
        <v>89383002</v>
      </c>
      <c r="D15308">
        <v>89301212</v>
      </c>
      <c r="E15308" t="str">
        <f>"8552125758"</f>
        <v>8552125758</v>
      </c>
      <c r="F15308" s="1">
        <v>45278</v>
      </c>
      <c r="G15308" t="str">
        <f>"89512"</f>
        <v>89512</v>
      </c>
      <c r="H15308">
        <v>1</v>
      </c>
      <c r="I15308">
        <v>283</v>
      </c>
      <c r="J15308">
        <v>0</v>
      </c>
      <c r="K15308" t="str">
        <f t="shared" si="2728"/>
        <v>809</v>
      </c>
      <c r="L15308">
        <v>416.01</v>
      </c>
    </row>
    <row r="15309" spans="1:12" x14ac:dyDescent="0.25">
      <c r="A15309" t="str">
        <f t="shared" si="2725"/>
        <v>89301000</v>
      </c>
      <c r="B15309" t="str">
        <f t="shared" si="2726"/>
        <v>89383000</v>
      </c>
      <c r="C15309" t="str">
        <f t="shared" si="2727"/>
        <v>89383002</v>
      </c>
      <c r="D15309">
        <v>89301212</v>
      </c>
      <c r="E15309" t="str">
        <f>"6853190025"</f>
        <v>6853190025</v>
      </c>
      <c r="F15309" s="1">
        <v>45281</v>
      </c>
      <c r="G15309" t="str">
        <f>"89512"</f>
        <v>89512</v>
      </c>
      <c r="H15309">
        <v>1</v>
      </c>
      <c r="I15309">
        <v>283</v>
      </c>
      <c r="J15309">
        <v>0</v>
      </c>
      <c r="K15309" t="str">
        <f t="shared" si="2728"/>
        <v>809</v>
      </c>
      <c r="L15309">
        <v>416.01</v>
      </c>
    </row>
    <row r="15310" spans="1:12" x14ac:dyDescent="0.25">
      <c r="A15310" t="str">
        <f t="shared" si="2725"/>
        <v>89301000</v>
      </c>
      <c r="B15310" t="str">
        <f t="shared" si="2726"/>
        <v>89383000</v>
      </c>
      <c r="C15310" t="str">
        <f t="shared" si="2727"/>
        <v>89383002</v>
      </c>
      <c r="D15310">
        <v>89301212</v>
      </c>
      <c r="E15310" t="str">
        <f>"6853190025"</f>
        <v>6853190025</v>
      </c>
      <c r="F15310" s="1">
        <v>45281</v>
      </c>
      <c r="G15310" t="str">
        <f>"89513"</f>
        <v>89513</v>
      </c>
      <c r="H15310">
        <v>1</v>
      </c>
      <c r="I15310">
        <v>378</v>
      </c>
      <c r="J15310">
        <v>0</v>
      </c>
      <c r="K15310" t="str">
        <f t="shared" si="2728"/>
        <v>809</v>
      </c>
      <c r="L15310">
        <v>555.66</v>
      </c>
    </row>
    <row r="15311" spans="1:12" x14ac:dyDescent="0.25">
      <c r="A15311" t="str">
        <f t="shared" si="2725"/>
        <v>89301000</v>
      </c>
      <c r="B15311" t="str">
        <f t="shared" si="2726"/>
        <v>89383000</v>
      </c>
      <c r="C15311" t="str">
        <f t="shared" si="2727"/>
        <v>89383002</v>
      </c>
      <c r="D15311">
        <v>89301212</v>
      </c>
      <c r="E15311" t="str">
        <f>"6853190025"</f>
        <v>6853190025</v>
      </c>
      <c r="F15311" s="1">
        <v>45281</v>
      </c>
      <c r="G15311" t="str">
        <f>"89514"</f>
        <v>89514</v>
      </c>
      <c r="H15311">
        <v>1</v>
      </c>
      <c r="I15311">
        <v>378</v>
      </c>
      <c r="J15311">
        <v>0</v>
      </c>
      <c r="K15311" t="str">
        <f t="shared" si="2728"/>
        <v>809</v>
      </c>
      <c r="L15311">
        <v>555.66</v>
      </c>
    </row>
    <row r="15312" spans="1:12" x14ac:dyDescent="0.25">
      <c r="A15312" t="str">
        <f t="shared" si="2725"/>
        <v>89301000</v>
      </c>
      <c r="B15312" t="str">
        <f t="shared" si="2726"/>
        <v>89383000</v>
      </c>
      <c r="C15312" t="str">
        <f t="shared" si="2727"/>
        <v>89383002</v>
      </c>
      <c r="D15312">
        <v>89301212</v>
      </c>
      <c r="E15312" t="str">
        <f>"446217452"</f>
        <v>446217452</v>
      </c>
      <c r="F15312" s="1">
        <v>45281</v>
      </c>
      <c r="G15312" t="str">
        <f>"89512"</f>
        <v>89512</v>
      </c>
      <c r="H15312">
        <v>1</v>
      </c>
      <c r="I15312">
        <v>283</v>
      </c>
      <c r="J15312">
        <v>0</v>
      </c>
      <c r="K15312" t="str">
        <f t="shared" si="2728"/>
        <v>809</v>
      </c>
      <c r="L15312">
        <v>416.01</v>
      </c>
    </row>
    <row r="15313" spans="1:12" x14ac:dyDescent="0.25">
      <c r="A15313" t="str">
        <f t="shared" si="2725"/>
        <v>89301000</v>
      </c>
      <c r="B15313" t="str">
        <f t="shared" si="2726"/>
        <v>89383000</v>
      </c>
      <c r="C15313" t="str">
        <f t="shared" si="2727"/>
        <v>89383002</v>
      </c>
      <c r="D15313">
        <v>89301212</v>
      </c>
      <c r="E15313" t="str">
        <f>"446217452"</f>
        <v>446217452</v>
      </c>
      <c r="F15313" s="1">
        <v>45281</v>
      </c>
      <c r="G15313" t="str">
        <f>"89513"</f>
        <v>89513</v>
      </c>
      <c r="H15313">
        <v>1</v>
      </c>
      <c r="I15313">
        <v>378</v>
      </c>
      <c r="J15313">
        <v>0</v>
      </c>
      <c r="K15313" t="str">
        <f t="shared" si="2728"/>
        <v>809</v>
      </c>
      <c r="L15313">
        <v>555.66</v>
      </c>
    </row>
    <row r="15314" spans="1:12" x14ac:dyDescent="0.25">
      <c r="A15314" t="str">
        <f t="shared" si="2725"/>
        <v>89301000</v>
      </c>
      <c r="B15314" t="str">
        <f t="shared" si="2726"/>
        <v>89383000</v>
      </c>
      <c r="C15314" t="str">
        <f t="shared" si="2727"/>
        <v>89383002</v>
      </c>
      <c r="D15314">
        <v>89301212</v>
      </c>
      <c r="E15314" t="str">
        <f>"446217452"</f>
        <v>446217452</v>
      </c>
      <c r="F15314" s="1">
        <v>45281</v>
      </c>
      <c r="G15314" t="str">
        <f>"89514"</f>
        <v>89514</v>
      </c>
      <c r="H15314">
        <v>1</v>
      </c>
      <c r="I15314">
        <v>378</v>
      </c>
      <c r="J15314">
        <v>0</v>
      </c>
      <c r="K15314" t="str">
        <f t="shared" si="2728"/>
        <v>809</v>
      </c>
      <c r="L15314">
        <v>555.66</v>
      </c>
    </row>
    <row r="15315" spans="1:12" x14ac:dyDescent="0.25">
      <c r="A15315" t="str">
        <f t="shared" si="2725"/>
        <v>89301000</v>
      </c>
      <c r="B15315" t="str">
        <f t="shared" si="2726"/>
        <v>89383000</v>
      </c>
      <c r="C15315" t="str">
        <f t="shared" si="2727"/>
        <v>89383002</v>
      </c>
      <c r="D15315">
        <v>89301045</v>
      </c>
      <c r="E15315" t="str">
        <f>"7255304848"</f>
        <v>7255304848</v>
      </c>
      <c r="F15315" s="1">
        <v>45281</v>
      </c>
      <c r="G15315" t="str">
        <f>"89313"</f>
        <v>89313</v>
      </c>
      <c r="H15315">
        <v>1</v>
      </c>
      <c r="I15315">
        <v>420</v>
      </c>
      <c r="J15315">
        <v>0</v>
      </c>
      <c r="K15315" t="str">
        <f t="shared" si="2728"/>
        <v>809</v>
      </c>
      <c r="L15315">
        <v>617.4</v>
      </c>
    </row>
    <row r="15316" spans="1:12" x14ac:dyDescent="0.25">
      <c r="A15316" t="str">
        <f t="shared" si="2725"/>
        <v>89301000</v>
      </c>
      <c r="B15316" t="str">
        <f t="shared" si="2726"/>
        <v>89383000</v>
      </c>
      <c r="C15316" t="str">
        <f t="shared" si="2727"/>
        <v>89383002</v>
      </c>
      <c r="D15316">
        <v>89301045</v>
      </c>
      <c r="E15316" t="str">
        <f>"7255304848"</f>
        <v>7255304848</v>
      </c>
      <c r="F15316" s="1">
        <v>45281</v>
      </c>
      <c r="G15316" t="str">
        <f>"09233"</f>
        <v>09233</v>
      </c>
      <c r="H15316">
        <v>1</v>
      </c>
      <c r="I15316">
        <v>102</v>
      </c>
      <c r="J15316">
        <v>0</v>
      </c>
      <c r="K15316" t="str">
        <f t="shared" si="2728"/>
        <v>809</v>
      </c>
      <c r="L15316">
        <v>149.94</v>
      </c>
    </row>
    <row r="15317" spans="1:12" x14ac:dyDescent="0.25">
      <c r="A15317" t="str">
        <f t="shared" si="2725"/>
        <v>89301000</v>
      </c>
      <c r="B15317" t="str">
        <f t="shared" si="2726"/>
        <v>89383000</v>
      </c>
      <c r="C15317" t="str">
        <f t="shared" si="2727"/>
        <v>89383002</v>
      </c>
      <c r="D15317">
        <v>89301045</v>
      </c>
      <c r="E15317" t="str">
        <f>"7255304848"</f>
        <v>7255304848</v>
      </c>
      <c r="F15317" s="1">
        <v>45281</v>
      </c>
      <c r="G15317" t="str">
        <f>"0093109"</f>
        <v>0093109</v>
      </c>
      <c r="H15317">
        <v>0.2</v>
      </c>
      <c r="J15317">
        <v>54.2</v>
      </c>
      <c r="K15317" t="str">
        <f t="shared" si="2728"/>
        <v>809</v>
      </c>
      <c r="L15317">
        <v>54.2</v>
      </c>
    </row>
    <row r="15318" spans="1:12" x14ac:dyDescent="0.25">
      <c r="A15318" t="str">
        <f t="shared" si="2725"/>
        <v>89301000</v>
      </c>
      <c r="B15318" t="str">
        <f t="shared" si="2726"/>
        <v>89383000</v>
      </c>
      <c r="C15318" t="str">
        <f t="shared" si="2727"/>
        <v>89383002</v>
      </c>
      <c r="D15318">
        <v>89301045</v>
      </c>
      <c r="E15318" t="str">
        <f>"7255304848"</f>
        <v>7255304848</v>
      </c>
      <c r="F15318" s="1">
        <v>45281</v>
      </c>
      <c r="G15318" t="str">
        <f>"0142906"</f>
        <v>0142906</v>
      </c>
      <c r="H15318">
        <v>1</v>
      </c>
      <c r="J15318">
        <v>6990</v>
      </c>
      <c r="K15318" t="str">
        <f t="shared" si="2728"/>
        <v>809</v>
      </c>
      <c r="L15318">
        <v>6990</v>
      </c>
    </row>
    <row r="15319" spans="1:12" x14ac:dyDescent="0.25">
      <c r="A15319" t="str">
        <f t="shared" si="2725"/>
        <v>89301000</v>
      </c>
      <c r="B15319" t="str">
        <f t="shared" si="2726"/>
        <v>89383000</v>
      </c>
      <c r="C15319" t="str">
        <f t="shared" si="2727"/>
        <v>89383002</v>
      </c>
      <c r="D15319">
        <v>89301212</v>
      </c>
      <c r="E15319" t="str">
        <f>"6958085332"</f>
        <v>6958085332</v>
      </c>
      <c r="F15319" s="1">
        <v>45281</v>
      </c>
      <c r="G15319" t="str">
        <f>"89180"</f>
        <v>89180</v>
      </c>
      <c r="H15319">
        <v>2</v>
      </c>
      <c r="I15319">
        <v>762</v>
      </c>
      <c r="J15319">
        <v>0</v>
      </c>
      <c r="K15319" t="str">
        <f t="shared" si="2728"/>
        <v>809</v>
      </c>
      <c r="L15319">
        <v>1120.1400000000001</v>
      </c>
    </row>
    <row r="15320" spans="1:12" x14ac:dyDescent="0.25">
      <c r="A15320" t="str">
        <f t="shared" si="2725"/>
        <v>89301000</v>
      </c>
      <c r="B15320" t="str">
        <f t="shared" si="2726"/>
        <v>89383000</v>
      </c>
      <c r="C15320" t="str">
        <f t="shared" si="2727"/>
        <v>89383002</v>
      </c>
      <c r="D15320">
        <v>89301212</v>
      </c>
      <c r="E15320" t="str">
        <f>"446217452"</f>
        <v>446217452</v>
      </c>
      <c r="F15320" s="1">
        <v>45282</v>
      </c>
      <c r="G15320" t="str">
        <f>"89512"</f>
        <v>89512</v>
      </c>
      <c r="H15320">
        <v>1</v>
      </c>
      <c r="I15320">
        <v>283</v>
      </c>
      <c r="J15320">
        <v>0</v>
      </c>
      <c r="K15320" t="str">
        <f t="shared" si="2728"/>
        <v>809</v>
      </c>
      <c r="L15320">
        <v>416.01</v>
      </c>
    </row>
    <row r="15321" spans="1:12" x14ac:dyDescent="0.25">
      <c r="A15321" t="str">
        <f t="shared" si="2725"/>
        <v>89301000</v>
      </c>
      <c r="B15321" t="str">
        <f t="shared" si="2726"/>
        <v>89383000</v>
      </c>
      <c r="C15321" t="str">
        <f t="shared" si="2727"/>
        <v>89383002</v>
      </c>
      <c r="D15321">
        <v>89301212</v>
      </c>
      <c r="E15321" t="str">
        <f>"446217452"</f>
        <v>446217452</v>
      </c>
      <c r="F15321" s="1">
        <v>45282</v>
      </c>
      <c r="G15321" t="str">
        <f>"89311"</f>
        <v>89311</v>
      </c>
      <c r="H15321">
        <v>1</v>
      </c>
      <c r="I15321">
        <v>970</v>
      </c>
      <c r="J15321">
        <v>0</v>
      </c>
      <c r="K15321" t="str">
        <f t="shared" si="2728"/>
        <v>809</v>
      </c>
      <c r="L15321">
        <v>1425.9</v>
      </c>
    </row>
    <row r="15322" spans="1:12" x14ac:dyDescent="0.25">
      <c r="A15322" t="str">
        <f t="shared" si="2725"/>
        <v>89301000</v>
      </c>
      <c r="B15322" t="str">
        <f>"85200000"</f>
        <v>85200000</v>
      </c>
      <c r="C15322" t="str">
        <f>"85200332"</f>
        <v>85200332</v>
      </c>
      <c r="D15322">
        <v>89301167</v>
      </c>
      <c r="E15322" t="str">
        <f>"6056171154"</f>
        <v>6056171154</v>
      </c>
      <c r="F15322" s="1">
        <v>45281</v>
      </c>
      <c r="G15322" t="str">
        <f>"96167"</f>
        <v>96167</v>
      </c>
      <c r="H15322">
        <v>1</v>
      </c>
      <c r="I15322">
        <v>67</v>
      </c>
      <c r="J15322">
        <v>0</v>
      </c>
      <c r="K15322" t="str">
        <f>"801"</f>
        <v>801</v>
      </c>
      <c r="L15322">
        <v>56.28</v>
      </c>
    </row>
    <row r="15323" spans="1:12" x14ac:dyDescent="0.25">
      <c r="A15323" t="str">
        <f t="shared" si="2725"/>
        <v>89301000</v>
      </c>
      <c r="B15323" t="str">
        <f>"89434000"</f>
        <v>89434000</v>
      </c>
      <c r="C15323" t="str">
        <f>"89434000"</f>
        <v>89434000</v>
      </c>
      <c r="D15323">
        <v>89301311</v>
      </c>
      <c r="E15323" t="str">
        <f>"0051111324"</f>
        <v>0051111324</v>
      </c>
      <c r="F15323" s="1">
        <v>45279</v>
      </c>
      <c r="G15323" t="str">
        <f>"89119"</f>
        <v>89119</v>
      </c>
      <c r="H15323">
        <v>1</v>
      </c>
      <c r="I15323">
        <v>204</v>
      </c>
      <c r="J15323">
        <v>0</v>
      </c>
      <c r="K15323" t="str">
        <f t="shared" ref="K15323:K15351" si="2729">"809"</f>
        <v>809</v>
      </c>
      <c r="L15323">
        <v>299.88</v>
      </c>
    </row>
    <row r="15324" spans="1:12" x14ac:dyDescent="0.25">
      <c r="A15324" t="str">
        <f t="shared" si="2725"/>
        <v>89301000</v>
      </c>
      <c r="B15324" t="str">
        <f>"86210300"</f>
        <v>86210300</v>
      </c>
      <c r="C15324" t="str">
        <f>"86210220"</f>
        <v>86210220</v>
      </c>
      <c r="D15324">
        <v>89301112</v>
      </c>
      <c r="E15324" t="str">
        <f>"7355194935"</f>
        <v>7355194935</v>
      </c>
      <c r="F15324" s="1">
        <v>45272</v>
      </c>
      <c r="G15324" t="str">
        <f>"89123"</f>
        <v>89123</v>
      </c>
      <c r="H15324">
        <v>1</v>
      </c>
      <c r="I15324">
        <v>141</v>
      </c>
      <c r="J15324">
        <v>0</v>
      </c>
      <c r="K15324" t="str">
        <f t="shared" si="2729"/>
        <v>809</v>
      </c>
      <c r="L15324">
        <v>207.27</v>
      </c>
    </row>
    <row r="15325" spans="1:12" x14ac:dyDescent="0.25">
      <c r="A15325" t="str">
        <f t="shared" si="2725"/>
        <v>89301000</v>
      </c>
      <c r="B15325" t="str">
        <f>"86210300"</f>
        <v>86210300</v>
      </c>
      <c r="C15325" t="str">
        <f>"86210220"</f>
        <v>86210220</v>
      </c>
      <c r="D15325">
        <v>89301112</v>
      </c>
      <c r="E15325" t="str">
        <f>"7355194935"</f>
        <v>7355194935</v>
      </c>
      <c r="F15325" s="1">
        <v>45272</v>
      </c>
      <c r="G15325" t="str">
        <f>"89127"</f>
        <v>89127</v>
      </c>
      <c r="H15325">
        <v>1</v>
      </c>
      <c r="I15325">
        <v>242</v>
      </c>
      <c r="J15325">
        <v>0</v>
      </c>
      <c r="K15325" t="str">
        <f t="shared" si="2729"/>
        <v>809</v>
      </c>
      <c r="L15325">
        <v>355.74</v>
      </c>
    </row>
    <row r="15326" spans="1:12" x14ac:dyDescent="0.25">
      <c r="A15326" t="str">
        <f t="shared" si="2725"/>
        <v>89301000</v>
      </c>
      <c r="B15326" t="str">
        <f t="shared" ref="B15326:B15351" si="2730">"89895000"</f>
        <v>89895000</v>
      </c>
      <c r="C15326" t="str">
        <f t="shared" ref="C15326:C15351" si="2731">"89895002"</f>
        <v>89895002</v>
      </c>
      <c r="D15326">
        <v>89301212</v>
      </c>
      <c r="E15326" t="str">
        <f>"376127435"</f>
        <v>376127435</v>
      </c>
      <c r="F15326" s="1">
        <v>45271</v>
      </c>
      <c r="G15326" t="str">
        <f>"89514"</f>
        <v>89514</v>
      </c>
      <c r="H15326">
        <v>1</v>
      </c>
      <c r="I15326">
        <v>378</v>
      </c>
      <c r="J15326">
        <v>0</v>
      </c>
      <c r="K15326" t="str">
        <f t="shared" si="2729"/>
        <v>809</v>
      </c>
      <c r="L15326">
        <v>555.66</v>
      </c>
    </row>
    <row r="15327" spans="1:12" x14ac:dyDescent="0.25">
      <c r="A15327" t="str">
        <f t="shared" si="2725"/>
        <v>89301000</v>
      </c>
      <c r="B15327" t="str">
        <f t="shared" si="2730"/>
        <v>89895000</v>
      </c>
      <c r="C15327" t="str">
        <f t="shared" si="2731"/>
        <v>89895002</v>
      </c>
      <c r="D15327">
        <v>89301212</v>
      </c>
      <c r="E15327" t="str">
        <f>"376127435"</f>
        <v>376127435</v>
      </c>
      <c r="F15327" s="1">
        <v>45271</v>
      </c>
      <c r="G15327" t="str">
        <f>"89513"</f>
        <v>89513</v>
      </c>
      <c r="H15327">
        <v>1</v>
      </c>
      <c r="I15327">
        <v>378</v>
      </c>
      <c r="J15327">
        <v>0</v>
      </c>
      <c r="K15327" t="str">
        <f t="shared" si="2729"/>
        <v>809</v>
      </c>
      <c r="L15327">
        <v>555.66</v>
      </c>
    </row>
    <row r="15328" spans="1:12" x14ac:dyDescent="0.25">
      <c r="A15328" t="str">
        <f t="shared" si="2725"/>
        <v>89301000</v>
      </c>
      <c r="B15328" t="str">
        <f t="shared" si="2730"/>
        <v>89895000</v>
      </c>
      <c r="C15328" t="str">
        <f t="shared" si="2731"/>
        <v>89895002</v>
      </c>
      <c r="D15328">
        <v>89301212</v>
      </c>
      <c r="E15328" t="str">
        <f>"445506443"</f>
        <v>445506443</v>
      </c>
      <c r="F15328" s="1">
        <v>45278</v>
      </c>
      <c r="G15328" t="str">
        <f>"89512"</f>
        <v>89512</v>
      </c>
      <c r="H15328">
        <v>1</v>
      </c>
      <c r="I15328">
        <v>283</v>
      </c>
      <c r="J15328">
        <v>0</v>
      </c>
      <c r="K15328" t="str">
        <f t="shared" si="2729"/>
        <v>809</v>
      </c>
      <c r="L15328">
        <v>416.01</v>
      </c>
    </row>
    <row r="15329" spans="1:12" x14ac:dyDescent="0.25">
      <c r="A15329" t="str">
        <f t="shared" si="2725"/>
        <v>89301000</v>
      </c>
      <c r="B15329" t="str">
        <f t="shared" si="2730"/>
        <v>89895000</v>
      </c>
      <c r="C15329" t="str">
        <f t="shared" si="2731"/>
        <v>89895002</v>
      </c>
      <c r="D15329">
        <v>89301212</v>
      </c>
      <c r="E15329" t="str">
        <f>"445506443"</f>
        <v>445506443</v>
      </c>
      <c r="F15329" s="1">
        <v>45278</v>
      </c>
      <c r="G15329" t="str">
        <f>"09511"</f>
        <v>09511</v>
      </c>
      <c r="H15329">
        <v>1</v>
      </c>
      <c r="I15329">
        <v>45</v>
      </c>
      <c r="J15329">
        <v>0</v>
      </c>
      <c r="K15329" t="str">
        <f t="shared" si="2729"/>
        <v>809</v>
      </c>
      <c r="L15329">
        <v>66.150000000000006</v>
      </c>
    </row>
    <row r="15330" spans="1:12" x14ac:dyDescent="0.25">
      <c r="A15330" t="str">
        <f t="shared" si="2725"/>
        <v>89301000</v>
      </c>
      <c r="B15330" t="str">
        <f t="shared" si="2730"/>
        <v>89895000</v>
      </c>
      <c r="C15330" t="str">
        <f t="shared" si="2731"/>
        <v>89895002</v>
      </c>
      <c r="D15330">
        <v>89301212</v>
      </c>
      <c r="E15330" t="str">
        <f>"505814072"</f>
        <v>505814072</v>
      </c>
      <c r="F15330" s="1">
        <v>45264</v>
      </c>
      <c r="G15330" t="str">
        <f>"89180"</f>
        <v>89180</v>
      </c>
      <c r="H15330">
        <v>2</v>
      </c>
      <c r="I15330">
        <v>762</v>
      </c>
      <c r="J15330">
        <v>0</v>
      </c>
      <c r="K15330" t="str">
        <f t="shared" si="2729"/>
        <v>809</v>
      </c>
      <c r="L15330">
        <v>1120.1400000000001</v>
      </c>
    </row>
    <row r="15331" spans="1:12" x14ac:dyDescent="0.25">
      <c r="A15331" t="str">
        <f t="shared" si="2725"/>
        <v>89301000</v>
      </c>
      <c r="B15331" t="str">
        <f t="shared" si="2730"/>
        <v>89895000</v>
      </c>
      <c r="C15331" t="str">
        <f t="shared" si="2731"/>
        <v>89895002</v>
      </c>
      <c r="D15331">
        <v>89301212</v>
      </c>
      <c r="E15331" t="str">
        <f>"505814072"</f>
        <v>505814072</v>
      </c>
      <c r="F15331" s="1">
        <v>45264</v>
      </c>
      <c r="G15331" t="str">
        <f>"89513"</f>
        <v>89513</v>
      </c>
      <c r="H15331">
        <v>1</v>
      </c>
      <c r="I15331">
        <v>378</v>
      </c>
      <c r="J15331">
        <v>0</v>
      </c>
      <c r="K15331" t="str">
        <f t="shared" si="2729"/>
        <v>809</v>
      </c>
      <c r="L15331">
        <v>555.66</v>
      </c>
    </row>
    <row r="15332" spans="1:12" x14ac:dyDescent="0.25">
      <c r="A15332" t="str">
        <f t="shared" si="2725"/>
        <v>89301000</v>
      </c>
      <c r="B15332" t="str">
        <f t="shared" si="2730"/>
        <v>89895000</v>
      </c>
      <c r="C15332" t="str">
        <f t="shared" si="2731"/>
        <v>89895002</v>
      </c>
      <c r="D15332">
        <v>89301212</v>
      </c>
      <c r="E15332" t="str">
        <f>"505814072"</f>
        <v>505814072</v>
      </c>
      <c r="F15332" s="1">
        <v>45264</v>
      </c>
      <c r="G15332" t="str">
        <f>"89514"</f>
        <v>89514</v>
      </c>
      <c r="H15332">
        <v>1</v>
      </c>
      <c r="I15332">
        <v>378</v>
      </c>
      <c r="J15332">
        <v>0</v>
      </c>
      <c r="K15332" t="str">
        <f t="shared" si="2729"/>
        <v>809</v>
      </c>
      <c r="L15332">
        <v>555.66</v>
      </c>
    </row>
    <row r="15333" spans="1:12" x14ac:dyDescent="0.25">
      <c r="A15333" t="str">
        <f t="shared" si="2725"/>
        <v>89301000</v>
      </c>
      <c r="B15333" t="str">
        <f t="shared" si="2730"/>
        <v>89895000</v>
      </c>
      <c r="C15333" t="str">
        <f t="shared" si="2731"/>
        <v>89895002</v>
      </c>
      <c r="D15333">
        <v>89301212</v>
      </c>
      <c r="E15333" t="str">
        <f>"525328055"</f>
        <v>525328055</v>
      </c>
      <c r="F15333" s="1">
        <v>45264</v>
      </c>
      <c r="G15333" t="str">
        <f>"89180"</f>
        <v>89180</v>
      </c>
      <c r="H15333">
        <v>2</v>
      </c>
      <c r="I15333">
        <v>762</v>
      </c>
      <c r="J15333">
        <v>0</v>
      </c>
      <c r="K15333" t="str">
        <f t="shared" si="2729"/>
        <v>809</v>
      </c>
      <c r="L15333">
        <v>1120.1400000000001</v>
      </c>
    </row>
    <row r="15334" spans="1:12" x14ac:dyDescent="0.25">
      <c r="A15334" t="str">
        <f t="shared" si="2725"/>
        <v>89301000</v>
      </c>
      <c r="B15334" t="str">
        <f t="shared" si="2730"/>
        <v>89895000</v>
      </c>
      <c r="C15334" t="str">
        <f t="shared" si="2731"/>
        <v>89895002</v>
      </c>
      <c r="D15334">
        <v>89301212</v>
      </c>
      <c r="E15334" t="str">
        <f>"525328055"</f>
        <v>525328055</v>
      </c>
      <c r="F15334" s="1">
        <v>45264</v>
      </c>
      <c r="G15334" t="str">
        <f>"89513"</f>
        <v>89513</v>
      </c>
      <c r="H15334">
        <v>1</v>
      </c>
      <c r="I15334">
        <v>378</v>
      </c>
      <c r="J15334">
        <v>0</v>
      </c>
      <c r="K15334" t="str">
        <f t="shared" si="2729"/>
        <v>809</v>
      </c>
      <c r="L15334">
        <v>555.66</v>
      </c>
    </row>
    <row r="15335" spans="1:12" x14ac:dyDescent="0.25">
      <c r="A15335" t="str">
        <f t="shared" si="2725"/>
        <v>89301000</v>
      </c>
      <c r="B15335" t="str">
        <f t="shared" si="2730"/>
        <v>89895000</v>
      </c>
      <c r="C15335" t="str">
        <f t="shared" si="2731"/>
        <v>89895002</v>
      </c>
      <c r="D15335">
        <v>89301212</v>
      </c>
      <c r="E15335" t="str">
        <f>"525328055"</f>
        <v>525328055</v>
      </c>
      <c r="F15335" s="1">
        <v>45264</v>
      </c>
      <c r="G15335" t="str">
        <f>"89514"</f>
        <v>89514</v>
      </c>
      <c r="H15335">
        <v>1</v>
      </c>
      <c r="I15335">
        <v>378</v>
      </c>
      <c r="J15335">
        <v>0</v>
      </c>
      <c r="K15335" t="str">
        <f t="shared" si="2729"/>
        <v>809</v>
      </c>
      <c r="L15335">
        <v>555.66</v>
      </c>
    </row>
    <row r="15336" spans="1:12" x14ac:dyDescent="0.25">
      <c r="A15336" t="str">
        <f t="shared" si="2725"/>
        <v>89301000</v>
      </c>
      <c r="B15336" t="str">
        <f t="shared" si="2730"/>
        <v>89895000</v>
      </c>
      <c r="C15336" t="str">
        <f t="shared" si="2731"/>
        <v>89895002</v>
      </c>
      <c r="D15336">
        <v>89301212</v>
      </c>
      <c r="E15336" t="str">
        <f>"525328055"</f>
        <v>525328055</v>
      </c>
      <c r="F15336" s="1">
        <v>45264</v>
      </c>
      <c r="G15336" t="str">
        <f>"89512"</f>
        <v>89512</v>
      </c>
      <c r="H15336">
        <v>1</v>
      </c>
      <c r="I15336">
        <v>283</v>
      </c>
      <c r="J15336">
        <v>0</v>
      </c>
      <c r="K15336" t="str">
        <f t="shared" si="2729"/>
        <v>809</v>
      </c>
      <c r="L15336">
        <v>416.01</v>
      </c>
    </row>
    <row r="15337" spans="1:12" x14ac:dyDescent="0.25">
      <c r="A15337" t="str">
        <f t="shared" si="2725"/>
        <v>89301000</v>
      </c>
      <c r="B15337" t="str">
        <f t="shared" si="2730"/>
        <v>89895000</v>
      </c>
      <c r="C15337" t="str">
        <f t="shared" si="2731"/>
        <v>89895002</v>
      </c>
      <c r="D15337">
        <v>89301212</v>
      </c>
      <c r="E15337" t="str">
        <f>"5455051096"</f>
        <v>5455051096</v>
      </c>
      <c r="F15337" s="1">
        <v>45278</v>
      </c>
      <c r="G15337" t="str">
        <f>"89180"</f>
        <v>89180</v>
      </c>
      <c r="H15337">
        <v>2</v>
      </c>
      <c r="I15337">
        <v>762</v>
      </c>
      <c r="J15337">
        <v>0</v>
      </c>
      <c r="K15337" t="str">
        <f t="shared" si="2729"/>
        <v>809</v>
      </c>
      <c r="L15337">
        <v>1120.1400000000001</v>
      </c>
    </row>
    <row r="15338" spans="1:12" x14ac:dyDescent="0.25">
      <c r="A15338" t="str">
        <f t="shared" si="2725"/>
        <v>89301000</v>
      </c>
      <c r="B15338" t="str">
        <f t="shared" si="2730"/>
        <v>89895000</v>
      </c>
      <c r="C15338" t="str">
        <f t="shared" si="2731"/>
        <v>89895002</v>
      </c>
      <c r="D15338">
        <v>89301212</v>
      </c>
      <c r="E15338" t="str">
        <f>"5455051096"</f>
        <v>5455051096</v>
      </c>
      <c r="F15338" s="1">
        <v>45278</v>
      </c>
      <c r="G15338" t="str">
        <f>"89512"</f>
        <v>89512</v>
      </c>
      <c r="H15338">
        <v>1</v>
      </c>
      <c r="I15338">
        <v>283</v>
      </c>
      <c r="J15338">
        <v>0</v>
      </c>
      <c r="K15338" t="str">
        <f t="shared" si="2729"/>
        <v>809</v>
      </c>
      <c r="L15338">
        <v>416.01</v>
      </c>
    </row>
    <row r="15339" spans="1:12" x14ac:dyDescent="0.25">
      <c r="A15339" t="str">
        <f t="shared" si="2725"/>
        <v>89301000</v>
      </c>
      <c r="B15339" t="str">
        <f t="shared" si="2730"/>
        <v>89895000</v>
      </c>
      <c r="C15339" t="str">
        <f t="shared" si="2731"/>
        <v>89895002</v>
      </c>
      <c r="D15339">
        <v>89301292</v>
      </c>
      <c r="E15339" t="str">
        <f>"6458160852"</f>
        <v>6458160852</v>
      </c>
      <c r="F15339" s="1">
        <v>45264</v>
      </c>
      <c r="G15339" t="str">
        <f>"89512"</f>
        <v>89512</v>
      </c>
      <c r="H15339">
        <v>1</v>
      </c>
      <c r="I15339">
        <v>283</v>
      </c>
      <c r="J15339">
        <v>0</v>
      </c>
      <c r="K15339" t="str">
        <f t="shared" si="2729"/>
        <v>809</v>
      </c>
      <c r="L15339">
        <v>416.01</v>
      </c>
    </row>
    <row r="15340" spans="1:12" x14ac:dyDescent="0.25">
      <c r="A15340" t="str">
        <f t="shared" si="2725"/>
        <v>89301000</v>
      </c>
      <c r="B15340" t="str">
        <f t="shared" si="2730"/>
        <v>89895000</v>
      </c>
      <c r="C15340" t="str">
        <f t="shared" si="2731"/>
        <v>89895002</v>
      </c>
      <c r="D15340">
        <v>89301212</v>
      </c>
      <c r="E15340" t="str">
        <f>"6555041625"</f>
        <v>6555041625</v>
      </c>
      <c r="F15340" s="1">
        <v>45280</v>
      </c>
      <c r="G15340" t="str">
        <f>"89180"</f>
        <v>89180</v>
      </c>
      <c r="H15340">
        <v>2</v>
      </c>
      <c r="I15340">
        <v>762</v>
      </c>
      <c r="J15340">
        <v>0</v>
      </c>
      <c r="K15340" t="str">
        <f t="shared" si="2729"/>
        <v>809</v>
      </c>
      <c r="L15340">
        <v>1120.1400000000001</v>
      </c>
    </row>
    <row r="15341" spans="1:12" x14ac:dyDescent="0.25">
      <c r="A15341" t="str">
        <f t="shared" si="2725"/>
        <v>89301000</v>
      </c>
      <c r="B15341" t="str">
        <f t="shared" si="2730"/>
        <v>89895000</v>
      </c>
      <c r="C15341" t="str">
        <f t="shared" si="2731"/>
        <v>89895002</v>
      </c>
      <c r="D15341">
        <v>89301212</v>
      </c>
      <c r="E15341" t="str">
        <f>"6555041625"</f>
        <v>6555041625</v>
      </c>
      <c r="F15341" s="1">
        <v>45280</v>
      </c>
      <c r="G15341" t="str">
        <f>"89512"</f>
        <v>89512</v>
      </c>
      <c r="H15341">
        <v>1</v>
      </c>
      <c r="I15341">
        <v>283</v>
      </c>
      <c r="J15341">
        <v>0</v>
      </c>
      <c r="K15341" t="str">
        <f t="shared" si="2729"/>
        <v>809</v>
      </c>
      <c r="L15341">
        <v>416.01</v>
      </c>
    </row>
    <row r="15342" spans="1:12" x14ac:dyDescent="0.25">
      <c r="A15342" t="str">
        <f t="shared" si="2725"/>
        <v>89301000</v>
      </c>
      <c r="B15342" t="str">
        <f t="shared" si="2730"/>
        <v>89895000</v>
      </c>
      <c r="C15342" t="str">
        <f t="shared" si="2731"/>
        <v>89895002</v>
      </c>
      <c r="D15342">
        <v>89301212</v>
      </c>
      <c r="E15342" t="str">
        <f>"7462135395"</f>
        <v>7462135395</v>
      </c>
      <c r="F15342" s="1">
        <v>45280</v>
      </c>
      <c r="G15342" t="str">
        <f>"89180"</f>
        <v>89180</v>
      </c>
      <c r="H15342">
        <v>2</v>
      </c>
      <c r="I15342">
        <v>762</v>
      </c>
      <c r="J15342">
        <v>0</v>
      </c>
      <c r="K15342" t="str">
        <f t="shared" si="2729"/>
        <v>809</v>
      </c>
      <c r="L15342">
        <v>1120.1400000000001</v>
      </c>
    </row>
    <row r="15343" spans="1:12" x14ac:dyDescent="0.25">
      <c r="A15343" t="str">
        <f t="shared" si="2725"/>
        <v>89301000</v>
      </c>
      <c r="B15343" t="str">
        <f t="shared" si="2730"/>
        <v>89895000</v>
      </c>
      <c r="C15343" t="str">
        <f t="shared" si="2731"/>
        <v>89895002</v>
      </c>
      <c r="D15343">
        <v>89301212</v>
      </c>
      <c r="E15343" t="str">
        <f>"7462135395"</f>
        <v>7462135395</v>
      </c>
      <c r="F15343" s="1">
        <v>45280</v>
      </c>
      <c r="G15343" t="str">
        <f>"89513"</f>
        <v>89513</v>
      </c>
      <c r="H15343">
        <v>1</v>
      </c>
      <c r="I15343">
        <v>378</v>
      </c>
      <c r="J15343">
        <v>0</v>
      </c>
      <c r="K15343" t="str">
        <f t="shared" si="2729"/>
        <v>809</v>
      </c>
      <c r="L15343">
        <v>555.66</v>
      </c>
    </row>
    <row r="15344" spans="1:12" x14ac:dyDescent="0.25">
      <c r="A15344" t="str">
        <f t="shared" si="2725"/>
        <v>89301000</v>
      </c>
      <c r="B15344" t="str">
        <f t="shared" si="2730"/>
        <v>89895000</v>
      </c>
      <c r="C15344" t="str">
        <f t="shared" si="2731"/>
        <v>89895002</v>
      </c>
      <c r="D15344">
        <v>89301212</v>
      </c>
      <c r="E15344" t="str">
        <f>"7462135395"</f>
        <v>7462135395</v>
      </c>
      <c r="F15344" s="1">
        <v>45280</v>
      </c>
      <c r="G15344" t="str">
        <f>"89514"</f>
        <v>89514</v>
      </c>
      <c r="H15344">
        <v>1</v>
      </c>
      <c r="I15344">
        <v>378</v>
      </c>
      <c r="J15344">
        <v>0</v>
      </c>
      <c r="K15344" t="str">
        <f t="shared" si="2729"/>
        <v>809</v>
      </c>
      <c r="L15344">
        <v>555.66</v>
      </c>
    </row>
    <row r="15345" spans="1:12" x14ac:dyDescent="0.25">
      <c r="A15345" t="str">
        <f t="shared" si="2725"/>
        <v>89301000</v>
      </c>
      <c r="B15345" t="str">
        <f t="shared" si="2730"/>
        <v>89895000</v>
      </c>
      <c r="C15345" t="str">
        <f t="shared" si="2731"/>
        <v>89895002</v>
      </c>
      <c r="D15345">
        <v>89301212</v>
      </c>
      <c r="E15345" t="str">
        <f>"7462135395"</f>
        <v>7462135395</v>
      </c>
      <c r="F15345" s="1">
        <v>45280</v>
      </c>
      <c r="G15345" t="str">
        <f>"89512"</f>
        <v>89512</v>
      </c>
      <c r="H15345">
        <v>1</v>
      </c>
      <c r="I15345">
        <v>283</v>
      </c>
      <c r="J15345">
        <v>0</v>
      </c>
      <c r="K15345" t="str">
        <f t="shared" si="2729"/>
        <v>809</v>
      </c>
      <c r="L15345">
        <v>416.01</v>
      </c>
    </row>
    <row r="15346" spans="1:12" x14ac:dyDescent="0.25">
      <c r="A15346" t="str">
        <f t="shared" si="2725"/>
        <v>89301000</v>
      </c>
      <c r="B15346" t="str">
        <f t="shared" si="2730"/>
        <v>89895000</v>
      </c>
      <c r="C15346" t="str">
        <f t="shared" si="2731"/>
        <v>89895002</v>
      </c>
      <c r="D15346">
        <v>89301212</v>
      </c>
      <c r="E15346" t="str">
        <f>"7554275696"</f>
        <v>7554275696</v>
      </c>
      <c r="F15346" s="1">
        <v>45275</v>
      </c>
      <c r="G15346" t="str">
        <f>"89512"</f>
        <v>89512</v>
      </c>
      <c r="H15346">
        <v>1</v>
      </c>
      <c r="I15346">
        <v>283</v>
      </c>
      <c r="J15346">
        <v>0</v>
      </c>
      <c r="K15346" t="str">
        <f t="shared" si="2729"/>
        <v>809</v>
      </c>
      <c r="L15346">
        <v>416.01</v>
      </c>
    </row>
    <row r="15347" spans="1:12" x14ac:dyDescent="0.25">
      <c r="A15347" t="str">
        <f t="shared" si="2725"/>
        <v>89301000</v>
      </c>
      <c r="B15347" t="str">
        <f t="shared" si="2730"/>
        <v>89895000</v>
      </c>
      <c r="C15347" t="str">
        <f t="shared" si="2731"/>
        <v>89895002</v>
      </c>
      <c r="D15347">
        <v>89301212</v>
      </c>
      <c r="E15347" t="str">
        <f>"7560225365"</f>
        <v>7560225365</v>
      </c>
      <c r="F15347" s="1">
        <v>45281</v>
      </c>
      <c r="G15347" t="str">
        <f>"89180"</f>
        <v>89180</v>
      </c>
      <c r="H15347">
        <v>2</v>
      </c>
      <c r="I15347">
        <v>762</v>
      </c>
      <c r="J15347">
        <v>0</v>
      </c>
      <c r="K15347" t="str">
        <f t="shared" si="2729"/>
        <v>809</v>
      </c>
      <c r="L15347">
        <v>1120.1400000000001</v>
      </c>
    </row>
    <row r="15348" spans="1:12" x14ac:dyDescent="0.25">
      <c r="A15348" t="str">
        <f t="shared" si="2725"/>
        <v>89301000</v>
      </c>
      <c r="B15348" t="str">
        <f t="shared" si="2730"/>
        <v>89895000</v>
      </c>
      <c r="C15348" t="str">
        <f t="shared" si="2731"/>
        <v>89895002</v>
      </c>
      <c r="D15348">
        <v>89301212</v>
      </c>
      <c r="E15348" t="str">
        <f>"7560225365"</f>
        <v>7560225365</v>
      </c>
      <c r="F15348" s="1">
        <v>45281</v>
      </c>
      <c r="G15348" t="str">
        <f>"09511"</f>
        <v>09511</v>
      </c>
      <c r="H15348">
        <v>1</v>
      </c>
      <c r="I15348">
        <v>45</v>
      </c>
      <c r="J15348">
        <v>0</v>
      </c>
      <c r="K15348" t="str">
        <f t="shared" si="2729"/>
        <v>809</v>
      </c>
      <c r="L15348">
        <v>66.150000000000006</v>
      </c>
    </row>
    <row r="15349" spans="1:12" x14ac:dyDescent="0.25">
      <c r="A15349" t="str">
        <f t="shared" si="2725"/>
        <v>89301000</v>
      </c>
      <c r="B15349" t="str">
        <f t="shared" si="2730"/>
        <v>89895000</v>
      </c>
      <c r="C15349" t="str">
        <f t="shared" si="2731"/>
        <v>89895002</v>
      </c>
      <c r="D15349">
        <v>89301212</v>
      </c>
      <c r="E15349" t="str">
        <f>"7560225365"</f>
        <v>7560225365</v>
      </c>
      <c r="F15349" s="1">
        <v>45281</v>
      </c>
      <c r="G15349" t="str">
        <f>"89512"</f>
        <v>89512</v>
      </c>
      <c r="H15349">
        <v>1</v>
      </c>
      <c r="I15349">
        <v>283</v>
      </c>
      <c r="J15349">
        <v>0</v>
      </c>
      <c r="K15349" t="str">
        <f t="shared" si="2729"/>
        <v>809</v>
      </c>
      <c r="L15349">
        <v>416.01</v>
      </c>
    </row>
    <row r="15350" spans="1:12" x14ac:dyDescent="0.25">
      <c r="A15350" t="str">
        <f t="shared" si="2725"/>
        <v>89301000</v>
      </c>
      <c r="B15350" t="str">
        <f t="shared" si="2730"/>
        <v>89895000</v>
      </c>
      <c r="C15350" t="str">
        <f t="shared" si="2731"/>
        <v>89895002</v>
      </c>
      <c r="D15350">
        <v>89301212</v>
      </c>
      <c r="E15350" t="str">
        <f>"495620001"</f>
        <v>495620001</v>
      </c>
      <c r="F15350" s="1">
        <v>45243</v>
      </c>
      <c r="G15350" t="str">
        <f>"89180"</f>
        <v>89180</v>
      </c>
      <c r="H15350">
        <v>2</v>
      </c>
      <c r="I15350">
        <v>762</v>
      </c>
      <c r="J15350">
        <v>0</v>
      </c>
      <c r="K15350" t="str">
        <f t="shared" si="2729"/>
        <v>809</v>
      </c>
      <c r="L15350">
        <v>1120.1400000000001</v>
      </c>
    </row>
    <row r="15351" spans="1:12" x14ac:dyDescent="0.25">
      <c r="A15351" t="str">
        <f t="shared" si="2725"/>
        <v>89301000</v>
      </c>
      <c r="B15351" t="str">
        <f t="shared" si="2730"/>
        <v>89895000</v>
      </c>
      <c r="C15351" t="str">
        <f t="shared" si="2731"/>
        <v>89895002</v>
      </c>
      <c r="D15351">
        <v>89301212</v>
      </c>
      <c r="E15351" t="str">
        <f>"496016158"</f>
        <v>496016158</v>
      </c>
      <c r="F15351" s="1">
        <v>45259</v>
      </c>
      <c r="G15351" t="str">
        <f>"89180"</f>
        <v>89180</v>
      </c>
      <c r="H15351">
        <v>1</v>
      </c>
      <c r="I15351">
        <v>381</v>
      </c>
      <c r="J15351">
        <v>0</v>
      </c>
      <c r="K15351" t="str">
        <f t="shared" si="2729"/>
        <v>809</v>
      </c>
      <c r="L15351">
        <v>560.07000000000005</v>
      </c>
    </row>
    <row r="15352" spans="1:12" x14ac:dyDescent="0.25">
      <c r="A15352" t="str">
        <f t="shared" si="2725"/>
        <v>89301000</v>
      </c>
      <c r="B15352" t="str">
        <f t="shared" ref="B15352:B15380" si="2732">"88805000"</f>
        <v>88805000</v>
      </c>
      <c r="C15352" t="str">
        <f>"88805014"</f>
        <v>88805014</v>
      </c>
      <c r="D15352">
        <v>89301282</v>
      </c>
      <c r="E15352" t="str">
        <f>"1603030968"</f>
        <v>1603030968</v>
      </c>
      <c r="F15352" s="1">
        <v>45246</v>
      </c>
      <c r="G15352" t="str">
        <f>"94345"</f>
        <v>94345</v>
      </c>
      <c r="H15352">
        <v>1</v>
      </c>
      <c r="I15352">
        <v>4662</v>
      </c>
      <c r="J15352">
        <v>0</v>
      </c>
      <c r="K15352" t="str">
        <f>"816"</f>
        <v>816</v>
      </c>
      <c r="L15352">
        <v>4195.8</v>
      </c>
    </row>
    <row r="15353" spans="1:12" x14ac:dyDescent="0.25">
      <c r="A15353" t="str">
        <f t="shared" si="2725"/>
        <v>89301000</v>
      </c>
      <c r="B15353" t="str">
        <f t="shared" si="2732"/>
        <v>88805000</v>
      </c>
      <c r="C15353" t="str">
        <f>"88805014"</f>
        <v>88805014</v>
      </c>
      <c r="D15353">
        <v>89301282</v>
      </c>
      <c r="E15353" t="str">
        <f>"1603030968"</f>
        <v>1603030968</v>
      </c>
      <c r="F15353" s="1">
        <v>45246</v>
      </c>
      <c r="G15353" t="str">
        <f>"94948"</f>
        <v>94948</v>
      </c>
      <c r="H15353">
        <v>1</v>
      </c>
      <c r="I15353">
        <v>0</v>
      </c>
      <c r="J15353">
        <v>0</v>
      </c>
      <c r="K15353" t="str">
        <f>"816"</f>
        <v>816</v>
      </c>
      <c r="L15353">
        <v>0</v>
      </c>
    </row>
    <row r="15354" spans="1:12" x14ac:dyDescent="0.25">
      <c r="A15354" t="str">
        <f t="shared" si="2725"/>
        <v>89301000</v>
      </c>
      <c r="B15354" t="str">
        <f t="shared" si="2732"/>
        <v>88805000</v>
      </c>
      <c r="C15354" t="str">
        <f t="shared" ref="C15354:C15373" si="2733">"88805001"</f>
        <v>88805001</v>
      </c>
      <c r="D15354">
        <v>89301036</v>
      </c>
      <c r="E15354" t="str">
        <f t="shared" ref="E15354:E15364" si="2734">"7055145691"</f>
        <v>7055145691</v>
      </c>
      <c r="F15354" s="1">
        <v>45274</v>
      </c>
      <c r="G15354" t="str">
        <f>"81337"</f>
        <v>81337</v>
      </c>
      <c r="H15354">
        <v>1</v>
      </c>
      <c r="I15354">
        <v>20</v>
      </c>
      <c r="J15354">
        <v>0</v>
      </c>
      <c r="K15354" t="str">
        <f t="shared" ref="K15354:K15373" si="2735">"801"</f>
        <v>801</v>
      </c>
      <c r="L15354">
        <v>16.8</v>
      </c>
    </row>
    <row r="15355" spans="1:12" x14ac:dyDescent="0.25">
      <c r="A15355" t="str">
        <f t="shared" si="2725"/>
        <v>89301000</v>
      </c>
      <c r="B15355" t="str">
        <f t="shared" si="2732"/>
        <v>88805000</v>
      </c>
      <c r="C15355" t="str">
        <f t="shared" si="2733"/>
        <v>88805001</v>
      </c>
      <c r="D15355">
        <v>89301036</v>
      </c>
      <c r="E15355" t="str">
        <f t="shared" si="2734"/>
        <v>7055145691</v>
      </c>
      <c r="F15355" s="1">
        <v>45274</v>
      </c>
      <c r="G15355" t="str">
        <f>"81357"</f>
        <v>81357</v>
      </c>
      <c r="H15355">
        <v>1</v>
      </c>
      <c r="I15355">
        <v>20</v>
      </c>
      <c r="J15355">
        <v>0</v>
      </c>
      <c r="K15355" t="str">
        <f t="shared" si="2735"/>
        <v>801</v>
      </c>
      <c r="L15355">
        <v>16.8</v>
      </c>
    </row>
    <row r="15356" spans="1:12" x14ac:dyDescent="0.25">
      <c r="A15356" t="str">
        <f t="shared" si="2725"/>
        <v>89301000</v>
      </c>
      <c r="B15356" t="str">
        <f t="shared" si="2732"/>
        <v>88805000</v>
      </c>
      <c r="C15356" t="str">
        <f t="shared" si="2733"/>
        <v>88805001</v>
      </c>
      <c r="D15356">
        <v>89301036</v>
      </c>
      <c r="E15356" t="str">
        <f t="shared" si="2734"/>
        <v>7055145691</v>
      </c>
      <c r="F15356" s="1">
        <v>45274</v>
      </c>
      <c r="G15356" t="str">
        <f>"81361"</f>
        <v>81361</v>
      </c>
      <c r="H15356">
        <v>1</v>
      </c>
      <c r="I15356">
        <v>17</v>
      </c>
      <c r="J15356">
        <v>0</v>
      </c>
      <c r="K15356" t="str">
        <f t="shared" si="2735"/>
        <v>801</v>
      </c>
      <c r="L15356">
        <v>14.28</v>
      </c>
    </row>
    <row r="15357" spans="1:12" x14ac:dyDescent="0.25">
      <c r="A15357" t="str">
        <f t="shared" si="2725"/>
        <v>89301000</v>
      </c>
      <c r="B15357" t="str">
        <f t="shared" si="2732"/>
        <v>88805000</v>
      </c>
      <c r="C15357" t="str">
        <f t="shared" si="2733"/>
        <v>88805001</v>
      </c>
      <c r="D15357">
        <v>89301036</v>
      </c>
      <c r="E15357" t="str">
        <f t="shared" si="2734"/>
        <v>7055145691</v>
      </c>
      <c r="F15357" s="1">
        <v>45274</v>
      </c>
      <c r="G15357" t="str">
        <f>"81393"</f>
        <v>81393</v>
      </c>
      <c r="H15357">
        <v>1</v>
      </c>
      <c r="I15357">
        <v>24</v>
      </c>
      <c r="J15357">
        <v>0</v>
      </c>
      <c r="K15357" t="str">
        <f t="shared" si="2735"/>
        <v>801</v>
      </c>
      <c r="L15357">
        <v>20.16</v>
      </c>
    </row>
    <row r="15358" spans="1:12" x14ac:dyDescent="0.25">
      <c r="A15358" t="str">
        <f t="shared" si="2725"/>
        <v>89301000</v>
      </c>
      <c r="B15358" t="str">
        <f t="shared" si="2732"/>
        <v>88805000</v>
      </c>
      <c r="C15358" t="str">
        <f t="shared" si="2733"/>
        <v>88805001</v>
      </c>
      <c r="D15358">
        <v>89301036</v>
      </c>
      <c r="E15358" t="str">
        <f t="shared" si="2734"/>
        <v>7055145691</v>
      </c>
      <c r="F15358" s="1">
        <v>45274</v>
      </c>
      <c r="G15358" t="str">
        <f>"81421"</f>
        <v>81421</v>
      </c>
      <c r="H15358">
        <v>1</v>
      </c>
      <c r="I15358">
        <v>19</v>
      </c>
      <c r="J15358">
        <v>0</v>
      </c>
      <c r="K15358" t="str">
        <f t="shared" si="2735"/>
        <v>801</v>
      </c>
      <c r="L15358">
        <v>15.96</v>
      </c>
    </row>
    <row r="15359" spans="1:12" x14ac:dyDescent="0.25">
      <c r="A15359" t="str">
        <f t="shared" si="2725"/>
        <v>89301000</v>
      </c>
      <c r="B15359" t="str">
        <f t="shared" si="2732"/>
        <v>88805000</v>
      </c>
      <c r="C15359" t="str">
        <f t="shared" si="2733"/>
        <v>88805001</v>
      </c>
      <c r="D15359">
        <v>89301036</v>
      </c>
      <c r="E15359" t="str">
        <f t="shared" si="2734"/>
        <v>7055145691</v>
      </c>
      <c r="F15359" s="1">
        <v>45274</v>
      </c>
      <c r="G15359" t="str">
        <f>"81469"</f>
        <v>81469</v>
      </c>
      <c r="H15359">
        <v>1</v>
      </c>
      <c r="I15359">
        <v>16</v>
      </c>
      <c r="J15359">
        <v>0</v>
      </c>
      <c r="K15359" t="str">
        <f t="shared" si="2735"/>
        <v>801</v>
      </c>
      <c r="L15359">
        <v>13.44</v>
      </c>
    </row>
    <row r="15360" spans="1:12" x14ac:dyDescent="0.25">
      <c r="A15360" t="str">
        <f t="shared" si="2725"/>
        <v>89301000</v>
      </c>
      <c r="B15360" t="str">
        <f t="shared" si="2732"/>
        <v>88805000</v>
      </c>
      <c r="C15360" t="str">
        <f t="shared" si="2733"/>
        <v>88805001</v>
      </c>
      <c r="D15360">
        <v>89301036</v>
      </c>
      <c r="E15360" t="str">
        <f t="shared" si="2734"/>
        <v>7055145691</v>
      </c>
      <c r="F15360" s="1">
        <v>45274</v>
      </c>
      <c r="G15360" t="str">
        <f>"81499"</f>
        <v>81499</v>
      </c>
      <c r="H15360">
        <v>1</v>
      </c>
      <c r="I15360">
        <v>18</v>
      </c>
      <c r="J15360">
        <v>0</v>
      </c>
      <c r="K15360" t="str">
        <f t="shared" si="2735"/>
        <v>801</v>
      </c>
      <c r="L15360">
        <v>15.12</v>
      </c>
    </row>
    <row r="15361" spans="1:12" x14ac:dyDescent="0.25">
      <c r="A15361" t="str">
        <f t="shared" si="2725"/>
        <v>89301000</v>
      </c>
      <c r="B15361" t="str">
        <f t="shared" si="2732"/>
        <v>88805000</v>
      </c>
      <c r="C15361" t="str">
        <f t="shared" si="2733"/>
        <v>88805001</v>
      </c>
      <c r="D15361">
        <v>89301036</v>
      </c>
      <c r="E15361" t="str">
        <f t="shared" si="2734"/>
        <v>7055145691</v>
      </c>
      <c r="F15361" s="1">
        <v>45274</v>
      </c>
      <c r="G15361" t="str">
        <f>"81593"</f>
        <v>81593</v>
      </c>
      <c r="H15361">
        <v>1</v>
      </c>
      <c r="I15361">
        <v>22</v>
      </c>
      <c r="J15361">
        <v>0</v>
      </c>
      <c r="K15361" t="str">
        <f t="shared" si="2735"/>
        <v>801</v>
      </c>
      <c r="L15361">
        <v>18.48</v>
      </c>
    </row>
    <row r="15362" spans="1:12" x14ac:dyDescent="0.25">
      <c r="A15362" t="str">
        <f t="shared" ref="A15362:A15425" si="2736">"89301000"</f>
        <v>89301000</v>
      </c>
      <c r="B15362" t="str">
        <f t="shared" si="2732"/>
        <v>88805000</v>
      </c>
      <c r="C15362" t="str">
        <f t="shared" si="2733"/>
        <v>88805001</v>
      </c>
      <c r="D15362">
        <v>89301036</v>
      </c>
      <c r="E15362" t="str">
        <f t="shared" si="2734"/>
        <v>7055145691</v>
      </c>
      <c r="F15362" s="1">
        <v>45274</v>
      </c>
      <c r="G15362" t="str">
        <f>"81621"</f>
        <v>81621</v>
      </c>
      <c r="H15362">
        <v>1</v>
      </c>
      <c r="I15362">
        <v>19</v>
      </c>
      <c r="J15362">
        <v>0</v>
      </c>
      <c r="K15362" t="str">
        <f t="shared" si="2735"/>
        <v>801</v>
      </c>
      <c r="L15362">
        <v>15.96</v>
      </c>
    </row>
    <row r="15363" spans="1:12" x14ac:dyDescent="0.25">
      <c r="A15363" t="str">
        <f t="shared" si="2736"/>
        <v>89301000</v>
      </c>
      <c r="B15363" t="str">
        <f t="shared" si="2732"/>
        <v>88805000</v>
      </c>
      <c r="C15363" t="str">
        <f t="shared" si="2733"/>
        <v>88805001</v>
      </c>
      <c r="D15363">
        <v>89301036</v>
      </c>
      <c r="E15363" t="str">
        <f t="shared" si="2734"/>
        <v>7055145691</v>
      </c>
      <c r="F15363" s="1">
        <v>45274</v>
      </c>
      <c r="G15363" t="str">
        <f>"97111"</f>
        <v>97111</v>
      </c>
      <c r="H15363">
        <v>1</v>
      </c>
      <c r="I15363">
        <v>19</v>
      </c>
      <c r="J15363">
        <v>0</v>
      </c>
      <c r="K15363" t="str">
        <f t="shared" si="2735"/>
        <v>801</v>
      </c>
      <c r="L15363">
        <v>23.94</v>
      </c>
    </row>
    <row r="15364" spans="1:12" x14ac:dyDescent="0.25">
      <c r="A15364" t="str">
        <f t="shared" si="2736"/>
        <v>89301000</v>
      </c>
      <c r="B15364" t="str">
        <f t="shared" si="2732"/>
        <v>88805000</v>
      </c>
      <c r="C15364" t="str">
        <f t="shared" si="2733"/>
        <v>88805001</v>
      </c>
      <c r="D15364">
        <v>89301036</v>
      </c>
      <c r="E15364" t="str">
        <f t="shared" si="2734"/>
        <v>7055145691</v>
      </c>
      <c r="F15364" s="1">
        <v>45274</v>
      </c>
      <c r="G15364" t="str">
        <f>"09119"</f>
        <v>09119</v>
      </c>
      <c r="H15364">
        <v>1</v>
      </c>
      <c r="I15364">
        <v>43</v>
      </c>
      <c r="J15364">
        <v>0</v>
      </c>
      <c r="K15364" t="str">
        <f t="shared" si="2735"/>
        <v>801</v>
      </c>
      <c r="L15364">
        <v>54.18</v>
      </c>
    </row>
    <row r="15365" spans="1:12" x14ac:dyDescent="0.25">
      <c r="A15365" t="str">
        <f t="shared" si="2736"/>
        <v>89301000</v>
      </c>
      <c r="B15365" t="str">
        <f t="shared" si="2732"/>
        <v>88805000</v>
      </c>
      <c r="C15365" t="str">
        <f t="shared" si="2733"/>
        <v>88805001</v>
      </c>
      <c r="D15365">
        <v>89301167</v>
      </c>
      <c r="E15365" t="str">
        <f>"481021191"</f>
        <v>481021191</v>
      </c>
      <c r="F15365" s="1">
        <v>45261</v>
      </c>
      <c r="G15365" t="str">
        <f>"97111"</f>
        <v>97111</v>
      </c>
      <c r="H15365">
        <v>1</v>
      </c>
      <c r="I15365">
        <v>19</v>
      </c>
      <c r="J15365">
        <v>0</v>
      </c>
      <c r="K15365" t="str">
        <f t="shared" si="2735"/>
        <v>801</v>
      </c>
      <c r="L15365">
        <v>23.94</v>
      </c>
    </row>
    <row r="15366" spans="1:12" x14ac:dyDescent="0.25">
      <c r="A15366" t="str">
        <f t="shared" si="2736"/>
        <v>89301000</v>
      </c>
      <c r="B15366" t="str">
        <f t="shared" si="2732"/>
        <v>88805000</v>
      </c>
      <c r="C15366" t="str">
        <f t="shared" si="2733"/>
        <v>88805001</v>
      </c>
      <c r="D15366">
        <v>89301702</v>
      </c>
      <c r="E15366" t="str">
        <f>"0506047487"</f>
        <v>0506047487</v>
      </c>
      <c r="F15366" s="1">
        <v>45279</v>
      </c>
      <c r="G15366" t="str">
        <f>"97111"</f>
        <v>97111</v>
      </c>
      <c r="H15366">
        <v>1</v>
      </c>
      <c r="I15366">
        <v>19</v>
      </c>
      <c r="J15366">
        <v>0</v>
      </c>
      <c r="K15366" t="str">
        <f t="shared" si="2735"/>
        <v>801</v>
      </c>
      <c r="L15366">
        <v>23.94</v>
      </c>
    </row>
    <row r="15367" spans="1:12" x14ac:dyDescent="0.25">
      <c r="A15367" t="str">
        <f t="shared" si="2736"/>
        <v>89301000</v>
      </c>
      <c r="B15367" t="str">
        <f t="shared" si="2732"/>
        <v>88805000</v>
      </c>
      <c r="C15367" t="str">
        <f t="shared" si="2733"/>
        <v>88805001</v>
      </c>
      <c r="D15367">
        <v>89301108</v>
      </c>
      <c r="E15367" t="str">
        <f>"1859160336"</f>
        <v>1859160336</v>
      </c>
      <c r="F15367" s="1">
        <v>45267</v>
      </c>
      <c r="G15367" t="str">
        <f>"97111"</f>
        <v>97111</v>
      </c>
      <c r="H15367">
        <v>1</v>
      </c>
      <c r="I15367">
        <v>19</v>
      </c>
      <c r="J15367">
        <v>0</v>
      </c>
      <c r="K15367" t="str">
        <f t="shared" si="2735"/>
        <v>801</v>
      </c>
      <c r="L15367">
        <v>23.94</v>
      </c>
    </row>
    <row r="15368" spans="1:12" x14ac:dyDescent="0.25">
      <c r="A15368" t="str">
        <f t="shared" si="2736"/>
        <v>89301000</v>
      </c>
      <c r="B15368" t="str">
        <f t="shared" si="2732"/>
        <v>88805000</v>
      </c>
      <c r="C15368" t="str">
        <f t="shared" si="2733"/>
        <v>88805001</v>
      </c>
      <c r="D15368">
        <v>89301167</v>
      </c>
      <c r="E15368" t="str">
        <f>"5709166199"</f>
        <v>5709166199</v>
      </c>
      <c r="F15368" s="1">
        <v>45265</v>
      </c>
      <c r="G15368" t="str">
        <f>"09119"</f>
        <v>09119</v>
      </c>
      <c r="H15368">
        <v>1</v>
      </c>
      <c r="I15368">
        <v>43</v>
      </c>
      <c r="J15368">
        <v>0</v>
      </c>
      <c r="K15368" t="str">
        <f t="shared" si="2735"/>
        <v>801</v>
      </c>
      <c r="L15368">
        <v>54.18</v>
      </c>
    </row>
    <row r="15369" spans="1:12" x14ac:dyDescent="0.25">
      <c r="A15369" t="str">
        <f t="shared" si="2736"/>
        <v>89301000</v>
      </c>
      <c r="B15369" t="str">
        <f t="shared" si="2732"/>
        <v>88805000</v>
      </c>
      <c r="C15369" t="str">
        <f t="shared" si="2733"/>
        <v>88805001</v>
      </c>
      <c r="D15369">
        <v>89301167</v>
      </c>
      <c r="E15369" t="str">
        <f>"481021191"</f>
        <v>481021191</v>
      </c>
      <c r="F15369" s="1">
        <v>45261</v>
      </c>
      <c r="G15369" t="str">
        <f>"93229"</f>
        <v>93229</v>
      </c>
      <c r="H15369">
        <v>1</v>
      </c>
      <c r="I15369">
        <v>536</v>
      </c>
      <c r="J15369">
        <v>0</v>
      </c>
      <c r="K15369" t="str">
        <f t="shared" si="2735"/>
        <v>801</v>
      </c>
      <c r="L15369">
        <v>450.24</v>
      </c>
    </row>
    <row r="15370" spans="1:12" x14ac:dyDescent="0.25">
      <c r="A15370" t="str">
        <f t="shared" si="2736"/>
        <v>89301000</v>
      </c>
      <c r="B15370" t="str">
        <f t="shared" si="2732"/>
        <v>88805000</v>
      </c>
      <c r="C15370" t="str">
        <f t="shared" si="2733"/>
        <v>88805001</v>
      </c>
      <c r="D15370">
        <v>89301702</v>
      </c>
      <c r="E15370" t="str">
        <f>"0506047487"</f>
        <v>0506047487</v>
      </c>
      <c r="F15370" s="1">
        <v>45279</v>
      </c>
      <c r="G15370" t="str">
        <f>"81631"</f>
        <v>81631</v>
      </c>
      <c r="H15370">
        <v>1</v>
      </c>
      <c r="I15370">
        <v>299</v>
      </c>
      <c r="J15370">
        <v>0</v>
      </c>
      <c r="K15370" t="str">
        <f t="shared" si="2735"/>
        <v>801</v>
      </c>
      <c r="L15370">
        <v>251.16</v>
      </c>
    </row>
    <row r="15371" spans="1:12" x14ac:dyDescent="0.25">
      <c r="A15371" t="str">
        <f t="shared" si="2736"/>
        <v>89301000</v>
      </c>
      <c r="B15371" t="str">
        <f t="shared" si="2732"/>
        <v>88805000</v>
      </c>
      <c r="C15371" t="str">
        <f t="shared" si="2733"/>
        <v>88805001</v>
      </c>
      <c r="D15371">
        <v>89301702</v>
      </c>
      <c r="E15371" t="str">
        <f>"0506047487"</f>
        <v>0506047487</v>
      </c>
      <c r="F15371" s="1">
        <v>45279</v>
      </c>
      <c r="G15371" t="str">
        <f>"92143"</f>
        <v>92143</v>
      </c>
      <c r="H15371">
        <v>1</v>
      </c>
      <c r="I15371">
        <v>1772</v>
      </c>
      <c r="J15371">
        <v>0</v>
      </c>
      <c r="K15371" t="str">
        <f t="shared" si="2735"/>
        <v>801</v>
      </c>
      <c r="L15371">
        <v>1488.48</v>
      </c>
    </row>
    <row r="15372" spans="1:12" x14ac:dyDescent="0.25">
      <c r="A15372" t="str">
        <f t="shared" si="2736"/>
        <v>89301000</v>
      </c>
      <c r="B15372" t="str">
        <f t="shared" si="2732"/>
        <v>88805000</v>
      </c>
      <c r="C15372" t="str">
        <f t="shared" si="2733"/>
        <v>88805001</v>
      </c>
      <c r="D15372">
        <v>89301108</v>
      </c>
      <c r="E15372" t="str">
        <f>"1859160336"</f>
        <v>1859160336</v>
      </c>
      <c r="F15372" s="1">
        <v>45267</v>
      </c>
      <c r="G15372" t="str">
        <f>"81631"</f>
        <v>81631</v>
      </c>
      <c r="H15372">
        <v>1</v>
      </c>
      <c r="I15372">
        <v>299</v>
      </c>
      <c r="J15372">
        <v>0</v>
      </c>
      <c r="K15372" t="str">
        <f t="shared" si="2735"/>
        <v>801</v>
      </c>
      <c r="L15372">
        <v>251.16</v>
      </c>
    </row>
    <row r="15373" spans="1:12" x14ac:dyDescent="0.25">
      <c r="A15373" t="str">
        <f t="shared" si="2736"/>
        <v>89301000</v>
      </c>
      <c r="B15373" t="str">
        <f t="shared" si="2732"/>
        <v>88805000</v>
      </c>
      <c r="C15373" t="str">
        <f t="shared" si="2733"/>
        <v>88805001</v>
      </c>
      <c r="D15373">
        <v>89301108</v>
      </c>
      <c r="E15373" t="str">
        <f>"1859160336"</f>
        <v>1859160336</v>
      </c>
      <c r="F15373" s="1">
        <v>45267</v>
      </c>
      <c r="G15373" t="str">
        <f>"92143"</f>
        <v>92143</v>
      </c>
      <c r="H15373">
        <v>1</v>
      </c>
      <c r="I15373">
        <v>1772</v>
      </c>
      <c r="J15373">
        <v>0</v>
      </c>
      <c r="K15373" t="str">
        <f t="shared" si="2735"/>
        <v>801</v>
      </c>
      <c r="L15373">
        <v>1488.48</v>
      </c>
    </row>
    <row r="15374" spans="1:12" x14ac:dyDescent="0.25">
      <c r="A15374" t="str">
        <f t="shared" si="2736"/>
        <v>89301000</v>
      </c>
      <c r="B15374" t="str">
        <f t="shared" si="2732"/>
        <v>88805000</v>
      </c>
      <c r="C15374" t="str">
        <f t="shared" ref="C15374:C15380" si="2737">"88805014"</f>
        <v>88805014</v>
      </c>
      <c r="D15374">
        <v>89301282</v>
      </c>
      <c r="E15374" t="str">
        <f>"2053130530"</f>
        <v>2053130530</v>
      </c>
      <c r="F15374" s="1">
        <v>45271</v>
      </c>
      <c r="G15374" t="str">
        <f>"94221"</f>
        <v>94221</v>
      </c>
      <c r="H15374">
        <v>1</v>
      </c>
      <c r="I15374">
        <v>2467</v>
      </c>
      <c r="J15374">
        <v>0</v>
      </c>
      <c r="K15374" t="str">
        <f t="shared" ref="K15374:K15380" si="2738">"816"</f>
        <v>816</v>
      </c>
      <c r="L15374">
        <v>2220.3000000000002</v>
      </c>
    </row>
    <row r="15375" spans="1:12" x14ac:dyDescent="0.25">
      <c r="A15375" t="str">
        <f t="shared" si="2736"/>
        <v>89301000</v>
      </c>
      <c r="B15375" t="str">
        <f t="shared" si="2732"/>
        <v>88805000</v>
      </c>
      <c r="C15375" t="str">
        <f t="shared" si="2737"/>
        <v>88805014</v>
      </c>
      <c r="D15375">
        <v>89301282</v>
      </c>
      <c r="E15375" t="str">
        <f>"2053130530"</f>
        <v>2053130530</v>
      </c>
      <c r="F15375" s="1">
        <v>45271</v>
      </c>
      <c r="G15375" t="str">
        <f>"94948"</f>
        <v>94948</v>
      </c>
      <c r="H15375">
        <v>1</v>
      </c>
      <c r="I15375">
        <v>0</v>
      </c>
      <c r="J15375">
        <v>0</v>
      </c>
      <c r="K15375" t="str">
        <f t="shared" si="2738"/>
        <v>816</v>
      </c>
      <c r="L15375">
        <v>0</v>
      </c>
    </row>
    <row r="15376" spans="1:12" x14ac:dyDescent="0.25">
      <c r="A15376" t="str">
        <f t="shared" si="2736"/>
        <v>89301000</v>
      </c>
      <c r="B15376" t="str">
        <f t="shared" si="2732"/>
        <v>88805000</v>
      </c>
      <c r="C15376" t="str">
        <f t="shared" si="2737"/>
        <v>88805014</v>
      </c>
      <c r="D15376">
        <v>89301282</v>
      </c>
      <c r="E15376" t="str">
        <f>"1762010415"</f>
        <v>1762010415</v>
      </c>
      <c r="F15376" s="1">
        <v>45271</v>
      </c>
      <c r="G15376" t="str">
        <f>"94221"</f>
        <v>94221</v>
      </c>
      <c r="H15376">
        <v>1</v>
      </c>
      <c r="I15376">
        <v>2467</v>
      </c>
      <c r="J15376">
        <v>0</v>
      </c>
      <c r="K15376" t="str">
        <f t="shared" si="2738"/>
        <v>816</v>
      </c>
      <c r="L15376">
        <v>2220.3000000000002</v>
      </c>
    </row>
    <row r="15377" spans="1:12" x14ac:dyDescent="0.25">
      <c r="A15377" t="str">
        <f t="shared" si="2736"/>
        <v>89301000</v>
      </c>
      <c r="B15377" t="str">
        <f t="shared" si="2732"/>
        <v>88805000</v>
      </c>
      <c r="C15377" t="str">
        <f t="shared" si="2737"/>
        <v>88805014</v>
      </c>
      <c r="D15377">
        <v>89301282</v>
      </c>
      <c r="E15377" t="str">
        <f>"1762010415"</f>
        <v>1762010415</v>
      </c>
      <c r="F15377" s="1">
        <v>45271</v>
      </c>
      <c r="G15377" t="str">
        <f>"94948"</f>
        <v>94948</v>
      </c>
      <c r="H15377">
        <v>1</v>
      </c>
      <c r="I15377">
        <v>0</v>
      </c>
      <c r="J15377">
        <v>0</v>
      </c>
      <c r="K15377" t="str">
        <f t="shared" si="2738"/>
        <v>816</v>
      </c>
      <c r="L15377">
        <v>0</v>
      </c>
    </row>
    <row r="15378" spans="1:12" x14ac:dyDescent="0.25">
      <c r="A15378" t="str">
        <f t="shared" si="2736"/>
        <v>89301000</v>
      </c>
      <c r="B15378" t="str">
        <f t="shared" si="2732"/>
        <v>88805000</v>
      </c>
      <c r="C15378" t="str">
        <f t="shared" si="2737"/>
        <v>88805014</v>
      </c>
      <c r="D15378">
        <v>89301282</v>
      </c>
      <c r="E15378" t="str">
        <f>"9104035908"</f>
        <v>9104035908</v>
      </c>
      <c r="F15378" s="1">
        <v>45272</v>
      </c>
      <c r="G15378" t="str">
        <f>"94955"</f>
        <v>94955</v>
      </c>
      <c r="H15378">
        <v>1</v>
      </c>
      <c r="I15378">
        <v>0</v>
      </c>
      <c r="J15378">
        <v>2929</v>
      </c>
      <c r="K15378" t="str">
        <f t="shared" si="2738"/>
        <v>816</v>
      </c>
      <c r="L15378">
        <v>2929</v>
      </c>
    </row>
    <row r="15379" spans="1:12" x14ac:dyDescent="0.25">
      <c r="A15379" t="str">
        <f t="shared" si="2736"/>
        <v>89301000</v>
      </c>
      <c r="B15379" t="str">
        <f t="shared" si="2732"/>
        <v>88805000</v>
      </c>
      <c r="C15379" t="str">
        <f t="shared" si="2737"/>
        <v>88805014</v>
      </c>
      <c r="D15379">
        <v>89301282</v>
      </c>
      <c r="E15379" t="str">
        <f>"0806163237"</f>
        <v>0806163237</v>
      </c>
      <c r="F15379" s="1">
        <v>45274</v>
      </c>
      <c r="G15379" t="str">
        <f>"94983"</f>
        <v>94983</v>
      </c>
      <c r="H15379">
        <v>1</v>
      </c>
      <c r="I15379">
        <v>0</v>
      </c>
      <c r="J15379">
        <v>39600</v>
      </c>
      <c r="K15379" t="str">
        <f t="shared" si="2738"/>
        <v>816</v>
      </c>
      <c r="L15379">
        <v>39600</v>
      </c>
    </row>
    <row r="15380" spans="1:12" x14ac:dyDescent="0.25">
      <c r="A15380" t="str">
        <f t="shared" si="2736"/>
        <v>89301000</v>
      </c>
      <c r="B15380" t="str">
        <f t="shared" si="2732"/>
        <v>88805000</v>
      </c>
      <c r="C15380" t="str">
        <f t="shared" si="2737"/>
        <v>88805014</v>
      </c>
      <c r="D15380">
        <v>89301282</v>
      </c>
      <c r="E15380" t="str">
        <f>"0806163237"</f>
        <v>0806163237</v>
      </c>
      <c r="F15380" s="1">
        <v>45274</v>
      </c>
      <c r="G15380" t="str">
        <f>"94996"</f>
        <v>94996</v>
      </c>
      <c r="H15380">
        <v>1</v>
      </c>
      <c r="I15380">
        <v>0</v>
      </c>
      <c r="J15380">
        <v>0</v>
      </c>
      <c r="K15380" t="str">
        <f t="shared" si="2738"/>
        <v>816</v>
      </c>
      <c r="L15380">
        <v>0</v>
      </c>
    </row>
    <row r="15381" spans="1:12" x14ac:dyDescent="0.25">
      <c r="A15381" t="str">
        <f t="shared" si="2736"/>
        <v>89301000</v>
      </c>
      <c r="B15381" t="str">
        <f t="shared" ref="B15381:B15419" si="2739">"10510000"</f>
        <v>10510000</v>
      </c>
      <c r="C15381" t="str">
        <f t="shared" ref="C15381:C15419" si="2740">"10510001"</f>
        <v>10510001</v>
      </c>
      <c r="D15381">
        <v>89301202</v>
      </c>
      <c r="E15381" t="str">
        <f>"8711171524"</f>
        <v>8711171524</v>
      </c>
      <c r="F15381" s="1">
        <v>45264</v>
      </c>
      <c r="G15381" t="str">
        <f>"82111"</f>
        <v>82111</v>
      </c>
      <c r="H15381">
        <v>1</v>
      </c>
      <c r="I15381">
        <v>37</v>
      </c>
      <c r="J15381">
        <v>0</v>
      </c>
      <c r="K15381" t="str">
        <f t="shared" ref="K15381:K15419" si="2741">"802"</f>
        <v>802</v>
      </c>
      <c r="L15381">
        <v>35.89</v>
      </c>
    </row>
    <row r="15382" spans="1:12" x14ac:dyDescent="0.25">
      <c r="A15382" t="str">
        <f t="shared" si="2736"/>
        <v>89301000</v>
      </c>
      <c r="B15382" t="str">
        <f t="shared" si="2739"/>
        <v>10510000</v>
      </c>
      <c r="C15382" t="str">
        <f t="shared" si="2740"/>
        <v>10510001</v>
      </c>
      <c r="D15382">
        <v>89301202</v>
      </c>
      <c r="E15382" t="str">
        <f>"8711171524"</f>
        <v>8711171524</v>
      </c>
      <c r="F15382" s="1">
        <v>45264</v>
      </c>
      <c r="G15382" t="str">
        <f>"82145"</f>
        <v>82145</v>
      </c>
      <c r="H15382">
        <v>1</v>
      </c>
      <c r="I15382">
        <v>59</v>
      </c>
      <c r="J15382">
        <v>0</v>
      </c>
      <c r="K15382" t="str">
        <f t="shared" si="2741"/>
        <v>802</v>
      </c>
      <c r="L15382">
        <v>57.23</v>
      </c>
    </row>
    <row r="15383" spans="1:12" x14ac:dyDescent="0.25">
      <c r="A15383" t="str">
        <f t="shared" si="2736"/>
        <v>89301000</v>
      </c>
      <c r="B15383" t="str">
        <f t="shared" si="2739"/>
        <v>10510000</v>
      </c>
      <c r="C15383" t="str">
        <f t="shared" si="2740"/>
        <v>10510001</v>
      </c>
      <c r="D15383">
        <v>89301202</v>
      </c>
      <c r="E15383" t="str">
        <f>"8711171524"</f>
        <v>8711171524</v>
      </c>
      <c r="F15383" s="1">
        <v>45264</v>
      </c>
      <c r="G15383" t="str">
        <f>"82079"</f>
        <v>82079</v>
      </c>
      <c r="H15383">
        <v>1</v>
      </c>
      <c r="I15383">
        <v>333</v>
      </c>
      <c r="J15383">
        <v>0</v>
      </c>
      <c r="K15383" t="str">
        <f t="shared" si="2741"/>
        <v>802</v>
      </c>
      <c r="L15383">
        <v>323.01</v>
      </c>
    </row>
    <row r="15384" spans="1:12" x14ac:dyDescent="0.25">
      <c r="A15384" t="str">
        <f t="shared" si="2736"/>
        <v>89301000</v>
      </c>
      <c r="B15384" t="str">
        <f t="shared" si="2739"/>
        <v>10510000</v>
      </c>
      <c r="C15384" t="str">
        <f t="shared" si="2740"/>
        <v>10510001</v>
      </c>
      <c r="D15384">
        <v>89301202</v>
      </c>
      <c r="E15384" t="str">
        <f>"8711171524"</f>
        <v>8711171524</v>
      </c>
      <c r="F15384" s="1">
        <v>45264</v>
      </c>
      <c r="G15384" t="str">
        <f>"82113"</f>
        <v>82113</v>
      </c>
      <c r="H15384">
        <v>1</v>
      </c>
      <c r="I15384">
        <v>363</v>
      </c>
      <c r="J15384">
        <v>0</v>
      </c>
      <c r="K15384" t="str">
        <f t="shared" si="2741"/>
        <v>802</v>
      </c>
      <c r="L15384">
        <v>352.11</v>
      </c>
    </row>
    <row r="15385" spans="1:12" x14ac:dyDescent="0.25">
      <c r="A15385" t="str">
        <f t="shared" si="2736"/>
        <v>89301000</v>
      </c>
      <c r="B15385" t="str">
        <f t="shared" si="2739"/>
        <v>10510000</v>
      </c>
      <c r="C15385" t="str">
        <f t="shared" si="2740"/>
        <v>10510001</v>
      </c>
      <c r="D15385">
        <v>89301202</v>
      </c>
      <c r="E15385" t="str">
        <f>"7405264460"</f>
        <v>7405264460</v>
      </c>
      <c r="F15385" s="1">
        <v>45271</v>
      </c>
      <c r="G15385" t="str">
        <f>"82113"</f>
        <v>82113</v>
      </c>
      <c r="H15385">
        <v>1</v>
      </c>
      <c r="I15385">
        <v>363</v>
      </c>
      <c r="J15385">
        <v>0</v>
      </c>
      <c r="K15385" t="str">
        <f t="shared" si="2741"/>
        <v>802</v>
      </c>
      <c r="L15385">
        <v>352.11</v>
      </c>
    </row>
    <row r="15386" spans="1:12" x14ac:dyDescent="0.25">
      <c r="A15386" t="str">
        <f t="shared" si="2736"/>
        <v>89301000</v>
      </c>
      <c r="B15386" t="str">
        <f t="shared" si="2739"/>
        <v>10510000</v>
      </c>
      <c r="C15386" t="str">
        <f t="shared" si="2740"/>
        <v>10510001</v>
      </c>
      <c r="D15386">
        <v>89301202</v>
      </c>
      <c r="E15386" t="str">
        <f>"7405264460"</f>
        <v>7405264460</v>
      </c>
      <c r="F15386" s="1">
        <v>45274</v>
      </c>
      <c r="G15386" t="str">
        <f>"82113"</f>
        <v>82113</v>
      </c>
      <c r="H15386">
        <v>1</v>
      </c>
      <c r="I15386">
        <v>363</v>
      </c>
      <c r="J15386">
        <v>0</v>
      </c>
      <c r="K15386" t="str">
        <f t="shared" si="2741"/>
        <v>802</v>
      </c>
      <c r="L15386">
        <v>352.11</v>
      </c>
    </row>
    <row r="15387" spans="1:12" x14ac:dyDescent="0.25">
      <c r="A15387" t="str">
        <f t="shared" si="2736"/>
        <v>89301000</v>
      </c>
      <c r="B15387" t="str">
        <f t="shared" si="2739"/>
        <v>10510000</v>
      </c>
      <c r="C15387" t="str">
        <f t="shared" si="2740"/>
        <v>10510001</v>
      </c>
      <c r="D15387">
        <v>89301202</v>
      </c>
      <c r="E15387" t="str">
        <f>"7405264460"</f>
        <v>7405264460</v>
      </c>
      <c r="F15387" s="1">
        <v>45271</v>
      </c>
      <c r="G15387" t="str">
        <f>"82145"</f>
        <v>82145</v>
      </c>
      <c r="H15387">
        <v>6</v>
      </c>
      <c r="I15387">
        <v>354</v>
      </c>
      <c r="J15387">
        <v>0</v>
      </c>
      <c r="K15387" t="str">
        <f t="shared" si="2741"/>
        <v>802</v>
      </c>
      <c r="L15387">
        <v>343.38</v>
      </c>
    </row>
    <row r="15388" spans="1:12" x14ac:dyDescent="0.25">
      <c r="A15388" t="str">
        <f t="shared" si="2736"/>
        <v>89301000</v>
      </c>
      <c r="B15388" t="str">
        <f t="shared" si="2739"/>
        <v>10510000</v>
      </c>
      <c r="C15388" t="str">
        <f t="shared" si="2740"/>
        <v>10510001</v>
      </c>
      <c r="D15388">
        <v>89301202</v>
      </c>
      <c r="E15388" t="str">
        <f>"7405264460"</f>
        <v>7405264460</v>
      </c>
      <c r="F15388" s="1">
        <v>45271</v>
      </c>
      <c r="G15388" t="str">
        <f>"82111"</f>
        <v>82111</v>
      </c>
      <c r="H15388">
        <v>1</v>
      </c>
      <c r="I15388">
        <v>37</v>
      </c>
      <c r="J15388">
        <v>0</v>
      </c>
      <c r="K15388" t="str">
        <f t="shared" si="2741"/>
        <v>802</v>
      </c>
      <c r="L15388">
        <v>35.89</v>
      </c>
    </row>
    <row r="15389" spans="1:12" x14ac:dyDescent="0.25">
      <c r="A15389" t="str">
        <f t="shared" si="2736"/>
        <v>89301000</v>
      </c>
      <c r="B15389" t="str">
        <f t="shared" si="2739"/>
        <v>10510000</v>
      </c>
      <c r="C15389" t="str">
        <f t="shared" si="2740"/>
        <v>10510001</v>
      </c>
      <c r="D15389">
        <v>89301202</v>
      </c>
      <c r="E15389" t="str">
        <f>"7405264460"</f>
        <v>7405264460</v>
      </c>
      <c r="F15389" s="1">
        <v>45272</v>
      </c>
      <c r="G15389" t="str">
        <f>"82079"</f>
        <v>82079</v>
      </c>
      <c r="H15389">
        <v>1</v>
      </c>
      <c r="I15389">
        <v>333</v>
      </c>
      <c r="J15389">
        <v>0</v>
      </c>
      <c r="K15389" t="str">
        <f t="shared" si="2741"/>
        <v>802</v>
      </c>
      <c r="L15389">
        <v>323.01</v>
      </c>
    </row>
    <row r="15390" spans="1:12" x14ac:dyDescent="0.25">
      <c r="A15390" t="str">
        <f t="shared" si="2736"/>
        <v>89301000</v>
      </c>
      <c r="B15390" t="str">
        <f t="shared" si="2739"/>
        <v>10510000</v>
      </c>
      <c r="C15390" t="str">
        <f t="shared" si="2740"/>
        <v>10510001</v>
      </c>
      <c r="D15390">
        <v>89301202</v>
      </c>
      <c r="E15390" t="str">
        <f>"9006254884"</f>
        <v>9006254884</v>
      </c>
      <c r="F15390" s="1">
        <v>45282</v>
      </c>
      <c r="G15390" t="str">
        <f>"82111"</f>
        <v>82111</v>
      </c>
      <c r="H15390">
        <v>1</v>
      </c>
      <c r="I15390">
        <v>37</v>
      </c>
      <c r="J15390">
        <v>0</v>
      </c>
      <c r="K15390" t="str">
        <f t="shared" si="2741"/>
        <v>802</v>
      </c>
      <c r="L15390">
        <v>35.89</v>
      </c>
    </row>
    <row r="15391" spans="1:12" x14ac:dyDescent="0.25">
      <c r="A15391" t="str">
        <f t="shared" si="2736"/>
        <v>89301000</v>
      </c>
      <c r="B15391" t="str">
        <f t="shared" si="2739"/>
        <v>10510000</v>
      </c>
      <c r="C15391" t="str">
        <f t="shared" si="2740"/>
        <v>10510001</v>
      </c>
      <c r="D15391">
        <v>89301202</v>
      </c>
      <c r="E15391" t="str">
        <f>"9006254884"</f>
        <v>9006254884</v>
      </c>
      <c r="F15391" s="1">
        <v>45287</v>
      </c>
      <c r="G15391" t="str">
        <f>"82079"</f>
        <v>82079</v>
      </c>
      <c r="H15391">
        <v>1</v>
      </c>
      <c r="I15391">
        <v>333</v>
      </c>
      <c r="J15391">
        <v>0</v>
      </c>
      <c r="K15391" t="str">
        <f t="shared" si="2741"/>
        <v>802</v>
      </c>
      <c r="L15391">
        <v>323.01</v>
      </c>
    </row>
    <row r="15392" spans="1:12" x14ac:dyDescent="0.25">
      <c r="A15392" t="str">
        <f t="shared" si="2736"/>
        <v>89301000</v>
      </c>
      <c r="B15392" t="str">
        <f t="shared" si="2739"/>
        <v>10510000</v>
      </c>
      <c r="C15392" t="str">
        <f t="shared" si="2740"/>
        <v>10510001</v>
      </c>
      <c r="D15392">
        <v>89301202</v>
      </c>
      <c r="E15392" t="str">
        <f>"9006254884"</f>
        <v>9006254884</v>
      </c>
      <c r="F15392" s="1">
        <v>45282</v>
      </c>
      <c r="G15392" t="str">
        <f>"82145"</f>
        <v>82145</v>
      </c>
      <c r="H15392">
        <v>9</v>
      </c>
      <c r="I15392">
        <v>531</v>
      </c>
      <c r="J15392">
        <v>0</v>
      </c>
      <c r="K15392" t="str">
        <f t="shared" si="2741"/>
        <v>802</v>
      </c>
      <c r="L15392">
        <v>515.07000000000005</v>
      </c>
    </row>
    <row r="15393" spans="1:12" x14ac:dyDescent="0.25">
      <c r="A15393" t="str">
        <f t="shared" si="2736"/>
        <v>89301000</v>
      </c>
      <c r="B15393" t="str">
        <f t="shared" si="2739"/>
        <v>10510000</v>
      </c>
      <c r="C15393" t="str">
        <f t="shared" si="2740"/>
        <v>10510001</v>
      </c>
      <c r="D15393">
        <v>89301202</v>
      </c>
      <c r="E15393" t="str">
        <f>"9006254884"</f>
        <v>9006254884</v>
      </c>
      <c r="F15393" s="1">
        <v>45282</v>
      </c>
      <c r="G15393" t="str">
        <f>"82113"</f>
        <v>82113</v>
      </c>
      <c r="H15393">
        <v>1</v>
      </c>
      <c r="I15393">
        <v>363</v>
      </c>
      <c r="J15393">
        <v>0</v>
      </c>
      <c r="K15393" t="str">
        <f t="shared" si="2741"/>
        <v>802</v>
      </c>
      <c r="L15393">
        <v>352.11</v>
      </c>
    </row>
    <row r="15394" spans="1:12" x14ac:dyDescent="0.25">
      <c r="A15394" t="str">
        <f t="shared" si="2736"/>
        <v>89301000</v>
      </c>
      <c r="B15394" t="str">
        <f t="shared" si="2739"/>
        <v>10510000</v>
      </c>
      <c r="C15394" t="str">
        <f t="shared" si="2740"/>
        <v>10510001</v>
      </c>
      <c r="D15394">
        <v>89301202</v>
      </c>
      <c r="E15394" t="str">
        <f>"7607244469"</f>
        <v>7607244469</v>
      </c>
      <c r="F15394" s="1">
        <v>45289</v>
      </c>
      <c r="G15394" t="str">
        <f>"82113"</f>
        <v>82113</v>
      </c>
      <c r="H15394">
        <v>1</v>
      </c>
      <c r="I15394">
        <v>363</v>
      </c>
      <c r="J15394">
        <v>0</v>
      </c>
      <c r="K15394" t="str">
        <f t="shared" si="2741"/>
        <v>802</v>
      </c>
      <c r="L15394">
        <v>352.11</v>
      </c>
    </row>
    <row r="15395" spans="1:12" x14ac:dyDescent="0.25">
      <c r="A15395" t="str">
        <f t="shared" si="2736"/>
        <v>89301000</v>
      </c>
      <c r="B15395" t="str">
        <f t="shared" si="2739"/>
        <v>10510000</v>
      </c>
      <c r="C15395" t="str">
        <f t="shared" si="2740"/>
        <v>10510001</v>
      </c>
      <c r="D15395">
        <v>89301202</v>
      </c>
      <c r="E15395" t="str">
        <f>"7607244469"</f>
        <v>7607244469</v>
      </c>
      <c r="F15395" s="1">
        <v>45289</v>
      </c>
      <c r="G15395" t="str">
        <f>"82145"</f>
        <v>82145</v>
      </c>
      <c r="H15395">
        <v>1</v>
      </c>
      <c r="I15395">
        <v>59</v>
      </c>
      <c r="J15395">
        <v>0</v>
      </c>
      <c r="K15395" t="str">
        <f t="shared" si="2741"/>
        <v>802</v>
      </c>
      <c r="L15395">
        <v>57.23</v>
      </c>
    </row>
    <row r="15396" spans="1:12" x14ac:dyDescent="0.25">
      <c r="A15396" t="str">
        <f t="shared" si="2736"/>
        <v>89301000</v>
      </c>
      <c r="B15396" t="str">
        <f t="shared" si="2739"/>
        <v>10510000</v>
      </c>
      <c r="C15396" t="str">
        <f t="shared" si="2740"/>
        <v>10510001</v>
      </c>
      <c r="D15396">
        <v>89301202</v>
      </c>
      <c r="E15396" t="str">
        <f>"7607244469"</f>
        <v>7607244469</v>
      </c>
      <c r="F15396" s="1">
        <v>45289</v>
      </c>
      <c r="G15396" t="str">
        <f>"82079"</f>
        <v>82079</v>
      </c>
      <c r="H15396">
        <v>1</v>
      </c>
      <c r="I15396">
        <v>333</v>
      </c>
      <c r="J15396">
        <v>0</v>
      </c>
      <c r="K15396" t="str">
        <f t="shared" si="2741"/>
        <v>802</v>
      </c>
      <c r="L15396">
        <v>323.01</v>
      </c>
    </row>
    <row r="15397" spans="1:12" x14ac:dyDescent="0.25">
      <c r="A15397" t="str">
        <f t="shared" si="2736"/>
        <v>89301000</v>
      </c>
      <c r="B15397" t="str">
        <f t="shared" si="2739"/>
        <v>10510000</v>
      </c>
      <c r="C15397" t="str">
        <f t="shared" si="2740"/>
        <v>10510001</v>
      </c>
      <c r="D15397">
        <v>89301202</v>
      </c>
      <c r="E15397" t="str">
        <f>"7607244469"</f>
        <v>7607244469</v>
      </c>
      <c r="F15397" s="1">
        <v>45289</v>
      </c>
      <c r="G15397" t="str">
        <f>"82111"</f>
        <v>82111</v>
      </c>
      <c r="H15397">
        <v>1</v>
      </c>
      <c r="I15397">
        <v>37</v>
      </c>
      <c r="J15397">
        <v>0</v>
      </c>
      <c r="K15397" t="str">
        <f t="shared" si="2741"/>
        <v>802</v>
      </c>
      <c r="L15397">
        <v>35.89</v>
      </c>
    </row>
    <row r="15398" spans="1:12" x14ac:dyDescent="0.25">
      <c r="A15398" t="str">
        <f t="shared" si="2736"/>
        <v>89301000</v>
      </c>
      <c r="B15398" t="str">
        <f t="shared" si="2739"/>
        <v>10510000</v>
      </c>
      <c r="C15398" t="str">
        <f t="shared" si="2740"/>
        <v>10510001</v>
      </c>
      <c r="D15398">
        <v>89301355</v>
      </c>
      <c r="E15398" t="str">
        <f>"6106080431"</f>
        <v>6106080431</v>
      </c>
      <c r="F15398" s="1">
        <v>45272</v>
      </c>
      <c r="G15398" t="str">
        <f t="shared" ref="G15398:G15403" si="2742">"82077"</f>
        <v>82077</v>
      </c>
      <c r="H15398">
        <v>1</v>
      </c>
      <c r="I15398">
        <v>351</v>
      </c>
      <c r="J15398">
        <v>0</v>
      </c>
      <c r="K15398" t="str">
        <f t="shared" si="2741"/>
        <v>802</v>
      </c>
      <c r="L15398">
        <v>340.47</v>
      </c>
    </row>
    <row r="15399" spans="1:12" x14ac:dyDescent="0.25">
      <c r="A15399" t="str">
        <f t="shared" si="2736"/>
        <v>89301000</v>
      </c>
      <c r="B15399" t="str">
        <f t="shared" si="2739"/>
        <v>10510000</v>
      </c>
      <c r="C15399" t="str">
        <f t="shared" si="2740"/>
        <v>10510001</v>
      </c>
      <c r="D15399">
        <v>89301355</v>
      </c>
      <c r="E15399" t="str">
        <f>"6106080431"</f>
        <v>6106080431</v>
      </c>
      <c r="F15399" s="1">
        <v>45266</v>
      </c>
      <c r="G15399" t="str">
        <f t="shared" si="2742"/>
        <v>82077</v>
      </c>
      <c r="H15399">
        <v>2</v>
      </c>
      <c r="I15399">
        <v>702</v>
      </c>
      <c r="J15399">
        <v>0</v>
      </c>
      <c r="K15399" t="str">
        <f t="shared" si="2741"/>
        <v>802</v>
      </c>
      <c r="L15399">
        <v>680.94</v>
      </c>
    </row>
    <row r="15400" spans="1:12" x14ac:dyDescent="0.25">
      <c r="A15400" t="str">
        <f t="shared" si="2736"/>
        <v>89301000</v>
      </c>
      <c r="B15400" t="str">
        <f t="shared" si="2739"/>
        <v>10510000</v>
      </c>
      <c r="C15400" t="str">
        <f t="shared" si="2740"/>
        <v>10510001</v>
      </c>
      <c r="D15400">
        <v>89301355</v>
      </c>
      <c r="E15400" t="str">
        <f>"6106080431"</f>
        <v>6106080431</v>
      </c>
      <c r="F15400" s="1">
        <v>45266</v>
      </c>
      <c r="G15400" t="str">
        <f t="shared" si="2742"/>
        <v>82077</v>
      </c>
      <c r="H15400">
        <v>2</v>
      </c>
      <c r="I15400">
        <v>702</v>
      </c>
      <c r="J15400">
        <v>0</v>
      </c>
      <c r="K15400" t="str">
        <f t="shared" si="2741"/>
        <v>802</v>
      </c>
      <c r="L15400">
        <v>680.94</v>
      </c>
    </row>
    <row r="15401" spans="1:12" x14ac:dyDescent="0.25">
      <c r="A15401" t="str">
        <f t="shared" si="2736"/>
        <v>89301000</v>
      </c>
      <c r="B15401" t="str">
        <f t="shared" si="2739"/>
        <v>10510000</v>
      </c>
      <c r="C15401" t="str">
        <f t="shared" si="2740"/>
        <v>10510001</v>
      </c>
      <c r="D15401">
        <v>89301355</v>
      </c>
      <c r="E15401" t="str">
        <f>"8504084930"</f>
        <v>8504084930</v>
      </c>
      <c r="F15401" s="1">
        <v>45271</v>
      </c>
      <c r="G15401" t="str">
        <f t="shared" si="2742"/>
        <v>82077</v>
      </c>
      <c r="H15401">
        <v>2</v>
      </c>
      <c r="I15401">
        <v>702</v>
      </c>
      <c r="J15401">
        <v>0</v>
      </c>
      <c r="K15401" t="str">
        <f t="shared" si="2741"/>
        <v>802</v>
      </c>
      <c r="L15401">
        <v>680.94</v>
      </c>
    </row>
    <row r="15402" spans="1:12" x14ac:dyDescent="0.25">
      <c r="A15402" t="str">
        <f t="shared" si="2736"/>
        <v>89301000</v>
      </c>
      <c r="B15402" t="str">
        <f t="shared" si="2739"/>
        <v>10510000</v>
      </c>
      <c r="C15402" t="str">
        <f t="shared" si="2740"/>
        <v>10510001</v>
      </c>
      <c r="D15402">
        <v>89301355</v>
      </c>
      <c r="E15402" t="str">
        <f>"8504084930"</f>
        <v>8504084930</v>
      </c>
      <c r="F15402" s="1">
        <v>45271</v>
      </c>
      <c r="G15402" t="str">
        <f t="shared" si="2742"/>
        <v>82077</v>
      </c>
      <c r="H15402">
        <v>2</v>
      </c>
      <c r="I15402">
        <v>702</v>
      </c>
      <c r="J15402">
        <v>0</v>
      </c>
      <c r="K15402" t="str">
        <f t="shared" si="2741"/>
        <v>802</v>
      </c>
      <c r="L15402">
        <v>680.94</v>
      </c>
    </row>
    <row r="15403" spans="1:12" x14ac:dyDescent="0.25">
      <c r="A15403" t="str">
        <f t="shared" si="2736"/>
        <v>89301000</v>
      </c>
      <c r="B15403" t="str">
        <f t="shared" si="2739"/>
        <v>10510000</v>
      </c>
      <c r="C15403" t="str">
        <f t="shared" si="2740"/>
        <v>10510001</v>
      </c>
      <c r="D15403">
        <v>89301355</v>
      </c>
      <c r="E15403" t="str">
        <f>"8504084930"</f>
        <v>8504084930</v>
      </c>
      <c r="F15403" s="1">
        <v>45265</v>
      </c>
      <c r="G15403" t="str">
        <f t="shared" si="2742"/>
        <v>82077</v>
      </c>
      <c r="H15403">
        <v>1</v>
      </c>
      <c r="I15403">
        <v>351</v>
      </c>
      <c r="J15403">
        <v>0</v>
      </c>
      <c r="K15403" t="str">
        <f t="shared" si="2741"/>
        <v>802</v>
      </c>
      <c r="L15403">
        <v>340.47</v>
      </c>
    </row>
    <row r="15404" spans="1:12" x14ac:dyDescent="0.25">
      <c r="A15404" t="str">
        <f t="shared" si="2736"/>
        <v>89301000</v>
      </c>
      <c r="B15404" t="str">
        <f t="shared" si="2739"/>
        <v>10510000</v>
      </c>
      <c r="C15404" t="str">
        <f t="shared" si="2740"/>
        <v>10510001</v>
      </c>
      <c r="D15404">
        <v>89301355</v>
      </c>
      <c r="E15404" t="str">
        <f>"8504084930"</f>
        <v>8504084930</v>
      </c>
      <c r="F15404" s="1">
        <v>45268</v>
      </c>
      <c r="G15404" t="str">
        <f>"82137"</f>
        <v>82137</v>
      </c>
      <c r="H15404">
        <v>1</v>
      </c>
      <c r="I15404">
        <v>1606</v>
      </c>
      <c r="J15404">
        <v>0</v>
      </c>
      <c r="K15404" t="str">
        <f t="shared" si="2741"/>
        <v>802</v>
      </c>
      <c r="L15404">
        <v>1557.82</v>
      </c>
    </row>
    <row r="15405" spans="1:12" x14ac:dyDescent="0.25">
      <c r="A15405" t="str">
        <f t="shared" si="2736"/>
        <v>89301000</v>
      </c>
      <c r="B15405" t="str">
        <f t="shared" si="2739"/>
        <v>10510000</v>
      </c>
      <c r="C15405" t="str">
        <f t="shared" si="2740"/>
        <v>10510001</v>
      </c>
      <c r="D15405">
        <v>89301355</v>
      </c>
      <c r="E15405" t="str">
        <f>"7658094477"</f>
        <v>7658094477</v>
      </c>
      <c r="F15405" s="1">
        <v>45279</v>
      </c>
      <c r="G15405" t="str">
        <f>"82119"</f>
        <v>82119</v>
      </c>
      <c r="H15405">
        <v>1</v>
      </c>
      <c r="I15405">
        <v>230</v>
      </c>
      <c r="J15405">
        <v>0</v>
      </c>
      <c r="K15405" t="str">
        <f t="shared" si="2741"/>
        <v>802</v>
      </c>
      <c r="L15405">
        <v>223.1</v>
      </c>
    </row>
    <row r="15406" spans="1:12" x14ac:dyDescent="0.25">
      <c r="A15406" t="str">
        <f t="shared" si="2736"/>
        <v>89301000</v>
      </c>
      <c r="B15406" t="str">
        <f t="shared" si="2739"/>
        <v>10510000</v>
      </c>
      <c r="C15406" t="str">
        <f t="shared" si="2740"/>
        <v>10510001</v>
      </c>
      <c r="D15406">
        <v>89301355</v>
      </c>
      <c r="E15406" t="str">
        <f>"7658094477"</f>
        <v>7658094477</v>
      </c>
      <c r="F15406" s="1">
        <v>45278</v>
      </c>
      <c r="G15406" t="str">
        <f>"82119"</f>
        <v>82119</v>
      </c>
      <c r="H15406">
        <v>2</v>
      </c>
      <c r="I15406">
        <v>460</v>
      </c>
      <c r="J15406">
        <v>0</v>
      </c>
      <c r="K15406" t="str">
        <f t="shared" si="2741"/>
        <v>802</v>
      </c>
      <c r="L15406">
        <v>446.2</v>
      </c>
    </row>
    <row r="15407" spans="1:12" x14ac:dyDescent="0.25">
      <c r="A15407" t="str">
        <f t="shared" si="2736"/>
        <v>89301000</v>
      </c>
      <c r="B15407" t="str">
        <f t="shared" si="2739"/>
        <v>10510000</v>
      </c>
      <c r="C15407" t="str">
        <f t="shared" si="2740"/>
        <v>10510001</v>
      </c>
      <c r="D15407">
        <v>89301355</v>
      </c>
      <c r="E15407" t="str">
        <f>"7658094477"</f>
        <v>7658094477</v>
      </c>
      <c r="F15407" s="1">
        <v>45279</v>
      </c>
      <c r="G15407" t="str">
        <f>"82077"</f>
        <v>82077</v>
      </c>
      <c r="H15407">
        <v>1</v>
      </c>
      <c r="I15407">
        <v>351</v>
      </c>
      <c r="J15407">
        <v>0</v>
      </c>
      <c r="K15407" t="str">
        <f t="shared" si="2741"/>
        <v>802</v>
      </c>
      <c r="L15407">
        <v>340.47</v>
      </c>
    </row>
    <row r="15408" spans="1:12" x14ac:dyDescent="0.25">
      <c r="A15408" t="str">
        <f t="shared" si="2736"/>
        <v>89301000</v>
      </c>
      <c r="B15408" t="str">
        <f t="shared" si="2739"/>
        <v>10510000</v>
      </c>
      <c r="C15408" t="str">
        <f t="shared" si="2740"/>
        <v>10510001</v>
      </c>
      <c r="D15408">
        <v>89301355</v>
      </c>
      <c r="E15408" t="str">
        <f>"7658094477"</f>
        <v>7658094477</v>
      </c>
      <c r="F15408" s="1">
        <v>45279</v>
      </c>
      <c r="G15408" t="str">
        <f>"82135"</f>
        <v>82135</v>
      </c>
      <c r="H15408">
        <v>1</v>
      </c>
      <c r="I15408">
        <v>829</v>
      </c>
      <c r="J15408">
        <v>0</v>
      </c>
      <c r="K15408" t="str">
        <f t="shared" si="2741"/>
        <v>802</v>
      </c>
      <c r="L15408">
        <v>804.13</v>
      </c>
    </row>
    <row r="15409" spans="1:12" x14ac:dyDescent="0.25">
      <c r="A15409" t="str">
        <f t="shared" si="2736"/>
        <v>89301000</v>
      </c>
      <c r="B15409" t="str">
        <f t="shared" si="2739"/>
        <v>10510000</v>
      </c>
      <c r="C15409" t="str">
        <f t="shared" si="2740"/>
        <v>10510001</v>
      </c>
      <c r="D15409">
        <v>89301172</v>
      </c>
      <c r="E15409" t="str">
        <f>"7653204889"</f>
        <v>7653204889</v>
      </c>
      <c r="F15409" s="1">
        <v>45271</v>
      </c>
      <c r="G15409" t="str">
        <f>"82077"</f>
        <v>82077</v>
      </c>
      <c r="H15409">
        <v>1</v>
      </c>
      <c r="I15409">
        <v>351</v>
      </c>
      <c r="J15409">
        <v>0</v>
      </c>
      <c r="K15409" t="str">
        <f t="shared" si="2741"/>
        <v>802</v>
      </c>
      <c r="L15409">
        <v>340.47</v>
      </c>
    </row>
    <row r="15410" spans="1:12" x14ac:dyDescent="0.25">
      <c r="A15410" t="str">
        <f t="shared" si="2736"/>
        <v>89301000</v>
      </c>
      <c r="B15410" t="str">
        <f t="shared" si="2739"/>
        <v>10510000</v>
      </c>
      <c r="C15410" t="str">
        <f t="shared" si="2740"/>
        <v>10510001</v>
      </c>
      <c r="D15410">
        <v>89301172</v>
      </c>
      <c r="E15410" t="str">
        <f>"7653204889"</f>
        <v>7653204889</v>
      </c>
      <c r="F15410" s="1">
        <v>45271</v>
      </c>
      <c r="G15410" t="str">
        <f>"82077"</f>
        <v>82077</v>
      </c>
      <c r="H15410">
        <v>1</v>
      </c>
      <c r="I15410">
        <v>351</v>
      </c>
      <c r="J15410">
        <v>0</v>
      </c>
      <c r="K15410" t="str">
        <f t="shared" si="2741"/>
        <v>802</v>
      </c>
      <c r="L15410">
        <v>340.47</v>
      </c>
    </row>
    <row r="15411" spans="1:12" x14ac:dyDescent="0.25">
      <c r="A15411" t="str">
        <f t="shared" si="2736"/>
        <v>89301000</v>
      </c>
      <c r="B15411" t="str">
        <f t="shared" si="2739"/>
        <v>10510000</v>
      </c>
      <c r="C15411" t="str">
        <f t="shared" si="2740"/>
        <v>10510001</v>
      </c>
      <c r="D15411">
        <v>89301171</v>
      </c>
      <c r="E15411" t="str">
        <f>"6104141978"</f>
        <v>6104141978</v>
      </c>
      <c r="F15411" s="1">
        <v>45265</v>
      </c>
      <c r="G15411" t="str">
        <f>"82034"</f>
        <v>82034</v>
      </c>
      <c r="H15411">
        <v>1</v>
      </c>
      <c r="I15411">
        <v>354</v>
      </c>
      <c r="J15411">
        <v>0</v>
      </c>
      <c r="K15411" t="str">
        <f t="shared" si="2741"/>
        <v>802</v>
      </c>
      <c r="L15411">
        <v>343.38</v>
      </c>
    </row>
    <row r="15412" spans="1:12" x14ac:dyDescent="0.25">
      <c r="A15412" t="str">
        <f t="shared" si="2736"/>
        <v>89301000</v>
      </c>
      <c r="B15412" t="str">
        <f t="shared" si="2739"/>
        <v>10510000</v>
      </c>
      <c r="C15412" t="str">
        <f t="shared" si="2740"/>
        <v>10510001</v>
      </c>
      <c r="D15412">
        <v>89301171</v>
      </c>
      <c r="E15412" t="str">
        <f>"6104141978"</f>
        <v>6104141978</v>
      </c>
      <c r="F15412" s="1">
        <v>45265</v>
      </c>
      <c r="G15412" t="str">
        <f>"82041"</f>
        <v>82041</v>
      </c>
      <c r="H15412">
        <v>1</v>
      </c>
      <c r="I15412">
        <v>1096</v>
      </c>
      <c r="J15412">
        <v>0</v>
      </c>
      <c r="K15412" t="str">
        <f t="shared" si="2741"/>
        <v>802</v>
      </c>
      <c r="L15412">
        <v>1063.1199999999999</v>
      </c>
    </row>
    <row r="15413" spans="1:12" x14ac:dyDescent="0.25">
      <c r="A15413" t="str">
        <f t="shared" si="2736"/>
        <v>89301000</v>
      </c>
      <c r="B15413" t="str">
        <f t="shared" si="2739"/>
        <v>10510000</v>
      </c>
      <c r="C15413" t="str">
        <f t="shared" si="2740"/>
        <v>10510001</v>
      </c>
      <c r="D15413">
        <v>89301171</v>
      </c>
      <c r="E15413" t="str">
        <f>"6104141978"</f>
        <v>6104141978</v>
      </c>
      <c r="F15413" s="1">
        <v>45265</v>
      </c>
      <c r="G15413" t="str">
        <f>"82041"</f>
        <v>82041</v>
      </c>
      <c r="H15413">
        <v>1</v>
      </c>
      <c r="I15413">
        <v>1096</v>
      </c>
      <c r="J15413">
        <v>0</v>
      </c>
      <c r="K15413" t="str">
        <f t="shared" si="2741"/>
        <v>802</v>
      </c>
      <c r="L15413">
        <v>1063.1199999999999</v>
      </c>
    </row>
    <row r="15414" spans="1:12" x14ac:dyDescent="0.25">
      <c r="A15414" t="str">
        <f t="shared" si="2736"/>
        <v>89301000</v>
      </c>
      <c r="B15414" t="str">
        <f t="shared" si="2739"/>
        <v>10510000</v>
      </c>
      <c r="C15414" t="str">
        <f t="shared" si="2740"/>
        <v>10510001</v>
      </c>
      <c r="D15414">
        <v>89301171</v>
      </c>
      <c r="E15414" t="str">
        <f>"6910259389"</f>
        <v>6910259389</v>
      </c>
      <c r="F15414" s="1">
        <v>45265</v>
      </c>
      <c r="G15414" t="str">
        <f>"82041"</f>
        <v>82041</v>
      </c>
      <c r="H15414">
        <v>1</v>
      </c>
      <c r="I15414">
        <v>1096</v>
      </c>
      <c r="J15414">
        <v>0</v>
      </c>
      <c r="K15414" t="str">
        <f t="shared" si="2741"/>
        <v>802</v>
      </c>
      <c r="L15414">
        <v>1063.1199999999999</v>
      </c>
    </row>
    <row r="15415" spans="1:12" x14ac:dyDescent="0.25">
      <c r="A15415" t="str">
        <f t="shared" si="2736"/>
        <v>89301000</v>
      </c>
      <c r="B15415" t="str">
        <f t="shared" si="2739"/>
        <v>10510000</v>
      </c>
      <c r="C15415" t="str">
        <f t="shared" si="2740"/>
        <v>10510001</v>
      </c>
      <c r="D15415">
        <v>89301171</v>
      </c>
      <c r="E15415" t="str">
        <f>"6910259389"</f>
        <v>6910259389</v>
      </c>
      <c r="F15415" s="1">
        <v>45265</v>
      </c>
      <c r="G15415" t="str">
        <f>"82034"</f>
        <v>82034</v>
      </c>
      <c r="H15415">
        <v>1</v>
      </c>
      <c r="I15415">
        <v>354</v>
      </c>
      <c r="J15415">
        <v>0</v>
      </c>
      <c r="K15415" t="str">
        <f t="shared" si="2741"/>
        <v>802</v>
      </c>
      <c r="L15415">
        <v>343.38</v>
      </c>
    </row>
    <row r="15416" spans="1:12" x14ac:dyDescent="0.25">
      <c r="A15416" t="str">
        <f t="shared" si="2736"/>
        <v>89301000</v>
      </c>
      <c r="B15416" t="str">
        <f t="shared" si="2739"/>
        <v>10510000</v>
      </c>
      <c r="C15416" t="str">
        <f t="shared" si="2740"/>
        <v>10510001</v>
      </c>
      <c r="D15416">
        <v>89301171</v>
      </c>
      <c r="E15416" t="str">
        <f>"6910259389"</f>
        <v>6910259389</v>
      </c>
      <c r="F15416" s="1">
        <v>45265</v>
      </c>
      <c r="G15416" t="str">
        <f>"82041"</f>
        <v>82041</v>
      </c>
      <c r="H15416">
        <v>1</v>
      </c>
      <c r="I15416">
        <v>1096</v>
      </c>
      <c r="J15416">
        <v>0</v>
      </c>
      <c r="K15416" t="str">
        <f t="shared" si="2741"/>
        <v>802</v>
      </c>
      <c r="L15416">
        <v>1063.1199999999999</v>
      </c>
    </row>
    <row r="15417" spans="1:12" x14ac:dyDescent="0.25">
      <c r="A15417" t="str">
        <f t="shared" si="2736"/>
        <v>89301000</v>
      </c>
      <c r="B15417" t="str">
        <f t="shared" si="2739"/>
        <v>10510000</v>
      </c>
      <c r="C15417" t="str">
        <f t="shared" si="2740"/>
        <v>10510001</v>
      </c>
      <c r="D15417">
        <v>89301171</v>
      </c>
      <c r="E15417" t="str">
        <f>"8910136147"</f>
        <v>8910136147</v>
      </c>
      <c r="F15417" s="1">
        <v>45265</v>
      </c>
      <c r="G15417" t="str">
        <f>"82041"</f>
        <v>82041</v>
      </c>
      <c r="H15417">
        <v>1</v>
      </c>
      <c r="I15417">
        <v>1096</v>
      </c>
      <c r="J15417">
        <v>0</v>
      </c>
      <c r="K15417" t="str">
        <f t="shared" si="2741"/>
        <v>802</v>
      </c>
      <c r="L15417">
        <v>1063.1199999999999</v>
      </c>
    </row>
    <row r="15418" spans="1:12" x14ac:dyDescent="0.25">
      <c r="A15418" t="str">
        <f t="shared" si="2736"/>
        <v>89301000</v>
      </c>
      <c r="B15418" t="str">
        <f t="shared" si="2739"/>
        <v>10510000</v>
      </c>
      <c r="C15418" t="str">
        <f t="shared" si="2740"/>
        <v>10510001</v>
      </c>
      <c r="D15418">
        <v>89301171</v>
      </c>
      <c r="E15418" t="str">
        <f>"8910136147"</f>
        <v>8910136147</v>
      </c>
      <c r="F15418" s="1">
        <v>45265</v>
      </c>
      <c r="G15418" t="str">
        <f>"82034"</f>
        <v>82034</v>
      </c>
      <c r="H15418">
        <v>1</v>
      </c>
      <c r="I15418">
        <v>354</v>
      </c>
      <c r="J15418">
        <v>0</v>
      </c>
      <c r="K15418" t="str">
        <f t="shared" si="2741"/>
        <v>802</v>
      </c>
      <c r="L15418">
        <v>343.38</v>
      </c>
    </row>
    <row r="15419" spans="1:12" x14ac:dyDescent="0.25">
      <c r="A15419" t="str">
        <f t="shared" si="2736"/>
        <v>89301000</v>
      </c>
      <c r="B15419" t="str">
        <f t="shared" si="2739"/>
        <v>10510000</v>
      </c>
      <c r="C15419" t="str">
        <f t="shared" si="2740"/>
        <v>10510001</v>
      </c>
      <c r="D15419">
        <v>89301171</v>
      </c>
      <c r="E15419" t="str">
        <f>"8910136147"</f>
        <v>8910136147</v>
      </c>
      <c r="F15419" s="1">
        <v>45265</v>
      </c>
      <c r="G15419" t="str">
        <f>"82041"</f>
        <v>82041</v>
      </c>
      <c r="H15419">
        <v>1</v>
      </c>
      <c r="I15419">
        <v>1096</v>
      </c>
      <c r="J15419">
        <v>0</v>
      </c>
      <c r="K15419" t="str">
        <f t="shared" si="2741"/>
        <v>802</v>
      </c>
      <c r="L15419">
        <v>1063.1199999999999</v>
      </c>
    </row>
    <row r="15420" spans="1:12" x14ac:dyDescent="0.25">
      <c r="A15420" t="str">
        <f t="shared" si="2736"/>
        <v>89301000</v>
      </c>
      <c r="B15420" t="str">
        <f t="shared" ref="B15420:C15423" si="2743">"89345401"</f>
        <v>89345401</v>
      </c>
      <c r="C15420" t="str">
        <f t="shared" si="2743"/>
        <v>89345401</v>
      </c>
      <c r="D15420">
        <v>89301152</v>
      </c>
      <c r="E15420" t="str">
        <f>"9957255715"</f>
        <v>9957255715</v>
      </c>
      <c r="F15420" s="1">
        <v>45288</v>
      </c>
      <c r="G15420" t="str">
        <f>"89513"</f>
        <v>89513</v>
      </c>
      <c r="H15420">
        <v>1</v>
      </c>
      <c r="I15420">
        <v>378</v>
      </c>
      <c r="J15420">
        <v>0</v>
      </c>
      <c r="K15420" t="str">
        <f t="shared" ref="K15420:K15430" si="2744">"809"</f>
        <v>809</v>
      </c>
      <c r="L15420">
        <v>555.66</v>
      </c>
    </row>
    <row r="15421" spans="1:12" x14ac:dyDescent="0.25">
      <c r="A15421" t="str">
        <f t="shared" si="2736"/>
        <v>89301000</v>
      </c>
      <c r="B15421" t="str">
        <f t="shared" si="2743"/>
        <v>89345401</v>
      </c>
      <c r="C15421" t="str">
        <f t="shared" si="2743"/>
        <v>89345401</v>
      </c>
      <c r="D15421">
        <v>89301152</v>
      </c>
      <c r="E15421" t="str">
        <f>"9957255715"</f>
        <v>9957255715</v>
      </c>
      <c r="F15421" s="1">
        <v>45288</v>
      </c>
      <c r="G15421" t="str">
        <f>"89514"</f>
        <v>89514</v>
      </c>
      <c r="H15421">
        <v>1</v>
      </c>
      <c r="I15421">
        <v>378</v>
      </c>
      <c r="J15421">
        <v>0</v>
      </c>
      <c r="K15421" t="str">
        <f t="shared" si="2744"/>
        <v>809</v>
      </c>
      <c r="L15421">
        <v>555.66</v>
      </c>
    </row>
    <row r="15422" spans="1:12" x14ac:dyDescent="0.25">
      <c r="A15422" t="str">
        <f t="shared" si="2736"/>
        <v>89301000</v>
      </c>
      <c r="B15422" t="str">
        <f t="shared" si="2743"/>
        <v>89345401</v>
      </c>
      <c r="C15422" t="str">
        <f t="shared" si="2743"/>
        <v>89345401</v>
      </c>
      <c r="D15422">
        <v>89301034</v>
      </c>
      <c r="E15422" t="str">
        <f>"8861115791"</f>
        <v>8861115791</v>
      </c>
      <c r="F15422" s="1">
        <v>45271</v>
      </c>
      <c r="G15422" t="str">
        <f>"89513"</f>
        <v>89513</v>
      </c>
      <c r="H15422">
        <v>1</v>
      </c>
      <c r="I15422">
        <v>378</v>
      </c>
      <c r="J15422">
        <v>0</v>
      </c>
      <c r="K15422" t="str">
        <f t="shared" si="2744"/>
        <v>809</v>
      </c>
      <c r="L15422">
        <v>555.66</v>
      </c>
    </row>
    <row r="15423" spans="1:12" x14ac:dyDescent="0.25">
      <c r="A15423" t="str">
        <f t="shared" si="2736"/>
        <v>89301000</v>
      </c>
      <c r="B15423" t="str">
        <f t="shared" si="2743"/>
        <v>89345401</v>
      </c>
      <c r="C15423" t="str">
        <f t="shared" si="2743"/>
        <v>89345401</v>
      </c>
      <c r="D15423">
        <v>89301034</v>
      </c>
      <c r="E15423" t="str">
        <f>"8861115791"</f>
        <v>8861115791</v>
      </c>
      <c r="F15423" s="1">
        <v>45271</v>
      </c>
      <c r="G15423" t="str">
        <f>"89514"</f>
        <v>89514</v>
      </c>
      <c r="H15423">
        <v>1</v>
      </c>
      <c r="I15423">
        <v>378</v>
      </c>
      <c r="J15423">
        <v>0</v>
      </c>
      <c r="K15423" t="str">
        <f t="shared" si="2744"/>
        <v>809</v>
      </c>
      <c r="L15423">
        <v>555.66</v>
      </c>
    </row>
    <row r="15424" spans="1:12" x14ac:dyDescent="0.25">
      <c r="A15424" t="str">
        <f t="shared" si="2736"/>
        <v>89301000</v>
      </c>
      <c r="B15424" t="str">
        <f t="shared" ref="B15424:C15427" si="2745">"89632000"</f>
        <v>89632000</v>
      </c>
      <c r="C15424" t="str">
        <f t="shared" si="2745"/>
        <v>89632000</v>
      </c>
      <c r="D15424">
        <v>89301215</v>
      </c>
      <c r="E15424" t="str">
        <f>"9758255760"</f>
        <v>9758255760</v>
      </c>
      <c r="F15424" s="1">
        <v>45288</v>
      </c>
      <c r="G15424" t="str">
        <f>"89513"</f>
        <v>89513</v>
      </c>
      <c r="H15424">
        <v>1</v>
      </c>
      <c r="I15424">
        <v>378</v>
      </c>
      <c r="J15424">
        <v>0</v>
      </c>
      <c r="K15424" t="str">
        <f t="shared" si="2744"/>
        <v>809</v>
      </c>
      <c r="L15424">
        <v>555.66</v>
      </c>
    </row>
    <row r="15425" spans="1:12" x14ac:dyDescent="0.25">
      <c r="A15425" t="str">
        <f t="shared" si="2736"/>
        <v>89301000</v>
      </c>
      <c r="B15425" t="str">
        <f t="shared" si="2745"/>
        <v>89632000</v>
      </c>
      <c r="C15425" t="str">
        <f t="shared" si="2745"/>
        <v>89632000</v>
      </c>
      <c r="D15425">
        <v>89301215</v>
      </c>
      <c r="E15425" t="str">
        <f>"9758255760"</f>
        <v>9758255760</v>
      </c>
      <c r="F15425" s="1">
        <v>45288</v>
      </c>
      <c r="G15425" t="str">
        <f>"89514"</f>
        <v>89514</v>
      </c>
      <c r="H15425">
        <v>1</v>
      </c>
      <c r="I15425">
        <v>378</v>
      </c>
      <c r="J15425">
        <v>0</v>
      </c>
      <c r="K15425" t="str">
        <f t="shared" si="2744"/>
        <v>809</v>
      </c>
      <c r="L15425">
        <v>555.66</v>
      </c>
    </row>
    <row r="15426" spans="1:12" x14ac:dyDescent="0.25">
      <c r="A15426" t="str">
        <f t="shared" ref="A15426:A15489" si="2746">"89301000"</f>
        <v>89301000</v>
      </c>
      <c r="B15426" t="str">
        <f t="shared" si="2745"/>
        <v>89632000</v>
      </c>
      <c r="C15426" t="str">
        <f t="shared" si="2745"/>
        <v>89632000</v>
      </c>
      <c r="D15426">
        <v>89301212</v>
      </c>
      <c r="E15426" t="str">
        <f>"6655090189"</f>
        <v>6655090189</v>
      </c>
      <c r="F15426" s="1">
        <v>45268</v>
      </c>
      <c r="G15426" t="str">
        <f>"89513"</f>
        <v>89513</v>
      </c>
      <c r="H15426">
        <v>1</v>
      </c>
      <c r="I15426">
        <v>378</v>
      </c>
      <c r="J15426">
        <v>0</v>
      </c>
      <c r="K15426" t="str">
        <f t="shared" si="2744"/>
        <v>809</v>
      </c>
      <c r="L15426">
        <v>555.66</v>
      </c>
    </row>
    <row r="15427" spans="1:12" x14ac:dyDescent="0.25">
      <c r="A15427" t="str">
        <f t="shared" si="2746"/>
        <v>89301000</v>
      </c>
      <c r="B15427" t="str">
        <f t="shared" si="2745"/>
        <v>89632000</v>
      </c>
      <c r="C15427" t="str">
        <f t="shared" si="2745"/>
        <v>89632000</v>
      </c>
      <c r="D15427">
        <v>89301212</v>
      </c>
      <c r="E15427" t="str">
        <f>"6655090189"</f>
        <v>6655090189</v>
      </c>
      <c r="F15427" s="1">
        <v>45268</v>
      </c>
      <c r="G15427" t="str">
        <f>"89514"</f>
        <v>89514</v>
      </c>
      <c r="H15427">
        <v>1</v>
      </c>
      <c r="I15427">
        <v>378</v>
      </c>
      <c r="J15427">
        <v>0</v>
      </c>
      <c r="K15427" t="str">
        <f t="shared" si="2744"/>
        <v>809</v>
      </c>
      <c r="L15427">
        <v>555.66</v>
      </c>
    </row>
    <row r="15428" spans="1:12" x14ac:dyDescent="0.25">
      <c r="A15428" t="str">
        <f t="shared" si="2746"/>
        <v>89301000</v>
      </c>
      <c r="B15428" t="str">
        <f>"85600000"</f>
        <v>85600000</v>
      </c>
      <c r="C15428" t="str">
        <f>"85600421"</f>
        <v>85600421</v>
      </c>
      <c r="D15428">
        <v>89301322</v>
      </c>
      <c r="E15428" t="str">
        <f>"5906232233"</f>
        <v>5906232233</v>
      </c>
      <c r="F15428" s="1">
        <v>45275</v>
      </c>
      <c r="G15428" t="str">
        <f>"89514"</f>
        <v>89514</v>
      </c>
      <c r="H15428">
        <v>1</v>
      </c>
      <c r="I15428">
        <v>378</v>
      </c>
      <c r="J15428">
        <v>0</v>
      </c>
      <c r="K15428" t="str">
        <f t="shared" si="2744"/>
        <v>809</v>
      </c>
      <c r="L15428">
        <v>555.66</v>
      </c>
    </row>
    <row r="15429" spans="1:12" x14ac:dyDescent="0.25">
      <c r="A15429" t="str">
        <f t="shared" si="2746"/>
        <v>89301000</v>
      </c>
      <c r="B15429" t="str">
        <f>"85600000"</f>
        <v>85600000</v>
      </c>
      <c r="C15429" t="str">
        <f>"85600421"</f>
        <v>85600421</v>
      </c>
      <c r="D15429">
        <v>89301322</v>
      </c>
      <c r="E15429" t="str">
        <f>"5906232233"</f>
        <v>5906232233</v>
      </c>
      <c r="F15429" s="1">
        <v>45275</v>
      </c>
      <c r="G15429" t="str">
        <f>"89513"</f>
        <v>89513</v>
      </c>
      <c r="H15429">
        <v>1</v>
      </c>
      <c r="I15429">
        <v>378</v>
      </c>
      <c r="J15429">
        <v>0</v>
      </c>
      <c r="K15429" t="str">
        <f t="shared" si="2744"/>
        <v>809</v>
      </c>
      <c r="L15429">
        <v>555.66</v>
      </c>
    </row>
    <row r="15430" spans="1:12" x14ac:dyDescent="0.25">
      <c r="A15430" t="str">
        <f t="shared" si="2746"/>
        <v>89301000</v>
      </c>
      <c r="B15430" t="str">
        <f>"85600000"</f>
        <v>85600000</v>
      </c>
      <c r="C15430" t="str">
        <f>"85600421"</f>
        <v>85600421</v>
      </c>
      <c r="D15430">
        <v>89301322</v>
      </c>
      <c r="E15430" t="str">
        <f>"5906232233"</f>
        <v>5906232233</v>
      </c>
      <c r="F15430" s="1">
        <v>45275</v>
      </c>
      <c r="G15430" t="str">
        <f>"89517"</f>
        <v>89517</v>
      </c>
      <c r="H15430">
        <v>1</v>
      </c>
      <c r="I15430">
        <v>994</v>
      </c>
      <c r="J15430">
        <v>0</v>
      </c>
      <c r="K15430" t="str">
        <f t="shared" si="2744"/>
        <v>809</v>
      </c>
      <c r="L15430">
        <v>1461.18</v>
      </c>
    </row>
    <row r="15431" spans="1:12" x14ac:dyDescent="0.25">
      <c r="A15431" t="str">
        <f t="shared" si="2746"/>
        <v>89301000</v>
      </c>
      <c r="B15431" t="str">
        <f>"85600000"</f>
        <v>85600000</v>
      </c>
      <c r="C15431" t="str">
        <f>"85600422"</f>
        <v>85600422</v>
      </c>
      <c r="D15431">
        <v>89301062</v>
      </c>
      <c r="E15431" t="str">
        <f>"6853200827"</f>
        <v>6853200827</v>
      </c>
      <c r="F15431" s="1">
        <v>45271</v>
      </c>
      <c r="G15431" t="str">
        <f>"89725"</f>
        <v>89725</v>
      </c>
      <c r="H15431">
        <v>1</v>
      </c>
      <c r="I15431">
        <v>2863</v>
      </c>
      <c r="J15431">
        <v>0</v>
      </c>
      <c r="K15431" t="str">
        <f>"810"</f>
        <v>810</v>
      </c>
      <c r="L15431">
        <v>1860.95</v>
      </c>
    </row>
    <row r="15432" spans="1:12" x14ac:dyDescent="0.25">
      <c r="A15432" t="str">
        <f t="shared" si="2746"/>
        <v>89301000</v>
      </c>
      <c r="B15432" t="str">
        <f>"85600000"</f>
        <v>85600000</v>
      </c>
      <c r="C15432" t="str">
        <f>"85600422"</f>
        <v>85600422</v>
      </c>
      <c r="D15432">
        <v>89301062</v>
      </c>
      <c r="E15432" t="str">
        <f>"6853200827"</f>
        <v>6853200827</v>
      </c>
      <c r="F15432" s="1">
        <v>45271</v>
      </c>
      <c r="G15432" t="str">
        <f>"89713"</f>
        <v>89713</v>
      </c>
      <c r="H15432">
        <v>1</v>
      </c>
      <c r="I15432">
        <v>5411</v>
      </c>
      <c r="J15432">
        <v>0</v>
      </c>
      <c r="K15432" t="str">
        <f>"810"</f>
        <v>810</v>
      </c>
      <c r="L15432">
        <v>3517.15</v>
      </c>
    </row>
    <row r="15433" spans="1:12" x14ac:dyDescent="0.25">
      <c r="A15433" t="str">
        <f t="shared" si="2746"/>
        <v>89301000</v>
      </c>
      <c r="B15433" t="str">
        <f>"91950000"</f>
        <v>91950000</v>
      </c>
      <c r="C15433" t="str">
        <f>"91950028"</f>
        <v>91950028</v>
      </c>
      <c r="D15433">
        <v>89301322</v>
      </c>
      <c r="E15433" t="str">
        <f>"7159274969"</f>
        <v>7159274969</v>
      </c>
      <c r="F15433" s="1">
        <v>45271</v>
      </c>
      <c r="G15433" t="str">
        <f>"89514"</f>
        <v>89514</v>
      </c>
      <c r="H15433">
        <v>1</v>
      </c>
      <c r="I15433">
        <v>378</v>
      </c>
      <c r="J15433">
        <v>0</v>
      </c>
      <c r="K15433" t="str">
        <f>"809"</f>
        <v>809</v>
      </c>
      <c r="L15433">
        <v>555.66</v>
      </c>
    </row>
    <row r="15434" spans="1:12" x14ac:dyDescent="0.25">
      <c r="A15434" t="str">
        <f t="shared" si="2746"/>
        <v>89301000</v>
      </c>
      <c r="B15434" t="str">
        <f>"91950000"</f>
        <v>91950000</v>
      </c>
      <c r="C15434" t="str">
        <f>"91950028"</f>
        <v>91950028</v>
      </c>
      <c r="D15434">
        <v>89301322</v>
      </c>
      <c r="E15434" t="str">
        <f>"7159274969"</f>
        <v>7159274969</v>
      </c>
      <c r="F15434" s="1">
        <v>45271</v>
      </c>
      <c r="G15434" t="str">
        <f>"89513"</f>
        <v>89513</v>
      </c>
      <c r="H15434">
        <v>1</v>
      </c>
      <c r="I15434">
        <v>378</v>
      </c>
      <c r="J15434">
        <v>0</v>
      </c>
      <c r="K15434" t="str">
        <f>"809"</f>
        <v>809</v>
      </c>
      <c r="L15434">
        <v>555.66</v>
      </c>
    </row>
    <row r="15435" spans="1:12" x14ac:dyDescent="0.25">
      <c r="A15435" t="str">
        <f t="shared" si="2746"/>
        <v>89301000</v>
      </c>
      <c r="B15435" t="str">
        <f t="shared" ref="B15435:B15466" si="2747">"72077000"</f>
        <v>72077000</v>
      </c>
      <c r="C15435" t="str">
        <f t="shared" ref="C15435:C15440" si="2748">"72077001"</f>
        <v>72077001</v>
      </c>
      <c r="D15435">
        <v>89301152</v>
      </c>
      <c r="E15435" t="str">
        <f t="shared" ref="E15435:E15440" si="2749">"8658044912"</f>
        <v>8658044912</v>
      </c>
      <c r="F15435" s="1">
        <v>45273</v>
      </c>
      <c r="G15435" t="str">
        <f>"91485"</f>
        <v>91485</v>
      </c>
      <c r="H15435">
        <v>1</v>
      </c>
      <c r="I15435">
        <v>268</v>
      </c>
      <c r="J15435">
        <v>0</v>
      </c>
      <c r="K15435" t="str">
        <f t="shared" ref="K15435:K15440" si="2750">"813"</f>
        <v>813</v>
      </c>
      <c r="L15435">
        <v>225.12</v>
      </c>
    </row>
    <row r="15436" spans="1:12" x14ac:dyDescent="0.25">
      <c r="A15436" t="str">
        <f t="shared" si="2746"/>
        <v>89301000</v>
      </c>
      <c r="B15436" t="str">
        <f t="shared" si="2747"/>
        <v>72077000</v>
      </c>
      <c r="C15436" t="str">
        <f t="shared" si="2748"/>
        <v>72077001</v>
      </c>
      <c r="D15436">
        <v>89301152</v>
      </c>
      <c r="E15436" t="str">
        <f t="shared" si="2749"/>
        <v>8658044912</v>
      </c>
      <c r="F15436" s="1">
        <v>45273</v>
      </c>
      <c r="G15436" t="str">
        <f>"91359"</f>
        <v>91359</v>
      </c>
      <c r="H15436">
        <v>1</v>
      </c>
      <c r="I15436">
        <v>205</v>
      </c>
      <c r="J15436">
        <v>0</v>
      </c>
      <c r="K15436" t="str">
        <f t="shared" si="2750"/>
        <v>813</v>
      </c>
      <c r="L15436">
        <v>172.2</v>
      </c>
    </row>
    <row r="15437" spans="1:12" x14ac:dyDescent="0.25">
      <c r="A15437" t="str">
        <f t="shared" si="2746"/>
        <v>89301000</v>
      </c>
      <c r="B15437" t="str">
        <f t="shared" si="2747"/>
        <v>72077000</v>
      </c>
      <c r="C15437" t="str">
        <f t="shared" si="2748"/>
        <v>72077001</v>
      </c>
      <c r="D15437">
        <v>89301152</v>
      </c>
      <c r="E15437" t="str">
        <f t="shared" si="2749"/>
        <v>8658044912</v>
      </c>
      <c r="F15437" s="1">
        <v>45273</v>
      </c>
      <c r="G15437" t="str">
        <f>"91577"</f>
        <v>91577</v>
      </c>
      <c r="H15437">
        <v>1</v>
      </c>
      <c r="I15437">
        <v>398</v>
      </c>
      <c r="J15437">
        <v>0</v>
      </c>
      <c r="K15437" t="str">
        <f t="shared" si="2750"/>
        <v>813</v>
      </c>
      <c r="L15437">
        <v>334.32</v>
      </c>
    </row>
    <row r="15438" spans="1:12" x14ac:dyDescent="0.25">
      <c r="A15438" t="str">
        <f t="shared" si="2746"/>
        <v>89301000</v>
      </c>
      <c r="B15438" t="str">
        <f t="shared" si="2747"/>
        <v>72077000</v>
      </c>
      <c r="C15438" t="str">
        <f t="shared" si="2748"/>
        <v>72077001</v>
      </c>
      <c r="D15438">
        <v>89301152</v>
      </c>
      <c r="E15438" t="str">
        <f t="shared" si="2749"/>
        <v>8658044912</v>
      </c>
      <c r="F15438" s="1">
        <v>45274</v>
      </c>
      <c r="G15438" t="str">
        <f>"91361"</f>
        <v>91361</v>
      </c>
      <c r="H15438">
        <v>1</v>
      </c>
      <c r="I15438">
        <v>444</v>
      </c>
      <c r="J15438">
        <v>0</v>
      </c>
      <c r="K15438" t="str">
        <f t="shared" si="2750"/>
        <v>813</v>
      </c>
      <c r="L15438">
        <v>372.96</v>
      </c>
    </row>
    <row r="15439" spans="1:12" x14ac:dyDescent="0.25">
      <c r="A15439" t="str">
        <f t="shared" si="2746"/>
        <v>89301000</v>
      </c>
      <c r="B15439" t="str">
        <f t="shared" si="2747"/>
        <v>72077000</v>
      </c>
      <c r="C15439" t="str">
        <f t="shared" si="2748"/>
        <v>72077001</v>
      </c>
      <c r="D15439">
        <v>89301152</v>
      </c>
      <c r="E15439" t="str">
        <f t="shared" si="2749"/>
        <v>8658044912</v>
      </c>
      <c r="F15439" s="1">
        <v>45274</v>
      </c>
      <c r="G15439" t="str">
        <f>"91197"</f>
        <v>91197</v>
      </c>
      <c r="H15439">
        <v>1</v>
      </c>
      <c r="I15439">
        <v>1048</v>
      </c>
      <c r="J15439">
        <v>0</v>
      </c>
      <c r="K15439" t="str">
        <f t="shared" si="2750"/>
        <v>813</v>
      </c>
      <c r="L15439">
        <v>880.32</v>
      </c>
    </row>
    <row r="15440" spans="1:12" x14ac:dyDescent="0.25">
      <c r="A15440" t="str">
        <f t="shared" si="2746"/>
        <v>89301000</v>
      </c>
      <c r="B15440" t="str">
        <f t="shared" si="2747"/>
        <v>72077000</v>
      </c>
      <c r="C15440" t="str">
        <f t="shared" si="2748"/>
        <v>72077001</v>
      </c>
      <c r="D15440">
        <v>89301152</v>
      </c>
      <c r="E15440" t="str">
        <f t="shared" si="2749"/>
        <v>8658044912</v>
      </c>
      <c r="F15440" s="1">
        <v>45275</v>
      </c>
      <c r="G15440" t="str">
        <f>"91465"</f>
        <v>91465</v>
      </c>
      <c r="H15440">
        <v>1</v>
      </c>
      <c r="I15440">
        <v>1412</v>
      </c>
      <c r="J15440">
        <v>0</v>
      </c>
      <c r="K15440" t="str">
        <f t="shared" si="2750"/>
        <v>813</v>
      </c>
      <c r="L15440">
        <v>1186.08</v>
      </c>
    </row>
    <row r="15441" spans="1:12" x14ac:dyDescent="0.25">
      <c r="A15441" t="str">
        <f t="shared" si="2746"/>
        <v>89301000</v>
      </c>
      <c r="B15441" t="str">
        <f t="shared" si="2747"/>
        <v>72077000</v>
      </c>
      <c r="C15441" t="str">
        <f>"72077002"</f>
        <v>72077002</v>
      </c>
      <c r="D15441">
        <v>89301152</v>
      </c>
      <c r="E15441" t="str">
        <f>"7257124457"</f>
        <v>7257124457</v>
      </c>
      <c r="F15441" s="1">
        <v>45266</v>
      </c>
      <c r="G15441" t="str">
        <f>"82097"</f>
        <v>82097</v>
      </c>
      <c r="H15441">
        <v>1</v>
      </c>
      <c r="I15441">
        <v>381</v>
      </c>
      <c r="J15441">
        <v>0</v>
      </c>
      <c r="K15441" t="str">
        <f>"802"</f>
        <v>802</v>
      </c>
      <c r="L15441">
        <v>369.57</v>
      </c>
    </row>
    <row r="15442" spans="1:12" x14ac:dyDescent="0.25">
      <c r="A15442" t="str">
        <f t="shared" si="2746"/>
        <v>89301000</v>
      </c>
      <c r="B15442" t="str">
        <f t="shared" si="2747"/>
        <v>72077000</v>
      </c>
      <c r="C15442" t="str">
        <f>"72077002"</f>
        <v>72077002</v>
      </c>
      <c r="D15442">
        <v>89301152</v>
      </c>
      <c r="E15442" t="str">
        <f>"7257124457"</f>
        <v>7257124457</v>
      </c>
      <c r="F15442" s="1">
        <v>45266</v>
      </c>
      <c r="G15442" t="str">
        <f>"82097"</f>
        <v>82097</v>
      </c>
      <c r="H15442">
        <v>1</v>
      </c>
      <c r="I15442">
        <v>381</v>
      </c>
      <c r="J15442">
        <v>0</v>
      </c>
      <c r="K15442" t="str">
        <f>"802"</f>
        <v>802</v>
      </c>
      <c r="L15442">
        <v>369.57</v>
      </c>
    </row>
    <row r="15443" spans="1:12" x14ac:dyDescent="0.25">
      <c r="A15443" t="str">
        <f t="shared" si="2746"/>
        <v>89301000</v>
      </c>
      <c r="B15443" t="str">
        <f t="shared" si="2747"/>
        <v>72077000</v>
      </c>
      <c r="C15443" t="str">
        <f t="shared" ref="C15443:C15474" si="2751">"72077001"</f>
        <v>72077001</v>
      </c>
      <c r="D15443">
        <v>89301152</v>
      </c>
      <c r="E15443" t="str">
        <f>"8557146224"</f>
        <v>8557146224</v>
      </c>
      <c r="F15443" s="1">
        <v>45261</v>
      </c>
      <c r="G15443" t="str">
        <f>"91171"</f>
        <v>91171</v>
      </c>
      <c r="H15443">
        <v>1</v>
      </c>
      <c r="I15443">
        <v>362</v>
      </c>
      <c r="J15443">
        <v>0</v>
      </c>
      <c r="K15443" t="str">
        <f t="shared" ref="K15443:K15474" si="2752">"813"</f>
        <v>813</v>
      </c>
      <c r="L15443">
        <v>304.08</v>
      </c>
    </row>
    <row r="15444" spans="1:12" x14ac:dyDescent="0.25">
      <c r="A15444" t="str">
        <f t="shared" si="2746"/>
        <v>89301000</v>
      </c>
      <c r="B15444" t="str">
        <f t="shared" si="2747"/>
        <v>72077000</v>
      </c>
      <c r="C15444" t="str">
        <f t="shared" si="2751"/>
        <v>72077001</v>
      </c>
      <c r="D15444">
        <v>89301152</v>
      </c>
      <c r="E15444" t="str">
        <f>"8557146224"</f>
        <v>8557146224</v>
      </c>
      <c r="F15444" s="1">
        <v>45261</v>
      </c>
      <c r="G15444" t="str">
        <f>"91175"</f>
        <v>91175</v>
      </c>
      <c r="H15444">
        <v>1</v>
      </c>
      <c r="I15444">
        <v>362</v>
      </c>
      <c r="J15444">
        <v>0</v>
      </c>
      <c r="K15444" t="str">
        <f t="shared" si="2752"/>
        <v>813</v>
      </c>
      <c r="L15444">
        <v>304.08</v>
      </c>
    </row>
    <row r="15445" spans="1:12" x14ac:dyDescent="0.25">
      <c r="A15445" t="str">
        <f t="shared" si="2746"/>
        <v>89301000</v>
      </c>
      <c r="B15445" t="str">
        <f t="shared" si="2747"/>
        <v>72077000</v>
      </c>
      <c r="C15445" t="str">
        <f t="shared" si="2751"/>
        <v>72077001</v>
      </c>
      <c r="D15445">
        <v>89301152</v>
      </c>
      <c r="E15445" t="str">
        <f>"7561215365"</f>
        <v>7561215365</v>
      </c>
      <c r="F15445" s="1">
        <v>45265</v>
      </c>
      <c r="G15445" t="str">
        <f>"91197"</f>
        <v>91197</v>
      </c>
      <c r="H15445">
        <v>1</v>
      </c>
      <c r="I15445">
        <v>1048</v>
      </c>
      <c r="J15445">
        <v>0</v>
      </c>
      <c r="K15445" t="str">
        <f t="shared" si="2752"/>
        <v>813</v>
      </c>
      <c r="L15445">
        <v>880.32</v>
      </c>
    </row>
    <row r="15446" spans="1:12" x14ac:dyDescent="0.25">
      <c r="A15446" t="str">
        <f t="shared" si="2746"/>
        <v>89301000</v>
      </c>
      <c r="B15446" t="str">
        <f t="shared" si="2747"/>
        <v>72077000</v>
      </c>
      <c r="C15446" t="str">
        <f t="shared" si="2751"/>
        <v>72077001</v>
      </c>
      <c r="D15446">
        <v>89301152</v>
      </c>
      <c r="E15446" t="str">
        <f>"7561215365"</f>
        <v>7561215365</v>
      </c>
      <c r="F15446" s="1">
        <v>45265</v>
      </c>
      <c r="G15446" t="str">
        <f>"91465"</f>
        <v>91465</v>
      </c>
      <c r="H15446">
        <v>1</v>
      </c>
      <c r="I15446">
        <v>1412</v>
      </c>
      <c r="J15446">
        <v>0</v>
      </c>
      <c r="K15446" t="str">
        <f t="shared" si="2752"/>
        <v>813</v>
      </c>
      <c r="L15446">
        <v>1186.08</v>
      </c>
    </row>
    <row r="15447" spans="1:12" x14ac:dyDescent="0.25">
      <c r="A15447" t="str">
        <f t="shared" si="2746"/>
        <v>89301000</v>
      </c>
      <c r="B15447" t="str">
        <f t="shared" si="2747"/>
        <v>72077000</v>
      </c>
      <c r="C15447" t="str">
        <f t="shared" si="2751"/>
        <v>72077001</v>
      </c>
      <c r="D15447">
        <v>89301152</v>
      </c>
      <c r="E15447" t="str">
        <f t="shared" ref="E15447:E15453" si="2753">"7758225794"</f>
        <v>7758225794</v>
      </c>
      <c r="F15447" s="1">
        <v>45265</v>
      </c>
      <c r="G15447" t="str">
        <f>"91485"</f>
        <v>91485</v>
      </c>
      <c r="H15447">
        <v>1</v>
      </c>
      <c r="I15447">
        <v>268</v>
      </c>
      <c r="J15447">
        <v>0</v>
      </c>
      <c r="K15447" t="str">
        <f t="shared" si="2752"/>
        <v>813</v>
      </c>
      <c r="L15447">
        <v>225.12</v>
      </c>
    </row>
    <row r="15448" spans="1:12" x14ac:dyDescent="0.25">
      <c r="A15448" t="str">
        <f t="shared" si="2746"/>
        <v>89301000</v>
      </c>
      <c r="B15448" t="str">
        <f t="shared" si="2747"/>
        <v>72077000</v>
      </c>
      <c r="C15448" t="str">
        <f t="shared" si="2751"/>
        <v>72077001</v>
      </c>
      <c r="D15448">
        <v>89301152</v>
      </c>
      <c r="E15448" t="str">
        <f t="shared" si="2753"/>
        <v>7758225794</v>
      </c>
      <c r="F15448" s="1">
        <v>45265</v>
      </c>
      <c r="G15448" t="str">
        <f>"91197"</f>
        <v>91197</v>
      </c>
      <c r="H15448">
        <v>1</v>
      </c>
      <c r="I15448">
        <v>1048</v>
      </c>
      <c r="J15448">
        <v>0</v>
      </c>
      <c r="K15448" t="str">
        <f t="shared" si="2752"/>
        <v>813</v>
      </c>
      <c r="L15448">
        <v>880.32</v>
      </c>
    </row>
    <row r="15449" spans="1:12" x14ac:dyDescent="0.25">
      <c r="A15449" t="str">
        <f t="shared" si="2746"/>
        <v>89301000</v>
      </c>
      <c r="B15449" t="str">
        <f t="shared" si="2747"/>
        <v>72077000</v>
      </c>
      <c r="C15449" t="str">
        <f t="shared" si="2751"/>
        <v>72077001</v>
      </c>
      <c r="D15449">
        <v>89301152</v>
      </c>
      <c r="E15449" t="str">
        <f t="shared" si="2753"/>
        <v>7758225794</v>
      </c>
      <c r="F15449" s="1">
        <v>45265</v>
      </c>
      <c r="G15449" t="str">
        <f>"91465"</f>
        <v>91465</v>
      </c>
      <c r="H15449">
        <v>1</v>
      </c>
      <c r="I15449">
        <v>1412</v>
      </c>
      <c r="J15449">
        <v>0</v>
      </c>
      <c r="K15449" t="str">
        <f t="shared" si="2752"/>
        <v>813</v>
      </c>
      <c r="L15449">
        <v>1186.08</v>
      </c>
    </row>
    <row r="15450" spans="1:12" x14ac:dyDescent="0.25">
      <c r="A15450" t="str">
        <f t="shared" si="2746"/>
        <v>89301000</v>
      </c>
      <c r="B15450" t="str">
        <f t="shared" si="2747"/>
        <v>72077000</v>
      </c>
      <c r="C15450" t="str">
        <f t="shared" si="2751"/>
        <v>72077001</v>
      </c>
      <c r="D15450">
        <v>89301152</v>
      </c>
      <c r="E15450" t="str">
        <f t="shared" si="2753"/>
        <v>7758225794</v>
      </c>
      <c r="F15450" s="1">
        <v>45266</v>
      </c>
      <c r="G15450" t="str">
        <f>"91361"</f>
        <v>91361</v>
      </c>
      <c r="H15450">
        <v>1</v>
      </c>
      <c r="I15450">
        <v>444</v>
      </c>
      <c r="J15450">
        <v>0</v>
      </c>
      <c r="K15450" t="str">
        <f t="shared" si="2752"/>
        <v>813</v>
      </c>
      <c r="L15450">
        <v>372.96</v>
      </c>
    </row>
    <row r="15451" spans="1:12" x14ac:dyDescent="0.25">
      <c r="A15451" t="str">
        <f t="shared" si="2746"/>
        <v>89301000</v>
      </c>
      <c r="B15451" t="str">
        <f t="shared" si="2747"/>
        <v>72077000</v>
      </c>
      <c r="C15451" t="str">
        <f t="shared" si="2751"/>
        <v>72077001</v>
      </c>
      <c r="D15451">
        <v>89301152</v>
      </c>
      <c r="E15451" t="str">
        <f t="shared" si="2753"/>
        <v>7758225794</v>
      </c>
      <c r="F15451" s="1">
        <v>45266</v>
      </c>
      <c r="G15451" t="str">
        <f>"91359"</f>
        <v>91359</v>
      </c>
      <c r="H15451">
        <v>1</v>
      </c>
      <c r="I15451">
        <v>205</v>
      </c>
      <c r="J15451">
        <v>0</v>
      </c>
      <c r="K15451" t="str">
        <f t="shared" si="2752"/>
        <v>813</v>
      </c>
      <c r="L15451">
        <v>172.2</v>
      </c>
    </row>
    <row r="15452" spans="1:12" x14ac:dyDescent="0.25">
      <c r="A15452" t="str">
        <f t="shared" si="2746"/>
        <v>89301000</v>
      </c>
      <c r="B15452" t="str">
        <f t="shared" si="2747"/>
        <v>72077000</v>
      </c>
      <c r="C15452" t="str">
        <f t="shared" si="2751"/>
        <v>72077001</v>
      </c>
      <c r="D15452">
        <v>89301152</v>
      </c>
      <c r="E15452" t="str">
        <f t="shared" si="2753"/>
        <v>7758225794</v>
      </c>
      <c r="F15452" s="1">
        <v>45266</v>
      </c>
      <c r="G15452" t="str">
        <f>"91577"</f>
        <v>91577</v>
      </c>
      <c r="H15452">
        <v>1</v>
      </c>
      <c r="I15452">
        <v>398</v>
      </c>
      <c r="J15452">
        <v>0</v>
      </c>
      <c r="K15452" t="str">
        <f t="shared" si="2752"/>
        <v>813</v>
      </c>
      <c r="L15452">
        <v>334.32</v>
      </c>
    </row>
    <row r="15453" spans="1:12" x14ac:dyDescent="0.25">
      <c r="A15453" t="str">
        <f t="shared" si="2746"/>
        <v>89301000</v>
      </c>
      <c r="B15453" t="str">
        <f t="shared" si="2747"/>
        <v>72077000</v>
      </c>
      <c r="C15453" t="str">
        <f t="shared" si="2751"/>
        <v>72077001</v>
      </c>
      <c r="D15453">
        <v>89301152</v>
      </c>
      <c r="E15453" t="str">
        <f t="shared" si="2753"/>
        <v>7758225794</v>
      </c>
      <c r="F15453" s="1">
        <v>45266</v>
      </c>
      <c r="G15453" t="str">
        <f>"91219"</f>
        <v>91219</v>
      </c>
      <c r="H15453">
        <v>1</v>
      </c>
      <c r="I15453">
        <v>343</v>
      </c>
      <c r="J15453">
        <v>0</v>
      </c>
      <c r="K15453" t="str">
        <f t="shared" si="2752"/>
        <v>813</v>
      </c>
      <c r="L15453">
        <v>288.12</v>
      </c>
    </row>
    <row r="15454" spans="1:12" x14ac:dyDescent="0.25">
      <c r="A15454" t="str">
        <f t="shared" si="2746"/>
        <v>89301000</v>
      </c>
      <c r="B15454" t="str">
        <f t="shared" si="2747"/>
        <v>72077000</v>
      </c>
      <c r="C15454" t="str">
        <f t="shared" si="2751"/>
        <v>72077001</v>
      </c>
      <c r="D15454">
        <v>89301152</v>
      </c>
      <c r="E15454" t="str">
        <f>"7051085800"</f>
        <v>7051085800</v>
      </c>
      <c r="F15454" s="1">
        <v>45266</v>
      </c>
      <c r="G15454" t="str">
        <f>"91281"</f>
        <v>91281</v>
      </c>
      <c r="H15454">
        <v>1</v>
      </c>
      <c r="I15454">
        <v>685</v>
      </c>
      <c r="J15454">
        <v>0</v>
      </c>
      <c r="K15454" t="str">
        <f t="shared" si="2752"/>
        <v>813</v>
      </c>
      <c r="L15454">
        <v>575.4</v>
      </c>
    </row>
    <row r="15455" spans="1:12" x14ac:dyDescent="0.25">
      <c r="A15455" t="str">
        <f t="shared" si="2746"/>
        <v>89301000</v>
      </c>
      <c r="B15455" t="str">
        <f t="shared" si="2747"/>
        <v>72077000</v>
      </c>
      <c r="C15455" t="str">
        <f t="shared" si="2751"/>
        <v>72077001</v>
      </c>
      <c r="D15455">
        <v>89301152</v>
      </c>
      <c r="E15455" t="str">
        <f>"7051085800"</f>
        <v>7051085800</v>
      </c>
      <c r="F15455" s="1">
        <v>45267</v>
      </c>
      <c r="G15455" t="str">
        <f>"91171"</f>
        <v>91171</v>
      </c>
      <c r="H15455">
        <v>1</v>
      </c>
      <c r="I15455">
        <v>362</v>
      </c>
      <c r="J15455">
        <v>0</v>
      </c>
      <c r="K15455" t="str">
        <f t="shared" si="2752"/>
        <v>813</v>
      </c>
      <c r="L15455">
        <v>304.08</v>
      </c>
    </row>
    <row r="15456" spans="1:12" x14ac:dyDescent="0.25">
      <c r="A15456" t="str">
        <f t="shared" si="2746"/>
        <v>89301000</v>
      </c>
      <c r="B15456" t="str">
        <f t="shared" si="2747"/>
        <v>72077000</v>
      </c>
      <c r="C15456" t="str">
        <f t="shared" si="2751"/>
        <v>72077001</v>
      </c>
      <c r="D15456">
        <v>89301152</v>
      </c>
      <c r="E15456" t="str">
        <f>"7051085800"</f>
        <v>7051085800</v>
      </c>
      <c r="F15456" s="1">
        <v>45267</v>
      </c>
      <c r="G15456" t="str">
        <f>"91171"</f>
        <v>91171</v>
      </c>
      <c r="H15456">
        <v>1</v>
      </c>
      <c r="I15456">
        <v>362</v>
      </c>
      <c r="J15456">
        <v>0</v>
      </c>
      <c r="K15456" t="str">
        <f t="shared" si="2752"/>
        <v>813</v>
      </c>
      <c r="L15456">
        <v>304.08</v>
      </c>
    </row>
    <row r="15457" spans="1:12" x14ac:dyDescent="0.25">
      <c r="A15457" t="str">
        <f t="shared" si="2746"/>
        <v>89301000</v>
      </c>
      <c r="B15457" t="str">
        <f t="shared" si="2747"/>
        <v>72077000</v>
      </c>
      <c r="C15457" t="str">
        <f t="shared" si="2751"/>
        <v>72077001</v>
      </c>
      <c r="D15457">
        <v>89301152</v>
      </c>
      <c r="E15457" t="str">
        <f>"7051085800"</f>
        <v>7051085800</v>
      </c>
      <c r="F15457" s="1">
        <v>45267</v>
      </c>
      <c r="G15457" t="str">
        <f>"91171"</f>
        <v>91171</v>
      </c>
      <c r="H15457">
        <v>1</v>
      </c>
      <c r="I15457">
        <v>362</v>
      </c>
      <c r="J15457">
        <v>0</v>
      </c>
      <c r="K15457" t="str">
        <f t="shared" si="2752"/>
        <v>813</v>
      </c>
      <c r="L15457">
        <v>304.08</v>
      </c>
    </row>
    <row r="15458" spans="1:12" x14ac:dyDescent="0.25">
      <c r="A15458" t="str">
        <f t="shared" si="2746"/>
        <v>89301000</v>
      </c>
      <c r="B15458" t="str">
        <f t="shared" si="2747"/>
        <v>72077000</v>
      </c>
      <c r="C15458" t="str">
        <f t="shared" si="2751"/>
        <v>72077001</v>
      </c>
      <c r="D15458">
        <v>89301152</v>
      </c>
      <c r="E15458" t="str">
        <f>"6352250575"</f>
        <v>6352250575</v>
      </c>
      <c r="F15458" s="1">
        <v>45268</v>
      </c>
      <c r="G15458" t="str">
        <f>"91465"</f>
        <v>91465</v>
      </c>
      <c r="H15458">
        <v>1</v>
      </c>
      <c r="I15458">
        <v>1412</v>
      </c>
      <c r="J15458">
        <v>0</v>
      </c>
      <c r="K15458" t="str">
        <f t="shared" si="2752"/>
        <v>813</v>
      </c>
      <c r="L15458">
        <v>1186.08</v>
      </c>
    </row>
    <row r="15459" spans="1:12" x14ac:dyDescent="0.25">
      <c r="A15459" t="str">
        <f t="shared" si="2746"/>
        <v>89301000</v>
      </c>
      <c r="B15459" t="str">
        <f t="shared" si="2747"/>
        <v>72077000</v>
      </c>
      <c r="C15459" t="str">
        <f t="shared" si="2751"/>
        <v>72077001</v>
      </c>
      <c r="D15459">
        <v>89301152</v>
      </c>
      <c r="E15459" t="str">
        <f>"6352250575"</f>
        <v>6352250575</v>
      </c>
      <c r="F15459" s="1">
        <v>45268</v>
      </c>
      <c r="G15459" t="str">
        <f>"91197"</f>
        <v>91197</v>
      </c>
      <c r="H15459">
        <v>1</v>
      </c>
      <c r="I15459">
        <v>1048</v>
      </c>
      <c r="J15459">
        <v>0</v>
      </c>
      <c r="K15459" t="str">
        <f t="shared" si="2752"/>
        <v>813</v>
      </c>
      <c r="L15459">
        <v>880.32</v>
      </c>
    </row>
    <row r="15460" spans="1:12" x14ac:dyDescent="0.25">
      <c r="A15460" t="str">
        <f t="shared" si="2746"/>
        <v>89301000</v>
      </c>
      <c r="B15460" t="str">
        <f t="shared" si="2747"/>
        <v>72077000</v>
      </c>
      <c r="C15460" t="str">
        <f t="shared" si="2751"/>
        <v>72077001</v>
      </c>
      <c r="D15460">
        <v>89301152</v>
      </c>
      <c r="E15460" t="str">
        <f t="shared" ref="E15460:E15469" si="2754">"8562234912"</f>
        <v>8562234912</v>
      </c>
      <c r="F15460" s="1">
        <v>45266</v>
      </c>
      <c r="G15460" t="str">
        <f>"91361"</f>
        <v>91361</v>
      </c>
      <c r="H15460">
        <v>1</v>
      </c>
      <c r="I15460">
        <v>444</v>
      </c>
      <c r="J15460">
        <v>0</v>
      </c>
      <c r="K15460" t="str">
        <f t="shared" si="2752"/>
        <v>813</v>
      </c>
      <c r="L15460">
        <v>372.96</v>
      </c>
    </row>
    <row r="15461" spans="1:12" x14ac:dyDescent="0.25">
      <c r="A15461" t="str">
        <f t="shared" si="2746"/>
        <v>89301000</v>
      </c>
      <c r="B15461" t="str">
        <f t="shared" si="2747"/>
        <v>72077000</v>
      </c>
      <c r="C15461" t="str">
        <f t="shared" si="2751"/>
        <v>72077001</v>
      </c>
      <c r="D15461">
        <v>89301152</v>
      </c>
      <c r="E15461" t="str">
        <f t="shared" si="2754"/>
        <v>8562234912</v>
      </c>
      <c r="F15461" s="1">
        <v>45266</v>
      </c>
      <c r="G15461" t="str">
        <f>"91359"</f>
        <v>91359</v>
      </c>
      <c r="H15461">
        <v>1</v>
      </c>
      <c r="I15461">
        <v>205</v>
      </c>
      <c r="J15461">
        <v>0</v>
      </c>
      <c r="K15461" t="str">
        <f t="shared" si="2752"/>
        <v>813</v>
      </c>
      <c r="L15461">
        <v>172.2</v>
      </c>
    </row>
    <row r="15462" spans="1:12" x14ac:dyDescent="0.25">
      <c r="A15462" t="str">
        <f t="shared" si="2746"/>
        <v>89301000</v>
      </c>
      <c r="B15462" t="str">
        <f t="shared" si="2747"/>
        <v>72077000</v>
      </c>
      <c r="C15462" t="str">
        <f t="shared" si="2751"/>
        <v>72077001</v>
      </c>
      <c r="D15462">
        <v>89301152</v>
      </c>
      <c r="E15462" t="str">
        <f t="shared" si="2754"/>
        <v>8562234912</v>
      </c>
      <c r="F15462" s="1">
        <v>45266</v>
      </c>
      <c r="G15462" t="str">
        <f>"91577"</f>
        <v>91577</v>
      </c>
      <c r="H15462">
        <v>1</v>
      </c>
      <c r="I15462">
        <v>398</v>
      </c>
      <c r="J15462">
        <v>0</v>
      </c>
      <c r="K15462" t="str">
        <f t="shared" si="2752"/>
        <v>813</v>
      </c>
      <c r="L15462">
        <v>334.32</v>
      </c>
    </row>
    <row r="15463" spans="1:12" x14ac:dyDescent="0.25">
      <c r="A15463" t="str">
        <f t="shared" si="2746"/>
        <v>89301000</v>
      </c>
      <c r="B15463" t="str">
        <f t="shared" si="2747"/>
        <v>72077000</v>
      </c>
      <c r="C15463" t="str">
        <f t="shared" si="2751"/>
        <v>72077001</v>
      </c>
      <c r="D15463">
        <v>89301152</v>
      </c>
      <c r="E15463" t="str">
        <f t="shared" si="2754"/>
        <v>8562234912</v>
      </c>
      <c r="F15463" s="1">
        <v>45268</v>
      </c>
      <c r="G15463" t="str">
        <f>"91485"</f>
        <v>91485</v>
      </c>
      <c r="H15463">
        <v>1</v>
      </c>
      <c r="I15463">
        <v>268</v>
      </c>
      <c r="J15463">
        <v>0</v>
      </c>
      <c r="K15463" t="str">
        <f t="shared" si="2752"/>
        <v>813</v>
      </c>
      <c r="L15463">
        <v>225.12</v>
      </c>
    </row>
    <row r="15464" spans="1:12" x14ac:dyDescent="0.25">
      <c r="A15464" t="str">
        <f t="shared" si="2746"/>
        <v>89301000</v>
      </c>
      <c r="B15464" t="str">
        <f t="shared" si="2747"/>
        <v>72077000</v>
      </c>
      <c r="C15464" t="str">
        <f t="shared" si="2751"/>
        <v>72077001</v>
      </c>
      <c r="D15464">
        <v>89301152</v>
      </c>
      <c r="E15464" t="str">
        <f t="shared" si="2754"/>
        <v>8562234912</v>
      </c>
      <c r="F15464" s="1">
        <v>45268</v>
      </c>
      <c r="G15464" t="str">
        <f>"91465"</f>
        <v>91465</v>
      </c>
      <c r="H15464">
        <v>1</v>
      </c>
      <c r="I15464">
        <v>1412</v>
      </c>
      <c r="J15464">
        <v>0</v>
      </c>
      <c r="K15464" t="str">
        <f t="shared" si="2752"/>
        <v>813</v>
      </c>
      <c r="L15464">
        <v>1186.08</v>
      </c>
    </row>
    <row r="15465" spans="1:12" x14ac:dyDescent="0.25">
      <c r="A15465" t="str">
        <f t="shared" si="2746"/>
        <v>89301000</v>
      </c>
      <c r="B15465" t="str">
        <f t="shared" si="2747"/>
        <v>72077000</v>
      </c>
      <c r="C15465" t="str">
        <f t="shared" si="2751"/>
        <v>72077001</v>
      </c>
      <c r="D15465">
        <v>89301152</v>
      </c>
      <c r="E15465" t="str">
        <f t="shared" si="2754"/>
        <v>8562234912</v>
      </c>
      <c r="F15465" s="1">
        <v>45268</v>
      </c>
      <c r="G15465" t="str">
        <f>"91197"</f>
        <v>91197</v>
      </c>
      <c r="H15465">
        <v>1</v>
      </c>
      <c r="I15465">
        <v>1048</v>
      </c>
      <c r="J15465">
        <v>0</v>
      </c>
      <c r="K15465" t="str">
        <f t="shared" si="2752"/>
        <v>813</v>
      </c>
      <c r="L15465">
        <v>880.32</v>
      </c>
    </row>
    <row r="15466" spans="1:12" x14ac:dyDescent="0.25">
      <c r="A15466" t="str">
        <f t="shared" si="2746"/>
        <v>89301000</v>
      </c>
      <c r="B15466" t="str">
        <f t="shared" si="2747"/>
        <v>72077000</v>
      </c>
      <c r="C15466" t="str">
        <f t="shared" si="2751"/>
        <v>72077001</v>
      </c>
      <c r="D15466">
        <v>89301152</v>
      </c>
      <c r="E15466" t="str">
        <f t="shared" si="2754"/>
        <v>8562234912</v>
      </c>
      <c r="F15466" s="1">
        <v>45268</v>
      </c>
      <c r="G15466" t="str">
        <f>"91219"</f>
        <v>91219</v>
      </c>
      <c r="H15466">
        <v>1</v>
      </c>
      <c r="I15466">
        <v>343</v>
      </c>
      <c r="J15466">
        <v>0</v>
      </c>
      <c r="K15466" t="str">
        <f t="shared" si="2752"/>
        <v>813</v>
      </c>
      <c r="L15466">
        <v>288.12</v>
      </c>
    </row>
    <row r="15467" spans="1:12" x14ac:dyDescent="0.25">
      <c r="A15467" t="str">
        <f t="shared" si="2746"/>
        <v>89301000</v>
      </c>
      <c r="B15467" t="str">
        <f t="shared" ref="B15467:B15498" si="2755">"72077000"</f>
        <v>72077000</v>
      </c>
      <c r="C15467" t="str">
        <f t="shared" si="2751"/>
        <v>72077001</v>
      </c>
      <c r="D15467">
        <v>89301152</v>
      </c>
      <c r="E15467" t="str">
        <f t="shared" si="2754"/>
        <v>8562234912</v>
      </c>
      <c r="F15467" s="1">
        <v>45268</v>
      </c>
      <c r="G15467" t="str">
        <f>"91219"</f>
        <v>91219</v>
      </c>
      <c r="H15467">
        <v>1</v>
      </c>
      <c r="I15467">
        <v>343</v>
      </c>
      <c r="J15467">
        <v>0</v>
      </c>
      <c r="K15467" t="str">
        <f t="shared" si="2752"/>
        <v>813</v>
      </c>
      <c r="L15467">
        <v>288.12</v>
      </c>
    </row>
    <row r="15468" spans="1:12" x14ac:dyDescent="0.25">
      <c r="A15468" t="str">
        <f t="shared" si="2746"/>
        <v>89301000</v>
      </c>
      <c r="B15468" t="str">
        <f t="shared" si="2755"/>
        <v>72077000</v>
      </c>
      <c r="C15468" t="str">
        <f t="shared" si="2751"/>
        <v>72077001</v>
      </c>
      <c r="D15468">
        <v>89301152</v>
      </c>
      <c r="E15468" t="str">
        <f t="shared" si="2754"/>
        <v>8562234912</v>
      </c>
      <c r="F15468" s="1">
        <v>45268</v>
      </c>
      <c r="G15468" t="str">
        <f>"91219"</f>
        <v>91219</v>
      </c>
      <c r="H15468">
        <v>1</v>
      </c>
      <c r="I15468">
        <v>343</v>
      </c>
      <c r="J15468">
        <v>0</v>
      </c>
      <c r="K15468" t="str">
        <f t="shared" si="2752"/>
        <v>813</v>
      </c>
      <c r="L15468">
        <v>288.12</v>
      </c>
    </row>
    <row r="15469" spans="1:12" x14ac:dyDescent="0.25">
      <c r="A15469" t="str">
        <f t="shared" si="2746"/>
        <v>89301000</v>
      </c>
      <c r="B15469" t="str">
        <f t="shared" si="2755"/>
        <v>72077000</v>
      </c>
      <c r="C15469" t="str">
        <f t="shared" si="2751"/>
        <v>72077001</v>
      </c>
      <c r="D15469">
        <v>89301152</v>
      </c>
      <c r="E15469" t="str">
        <f t="shared" si="2754"/>
        <v>8562234912</v>
      </c>
      <c r="F15469" s="1">
        <v>45268</v>
      </c>
      <c r="G15469" t="str">
        <f>"91219"</f>
        <v>91219</v>
      </c>
      <c r="H15469">
        <v>1</v>
      </c>
      <c r="I15469">
        <v>343</v>
      </c>
      <c r="J15469">
        <v>0</v>
      </c>
      <c r="K15469" t="str">
        <f t="shared" si="2752"/>
        <v>813</v>
      </c>
      <c r="L15469">
        <v>288.12</v>
      </c>
    </row>
    <row r="15470" spans="1:12" x14ac:dyDescent="0.25">
      <c r="A15470" t="str">
        <f t="shared" si="2746"/>
        <v>89301000</v>
      </c>
      <c r="B15470" t="str">
        <f t="shared" si="2755"/>
        <v>72077000</v>
      </c>
      <c r="C15470" t="str">
        <f t="shared" si="2751"/>
        <v>72077001</v>
      </c>
      <c r="D15470">
        <v>89301152</v>
      </c>
      <c r="E15470" t="str">
        <f>"9959265712"</f>
        <v>9959265712</v>
      </c>
      <c r="F15470" s="1">
        <v>45268</v>
      </c>
      <c r="G15470" t="str">
        <f>"91465"</f>
        <v>91465</v>
      </c>
      <c r="H15470">
        <v>1</v>
      </c>
      <c r="I15470">
        <v>1412</v>
      </c>
      <c r="J15470">
        <v>0</v>
      </c>
      <c r="K15470" t="str">
        <f t="shared" si="2752"/>
        <v>813</v>
      </c>
      <c r="L15470">
        <v>1186.08</v>
      </c>
    </row>
    <row r="15471" spans="1:12" x14ac:dyDescent="0.25">
      <c r="A15471" t="str">
        <f t="shared" si="2746"/>
        <v>89301000</v>
      </c>
      <c r="B15471" t="str">
        <f t="shared" si="2755"/>
        <v>72077000</v>
      </c>
      <c r="C15471" t="str">
        <f t="shared" si="2751"/>
        <v>72077001</v>
      </c>
      <c r="D15471">
        <v>89301152</v>
      </c>
      <c r="E15471" t="str">
        <f>"9959265712"</f>
        <v>9959265712</v>
      </c>
      <c r="F15471" s="1">
        <v>45268</v>
      </c>
      <c r="G15471" t="str">
        <f>"91197"</f>
        <v>91197</v>
      </c>
      <c r="H15471">
        <v>1</v>
      </c>
      <c r="I15471">
        <v>1048</v>
      </c>
      <c r="J15471">
        <v>0</v>
      </c>
      <c r="K15471" t="str">
        <f t="shared" si="2752"/>
        <v>813</v>
      </c>
      <c r="L15471">
        <v>880.32</v>
      </c>
    </row>
    <row r="15472" spans="1:12" x14ac:dyDescent="0.25">
      <c r="A15472" t="str">
        <f t="shared" si="2746"/>
        <v>89301000</v>
      </c>
      <c r="B15472" t="str">
        <f t="shared" si="2755"/>
        <v>72077000</v>
      </c>
      <c r="C15472" t="str">
        <f t="shared" si="2751"/>
        <v>72077001</v>
      </c>
      <c r="D15472">
        <v>89301152</v>
      </c>
      <c r="E15472" t="str">
        <f>"8858095807"</f>
        <v>8858095807</v>
      </c>
      <c r="F15472" s="1">
        <v>45268</v>
      </c>
      <c r="G15472" t="str">
        <f>"91465"</f>
        <v>91465</v>
      </c>
      <c r="H15472">
        <v>1</v>
      </c>
      <c r="I15472">
        <v>1412</v>
      </c>
      <c r="J15472">
        <v>0</v>
      </c>
      <c r="K15472" t="str">
        <f t="shared" si="2752"/>
        <v>813</v>
      </c>
      <c r="L15472">
        <v>1186.08</v>
      </c>
    </row>
    <row r="15473" spans="1:12" x14ac:dyDescent="0.25">
      <c r="A15473" t="str">
        <f t="shared" si="2746"/>
        <v>89301000</v>
      </c>
      <c r="B15473" t="str">
        <f t="shared" si="2755"/>
        <v>72077000</v>
      </c>
      <c r="C15473" t="str">
        <f t="shared" si="2751"/>
        <v>72077001</v>
      </c>
      <c r="D15473">
        <v>89301152</v>
      </c>
      <c r="E15473" t="str">
        <f>"8858095807"</f>
        <v>8858095807</v>
      </c>
      <c r="F15473" s="1">
        <v>45268</v>
      </c>
      <c r="G15473" t="str">
        <f>"91197"</f>
        <v>91197</v>
      </c>
      <c r="H15473">
        <v>1</v>
      </c>
      <c r="I15473">
        <v>1048</v>
      </c>
      <c r="J15473">
        <v>0</v>
      </c>
      <c r="K15473" t="str">
        <f t="shared" si="2752"/>
        <v>813</v>
      </c>
      <c r="L15473">
        <v>880.32</v>
      </c>
    </row>
    <row r="15474" spans="1:12" x14ac:dyDescent="0.25">
      <c r="A15474" t="str">
        <f t="shared" si="2746"/>
        <v>89301000</v>
      </c>
      <c r="B15474" t="str">
        <f t="shared" si="2755"/>
        <v>72077000</v>
      </c>
      <c r="C15474" t="str">
        <f t="shared" si="2751"/>
        <v>72077001</v>
      </c>
      <c r="D15474">
        <v>89301152</v>
      </c>
      <c r="E15474" t="str">
        <f>"485722413"</f>
        <v>485722413</v>
      </c>
      <c r="F15474" s="1">
        <v>45272</v>
      </c>
      <c r="G15474" t="str">
        <f>"91219"</f>
        <v>91219</v>
      </c>
      <c r="H15474">
        <v>1</v>
      </c>
      <c r="I15474">
        <v>343</v>
      </c>
      <c r="J15474">
        <v>0</v>
      </c>
      <c r="K15474" t="str">
        <f t="shared" si="2752"/>
        <v>813</v>
      </c>
      <c r="L15474">
        <v>288.12</v>
      </c>
    </row>
    <row r="15475" spans="1:12" x14ac:dyDescent="0.25">
      <c r="A15475" t="str">
        <f t="shared" si="2746"/>
        <v>89301000</v>
      </c>
      <c r="B15475" t="str">
        <f t="shared" si="2755"/>
        <v>72077000</v>
      </c>
      <c r="C15475" t="str">
        <f t="shared" ref="C15475:C15506" si="2756">"72077001"</f>
        <v>72077001</v>
      </c>
      <c r="D15475">
        <v>89301152</v>
      </c>
      <c r="E15475" t="str">
        <f>"485722413"</f>
        <v>485722413</v>
      </c>
      <c r="F15475" s="1">
        <v>45272</v>
      </c>
      <c r="G15475" t="str">
        <f>"91219"</f>
        <v>91219</v>
      </c>
      <c r="H15475">
        <v>1</v>
      </c>
      <c r="I15475">
        <v>343</v>
      </c>
      <c r="J15475">
        <v>0</v>
      </c>
      <c r="K15475" t="str">
        <f t="shared" ref="K15475:K15506" si="2757">"813"</f>
        <v>813</v>
      </c>
      <c r="L15475">
        <v>288.12</v>
      </c>
    </row>
    <row r="15476" spans="1:12" x14ac:dyDescent="0.25">
      <c r="A15476" t="str">
        <f t="shared" si="2746"/>
        <v>89301000</v>
      </c>
      <c r="B15476" t="str">
        <f t="shared" si="2755"/>
        <v>72077000</v>
      </c>
      <c r="C15476" t="str">
        <f t="shared" si="2756"/>
        <v>72077001</v>
      </c>
      <c r="D15476">
        <v>89301152</v>
      </c>
      <c r="E15476" t="str">
        <f>"485722413"</f>
        <v>485722413</v>
      </c>
      <c r="F15476" s="1">
        <v>45272</v>
      </c>
      <c r="G15476" t="str">
        <f>"91219"</f>
        <v>91219</v>
      </c>
      <c r="H15476">
        <v>1</v>
      </c>
      <c r="I15476">
        <v>343</v>
      </c>
      <c r="J15476">
        <v>0</v>
      </c>
      <c r="K15476" t="str">
        <f t="shared" si="2757"/>
        <v>813</v>
      </c>
      <c r="L15476">
        <v>288.12</v>
      </c>
    </row>
    <row r="15477" spans="1:12" x14ac:dyDescent="0.25">
      <c r="A15477" t="str">
        <f t="shared" si="2746"/>
        <v>89301000</v>
      </c>
      <c r="B15477" t="str">
        <f t="shared" si="2755"/>
        <v>72077000</v>
      </c>
      <c r="C15477" t="str">
        <f t="shared" si="2756"/>
        <v>72077001</v>
      </c>
      <c r="D15477">
        <v>89301152</v>
      </c>
      <c r="E15477" t="str">
        <f>"485722413"</f>
        <v>485722413</v>
      </c>
      <c r="F15477" s="1">
        <v>45272</v>
      </c>
      <c r="G15477" t="str">
        <f>"91219"</f>
        <v>91219</v>
      </c>
      <c r="H15477">
        <v>1</v>
      </c>
      <c r="I15477">
        <v>343</v>
      </c>
      <c r="J15477">
        <v>0</v>
      </c>
      <c r="K15477" t="str">
        <f t="shared" si="2757"/>
        <v>813</v>
      </c>
      <c r="L15477">
        <v>288.12</v>
      </c>
    </row>
    <row r="15478" spans="1:12" x14ac:dyDescent="0.25">
      <c r="A15478" t="str">
        <f t="shared" si="2746"/>
        <v>89301000</v>
      </c>
      <c r="B15478" t="str">
        <f t="shared" si="2755"/>
        <v>72077000</v>
      </c>
      <c r="C15478" t="str">
        <f t="shared" si="2756"/>
        <v>72077001</v>
      </c>
      <c r="D15478">
        <v>89301152</v>
      </c>
      <c r="E15478" t="str">
        <f t="shared" ref="E15478:E15484" si="2758">"7258035829"</f>
        <v>7258035829</v>
      </c>
      <c r="F15478" s="1">
        <v>45268</v>
      </c>
      <c r="G15478" t="str">
        <f>"91197"</f>
        <v>91197</v>
      </c>
      <c r="H15478">
        <v>1</v>
      </c>
      <c r="I15478">
        <v>1048</v>
      </c>
      <c r="J15478">
        <v>0</v>
      </c>
      <c r="K15478" t="str">
        <f t="shared" si="2757"/>
        <v>813</v>
      </c>
      <c r="L15478">
        <v>880.32</v>
      </c>
    </row>
    <row r="15479" spans="1:12" x14ac:dyDescent="0.25">
      <c r="A15479" t="str">
        <f t="shared" si="2746"/>
        <v>89301000</v>
      </c>
      <c r="B15479" t="str">
        <f t="shared" si="2755"/>
        <v>72077000</v>
      </c>
      <c r="C15479" t="str">
        <f t="shared" si="2756"/>
        <v>72077001</v>
      </c>
      <c r="D15479">
        <v>89301152</v>
      </c>
      <c r="E15479" t="str">
        <f t="shared" si="2758"/>
        <v>7258035829</v>
      </c>
      <c r="F15479" s="1">
        <v>45272</v>
      </c>
      <c r="G15479" t="str">
        <f>"91465"</f>
        <v>91465</v>
      </c>
      <c r="H15479">
        <v>1</v>
      </c>
      <c r="I15479">
        <v>1412</v>
      </c>
      <c r="J15479">
        <v>0</v>
      </c>
      <c r="K15479" t="str">
        <f t="shared" si="2757"/>
        <v>813</v>
      </c>
      <c r="L15479">
        <v>1186.08</v>
      </c>
    </row>
    <row r="15480" spans="1:12" x14ac:dyDescent="0.25">
      <c r="A15480" t="str">
        <f t="shared" si="2746"/>
        <v>89301000</v>
      </c>
      <c r="B15480" t="str">
        <f t="shared" si="2755"/>
        <v>72077000</v>
      </c>
      <c r="C15480" t="str">
        <f t="shared" si="2756"/>
        <v>72077001</v>
      </c>
      <c r="D15480">
        <v>89301152</v>
      </c>
      <c r="E15480" t="str">
        <f t="shared" si="2758"/>
        <v>7258035829</v>
      </c>
      <c r="F15480" s="1">
        <v>45272</v>
      </c>
      <c r="G15480" t="str">
        <f>"91219"</f>
        <v>91219</v>
      </c>
      <c r="H15480">
        <v>1</v>
      </c>
      <c r="I15480">
        <v>343</v>
      </c>
      <c r="J15480">
        <v>0</v>
      </c>
      <c r="K15480" t="str">
        <f t="shared" si="2757"/>
        <v>813</v>
      </c>
      <c r="L15480">
        <v>288.12</v>
      </c>
    </row>
    <row r="15481" spans="1:12" x14ac:dyDescent="0.25">
      <c r="A15481" t="str">
        <f t="shared" si="2746"/>
        <v>89301000</v>
      </c>
      <c r="B15481" t="str">
        <f t="shared" si="2755"/>
        <v>72077000</v>
      </c>
      <c r="C15481" t="str">
        <f t="shared" si="2756"/>
        <v>72077001</v>
      </c>
      <c r="D15481">
        <v>89301152</v>
      </c>
      <c r="E15481" t="str">
        <f t="shared" si="2758"/>
        <v>7258035829</v>
      </c>
      <c r="F15481" s="1">
        <v>45272</v>
      </c>
      <c r="G15481" t="str">
        <f>"91219"</f>
        <v>91219</v>
      </c>
      <c r="H15481">
        <v>1</v>
      </c>
      <c r="I15481">
        <v>343</v>
      </c>
      <c r="J15481">
        <v>0</v>
      </c>
      <c r="K15481" t="str">
        <f t="shared" si="2757"/>
        <v>813</v>
      </c>
      <c r="L15481">
        <v>288.12</v>
      </c>
    </row>
    <row r="15482" spans="1:12" x14ac:dyDescent="0.25">
      <c r="A15482" t="str">
        <f t="shared" si="2746"/>
        <v>89301000</v>
      </c>
      <c r="B15482" t="str">
        <f t="shared" si="2755"/>
        <v>72077000</v>
      </c>
      <c r="C15482" t="str">
        <f t="shared" si="2756"/>
        <v>72077001</v>
      </c>
      <c r="D15482">
        <v>89301152</v>
      </c>
      <c r="E15482" t="str">
        <f t="shared" si="2758"/>
        <v>7258035829</v>
      </c>
      <c r="F15482" s="1">
        <v>45272</v>
      </c>
      <c r="G15482" t="str">
        <f>"91219"</f>
        <v>91219</v>
      </c>
      <c r="H15482">
        <v>1</v>
      </c>
      <c r="I15482">
        <v>343</v>
      </c>
      <c r="J15482">
        <v>0</v>
      </c>
      <c r="K15482" t="str">
        <f t="shared" si="2757"/>
        <v>813</v>
      </c>
      <c r="L15482">
        <v>288.12</v>
      </c>
    </row>
    <row r="15483" spans="1:12" x14ac:dyDescent="0.25">
      <c r="A15483" t="str">
        <f t="shared" si="2746"/>
        <v>89301000</v>
      </c>
      <c r="B15483" t="str">
        <f t="shared" si="2755"/>
        <v>72077000</v>
      </c>
      <c r="C15483" t="str">
        <f t="shared" si="2756"/>
        <v>72077001</v>
      </c>
      <c r="D15483">
        <v>89301152</v>
      </c>
      <c r="E15483" t="str">
        <f t="shared" si="2758"/>
        <v>7258035829</v>
      </c>
      <c r="F15483" s="1">
        <v>45272</v>
      </c>
      <c r="G15483" t="str">
        <f>"91219"</f>
        <v>91219</v>
      </c>
      <c r="H15483">
        <v>1</v>
      </c>
      <c r="I15483">
        <v>343</v>
      </c>
      <c r="J15483">
        <v>0</v>
      </c>
      <c r="K15483" t="str">
        <f t="shared" si="2757"/>
        <v>813</v>
      </c>
      <c r="L15483">
        <v>288.12</v>
      </c>
    </row>
    <row r="15484" spans="1:12" x14ac:dyDescent="0.25">
      <c r="A15484" t="str">
        <f t="shared" si="2746"/>
        <v>89301000</v>
      </c>
      <c r="B15484" t="str">
        <f t="shared" si="2755"/>
        <v>72077000</v>
      </c>
      <c r="C15484" t="str">
        <f t="shared" si="2756"/>
        <v>72077001</v>
      </c>
      <c r="D15484">
        <v>89301152</v>
      </c>
      <c r="E15484" t="str">
        <f t="shared" si="2758"/>
        <v>7258035829</v>
      </c>
      <c r="F15484" s="1">
        <v>45272</v>
      </c>
      <c r="G15484" t="str">
        <f>"91219"</f>
        <v>91219</v>
      </c>
      <c r="H15484">
        <v>1</v>
      </c>
      <c r="I15484">
        <v>343</v>
      </c>
      <c r="J15484">
        <v>0</v>
      </c>
      <c r="K15484" t="str">
        <f t="shared" si="2757"/>
        <v>813</v>
      </c>
      <c r="L15484">
        <v>288.12</v>
      </c>
    </row>
    <row r="15485" spans="1:12" x14ac:dyDescent="0.25">
      <c r="A15485" t="str">
        <f t="shared" si="2746"/>
        <v>89301000</v>
      </c>
      <c r="B15485" t="str">
        <f t="shared" si="2755"/>
        <v>72077000</v>
      </c>
      <c r="C15485" t="str">
        <f t="shared" si="2756"/>
        <v>72077001</v>
      </c>
      <c r="D15485">
        <v>89301152</v>
      </c>
      <c r="E15485" t="str">
        <f>"8560145781"</f>
        <v>8560145781</v>
      </c>
      <c r="F15485" s="1">
        <v>45268</v>
      </c>
      <c r="G15485" t="str">
        <f>"91485"</f>
        <v>91485</v>
      </c>
      <c r="H15485">
        <v>1</v>
      </c>
      <c r="I15485">
        <v>268</v>
      </c>
      <c r="J15485">
        <v>0</v>
      </c>
      <c r="K15485" t="str">
        <f t="shared" si="2757"/>
        <v>813</v>
      </c>
      <c r="L15485">
        <v>225.12</v>
      </c>
    </row>
    <row r="15486" spans="1:12" x14ac:dyDescent="0.25">
      <c r="A15486" t="str">
        <f t="shared" si="2746"/>
        <v>89301000</v>
      </c>
      <c r="B15486" t="str">
        <f t="shared" si="2755"/>
        <v>72077000</v>
      </c>
      <c r="C15486" t="str">
        <f t="shared" si="2756"/>
        <v>72077001</v>
      </c>
      <c r="D15486">
        <v>89301152</v>
      </c>
      <c r="E15486" t="str">
        <f>"8560145781"</f>
        <v>8560145781</v>
      </c>
      <c r="F15486" s="1">
        <v>45271</v>
      </c>
      <c r="G15486" t="str">
        <f>"91175"</f>
        <v>91175</v>
      </c>
      <c r="H15486">
        <v>1</v>
      </c>
      <c r="I15486">
        <v>362</v>
      </c>
      <c r="J15486">
        <v>0</v>
      </c>
      <c r="K15486" t="str">
        <f t="shared" si="2757"/>
        <v>813</v>
      </c>
      <c r="L15486">
        <v>304.08</v>
      </c>
    </row>
    <row r="15487" spans="1:12" x14ac:dyDescent="0.25">
      <c r="A15487" t="str">
        <f t="shared" si="2746"/>
        <v>89301000</v>
      </c>
      <c r="B15487" t="str">
        <f t="shared" si="2755"/>
        <v>72077000</v>
      </c>
      <c r="C15487" t="str">
        <f t="shared" si="2756"/>
        <v>72077001</v>
      </c>
      <c r="D15487">
        <v>89301152</v>
      </c>
      <c r="E15487" t="str">
        <f>"8560145781"</f>
        <v>8560145781</v>
      </c>
      <c r="F15487" s="1">
        <v>45271</v>
      </c>
      <c r="G15487" t="str">
        <f>"91171"</f>
        <v>91171</v>
      </c>
      <c r="H15487">
        <v>1</v>
      </c>
      <c r="I15487">
        <v>362</v>
      </c>
      <c r="J15487">
        <v>0</v>
      </c>
      <c r="K15487" t="str">
        <f t="shared" si="2757"/>
        <v>813</v>
      </c>
      <c r="L15487">
        <v>304.08</v>
      </c>
    </row>
    <row r="15488" spans="1:12" x14ac:dyDescent="0.25">
      <c r="A15488" t="str">
        <f t="shared" si="2746"/>
        <v>89301000</v>
      </c>
      <c r="B15488" t="str">
        <f t="shared" si="2755"/>
        <v>72077000</v>
      </c>
      <c r="C15488" t="str">
        <f t="shared" si="2756"/>
        <v>72077001</v>
      </c>
      <c r="D15488">
        <v>89301152</v>
      </c>
      <c r="E15488" t="str">
        <f>"8560145781"</f>
        <v>8560145781</v>
      </c>
      <c r="F15488" s="1">
        <v>45273</v>
      </c>
      <c r="G15488" t="str">
        <f>"91577"</f>
        <v>91577</v>
      </c>
      <c r="H15488">
        <v>1</v>
      </c>
      <c r="I15488">
        <v>398</v>
      </c>
      <c r="J15488">
        <v>0</v>
      </c>
      <c r="K15488" t="str">
        <f t="shared" si="2757"/>
        <v>813</v>
      </c>
      <c r="L15488">
        <v>334.32</v>
      </c>
    </row>
    <row r="15489" spans="1:12" x14ac:dyDescent="0.25">
      <c r="A15489" t="str">
        <f t="shared" si="2746"/>
        <v>89301000</v>
      </c>
      <c r="B15489" t="str">
        <f t="shared" si="2755"/>
        <v>72077000</v>
      </c>
      <c r="C15489" t="str">
        <f t="shared" si="2756"/>
        <v>72077001</v>
      </c>
      <c r="D15489">
        <v>89301152</v>
      </c>
      <c r="E15489" t="str">
        <f>"0460285265"</f>
        <v>0460285265</v>
      </c>
      <c r="F15489" s="1">
        <v>45268</v>
      </c>
      <c r="G15489" t="str">
        <f>"91197"</f>
        <v>91197</v>
      </c>
      <c r="H15489">
        <v>1</v>
      </c>
      <c r="I15489">
        <v>1048</v>
      </c>
      <c r="J15489">
        <v>0</v>
      </c>
      <c r="K15489" t="str">
        <f t="shared" si="2757"/>
        <v>813</v>
      </c>
      <c r="L15489">
        <v>880.32</v>
      </c>
    </row>
    <row r="15490" spans="1:12" x14ac:dyDescent="0.25">
      <c r="A15490" t="str">
        <f t="shared" ref="A15490:A15553" si="2759">"89301000"</f>
        <v>89301000</v>
      </c>
      <c r="B15490" t="str">
        <f t="shared" si="2755"/>
        <v>72077000</v>
      </c>
      <c r="C15490" t="str">
        <f t="shared" si="2756"/>
        <v>72077001</v>
      </c>
      <c r="D15490">
        <v>89301152</v>
      </c>
      <c r="E15490" t="str">
        <f>"0460285265"</f>
        <v>0460285265</v>
      </c>
      <c r="F15490" s="1">
        <v>45272</v>
      </c>
      <c r="G15490" t="str">
        <f>"91465"</f>
        <v>91465</v>
      </c>
      <c r="H15490">
        <v>1</v>
      </c>
      <c r="I15490">
        <v>1412</v>
      </c>
      <c r="J15490">
        <v>0</v>
      </c>
      <c r="K15490" t="str">
        <f t="shared" si="2757"/>
        <v>813</v>
      </c>
      <c r="L15490">
        <v>1186.08</v>
      </c>
    </row>
    <row r="15491" spans="1:12" x14ac:dyDescent="0.25">
      <c r="A15491" t="str">
        <f t="shared" si="2759"/>
        <v>89301000</v>
      </c>
      <c r="B15491" t="str">
        <f t="shared" si="2755"/>
        <v>72077000</v>
      </c>
      <c r="C15491" t="str">
        <f t="shared" si="2756"/>
        <v>72077001</v>
      </c>
      <c r="D15491">
        <v>89301152</v>
      </c>
      <c r="E15491" t="str">
        <f>"0460285265"</f>
        <v>0460285265</v>
      </c>
      <c r="F15491" s="1">
        <v>45278</v>
      </c>
      <c r="G15491" t="str">
        <f>"91219"</f>
        <v>91219</v>
      </c>
      <c r="H15491">
        <v>1</v>
      </c>
      <c r="I15491">
        <v>343</v>
      </c>
      <c r="J15491">
        <v>0</v>
      </c>
      <c r="K15491" t="str">
        <f t="shared" si="2757"/>
        <v>813</v>
      </c>
      <c r="L15491">
        <v>288.12</v>
      </c>
    </row>
    <row r="15492" spans="1:12" x14ac:dyDescent="0.25">
      <c r="A15492" t="str">
        <f t="shared" si="2759"/>
        <v>89301000</v>
      </c>
      <c r="B15492" t="str">
        <f t="shared" si="2755"/>
        <v>72077000</v>
      </c>
      <c r="C15492" t="str">
        <f t="shared" si="2756"/>
        <v>72077001</v>
      </c>
      <c r="D15492">
        <v>89301152</v>
      </c>
      <c r="E15492" t="str">
        <f>"7158015777"</f>
        <v>7158015777</v>
      </c>
      <c r="F15492" s="1">
        <v>45268</v>
      </c>
      <c r="G15492" t="str">
        <f>"91197"</f>
        <v>91197</v>
      </c>
      <c r="H15492">
        <v>1</v>
      </c>
      <c r="I15492">
        <v>1048</v>
      </c>
      <c r="J15492">
        <v>0</v>
      </c>
      <c r="K15492" t="str">
        <f t="shared" si="2757"/>
        <v>813</v>
      </c>
      <c r="L15492">
        <v>880.32</v>
      </c>
    </row>
    <row r="15493" spans="1:12" x14ac:dyDescent="0.25">
      <c r="A15493" t="str">
        <f t="shared" si="2759"/>
        <v>89301000</v>
      </c>
      <c r="B15493" t="str">
        <f t="shared" si="2755"/>
        <v>72077000</v>
      </c>
      <c r="C15493" t="str">
        <f t="shared" si="2756"/>
        <v>72077001</v>
      </c>
      <c r="D15493">
        <v>89301152</v>
      </c>
      <c r="E15493" t="str">
        <f>"7158015777"</f>
        <v>7158015777</v>
      </c>
      <c r="F15493" s="1">
        <v>45272</v>
      </c>
      <c r="G15493" t="str">
        <f>"91465"</f>
        <v>91465</v>
      </c>
      <c r="H15493">
        <v>1</v>
      </c>
      <c r="I15493">
        <v>1412</v>
      </c>
      <c r="J15493">
        <v>0</v>
      </c>
      <c r="K15493" t="str">
        <f t="shared" si="2757"/>
        <v>813</v>
      </c>
      <c r="L15493">
        <v>1186.08</v>
      </c>
    </row>
    <row r="15494" spans="1:12" x14ac:dyDescent="0.25">
      <c r="A15494" t="str">
        <f t="shared" si="2759"/>
        <v>89301000</v>
      </c>
      <c r="B15494" t="str">
        <f t="shared" si="2755"/>
        <v>72077000</v>
      </c>
      <c r="C15494" t="str">
        <f t="shared" si="2756"/>
        <v>72077001</v>
      </c>
      <c r="D15494">
        <v>89301152</v>
      </c>
      <c r="E15494" t="str">
        <f t="shared" ref="E15494:E15499" si="2760">"7859035778"</f>
        <v>7859035778</v>
      </c>
      <c r="F15494" s="1">
        <v>45273</v>
      </c>
      <c r="G15494" t="str">
        <f>"91485"</f>
        <v>91485</v>
      </c>
      <c r="H15494">
        <v>1</v>
      </c>
      <c r="I15494">
        <v>268</v>
      </c>
      <c r="J15494">
        <v>0</v>
      </c>
      <c r="K15494" t="str">
        <f t="shared" si="2757"/>
        <v>813</v>
      </c>
      <c r="L15494">
        <v>225.12</v>
      </c>
    </row>
    <row r="15495" spans="1:12" x14ac:dyDescent="0.25">
      <c r="A15495" t="str">
        <f t="shared" si="2759"/>
        <v>89301000</v>
      </c>
      <c r="B15495" t="str">
        <f t="shared" si="2755"/>
        <v>72077000</v>
      </c>
      <c r="C15495" t="str">
        <f t="shared" si="2756"/>
        <v>72077001</v>
      </c>
      <c r="D15495">
        <v>89301152</v>
      </c>
      <c r="E15495" t="str">
        <f t="shared" si="2760"/>
        <v>7859035778</v>
      </c>
      <c r="F15495" s="1">
        <v>45273</v>
      </c>
      <c r="G15495" t="str">
        <f>"91359"</f>
        <v>91359</v>
      </c>
      <c r="H15495">
        <v>1</v>
      </c>
      <c r="I15495">
        <v>205</v>
      </c>
      <c r="J15495">
        <v>0</v>
      </c>
      <c r="K15495" t="str">
        <f t="shared" si="2757"/>
        <v>813</v>
      </c>
      <c r="L15495">
        <v>172.2</v>
      </c>
    </row>
    <row r="15496" spans="1:12" x14ac:dyDescent="0.25">
      <c r="A15496" t="str">
        <f t="shared" si="2759"/>
        <v>89301000</v>
      </c>
      <c r="B15496" t="str">
        <f t="shared" si="2755"/>
        <v>72077000</v>
      </c>
      <c r="C15496" t="str">
        <f t="shared" si="2756"/>
        <v>72077001</v>
      </c>
      <c r="D15496">
        <v>89301152</v>
      </c>
      <c r="E15496" t="str">
        <f t="shared" si="2760"/>
        <v>7859035778</v>
      </c>
      <c r="F15496" s="1">
        <v>45273</v>
      </c>
      <c r="G15496" t="str">
        <f>"91577"</f>
        <v>91577</v>
      </c>
      <c r="H15496">
        <v>1</v>
      </c>
      <c r="I15496">
        <v>398</v>
      </c>
      <c r="J15496">
        <v>0</v>
      </c>
      <c r="K15496" t="str">
        <f t="shared" si="2757"/>
        <v>813</v>
      </c>
      <c r="L15496">
        <v>334.32</v>
      </c>
    </row>
    <row r="15497" spans="1:12" x14ac:dyDescent="0.25">
      <c r="A15497" t="str">
        <f t="shared" si="2759"/>
        <v>89301000</v>
      </c>
      <c r="B15497" t="str">
        <f t="shared" si="2755"/>
        <v>72077000</v>
      </c>
      <c r="C15497" t="str">
        <f t="shared" si="2756"/>
        <v>72077001</v>
      </c>
      <c r="D15497">
        <v>89301152</v>
      </c>
      <c r="E15497" t="str">
        <f t="shared" si="2760"/>
        <v>7859035778</v>
      </c>
      <c r="F15497" s="1">
        <v>45274</v>
      </c>
      <c r="G15497" t="str">
        <f>"91361"</f>
        <v>91361</v>
      </c>
      <c r="H15497">
        <v>1</v>
      </c>
      <c r="I15497">
        <v>444</v>
      </c>
      <c r="J15497">
        <v>0</v>
      </c>
      <c r="K15497" t="str">
        <f t="shared" si="2757"/>
        <v>813</v>
      </c>
      <c r="L15497">
        <v>372.96</v>
      </c>
    </row>
    <row r="15498" spans="1:12" x14ac:dyDescent="0.25">
      <c r="A15498" t="str">
        <f t="shared" si="2759"/>
        <v>89301000</v>
      </c>
      <c r="B15498" t="str">
        <f t="shared" si="2755"/>
        <v>72077000</v>
      </c>
      <c r="C15498" t="str">
        <f t="shared" si="2756"/>
        <v>72077001</v>
      </c>
      <c r="D15498">
        <v>89301152</v>
      </c>
      <c r="E15498" t="str">
        <f t="shared" si="2760"/>
        <v>7859035778</v>
      </c>
      <c r="F15498" s="1">
        <v>45274</v>
      </c>
      <c r="G15498" t="str">
        <f>"91197"</f>
        <v>91197</v>
      </c>
      <c r="H15498">
        <v>1</v>
      </c>
      <c r="I15498">
        <v>1048</v>
      </c>
      <c r="J15498">
        <v>0</v>
      </c>
      <c r="K15498" t="str">
        <f t="shared" si="2757"/>
        <v>813</v>
      </c>
      <c r="L15498">
        <v>880.32</v>
      </c>
    </row>
    <row r="15499" spans="1:12" x14ac:dyDescent="0.25">
      <c r="A15499" t="str">
        <f t="shared" si="2759"/>
        <v>89301000</v>
      </c>
      <c r="B15499" t="str">
        <f t="shared" ref="B15499:B15516" si="2761">"72077000"</f>
        <v>72077000</v>
      </c>
      <c r="C15499" t="str">
        <f t="shared" si="2756"/>
        <v>72077001</v>
      </c>
      <c r="D15499">
        <v>89301152</v>
      </c>
      <c r="E15499" t="str">
        <f t="shared" si="2760"/>
        <v>7859035778</v>
      </c>
      <c r="F15499" s="1">
        <v>45275</v>
      </c>
      <c r="G15499" t="str">
        <f>"91465"</f>
        <v>91465</v>
      </c>
      <c r="H15499">
        <v>1</v>
      </c>
      <c r="I15499">
        <v>1412</v>
      </c>
      <c r="J15499">
        <v>0</v>
      </c>
      <c r="K15499" t="str">
        <f t="shared" si="2757"/>
        <v>813</v>
      </c>
      <c r="L15499">
        <v>1186.08</v>
      </c>
    </row>
    <row r="15500" spans="1:12" x14ac:dyDescent="0.25">
      <c r="A15500" t="str">
        <f t="shared" si="2759"/>
        <v>89301000</v>
      </c>
      <c r="B15500" t="str">
        <f t="shared" si="2761"/>
        <v>72077000</v>
      </c>
      <c r="C15500" t="str">
        <f t="shared" si="2756"/>
        <v>72077001</v>
      </c>
      <c r="D15500">
        <v>89301152</v>
      </c>
      <c r="E15500" t="str">
        <f>"7012285324"</f>
        <v>7012285324</v>
      </c>
      <c r="F15500" s="1">
        <v>45274</v>
      </c>
      <c r="G15500" t="str">
        <f>"91197"</f>
        <v>91197</v>
      </c>
      <c r="H15500">
        <v>1</v>
      </c>
      <c r="I15500">
        <v>1048</v>
      </c>
      <c r="J15500">
        <v>0</v>
      </c>
      <c r="K15500" t="str">
        <f t="shared" si="2757"/>
        <v>813</v>
      </c>
      <c r="L15500">
        <v>880.32</v>
      </c>
    </row>
    <row r="15501" spans="1:12" x14ac:dyDescent="0.25">
      <c r="A15501" t="str">
        <f t="shared" si="2759"/>
        <v>89301000</v>
      </c>
      <c r="B15501" t="str">
        <f t="shared" si="2761"/>
        <v>72077000</v>
      </c>
      <c r="C15501" t="str">
        <f t="shared" si="2756"/>
        <v>72077001</v>
      </c>
      <c r="D15501">
        <v>89301152</v>
      </c>
      <c r="E15501" t="str">
        <f>"7012285324"</f>
        <v>7012285324</v>
      </c>
      <c r="F15501" s="1">
        <v>45275</v>
      </c>
      <c r="G15501" t="str">
        <f>"91465"</f>
        <v>91465</v>
      </c>
      <c r="H15501">
        <v>1</v>
      </c>
      <c r="I15501">
        <v>1412</v>
      </c>
      <c r="J15501">
        <v>0</v>
      </c>
      <c r="K15501" t="str">
        <f t="shared" si="2757"/>
        <v>813</v>
      </c>
      <c r="L15501">
        <v>1186.08</v>
      </c>
    </row>
    <row r="15502" spans="1:12" x14ac:dyDescent="0.25">
      <c r="A15502" t="str">
        <f t="shared" si="2759"/>
        <v>89301000</v>
      </c>
      <c r="B15502" t="str">
        <f t="shared" si="2761"/>
        <v>72077000</v>
      </c>
      <c r="C15502" t="str">
        <f t="shared" si="2756"/>
        <v>72077001</v>
      </c>
      <c r="D15502">
        <v>89301152</v>
      </c>
      <c r="E15502" t="str">
        <f>"9404105755"</f>
        <v>9404105755</v>
      </c>
      <c r="F15502" s="1">
        <v>45280</v>
      </c>
      <c r="G15502" t="str">
        <f>"91465"</f>
        <v>91465</v>
      </c>
      <c r="H15502">
        <v>1</v>
      </c>
      <c r="I15502">
        <v>1412</v>
      </c>
      <c r="J15502">
        <v>0</v>
      </c>
      <c r="K15502" t="str">
        <f t="shared" si="2757"/>
        <v>813</v>
      </c>
      <c r="L15502">
        <v>1186.08</v>
      </c>
    </row>
    <row r="15503" spans="1:12" x14ac:dyDescent="0.25">
      <c r="A15503" t="str">
        <f t="shared" si="2759"/>
        <v>89301000</v>
      </c>
      <c r="B15503" t="str">
        <f t="shared" si="2761"/>
        <v>72077000</v>
      </c>
      <c r="C15503" t="str">
        <f t="shared" si="2756"/>
        <v>72077001</v>
      </c>
      <c r="D15503">
        <v>89301152</v>
      </c>
      <c r="E15503" t="str">
        <f>"9404105755"</f>
        <v>9404105755</v>
      </c>
      <c r="F15503" s="1">
        <v>45280</v>
      </c>
      <c r="G15503" t="str">
        <f>"91197"</f>
        <v>91197</v>
      </c>
      <c r="H15503">
        <v>1</v>
      </c>
      <c r="I15503">
        <v>1048</v>
      </c>
      <c r="J15503">
        <v>0</v>
      </c>
      <c r="K15503" t="str">
        <f t="shared" si="2757"/>
        <v>813</v>
      </c>
      <c r="L15503">
        <v>880.32</v>
      </c>
    </row>
    <row r="15504" spans="1:12" x14ac:dyDescent="0.25">
      <c r="A15504" t="str">
        <f t="shared" si="2759"/>
        <v>89301000</v>
      </c>
      <c r="B15504" t="str">
        <f t="shared" si="2761"/>
        <v>72077000</v>
      </c>
      <c r="C15504" t="str">
        <f t="shared" si="2756"/>
        <v>72077001</v>
      </c>
      <c r="D15504">
        <v>89301152</v>
      </c>
      <c r="E15504" t="str">
        <f>"8956024484"</f>
        <v>8956024484</v>
      </c>
      <c r="F15504" s="1">
        <v>45275</v>
      </c>
      <c r="G15504" t="str">
        <f>"91175"</f>
        <v>91175</v>
      </c>
      <c r="H15504">
        <v>1</v>
      </c>
      <c r="I15504">
        <v>362</v>
      </c>
      <c r="J15504">
        <v>0</v>
      </c>
      <c r="K15504" t="str">
        <f t="shared" si="2757"/>
        <v>813</v>
      </c>
      <c r="L15504">
        <v>304.08</v>
      </c>
    </row>
    <row r="15505" spans="1:12" x14ac:dyDescent="0.25">
      <c r="A15505" t="str">
        <f t="shared" si="2759"/>
        <v>89301000</v>
      </c>
      <c r="B15505" t="str">
        <f t="shared" si="2761"/>
        <v>72077000</v>
      </c>
      <c r="C15505" t="str">
        <f t="shared" si="2756"/>
        <v>72077001</v>
      </c>
      <c r="D15505">
        <v>89301152</v>
      </c>
      <c r="E15505" t="str">
        <f>"8956024484"</f>
        <v>8956024484</v>
      </c>
      <c r="F15505" s="1">
        <v>45275</v>
      </c>
      <c r="G15505" t="str">
        <f>"91171"</f>
        <v>91171</v>
      </c>
      <c r="H15505">
        <v>1</v>
      </c>
      <c r="I15505">
        <v>362</v>
      </c>
      <c r="J15505">
        <v>0</v>
      </c>
      <c r="K15505" t="str">
        <f t="shared" si="2757"/>
        <v>813</v>
      </c>
      <c r="L15505">
        <v>304.08</v>
      </c>
    </row>
    <row r="15506" spans="1:12" x14ac:dyDescent="0.25">
      <c r="A15506" t="str">
        <f t="shared" si="2759"/>
        <v>89301000</v>
      </c>
      <c r="B15506" t="str">
        <f t="shared" si="2761"/>
        <v>72077000</v>
      </c>
      <c r="C15506" t="str">
        <f t="shared" si="2756"/>
        <v>72077001</v>
      </c>
      <c r="D15506">
        <v>89301152</v>
      </c>
      <c r="E15506" t="str">
        <f>"5753301334"</f>
        <v>5753301334</v>
      </c>
      <c r="F15506" s="1">
        <v>45280</v>
      </c>
      <c r="G15506" t="str">
        <f>"91197"</f>
        <v>91197</v>
      </c>
      <c r="H15506">
        <v>1</v>
      </c>
      <c r="I15506">
        <v>1048</v>
      </c>
      <c r="J15506">
        <v>0</v>
      </c>
      <c r="K15506" t="str">
        <f t="shared" si="2757"/>
        <v>813</v>
      </c>
      <c r="L15506">
        <v>880.32</v>
      </c>
    </row>
    <row r="15507" spans="1:12" x14ac:dyDescent="0.25">
      <c r="A15507" t="str">
        <f t="shared" si="2759"/>
        <v>89301000</v>
      </c>
      <c r="B15507" t="str">
        <f t="shared" si="2761"/>
        <v>72077000</v>
      </c>
      <c r="C15507" t="str">
        <f t="shared" ref="C15507:C15516" si="2762">"72077001"</f>
        <v>72077001</v>
      </c>
      <c r="D15507">
        <v>89301152</v>
      </c>
      <c r="E15507" t="str">
        <f>"5753301334"</f>
        <v>5753301334</v>
      </c>
      <c r="F15507" s="1">
        <v>45288</v>
      </c>
      <c r="G15507" t="str">
        <f>"91465"</f>
        <v>91465</v>
      </c>
      <c r="H15507">
        <v>1</v>
      </c>
      <c r="I15507">
        <v>1412</v>
      </c>
      <c r="J15507">
        <v>0</v>
      </c>
      <c r="K15507" t="str">
        <f t="shared" ref="K15507:K15516" si="2763">"813"</f>
        <v>813</v>
      </c>
      <c r="L15507">
        <v>1186.08</v>
      </c>
    </row>
    <row r="15508" spans="1:12" x14ac:dyDescent="0.25">
      <c r="A15508" t="str">
        <f t="shared" si="2759"/>
        <v>89301000</v>
      </c>
      <c r="B15508" t="str">
        <f t="shared" si="2761"/>
        <v>72077000</v>
      </c>
      <c r="C15508" t="str">
        <f t="shared" si="2762"/>
        <v>72077001</v>
      </c>
      <c r="D15508">
        <v>89301152</v>
      </c>
      <c r="E15508" t="str">
        <f>"6553221950"</f>
        <v>6553221950</v>
      </c>
      <c r="F15508" s="1">
        <v>45280</v>
      </c>
      <c r="G15508" t="str">
        <f>"91197"</f>
        <v>91197</v>
      </c>
      <c r="H15508">
        <v>1</v>
      </c>
      <c r="I15508">
        <v>1048</v>
      </c>
      <c r="J15508">
        <v>0</v>
      </c>
      <c r="K15508" t="str">
        <f t="shared" si="2763"/>
        <v>813</v>
      </c>
      <c r="L15508">
        <v>880.32</v>
      </c>
    </row>
    <row r="15509" spans="1:12" x14ac:dyDescent="0.25">
      <c r="A15509" t="str">
        <f t="shared" si="2759"/>
        <v>89301000</v>
      </c>
      <c r="B15509" t="str">
        <f t="shared" si="2761"/>
        <v>72077000</v>
      </c>
      <c r="C15509" t="str">
        <f t="shared" si="2762"/>
        <v>72077001</v>
      </c>
      <c r="D15509">
        <v>89301152</v>
      </c>
      <c r="E15509" t="str">
        <f>"6553221950"</f>
        <v>6553221950</v>
      </c>
      <c r="F15509" s="1">
        <v>45282</v>
      </c>
      <c r="G15509" t="str">
        <f>"91465"</f>
        <v>91465</v>
      </c>
      <c r="H15509">
        <v>1</v>
      </c>
      <c r="I15509">
        <v>1412</v>
      </c>
      <c r="J15509">
        <v>0</v>
      </c>
      <c r="K15509" t="str">
        <f t="shared" si="2763"/>
        <v>813</v>
      </c>
      <c r="L15509">
        <v>1186.08</v>
      </c>
    </row>
    <row r="15510" spans="1:12" x14ac:dyDescent="0.25">
      <c r="A15510" t="str">
        <f t="shared" si="2759"/>
        <v>89301000</v>
      </c>
      <c r="B15510" t="str">
        <f t="shared" si="2761"/>
        <v>72077000</v>
      </c>
      <c r="C15510" t="str">
        <f t="shared" si="2762"/>
        <v>72077001</v>
      </c>
      <c r="D15510">
        <v>89301152</v>
      </c>
      <c r="E15510" t="str">
        <f>"0155225741"</f>
        <v>0155225741</v>
      </c>
      <c r="F15510" s="1">
        <v>45280</v>
      </c>
      <c r="G15510" t="str">
        <f>"91197"</f>
        <v>91197</v>
      </c>
      <c r="H15510">
        <v>1</v>
      </c>
      <c r="I15510">
        <v>1048</v>
      </c>
      <c r="J15510">
        <v>0</v>
      </c>
      <c r="K15510" t="str">
        <f t="shared" si="2763"/>
        <v>813</v>
      </c>
      <c r="L15510">
        <v>880.32</v>
      </c>
    </row>
    <row r="15511" spans="1:12" x14ac:dyDescent="0.25">
      <c r="A15511" t="str">
        <f t="shared" si="2759"/>
        <v>89301000</v>
      </c>
      <c r="B15511" t="str">
        <f t="shared" si="2761"/>
        <v>72077000</v>
      </c>
      <c r="C15511" t="str">
        <f t="shared" si="2762"/>
        <v>72077001</v>
      </c>
      <c r="D15511">
        <v>89301152</v>
      </c>
      <c r="E15511" t="str">
        <f>"0155225741"</f>
        <v>0155225741</v>
      </c>
      <c r="F15511" s="1">
        <v>45282</v>
      </c>
      <c r="G15511" t="str">
        <f>"91465"</f>
        <v>91465</v>
      </c>
      <c r="H15511">
        <v>1</v>
      </c>
      <c r="I15511">
        <v>1412</v>
      </c>
      <c r="J15511">
        <v>0</v>
      </c>
      <c r="K15511" t="str">
        <f t="shared" si="2763"/>
        <v>813</v>
      </c>
      <c r="L15511">
        <v>1186.08</v>
      </c>
    </row>
    <row r="15512" spans="1:12" x14ac:dyDescent="0.25">
      <c r="A15512" t="str">
        <f t="shared" si="2759"/>
        <v>89301000</v>
      </c>
      <c r="B15512" t="str">
        <f t="shared" si="2761"/>
        <v>72077000</v>
      </c>
      <c r="C15512" t="str">
        <f t="shared" si="2762"/>
        <v>72077001</v>
      </c>
      <c r="D15512">
        <v>89301107</v>
      </c>
      <c r="E15512" t="str">
        <f>"1954121620"</f>
        <v>1954121620</v>
      </c>
      <c r="F15512" s="1">
        <v>45280</v>
      </c>
      <c r="G15512" t="str">
        <f>"91197"</f>
        <v>91197</v>
      </c>
      <c r="H15512">
        <v>1</v>
      </c>
      <c r="I15512">
        <v>1048</v>
      </c>
      <c r="J15512">
        <v>0</v>
      </c>
      <c r="K15512" t="str">
        <f t="shared" si="2763"/>
        <v>813</v>
      </c>
      <c r="L15512">
        <v>880.32</v>
      </c>
    </row>
    <row r="15513" spans="1:12" x14ac:dyDescent="0.25">
      <c r="A15513" t="str">
        <f t="shared" si="2759"/>
        <v>89301000</v>
      </c>
      <c r="B15513" t="str">
        <f t="shared" si="2761"/>
        <v>72077000</v>
      </c>
      <c r="C15513" t="str">
        <f t="shared" si="2762"/>
        <v>72077001</v>
      </c>
      <c r="D15513">
        <v>89301152</v>
      </c>
      <c r="E15513" t="str">
        <f>"7356025336"</f>
        <v>7356025336</v>
      </c>
      <c r="F15513" s="1">
        <v>45280</v>
      </c>
      <c r="G15513" t="str">
        <f>"91197"</f>
        <v>91197</v>
      </c>
      <c r="H15513">
        <v>1</v>
      </c>
      <c r="I15513">
        <v>1048</v>
      </c>
      <c r="J15513">
        <v>0</v>
      </c>
      <c r="K15513" t="str">
        <f t="shared" si="2763"/>
        <v>813</v>
      </c>
      <c r="L15513">
        <v>880.32</v>
      </c>
    </row>
    <row r="15514" spans="1:12" x14ac:dyDescent="0.25">
      <c r="A15514" t="str">
        <f t="shared" si="2759"/>
        <v>89301000</v>
      </c>
      <c r="B15514" t="str">
        <f t="shared" si="2761"/>
        <v>72077000</v>
      </c>
      <c r="C15514" t="str">
        <f t="shared" si="2762"/>
        <v>72077001</v>
      </c>
      <c r="D15514">
        <v>89301152</v>
      </c>
      <c r="E15514" t="str">
        <f>"7356025336"</f>
        <v>7356025336</v>
      </c>
      <c r="F15514" s="1">
        <v>45288</v>
      </c>
      <c r="G15514" t="str">
        <f>"91465"</f>
        <v>91465</v>
      </c>
      <c r="H15514">
        <v>1</v>
      </c>
      <c r="I15514">
        <v>1412</v>
      </c>
      <c r="J15514">
        <v>0</v>
      </c>
      <c r="K15514" t="str">
        <f t="shared" si="2763"/>
        <v>813</v>
      </c>
      <c r="L15514">
        <v>1186.08</v>
      </c>
    </row>
    <row r="15515" spans="1:12" x14ac:dyDescent="0.25">
      <c r="A15515" t="str">
        <f t="shared" si="2759"/>
        <v>89301000</v>
      </c>
      <c r="B15515" t="str">
        <f t="shared" si="2761"/>
        <v>72077000</v>
      </c>
      <c r="C15515" t="str">
        <f t="shared" si="2762"/>
        <v>72077001</v>
      </c>
      <c r="D15515">
        <v>89301152</v>
      </c>
      <c r="E15515" t="str">
        <f>"8662135361"</f>
        <v>8662135361</v>
      </c>
      <c r="F15515" s="1">
        <v>45287</v>
      </c>
      <c r="G15515" t="str">
        <f>"91175"</f>
        <v>91175</v>
      </c>
      <c r="H15515">
        <v>1</v>
      </c>
      <c r="I15515">
        <v>362</v>
      </c>
      <c r="J15515">
        <v>0</v>
      </c>
      <c r="K15515" t="str">
        <f t="shared" si="2763"/>
        <v>813</v>
      </c>
      <c r="L15515">
        <v>304.08</v>
      </c>
    </row>
    <row r="15516" spans="1:12" x14ac:dyDescent="0.25">
      <c r="A15516" t="str">
        <f t="shared" si="2759"/>
        <v>89301000</v>
      </c>
      <c r="B15516" t="str">
        <f t="shared" si="2761"/>
        <v>72077000</v>
      </c>
      <c r="C15516" t="str">
        <f t="shared" si="2762"/>
        <v>72077001</v>
      </c>
      <c r="D15516">
        <v>89301152</v>
      </c>
      <c r="E15516" t="str">
        <f>"8662135361"</f>
        <v>8662135361</v>
      </c>
      <c r="F15516" s="1">
        <v>45287</v>
      </c>
      <c r="G15516" t="str">
        <f>"91171"</f>
        <v>91171</v>
      </c>
      <c r="H15516">
        <v>1</v>
      </c>
      <c r="I15516">
        <v>362</v>
      </c>
      <c r="J15516">
        <v>0</v>
      </c>
      <c r="K15516" t="str">
        <f t="shared" si="2763"/>
        <v>813</v>
      </c>
      <c r="L15516">
        <v>304.08</v>
      </c>
    </row>
    <row r="15517" spans="1:12" x14ac:dyDescent="0.25">
      <c r="A15517" t="str">
        <f t="shared" si="2759"/>
        <v>89301000</v>
      </c>
      <c r="B15517" t="str">
        <f>"78934000"</f>
        <v>78934000</v>
      </c>
      <c r="C15517" t="str">
        <f>"78934001"</f>
        <v>78934001</v>
      </c>
      <c r="D15517">
        <v>89301042</v>
      </c>
      <c r="E15517" t="str">
        <f>"6407220083"</f>
        <v>6407220083</v>
      </c>
      <c r="F15517" s="1">
        <v>45278</v>
      </c>
      <c r="G15517" t="str">
        <f>"89513"</f>
        <v>89513</v>
      </c>
      <c r="H15517">
        <v>1</v>
      </c>
      <c r="I15517">
        <v>378</v>
      </c>
      <c r="J15517">
        <v>0</v>
      </c>
      <c r="K15517" t="str">
        <f>"809"</f>
        <v>809</v>
      </c>
      <c r="L15517">
        <v>555.66</v>
      </c>
    </row>
    <row r="15518" spans="1:12" x14ac:dyDescent="0.25">
      <c r="A15518" t="str">
        <f t="shared" si="2759"/>
        <v>89301000</v>
      </c>
      <c r="B15518" t="str">
        <f>"78934000"</f>
        <v>78934000</v>
      </c>
      <c r="C15518" t="str">
        <f>"78934001"</f>
        <v>78934001</v>
      </c>
      <c r="D15518">
        <v>89301042</v>
      </c>
      <c r="E15518" t="str">
        <f>"6407220083"</f>
        <v>6407220083</v>
      </c>
      <c r="F15518" s="1">
        <v>45278</v>
      </c>
      <c r="G15518" t="str">
        <f>"89514"</f>
        <v>89514</v>
      </c>
      <c r="H15518">
        <v>1</v>
      </c>
      <c r="I15518">
        <v>378</v>
      </c>
      <c r="J15518">
        <v>0</v>
      </c>
      <c r="K15518" t="str">
        <f>"809"</f>
        <v>809</v>
      </c>
      <c r="L15518">
        <v>555.66</v>
      </c>
    </row>
    <row r="15519" spans="1:12" x14ac:dyDescent="0.25">
      <c r="A15519" t="str">
        <f t="shared" si="2759"/>
        <v>89301000</v>
      </c>
      <c r="B15519" t="str">
        <f>"78934000"</f>
        <v>78934000</v>
      </c>
      <c r="C15519" t="str">
        <f>"78934001"</f>
        <v>78934001</v>
      </c>
      <c r="D15519">
        <v>89301042</v>
      </c>
      <c r="E15519" t="str">
        <f>"6407220083"</f>
        <v>6407220083</v>
      </c>
      <c r="F15519" s="1">
        <v>45278</v>
      </c>
      <c r="G15519" t="str">
        <f>"89131"</f>
        <v>89131</v>
      </c>
      <c r="H15519">
        <v>1</v>
      </c>
      <c r="I15519">
        <v>190</v>
      </c>
      <c r="J15519">
        <v>0</v>
      </c>
      <c r="K15519" t="str">
        <f>"809"</f>
        <v>809</v>
      </c>
      <c r="L15519">
        <v>279.3</v>
      </c>
    </row>
    <row r="15520" spans="1:12" x14ac:dyDescent="0.25">
      <c r="A15520" t="str">
        <f t="shared" si="2759"/>
        <v>89301000</v>
      </c>
      <c r="B15520" t="str">
        <f t="shared" ref="B15520:B15551" si="2764">"95202000"</f>
        <v>95202000</v>
      </c>
      <c r="C15520" t="str">
        <f>"95202818"</f>
        <v>95202818</v>
      </c>
      <c r="D15520">
        <v>89301167</v>
      </c>
      <c r="E15520" t="str">
        <f>"6109280386"</f>
        <v>6109280386</v>
      </c>
      <c r="F15520" s="1">
        <v>45272</v>
      </c>
      <c r="G15520" t="str">
        <f>"96167"</f>
        <v>96167</v>
      </c>
      <c r="H15520">
        <v>1</v>
      </c>
      <c r="I15520">
        <v>67</v>
      </c>
      <c r="J15520">
        <v>0</v>
      </c>
      <c r="K15520" t="str">
        <f>"818"</f>
        <v>818</v>
      </c>
      <c r="L15520">
        <v>64.989999999999995</v>
      </c>
    </row>
    <row r="15521" spans="1:12" x14ac:dyDescent="0.25">
      <c r="A15521" t="str">
        <f t="shared" si="2759"/>
        <v>89301000</v>
      </c>
      <c r="B15521" t="str">
        <f t="shared" si="2764"/>
        <v>95202000</v>
      </c>
      <c r="C15521" t="str">
        <f>"95202818"</f>
        <v>95202818</v>
      </c>
      <c r="D15521">
        <v>89301167</v>
      </c>
      <c r="E15521" t="str">
        <f>"6109280386"</f>
        <v>6109280386</v>
      </c>
      <c r="F15521" s="1">
        <v>45272</v>
      </c>
      <c r="G15521" t="str">
        <f>"96857"</f>
        <v>96857</v>
      </c>
      <c r="H15521">
        <v>1</v>
      </c>
      <c r="I15521">
        <v>68</v>
      </c>
      <c r="J15521">
        <v>0</v>
      </c>
      <c r="K15521" t="str">
        <f>"818"</f>
        <v>818</v>
      </c>
      <c r="L15521">
        <v>65.959999999999994</v>
      </c>
    </row>
    <row r="15522" spans="1:12" x14ac:dyDescent="0.25">
      <c r="A15522" t="str">
        <f t="shared" si="2759"/>
        <v>89301000</v>
      </c>
      <c r="B15522" t="str">
        <f t="shared" si="2764"/>
        <v>95202000</v>
      </c>
      <c r="C15522" t="str">
        <f>"95202818"</f>
        <v>95202818</v>
      </c>
      <c r="D15522">
        <v>89301167</v>
      </c>
      <c r="E15522" t="str">
        <f>"521204004"</f>
        <v>521204004</v>
      </c>
      <c r="F15522" s="1">
        <v>45265</v>
      </c>
      <c r="G15522" t="str">
        <f>"96167"</f>
        <v>96167</v>
      </c>
      <c r="H15522">
        <v>1</v>
      </c>
      <c r="I15522">
        <v>67</v>
      </c>
      <c r="J15522">
        <v>0</v>
      </c>
      <c r="K15522" t="str">
        <f>"818"</f>
        <v>818</v>
      </c>
      <c r="L15522">
        <v>64.989999999999995</v>
      </c>
    </row>
    <row r="15523" spans="1:12" x14ac:dyDescent="0.25">
      <c r="A15523" t="str">
        <f t="shared" si="2759"/>
        <v>89301000</v>
      </c>
      <c r="B15523" t="str">
        <f t="shared" si="2764"/>
        <v>95202000</v>
      </c>
      <c r="C15523" t="str">
        <f>"95202818"</f>
        <v>95202818</v>
      </c>
      <c r="D15523">
        <v>89301167</v>
      </c>
      <c r="E15523" t="str">
        <f t="shared" ref="E15523:E15543" si="2765">"5709166199"</f>
        <v>5709166199</v>
      </c>
      <c r="F15523" s="1">
        <v>45265</v>
      </c>
      <c r="G15523" t="str">
        <f>"96167"</f>
        <v>96167</v>
      </c>
      <c r="H15523">
        <v>1</v>
      </c>
      <c r="I15523">
        <v>67</v>
      </c>
      <c r="J15523">
        <v>0</v>
      </c>
      <c r="K15523" t="str">
        <f>"818"</f>
        <v>818</v>
      </c>
      <c r="L15523">
        <v>64.989999999999995</v>
      </c>
    </row>
    <row r="15524" spans="1:12" x14ac:dyDescent="0.25">
      <c r="A15524" t="str">
        <f t="shared" si="2759"/>
        <v>89301000</v>
      </c>
      <c r="B15524" t="str">
        <f t="shared" si="2764"/>
        <v>95202000</v>
      </c>
      <c r="C15524" t="str">
        <f t="shared" ref="C15524:C15555" si="2766">"95202096"</f>
        <v>95202096</v>
      </c>
      <c r="D15524">
        <v>89301167</v>
      </c>
      <c r="E15524" t="str">
        <f t="shared" si="2765"/>
        <v>5709166199</v>
      </c>
      <c r="F15524" s="1">
        <v>45265</v>
      </c>
      <c r="G15524" t="str">
        <f>"81329"</f>
        <v>81329</v>
      </c>
      <c r="H15524">
        <v>1</v>
      </c>
      <c r="I15524">
        <v>17</v>
      </c>
      <c r="J15524">
        <v>0</v>
      </c>
      <c r="K15524" t="str">
        <f t="shared" ref="K15524:K15555" si="2767">"801"</f>
        <v>801</v>
      </c>
      <c r="L15524">
        <v>14.28</v>
      </c>
    </row>
    <row r="15525" spans="1:12" x14ac:dyDescent="0.25">
      <c r="A15525" t="str">
        <f t="shared" si="2759"/>
        <v>89301000</v>
      </c>
      <c r="B15525" t="str">
        <f t="shared" si="2764"/>
        <v>95202000</v>
      </c>
      <c r="C15525" t="str">
        <f t="shared" si="2766"/>
        <v>95202096</v>
      </c>
      <c r="D15525">
        <v>89301167</v>
      </c>
      <c r="E15525" t="str">
        <f t="shared" si="2765"/>
        <v>5709166199</v>
      </c>
      <c r="F15525" s="1">
        <v>45265</v>
      </c>
      <c r="G15525" t="str">
        <f>"81337"</f>
        <v>81337</v>
      </c>
      <c r="H15525">
        <v>1</v>
      </c>
      <c r="I15525">
        <v>20</v>
      </c>
      <c r="J15525">
        <v>0</v>
      </c>
      <c r="K15525" t="str">
        <f t="shared" si="2767"/>
        <v>801</v>
      </c>
      <c r="L15525">
        <v>16.8</v>
      </c>
    </row>
    <row r="15526" spans="1:12" x14ac:dyDescent="0.25">
      <c r="A15526" t="str">
        <f t="shared" si="2759"/>
        <v>89301000</v>
      </c>
      <c r="B15526" t="str">
        <f t="shared" si="2764"/>
        <v>95202000</v>
      </c>
      <c r="C15526" t="str">
        <f t="shared" si="2766"/>
        <v>95202096</v>
      </c>
      <c r="D15526">
        <v>89301167</v>
      </c>
      <c r="E15526" t="str">
        <f t="shared" si="2765"/>
        <v>5709166199</v>
      </c>
      <c r="F15526" s="1">
        <v>45265</v>
      </c>
      <c r="G15526" t="str">
        <f>"81357"</f>
        <v>81357</v>
      </c>
      <c r="H15526">
        <v>1</v>
      </c>
      <c r="I15526">
        <v>20</v>
      </c>
      <c r="J15526">
        <v>0</v>
      </c>
      <c r="K15526" t="str">
        <f t="shared" si="2767"/>
        <v>801</v>
      </c>
      <c r="L15526">
        <v>16.8</v>
      </c>
    </row>
    <row r="15527" spans="1:12" x14ac:dyDescent="0.25">
      <c r="A15527" t="str">
        <f t="shared" si="2759"/>
        <v>89301000</v>
      </c>
      <c r="B15527" t="str">
        <f t="shared" si="2764"/>
        <v>95202000</v>
      </c>
      <c r="C15527" t="str">
        <f t="shared" si="2766"/>
        <v>95202096</v>
      </c>
      <c r="D15527">
        <v>89301167</v>
      </c>
      <c r="E15527" t="str">
        <f t="shared" si="2765"/>
        <v>5709166199</v>
      </c>
      <c r="F15527" s="1">
        <v>45265</v>
      </c>
      <c r="G15527" t="str">
        <f>"81361"</f>
        <v>81361</v>
      </c>
      <c r="H15527">
        <v>1</v>
      </c>
      <c r="I15527">
        <v>17</v>
      </c>
      <c r="J15527">
        <v>0</v>
      </c>
      <c r="K15527" t="str">
        <f t="shared" si="2767"/>
        <v>801</v>
      </c>
      <c r="L15527">
        <v>14.28</v>
      </c>
    </row>
    <row r="15528" spans="1:12" x14ac:dyDescent="0.25">
      <c r="A15528" t="str">
        <f t="shared" si="2759"/>
        <v>89301000</v>
      </c>
      <c r="B15528" t="str">
        <f t="shared" si="2764"/>
        <v>95202000</v>
      </c>
      <c r="C15528" t="str">
        <f t="shared" si="2766"/>
        <v>95202096</v>
      </c>
      <c r="D15528">
        <v>89301167</v>
      </c>
      <c r="E15528" t="str">
        <f t="shared" si="2765"/>
        <v>5709166199</v>
      </c>
      <c r="F15528" s="1">
        <v>45265</v>
      </c>
      <c r="G15528" t="str">
        <f>"81365"</f>
        <v>81365</v>
      </c>
      <c r="H15528">
        <v>1</v>
      </c>
      <c r="I15528">
        <v>16</v>
      </c>
      <c r="J15528">
        <v>0</v>
      </c>
      <c r="K15528" t="str">
        <f t="shared" si="2767"/>
        <v>801</v>
      </c>
      <c r="L15528">
        <v>13.44</v>
      </c>
    </row>
    <row r="15529" spans="1:12" x14ac:dyDescent="0.25">
      <c r="A15529" t="str">
        <f t="shared" si="2759"/>
        <v>89301000</v>
      </c>
      <c r="B15529" t="str">
        <f t="shared" si="2764"/>
        <v>95202000</v>
      </c>
      <c r="C15529" t="str">
        <f t="shared" si="2766"/>
        <v>95202096</v>
      </c>
      <c r="D15529">
        <v>89301167</v>
      </c>
      <c r="E15529" t="str">
        <f t="shared" si="2765"/>
        <v>5709166199</v>
      </c>
      <c r="F15529" s="1">
        <v>45265</v>
      </c>
      <c r="G15529" t="str">
        <f>"81383"</f>
        <v>81383</v>
      </c>
      <c r="H15529">
        <v>1</v>
      </c>
      <c r="I15529">
        <v>24</v>
      </c>
      <c r="J15529">
        <v>0</v>
      </c>
      <c r="K15529" t="str">
        <f t="shared" si="2767"/>
        <v>801</v>
      </c>
      <c r="L15529">
        <v>20.16</v>
      </c>
    </row>
    <row r="15530" spans="1:12" x14ac:dyDescent="0.25">
      <c r="A15530" t="str">
        <f t="shared" si="2759"/>
        <v>89301000</v>
      </c>
      <c r="B15530" t="str">
        <f t="shared" si="2764"/>
        <v>95202000</v>
      </c>
      <c r="C15530" t="str">
        <f t="shared" si="2766"/>
        <v>95202096</v>
      </c>
      <c r="D15530">
        <v>89301167</v>
      </c>
      <c r="E15530" t="str">
        <f t="shared" si="2765"/>
        <v>5709166199</v>
      </c>
      <c r="F15530" s="1">
        <v>45265</v>
      </c>
      <c r="G15530" t="str">
        <f>"81393"</f>
        <v>81393</v>
      </c>
      <c r="H15530">
        <v>1</v>
      </c>
      <c r="I15530">
        <v>24</v>
      </c>
      <c r="J15530">
        <v>0</v>
      </c>
      <c r="K15530" t="str">
        <f t="shared" si="2767"/>
        <v>801</v>
      </c>
      <c r="L15530">
        <v>20.16</v>
      </c>
    </row>
    <row r="15531" spans="1:12" x14ac:dyDescent="0.25">
      <c r="A15531" t="str">
        <f t="shared" si="2759"/>
        <v>89301000</v>
      </c>
      <c r="B15531" t="str">
        <f t="shared" si="2764"/>
        <v>95202000</v>
      </c>
      <c r="C15531" t="str">
        <f t="shared" si="2766"/>
        <v>95202096</v>
      </c>
      <c r="D15531">
        <v>89301167</v>
      </c>
      <c r="E15531" t="str">
        <f t="shared" si="2765"/>
        <v>5709166199</v>
      </c>
      <c r="F15531" s="1">
        <v>45265</v>
      </c>
      <c r="G15531" t="str">
        <f>"81421"</f>
        <v>81421</v>
      </c>
      <c r="H15531">
        <v>1</v>
      </c>
      <c r="I15531">
        <v>19</v>
      </c>
      <c r="J15531">
        <v>0</v>
      </c>
      <c r="K15531" t="str">
        <f t="shared" si="2767"/>
        <v>801</v>
      </c>
      <c r="L15531">
        <v>15.96</v>
      </c>
    </row>
    <row r="15532" spans="1:12" x14ac:dyDescent="0.25">
      <c r="A15532" t="str">
        <f t="shared" si="2759"/>
        <v>89301000</v>
      </c>
      <c r="B15532" t="str">
        <f t="shared" si="2764"/>
        <v>95202000</v>
      </c>
      <c r="C15532" t="str">
        <f t="shared" si="2766"/>
        <v>95202096</v>
      </c>
      <c r="D15532">
        <v>89301167</v>
      </c>
      <c r="E15532" t="str">
        <f t="shared" si="2765"/>
        <v>5709166199</v>
      </c>
      <c r="F15532" s="1">
        <v>45265</v>
      </c>
      <c r="G15532" t="str">
        <f>"81435"</f>
        <v>81435</v>
      </c>
      <c r="H15532">
        <v>1</v>
      </c>
      <c r="I15532">
        <v>22</v>
      </c>
      <c r="J15532">
        <v>0</v>
      </c>
      <c r="K15532" t="str">
        <f t="shared" si="2767"/>
        <v>801</v>
      </c>
      <c r="L15532">
        <v>18.48</v>
      </c>
    </row>
    <row r="15533" spans="1:12" x14ac:dyDescent="0.25">
      <c r="A15533" t="str">
        <f t="shared" si="2759"/>
        <v>89301000</v>
      </c>
      <c r="B15533" t="str">
        <f t="shared" si="2764"/>
        <v>95202000</v>
      </c>
      <c r="C15533" t="str">
        <f t="shared" si="2766"/>
        <v>95202096</v>
      </c>
      <c r="D15533">
        <v>89301167</v>
      </c>
      <c r="E15533" t="str">
        <f t="shared" si="2765"/>
        <v>5709166199</v>
      </c>
      <c r="F15533" s="1">
        <v>45265</v>
      </c>
      <c r="G15533" t="str">
        <f>"81439"</f>
        <v>81439</v>
      </c>
      <c r="H15533">
        <v>1</v>
      </c>
      <c r="I15533">
        <v>16</v>
      </c>
      <c r="J15533">
        <v>0</v>
      </c>
      <c r="K15533" t="str">
        <f t="shared" si="2767"/>
        <v>801</v>
      </c>
      <c r="L15533">
        <v>13.44</v>
      </c>
    </row>
    <row r="15534" spans="1:12" x14ac:dyDescent="0.25">
      <c r="A15534" t="str">
        <f t="shared" si="2759"/>
        <v>89301000</v>
      </c>
      <c r="B15534" t="str">
        <f t="shared" si="2764"/>
        <v>95202000</v>
      </c>
      <c r="C15534" t="str">
        <f t="shared" si="2766"/>
        <v>95202096</v>
      </c>
      <c r="D15534">
        <v>89301167</v>
      </c>
      <c r="E15534" t="str">
        <f t="shared" si="2765"/>
        <v>5709166199</v>
      </c>
      <c r="F15534" s="1">
        <v>45265</v>
      </c>
      <c r="G15534" t="str">
        <f>"81469"</f>
        <v>81469</v>
      </c>
      <c r="H15534">
        <v>1</v>
      </c>
      <c r="I15534">
        <v>16</v>
      </c>
      <c r="J15534">
        <v>0</v>
      </c>
      <c r="K15534" t="str">
        <f t="shared" si="2767"/>
        <v>801</v>
      </c>
      <c r="L15534">
        <v>13.44</v>
      </c>
    </row>
    <row r="15535" spans="1:12" x14ac:dyDescent="0.25">
      <c r="A15535" t="str">
        <f t="shared" si="2759"/>
        <v>89301000</v>
      </c>
      <c r="B15535" t="str">
        <f t="shared" si="2764"/>
        <v>95202000</v>
      </c>
      <c r="C15535" t="str">
        <f t="shared" si="2766"/>
        <v>95202096</v>
      </c>
      <c r="D15535">
        <v>89301167</v>
      </c>
      <c r="E15535" t="str">
        <f t="shared" si="2765"/>
        <v>5709166199</v>
      </c>
      <c r="F15535" s="1">
        <v>45265</v>
      </c>
      <c r="G15535" t="str">
        <f>"81499"</f>
        <v>81499</v>
      </c>
      <c r="H15535">
        <v>1</v>
      </c>
      <c r="I15535">
        <v>18</v>
      </c>
      <c r="J15535">
        <v>0</v>
      </c>
      <c r="K15535" t="str">
        <f t="shared" si="2767"/>
        <v>801</v>
      </c>
      <c r="L15535">
        <v>15.12</v>
      </c>
    </row>
    <row r="15536" spans="1:12" x14ac:dyDescent="0.25">
      <c r="A15536" t="str">
        <f t="shared" si="2759"/>
        <v>89301000</v>
      </c>
      <c r="B15536" t="str">
        <f t="shared" si="2764"/>
        <v>95202000</v>
      </c>
      <c r="C15536" t="str">
        <f t="shared" si="2766"/>
        <v>95202096</v>
      </c>
      <c r="D15536">
        <v>89301167</v>
      </c>
      <c r="E15536" t="str">
        <f t="shared" si="2765"/>
        <v>5709166199</v>
      </c>
      <c r="F15536" s="1">
        <v>45265</v>
      </c>
      <c r="G15536" t="str">
        <f>"81523"</f>
        <v>81523</v>
      </c>
      <c r="H15536">
        <v>1</v>
      </c>
      <c r="I15536">
        <v>23</v>
      </c>
      <c r="J15536">
        <v>0</v>
      </c>
      <c r="K15536" t="str">
        <f t="shared" si="2767"/>
        <v>801</v>
      </c>
      <c r="L15536">
        <v>19.32</v>
      </c>
    </row>
    <row r="15537" spans="1:12" x14ac:dyDescent="0.25">
      <c r="A15537" t="str">
        <f t="shared" si="2759"/>
        <v>89301000</v>
      </c>
      <c r="B15537" t="str">
        <f t="shared" si="2764"/>
        <v>95202000</v>
      </c>
      <c r="C15537" t="str">
        <f t="shared" si="2766"/>
        <v>95202096</v>
      </c>
      <c r="D15537">
        <v>89301167</v>
      </c>
      <c r="E15537" t="str">
        <f t="shared" si="2765"/>
        <v>5709166199</v>
      </c>
      <c r="F15537" s="1">
        <v>45265</v>
      </c>
      <c r="G15537" t="str">
        <f>"81593"</f>
        <v>81593</v>
      </c>
      <c r="H15537">
        <v>1</v>
      </c>
      <c r="I15537">
        <v>22</v>
      </c>
      <c r="J15537">
        <v>0</v>
      </c>
      <c r="K15537" t="str">
        <f t="shared" si="2767"/>
        <v>801</v>
      </c>
      <c r="L15537">
        <v>18.48</v>
      </c>
    </row>
    <row r="15538" spans="1:12" x14ac:dyDescent="0.25">
      <c r="A15538" t="str">
        <f t="shared" si="2759"/>
        <v>89301000</v>
      </c>
      <c r="B15538" t="str">
        <f t="shared" si="2764"/>
        <v>95202000</v>
      </c>
      <c r="C15538" t="str">
        <f t="shared" si="2766"/>
        <v>95202096</v>
      </c>
      <c r="D15538">
        <v>89301167</v>
      </c>
      <c r="E15538" t="str">
        <f t="shared" si="2765"/>
        <v>5709166199</v>
      </c>
      <c r="F15538" s="1">
        <v>45265</v>
      </c>
      <c r="G15538" t="str">
        <f>"81621"</f>
        <v>81621</v>
      </c>
      <c r="H15538">
        <v>1</v>
      </c>
      <c r="I15538">
        <v>19</v>
      </c>
      <c r="J15538">
        <v>0</v>
      </c>
      <c r="K15538" t="str">
        <f t="shared" si="2767"/>
        <v>801</v>
      </c>
      <c r="L15538">
        <v>15.96</v>
      </c>
    </row>
    <row r="15539" spans="1:12" x14ac:dyDescent="0.25">
      <c r="A15539" t="str">
        <f t="shared" si="2759"/>
        <v>89301000</v>
      </c>
      <c r="B15539" t="str">
        <f t="shared" si="2764"/>
        <v>95202000</v>
      </c>
      <c r="C15539" t="str">
        <f t="shared" si="2766"/>
        <v>95202096</v>
      </c>
      <c r="D15539">
        <v>89301167</v>
      </c>
      <c r="E15539" t="str">
        <f t="shared" si="2765"/>
        <v>5709166199</v>
      </c>
      <c r="F15539" s="1">
        <v>45265</v>
      </c>
      <c r="G15539" t="str">
        <f>"81625"</f>
        <v>81625</v>
      </c>
      <c r="H15539">
        <v>1</v>
      </c>
      <c r="I15539">
        <v>21</v>
      </c>
      <c r="J15539">
        <v>0</v>
      </c>
      <c r="K15539" t="str">
        <f t="shared" si="2767"/>
        <v>801</v>
      </c>
      <c r="L15539">
        <v>17.64</v>
      </c>
    </row>
    <row r="15540" spans="1:12" x14ac:dyDescent="0.25">
      <c r="A15540" t="str">
        <f t="shared" si="2759"/>
        <v>89301000</v>
      </c>
      <c r="B15540" t="str">
        <f t="shared" si="2764"/>
        <v>95202000</v>
      </c>
      <c r="C15540" t="str">
        <f t="shared" si="2766"/>
        <v>95202096</v>
      </c>
      <c r="D15540">
        <v>89301167</v>
      </c>
      <c r="E15540" t="str">
        <f t="shared" si="2765"/>
        <v>5709166199</v>
      </c>
      <c r="F15540" s="1">
        <v>45265</v>
      </c>
      <c r="G15540" t="str">
        <f>"91153"</f>
        <v>91153</v>
      </c>
      <c r="H15540">
        <v>1</v>
      </c>
      <c r="I15540">
        <v>153</v>
      </c>
      <c r="J15540">
        <v>0</v>
      </c>
      <c r="K15540" t="str">
        <f t="shared" si="2767"/>
        <v>801</v>
      </c>
      <c r="L15540">
        <v>128.52000000000001</v>
      </c>
    </row>
    <row r="15541" spans="1:12" x14ac:dyDescent="0.25">
      <c r="A15541" t="str">
        <f t="shared" si="2759"/>
        <v>89301000</v>
      </c>
      <c r="B15541" t="str">
        <f t="shared" si="2764"/>
        <v>95202000</v>
      </c>
      <c r="C15541" t="str">
        <f t="shared" si="2766"/>
        <v>95202096</v>
      </c>
      <c r="D15541">
        <v>89301167</v>
      </c>
      <c r="E15541" t="str">
        <f t="shared" si="2765"/>
        <v>5709166199</v>
      </c>
      <c r="F15541" s="1">
        <v>45265</v>
      </c>
      <c r="G15541" t="str">
        <f>"93189"</f>
        <v>93189</v>
      </c>
      <c r="H15541">
        <v>1</v>
      </c>
      <c r="I15541">
        <v>191</v>
      </c>
      <c r="J15541">
        <v>0</v>
      </c>
      <c r="K15541" t="str">
        <f t="shared" si="2767"/>
        <v>801</v>
      </c>
      <c r="L15541">
        <v>160.44</v>
      </c>
    </row>
    <row r="15542" spans="1:12" x14ac:dyDescent="0.25">
      <c r="A15542" t="str">
        <f t="shared" si="2759"/>
        <v>89301000</v>
      </c>
      <c r="B15542" t="str">
        <f t="shared" si="2764"/>
        <v>95202000</v>
      </c>
      <c r="C15542" t="str">
        <f t="shared" si="2766"/>
        <v>95202096</v>
      </c>
      <c r="D15542">
        <v>89301167</v>
      </c>
      <c r="E15542" t="str">
        <f t="shared" si="2765"/>
        <v>5709166199</v>
      </c>
      <c r="F15542" s="1">
        <v>45265</v>
      </c>
      <c r="G15542" t="str">
        <f>"93195"</f>
        <v>93195</v>
      </c>
      <c r="H15542">
        <v>1</v>
      </c>
      <c r="I15542">
        <v>183</v>
      </c>
      <c r="J15542">
        <v>0</v>
      </c>
      <c r="K15542" t="str">
        <f t="shared" si="2767"/>
        <v>801</v>
      </c>
      <c r="L15542">
        <v>153.72</v>
      </c>
    </row>
    <row r="15543" spans="1:12" x14ac:dyDescent="0.25">
      <c r="A15543" t="str">
        <f t="shared" si="2759"/>
        <v>89301000</v>
      </c>
      <c r="B15543" t="str">
        <f t="shared" si="2764"/>
        <v>95202000</v>
      </c>
      <c r="C15543" t="str">
        <f t="shared" si="2766"/>
        <v>95202096</v>
      </c>
      <c r="D15543">
        <v>89301167</v>
      </c>
      <c r="E15543" t="str">
        <f t="shared" si="2765"/>
        <v>5709166199</v>
      </c>
      <c r="F15543" s="1">
        <v>45265</v>
      </c>
      <c r="G15543" t="str">
        <f>"97111"</f>
        <v>97111</v>
      </c>
      <c r="H15543">
        <v>1</v>
      </c>
      <c r="I15543">
        <v>19</v>
      </c>
      <c r="J15543">
        <v>0</v>
      </c>
      <c r="K15543" t="str">
        <f t="shared" si="2767"/>
        <v>801</v>
      </c>
      <c r="L15543">
        <v>23.94</v>
      </c>
    </row>
    <row r="15544" spans="1:12" x14ac:dyDescent="0.25">
      <c r="A15544" t="str">
        <f t="shared" si="2759"/>
        <v>89301000</v>
      </c>
      <c r="B15544" t="str">
        <f t="shared" si="2764"/>
        <v>95202000</v>
      </c>
      <c r="C15544" t="str">
        <f t="shared" si="2766"/>
        <v>95202096</v>
      </c>
      <c r="D15544">
        <v>89301167</v>
      </c>
      <c r="E15544" t="str">
        <f t="shared" ref="E15544:E15562" si="2768">"521204004"</f>
        <v>521204004</v>
      </c>
      <c r="F15544" s="1">
        <v>45265</v>
      </c>
      <c r="G15544" t="str">
        <f>"81329"</f>
        <v>81329</v>
      </c>
      <c r="H15544">
        <v>1</v>
      </c>
      <c r="I15544">
        <v>17</v>
      </c>
      <c r="J15544">
        <v>0</v>
      </c>
      <c r="K15544" t="str">
        <f t="shared" si="2767"/>
        <v>801</v>
      </c>
      <c r="L15544">
        <v>14.28</v>
      </c>
    </row>
    <row r="15545" spans="1:12" x14ac:dyDescent="0.25">
      <c r="A15545" t="str">
        <f t="shared" si="2759"/>
        <v>89301000</v>
      </c>
      <c r="B15545" t="str">
        <f t="shared" si="2764"/>
        <v>95202000</v>
      </c>
      <c r="C15545" t="str">
        <f t="shared" si="2766"/>
        <v>95202096</v>
      </c>
      <c r="D15545">
        <v>89301167</v>
      </c>
      <c r="E15545" t="str">
        <f t="shared" si="2768"/>
        <v>521204004</v>
      </c>
      <c r="F15545" s="1">
        <v>45265</v>
      </c>
      <c r="G15545" t="str">
        <f>"81337"</f>
        <v>81337</v>
      </c>
      <c r="H15545">
        <v>1</v>
      </c>
      <c r="I15545">
        <v>20</v>
      </c>
      <c r="J15545">
        <v>0</v>
      </c>
      <c r="K15545" t="str">
        <f t="shared" si="2767"/>
        <v>801</v>
      </c>
      <c r="L15545">
        <v>16.8</v>
      </c>
    </row>
    <row r="15546" spans="1:12" x14ac:dyDescent="0.25">
      <c r="A15546" t="str">
        <f t="shared" si="2759"/>
        <v>89301000</v>
      </c>
      <c r="B15546" t="str">
        <f t="shared" si="2764"/>
        <v>95202000</v>
      </c>
      <c r="C15546" t="str">
        <f t="shared" si="2766"/>
        <v>95202096</v>
      </c>
      <c r="D15546">
        <v>89301167</v>
      </c>
      <c r="E15546" t="str">
        <f t="shared" si="2768"/>
        <v>521204004</v>
      </c>
      <c r="F15546" s="1">
        <v>45265</v>
      </c>
      <c r="G15546" t="str">
        <f>"81357"</f>
        <v>81357</v>
      </c>
      <c r="H15546">
        <v>1</v>
      </c>
      <c r="I15546">
        <v>20</v>
      </c>
      <c r="J15546">
        <v>0</v>
      </c>
      <c r="K15546" t="str">
        <f t="shared" si="2767"/>
        <v>801</v>
      </c>
      <c r="L15546">
        <v>16.8</v>
      </c>
    </row>
    <row r="15547" spans="1:12" x14ac:dyDescent="0.25">
      <c r="A15547" t="str">
        <f t="shared" si="2759"/>
        <v>89301000</v>
      </c>
      <c r="B15547" t="str">
        <f t="shared" si="2764"/>
        <v>95202000</v>
      </c>
      <c r="C15547" t="str">
        <f t="shared" si="2766"/>
        <v>95202096</v>
      </c>
      <c r="D15547">
        <v>89301167</v>
      </c>
      <c r="E15547" t="str">
        <f t="shared" si="2768"/>
        <v>521204004</v>
      </c>
      <c r="F15547" s="1">
        <v>45265</v>
      </c>
      <c r="G15547" t="str">
        <f>"81361"</f>
        <v>81361</v>
      </c>
      <c r="H15547">
        <v>1</v>
      </c>
      <c r="I15547">
        <v>17</v>
      </c>
      <c r="J15547">
        <v>0</v>
      </c>
      <c r="K15547" t="str">
        <f t="shared" si="2767"/>
        <v>801</v>
      </c>
      <c r="L15547">
        <v>14.28</v>
      </c>
    </row>
    <row r="15548" spans="1:12" x14ac:dyDescent="0.25">
      <c r="A15548" t="str">
        <f t="shared" si="2759"/>
        <v>89301000</v>
      </c>
      <c r="B15548" t="str">
        <f t="shared" si="2764"/>
        <v>95202000</v>
      </c>
      <c r="C15548" t="str">
        <f t="shared" si="2766"/>
        <v>95202096</v>
      </c>
      <c r="D15548">
        <v>89301167</v>
      </c>
      <c r="E15548" t="str">
        <f t="shared" si="2768"/>
        <v>521204004</v>
      </c>
      <c r="F15548" s="1">
        <v>45265</v>
      </c>
      <c r="G15548" t="str">
        <f>"81383"</f>
        <v>81383</v>
      </c>
      <c r="H15548">
        <v>1</v>
      </c>
      <c r="I15548">
        <v>24</v>
      </c>
      <c r="J15548">
        <v>0</v>
      </c>
      <c r="K15548" t="str">
        <f t="shared" si="2767"/>
        <v>801</v>
      </c>
      <c r="L15548">
        <v>20.16</v>
      </c>
    </row>
    <row r="15549" spans="1:12" x14ac:dyDescent="0.25">
      <c r="A15549" t="str">
        <f t="shared" si="2759"/>
        <v>89301000</v>
      </c>
      <c r="B15549" t="str">
        <f t="shared" si="2764"/>
        <v>95202000</v>
      </c>
      <c r="C15549" t="str">
        <f t="shared" si="2766"/>
        <v>95202096</v>
      </c>
      <c r="D15549">
        <v>89301167</v>
      </c>
      <c r="E15549" t="str">
        <f t="shared" si="2768"/>
        <v>521204004</v>
      </c>
      <c r="F15549" s="1">
        <v>45265</v>
      </c>
      <c r="G15549" t="str">
        <f>"81393"</f>
        <v>81393</v>
      </c>
      <c r="H15549">
        <v>1</v>
      </c>
      <c r="I15549">
        <v>24</v>
      </c>
      <c r="J15549">
        <v>0</v>
      </c>
      <c r="K15549" t="str">
        <f t="shared" si="2767"/>
        <v>801</v>
      </c>
      <c r="L15549">
        <v>20.16</v>
      </c>
    </row>
    <row r="15550" spans="1:12" x14ac:dyDescent="0.25">
      <c r="A15550" t="str">
        <f t="shared" si="2759"/>
        <v>89301000</v>
      </c>
      <c r="B15550" t="str">
        <f t="shared" si="2764"/>
        <v>95202000</v>
      </c>
      <c r="C15550" t="str">
        <f t="shared" si="2766"/>
        <v>95202096</v>
      </c>
      <c r="D15550">
        <v>89301167</v>
      </c>
      <c r="E15550" t="str">
        <f t="shared" si="2768"/>
        <v>521204004</v>
      </c>
      <c r="F15550" s="1">
        <v>45265</v>
      </c>
      <c r="G15550" t="str">
        <f>"81421"</f>
        <v>81421</v>
      </c>
      <c r="H15550">
        <v>1</v>
      </c>
      <c r="I15550">
        <v>19</v>
      </c>
      <c r="J15550">
        <v>0</v>
      </c>
      <c r="K15550" t="str">
        <f t="shared" si="2767"/>
        <v>801</v>
      </c>
      <c r="L15550">
        <v>15.96</v>
      </c>
    </row>
    <row r="15551" spans="1:12" x14ac:dyDescent="0.25">
      <c r="A15551" t="str">
        <f t="shared" si="2759"/>
        <v>89301000</v>
      </c>
      <c r="B15551" t="str">
        <f t="shared" si="2764"/>
        <v>95202000</v>
      </c>
      <c r="C15551" t="str">
        <f t="shared" si="2766"/>
        <v>95202096</v>
      </c>
      <c r="D15551">
        <v>89301167</v>
      </c>
      <c r="E15551" t="str">
        <f t="shared" si="2768"/>
        <v>521204004</v>
      </c>
      <c r="F15551" s="1">
        <v>45265</v>
      </c>
      <c r="G15551" t="str">
        <f>"81435"</f>
        <v>81435</v>
      </c>
      <c r="H15551">
        <v>1</v>
      </c>
      <c r="I15551">
        <v>22</v>
      </c>
      <c r="J15551">
        <v>0</v>
      </c>
      <c r="K15551" t="str">
        <f t="shared" si="2767"/>
        <v>801</v>
      </c>
      <c r="L15551">
        <v>18.48</v>
      </c>
    </row>
    <row r="15552" spans="1:12" x14ac:dyDescent="0.25">
      <c r="A15552" t="str">
        <f t="shared" si="2759"/>
        <v>89301000</v>
      </c>
      <c r="B15552" t="str">
        <f t="shared" ref="B15552:B15580" si="2769">"95202000"</f>
        <v>95202000</v>
      </c>
      <c r="C15552" t="str">
        <f t="shared" si="2766"/>
        <v>95202096</v>
      </c>
      <c r="D15552">
        <v>89301167</v>
      </c>
      <c r="E15552" t="str">
        <f t="shared" si="2768"/>
        <v>521204004</v>
      </c>
      <c r="F15552" s="1">
        <v>45265</v>
      </c>
      <c r="G15552" t="str">
        <f>"81439"</f>
        <v>81439</v>
      </c>
      <c r="H15552">
        <v>1</v>
      </c>
      <c r="I15552">
        <v>16</v>
      </c>
      <c r="J15552">
        <v>0</v>
      </c>
      <c r="K15552" t="str">
        <f t="shared" si="2767"/>
        <v>801</v>
      </c>
      <c r="L15552">
        <v>13.44</v>
      </c>
    </row>
    <row r="15553" spans="1:12" x14ac:dyDescent="0.25">
      <c r="A15553" t="str">
        <f t="shared" si="2759"/>
        <v>89301000</v>
      </c>
      <c r="B15553" t="str">
        <f t="shared" si="2769"/>
        <v>95202000</v>
      </c>
      <c r="C15553" t="str">
        <f t="shared" si="2766"/>
        <v>95202096</v>
      </c>
      <c r="D15553">
        <v>89301167</v>
      </c>
      <c r="E15553" t="str">
        <f t="shared" si="2768"/>
        <v>521204004</v>
      </c>
      <c r="F15553" s="1">
        <v>45265</v>
      </c>
      <c r="G15553" t="str">
        <f>"81469"</f>
        <v>81469</v>
      </c>
      <c r="H15553">
        <v>1</v>
      </c>
      <c r="I15553">
        <v>16</v>
      </c>
      <c r="J15553">
        <v>0</v>
      </c>
      <c r="K15553" t="str">
        <f t="shared" si="2767"/>
        <v>801</v>
      </c>
      <c r="L15553">
        <v>13.44</v>
      </c>
    </row>
    <row r="15554" spans="1:12" x14ac:dyDescent="0.25">
      <c r="A15554" t="str">
        <f t="shared" ref="A15554:A15617" si="2770">"89301000"</f>
        <v>89301000</v>
      </c>
      <c r="B15554" t="str">
        <f t="shared" si="2769"/>
        <v>95202000</v>
      </c>
      <c r="C15554" t="str">
        <f t="shared" si="2766"/>
        <v>95202096</v>
      </c>
      <c r="D15554">
        <v>89301167</v>
      </c>
      <c r="E15554" t="str">
        <f t="shared" si="2768"/>
        <v>521204004</v>
      </c>
      <c r="F15554" s="1">
        <v>45265</v>
      </c>
      <c r="G15554" t="str">
        <f>"81499"</f>
        <v>81499</v>
      </c>
      <c r="H15554">
        <v>1</v>
      </c>
      <c r="I15554">
        <v>18</v>
      </c>
      <c r="J15554">
        <v>0</v>
      </c>
      <c r="K15554" t="str">
        <f t="shared" si="2767"/>
        <v>801</v>
      </c>
      <c r="L15554">
        <v>15.12</v>
      </c>
    </row>
    <row r="15555" spans="1:12" x14ac:dyDescent="0.25">
      <c r="A15555" t="str">
        <f t="shared" si="2770"/>
        <v>89301000</v>
      </c>
      <c r="B15555" t="str">
        <f t="shared" si="2769"/>
        <v>95202000</v>
      </c>
      <c r="C15555" t="str">
        <f t="shared" si="2766"/>
        <v>95202096</v>
      </c>
      <c r="D15555">
        <v>89301167</v>
      </c>
      <c r="E15555" t="str">
        <f t="shared" si="2768"/>
        <v>521204004</v>
      </c>
      <c r="F15555" s="1">
        <v>45265</v>
      </c>
      <c r="G15555" t="str">
        <f>"81523"</f>
        <v>81523</v>
      </c>
      <c r="H15555">
        <v>1</v>
      </c>
      <c r="I15555">
        <v>23</v>
      </c>
      <c r="J15555">
        <v>0</v>
      </c>
      <c r="K15555" t="str">
        <f t="shared" si="2767"/>
        <v>801</v>
      </c>
      <c r="L15555">
        <v>19.32</v>
      </c>
    </row>
    <row r="15556" spans="1:12" x14ac:dyDescent="0.25">
      <c r="A15556" t="str">
        <f t="shared" si="2770"/>
        <v>89301000</v>
      </c>
      <c r="B15556" t="str">
        <f t="shared" si="2769"/>
        <v>95202000</v>
      </c>
      <c r="C15556" t="str">
        <f t="shared" ref="C15556:C15580" si="2771">"95202096"</f>
        <v>95202096</v>
      </c>
      <c r="D15556">
        <v>89301167</v>
      </c>
      <c r="E15556" t="str">
        <f t="shared" si="2768"/>
        <v>521204004</v>
      </c>
      <c r="F15556" s="1">
        <v>45265</v>
      </c>
      <c r="G15556" t="str">
        <f>"81593"</f>
        <v>81593</v>
      </c>
      <c r="H15556">
        <v>1</v>
      </c>
      <c r="I15556">
        <v>22</v>
      </c>
      <c r="J15556">
        <v>0</v>
      </c>
      <c r="K15556" t="str">
        <f t="shared" ref="K15556:K15580" si="2772">"801"</f>
        <v>801</v>
      </c>
      <c r="L15556">
        <v>18.48</v>
      </c>
    </row>
    <row r="15557" spans="1:12" x14ac:dyDescent="0.25">
      <c r="A15557" t="str">
        <f t="shared" si="2770"/>
        <v>89301000</v>
      </c>
      <c r="B15557" t="str">
        <f t="shared" si="2769"/>
        <v>95202000</v>
      </c>
      <c r="C15557" t="str">
        <f t="shared" si="2771"/>
        <v>95202096</v>
      </c>
      <c r="D15557">
        <v>89301167</v>
      </c>
      <c r="E15557" t="str">
        <f t="shared" si="2768"/>
        <v>521204004</v>
      </c>
      <c r="F15557" s="1">
        <v>45265</v>
      </c>
      <c r="G15557" t="str">
        <f>"81621"</f>
        <v>81621</v>
      </c>
      <c r="H15557">
        <v>1</v>
      </c>
      <c r="I15557">
        <v>19</v>
      </c>
      <c r="J15557">
        <v>0</v>
      </c>
      <c r="K15557" t="str">
        <f t="shared" si="2772"/>
        <v>801</v>
      </c>
      <c r="L15557">
        <v>15.96</v>
      </c>
    </row>
    <row r="15558" spans="1:12" x14ac:dyDescent="0.25">
      <c r="A15558" t="str">
        <f t="shared" si="2770"/>
        <v>89301000</v>
      </c>
      <c r="B15558" t="str">
        <f t="shared" si="2769"/>
        <v>95202000</v>
      </c>
      <c r="C15558" t="str">
        <f t="shared" si="2771"/>
        <v>95202096</v>
      </c>
      <c r="D15558">
        <v>89301167</v>
      </c>
      <c r="E15558" t="str">
        <f t="shared" si="2768"/>
        <v>521204004</v>
      </c>
      <c r="F15558" s="1">
        <v>45265</v>
      </c>
      <c r="G15558" t="str">
        <f>"81625"</f>
        <v>81625</v>
      </c>
      <c r="H15558">
        <v>1</v>
      </c>
      <c r="I15558">
        <v>21</v>
      </c>
      <c r="J15558">
        <v>0</v>
      </c>
      <c r="K15558" t="str">
        <f t="shared" si="2772"/>
        <v>801</v>
      </c>
      <c r="L15558">
        <v>17.64</v>
      </c>
    </row>
    <row r="15559" spans="1:12" x14ac:dyDescent="0.25">
      <c r="A15559" t="str">
        <f t="shared" si="2770"/>
        <v>89301000</v>
      </c>
      <c r="B15559" t="str">
        <f t="shared" si="2769"/>
        <v>95202000</v>
      </c>
      <c r="C15559" t="str">
        <f t="shared" si="2771"/>
        <v>95202096</v>
      </c>
      <c r="D15559">
        <v>89301167</v>
      </c>
      <c r="E15559" t="str">
        <f t="shared" si="2768"/>
        <v>521204004</v>
      </c>
      <c r="F15559" s="1">
        <v>45265</v>
      </c>
      <c r="G15559" t="str">
        <f>"91153"</f>
        <v>91153</v>
      </c>
      <c r="H15559">
        <v>1</v>
      </c>
      <c r="I15559">
        <v>153</v>
      </c>
      <c r="J15559">
        <v>0</v>
      </c>
      <c r="K15559" t="str">
        <f t="shared" si="2772"/>
        <v>801</v>
      </c>
      <c r="L15559">
        <v>128.52000000000001</v>
      </c>
    </row>
    <row r="15560" spans="1:12" x14ac:dyDescent="0.25">
      <c r="A15560" t="str">
        <f t="shared" si="2770"/>
        <v>89301000</v>
      </c>
      <c r="B15560" t="str">
        <f t="shared" si="2769"/>
        <v>95202000</v>
      </c>
      <c r="C15560" t="str">
        <f t="shared" si="2771"/>
        <v>95202096</v>
      </c>
      <c r="D15560">
        <v>89301167</v>
      </c>
      <c r="E15560" t="str">
        <f t="shared" si="2768"/>
        <v>521204004</v>
      </c>
      <c r="F15560" s="1">
        <v>45265</v>
      </c>
      <c r="G15560" t="str">
        <f>"93189"</f>
        <v>93189</v>
      </c>
      <c r="H15560">
        <v>1</v>
      </c>
      <c r="I15560">
        <v>191</v>
      </c>
      <c r="J15560">
        <v>0</v>
      </c>
      <c r="K15560" t="str">
        <f t="shared" si="2772"/>
        <v>801</v>
      </c>
      <c r="L15560">
        <v>160.44</v>
      </c>
    </row>
    <row r="15561" spans="1:12" x14ac:dyDescent="0.25">
      <c r="A15561" t="str">
        <f t="shared" si="2770"/>
        <v>89301000</v>
      </c>
      <c r="B15561" t="str">
        <f t="shared" si="2769"/>
        <v>95202000</v>
      </c>
      <c r="C15561" t="str">
        <f t="shared" si="2771"/>
        <v>95202096</v>
      </c>
      <c r="D15561">
        <v>89301167</v>
      </c>
      <c r="E15561" t="str">
        <f t="shared" si="2768"/>
        <v>521204004</v>
      </c>
      <c r="F15561" s="1">
        <v>45265</v>
      </c>
      <c r="G15561" t="str">
        <f>"93195"</f>
        <v>93195</v>
      </c>
      <c r="H15561">
        <v>1</v>
      </c>
      <c r="I15561">
        <v>183</v>
      </c>
      <c r="J15561">
        <v>0</v>
      </c>
      <c r="K15561" t="str">
        <f t="shared" si="2772"/>
        <v>801</v>
      </c>
      <c r="L15561">
        <v>153.72</v>
      </c>
    </row>
    <row r="15562" spans="1:12" x14ac:dyDescent="0.25">
      <c r="A15562" t="str">
        <f t="shared" si="2770"/>
        <v>89301000</v>
      </c>
      <c r="B15562" t="str">
        <f t="shared" si="2769"/>
        <v>95202000</v>
      </c>
      <c r="C15562" t="str">
        <f t="shared" si="2771"/>
        <v>95202096</v>
      </c>
      <c r="D15562">
        <v>89301167</v>
      </c>
      <c r="E15562" t="str">
        <f t="shared" si="2768"/>
        <v>521204004</v>
      </c>
      <c r="F15562" s="1">
        <v>45265</v>
      </c>
      <c r="G15562" t="str">
        <f>"97111"</f>
        <v>97111</v>
      </c>
      <c r="H15562">
        <v>1</v>
      </c>
      <c r="I15562">
        <v>19</v>
      </c>
      <c r="J15562">
        <v>0</v>
      </c>
      <c r="K15562" t="str">
        <f t="shared" si="2772"/>
        <v>801</v>
      </c>
      <c r="L15562">
        <v>23.94</v>
      </c>
    </row>
    <row r="15563" spans="1:12" x14ac:dyDescent="0.25">
      <c r="A15563" t="str">
        <f t="shared" si="2770"/>
        <v>89301000</v>
      </c>
      <c r="B15563" t="str">
        <f t="shared" si="2769"/>
        <v>95202000</v>
      </c>
      <c r="C15563" t="str">
        <f t="shared" si="2771"/>
        <v>95202096</v>
      </c>
      <c r="D15563">
        <v>89301167</v>
      </c>
      <c r="E15563" t="str">
        <f t="shared" ref="E15563:E15580" si="2773">"6109280386"</f>
        <v>6109280386</v>
      </c>
      <c r="F15563" s="1">
        <v>45272</v>
      </c>
      <c r="G15563" t="str">
        <f>"81329"</f>
        <v>81329</v>
      </c>
      <c r="H15563">
        <v>1</v>
      </c>
      <c r="I15563">
        <v>17</v>
      </c>
      <c r="J15563">
        <v>0</v>
      </c>
      <c r="K15563" t="str">
        <f t="shared" si="2772"/>
        <v>801</v>
      </c>
      <c r="L15563">
        <v>14.28</v>
      </c>
    </row>
    <row r="15564" spans="1:12" x14ac:dyDescent="0.25">
      <c r="A15564" t="str">
        <f t="shared" si="2770"/>
        <v>89301000</v>
      </c>
      <c r="B15564" t="str">
        <f t="shared" si="2769"/>
        <v>95202000</v>
      </c>
      <c r="C15564" t="str">
        <f t="shared" si="2771"/>
        <v>95202096</v>
      </c>
      <c r="D15564">
        <v>89301167</v>
      </c>
      <c r="E15564" t="str">
        <f t="shared" si="2773"/>
        <v>6109280386</v>
      </c>
      <c r="F15564" s="1">
        <v>45272</v>
      </c>
      <c r="G15564" t="str">
        <f>"81337"</f>
        <v>81337</v>
      </c>
      <c r="H15564">
        <v>1</v>
      </c>
      <c r="I15564">
        <v>20</v>
      </c>
      <c r="J15564">
        <v>0</v>
      </c>
      <c r="K15564" t="str">
        <f t="shared" si="2772"/>
        <v>801</v>
      </c>
      <c r="L15564">
        <v>16.8</v>
      </c>
    </row>
    <row r="15565" spans="1:12" x14ac:dyDescent="0.25">
      <c r="A15565" t="str">
        <f t="shared" si="2770"/>
        <v>89301000</v>
      </c>
      <c r="B15565" t="str">
        <f t="shared" si="2769"/>
        <v>95202000</v>
      </c>
      <c r="C15565" t="str">
        <f t="shared" si="2771"/>
        <v>95202096</v>
      </c>
      <c r="D15565">
        <v>89301167</v>
      </c>
      <c r="E15565" t="str">
        <f t="shared" si="2773"/>
        <v>6109280386</v>
      </c>
      <c r="F15565" s="1">
        <v>45272</v>
      </c>
      <c r="G15565" t="str">
        <f>"81357"</f>
        <v>81357</v>
      </c>
      <c r="H15565">
        <v>1</v>
      </c>
      <c r="I15565">
        <v>20</v>
      </c>
      <c r="J15565">
        <v>0</v>
      </c>
      <c r="K15565" t="str">
        <f t="shared" si="2772"/>
        <v>801</v>
      </c>
      <c r="L15565">
        <v>16.8</v>
      </c>
    </row>
    <row r="15566" spans="1:12" x14ac:dyDescent="0.25">
      <c r="A15566" t="str">
        <f t="shared" si="2770"/>
        <v>89301000</v>
      </c>
      <c r="B15566" t="str">
        <f t="shared" si="2769"/>
        <v>95202000</v>
      </c>
      <c r="C15566" t="str">
        <f t="shared" si="2771"/>
        <v>95202096</v>
      </c>
      <c r="D15566">
        <v>89301167</v>
      </c>
      <c r="E15566" t="str">
        <f t="shared" si="2773"/>
        <v>6109280386</v>
      </c>
      <c r="F15566" s="1">
        <v>45272</v>
      </c>
      <c r="G15566" t="str">
        <f>"81361"</f>
        <v>81361</v>
      </c>
      <c r="H15566">
        <v>1</v>
      </c>
      <c r="I15566">
        <v>17</v>
      </c>
      <c r="J15566">
        <v>0</v>
      </c>
      <c r="K15566" t="str">
        <f t="shared" si="2772"/>
        <v>801</v>
      </c>
      <c r="L15566">
        <v>14.28</v>
      </c>
    </row>
    <row r="15567" spans="1:12" x14ac:dyDescent="0.25">
      <c r="A15567" t="str">
        <f t="shared" si="2770"/>
        <v>89301000</v>
      </c>
      <c r="B15567" t="str">
        <f t="shared" si="2769"/>
        <v>95202000</v>
      </c>
      <c r="C15567" t="str">
        <f t="shared" si="2771"/>
        <v>95202096</v>
      </c>
      <c r="D15567">
        <v>89301167</v>
      </c>
      <c r="E15567" t="str">
        <f t="shared" si="2773"/>
        <v>6109280386</v>
      </c>
      <c r="F15567" s="1">
        <v>45272</v>
      </c>
      <c r="G15567" t="str">
        <f>"81365"</f>
        <v>81365</v>
      </c>
      <c r="H15567">
        <v>1</v>
      </c>
      <c r="I15567">
        <v>16</v>
      </c>
      <c r="J15567">
        <v>0</v>
      </c>
      <c r="K15567" t="str">
        <f t="shared" si="2772"/>
        <v>801</v>
      </c>
      <c r="L15567">
        <v>13.44</v>
      </c>
    </row>
    <row r="15568" spans="1:12" x14ac:dyDescent="0.25">
      <c r="A15568" t="str">
        <f t="shared" si="2770"/>
        <v>89301000</v>
      </c>
      <c r="B15568" t="str">
        <f t="shared" si="2769"/>
        <v>95202000</v>
      </c>
      <c r="C15568" t="str">
        <f t="shared" si="2771"/>
        <v>95202096</v>
      </c>
      <c r="D15568">
        <v>89301167</v>
      </c>
      <c r="E15568" t="str">
        <f t="shared" si="2773"/>
        <v>6109280386</v>
      </c>
      <c r="F15568" s="1">
        <v>45272</v>
      </c>
      <c r="G15568" t="str">
        <f>"81383"</f>
        <v>81383</v>
      </c>
      <c r="H15568">
        <v>1</v>
      </c>
      <c r="I15568">
        <v>24</v>
      </c>
      <c r="J15568">
        <v>0</v>
      </c>
      <c r="K15568" t="str">
        <f t="shared" si="2772"/>
        <v>801</v>
      </c>
      <c r="L15568">
        <v>20.16</v>
      </c>
    </row>
    <row r="15569" spans="1:12" x14ac:dyDescent="0.25">
      <c r="A15569" t="str">
        <f t="shared" si="2770"/>
        <v>89301000</v>
      </c>
      <c r="B15569" t="str">
        <f t="shared" si="2769"/>
        <v>95202000</v>
      </c>
      <c r="C15569" t="str">
        <f t="shared" si="2771"/>
        <v>95202096</v>
      </c>
      <c r="D15569">
        <v>89301167</v>
      </c>
      <c r="E15569" t="str">
        <f t="shared" si="2773"/>
        <v>6109280386</v>
      </c>
      <c r="F15569" s="1">
        <v>45272</v>
      </c>
      <c r="G15569" t="str">
        <f>"81393"</f>
        <v>81393</v>
      </c>
      <c r="H15569">
        <v>1</v>
      </c>
      <c r="I15569">
        <v>24</v>
      </c>
      <c r="J15569">
        <v>0</v>
      </c>
      <c r="K15569" t="str">
        <f t="shared" si="2772"/>
        <v>801</v>
      </c>
      <c r="L15569">
        <v>20.16</v>
      </c>
    </row>
    <row r="15570" spans="1:12" x14ac:dyDescent="0.25">
      <c r="A15570" t="str">
        <f t="shared" si="2770"/>
        <v>89301000</v>
      </c>
      <c r="B15570" t="str">
        <f t="shared" si="2769"/>
        <v>95202000</v>
      </c>
      <c r="C15570" t="str">
        <f t="shared" si="2771"/>
        <v>95202096</v>
      </c>
      <c r="D15570">
        <v>89301167</v>
      </c>
      <c r="E15570" t="str">
        <f t="shared" si="2773"/>
        <v>6109280386</v>
      </c>
      <c r="F15570" s="1">
        <v>45272</v>
      </c>
      <c r="G15570" t="str">
        <f>"81421"</f>
        <v>81421</v>
      </c>
      <c r="H15570">
        <v>1</v>
      </c>
      <c r="I15570">
        <v>19</v>
      </c>
      <c r="J15570">
        <v>0</v>
      </c>
      <c r="K15570" t="str">
        <f t="shared" si="2772"/>
        <v>801</v>
      </c>
      <c r="L15570">
        <v>15.96</v>
      </c>
    </row>
    <row r="15571" spans="1:12" x14ac:dyDescent="0.25">
      <c r="A15571" t="str">
        <f t="shared" si="2770"/>
        <v>89301000</v>
      </c>
      <c r="B15571" t="str">
        <f t="shared" si="2769"/>
        <v>95202000</v>
      </c>
      <c r="C15571" t="str">
        <f t="shared" si="2771"/>
        <v>95202096</v>
      </c>
      <c r="D15571">
        <v>89301167</v>
      </c>
      <c r="E15571" t="str">
        <f t="shared" si="2773"/>
        <v>6109280386</v>
      </c>
      <c r="F15571" s="1">
        <v>45272</v>
      </c>
      <c r="G15571" t="str">
        <f>"81435"</f>
        <v>81435</v>
      </c>
      <c r="H15571">
        <v>1</v>
      </c>
      <c r="I15571">
        <v>22</v>
      </c>
      <c r="J15571">
        <v>0</v>
      </c>
      <c r="K15571" t="str">
        <f t="shared" si="2772"/>
        <v>801</v>
      </c>
      <c r="L15571">
        <v>18.48</v>
      </c>
    </row>
    <row r="15572" spans="1:12" x14ac:dyDescent="0.25">
      <c r="A15572" t="str">
        <f t="shared" si="2770"/>
        <v>89301000</v>
      </c>
      <c r="B15572" t="str">
        <f t="shared" si="2769"/>
        <v>95202000</v>
      </c>
      <c r="C15572" t="str">
        <f t="shared" si="2771"/>
        <v>95202096</v>
      </c>
      <c r="D15572">
        <v>89301167</v>
      </c>
      <c r="E15572" t="str">
        <f t="shared" si="2773"/>
        <v>6109280386</v>
      </c>
      <c r="F15572" s="1">
        <v>45272</v>
      </c>
      <c r="G15572" t="str">
        <f>"81439"</f>
        <v>81439</v>
      </c>
      <c r="H15572">
        <v>1</v>
      </c>
      <c r="I15572">
        <v>16</v>
      </c>
      <c r="J15572">
        <v>0</v>
      </c>
      <c r="K15572" t="str">
        <f t="shared" si="2772"/>
        <v>801</v>
      </c>
      <c r="L15572">
        <v>13.44</v>
      </c>
    </row>
    <row r="15573" spans="1:12" x14ac:dyDescent="0.25">
      <c r="A15573" t="str">
        <f t="shared" si="2770"/>
        <v>89301000</v>
      </c>
      <c r="B15573" t="str">
        <f t="shared" si="2769"/>
        <v>95202000</v>
      </c>
      <c r="C15573" t="str">
        <f t="shared" si="2771"/>
        <v>95202096</v>
      </c>
      <c r="D15573">
        <v>89301167</v>
      </c>
      <c r="E15573" t="str">
        <f t="shared" si="2773"/>
        <v>6109280386</v>
      </c>
      <c r="F15573" s="1">
        <v>45272</v>
      </c>
      <c r="G15573" t="str">
        <f>"81469"</f>
        <v>81469</v>
      </c>
      <c r="H15573">
        <v>1</v>
      </c>
      <c r="I15573">
        <v>16</v>
      </c>
      <c r="J15573">
        <v>0</v>
      </c>
      <c r="K15573" t="str">
        <f t="shared" si="2772"/>
        <v>801</v>
      </c>
      <c r="L15573">
        <v>13.44</v>
      </c>
    </row>
    <row r="15574" spans="1:12" x14ac:dyDescent="0.25">
      <c r="A15574" t="str">
        <f t="shared" si="2770"/>
        <v>89301000</v>
      </c>
      <c r="B15574" t="str">
        <f t="shared" si="2769"/>
        <v>95202000</v>
      </c>
      <c r="C15574" t="str">
        <f t="shared" si="2771"/>
        <v>95202096</v>
      </c>
      <c r="D15574">
        <v>89301167</v>
      </c>
      <c r="E15574" t="str">
        <f t="shared" si="2773"/>
        <v>6109280386</v>
      </c>
      <c r="F15574" s="1">
        <v>45272</v>
      </c>
      <c r="G15574" t="str">
        <f>"81499"</f>
        <v>81499</v>
      </c>
      <c r="H15574">
        <v>1</v>
      </c>
      <c r="I15574">
        <v>18</v>
      </c>
      <c r="J15574">
        <v>0</v>
      </c>
      <c r="K15574" t="str">
        <f t="shared" si="2772"/>
        <v>801</v>
      </c>
      <c r="L15574">
        <v>15.12</v>
      </c>
    </row>
    <row r="15575" spans="1:12" x14ac:dyDescent="0.25">
      <c r="A15575" t="str">
        <f t="shared" si="2770"/>
        <v>89301000</v>
      </c>
      <c r="B15575" t="str">
        <f t="shared" si="2769"/>
        <v>95202000</v>
      </c>
      <c r="C15575" t="str">
        <f t="shared" si="2771"/>
        <v>95202096</v>
      </c>
      <c r="D15575">
        <v>89301167</v>
      </c>
      <c r="E15575" t="str">
        <f t="shared" si="2773"/>
        <v>6109280386</v>
      </c>
      <c r="F15575" s="1">
        <v>45272</v>
      </c>
      <c r="G15575" t="str">
        <f>"81523"</f>
        <v>81523</v>
      </c>
      <c r="H15575">
        <v>1</v>
      </c>
      <c r="I15575">
        <v>23</v>
      </c>
      <c r="J15575">
        <v>0</v>
      </c>
      <c r="K15575" t="str">
        <f t="shared" si="2772"/>
        <v>801</v>
      </c>
      <c r="L15575">
        <v>19.32</v>
      </c>
    </row>
    <row r="15576" spans="1:12" x14ac:dyDescent="0.25">
      <c r="A15576" t="str">
        <f t="shared" si="2770"/>
        <v>89301000</v>
      </c>
      <c r="B15576" t="str">
        <f t="shared" si="2769"/>
        <v>95202000</v>
      </c>
      <c r="C15576" t="str">
        <f t="shared" si="2771"/>
        <v>95202096</v>
      </c>
      <c r="D15576">
        <v>89301167</v>
      </c>
      <c r="E15576" t="str">
        <f t="shared" si="2773"/>
        <v>6109280386</v>
      </c>
      <c r="F15576" s="1">
        <v>45272</v>
      </c>
      <c r="G15576" t="str">
        <f>"81593"</f>
        <v>81593</v>
      </c>
      <c r="H15576">
        <v>1</v>
      </c>
      <c r="I15576">
        <v>22</v>
      </c>
      <c r="J15576">
        <v>0</v>
      </c>
      <c r="K15576" t="str">
        <f t="shared" si="2772"/>
        <v>801</v>
      </c>
      <c r="L15576">
        <v>18.48</v>
      </c>
    </row>
    <row r="15577" spans="1:12" x14ac:dyDescent="0.25">
      <c r="A15577" t="str">
        <f t="shared" si="2770"/>
        <v>89301000</v>
      </c>
      <c r="B15577" t="str">
        <f t="shared" si="2769"/>
        <v>95202000</v>
      </c>
      <c r="C15577" t="str">
        <f t="shared" si="2771"/>
        <v>95202096</v>
      </c>
      <c r="D15577">
        <v>89301167</v>
      </c>
      <c r="E15577" t="str">
        <f t="shared" si="2773"/>
        <v>6109280386</v>
      </c>
      <c r="F15577" s="1">
        <v>45272</v>
      </c>
      <c r="G15577" t="str">
        <f>"81621"</f>
        <v>81621</v>
      </c>
      <c r="H15577">
        <v>1</v>
      </c>
      <c r="I15577">
        <v>19</v>
      </c>
      <c r="J15577">
        <v>0</v>
      </c>
      <c r="K15577" t="str">
        <f t="shared" si="2772"/>
        <v>801</v>
      </c>
      <c r="L15577">
        <v>15.96</v>
      </c>
    </row>
    <row r="15578" spans="1:12" x14ac:dyDescent="0.25">
      <c r="A15578" t="str">
        <f t="shared" si="2770"/>
        <v>89301000</v>
      </c>
      <c r="B15578" t="str">
        <f t="shared" si="2769"/>
        <v>95202000</v>
      </c>
      <c r="C15578" t="str">
        <f t="shared" si="2771"/>
        <v>95202096</v>
      </c>
      <c r="D15578">
        <v>89301167</v>
      </c>
      <c r="E15578" t="str">
        <f t="shared" si="2773"/>
        <v>6109280386</v>
      </c>
      <c r="F15578" s="1">
        <v>45272</v>
      </c>
      <c r="G15578" t="str">
        <f>"81625"</f>
        <v>81625</v>
      </c>
      <c r="H15578">
        <v>1</v>
      </c>
      <c r="I15578">
        <v>21</v>
      </c>
      <c r="J15578">
        <v>0</v>
      </c>
      <c r="K15578" t="str">
        <f t="shared" si="2772"/>
        <v>801</v>
      </c>
      <c r="L15578">
        <v>17.64</v>
      </c>
    </row>
    <row r="15579" spans="1:12" x14ac:dyDescent="0.25">
      <c r="A15579" t="str">
        <f t="shared" si="2770"/>
        <v>89301000</v>
      </c>
      <c r="B15579" t="str">
        <f t="shared" si="2769"/>
        <v>95202000</v>
      </c>
      <c r="C15579" t="str">
        <f t="shared" si="2771"/>
        <v>95202096</v>
      </c>
      <c r="D15579">
        <v>89301167</v>
      </c>
      <c r="E15579" t="str">
        <f t="shared" si="2773"/>
        <v>6109280386</v>
      </c>
      <c r="F15579" s="1">
        <v>45272</v>
      </c>
      <c r="G15579" t="str">
        <f>"91153"</f>
        <v>91153</v>
      </c>
      <c r="H15579">
        <v>1</v>
      </c>
      <c r="I15579">
        <v>153</v>
      </c>
      <c r="J15579">
        <v>0</v>
      </c>
      <c r="K15579" t="str">
        <f t="shared" si="2772"/>
        <v>801</v>
      </c>
      <c r="L15579">
        <v>128.52000000000001</v>
      </c>
    </row>
    <row r="15580" spans="1:12" x14ac:dyDescent="0.25">
      <c r="A15580" t="str">
        <f t="shared" si="2770"/>
        <v>89301000</v>
      </c>
      <c r="B15580" t="str">
        <f t="shared" si="2769"/>
        <v>95202000</v>
      </c>
      <c r="C15580" t="str">
        <f t="shared" si="2771"/>
        <v>95202096</v>
      </c>
      <c r="D15580">
        <v>89301167</v>
      </c>
      <c r="E15580" t="str">
        <f t="shared" si="2773"/>
        <v>6109280386</v>
      </c>
      <c r="F15580" s="1">
        <v>45272</v>
      </c>
      <c r="G15580" t="str">
        <f>"97111"</f>
        <v>97111</v>
      </c>
      <c r="H15580">
        <v>1</v>
      </c>
      <c r="I15580">
        <v>19</v>
      </c>
      <c r="J15580">
        <v>0</v>
      </c>
      <c r="K15580" t="str">
        <f t="shared" si="2772"/>
        <v>801</v>
      </c>
      <c r="L15580">
        <v>23.94</v>
      </c>
    </row>
    <row r="15581" spans="1:12" x14ac:dyDescent="0.25">
      <c r="A15581" t="str">
        <f t="shared" si="2770"/>
        <v>89301000</v>
      </c>
      <c r="B15581" t="str">
        <f t="shared" ref="B15581:B15591" si="2774">"93201000"</f>
        <v>93201000</v>
      </c>
      <c r="C15581" t="str">
        <f t="shared" ref="C15581:C15588" si="2775">"93201350"</f>
        <v>93201350</v>
      </c>
      <c r="D15581">
        <v>89301062</v>
      </c>
      <c r="E15581" t="str">
        <f>"7304014696"</f>
        <v>7304014696</v>
      </c>
      <c r="F15581" s="1">
        <v>45239</v>
      </c>
      <c r="G15581" t="str">
        <f>"89615"</f>
        <v>89615</v>
      </c>
      <c r="H15581">
        <v>1</v>
      </c>
      <c r="I15581">
        <v>2199</v>
      </c>
      <c r="J15581">
        <v>0</v>
      </c>
      <c r="K15581" t="str">
        <f t="shared" ref="K15581:K15588" si="2776">"809"</f>
        <v>809</v>
      </c>
      <c r="L15581">
        <v>1429.35</v>
      </c>
    </row>
    <row r="15582" spans="1:12" x14ac:dyDescent="0.25">
      <c r="A15582" t="str">
        <f t="shared" si="2770"/>
        <v>89301000</v>
      </c>
      <c r="B15582" t="str">
        <f t="shared" si="2774"/>
        <v>93201000</v>
      </c>
      <c r="C15582" t="str">
        <f t="shared" si="2775"/>
        <v>93201350</v>
      </c>
      <c r="D15582">
        <v>89301212</v>
      </c>
      <c r="E15582" t="str">
        <f>"5751280348"</f>
        <v>5751280348</v>
      </c>
      <c r="F15582" s="1">
        <v>45274</v>
      </c>
      <c r="G15582" t="str">
        <f>"89131"</f>
        <v>89131</v>
      </c>
      <c r="H15582">
        <v>1</v>
      </c>
      <c r="I15582">
        <v>190</v>
      </c>
      <c r="J15582">
        <v>0</v>
      </c>
      <c r="K15582" t="str">
        <f t="shared" si="2776"/>
        <v>809</v>
      </c>
      <c r="L15582">
        <v>279.3</v>
      </c>
    </row>
    <row r="15583" spans="1:12" x14ac:dyDescent="0.25">
      <c r="A15583" t="str">
        <f t="shared" si="2770"/>
        <v>89301000</v>
      </c>
      <c r="B15583" t="str">
        <f t="shared" si="2774"/>
        <v>93201000</v>
      </c>
      <c r="C15583" t="str">
        <f t="shared" si="2775"/>
        <v>93201350</v>
      </c>
      <c r="D15583">
        <v>89301212</v>
      </c>
      <c r="E15583" t="str">
        <f>"6406231249"</f>
        <v>6406231249</v>
      </c>
      <c r="F15583" s="1">
        <v>45279</v>
      </c>
      <c r="G15583" t="str">
        <f>"09135"</f>
        <v>09135</v>
      </c>
      <c r="H15583">
        <v>1</v>
      </c>
      <c r="I15583">
        <v>179</v>
      </c>
      <c r="J15583">
        <v>0</v>
      </c>
      <c r="K15583" t="str">
        <f t="shared" si="2776"/>
        <v>809</v>
      </c>
      <c r="L15583">
        <v>263.13</v>
      </c>
    </row>
    <row r="15584" spans="1:12" x14ac:dyDescent="0.25">
      <c r="A15584" t="str">
        <f t="shared" si="2770"/>
        <v>89301000</v>
      </c>
      <c r="B15584" t="str">
        <f t="shared" si="2774"/>
        <v>93201000</v>
      </c>
      <c r="C15584" t="str">
        <f t="shared" si="2775"/>
        <v>93201350</v>
      </c>
      <c r="D15584">
        <v>89301212</v>
      </c>
      <c r="E15584" t="str">
        <f>"5751280348"</f>
        <v>5751280348</v>
      </c>
      <c r="F15584" s="1">
        <v>45274</v>
      </c>
      <c r="G15584" t="str">
        <f>"89619"</f>
        <v>89619</v>
      </c>
      <c r="H15584">
        <v>1</v>
      </c>
      <c r="I15584">
        <v>1218</v>
      </c>
      <c r="J15584">
        <v>0</v>
      </c>
      <c r="K15584" t="str">
        <f t="shared" si="2776"/>
        <v>809</v>
      </c>
      <c r="L15584">
        <v>791.7</v>
      </c>
    </row>
    <row r="15585" spans="1:12" x14ac:dyDescent="0.25">
      <c r="A15585" t="str">
        <f t="shared" si="2770"/>
        <v>89301000</v>
      </c>
      <c r="B15585" t="str">
        <f t="shared" si="2774"/>
        <v>93201000</v>
      </c>
      <c r="C15585" t="str">
        <f t="shared" si="2775"/>
        <v>93201350</v>
      </c>
      <c r="D15585">
        <v>89301212</v>
      </c>
      <c r="E15585" t="str">
        <f>"5751280348"</f>
        <v>5751280348</v>
      </c>
      <c r="F15585" s="1">
        <v>45274</v>
      </c>
      <c r="G15585" t="str">
        <f>"89617"</f>
        <v>89617</v>
      </c>
      <c r="H15585">
        <v>1</v>
      </c>
      <c r="I15585">
        <v>1342</v>
      </c>
      <c r="J15585">
        <v>0</v>
      </c>
      <c r="K15585" t="str">
        <f t="shared" si="2776"/>
        <v>809</v>
      </c>
      <c r="L15585">
        <v>872.3</v>
      </c>
    </row>
    <row r="15586" spans="1:12" x14ac:dyDescent="0.25">
      <c r="A15586" t="str">
        <f t="shared" si="2770"/>
        <v>89301000</v>
      </c>
      <c r="B15586" t="str">
        <f t="shared" si="2774"/>
        <v>93201000</v>
      </c>
      <c r="C15586" t="str">
        <f t="shared" si="2775"/>
        <v>93201350</v>
      </c>
      <c r="D15586">
        <v>89301212</v>
      </c>
      <c r="E15586" t="str">
        <f>"5751280348"</f>
        <v>5751280348</v>
      </c>
      <c r="F15586" s="1">
        <v>45274</v>
      </c>
      <c r="G15586" t="str">
        <f>"0137480"</f>
        <v>0137480</v>
      </c>
      <c r="H15586">
        <v>0.16</v>
      </c>
      <c r="J15586">
        <v>803.86</v>
      </c>
      <c r="K15586" t="str">
        <f t="shared" si="2776"/>
        <v>809</v>
      </c>
      <c r="L15586">
        <v>803.86</v>
      </c>
    </row>
    <row r="15587" spans="1:12" x14ac:dyDescent="0.25">
      <c r="A15587" t="str">
        <f t="shared" si="2770"/>
        <v>89301000</v>
      </c>
      <c r="B15587" t="str">
        <f t="shared" si="2774"/>
        <v>93201000</v>
      </c>
      <c r="C15587" t="str">
        <f t="shared" si="2775"/>
        <v>93201350</v>
      </c>
      <c r="D15587">
        <v>89301212</v>
      </c>
      <c r="E15587" t="str">
        <f>"5751280348"</f>
        <v>5751280348</v>
      </c>
      <c r="F15587" s="1">
        <v>45274</v>
      </c>
      <c r="G15587" t="str">
        <f>"0137481"</f>
        <v>0137481</v>
      </c>
      <c r="H15587">
        <v>0.03</v>
      </c>
      <c r="J15587">
        <v>133.12</v>
      </c>
      <c r="K15587" t="str">
        <f t="shared" si="2776"/>
        <v>809</v>
      </c>
      <c r="L15587">
        <v>133.12</v>
      </c>
    </row>
    <row r="15588" spans="1:12" x14ac:dyDescent="0.25">
      <c r="A15588" t="str">
        <f t="shared" si="2770"/>
        <v>89301000</v>
      </c>
      <c r="B15588" t="str">
        <f t="shared" si="2774"/>
        <v>93201000</v>
      </c>
      <c r="C15588" t="str">
        <f t="shared" si="2775"/>
        <v>93201350</v>
      </c>
      <c r="D15588">
        <v>89301212</v>
      </c>
      <c r="E15588" t="str">
        <f>"6853290510"</f>
        <v>6853290510</v>
      </c>
      <c r="F15588" s="1">
        <v>45267</v>
      </c>
      <c r="G15588" t="str">
        <f>"89512"</f>
        <v>89512</v>
      </c>
      <c r="H15588">
        <v>1</v>
      </c>
      <c r="I15588">
        <v>283</v>
      </c>
      <c r="J15588">
        <v>0</v>
      </c>
      <c r="K15588" t="str">
        <f t="shared" si="2776"/>
        <v>809</v>
      </c>
      <c r="L15588">
        <v>416.01</v>
      </c>
    </row>
    <row r="15589" spans="1:12" x14ac:dyDescent="0.25">
      <c r="A15589" t="str">
        <f t="shared" si="2770"/>
        <v>89301000</v>
      </c>
      <c r="B15589" t="str">
        <f t="shared" si="2774"/>
        <v>93201000</v>
      </c>
      <c r="C15589" t="str">
        <f>"93201355"</f>
        <v>93201355</v>
      </c>
      <c r="D15589">
        <v>89301062</v>
      </c>
      <c r="E15589" t="str">
        <f>"7758175766"</f>
        <v>7758175766</v>
      </c>
      <c r="F15589" s="1">
        <v>45271</v>
      </c>
      <c r="G15589" t="str">
        <f>"89713"</f>
        <v>89713</v>
      </c>
      <c r="H15589">
        <v>1</v>
      </c>
      <c r="I15589">
        <v>5411</v>
      </c>
      <c r="J15589">
        <v>0</v>
      </c>
      <c r="K15589" t="str">
        <f>"810"</f>
        <v>810</v>
      </c>
      <c r="L15589">
        <v>3517.15</v>
      </c>
    </row>
    <row r="15590" spans="1:12" x14ac:dyDescent="0.25">
      <c r="A15590" t="str">
        <f t="shared" si="2770"/>
        <v>89301000</v>
      </c>
      <c r="B15590" t="str">
        <f t="shared" si="2774"/>
        <v>93201000</v>
      </c>
      <c r="C15590" t="str">
        <f>"93201355"</f>
        <v>93201355</v>
      </c>
      <c r="D15590">
        <v>89301062</v>
      </c>
      <c r="E15590" t="str">
        <f>"5651301007"</f>
        <v>5651301007</v>
      </c>
      <c r="F15590" s="1">
        <v>45267</v>
      </c>
      <c r="G15590" t="str">
        <f>"89713"</f>
        <v>89713</v>
      </c>
      <c r="H15590">
        <v>1</v>
      </c>
      <c r="I15590">
        <v>5411</v>
      </c>
      <c r="J15590">
        <v>0</v>
      </c>
      <c r="K15590" t="str">
        <f>"810"</f>
        <v>810</v>
      </c>
      <c r="L15590">
        <v>3517.15</v>
      </c>
    </row>
    <row r="15591" spans="1:12" x14ac:dyDescent="0.25">
      <c r="A15591" t="str">
        <f t="shared" si="2770"/>
        <v>89301000</v>
      </c>
      <c r="B15591" t="str">
        <f t="shared" si="2774"/>
        <v>93201000</v>
      </c>
      <c r="C15591" t="str">
        <f>"93201355"</f>
        <v>93201355</v>
      </c>
      <c r="D15591">
        <v>89301062</v>
      </c>
      <c r="E15591" t="str">
        <f>"9305126149"</f>
        <v>9305126149</v>
      </c>
      <c r="F15591" s="1">
        <v>45278</v>
      </c>
      <c r="G15591" t="str">
        <f>"89713"</f>
        <v>89713</v>
      </c>
      <c r="H15591">
        <v>1</v>
      </c>
      <c r="I15591">
        <v>5411</v>
      </c>
      <c r="J15591">
        <v>0</v>
      </c>
      <c r="K15591" t="str">
        <f>"810"</f>
        <v>810</v>
      </c>
      <c r="L15591">
        <v>3517.15</v>
      </c>
    </row>
    <row r="15592" spans="1:12" x14ac:dyDescent="0.25">
      <c r="A15592" t="str">
        <f t="shared" si="2770"/>
        <v>89301000</v>
      </c>
      <c r="B15592" t="str">
        <f t="shared" ref="B15592:B15612" si="2777">"72100000"</f>
        <v>72100000</v>
      </c>
      <c r="C15592" t="str">
        <f t="shared" ref="C15592:C15612" si="2778">"72100632"</f>
        <v>72100632</v>
      </c>
      <c r="D15592">
        <v>89301091</v>
      </c>
      <c r="E15592" t="str">
        <f>"9952175706"</f>
        <v>9952175706</v>
      </c>
      <c r="F15592" s="1">
        <v>45217</v>
      </c>
      <c r="G15592" t="str">
        <f t="shared" ref="G15592:G15612" si="2779">"94297"</f>
        <v>94297</v>
      </c>
      <c r="H15592">
        <v>1</v>
      </c>
      <c r="I15592">
        <v>304</v>
      </c>
      <c r="J15592">
        <v>0</v>
      </c>
      <c r="K15592" t="str">
        <f t="shared" ref="K15592:K15612" si="2780">"816"</f>
        <v>816</v>
      </c>
      <c r="L15592">
        <v>304</v>
      </c>
    </row>
    <row r="15593" spans="1:12" x14ac:dyDescent="0.25">
      <c r="A15593" t="str">
        <f t="shared" si="2770"/>
        <v>89301000</v>
      </c>
      <c r="B15593" t="str">
        <f t="shared" si="2777"/>
        <v>72100000</v>
      </c>
      <c r="C15593" t="str">
        <f t="shared" si="2778"/>
        <v>72100632</v>
      </c>
      <c r="D15593">
        <v>89301091</v>
      </c>
      <c r="E15593" t="str">
        <f>"0056204841"</f>
        <v>0056204841</v>
      </c>
      <c r="F15593" s="1">
        <v>45217</v>
      </c>
      <c r="G15593" t="str">
        <f t="shared" si="2779"/>
        <v>94297</v>
      </c>
      <c r="H15593">
        <v>1</v>
      </c>
      <c r="I15593">
        <v>304</v>
      </c>
      <c r="J15593">
        <v>0</v>
      </c>
      <c r="K15593" t="str">
        <f t="shared" si="2780"/>
        <v>816</v>
      </c>
      <c r="L15593">
        <v>304</v>
      </c>
    </row>
    <row r="15594" spans="1:12" x14ac:dyDescent="0.25">
      <c r="A15594" t="str">
        <f t="shared" si="2770"/>
        <v>89301000</v>
      </c>
      <c r="B15594" t="str">
        <f t="shared" si="2777"/>
        <v>72100000</v>
      </c>
      <c r="C15594" t="str">
        <f t="shared" si="2778"/>
        <v>72100632</v>
      </c>
      <c r="D15594">
        <v>89301091</v>
      </c>
      <c r="E15594" t="str">
        <f>"8860024932"</f>
        <v>8860024932</v>
      </c>
      <c r="F15594" s="1">
        <v>45217</v>
      </c>
      <c r="G15594" t="str">
        <f t="shared" si="2779"/>
        <v>94297</v>
      </c>
      <c r="H15594">
        <v>1</v>
      </c>
      <c r="I15594">
        <v>304</v>
      </c>
      <c r="J15594">
        <v>0</v>
      </c>
      <c r="K15594" t="str">
        <f t="shared" si="2780"/>
        <v>816</v>
      </c>
      <c r="L15594">
        <v>304</v>
      </c>
    </row>
    <row r="15595" spans="1:12" x14ac:dyDescent="0.25">
      <c r="A15595" t="str">
        <f t="shared" si="2770"/>
        <v>89301000</v>
      </c>
      <c r="B15595" t="str">
        <f t="shared" si="2777"/>
        <v>72100000</v>
      </c>
      <c r="C15595" t="str">
        <f t="shared" si="2778"/>
        <v>72100632</v>
      </c>
      <c r="D15595">
        <v>89301091</v>
      </c>
      <c r="E15595" t="str">
        <f>"9258096144"</f>
        <v>9258096144</v>
      </c>
      <c r="F15595" s="1">
        <v>45217</v>
      </c>
      <c r="G15595" t="str">
        <f t="shared" si="2779"/>
        <v>94297</v>
      </c>
      <c r="H15595">
        <v>1</v>
      </c>
      <c r="I15595">
        <v>304</v>
      </c>
      <c r="J15595">
        <v>0</v>
      </c>
      <c r="K15595" t="str">
        <f t="shared" si="2780"/>
        <v>816</v>
      </c>
      <c r="L15595">
        <v>304</v>
      </c>
    </row>
    <row r="15596" spans="1:12" x14ac:dyDescent="0.25">
      <c r="A15596" t="str">
        <f t="shared" si="2770"/>
        <v>89301000</v>
      </c>
      <c r="B15596" t="str">
        <f t="shared" si="2777"/>
        <v>72100000</v>
      </c>
      <c r="C15596" t="str">
        <f t="shared" si="2778"/>
        <v>72100632</v>
      </c>
      <c r="D15596">
        <v>89301091</v>
      </c>
      <c r="E15596" t="str">
        <f>"8352284479"</f>
        <v>8352284479</v>
      </c>
      <c r="F15596" s="1">
        <v>45217</v>
      </c>
      <c r="G15596" t="str">
        <f t="shared" si="2779"/>
        <v>94297</v>
      </c>
      <c r="H15596">
        <v>1</v>
      </c>
      <c r="I15596">
        <v>304</v>
      </c>
      <c r="J15596">
        <v>0</v>
      </c>
      <c r="K15596" t="str">
        <f t="shared" si="2780"/>
        <v>816</v>
      </c>
      <c r="L15596">
        <v>304</v>
      </c>
    </row>
    <row r="15597" spans="1:12" x14ac:dyDescent="0.25">
      <c r="A15597" t="str">
        <f t="shared" si="2770"/>
        <v>89301000</v>
      </c>
      <c r="B15597" t="str">
        <f t="shared" si="2777"/>
        <v>72100000</v>
      </c>
      <c r="C15597" t="str">
        <f t="shared" si="2778"/>
        <v>72100632</v>
      </c>
      <c r="D15597">
        <v>89301091</v>
      </c>
      <c r="E15597" t="str">
        <f>"2310130636"</f>
        <v>2310130636</v>
      </c>
      <c r="F15597" s="1">
        <v>45217</v>
      </c>
      <c r="G15597" t="str">
        <f t="shared" si="2779"/>
        <v>94297</v>
      </c>
      <c r="H15597">
        <v>1</v>
      </c>
      <c r="I15597">
        <v>304</v>
      </c>
      <c r="J15597">
        <v>0</v>
      </c>
      <c r="K15597" t="str">
        <f t="shared" si="2780"/>
        <v>816</v>
      </c>
      <c r="L15597">
        <v>304</v>
      </c>
    </row>
    <row r="15598" spans="1:12" x14ac:dyDescent="0.25">
      <c r="A15598" t="str">
        <f t="shared" si="2770"/>
        <v>89301000</v>
      </c>
      <c r="B15598" t="str">
        <f t="shared" si="2777"/>
        <v>72100000</v>
      </c>
      <c r="C15598" t="str">
        <f t="shared" si="2778"/>
        <v>72100632</v>
      </c>
      <c r="D15598">
        <v>89301091</v>
      </c>
      <c r="E15598" t="str">
        <f>"9059195750"</f>
        <v>9059195750</v>
      </c>
      <c r="F15598" s="1">
        <v>45217</v>
      </c>
      <c r="G15598" t="str">
        <f t="shared" si="2779"/>
        <v>94297</v>
      </c>
      <c r="H15598">
        <v>1</v>
      </c>
      <c r="I15598">
        <v>304</v>
      </c>
      <c r="J15598">
        <v>0</v>
      </c>
      <c r="K15598" t="str">
        <f t="shared" si="2780"/>
        <v>816</v>
      </c>
      <c r="L15598">
        <v>304</v>
      </c>
    </row>
    <row r="15599" spans="1:12" x14ac:dyDescent="0.25">
      <c r="A15599" t="str">
        <f t="shared" si="2770"/>
        <v>89301000</v>
      </c>
      <c r="B15599" t="str">
        <f t="shared" si="2777"/>
        <v>72100000</v>
      </c>
      <c r="C15599" t="str">
        <f t="shared" si="2778"/>
        <v>72100632</v>
      </c>
      <c r="D15599">
        <v>89301091</v>
      </c>
      <c r="E15599" t="str">
        <f>"9762114868"</f>
        <v>9762114868</v>
      </c>
      <c r="F15599" s="1">
        <v>45218</v>
      </c>
      <c r="G15599" t="str">
        <f t="shared" si="2779"/>
        <v>94297</v>
      </c>
      <c r="H15599">
        <v>1</v>
      </c>
      <c r="I15599">
        <v>304</v>
      </c>
      <c r="J15599">
        <v>0</v>
      </c>
      <c r="K15599" t="str">
        <f t="shared" si="2780"/>
        <v>816</v>
      </c>
      <c r="L15599">
        <v>304</v>
      </c>
    </row>
    <row r="15600" spans="1:12" x14ac:dyDescent="0.25">
      <c r="A15600" t="str">
        <f t="shared" si="2770"/>
        <v>89301000</v>
      </c>
      <c r="B15600" t="str">
        <f t="shared" si="2777"/>
        <v>72100000</v>
      </c>
      <c r="C15600" t="str">
        <f t="shared" si="2778"/>
        <v>72100632</v>
      </c>
      <c r="D15600">
        <v>89301091</v>
      </c>
      <c r="E15600" t="str">
        <f>"9460045309"</f>
        <v>9460045309</v>
      </c>
      <c r="F15600" s="1">
        <v>45219</v>
      </c>
      <c r="G15600" t="str">
        <f t="shared" si="2779"/>
        <v>94297</v>
      </c>
      <c r="H15600">
        <v>1</v>
      </c>
      <c r="I15600">
        <v>304</v>
      </c>
      <c r="J15600">
        <v>0</v>
      </c>
      <c r="K15600" t="str">
        <f t="shared" si="2780"/>
        <v>816</v>
      </c>
      <c r="L15600">
        <v>304</v>
      </c>
    </row>
    <row r="15601" spans="1:12" x14ac:dyDescent="0.25">
      <c r="A15601" t="str">
        <f t="shared" si="2770"/>
        <v>89301000</v>
      </c>
      <c r="B15601" t="str">
        <f t="shared" si="2777"/>
        <v>72100000</v>
      </c>
      <c r="C15601" t="str">
        <f t="shared" si="2778"/>
        <v>72100632</v>
      </c>
      <c r="D15601">
        <v>89301091</v>
      </c>
      <c r="E15601" t="str">
        <f>"9451154867"</f>
        <v>9451154867</v>
      </c>
      <c r="F15601" s="1">
        <v>45222</v>
      </c>
      <c r="G15601" t="str">
        <f t="shared" si="2779"/>
        <v>94297</v>
      </c>
      <c r="H15601">
        <v>1</v>
      </c>
      <c r="I15601">
        <v>304</v>
      </c>
      <c r="J15601">
        <v>0</v>
      </c>
      <c r="K15601" t="str">
        <f t="shared" si="2780"/>
        <v>816</v>
      </c>
      <c r="L15601">
        <v>304</v>
      </c>
    </row>
    <row r="15602" spans="1:12" x14ac:dyDescent="0.25">
      <c r="A15602" t="str">
        <f t="shared" si="2770"/>
        <v>89301000</v>
      </c>
      <c r="B15602" t="str">
        <f t="shared" si="2777"/>
        <v>72100000</v>
      </c>
      <c r="C15602" t="str">
        <f t="shared" si="2778"/>
        <v>72100632</v>
      </c>
      <c r="D15602">
        <v>89301091</v>
      </c>
      <c r="E15602" t="str">
        <f>"9352014848"</f>
        <v>9352014848</v>
      </c>
      <c r="F15602" s="1">
        <v>45222</v>
      </c>
      <c r="G15602" t="str">
        <f t="shared" si="2779"/>
        <v>94297</v>
      </c>
      <c r="H15602">
        <v>1</v>
      </c>
      <c r="I15602">
        <v>304</v>
      </c>
      <c r="J15602">
        <v>0</v>
      </c>
      <c r="K15602" t="str">
        <f t="shared" si="2780"/>
        <v>816</v>
      </c>
      <c r="L15602">
        <v>304</v>
      </c>
    </row>
    <row r="15603" spans="1:12" x14ac:dyDescent="0.25">
      <c r="A15603" t="str">
        <f t="shared" si="2770"/>
        <v>89301000</v>
      </c>
      <c r="B15603" t="str">
        <f t="shared" si="2777"/>
        <v>72100000</v>
      </c>
      <c r="C15603" t="str">
        <f t="shared" si="2778"/>
        <v>72100632</v>
      </c>
      <c r="D15603">
        <v>89301091</v>
      </c>
      <c r="E15603" t="str">
        <f>"9052176155"</f>
        <v>9052176155</v>
      </c>
      <c r="F15603" s="1">
        <v>45222</v>
      </c>
      <c r="G15603" t="str">
        <f t="shared" si="2779"/>
        <v>94297</v>
      </c>
      <c r="H15603">
        <v>1</v>
      </c>
      <c r="I15603">
        <v>304</v>
      </c>
      <c r="J15603">
        <v>0</v>
      </c>
      <c r="K15603" t="str">
        <f t="shared" si="2780"/>
        <v>816</v>
      </c>
      <c r="L15603">
        <v>304</v>
      </c>
    </row>
    <row r="15604" spans="1:12" x14ac:dyDescent="0.25">
      <c r="A15604" t="str">
        <f t="shared" si="2770"/>
        <v>89301000</v>
      </c>
      <c r="B15604" t="str">
        <f t="shared" si="2777"/>
        <v>72100000</v>
      </c>
      <c r="C15604" t="str">
        <f t="shared" si="2778"/>
        <v>72100632</v>
      </c>
      <c r="D15604">
        <v>89301091</v>
      </c>
      <c r="E15604" t="str">
        <f>"8354095310"</f>
        <v>8354095310</v>
      </c>
      <c r="F15604" s="1">
        <v>45223</v>
      </c>
      <c r="G15604" t="str">
        <f t="shared" si="2779"/>
        <v>94297</v>
      </c>
      <c r="H15604">
        <v>1</v>
      </c>
      <c r="I15604">
        <v>304</v>
      </c>
      <c r="J15604">
        <v>0</v>
      </c>
      <c r="K15604" t="str">
        <f t="shared" si="2780"/>
        <v>816</v>
      </c>
      <c r="L15604">
        <v>304</v>
      </c>
    </row>
    <row r="15605" spans="1:12" x14ac:dyDescent="0.25">
      <c r="A15605" t="str">
        <f t="shared" si="2770"/>
        <v>89301000</v>
      </c>
      <c r="B15605" t="str">
        <f t="shared" si="2777"/>
        <v>72100000</v>
      </c>
      <c r="C15605" t="str">
        <f t="shared" si="2778"/>
        <v>72100632</v>
      </c>
      <c r="D15605">
        <v>89301091</v>
      </c>
      <c r="E15605" t="str">
        <f>"2360180449"</f>
        <v>2360180449</v>
      </c>
      <c r="F15605" s="1">
        <v>45224</v>
      </c>
      <c r="G15605" t="str">
        <f t="shared" si="2779"/>
        <v>94297</v>
      </c>
      <c r="H15605">
        <v>1</v>
      </c>
      <c r="I15605">
        <v>304</v>
      </c>
      <c r="J15605">
        <v>0</v>
      </c>
      <c r="K15605" t="str">
        <f t="shared" si="2780"/>
        <v>816</v>
      </c>
      <c r="L15605">
        <v>304</v>
      </c>
    </row>
    <row r="15606" spans="1:12" x14ac:dyDescent="0.25">
      <c r="A15606" t="str">
        <f t="shared" si="2770"/>
        <v>89301000</v>
      </c>
      <c r="B15606" t="str">
        <f t="shared" si="2777"/>
        <v>72100000</v>
      </c>
      <c r="C15606" t="str">
        <f t="shared" si="2778"/>
        <v>72100632</v>
      </c>
      <c r="D15606">
        <v>89301091</v>
      </c>
      <c r="E15606" t="str">
        <f>"9162075703"</f>
        <v>9162075703</v>
      </c>
      <c r="F15606" s="1">
        <v>45224</v>
      </c>
      <c r="G15606" t="str">
        <f t="shared" si="2779"/>
        <v>94297</v>
      </c>
      <c r="H15606">
        <v>1</v>
      </c>
      <c r="I15606">
        <v>304</v>
      </c>
      <c r="J15606">
        <v>0</v>
      </c>
      <c r="K15606" t="str">
        <f t="shared" si="2780"/>
        <v>816</v>
      </c>
      <c r="L15606">
        <v>304</v>
      </c>
    </row>
    <row r="15607" spans="1:12" x14ac:dyDescent="0.25">
      <c r="A15607" t="str">
        <f t="shared" si="2770"/>
        <v>89301000</v>
      </c>
      <c r="B15607" t="str">
        <f t="shared" si="2777"/>
        <v>72100000</v>
      </c>
      <c r="C15607" t="str">
        <f t="shared" si="2778"/>
        <v>72100632</v>
      </c>
      <c r="D15607">
        <v>89301091</v>
      </c>
      <c r="E15607" t="str">
        <f>"9552185720"</f>
        <v>9552185720</v>
      </c>
      <c r="F15607" s="1">
        <v>45224</v>
      </c>
      <c r="G15607" t="str">
        <f t="shared" si="2779"/>
        <v>94297</v>
      </c>
      <c r="H15607">
        <v>1</v>
      </c>
      <c r="I15607">
        <v>304</v>
      </c>
      <c r="J15607">
        <v>0</v>
      </c>
      <c r="K15607" t="str">
        <f t="shared" si="2780"/>
        <v>816</v>
      </c>
      <c r="L15607">
        <v>304</v>
      </c>
    </row>
    <row r="15608" spans="1:12" x14ac:dyDescent="0.25">
      <c r="A15608" t="str">
        <f t="shared" si="2770"/>
        <v>89301000</v>
      </c>
      <c r="B15608" t="str">
        <f t="shared" si="2777"/>
        <v>72100000</v>
      </c>
      <c r="C15608" t="str">
        <f t="shared" si="2778"/>
        <v>72100632</v>
      </c>
      <c r="D15608">
        <v>89301091</v>
      </c>
      <c r="E15608" t="str">
        <f>"9858124848"</f>
        <v>9858124848</v>
      </c>
      <c r="F15608" s="1">
        <v>45225</v>
      </c>
      <c r="G15608" t="str">
        <f t="shared" si="2779"/>
        <v>94297</v>
      </c>
      <c r="H15608">
        <v>1</v>
      </c>
      <c r="I15608">
        <v>304</v>
      </c>
      <c r="J15608">
        <v>0</v>
      </c>
      <c r="K15608" t="str">
        <f t="shared" si="2780"/>
        <v>816</v>
      </c>
      <c r="L15608">
        <v>304</v>
      </c>
    </row>
    <row r="15609" spans="1:12" x14ac:dyDescent="0.25">
      <c r="A15609" t="str">
        <f t="shared" si="2770"/>
        <v>89301000</v>
      </c>
      <c r="B15609" t="str">
        <f t="shared" si="2777"/>
        <v>72100000</v>
      </c>
      <c r="C15609" t="str">
        <f t="shared" si="2778"/>
        <v>72100632</v>
      </c>
      <c r="D15609">
        <v>89301091</v>
      </c>
      <c r="E15609" t="str">
        <f>"9558176078"</f>
        <v>9558176078</v>
      </c>
      <c r="F15609" s="1">
        <v>45225</v>
      </c>
      <c r="G15609" t="str">
        <f t="shared" si="2779"/>
        <v>94297</v>
      </c>
      <c r="H15609">
        <v>1</v>
      </c>
      <c r="I15609">
        <v>304</v>
      </c>
      <c r="J15609">
        <v>0</v>
      </c>
      <c r="K15609" t="str">
        <f t="shared" si="2780"/>
        <v>816</v>
      </c>
      <c r="L15609">
        <v>304</v>
      </c>
    </row>
    <row r="15610" spans="1:12" x14ac:dyDescent="0.25">
      <c r="A15610" t="str">
        <f t="shared" si="2770"/>
        <v>89301000</v>
      </c>
      <c r="B15610" t="str">
        <f t="shared" si="2777"/>
        <v>72100000</v>
      </c>
      <c r="C15610" t="str">
        <f t="shared" si="2778"/>
        <v>72100632</v>
      </c>
      <c r="D15610">
        <v>89301091</v>
      </c>
      <c r="E15610" t="str">
        <f>"9855215711"</f>
        <v>9855215711</v>
      </c>
      <c r="F15610" s="1">
        <v>45226</v>
      </c>
      <c r="G15610" t="str">
        <f t="shared" si="2779"/>
        <v>94297</v>
      </c>
      <c r="H15610">
        <v>1</v>
      </c>
      <c r="I15610">
        <v>304</v>
      </c>
      <c r="J15610">
        <v>0</v>
      </c>
      <c r="K15610" t="str">
        <f t="shared" si="2780"/>
        <v>816</v>
      </c>
      <c r="L15610">
        <v>304</v>
      </c>
    </row>
    <row r="15611" spans="1:12" x14ac:dyDescent="0.25">
      <c r="A15611" t="str">
        <f t="shared" si="2770"/>
        <v>89301000</v>
      </c>
      <c r="B15611" t="str">
        <f t="shared" si="2777"/>
        <v>72100000</v>
      </c>
      <c r="C15611" t="str">
        <f t="shared" si="2778"/>
        <v>72100632</v>
      </c>
      <c r="D15611">
        <v>89301091</v>
      </c>
      <c r="E15611" t="str">
        <f>"8851185827"</f>
        <v>8851185827</v>
      </c>
      <c r="F15611" s="1">
        <v>45226</v>
      </c>
      <c r="G15611" t="str">
        <f t="shared" si="2779"/>
        <v>94297</v>
      </c>
      <c r="H15611">
        <v>1</v>
      </c>
      <c r="I15611">
        <v>304</v>
      </c>
      <c r="J15611">
        <v>0</v>
      </c>
      <c r="K15611" t="str">
        <f t="shared" si="2780"/>
        <v>816</v>
      </c>
      <c r="L15611">
        <v>304</v>
      </c>
    </row>
    <row r="15612" spans="1:12" x14ac:dyDescent="0.25">
      <c r="A15612" t="str">
        <f t="shared" si="2770"/>
        <v>89301000</v>
      </c>
      <c r="B15612" t="str">
        <f t="shared" si="2777"/>
        <v>72100000</v>
      </c>
      <c r="C15612" t="str">
        <f t="shared" si="2778"/>
        <v>72100632</v>
      </c>
      <c r="D15612">
        <v>89301091</v>
      </c>
      <c r="E15612" t="str">
        <f>"0154245707"</f>
        <v>0154245707</v>
      </c>
      <c r="F15612" s="1">
        <v>45226</v>
      </c>
      <c r="G15612" t="str">
        <f t="shared" si="2779"/>
        <v>94297</v>
      </c>
      <c r="H15612">
        <v>1</v>
      </c>
      <c r="I15612">
        <v>304</v>
      </c>
      <c r="J15612">
        <v>0</v>
      </c>
      <c r="K15612" t="str">
        <f t="shared" si="2780"/>
        <v>816</v>
      </c>
      <c r="L15612">
        <v>304</v>
      </c>
    </row>
    <row r="15613" spans="1:12" x14ac:dyDescent="0.25">
      <c r="A15613" t="str">
        <f t="shared" si="2770"/>
        <v>89301000</v>
      </c>
      <c r="B15613" t="str">
        <f t="shared" ref="B15613:B15644" si="2781">"78006000"</f>
        <v>78006000</v>
      </c>
      <c r="C15613" t="str">
        <f>"78006205"</f>
        <v>78006205</v>
      </c>
      <c r="D15613">
        <v>89301167</v>
      </c>
      <c r="E15613" t="str">
        <f>"5854210813"</f>
        <v>5854210813</v>
      </c>
      <c r="F15613" s="1">
        <v>45271</v>
      </c>
      <c r="G15613" t="str">
        <f>"96167"</f>
        <v>96167</v>
      </c>
      <c r="H15613">
        <v>1</v>
      </c>
      <c r="I15613">
        <v>67</v>
      </c>
      <c r="J15613">
        <v>0</v>
      </c>
      <c r="K15613" t="str">
        <f>"818"</f>
        <v>818</v>
      </c>
      <c r="L15613">
        <v>64.989999999999995</v>
      </c>
    </row>
    <row r="15614" spans="1:12" x14ac:dyDescent="0.25">
      <c r="A15614" t="str">
        <f t="shared" si="2770"/>
        <v>89301000</v>
      </c>
      <c r="B15614" t="str">
        <f t="shared" si="2781"/>
        <v>78006000</v>
      </c>
      <c r="C15614" t="str">
        <f>"78006831"</f>
        <v>78006831</v>
      </c>
      <c r="D15614">
        <v>89301322</v>
      </c>
      <c r="E15614" t="str">
        <f>"460216434"</f>
        <v>460216434</v>
      </c>
      <c r="F15614" s="1">
        <v>45271</v>
      </c>
      <c r="G15614" t="str">
        <f>"89513"</f>
        <v>89513</v>
      </c>
      <c r="H15614">
        <v>1</v>
      </c>
      <c r="I15614">
        <v>378</v>
      </c>
      <c r="J15614">
        <v>0</v>
      </c>
      <c r="K15614" t="str">
        <f>"809"</f>
        <v>809</v>
      </c>
      <c r="L15614">
        <v>555.66</v>
      </c>
    </row>
    <row r="15615" spans="1:12" x14ac:dyDescent="0.25">
      <c r="A15615" t="str">
        <f t="shared" si="2770"/>
        <v>89301000</v>
      </c>
      <c r="B15615" t="str">
        <f t="shared" si="2781"/>
        <v>78006000</v>
      </c>
      <c r="C15615" t="str">
        <f>"78006831"</f>
        <v>78006831</v>
      </c>
      <c r="D15615">
        <v>89301322</v>
      </c>
      <c r="E15615" t="str">
        <f>"460216434"</f>
        <v>460216434</v>
      </c>
      <c r="F15615" s="1">
        <v>45271</v>
      </c>
      <c r="G15615" t="str">
        <f>"89514"</f>
        <v>89514</v>
      </c>
      <c r="H15615">
        <v>1</v>
      </c>
      <c r="I15615">
        <v>378</v>
      </c>
      <c r="J15615">
        <v>0</v>
      </c>
      <c r="K15615" t="str">
        <f>"809"</f>
        <v>809</v>
      </c>
      <c r="L15615">
        <v>555.66</v>
      </c>
    </row>
    <row r="15616" spans="1:12" x14ac:dyDescent="0.25">
      <c r="A15616" t="str">
        <f t="shared" si="2770"/>
        <v>89301000</v>
      </c>
      <c r="B15616" t="str">
        <f t="shared" si="2781"/>
        <v>78006000</v>
      </c>
      <c r="C15616" t="str">
        <f>"78006532"</f>
        <v>78006532</v>
      </c>
      <c r="D15616">
        <v>89301312</v>
      </c>
      <c r="E15616" t="str">
        <f>"9604305711"</f>
        <v>9604305711</v>
      </c>
      <c r="F15616" s="1">
        <v>45266</v>
      </c>
      <c r="G15616" t="str">
        <f>"89713"</f>
        <v>89713</v>
      </c>
      <c r="H15616">
        <v>1</v>
      </c>
      <c r="I15616">
        <v>5411</v>
      </c>
      <c r="J15616">
        <v>0</v>
      </c>
      <c r="K15616" t="str">
        <f>"810"</f>
        <v>810</v>
      </c>
      <c r="L15616">
        <v>3517.15</v>
      </c>
    </row>
    <row r="15617" spans="1:12" x14ac:dyDescent="0.25">
      <c r="A15617" t="str">
        <f t="shared" si="2770"/>
        <v>89301000</v>
      </c>
      <c r="B15617" t="str">
        <f t="shared" si="2781"/>
        <v>78006000</v>
      </c>
      <c r="C15617" t="str">
        <f t="shared" ref="C15617:C15625" si="2782">"78006831"</f>
        <v>78006831</v>
      </c>
      <c r="D15617">
        <v>89301062</v>
      </c>
      <c r="E15617" t="str">
        <f>"7454185332"</f>
        <v>7454185332</v>
      </c>
      <c r="F15617" s="1">
        <v>45271</v>
      </c>
      <c r="G15617" t="str">
        <f>"89615"</f>
        <v>89615</v>
      </c>
      <c r="H15617">
        <v>1</v>
      </c>
      <c r="I15617">
        <v>2199</v>
      </c>
      <c r="J15617">
        <v>0</v>
      </c>
      <c r="K15617" t="str">
        <f t="shared" ref="K15617:K15625" si="2783">"809"</f>
        <v>809</v>
      </c>
      <c r="L15617">
        <v>1429.35</v>
      </c>
    </row>
    <row r="15618" spans="1:12" x14ac:dyDescent="0.25">
      <c r="A15618" t="str">
        <f t="shared" ref="A15618:A15681" si="2784">"89301000"</f>
        <v>89301000</v>
      </c>
      <c r="B15618" t="str">
        <f t="shared" si="2781"/>
        <v>78006000</v>
      </c>
      <c r="C15618" t="str">
        <f t="shared" si="2782"/>
        <v>78006831</v>
      </c>
      <c r="D15618">
        <v>89301212</v>
      </c>
      <c r="E15618" t="str">
        <f t="shared" ref="E15618:E15623" si="2785">"451030446"</f>
        <v>451030446</v>
      </c>
      <c r="F15618" s="1">
        <v>45271</v>
      </c>
      <c r="G15618" t="str">
        <f>"89611"</f>
        <v>89611</v>
      </c>
      <c r="H15618">
        <v>1</v>
      </c>
      <c r="I15618">
        <v>2262</v>
      </c>
      <c r="J15618">
        <v>0</v>
      </c>
      <c r="K15618" t="str">
        <f t="shared" si="2783"/>
        <v>809</v>
      </c>
      <c r="L15618">
        <v>1470.3</v>
      </c>
    </row>
    <row r="15619" spans="1:12" x14ac:dyDescent="0.25">
      <c r="A15619" t="str">
        <f t="shared" si="2784"/>
        <v>89301000</v>
      </c>
      <c r="B15619" t="str">
        <f t="shared" si="2781"/>
        <v>78006000</v>
      </c>
      <c r="C15619" t="str">
        <f t="shared" si="2782"/>
        <v>78006831</v>
      </c>
      <c r="D15619">
        <v>89301212</v>
      </c>
      <c r="E15619" t="str">
        <f t="shared" si="2785"/>
        <v>451030446</v>
      </c>
      <c r="F15619" s="1">
        <v>45271</v>
      </c>
      <c r="G15619" t="str">
        <f>"89619"</f>
        <v>89619</v>
      </c>
      <c r="H15619">
        <v>1</v>
      </c>
      <c r="I15619">
        <v>1218</v>
      </c>
      <c r="J15619">
        <v>0</v>
      </c>
      <c r="K15619" t="str">
        <f t="shared" si="2783"/>
        <v>809</v>
      </c>
      <c r="L15619">
        <v>791.7</v>
      </c>
    </row>
    <row r="15620" spans="1:12" x14ac:dyDescent="0.25">
      <c r="A15620" t="str">
        <f t="shared" si="2784"/>
        <v>89301000</v>
      </c>
      <c r="B15620" t="str">
        <f t="shared" si="2781"/>
        <v>78006000</v>
      </c>
      <c r="C15620" t="str">
        <f t="shared" si="2782"/>
        <v>78006831</v>
      </c>
      <c r="D15620">
        <v>89301212</v>
      </c>
      <c r="E15620" t="str">
        <f t="shared" si="2785"/>
        <v>451030446</v>
      </c>
      <c r="F15620" s="1">
        <v>45271</v>
      </c>
      <c r="G15620" t="str">
        <f>"0137480"</f>
        <v>0137480</v>
      </c>
      <c r="H15620">
        <v>0.2</v>
      </c>
      <c r="J15620">
        <v>1004.83</v>
      </c>
      <c r="K15620" t="str">
        <f t="shared" si="2783"/>
        <v>809</v>
      </c>
      <c r="L15620">
        <v>1004.83</v>
      </c>
    </row>
    <row r="15621" spans="1:12" x14ac:dyDescent="0.25">
      <c r="A15621" t="str">
        <f t="shared" si="2784"/>
        <v>89301000</v>
      </c>
      <c r="B15621" t="str">
        <f t="shared" si="2781"/>
        <v>78006000</v>
      </c>
      <c r="C15621" t="str">
        <f t="shared" si="2782"/>
        <v>78006831</v>
      </c>
      <c r="D15621">
        <v>89301212</v>
      </c>
      <c r="E15621" t="str">
        <f t="shared" si="2785"/>
        <v>451030446</v>
      </c>
      <c r="F15621" s="1">
        <v>45271</v>
      </c>
      <c r="G15621" t="str">
        <f>"0059496"</f>
        <v>0059496</v>
      </c>
      <c r="H15621">
        <v>0.15</v>
      </c>
      <c r="J15621">
        <v>38.21</v>
      </c>
      <c r="K15621" t="str">
        <f t="shared" si="2783"/>
        <v>809</v>
      </c>
      <c r="L15621">
        <v>38.21</v>
      </c>
    </row>
    <row r="15622" spans="1:12" x14ac:dyDescent="0.25">
      <c r="A15622" t="str">
        <f t="shared" si="2784"/>
        <v>89301000</v>
      </c>
      <c r="B15622" t="str">
        <f t="shared" si="2781"/>
        <v>78006000</v>
      </c>
      <c r="C15622" t="str">
        <f t="shared" si="2782"/>
        <v>78006831</v>
      </c>
      <c r="D15622">
        <v>89301212</v>
      </c>
      <c r="E15622" t="str">
        <f t="shared" si="2785"/>
        <v>451030446</v>
      </c>
      <c r="F15622" s="1">
        <v>45278</v>
      </c>
      <c r="G15622" t="str">
        <f>"89611"</f>
        <v>89611</v>
      </c>
      <c r="H15622">
        <v>1</v>
      </c>
      <c r="I15622">
        <v>2262</v>
      </c>
      <c r="J15622">
        <v>0</v>
      </c>
      <c r="K15622" t="str">
        <f t="shared" si="2783"/>
        <v>809</v>
      </c>
      <c r="L15622">
        <v>1470.3</v>
      </c>
    </row>
    <row r="15623" spans="1:12" x14ac:dyDescent="0.25">
      <c r="A15623" t="str">
        <f t="shared" si="2784"/>
        <v>89301000</v>
      </c>
      <c r="B15623" t="str">
        <f t="shared" si="2781"/>
        <v>78006000</v>
      </c>
      <c r="C15623" t="str">
        <f t="shared" si="2782"/>
        <v>78006831</v>
      </c>
      <c r="D15623">
        <v>89301212</v>
      </c>
      <c r="E15623" t="str">
        <f t="shared" si="2785"/>
        <v>451030446</v>
      </c>
      <c r="F15623" s="1">
        <v>45278</v>
      </c>
      <c r="G15623" t="str">
        <f>"0137480"</f>
        <v>0137480</v>
      </c>
      <c r="H15623">
        <v>0.2</v>
      </c>
      <c r="J15623">
        <v>1004.83</v>
      </c>
      <c r="K15623" t="str">
        <f t="shared" si="2783"/>
        <v>809</v>
      </c>
      <c r="L15623">
        <v>1004.83</v>
      </c>
    </row>
    <row r="15624" spans="1:12" x14ac:dyDescent="0.25">
      <c r="A15624" t="str">
        <f t="shared" si="2784"/>
        <v>89301000</v>
      </c>
      <c r="B15624" t="str">
        <f t="shared" si="2781"/>
        <v>78006000</v>
      </c>
      <c r="C15624" t="str">
        <f t="shared" si="2782"/>
        <v>78006831</v>
      </c>
      <c r="D15624">
        <v>89301506</v>
      </c>
      <c r="E15624" t="str">
        <f>"9356036162"</f>
        <v>9356036162</v>
      </c>
      <c r="F15624" s="1">
        <v>45279</v>
      </c>
      <c r="G15624" t="str">
        <f>"89611"</f>
        <v>89611</v>
      </c>
      <c r="H15624">
        <v>1</v>
      </c>
      <c r="I15624">
        <v>2262</v>
      </c>
      <c r="J15624">
        <v>0</v>
      </c>
      <c r="K15624" t="str">
        <f t="shared" si="2783"/>
        <v>809</v>
      </c>
      <c r="L15624">
        <v>1470.3</v>
      </c>
    </row>
    <row r="15625" spans="1:12" x14ac:dyDescent="0.25">
      <c r="A15625" t="str">
        <f t="shared" si="2784"/>
        <v>89301000</v>
      </c>
      <c r="B15625" t="str">
        <f t="shared" si="2781"/>
        <v>78006000</v>
      </c>
      <c r="C15625" t="str">
        <f t="shared" si="2782"/>
        <v>78006831</v>
      </c>
      <c r="D15625">
        <v>89301506</v>
      </c>
      <c r="E15625" t="str">
        <f>"9356036162"</f>
        <v>9356036162</v>
      </c>
      <c r="F15625" s="1">
        <v>45279</v>
      </c>
      <c r="G15625" t="str">
        <f>"0137480"</f>
        <v>0137480</v>
      </c>
      <c r="H15625">
        <v>0.2</v>
      </c>
      <c r="J15625">
        <v>1004.83</v>
      </c>
      <c r="K15625" t="str">
        <f t="shared" si="2783"/>
        <v>809</v>
      </c>
      <c r="L15625">
        <v>1004.83</v>
      </c>
    </row>
    <row r="15626" spans="1:12" x14ac:dyDescent="0.25">
      <c r="A15626" t="str">
        <f t="shared" si="2784"/>
        <v>89301000</v>
      </c>
      <c r="B15626" t="str">
        <f t="shared" si="2781"/>
        <v>78006000</v>
      </c>
      <c r="C15626" t="str">
        <f t="shared" ref="C15626:C15637" si="2786">"78006832"</f>
        <v>78006832</v>
      </c>
      <c r="D15626">
        <v>89301062</v>
      </c>
      <c r="E15626" t="str">
        <f>"6410290524"</f>
        <v>6410290524</v>
      </c>
      <c r="F15626" s="1">
        <v>45265</v>
      </c>
      <c r="G15626" t="str">
        <f>"89713"</f>
        <v>89713</v>
      </c>
      <c r="H15626">
        <v>1</v>
      </c>
      <c r="I15626">
        <v>5411</v>
      </c>
      <c r="J15626">
        <v>0</v>
      </c>
      <c r="K15626" t="str">
        <f t="shared" ref="K15626:K15639" si="2787">"810"</f>
        <v>810</v>
      </c>
      <c r="L15626">
        <v>3517.15</v>
      </c>
    </row>
    <row r="15627" spans="1:12" x14ac:dyDescent="0.25">
      <c r="A15627" t="str">
        <f t="shared" si="2784"/>
        <v>89301000</v>
      </c>
      <c r="B15627" t="str">
        <f t="shared" si="2781"/>
        <v>78006000</v>
      </c>
      <c r="C15627" t="str">
        <f t="shared" si="2786"/>
        <v>78006832</v>
      </c>
      <c r="D15627">
        <v>89301062</v>
      </c>
      <c r="E15627" t="str">
        <f>"6410290524"</f>
        <v>6410290524</v>
      </c>
      <c r="F15627" s="1">
        <v>45265</v>
      </c>
      <c r="G15627" t="str">
        <f>"89725"</f>
        <v>89725</v>
      </c>
      <c r="H15627">
        <v>1</v>
      </c>
      <c r="I15627">
        <v>2863</v>
      </c>
      <c r="J15627">
        <v>0</v>
      </c>
      <c r="K15627" t="str">
        <f t="shared" si="2787"/>
        <v>810</v>
      </c>
      <c r="L15627">
        <v>1860.95</v>
      </c>
    </row>
    <row r="15628" spans="1:12" x14ac:dyDescent="0.25">
      <c r="A15628" t="str">
        <f t="shared" si="2784"/>
        <v>89301000</v>
      </c>
      <c r="B15628" t="str">
        <f t="shared" si="2781"/>
        <v>78006000</v>
      </c>
      <c r="C15628" t="str">
        <f t="shared" si="2786"/>
        <v>78006832</v>
      </c>
      <c r="D15628">
        <v>89301112</v>
      </c>
      <c r="E15628" t="str">
        <f>"7504225784"</f>
        <v>7504225784</v>
      </c>
      <c r="F15628" s="1">
        <v>45265</v>
      </c>
      <c r="G15628" t="str">
        <f>"89713"</f>
        <v>89713</v>
      </c>
      <c r="H15628">
        <v>1</v>
      </c>
      <c r="I15628">
        <v>5411</v>
      </c>
      <c r="J15628">
        <v>0</v>
      </c>
      <c r="K15628" t="str">
        <f t="shared" si="2787"/>
        <v>810</v>
      </c>
      <c r="L15628">
        <v>3517.15</v>
      </c>
    </row>
    <row r="15629" spans="1:12" x14ac:dyDescent="0.25">
      <c r="A15629" t="str">
        <f t="shared" si="2784"/>
        <v>89301000</v>
      </c>
      <c r="B15629" t="str">
        <f t="shared" si="2781"/>
        <v>78006000</v>
      </c>
      <c r="C15629" t="str">
        <f t="shared" si="2786"/>
        <v>78006832</v>
      </c>
      <c r="D15629">
        <v>89301112</v>
      </c>
      <c r="E15629" t="str">
        <f>"6453222215"</f>
        <v>6453222215</v>
      </c>
      <c r="F15629" s="1">
        <v>45265</v>
      </c>
      <c r="G15629" t="str">
        <f>"89713"</f>
        <v>89713</v>
      </c>
      <c r="H15629">
        <v>1</v>
      </c>
      <c r="I15629">
        <v>5411</v>
      </c>
      <c r="J15629">
        <v>0</v>
      </c>
      <c r="K15629" t="str">
        <f t="shared" si="2787"/>
        <v>810</v>
      </c>
      <c r="L15629">
        <v>3517.15</v>
      </c>
    </row>
    <row r="15630" spans="1:12" x14ac:dyDescent="0.25">
      <c r="A15630" t="str">
        <f t="shared" si="2784"/>
        <v>89301000</v>
      </c>
      <c r="B15630" t="str">
        <f t="shared" si="2781"/>
        <v>78006000</v>
      </c>
      <c r="C15630" t="str">
        <f t="shared" si="2786"/>
        <v>78006832</v>
      </c>
      <c r="D15630">
        <v>89301062</v>
      </c>
      <c r="E15630" t="str">
        <f>"7454185332"</f>
        <v>7454185332</v>
      </c>
      <c r="F15630" s="1">
        <v>45271</v>
      </c>
      <c r="G15630" t="str">
        <f>"89713"</f>
        <v>89713</v>
      </c>
      <c r="H15630">
        <v>1</v>
      </c>
      <c r="I15630">
        <v>5411</v>
      </c>
      <c r="J15630">
        <v>0</v>
      </c>
      <c r="K15630" t="str">
        <f t="shared" si="2787"/>
        <v>810</v>
      </c>
      <c r="L15630">
        <v>3517.15</v>
      </c>
    </row>
    <row r="15631" spans="1:12" x14ac:dyDescent="0.25">
      <c r="A15631" t="str">
        <f t="shared" si="2784"/>
        <v>89301000</v>
      </c>
      <c r="B15631" t="str">
        <f t="shared" si="2781"/>
        <v>78006000</v>
      </c>
      <c r="C15631" t="str">
        <f t="shared" si="2786"/>
        <v>78006832</v>
      </c>
      <c r="D15631">
        <v>89301062</v>
      </c>
      <c r="E15631" t="str">
        <f>"7454185332"</f>
        <v>7454185332</v>
      </c>
      <c r="F15631" s="1">
        <v>45271</v>
      </c>
      <c r="G15631" t="str">
        <f>"89725"</f>
        <v>89725</v>
      </c>
      <c r="H15631">
        <v>1</v>
      </c>
      <c r="I15631">
        <v>2863</v>
      </c>
      <c r="J15631">
        <v>0</v>
      </c>
      <c r="K15631" t="str">
        <f t="shared" si="2787"/>
        <v>810</v>
      </c>
      <c r="L15631">
        <v>1860.95</v>
      </c>
    </row>
    <row r="15632" spans="1:12" x14ac:dyDescent="0.25">
      <c r="A15632" t="str">
        <f t="shared" si="2784"/>
        <v>89301000</v>
      </c>
      <c r="B15632" t="str">
        <f t="shared" si="2781"/>
        <v>78006000</v>
      </c>
      <c r="C15632" t="str">
        <f t="shared" si="2786"/>
        <v>78006832</v>
      </c>
      <c r="D15632">
        <v>89301112</v>
      </c>
      <c r="E15632" t="str">
        <f>"0309166143"</f>
        <v>0309166143</v>
      </c>
      <c r="F15632" s="1">
        <v>45273</v>
      </c>
      <c r="G15632" t="str">
        <f>"89713"</f>
        <v>89713</v>
      </c>
      <c r="H15632">
        <v>1</v>
      </c>
      <c r="I15632">
        <v>5411</v>
      </c>
      <c r="J15632">
        <v>0</v>
      </c>
      <c r="K15632" t="str">
        <f t="shared" si="2787"/>
        <v>810</v>
      </c>
      <c r="L15632">
        <v>3517.15</v>
      </c>
    </row>
    <row r="15633" spans="1:12" x14ac:dyDescent="0.25">
      <c r="A15633" t="str">
        <f t="shared" si="2784"/>
        <v>89301000</v>
      </c>
      <c r="B15633" t="str">
        <f t="shared" si="2781"/>
        <v>78006000</v>
      </c>
      <c r="C15633" t="str">
        <f t="shared" si="2786"/>
        <v>78006832</v>
      </c>
      <c r="D15633">
        <v>89301122</v>
      </c>
      <c r="E15633" t="str">
        <f>"5804231609"</f>
        <v>5804231609</v>
      </c>
      <c r="F15633" s="1">
        <v>45274</v>
      </c>
      <c r="G15633" t="str">
        <f>"89713"</f>
        <v>89713</v>
      </c>
      <c r="H15633">
        <v>1</v>
      </c>
      <c r="I15633">
        <v>5411</v>
      </c>
      <c r="J15633">
        <v>0</v>
      </c>
      <c r="K15633" t="str">
        <f t="shared" si="2787"/>
        <v>810</v>
      </c>
      <c r="L15633">
        <v>3517.15</v>
      </c>
    </row>
    <row r="15634" spans="1:12" x14ac:dyDescent="0.25">
      <c r="A15634" t="str">
        <f t="shared" si="2784"/>
        <v>89301000</v>
      </c>
      <c r="B15634" t="str">
        <f t="shared" si="2781"/>
        <v>78006000</v>
      </c>
      <c r="C15634" t="str">
        <f t="shared" si="2786"/>
        <v>78006832</v>
      </c>
      <c r="D15634">
        <v>89301132</v>
      </c>
      <c r="E15634" t="str">
        <f>"496021221"</f>
        <v>496021221</v>
      </c>
      <c r="F15634" s="1">
        <v>45282</v>
      </c>
      <c r="G15634" t="str">
        <f>"89713"</f>
        <v>89713</v>
      </c>
      <c r="H15634">
        <v>1</v>
      </c>
      <c r="I15634">
        <v>5411</v>
      </c>
      <c r="J15634">
        <v>0</v>
      </c>
      <c r="K15634" t="str">
        <f t="shared" si="2787"/>
        <v>810</v>
      </c>
      <c r="L15634">
        <v>3517.15</v>
      </c>
    </row>
    <row r="15635" spans="1:12" x14ac:dyDescent="0.25">
      <c r="A15635" t="str">
        <f t="shared" si="2784"/>
        <v>89301000</v>
      </c>
      <c r="B15635" t="str">
        <f t="shared" si="2781"/>
        <v>78006000</v>
      </c>
      <c r="C15635" t="str">
        <f t="shared" si="2786"/>
        <v>78006832</v>
      </c>
      <c r="D15635">
        <v>89301132</v>
      </c>
      <c r="E15635" t="str">
        <f>"496021221"</f>
        <v>496021221</v>
      </c>
      <c r="F15635" s="1">
        <v>45282</v>
      </c>
      <c r="G15635" t="str">
        <f>"89725"</f>
        <v>89725</v>
      </c>
      <c r="H15635">
        <v>1</v>
      </c>
      <c r="I15635">
        <v>2863</v>
      </c>
      <c r="J15635">
        <v>0</v>
      </c>
      <c r="K15635" t="str">
        <f t="shared" si="2787"/>
        <v>810</v>
      </c>
      <c r="L15635">
        <v>1860.95</v>
      </c>
    </row>
    <row r="15636" spans="1:12" x14ac:dyDescent="0.25">
      <c r="A15636" t="str">
        <f t="shared" si="2784"/>
        <v>89301000</v>
      </c>
      <c r="B15636" t="str">
        <f t="shared" si="2781"/>
        <v>78006000</v>
      </c>
      <c r="C15636" t="str">
        <f t="shared" si="2786"/>
        <v>78006832</v>
      </c>
      <c r="D15636">
        <v>89301062</v>
      </c>
      <c r="E15636" t="str">
        <f>"5704210545"</f>
        <v>5704210545</v>
      </c>
      <c r="F15636" s="1">
        <v>45288</v>
      </c>
      <c r="G15636" t="str">
        <f>"89713"</f>
        <v>89713</v>
      </c>
      <c r="H15636">
        <v>1</v>
      </c>
      <c r="I15636">
        <v>5411</v>
      </c>
      <c r="J15636">
        <v>0</v>
      </c>
      <c r="K15636" t="str">
        <f t="shared" si="2787"/>
        <v>810</v>
      </c>
      <c r="L15636">
        <v>3517.15</v>
      </c>
    </row>
    <row r="15637" spans="1:12" x14ac:dyDescent="0.25">
      <c r="A15637" t="str">
        <f t="shared" si="2784"/>
        <v>89301000</v>
      </c>
      <c r="B15637" t="str">
        <f t="shared" si="2781"/>
        <v>78006000</v>
      </c>
      <c r="C15637" t="str">
        <f t="shared" si="2786"/>
        <v>78006832</v>
      </c>
      <c r="D15637">
        <v>89301062</v>
      </c>
      <c r="E15637" t="str">
        <f>"5704210545"</f>
        <v>5704210545</v>
      </c>
      <c r="F15637" s="1">
        <v>45288</v>
      </c>
      <c r="G15637" t="str">
        <f>"89725"</f>
        <v>89725</v>
      </c>
      <c r="H15637">
        <v>1</v>
      </c>
      <c r="I15637">
        <v>2863</v>
      </c>
      <c r="J15637">
        <v>0</v>
      </c>
      <c r="K15637" t="str">
        <f t="shared" si="2787"/>
        <v>810</v>
      </c>
      <c r="L15637">
        <v>1860.95</v>
      </c>
    </row>
    <row r="15638" spans="1:12" x14ac:dyDescent="0.25">
      <c r="A15638" t="str">
        <f t="shared" si="2784"/>
        <v>89301000</v>
      </c>
      <c r="B15638" t="str">
        <f t="shared" si="2781"/>
        <v>78006000</v>
      </c>
      <c r="C15638" t="str">
        <f>"78006233"</f>
        <v>78006233</v>
      </c>
      <c r="D15638">
        <v>89301062</v>
      </c>
      <c r="E15638" t="str">
        <f>"7153045801"</f>
        <v>7153045801</v>
      </c>
      <c r="F15638" s="1">
        <v>45266</v>
      </c>
      <c r="G15638" t="str">
        <f>"89713"</f>
        <v>89713</v>
      </c>
      <c r="H15638">
        <v>1</v>
      </c>
      <c r="I15638">
        <v>5411</v>
      </c>
      <c r="J15638">
        <v>0</v>
      </c>
      <c r="K15638" t="str">
        <f t="shared" si="2787"/>
        <v>810</v>
      </c>
      <c r="L15638">
        <v>3517.15</v>
      </c>
    </row>
    <row r="15639" spans="1:12" x14ac:dyDescent="0.25">
      <c r="A15639" t="str">
        <f t="shared" si="2784"/>
        <v>89301000</v>
      </c>
      <c r="B15639" t="str">
        <f t="shared" si="2781"/>
        <v>78006000</v>
      </c>
      <c r="C15639" t="str">
        <f>"78006233"</f>
        <v>78006233</v>
      </c>
      <c r="D15639">
        <v>89301062</v>
      </c>
      <c r="E15639" t="str">
        <f>"7153045801"</f>
        <v>7153045801</v>
      </c>
      <c r="F15639" s="1">
        <v>45266</v>
      </c>
      <c r="G15639" t="str">
        <f>"89725"</f>
        <v>89725</v>
      </c>
      <c r="H15639">
        <v>1</v>
      </c>
      <c r="I15639">
        <v>2863</v>
      </c>
      <c r="J15639">
        <v>0</v>
      </c>
      <c r="K15639" t="str">
        <f t="shared" si="2787"/>
        <v>810</v>
      </c>
      <c r="L15639">
        <v>1860.95</v>
      </c>
    </row>
    <row r="15640" spans="1:12" x14ac:dyDescent="0.25">
      <c r="A15640" t="str">
        <f t="shared" si="2784"/>
        <v>89301000</v>
      </c>
      <c r="B15640" t="str">
        <f t="shared" si="2781"/>
        <v>78006000</v>
      </c>
      <c r="C15640" t="str">
        <f>"78006531"</f>
        <v>78006531</v>
      </c>
      <c r="D15640">
        <v>89301212</v>
      </c>
      <c r="E15640" t="str">
        <f>"535414122"</f>
        <v>535414122</v>
      </c>
      <c r="F15640" s="1">
        <v>45261</v>
      </c>
      <c r="G15640" t="str">
        <f>"89611"</f>
        <v>89611</v>
      </c>
      <c r="H15640">
        <v>2</v>
      </c>
      <c r="I15640">
        <v>4524</v>
      </c>
      <c r="J15640">
        <v>0</v>
      </c>
      <c r="K15640" t="str">
        <f>"809"</f>
        <v>809</v>
      </c>
      <c r="L15640">
        <v>2940.6</v>
      </c>
    </row>
    <row r="15641" spans="1:12" x14ac:dyDescent="0.25">
      <c r="A15641" t="str">
        <f t="shared" si="2784"/>
        <v>89301000</v>
      </c>
      <c r="B15641" t="str">
        <f t="shared" si="2781"/>
        <v>78006000</v>
      </c>
      <c r="C15641" t="str">
        <f>"78006531"</f>
        <v>78006531</v>
      </c>
      <c r="D15641">
        <v>89301212</v>
      </c>
      <c r="E15641" t="str">
        <f>"535414122"</f>
        <v>535414122</v>
      </c>
      <c r="F15641" s="1">
        <v>45261</v>
      </c>
      <c r="G15641" t="str">
        <f>"0137480"</f>
        <v>0137480</v>
      </c>
      <c r="H15641">
        <v>0.2</v>
      </c>
      <c r="J15641">
        <v>1004.83</v>
      </c>
      <c r="K15641" t="str">
        <f>"809"</f>
        <v>809</v>
      </c>
      <c r="L15641">
        <v>1004.83</v>
      </c>
    </row>
    <row r="15642" spans="1:12" x14ac:dyDescent="0.25">
      <c r="A15642" t="str">
        <f t="shared" si="2784"/>
        <v>89301000</v>
      </c>
      <c r="B15642" t="str">
        <f t="shared" si="2781"/>
        <v>78006000</v>
      </c>
      <c r="C15642" t="str">
        <f>"78006531"</f>
        <v>78006531</v>
      </c>
      <c r="D15642">
        <v>89301212</v>
      </c>
      <c r="E15642" t="str">
        <f>"535414122"</f>
        <v>535414122</v>
      </c>
      <c r="F15642" s="1">
        <v>45261</v>
      </c>
      <c r="G15642" t="str">
        <f>"0234021"</f>
        <v>0234021</v>
      </c>
      <c r="H15642">
        <v>2.5000000000000001E-2</v>
      </c>
      <c r="J15642">
        <v>2.44</v>
      </c>
      <c r="K15642" t="str">
        <f>"809"</f>
        <v>809</v>
      </c>
      <c r="L15642">
        <v>2.44</v>
      </c>
    </row>
    <row r="15643" spans="1:12" x14ac:dyDescent="0.25">
      <c r="A15643" t="str">
        <f t="shared" si="2784"/>
        <v>89301000</v>
      </c>
      <c r="B15643" t="str">
        <f t="shared" si="2781"/>
        <v>78006000</v>
      </c>
      <c r="C15643" t="str">
        <f>"78006531"</f>
        <v>78006531</v>
      </c>
      <c r="D15643">
        <v>89301212</v>
      </c>
      <c r="E15643" t="str">
        <f>"535414122"</f>
        <v>535414122</v>
      </c>
      <c r="F15643" s="1">
        <v>45261</v>
      </c>
      <c r="G15643" t="str">
        <f>"0001735"</f>
        <v>0001735</v>
      </c>
      <c r="H15643">
        <v>0.15</v>
      </c>
      <c r="J15643">
        <v>146.19999999999999</v>
      </c>
      <c r="K15643" t="str">
        <f>"809"</f>
        <v>809</v>
      </c>
      <c r="L15643">
        <v>146.19999999999999</v>
      </c>
    </row>
    <row r="15644" spans="1:12" x14ac:dyDescent="0.25">
      <c r="A15644" t="str">
        <f t="shared" si="2784"/>
        <v>89301000</v>
      </c>
      <c r="B15644" t="str">
        <f t="shared" si="2781"/>
        <v>78006000</v>
      </c>
      <c r="C15644" t="str">
        <f>"78006531"</f>
        <v>78006531</v>
      </c>
      <c r="D15644">
        <v>89301062</v>
      </c>
      <c r="E15644" t="str">
        <f>"5961271404"</f>
        <v>5961271404</v>
      </c>
      <c r="F15644" s="1">
        <v>45264</v>
      </c>
      <c r="G15644" t="str">
        <f>"89615"</f>
        <v>89615</v>
      </c>
      <c r="H15644">
        <v>1</v>
      </c>
      <c r="I15644">
        <v>2199</v>
      </c>
      <c r="J15644">
        <v>0</v>
      </c>
      <c r="K15644" t="str">
        <f>"809"</f>
        <v>809</v>
      </c>
      <c r="L15644">
        <v>1429.35</v>
      </c>
    </row>
    <row r="15645" spans="1:12" x14ac:dyDescent="0.25">
      <c r="A15645" t="str">
        <f t="shared" si="2784"/>
        <v>89301000</v>
      </c>
      <c r="B15645" t="str">
        <f t="shared" ref="B15645:B15668" si="2788">"78006000"</f>
        <v>78006000</v>
      </c>
      <c r="C15645" t="str">
        <f t="shared" ref="C15645:C15653" si="2789">"78006207"</f>
        <v>78006207</v>
      </c>
      <c r="D15645">
        <v>89301167</v>
      </c>
      <c r="E15645" t="str">
        <f>"5854210813"</f>
        <v>5854210813</v>
      </c>
      <c r="F15645" s="1">
        <v>45271</v>
      </c>
      <c r="G15645" t="str">
        <f>"91153"</f>
        <v>91153</v>
      </c>
      <c r="H15645">
        <v>1</v>
      </c>
      <c r="I15645">
        <v>153</v>
      </c>
      <c r="J15645">
        <v>0</v>
      </c>
      <c r="K15645" t="str">
        <f t="shared" ref="K15645:K15653" si="2790">"813"</f>
        <v>813</v>
      </c>
      <c r="L15645">
        <v>128.52000000000001</v>
      </c>
    </row>
    <row r="15646" spans="1:12" x14ac:dyDescent="0.25">
      <c r="A15646" t="str">
        <f t="shared" si="2784"/>
        <v>89301000</v>
      </c>
      <c r="B15646" t="str">
        <f t="shared" si="2788"/>
        <v>78006000</v>
      </c>
      <c r="C15646" t="str">
        <f t="shared" si="2789"/>
        <v>78006207</v>
      </c>
      <c r="D15646">
        <v>89301171</v>
      </c>
      <c r="E15646" t="str">
        <f>"6607162034"</f>
        <v>6607162034</v>
      </c>
      <c r="F15646" s="1">
        <v>45272</v>
      </c>
      <c r="G15646" t="str">
        <f t="shared" ref="G15646:G15653" si="2791">"91197"</f>
        <v>91197</v>
      </c>
      <c r="H15646">
        <v>6</v>
      </c>
      <c r="I15646">
        <v>6288</v>
      </c>
      <c r="J15646">
        <v>0</v>
      </c>
      <c r="K15646" t="str">
        <f t="shared" si="2790"/>
        <v>813</v>
      </c>
      <c r="L15646">
        <v>5281.92</v>
      </c>
    </row>
    <row r="15647" spans="1:12" x14ac:dyDescent="0.25">
      <c r="A15647" t="str">
        <f t="shared" si="2784"/>
        <v>89301000</v>
      </c>
      <c r="B15647" t="str">
        <f t="shared" si="2788"/>
        <v>78006000</v>
      </c>
      <c r="C15647" t="str">
        <f t="shared" si="2789"/>
        <v>78006207</v>
      </c>
      <c r="D15647">
        <v>89301171</v>
      </c>
      <c r="E15647" t="str">
        <f>"0252025730"</f>
        <v>0252025730</v>
      </c>
      <c r="F15647" s="1">
        <v>45272</v>
      </c>
      <c r="G15647" t="str">
        <f t="shared" si="2791"/>
        <v>91197</v>
      </c>
      <c r="H15647">
        <v>6</v>
      </c>
      <c r="I15647">
        <v>6288</v>
      </c>
      <c r="J15647">
        <v>0</v>
      </c>
      <c r="K15647" t="str">
        <f t="shared" si="2790"/>
        <v>813</v>
      </c>
      <c r="L15647">
        <v>5281.92</v>
      </c>
    </row>
    <row r="15648" spans="1:12" x14ac:dyDescent="0.25">
      <c r="A15648" t="str">
        <f t="shared" si="2784"/>
        <v>89301000</v>
      </c>
      <c r="B15648" t="str">
        <f t="shared" si="2788"/>
        <v>78006000</v>
      </c>
      <c r="C15648" t="str">
        <f t="shared" si="2789"/>
        <v>78006207</v>
      </c>
      <c r="D15648">
        <v>89301171</v>
      </c>
      <c r="E15648" t="str">
        <f>"8910136147"</f>
        <v>8910136147</v>
      </c>
      <c r="F15648" s="1">
        <v>45272</v>
      </c>
      <c r="G15648" t="str">
        <f t="shared" si="2791"/>
        <v>91197</v>
      </c>
      <c r="H15648">
        <v>6</v>
      </c>
      <c r="I15648">
        <v>6288</v>
      </c>
      <c r="J15648">
        <v>0</v>
      </c>
      <c r="K15648" t="str">
        <f t="shared" si="2790"/>
        <v>813</v>
      </c>
      <c r="L15648">
        <v>5281.92</v>
      </c>
    </row>
    <row r="15649" spans="1:12" x14ac:dyDescent="0.25">
      <c r="A15649" t="str">
        <f t="shared" si="2784"/>
        <v>89301000</v>
      </c>
      <c r="B15649" t="str">
        <f t="shared" si="2788"/>
        <v>78006000</v>
      </c>
      <c r="C15649" t="str">
        <f t="shared" si="2789"/>
        <v>78006207</v>
      </c>
      <c r="D15649">
        <v>89301171</v>
      </c>
      <c r="E15649" t="str">
        <f>"7910305799"</f>
        <v>7910305799</v>
      </c>
      <c r="F15649" s="1">
        <v>45278</v>
      </c>
      <c r="G15649" t="str">
        <f t="shared" si="2791"/>
        <v>91197</v>
      </c>
      <c r="H15649">
        <v>6</v>
      </c>
      <c r="I15649">
        <v>6288</v>
      </c>
      <c r="J15649">
        <v>0</v>
      </c>
      <c r="K15649" t="str">
        <f t="shared" si="2790"/>
        <v>813</v>
      </c>
      <c r="L15649">
        <v>5281.92</v>
      </c>
    </row>
    <row r="15650" spans="1:12" x14ac:dyDescent="0.25">
      <c r="A15650" t="str">
        <f t="shared" si="2784"/>
        <v>89301000</v>
      </c>
      <c r="B15650" t="str">
        <f t="shared" si="2788"/>
        <v>78006000</v>
      </c>
      <c r="C15650" t="str">
        <f t="shared" si="2789"/>
        <v>78006207</v>
      </c>
      <c r="D15650">
        <v>89301171</v>
      </c>
      <c r="E15650" t="str">
        <f>"6362081539"</f>
        <v>6362081539</v>
      </c>
      <c r="F15650" s="1">
        <v>45272</v>
      </c>
      <c r="G15650" t="str">
        <f t="shared" si="2791"/>
        <v>91197</v>
      </c>
      <c r="H15650">
        <v>6</v>
      </c>
      <c r="I15650">
        <v>6288</v>
      </c>
      <c r="J15650">
        <v>0</v>
      </c>
      <c r="K15650" t="str">
        <f t="shared" si="2790"/>
        <v>813</v>
      </c>
      <c r="L15650">
        <v>5281.92</v>
      </c>
    </row>
    <row r="15651" spans="1:12" x14ac:dyDescent="0.25">
      <c r="A15651" t="str">
        <f t="shared" si="2784"/>
        <v>89301000</v>
      </c>
      <c r="B15651" t="str">
        <f t="shared" si="2788"/>
        <v>78006000</v>
      </c>
      <c r="C15651" t="str">
        <f t="shared" si="2789"/>
        <v>78006207</v>
      </c>
      <c r="D15651">
        <v>89301171</v>
      </c>
      <c r="E15651" t="str">
        <f>"8052085756"</f>
        <v>8052085756</v>
      </c>
      <c r="F15651" s="1">
        <v>45272</v>
      </c>
      <c r="G15651" t="str">
        <f t="shared" si="2791"/>
        <v>91197</v>
      </c>
      <c r="H15651">
        <v>6</v>
      </c>
      <c r="I15651">
        <v>6288</v>
      </c>
      <c r="J15651">
        <v>0</v>
      </c>
      <c r="K15651" t="str">
        <f t="shared" si="2790"/>
        <v>813</v>
      </c>
      <c r="L15651">
        <v>5281.92</v>
      </c>
    </row>
    <row r="15652" spans="1:12" x14ac:dyDescent="0.25">
      <c r="A15652" t="str">
        <f t="shared" si="2784"/>
        <v>89301000</v>
      </c>
      <c r="B15652" t="str">
        <f t="shared" si="2788"/>
        <v>78006000</v>
      </c>
      <c r="C15652" t="str">
        <f t="shared" si="2789"/>
        <v>78006207</v>
      </c>
      <c r="D15652">
        <v>89301171</v>
      </c>
      <c r="E15652" t="str">
        <f>"8151215325"</f>
        <v>8151215325</v>
      </c>
      <c r="F15652" s="1">
        <v>45272</v>
      </c>
      <c r="G15652" t="str">
        <f t="shared" si="2791"/>
        <v>91197</v>
      </c>
      <c r="H15652">
        <v>6</v>
      </c>
      <c r="I15652">
        <v>6288</v>
      </c>
      <c r="J15652">
        <v>0</v>
      </c>
      <c r="K15652" t="str">
        <f t="shared" si="2790"/>
        <v>813</v>
      </c>
      <c r="L15652">
        <v>5281.92</v>
      </c>
    </row>
    <row r="15653" spans="1:12" x14ac:dyDescent="0.25">
      <c r="A15653" t="str">
        <f t="shared" si="2784"/>
        <v>89301000</v>
      </c>
      <c r="B15653" t="str">
        <f t="shared" si="2788"/>
        <v>78006000</v>
      </c>
      <c r="C15653" t="str">
        <f t="shared" si="2789"/>
        <v>78006207</v>
      </c>
      <c r="D15653">
        <v>89301171</v>
      </c>
      <c r="E15653" t="str">
        <f>"7553295310"</f>
        <v>7553295310</v>
      </c>
      <c r="F15653" s="1">
        <v>45278</v>
      </c>
      <c r="G15653" t="str">
        <f t="shared" si="2791"/>
        <v>91197</v>
      </c>
      <c r="H15653">
        <v>6</v>
      </c>
      <c r="I15653">
        <v>6288</v>
      </c>
      <c r="J15653">
        <v>0</v>
      </c>
      <c r="K15653" t="str">
        <f t="shared" si="2790"/>
        <v>813</v>
      </c>
      <c r="L15653">
        <v>5281.92</v>
      </c>
    </row>
    <row r="15654" spans="1:12" x14ac:dyDescent="0.25">
      <c r="A15654" t="str">
        <f t="shared" si="2784"/>
        <v>89301000</v>
      </c>
      <c r="B15654" t="str">
        <f t="shared" si="2788"/>
        <v>78006000</v>
      </c>
      <c r="C15654" t="str">
        <f t="shared" ref="C15654:C15663" si="2792">"78006201"</f>
        <v>78006201</v>
      </c>
      <c r="D15654">
        <v>89301167</v>
      </c>
      <c r="E15654" t="str">
        <f>"5854210813"</f>
        <v>5854210813</v>
      </c>
      <c r="F15654" s="1">
        <v>45271</v>
      </c>
      <c r="G15654" t="str">
        <f>"81249"</f>
        <v>81249</v>
      </c>
      <c r="H15654">
        <v>1</v>
      </c>
      <c r="I15654">
        <v>334</v>
      </c>
      <c r="J15654">
        <v>0</v>
      </c>
      <c r="K15654" t="str">
        <f t="shared" ref="K15654:K15663" si="2793">"801"</f>
        <v>801</v>
      </c>
      <c r="L15654">
        <v>280.56</v>
      </c>
    </row>
    <row r="15655" spans="1:12" x14ac:dyDescent="0.25">
      <c r="A15655" t="str">
        <f t="shared" si="2784"/>
        <v>89301000</v>
      </c>
      <c r="B15655" t="str">
        <f t="shared" si="2788"/>
        <v>78006000</v>
      </c>
      <c r="C15655" t="str">
        <f t="shared" si="2792"/>
        <v>78006201</v>
      </c>
      <c r="D15655">
        <v>89301167</v>
      </c>
      <c r="E15655" t="str">
        <f>"5854210813"</f>
        <v>5854210813</v>
      </c>
      <c r="F15655" s="1">
        <v>45271</v>
      </c>
      <c r="G15655" t="str">
        <f>"81329"</f>
        <v>81329</v>
      </c>
      <c r="H15655">
        <v>1</v>
      </c>
      <c r="I15655">
        <v>17</v>
      </c>
      <c r="J15655">
        <v>0</v>
      </c>
      <c r="K15655" t="str">
        <f t="shared" si="2793"/>
        <v>801</v>
      </c>
      <c r="L15655">
        <v>14.28</v>
      </c>
    </row>
    <row r="15656" spans="1:12" x14ac:dyDescent="0.25">
      <c r="A15656" t="str">
        <f t="shared" si="2784"/>
        <v>89301000</v>
      </c>
      <c r="B15656" t="str">
        <f t="shared" si="2788"/>
        <v>78006000</v>
      </c>
      <c r="C15656" t="str">
        <f t="shared" si="2792"/>
        <v>78006201</v>
      </c>
      <c r="D15656">
        <v>89301167</v>
      </c>
      <c r="E15656" t="str">
        <f>"5854210813"</f>
        <v>5854210813</v>
      </c>
      <c r="F15656" s="1">
        <v>45271</v>
      </c>
      <c r="G15656" t="str">
        <f>"81383"</f>
        <v>81383</v>
      </c>
      <c r="H15656">
        <v>1</v>
      </c>
      <c r="I15656">
        <v>24</v>
      </c>
      <c r="J15656">
        <v>0</v>
      </c>
      <c r="K15656" t="str">
        <f t="shared" si="2793"/>
        <v>801</v>
      </c>
      <c r="L15656">
        <v>20.16</v>
      </c>
    </row>
    <row r="15657" spans="1:12" x14ac:dyDescent="0.25">
      <c r="A15657" t="str">
        <f t="shared" si="2784"/>
        <v>89301000</v>
      </c>
      <c r="B15657" t="str">
        <f t="shared" si="2788"/>
        <v>78006000</v>
      </c>
      <c r="C15657" t="str">
        <f t="shared" si="2792"/>
        <v>78006201</v>
      </c>
      <c r="D15657">
        <v>89301167</v>
      </c>
      <c r="E15657" t="str">
        <f>"5854210813"</f>
        <v>5854210813</v>
      </c>
      <c r="F15657" s="1">
        <v>45271</v>
      </c>
      <c r="G15657" t="str">
        <f>"81625"</f>
        <v>81625</v>
      </c>
      <c r="H15657">
        <v>1</v>
      </c>
      <c r="I15657">
        <v>21</v>
      </c>
      <c r="J15657">
        <v>0</v>
      </c>
      <c r="K15657" t="str">
        <f t="shared" si="2793"/>
        <v>801</v>
      </c>
      <c r="L15657">
        <v>17.64</v>
      </c>
    </row>
    <row r="15658" spans="1:12" x14ac:dyDescent="0.25">
      <c r="A15658" t="str">
        <f t="shared" si="2784"/>
        <v>89301000</v>
      </c>
      <c r="B15658" t="str">
        <f t="shared" si="2788"/>
        <v>78006000</v>
      </c>
      <c r="C15658" t="str">
        <f t="shared" si="2792"/>
        <v>78006201</v>
      </c>
      <c r="D15658">
        <v>89301167</v>
      </c>
      <c r="E15658" t="str">
        <f>"5854210813"</f>
        <v>5854210813</v>
      </c>
      <c r="F15658" s="1">
        <v>45271</v>
      </c>
      <c r="G15658" t="str">
        <f>"97111"</f>
        <v>97111</v>
      </c>
      <c r="H15658">
        <v>1</v>
      </c>
      <c r="I15658">
        <v>19</v>
      </c>
      <c r="J15658">
        <v>0</v>
      </c>
      <c r="K15658" t="str">
        <f t="shared" si="2793"/>
        <v>801</v>
      </c>
      <c r="L15658">
        <v>23.94</v>
      </c>
    </row>
    <row r="15659" spans="1:12" x14ac:dyDescent="0.25">
      <c r="A15659" t="str">
        <f t="shared" si="2784"/>
        <v>89301000</v>
      </c>
      <c r="B15659" t="str">
        <f t="shared" si="2788"/>
        <v>78006000</v>
      </c>
      <c r="C15659" t="str">
        <f t="shared" si="2792"/>
        <v>78006201</v>
      </c>
      <c r="D15659">
        <v>89301171</v>
      </c>
      <c r="E15659" t="str">
        <f>"6853202015"</f>
        <v>6853202015</v>
      </c>
      <c r="F15659" s="1">
        <v>45274</v>
      </c>
      <c r="G15659" t="str">
        <f>"81703"</f>
        <v>81703</v>
      </c>
      <c r="H15659">
        <v>2</v>
      </c>
      <c r="I15659">
        <v>556</v>
      </c>
      <c r="J15659">
        <v>0</v>
      </c>
      <c r="K15659" t="str">
        <f t="shared" si="2793"/>
        <v>801</v>
      </c>
      <c r="L15659">
        <v>467.04</v>
      </c>
    </row>
    <row r="15660" spans="1:12" x14ac:dyDescent="0.25">
      <c r="A15660" t="str">
        <f t="shared" si="2784"/>
        <v>89301000</v>
      </c>
      <c r="B15660" t="str">
        <f t="shared" si="2788"/>
        <v>78006000</v>
      </c>
      <c r="C15660" t="str">
        <f t="shared" si="2792"/>
        <v>78006201</v>
      </c>
      <c r="D15660">
        <v>89301171</v>
      </c>
      <c r="E15660" t="str">
        <f>"7910305799"</f>
        <v>7910305799</v>
      </c>
      <c r="F15660" s="1">
        <v>45271</v>
      </c>
      <c r="G15660" t="str">
        <f>"81703"</f>
        <v>81703</v>
      </c>
      <c r="H15660">
        <v>2</v>
      </c>
      <c r="I15660">
        <v>556</v>
      </c>
      <c r="J15660">
        <v>0</v>
      </c>
      <c r="K15660" t="str">
        <f t="shared" si="2793"/>
        <v>801</v>
      </c>
      <c r="L15660">
        <v>467.04</v>
      </c>
    </row>
    <row r="15661" spans="1:12" x14ac:dyDescent="0.25">
      <c r="A15661" t="str">
        <f t="shared" si="2784"/>
        <v>89301000</v>
      </c>
      <c r="B15661" t="str">
        <f t="shared" si="2788"/>
        <v>78006000</v>
      </c>
      <c r="C15661" t="str">
        <f t="shared" si="2792"/>
        <v>78006201</v>
      </c>
      <c r="D15661">
        <v>89301171</v>
      </c>
      <c r="E15661" t="str">
        <f>"516114118"</f>
        <v>516114118</v>
      </c>
      <c r="F15661" s="1">
        <v>45274</v>
      </c>
      <c r="G15661" t="str">
        <f>"81703"</f>
        <v>81703</v>
      </c>
      <c r="H15661">
        <v>2</v>
      </c>
      <c r="I15661">
        <v>556</v>
      </c>
      <c r="J15661">
        <v>0</v>
      </c>
      <c r="K15661" t="str">
        <f t="shared" si="2793"/>
        <v>801</v>
      </c>
      <c r="L15661">
        <v>467.04</v>
      </c>
    </row>
    <row r="15662" spans="1:12" x14ac:dyDescent="0.25">
      <c r="A15662" t="str">
        <f t="shared" si="2784"/>
        <v>89301000</v>
      </c>
      <c r="B15662" t="str">
        <f t="shared" si="2788"/>
        <v>78006000</v>
      </c>
      <c r="C15662" t="str">
        <f t="shared" si="2792"/>
        <v>78006201</v>
      </c>
      <c r="D15662">
        <v>89301082</v>
      </c>
      <c r="E15662" t="str">
        <f>"8856064173"</f>
        <v>8856064173</v>
      </c>
      <c r="F15662" s="1">
        <v>45267</v>
      </c>
      <c r="G15662" t="str">
        <f>"93137"</f>
        <v>93137</v>
      </c>
      <c r="H15662">
        <v>1</v>
      </c>
      <c r="I15662">
        <v>186</v>
      </c>
      <c r="J15662">
        <v>0</v>
      </c>
      <c r="K15662" t="str">
        <f t="shared" si="2793"/>
        <v>801</v>
      </c>
      <c r="L15662">
        <v>156.24</v>
      </c>
    </row>
    <row r="15663" spans="1:12" x14ac:dyDescent="0.25">
      <c r="A15663" t="str">
        <f t="shared" si="2784"/>
        <v>89301000</v>
      </c>
      <c r="B15663" t="str">
        <f t="shared" si="2788"/>
        <v>78006000</v>
      </c>
      <c r="C15663" t="str">
        <f t="shared" si="2792"/>
        <v>78006201</v>
      </c>
      <c r="D15663">
        <v>89301082</v>
      </c>
      <c r="E15663" t="str">
        <f>"8856064173"</f>
        <v>8856064173</v>
      </c>
      <c r="F15663" s="1">
        <v>45267</v>
      </c>
      <c r="G15663" t="str">
        <f>"97111"</f>
        <v>97111</v>
      </c>
      <c r="H15663">
        <v>1</v>
      </c>
      <c r="I15663">
        <v>19</v>
      </c>
      <c r="J15663">
        <v>0</v>
      </c>
      <c r="K15663" t="str">
        <f t="shared" si="2793"/>
        <v>801</v>
      </c>
      <c r="L15663">
        <v>23.94</v>
      </c>
    </row>
    <row r="15664" spans="1:12" x14ac:dyDescent="0.25">
      <c r="A15664" t="str">
        <f t="shared" si="2784"/>
        <v>89301000</v>
      </c>
      <c r="B15664" t="str">
        <f t="shared" si="2788"/>
        <v>78006000</v>
      </c>
      <c r="C15664" t="str">
        <f>"78006231"</f>
        <v>78006231</v>
      </c>
      <c r="D15664">
        <v>89301212</v>
      </c>
      <c r="E15664" t="str">
        <f>"8654184913"</f>
        <v>8654184913</v>
      </c>
      <c r="F15664" s="1">
        <v>45268</v>
      </c>
      <c r="G15664" t="str">
        <f>"89180"</f>
        <v>89180</v>
      </c>
      <c r="H15664">
        <v>2</v>
      </c>
      <c r="I15664">
        <v>762</v>
      </c>
      <c r="J15664">
        <v>0</v>
      </c>
      <c r="K15664" t="str">
        <f t="shared" ref="K15664:K15695" si="2794">"809"</f>
        <v>809</v>
      </c>
      <c r="L15664">
        <v>1120.1400000000001</v>
      </c>
    </row>
    <row r="15665" spans="1:12" x14ac:dyDescent="0.25">
      <c r="A15665" t="str">
        <f t="shared" si="2784"/>
        <v>89301000</v>
      </c>
      <c r="B15665" t="str">
        <f t="shared" si="2788"/>
        <v>78006000</v>
      </c>
      <c r="C15665" t="str">
        <f>"78006231"</f>
        <v>78006231</v>
      </c>
      <c r="D15665">
        <v>89301212</v>
      </c>
      <c r="E15665" t="str">
        <f>"8654184913"</f>
        <v>8654184913</v>
      </c>
      <c r="F15665" s="1">
        <v>45268</v>
      </c>
      <c r="G15665" t="str">
        <f>"89512"</f>
        <v>89512</v>
      </c>
      <c r="H15665">
        <v>1</v>
      </c>
      <c r="I15665">
        <v>283</v>
      </c>
      <c r="J15665">
        <v>0</v>
      </c>
      <c r="K15665" t="str">
        <f t="shared" si="2794"/>
        <v>809</v>
      </c>
      <c r="L15665">
        <v>416.01</v>
      </c>
    </row>
    <row r="15666" spans="1:12" x14ac:dyDescent="0.25">
      <c r="A15666" t="str">
        <f t="shared" si="2784"/>
        <v>89301000</v>
      </c>
      <c r="B15666" t="str">
        <f t="shared" si="2788"/>
        <v>78006000</v>
      </c>
      <c r="C15666" t="str">
        <f>"78006231"</f>
        <v>78006231</v>
      </c>
      <c r="D15666">
        <v>89301212</v>
      </c>
      <c r="E15666" t="str">
        <f>"6362010853"</f>
        <v>6362010853</v>
      </c>
      <c r="F15666" s="1">
        <v>45272</v>
      </c>
      <c r="G15666" t="str">
        <f>"89180"</f>
        <v>89180</v>
      </c>
      <c r="H15666">
        <v>2</v>
      </c>
      <c r="I15666">
        <v>762</v>
      </c>
      <c r="J15666">
        <v>0</v>
      </c>
      <c r="K15666" t="str">
        <f t="shared" si="2794"/>
        <v>809</v>
      </c>
      <c r="L15666">
        <v>1120.1400000000001</v>
      </c>
    </row>
    <row r="15667" spans="1:12" x14ac:dyDescent="0.25">
      <c r="A15667" t="str">
        <f t="shared" si="2784"/>
        <v>89301000</v>
      </c>
      <c r="B15667" t="str">
        <f t="shared" si="2788"/>
        <v>78006000</v>
      </c>
      <c r="C15667" t="str">
        <f>"78006231"</f>
        <v>78006231</v>
      </c>
      <c r="D15667">
        <v>89301212</v>
      </c>
      <c r="E15667" t="str">
        <f>"535703124"</f>
        <v>535703124</v>
      </c>
      <c r="F15667" s="1">
        <v>45268</v>
      </c>
      <c r="G15667" t="str">
        <f>"89131"</f>
        <v>89131</v>
      </c>
      <c r="H15667">
        <v>1</v>
      </c>
      <c r="I15667">
        <v>190</v>
      </c>
      <c r="J15667">
        <v>0</v>
      </c>
      <c r="K15667" t="str">
        <f t="shared" si="2794"/>
        <v>809</v>
      </c>
      <c r="L15667">
        <v>279.3</v>
      </c>
    </row>
    <row r="15668" spans="1:12" x14ac:dyDescent="0.25">
      <c r="A15668" t="str">
        <f t="shared" si="2784"/>
        <v>89301000</v>
      </c>
      <c r="B15668" t="str">
        <f t="shared" si="2788"/>
        <v>78006000</v>
      </c>
      <c r="C15668" t="str">
        <f>"78006231"</f>
        <v>78006231</v>
      </c>
      <c r="D15668">
        <v>89301212</v>
      </c>
      <c r="E15668" t="str">
        <f>"470909402"</f>
        <v>470909402</v>
      </c>
      <c r="F15668" s="1">
        <v>45288</v>
      </c>
      <c r="G15668" t="str">
        <f>"89131"</f>
        <v>89131</v>
      </c>
      <c r="H15668">
        <v>1</v>
      </c>
      <c r="I15668">
        <v>190</v>
      </c>
      <c r="J15668">
        <v>0</v>
      </c>
      <c r="K15668" t="str">
        <f t="shared" si="2794"/>
        <v>809</v>
      </c>
      <c r="L15668">
        <v>279.3</v>
      </c>
    </row>
    <row r="15669" spans="1:12" x14ac:dyDescent="0.25">
      <c r="A15669" t="str">
        <f t="shared" si="2784"/>
        <v>89301000</v>
      </c>
      <c r="B15669" t="str">
        <f t="shared" ref="B15669:B15700" si="2795">"89903000"</f>
        <v>89903000</v>
      </c>
      <c r="C15669" t="str">
        <f t="shared" ref="C15669:C15700" si="2796">"89903503"</f>
        <v>89903503</v>
      </c>
      <c r="D15669">
        <v>89301062</v>
      </c>
      <c r="E15669" t="str">
        <f t="shared" ref="E15669:E15674" si="2797">"6206161511"</f>
        <v>6206161511</v>
      </c>
      <c r="F15669" s="1">
        <v>45261</v>
      </c>
      <c r="G15669" t="str">
        <f>"09233"</f>
        <v>09233</v>
      </c>
      <c r="H15669">
        <v>1</v>
      </c>
      <c r="I15669">
        <v>102</v>
      </c>
      <c r="J15669">
        <v>0</v>
      </c>
      <c r="K15669" t="str">
        <f t="shared" si="2794"/>
        <v>809</v>
      </c>
      <c r="L15669">
        <v>149.94</v>
      </c>
    </row>
    <row r="15670" spans="1:12" x14ac:dyDescent="0.25">
      <c r="A15670" t="str">
        <f t="shared" si="2784"/>
        <v>89301000</v>
      </c>
      <c r="B15670" t="str">
        <f t="shared" si="2795"/>
        <v>89903000</v>
      </c>
      <c r="C15670" t="str">
        <f t="shared" si="2796"/>
        <v>89903503</v>
      </c>
      <c r="D15670">
        <v>89301062</v>
      </c>
      <c r="E15670" t="str">
        <f t="shared" si="2797"/>
        <v>6206161511</v>
      </c>
      <c r="F15670" s="1">
        <v>45261</v>
      </c>
      <c r="G15670" t="str">
        <f>"89311"</f>
        <v>89311</v>
      </c>
      <c r="H15670">
        <v>1</v>
      </c>
      <c r="I15670">
        <v>970</v>
      </c>
      <c r="J15670">
        <v>0</v>
      </c>
      <c r="K15670" t="str">
        <f t="shared" si="2794"/>
        <v>809</v>
      </c>
      <c r="L15670">
        <v>1425.9</v>
      </c>
    </row>
    <row r="15671" spans="1:12" x14ac:dyDescent="0.25">
      <c r="A15671" t="str">
        <f t="shared" si="2784"/>
        <v>89301000</v>
      </c>
      <c r="B15671" t="str">
        <f t="shared" si="2795"/>
        <v>89903000</v>
      </c>
      <c r="C15671" t="str">
        <f t="shared" si="2796"/>
        <v>89903503</v>
      </c>
      <c r="D15671">
        <v>89301062</v>
      </c>
      <c r="E15671" t="str">
        <f t="shared" si="2797"/>
        <v>6206161511</v>
      </c>
      <c r="F15671" s="1">
        <v>45261</v>
      </c>
      <c r="G15671" t="str">
        <f>"89615"</f>
        <v>89615</v>
      </c>
      <c r="H15671">
        <v>1</v>
      </c>
      <c r="I15671">
        <v>2199</v>
      </c>
      <c r="J15671">
        <v>0</v>
      </c>
      <c r="K15671" t="str">
        <f t="shared" si="2794"/>
        <v>809</v>
      </c>
      <c r="L15671">
        <v>1429.35</v>
      </c>
    </row>
    <row r="15672" spans="1:12" x14ac:dyDescent="0.25">
      <c r="A15672" t="str">
        <f t="shared" si="2784"/>
        <v>89301000</v>
      </c>
      <c r="B15672" t="str">
        <f t="shared" si="2795"/>
        <v>89903000</v>
      </c>
      <c r="C15672" t="str">
        <f t="shared" si="2796"/>
        <v>89903503</v>
      </c>
      <c r="D15672">
        <v>89301062</v>
      </c>
      <c r="E15672" t="str">
        <f t="shared" si="2797"/>
        <v>6206161511</v>
      </c>
      <c r="F15672" s="1">
        <v>45261</v>
      </c>
      <c r="G15672" t="str">
        <f>"0000502"</f>
        <v>0000502</v>
      </c>
      <c r="H15672">
        <v>0.1</v>
      </c>
      <c r="J15672">
        <v>6.97</v>
      </c>
      <c r="K15672" t="str">
        <f t="shared" si="2794"/>
        <v>809</v>
      </c>
      <c r="L15672">
        <v>6.97</v>
      </c>
    </row>
    <row r="15673" spans="1:12" x14ac:dyDescent="0.25">
      <c r="A15673" t="str">
        <f t="shared" si="2784"/>
        <v>89301000</v>
      </c>
      <c r="B15673" t="str">
        <f t="shared" si="2795"/>
        <v>89903000</v>
      </c>
      <c r="C15673" t="str">
        <f t="shared" si="2796"/>
        <v>89903503</v>
      </c>
      <c r="D15673">
        <v>89301062</v>
      </c>
      <c r="E15673" t="str">
        <f t="shared" si="2797"/>
        <v>6206161511</v>
      </c>
      <c r="F15673" s="1">
        <v>45261</v>
      </c>
      <c r="G15673" t="str">
        <f>"0096251"</f>
        <v>0096251</v>
      </c>
      <c r="H15673">
        <v>8.0000000000000002E-3</v>
      </c>
      <c r="J15673">
        <v>9.36</v>
      </c>
      <c r="K15673" t="str">
        <f t="shared" si="2794"/>
        <v>809</v>
      </c>
      <c r="L15673">
        <v>9.36</v>
      </c>
    </row>
    <row r="15674" spans="1:12" x14ac:dyDescent="0.25">
      <c r="A15674" t="str">
        <f t="shared" si="2784"/>
        <v>89301000</v>
      </c>
      <c r="B15674" t="str">
        <f t="shared" si="2795"/>
        <v>89903000</v>
      </c>
      <c r="C15674" t="str">
        <f t="shared" si="2796"/>
        <v>89903503</v>
      </c>
      <c r="D15674">
        <v>89301062</v>
      </c>
      <c r="E15674" t="str">
        <f t="shared" si="2797"/>
        <v>6206161511</v>
      </c>
      <c r="F15674" s="1">
        <v>45261</v>
      </c>
      <c r="G15674" t="str">
        <f>"0194183"</f>
        <v>0194183</v>
      </c>
      <c r="H15674">
        <v>1</v>
      </c>
      <c r="J15674">
        <v>53</v>
      </c>
      <c r="K15674" t="str">
        <f t="shared" si="2794"/>
        <v>809</v>
      </c>
      <c r="L15674">
        <v>53</v>
      </c>
    </row>
    <row r="15675" spans="1:12" x14ac:dyDescent="0.25">
      <c r="A15675" t="str">
        <f t="shared" si="2784"/>
        <v>89301000</v>
      </c>
      <c r="B15675" t="str">
        <f t="shared" si="2795"/>
        <v>89903000</v>
      </c>
      <c r="C15675" t="str">
        <f t="shared" si="2796"/>
        <v>89903503</v>
      </c>
      <c r="D15675">
        <v>89301062</v>
      </c>
      <c r="E15675" t="str">
        <f>"7358225325"</f>
        <v>7358225325</v>
      </c>
      <c r="F15675" s="1">
        <v>45261</v>
      </c>
      <c r="G15675" t="str">
        <f>"09233"</f>
        <v>09233</v>
      </c>
      <c r="H15675">
        <v>1</v>
      </c>
      <c r="I15675">
        <v>102</v>
      </c>
      <c r="J15675">
        <v>0</v>
      </c>
      <c r="K15675" t="str">
        <f t="shared" si="2794"/>
        <v>809</v>
      </c>
      <c r="L15675">
        <v>149.94</v>
      </c>
    </row>
    <row r="15676" spans="1:12" x14ac:dyDescent="0.25">
      <c r="A15676" t="str">
        <f t="shared" si="2784"/>
        <v>89301000</v>
      </c>
      <c r="B15676" t="str">
        <f t="shared" si="2795"/>
        <v>89903000</v>
      </c>
      <c r="C15676" t="str">
        <f t="shared" si="2796"/>
        <v>89903503</v>
      </c>
      <c r="D15676">
        <v>89301062</v>
      </c>
      <c r="E15676" t="str">
        <f>"7358225325"</f>
        <v>7358225325</v>
      </c>
      <c r="F15676" s="1">
        <v>45261</v>
      </c>
      <c r="G15676" t="str">
        <f>"89311"</f>
        <v>89311</v>
      </c>
      <c r="H15676">
        <v>1</v>
      </c>
      <c r="I15676">
        <v>970</v>
      </c>
      <c r="J15676">
        <v>0</v>
      </c>
      <c r="K15676" t="str">
        <f t="shared" si="2794"/>
        <v>809</v>
      </c>
      <c r="L15676">
        <v>1425.9</v>
      </c>
    </row>
    <row r="15677" spans="1:12" x14ac:dyDescent="0.25">
      <c r="A15677" t="str">
        <f t="shared" si="2784"/>
        <v>89301000</v>
      </c>
      <c r="B15677" t="str">
        <f t="shared" si="2795"/>
        <v>89903000</v>
      </c>
      <c r="C15677" t="str">
        <f t="shared" si="2796"/>
        <v>89903503</v>
      </c>
      <c r="D15677">
        <v>89301062</v>
      </c>
      <c r="E15677" t="str">
        <f>"7358225325"</f>
        <v>7358225325</v>
      </c>
      <c r="F15677" s="1">
        <v>45261</v>
      </c>
      <c r="G15677" t="str">
        <f>"89615"</f>
        <v>89615</v>
      </c>
      <c r="H15677">
        <v>1</v>
      </c>
      <c r="I15677">
        <v>2199</v>
      </c>
      <c r="J15677">
        <v>0</v>
      </c>
      <c r="K15677" t="str">
        <f t="shared" si="2794"/>
        <v>809</v>
      </c>
      <c r="L15677">
        <v>1429.35</v>
      </c>
    </row>
    <row r="15678" spans="1:12" x14ac:dyDescent="0.25">
      <c r="A15678" t="str">
        <f t="shared" si="2784"/>
        <v>89301000</v>
      </c>
      <c r="B15678" t="str">
        <f t="shared" si="2795"/>
        <v>89903000</v>
      </c>
      <c r="C15678" t="str">
        <f t="shared" si="2796"/>
        <v>89903503</v>
      </c>
      <c r="D15678">
        <v>89301062</v>
      </c>
      <c r="E15678" t="str">
        <f>"7358225325"</f>
        <v>7358225325</v>
      </c>
      <c r="F15678" s="1">
        <v>45261</v>
      </c>
      <c r="G15678" t="str">
        <f>"0084090"</f>
        <v>0084090</v>
      </c>
      <c r="H15678">
        <v>0.2</v>
      </c>
      <c r="J15678">
        <v>17.03</v>
      </c>
      <c r="K15678" t="str">
        <f t="shared" si="2794"/>
        <v>809</v>
      </c>
      <c r="L15678">
        <v>17.03</v>
      </c>
    </row>
    <row r="15679" spans="1:12" x14ac:dyDescent="0.25">
      <c r="A15679" t="str">
        <f t="shared" si="2784"/>
        <v>89301000</v>
      </c>
      <c r="B15679" t="str">
        <f t="shared" si="2795"/>
        <v>89903000</v>
      </c>
      <c r="C15679" t="str">
        <f t="shared" si="2796"/>
        <v>89903503</v>
      </c>
      <c r="D15679">
        <v>89301062</v>
      </c>
      <c r="E15679" t="str">
        <f>"6456010693"</f>
        <v>6456010693</v>
      </c>
      <c r="F15679" s="1">
        <v>45264</v>
      </c>
      <c r="G15679" t="str">
        <f>"09233"</f>
        <v>09233</v>
      </c>
      <c r="H15679">
        <v>1</v>
      </c>
      <c r="I15679">
        <v>102</v>
      </c>
      <c r="J15679">
        <v>0</v>
      </c>
      <c r="K15679" t="str">
        <f t="shared" si="2794"/>
        <v>809</v>
      </c>
      <c r="L15679">
        <v>149.94</v>
      </c>
    </row>
    <row r="15680" spans="1:12" x14ac:dyDescent="0.25">
      <c r="A15680" t="str">
        <f t="shared" si="2784"/>
        <v>89301000</v>
      </c>
      <c r="B15680" t="str">
        <f t="shared" si="2795"/>
        <v>89903000</v>
      </c>
      <c r="C15680" t="str">
        <f t="shared" si="2796"/>
        <v>89903503</v>
      </c>
      <c r="D15680">
        <v>89301062</v>
      </c>
      <c r="E15680" t="str">
        <f>"6456010693"</f>
        <v>6456010693</v>
      </c>
      <c r="F15680" s="1">
        <v>45264</v>
      </c>
      <c r="G15680" t="str">
        <f>"89311"</f>
        <v>89311</v>
      </c>
      <c r="H15680">
        <v>1</v>
      </c>
      <c r="I15680">
        <v>970</v>
      </c>
      <c r="J15680">
        <v>0</v>
      </c>
      <c r="K15680" t="str">
        <f t="shared" si="2794"/>
        <v>809</v>
      </c>
      <c r="L15680">
        <v>1425.9</v>
      </c>
    </row>
    <row r="15681" spans="1:12" x14ac:dyDescent="0.25">
      <c r="A15681" t="str">
        <f t="shared" si="2784"/>
        <v>89301000</v>
      </c>
      <c r="B15681" t="str">
        <f t="shared" si="2795"/>
        <v>89903000</v>
      </c>
      <c r="C15681" t="str">
        <f t="shared" si="2796"/>
        <v>89903503</v>
      </c>
      <c r="D15681">
        <v>89301062</v>
      </c>
      <c r="E15681" t="str">
        <f>"6456010693"</f>
        <v>6456010693</v>
      </c>
      <c r="F15681" s="1">
        <v>45264</v>
      </c>
      <c r="G15681" t="str">
        <f>"89615"</f>
        <v>89615</v>
      </c>
      <c r="H15681">
        <v>1</v>
      </c>
      <c r="I15681">
        <v>2199</v>
      </c>
      <c r="J15681">
        <v>0</v>
      </c>
      <c r="K15681" t="str">
        <f t="shared" si="2794"/>
        <v>809</v>
      </c>
      <c r="L15681">
        <v>1429.35</v>
      </c>
    </row>
    <row r="15682" spans="1:12" x14ac:dyDescent="0.25">
      <c r="A15682" t="str">
        <f t="shared" ref="A15682:A15745" si="2798">"89301000"</f>
        <v>89301000</v>
      </c>
      <c r="B15682" t="str">
        <f t="shared" si="2795"/>
        <v>89903000</v>
      </c>
      <c r="C15682" t="str">
        <f t="shared" si="2796"/>
        <v>89903503</v>
      </c>
      <c r="D15682">
        <v>89301062</v>
      </c>
      <c r="E15682" t="str">
        <f>"6456010693"</f>
        <v>6456010693</v>
      </c>
      <c r="F15682" s="1">
        <v>45264</v>
      </c>
      <c r="G15682" t="str">
        <f>"0084090"</f>
        <v>0084090</v>
      </c>
      <c r="H15682">
        <v>0.2</v>
      </c>
      <c r="J15682">
        <v>17.03</v>
      </c>
      <c r="K15682" t="str">
        <f t="shared" si="2794"/>
        <v>809</v>
      </c>
      <c r="L15682">
        <v>17.03</v>
      </c>
    </row>
    <row r="15683" spans="1:12" x14ac:dyDescent="0.25">
      <c r="A15683" t="str">
        <f t="shared" si="2798"/>
        <v>89301000</v>
      </c>
      <c r="B15683" t="str">
        <f t="shared" si="2795"/>
        <v>89903000</v>
      </c>
      <c r="C15683" t="str">
        <f t="shared" si="2796"/>
        <v>89903503</v>
      </c>
      <c r="D15683">
        <v>89301062</v>
      </c>
      <c r="E15683" t="str">
        <f t="shared" ref="E15683:E15689" si="2799">"5703161013"</f>
        <v>5703161013</v>
      </c>
      <c r="F15683" s="1">
        <v>45264</v>
      </c>
      <c r="G15683" t="str">
        <f>"09233"</f>
        <v>09233</v>
      </c>
      <c r="H15683">
        <v>1</v>
      </c>
      <c r="I15683">
        <v>102</v>
      </c>
      <c r="J15683">
        <v>0</v>
      </c>
      <c r="K15683" t="str">
        <f t="shared" si="2794"/>
        <v>809</v>
      </c>
      <c r="L15683">
        <v>149.94</v>
      </c>
    </row>
    <row r="15684" spans="1:12" x14ac:dyDescent="0.25">
      <c r="A15684" t="str">
        <f t="shared" si="2798"/>
        <v>89301000</v>
      </c>
      <c r="B15684" t="str">
        <f t="shared" si="2795"/>
        <v>89903000</v>
      </c>
      <c r="C15684" t="str">
        <f t="shared" si="2796"/>
        <v>89903503</v>
      </c>
      <c r="D15684">
        <v>89301062</v>
      </c>
      <c r="E15684" t="str">
        <f t="shared" si="2799"/>
        <v>5703161013</v>
      </c>
      <c r="F15684" s="1">
        <v>45264</v>
      </c>
      <c r="G15684" t="str">
        <f>"89311"</f>
        <v>89311</v>
      </c>
      <c r="H15684">
        <v>1</v>
      </c>
      <c r="I15684">
        <v>970</v>
      </c>
      <c r="J15684">
        <v>0</v>
      </c>
      <c r="K15684" t="str">
        <f t="shared" si="2794"/>
        <v>809</v>
      </c>
      <c r="L15684">
        <v>1425.9</v>
      </c>
    </row>
    <row r="15685" spans="1:12" x14ac:dyDescent="0.25">
      <c r="A15685" t="str">
        <f t="shared" si="2798"/>
        <v>89301000</v>
      </c>
      <c r="B15685" t="str">
        <f t="shared" si="2795"/>
        <v>89903000</v>
      </c>
      <c r="C15685" t="str">
        <f t="shared" si="2796"/>
        <v>89903503</v>
      </c>
      <c r="D15685">
        <v>89301062</v>
      </c>
      <c r="E15685" t="str">
        <f t="shared" si="2799"/>
        <v>5703161013</v>
      </c>
      <c r="F15685" s="1">
        <v>45264</v>
      </c>
      <c r="G15685" t="str">
        <f>"89615"</f>
        <v>89615</v>
      </c>
      <c r="H15685">
        <v>1</v>
      </c>
      <c r="I15685">
        <v>2199</v>
      </c>
      <c r="J15685">
        <v>0</v>
      </c>
      <c r="K15685" t="str">
        <f t="shared" si="2794"/>
        <v>809</v>
      </c>
      <c r="L15685">
        <v>1429.35</v>
      </c>
    </row>
    <row r="15686" spans="1:12" x14ac:dyDescent="0.25">
      <c r="A15686" t="str">
        <f t="shared" si="2798"/>
        <v>89301000</v>
      </c>
      <c r="B15686" t="str">
        <f t="shared" si="2795"/>
        <v>89903000</v>
      </c>
      <c r="C15686" t="str">
        <f t="shared" si="2796"/>
        <v>89903503</v>
      </c>
      <c r="D15686">
        <v>89301062</v>
      </c>
      <c r="E15686" t="str">
        <f t="shared" si="2799"/>
        <v>5703161013</v>
      </c>
      <c r="F15686" s="1">
        <v>45264</v>
      </c>
      <c r="G15686" t="str">
        <f>"0000502"</f>
        <v>0000502</v>
      </c>
      <c r="H15686">
        <v>0.1</v>
      </c>
      <c r="J15686">
        <v>6.97</v>
      </c>
      <c r="K15686" t="str">
        <f t="shared" si="2794"/>
        <v>809</v>
      </c>
      <c r="L15686">
        <v>6.97</v>
      </c>
    </row>
    <row r="15687" spans="1:12" x14ac:dyDescent="0.25">
      <c r="A15687" t="str">
        <f t="shared" si="2798"/>
        <v>89301000</v>
      </c>
      <c r="B15687" t="str">
        <f t="shared" si="2795"/>
        <v>89903000</v>
      </c>
      <c r="C15687" t="str">
        <f t="shared" si="2796"/>
        <v>89903503</v>
      </c>
      <c r="D15687">
        <v>89301062</v>
      </c>
      <c r="E15687" t="str">
        <f t="shared" si="2799"/>
        <v>5703161013</v>
      </c>
      <c r="F15687" s="1">
        <v>45264</v>
      </c>
      <c r="G15687" t="str">
        <f>"0084090"</f>
        <v>0084090</v>
      </c>
      <c r="H15687">
        <v>0.2</v>
      </c>
      <c r="J15687">
        <v>17.03</v>
      </c>
      <c r="K15687" t="str">
        <f t="shared" si="2794"/>
        <v>809</v>
      </c>
      <c r="L15687">
        <v>17.03</v>
      </c>
    </row>
    <row r="15688" spans="1:12" x14ac:dyDescent="0.25">
      <c r="A15688" t="str">
        <f t="shared" si="2798"/>
        <v>89301000</v>
      </c>
      <c r="B15688" t="str">
        <f t="shared" si="2795"/>
        <v>89903000</v>
      </c>
      <c r="C15688" t="str">
        <f t="shared" si="2796"/>
        <v>89903503</v>
      </c>
      <c r="D15688">
        <v>89301062</v>
      </c>
      <c r="E15688" t="str">
        <f t="shared" si="2799"/>
        <v>5703161013</v>
      </c>
      <c r="F15688" s="1">
        <v>45264</v>
      </c>
      <c r="G15688" t="str">
        <f>"0096251"</f>
        <v>0096251</v>
      </c>
      <c r="H15688">
        <v>8.0000000000000002E-3</v>
      </c>
      <c r="J15688">
        <v>9.36</v>
      </c>
      <c r="K15688" t="str">
        <f t="shared" si="2794"/>
        <v>809</v>
      </c>
      <c r="L15688">
        <v>9.36</v>
      </c>
    </row>
    <row r="15689" spans="1:12" x14ac:dyDescent="0.25">
      <c r="A15689" t="str">
        <f t="shared" si="2798"/>
        <v>89301000</v>
      </c>
      <c r="B15689" t="str">
        <f t="shared" si="2795"/>
        <v>89903000</v>
      </c>
      <c r="C15689" t="str">
        <f t="shared" si="2796"/>
        <v>89903503</v>
      </c>
      <c r="D15689">
        <v>89301062</v>
      </c>
      <c r="E15689" t="str">
        <f t="shared" si="2799"/>
        <v>5703161013</v>
      </c>
      <c r="F15689" s="1">
        <v>45264</v>
      </c>
      <c r="G15689" t="str">
        <f>"0194183"</f>
        <v>0194183</v>
      </c>
      <c r="H15689">
        <v>3</v>
      </c>
      <c r="J15689">
        <v>159</v>
      </c>
      <c r="K15689" t="str">
        <f t="shared" si="2794"/>
        <v>809</v>
      </c>
      <c r="L15689">
        <v>159</v>
      </c>
    </row>
    <row r="15690" spans="1:12" x14ac:dyDescent="0.25">
      <c r="A15690" t="str">
        <f t="shared" si="2798"/>
        <v>89301000</v>
      </c>
      <c r="B15690" t="str">
        <f t="shared" si="2795"/>
        <v>89903000</v>
      </c>
      <c r="C15690" t="str">
        <f t="shared" si="2796"/>
        <v>89903503</v>
      </c>
      <c r="D15690">
        <v>89301062</v>
      </c>
      <c r="E15690" t="str">
        <f t="shared" ref="E15690:E15695" si="2800">"535802056"</f>
        <v>535802056</v>
      </c>
      <c r="F15690" s="1">
        <v>45264</v>
      </c>
      <c r="G15690" t="str">
        <f>"09233"</f>
        <v>09233</v>
      </c>
      <c r="H15690">
        <v>1</v>
      </c>
      <c r="I15690">
        <v>102</v>
      </c>
      <c r="J15690">
        <v>0</v>
      </c>
      <c r="K15690" t="str">
        <f t="shared" si="2794"/>
        <v>809</v>
      </c>
      <c r="L15690">
        <v>149.94</v>
      </c>
    </row>
    <row r="15691" spans="1:12" x14ac:dyDescent="0.25">
      <c r="A15691" t="str">
        <f t="shared" si="2798"/>
        <v>89301000</v>
      </c>
      <c r="B15691" t="str">
        <f t="shared" si="2795"/>
        <v>89903000</v>
      </c>
      <c r="C15691" t="str">
        <f t="shared" si="2796"/>
        <v>89903503</v>
      </c>
      <c r="D15691">
        <v>89301062</v>
      </c>
      <c r="E15691" t="str">
        <f t="shared" si="2800"/>
        <v>535802056</v>
      </c>
      <c r="F15691" s="1">
        <v>45264</v>
      </c>
      <c r="G15691" t="str">
        <f>"89311"</f>
        <v>89311</v>
      </c>
      <c r="H15691">
        <v>1</v>
      </c>
      <c r="I15691">
        <v>970</v>
      </c>
      <c r="J15691">
        <v>0</v>
      </c>
      <c r="K15691" t="str">
        <f t="shared" si="2794"/>
        <v>809</v>
      </c>
      <c r="L15691">
        <v>1425.9</v>
      </c>
    </row>
    <row r="15692" spans="1:12" x14ac:dyDescent="0.25">
      <c r="A15692" t="str">
        <f t="shared" si="2798"/>
        <v>89301000</v>
      </c>
      <c r="B15692" t="str">
        <f t="shared" si="2795"/>
        <v>89903000</v>
      </c>
      <c r="C15692" t="str">
        <f t="shared" si="2796"/>
        <v>89903503</v>
      </c>
      <c r="D15692">
        <v>89301062</v>
      </c>
      <c r="E15692" t="str">
        <f t="shared" si="2800"/>
        <v>535802056</v>
      </c>
      <c r="F15692" s="1">
        <v>45264</v>
      </c>
      <c r="G15692" t="str">
        <f>"89615"</f>
        <v>89615</v>
      </c>
      <c r="H15692">
        <v>1</v>
      </c>
      <c r="I15692">
        <v>2199</v>
      </c>
      <c r="J15692">
        <v>0</v>
      </c>
      <c r="K15692" t="str">
        <f t="shared" si="2794"/>
        <v>809</v>
      </c>
      <c r="L15692">
        <v>1429.35</v>
      </c>
    </row>
    <row r="15693" spans="1:12" x14ac:dyDescent="0.25">
      <c r="A15693" t="str">
        <f t="shared" si="2798"/>
        <v>89301000</v>
      </c>
      <c r="B15693" t="str">
        <f t="shared" si="2795"/>
        <v>89903000</v>
      </c>
      <c r="C15693" t="str">
        <f t="shared" si="2796"/>
        <v>89903503</v>
      </c>
      <c r="D15693">
        <v>89301062</v>
      </c>
      <c r="E15693" t="str">
        <f t="shared" si="2800"/>
        <v>535802056</v>
      </c>
      <c r="F15693" s="1">
        <v>45264</v>
      </c>
      <c r="G15693" t="str">
        <f>"0000502"</f>
        <v>0000502</v>
      </c>
      <c r="H15693">
        <v>0.1</v>
      </c>
      <c r="J15693">
        <v>6.97</v>
      </c>
      <c r="K15693" t="str">
        <f t="shared" si="2794"/>
        <v>809</v>
      </c>
      <c r="L15693">
        <v>6.97</v>
      </c>
    </row>
    <row r="15694" spans="1:12" x14ac:dyDescent="0.25">
      <c r="A15694" t="str">
        <f t="shared" si="2798"/>
        <v>89301000</v>
      </c>
      <c r="B15694" t="str">
        <f t="shared" si="2795"/>
        <v>89903000</v>
      </c>
      <c r="C15694" t="str">
        <f t="shared" si="2796"/>
        <v>89903503</v>
      </c>
      <c r="D15694">
        <v>89301062</v>
      </c>
      <c r="E15694" t="str">
        <f t="shared" si="2800"/>
        <v>535802056</v>
      </c>
      <c r="F15694" s="1">
        <v>45264</v>
      </c>
      <c r="G15694" t="str">
        <f>"0096251"</f>
        <v>0096251</v>
      </c>
      <c r="H15694">
        <v>8.0000000000000002E-3</v>
      </c>
      <c r="J15694">
        <v>9.36</v>
      </c>
      <c r="K15694" t="str">
        <f t="shared" si="2794"/>
        <v>809</v>
      </c>
      <c r="L15694">
        <v>9.36</v>
      </c>
    </row>
    <row r="15695" spans="1:12" x14ac:dyDescent="0.25">
      <c r="A15695" t="str">
        <f t="shared" si="2798"/>
        <v>89301000</v>
      </c>
      <c r="B15695" t="str">
        <f t="shared" si="2795"/>
        <v>89903000</v>
      </c>
      <c r="C15695" t="str">
        <f t="shared" si="2796"/>
        <v>89903503</v>
      </c>
      <c r="D15695">
        <v>89301062</v>
      </c>
      <c r="E15695" t="str">
        <f t="shared" si="2800"/>
        <v>535802056</v>
      </c>
      <c r="F15695" s="1">
        <v>45264</v>
      </c>
      <c r="G15695" t="str">
        <f>"0194183"</f>
        <v>0194183</v>
      </c>
      <c r="H15695">
        <v>1</v>
      </c>
      <c r="J15695">
        <v>53</v>
      </c>
      <c r="K15695" t="str">
        <f t="shared" si="2794"/>
        <v>809</v>
      </c>
      <c r="L15695">
        <v>53</v>
      </c>
    </row>
    <row r="15696" spans="1:12" x14ac:dyDescent="0.25">
      <c r="A15696" t="str">
        <f t="shared" si="2798"/>
        <v>89301000</v>
      </c>
      <c r="B15696" t="str">
        <f t="shared" si="2795"/>
        <v>89903000</v>
      </c>
      <c r="C15696" t="str">
        <f t="shared" si="2796"/>
        <v>89903503</v>
      </c>
      <c r="D15696">
        <v>89301062</v>
      </c>
      <c r="E15696" t="str">
        <f t="shared" ref="E15696:E15701" si="2801">"7955125332"</f>
        <v>7955125332</v>
      </c>
      <c r="F15696" s="1">
        <v>45266</v>
      </c>
      <c r="G15696" t="str">
        <f>"09233"</f>
        <v>09233</v>
      </c>
      <c r="H15696">
        <v>1</v>
      </c>
      <c r="I15696">
        <v>102</v>
      </c>
      <c r="J15696">
        <v>0</v>
      </c>
      <c r="K15696" t="str">
        <f t="shared" ref="K15696:K15718" si="2802">"809"</f>
        <v>809</v>
      </c>
      <c r="L15696">
        <v>149.94</v>
      </c>
    </row>
    <row r="15697" spans="1:12" x14ac:dyDescent="0.25">
      <c r="A15697" t="str">
        <f t="shared" si="2798"/>
        <v>89301000</v>
      </c>
      <c r="B15697" t="str">
        <f t="shared" si="2795"/>
        <v>89903000</v>
      </c>
      <c r="C15697" t="str">
        <f t="shared" si="2796"/>
        <v>89903503</v>
      </c>
      <c r="D15697">
        <v>89301062</v>
      </c>
      <c r="E15697" t="str">
        <f t="shared" si="2801"/>
        <v>7955125332</v>
      </c>
      <c r="F15697" s="1">
        <v>45266</v>
      </c>
      <c r="G15697" t="str">
        <f>"89311"</f>
        <v>89311</v>
      </c>
      <c r="H15697">
        <v>1</v>
      </c>
      <c r="I15697">
        <v>970</v>
      </c>
      <c r="J15697">
        <v>0</v>
      </c>
      <c r="K15697" t="str">
        <f t="shared" si="2802"/>
        <v>809</v>
      </c>
      <c r="L15697">
        <v>1425.9</v>
      </c>
    </row>
    <row r="15698" spans="1:12" x14ac:dyDescent="0.25">
      <c r="A15698" t="str">
        <f t="shared" si="2798"/>
        <v>89301000</v>
      </c>
      <c r="B15698" t="str">
        <f t="shared" si="2795"/>
        <v>89903000</v>
      </c>
      <c r="C15698" t="str">
        <f t="shared" si="2796"/>
        <v>89903503</v>
      </c>
      <c r="D15698">
        <v>89301062</v>
      </c>
      <c r="E15698" t="str">
        <f t="shared" si="2801"/>
        <v>7955125332</v>
      </c>
      <c r="F15698" s="1">
        <v>45266</v>
      </c>
      <c r="G15698" t="str">
        <f>"89615"</f>
        <v>89615</v>
      </c>
      <c r="H15698">
        <v>1</v>
      </c>
      <c r="I15698">
        <v>2199</v>
      </c>
      <c r="J15698">
        <v>0</v>
      </c>
      <c r="K15698" t="str">
        <f t="shared" si="2802"/>
        <v>809</v>
      </c>
      <c r="L15698">
        <v>1429.35</v>
      </c>
    </row>
    <row r="15699" spans="1:12" x14ac:dyDescent="0.25">
      <c r="A15699" t="str">
        <f t="shared" si="2798"/>
        <v>89301000</v>
      </c>
      <c r="B15699" t="str">
        <f t="shared" si="2795"/>
        <v>89903000</v>
      </c>
      <c r="C15699" t="str">
        <f t="shared" si="2796"/>
        <v>89903503</v>
      </c>
      <c r="D15699">
        <v>89301062</v>
      </c>
      <c r="E15699" t="str">
        <f t="shared" si="2801"/>
        <v>7955125332</v>
      </c>
      <c r="F15699" s="1">
        <v>45266</v>
      </c>
      <c r="G15699" t="str">
        <f>"0000502"</f>
        <v>0000502</v>
      </c>
      <c r="H15699">
        <v>0.1</v>
      </c>
      <c r="J15699">
        <v>6.97</v>
      </c>
      <c r="K15699" t="str">
        <f t="shared" si="2802"/>
        <v>809</v>
      </c>
      <c r="L15699">
        <v>6.97</v>
      </c>
    </row>
    <row r="15700" spans="1:12" x14ac:dyDescent="0.25">
      <c r="A15700" t="str">
        <f t="shared" si="2798"/>
        <v>89301000</v>
      </c>
      <c r="B15700" t="str">
        <f t="shared" si="2795"/>
        <v>89903000</v>
      </c>
      <c r="C15700" t="str">
        <f t="shared" si="2796"/>
        <v>89903503</v>
      </c>
      <c r="D15700">
        <v>89301062</v>
      </c>
      <c r="E15700" t="str">
        <f t="shared" si="2801"/>
        <v>7955125332</v>
      </c>
      <c r="F15700" s="1">
        <v>45266</v>
      </c>
      <c r="G15700" t="str">
        <f>"0096251"</f>
        <v>0096251</v>
      </c>
      <c r="H15700">
        <v>8.0000000000000002E-3</v>
      </c>
      <c r="J15700">
        <v>9.36</v>
      </c>
      <c r="K15700" t="str">
        <f t="shared" si="2802"/>
        <v>809</v>
      </c>
      <c r="L15700">
        <v>9.36</v>
      </c>
    </row>
    <row r="15701" spans="1:12" x14ac:dyDescent="0.25">
      <c r="A15701" t="str">
        <f t="shared" si="2798"/>
        <v>89301000</v>
      </c>
      <c r="B15701" t="str">
        <f t="shared" ref="B15701:B15719" si="2803">"89903000"</f>
        <v>89903000</v>
      </c>
      <c r="C15701" t="str">
        <f t="shared" ref="C15701:C15718" si="2804">"89903503"</f>
        <v>89903503</v>
      </c>
      <c r="D15701">
        <v>89301062</v>
      </c>
      <c r="E15701" t="str">
        <f t="shared" si="2801"/>
        <v>7955125332</v>
      </c>
      <c r="F15701" s="1">
        <v>45266</v>
      </c>
      <c r="G15701" t="str">
        <f>"0194183"</f>
        <v>0194183</v>
      </c>
      <c r="H15701">
        <v>1</v>
      </c>
      <c r="J15701">
        <v>53</v>
      </c>
      <c r="K15701" t="str">
        <f t="shared" si="2802"/>
        <v>809</v>
      </c>
      <c r="L15701">
        <v>53</v>
      </c>
    </row>
    <row r="15702" spans="1:12" x14ac:dyDescent="0.25">
      <c r="A15702" t="str">
        <f t="shared" si="2798"/>
        <v>89301000</v>
      </c>
      <c r="B15702" t="str">
        <f t="shared" si="2803"/>
        <v>89903000</v>
      </c>
      <c r="C15702" t="str">
        <f t="shared" si="2804"/>
        <v>89903503</v>
      </c>
      <c r="D15702">
        <v>89301062</v>
      </c>
      <c r="E15702" t="str">
        <f>"535802056"</f>
        <v>535802056</v>
      </c>
      <c r="F15702" s="1">
        <v>45272</v>
      </c>
      <c r="G15702" t="str">
        <f>"09233"</f>
        <v>09233</v>
      </c>
      <c r="H15702">
        <v>1</v>
      </c>
      <c r="I15702">
        <v>102</v>
      </c>
      <c r="J15702">
        <v>0</v>
      </c>
      <c r="K15702" t="str">
        <f t="shared" si="2802"/>
        <v>809</v>
      </c>
      <c r="L15702">
        <v>149.94</v>
      </c>
    </row>
    <row r="15703" spans="1:12" x14ac:dyDescent="0.25">
      <c r="A15703" t="str">
        <f t="shared" si="2798"/>
        <v>89301000</v>
      </c>
      <c r="B15703" t="str">
        <f t="shared" si="2803"/>
        <v>89903000</v>
      </c>
      <c r="C15703" t="str">
        <f t="shared" si="2804"/>
        <v>89903503</v>
      </c>
      <c r="D15703">
        <v>89301062</v>
      </c>
      <c r="E15703" t="str">
        <f>"535802056"</f>
        <v>535802056</v>
      </c>
      <c r="F15703" s="1">
        <v>45272</v>
      </c>
      <c r="G15703" t="str">
        <f>"89311"</f>
        <v>89311</v>
      </c>
      <c r="H15703">
        <v>1</v>
      </c>
      <c r="I15703">
        <v>970</v>
      </c>
      <c r="J15703">
        <v>0</v>
      </c>
      <c r="K15703" t="str">
        <f t="shared" si="2802"/>
        <v>809</v>
      </c>
      <c r="L15703">
        <v>1425.9</v>
      </c>
    </row>
    <row r="15704" spans="1:12" x14ac:dyDescent="0.25">
      <c r="A15704" t="str">
        <f t="shared" si="2798"/>
        <v>89301000</v>
      </c>
      <c r="B15704" t="str">
        <f t="shared" si="2803"/>
        <v>89903000</v>
      </c>
      <c r="C15704" t="str">
        <f t="shared" si="2804"/>
        <v>89903503</v>
      </c>
      <c r="D15704">
        <v>89301062</v>
      </c>
      <c r="E15704" t="str">
        <f>"535802056"</f>
        <v>535802056</v>
      </c>
      <c r="F15704" s="1">
        <v>45272</v>
      </c>
      <c r="G15704" t="str">
        <f>"89615"</f>
        <v>89615</v>
      </c>
      <c r="H15704">
        <v>1</v>
      </c>
      <c r="I15704">
        <v>2199</v>
      </c>
      <c r="J15704">
        <v>0</v>
      </c>
      <c r="K15704" t="str">
        <f t="shared" si="2802"/>
        <v>809</v>
      </c>
      <c r="L15704">
        <v>1429.35</v>
      </c>
    </row>
    <row r="15705" spans="1:12" x14ac:dyDescent="0.25">
      <c r="A15705" t="str">
        <f t="shared" si="2798"/>
        <v>89301000</v>
      </c>
      <c r="B15705" t="str">
        <f t="shared" si="2803"/>
        <v>89903000</v>
      </c>
      <c r="C15705" t="str">
        <f t="shared" si="2804"/>
        <v>89903503</v>
      </c>
      <c r="D15705">
        <v>89301062</v>
      </c>
      <c r="E15705" t="str">
        <f>"535802056"</f>
        <v>535802056</v>
      </c>
      <c r="F15705" s="1">
        <v>45272</v>
      </c>
      <c r="G15705" t="str">
        <f>"0084090"</f>
        <v>0084090</v>
      </c>
      <c r="H15705">
        <v>0.2</v>
      </c>
      <c r="J15705">
        <v>17.03</v>
      </c>
      <c r="K15705" t="str">
        <f t="shared" si="2802"/>
        <v>809</v>
      </c>
      <c r="L15705">
        <v>17.03</v>
      </c>
    </row>
    <row r="15706" spans="1:12" x14ac:dyDescent="0.25">
      <c r="A15706" t="str">
        <f t="shared" si="2798"/>
        <v>89301000</v>
      </c>
      <c r="B15706" t="str">
        <f t="shared" si="2803"/>
        <v>89903000</v>
      </c>
      <c r="C15706" t="str">
        <f t="shared" si="2804"/>
        <v>89903503</v>
      </c>
      <c r="D15706">
        <v>89301062</v>
      </c>
      <c r="E15706" t="str">
        <f>"535802056"</f>
        <v>535802056</v>
      </c>
      <c r="F15706" s="1">
        <v>45272</v>
      </c>
      <c r="G15706" t="str">
        <f>"0194183"</f>
        <v>0194183</v>
      </c>
      <c r="H15706">
        <v>1</v>
      </c>
      <c r="J15706">
        <v>53</v>
      </c>
      <c r="K15706" t="str">
        <f t="shared" si="2802"/>
        <v>809</v>
      </c>
      <c r="L15706">
        <v>53</v>
      </c>
    </row>
    <row r="15707" spans="1:12" x14ac:dyDescent="0.25">
      <c r="A15707" t="str">
        <f t="shared" si="2798"/>
        <v>89301000</v>
      </c>
      <c r="B15707" t="str">
        <f t="shared" si="2803"/>
        <v>89903000</v>
      </c>
      <c r="C15707" t="str">
        <f t="shared" si="2804"/>
        <v>89903503</v>
      </c>
      <c r="D15707">
        <v>89301062</v>
      </c>
      <c r="E15707" t="str">
        <f>"6456010693"</f>
        <v>6456010693</v>
      </c>
      <c r="F15707" s="1">
        <v>45272</v>
      </c>
      <c r="G15707" t="str">
        <f>"09233"</f>
        <v>09233</v>
      </c>
      <c r="H15707">
        <v>1</v>
      </c>
      <c r="I15707">
        <v>102</v>
      </c>
      <c r="J15707">
        <v>0</v>
      </c>
      <c r="K15707" t="str">
        <f t="shared" si="2802"/>
        <v>809</v>
      </c>
      <c r="L15707">
        <v>149.94</v>
      </c>
    </row>
    <row r="15708" spans="1:12" x14ac:dyDescent="0.25">
      <c r="A15708" t="str">
        <f t="shared" si="2798"/>
        <v>89301000</v>
      </c>
      <c r="B15708" t="str">
        <f t="shared" si="2803"/>
        <v>89903000</v>
      </c>
      <c r="C15708" t="str">
        <f t="shared" si="2804"/>
        <v>89903503</v>
      </c>
      <c r="D15708">
        <v>89301062</v>
      </c>
      <c r="E15708" t="str">
        <f>"6456010693"</f>
        <v>6456010693</v>
      </c>
      <c r="F15708" s="1">
        <v>45272</v>
      </c>
      <c r="G15708" t="str">
        <f>"89311"</f>
        <v>89311</v>
      </c>
      <c r="H15708">
        <v>1</v>
      </c>
      <c r="I15708">
        <v>970</v>
      </c>
      <c r="J15708">
        <v>0</v>
      </c>
      <c r="K15708" t="str">
        <f t="shared" si="2802"/>
        <v>809</v>
      </c>
      <c r="L15708">
        <v>1425.9</v>
      </c>
    </row>
    <row r="15709" spans="1:12" x14ac:dyDescent="0.25">
      <c r="A15709" t="str">
        <f t="shared" si="2798"/>
        <v>89301000</v>
      </c>
      <c r="B15709" t="str">
        <f t="shared" si="2803"/>
        <v>89903000</v>
      </c>
      <c r="C15709" t="str">
        <f t="shared" si="2804"/>
        <v>89903503</v>
      </c>
      <c r="D15709">
        <v>89301062</v>
      </c>
      <c r="E15709" t="str">
        <f>"6456010693"</f>
        <v>6456010693</v>
      </c>
      <c r="F15709" s="1">
        <v>45272</v>
      </c>
      <c r="G15709" t="str">
        <f>"89615"</f>
        <v>89615</v>
      </c>
      <c r="H15709">
        <v>1</v>
      </c>
      <c r="I15709">
        <v>2199</v>
      </c>
      <c r="J15709">
        <v>0</v>
      </c>
      <c r="K15709" t="str">
        <f t="shared" si="2802"/>
        <v>809</v>
      </c>
      <c r="L15709">
        <v>1429.35</v>
      </c>
    </row>
    <row r="15710" spans="1:12" x14ac:dyDescent="0.25">
      <c r="A15710" t="str">
        <f t="shared" si="2798"/>
        <v>89301000</v>
      </c>
      <c r="B15710" t="str">
        <f t="shared" si="2803"/>
        <v>89903000</v>
      </c>
      <c r="C15710" t="str">
        <f t="shared" si="2804"/>
        <v>89903503</v>
      </c>
      <c r="D15710">
        <v>89301062</v>
      </c>
      <c r="E15710" t="str">
        <f>"6456010693"</f>
        <v>6456010693</v>
      </c>
      <c r="F15710" s="1">
        <v>45272</v>
      </c>
      <c r="G15710" t="str">
        <f>"0084090"</f>
        <v>0084090</v>
      </c>
      <c r="H15710">
        <v>0.2</v>
      </c>
      <c r="J15710">
        <v>17.03</v>
      </c>
      <c r="K15710" t="str">
        <f t="shared" si="2802"/>
        <v>809</v>
      </c>
      <c r="L15710">
        <v>17.03</v>
      </c>
    </row>
    <row r="15711" spans="1:12" x14ac:dyDescent="0.25">
      <c r="A15711" t="str">
        <f t="shared" si="2798"/>
        <v>89301000</v>
      </c>
      <c r="B15711" t="str">
        <f t="shared" si="2803"/>
        <v>89903000</v>
      </c>
      <c r="C15711" t="str">
        <f t="shared" si="2804"/>
        <v>89903503</v>
      </c>
      <c r="D15711">
        <v>89301062</v>
      </c>
      <c r="E15711" t="str">
        <f>"535502286"</f>
        <v>535502286</v>
      </c>
      <c r="F15711" s="1">
        <v>45273</v>
      </c>
      <c r="G15711" t="str">
        <f>"09233"</f>
        <v>09233</v>
      </c>
      <c r="H15711">
        <v>1</v>
      </c>
      <c r="I15711">
        <v>102</v>
      </c>
      <c r="J15711">
        <v>0</v>
      </c>
      <c r="K15711" t="str">
        <f t="shared" si="2802"/>
        <v>809</v>
      </c>
      <c r="L15711">
        <v>149.94</v>
      </c>
    </row>
    <row r="15712" spans="1:12" x14ac:dyDescent="0.25">
      <c r="A15712" t="str">
        <f t="shared" si="2798"/>
        <v>89301000</v>
      </c>
      <c r="B15712" t="str">
        <f t="shared" si="2803"/>
        <v>89903000</v>
      </c>
      <c r="C15712" t="str">
        <f t="shared" si="2804"/>
        <v>89903503</v>
      </c>
      <c r="D15712">
        <v>89301062</v>
      </c>
      <c r="E15712" t="str">
        <f>"535502286"</f>
        <v>535502286</v>
      </c>
      <c r="F15712" s="1">
        <v>45273</v>
      </c>
      <c r="G15712" t="str">
        <f>"89311"</f>
        <v>89311</v>
      </c>
      <c r="H15712">
        <v>1</v>
      </c>
      <c r="I15712">
        <v>970</v>
      </c>
      <c r="J15712">
        <v>0</v>
      </c>
      <c r="K15712" t="str">
        <f t="shared" si="2802"/>
        <v>809</v>
      </c>
      <c r="L15712">
        <v>1425.9</v>
      </c>
    </row>
    <row r="15713" spans="1:12" x14ac:dyDescent="0.25">
      <c r="A15713" t="str">
        <f t="shared" si="2798"/>
        <v>89301000</v>
      </c>
      <c r="B15713" t="str">
        <f t="shared" si="2803"/>
        <v>89903000</v>
      </c>
      <c r="C15713" t="str">
        <f t="shared" si="2804"/>
        <v>89903503</v>
      </c>
      <c r="D15713">
        <v>89301062</v>
      </c>
      <c r="E15713" t="str">
        <f>"535502286"</f>
        <v>535502286</v>
      </c>
      <c r="F15713" s="1">
        <v>45273</v>
      </c>
      <c r="G15713" t="str">
        <f>"89615"</f>
        <v>89615</v>
      </c>
      <c r="H15713">
        <v>1</v>
      </c>
      <c r="I15713">
        <v>2199</v>
      </c>
      <c r="J15713">
        <v>0</v>
      </c>
      <c r="K15713" t="str">
        <f t="shared" si="2802"/>
        <v>809</v>
      </c>
      <c r="L15713">
        <v>1429.35</v>
      </c>
    </row>
    <row r="15714" spans="1:12" x14ac:dyDescent="0.25">
      <c r="A15714" t="str">
        <f t="shared" si="2798"/>
        <v>89301000</v>
      </c>
      <c r="B15714" t="str">
        <f t="shared" si="2803"/>
        <v>89903000</v>
      </c>
      <c r="C15714" t="str">
        <f t="shared" si="2804"/>
        <v>89903503</v>
      </c>
      <c r="D15714">
        <v>89301062</v>
      </c>
      <c r="E15714" t="str">
        <f>"535502286"</f>
        <v>535502286</v>
      </c>
      <c r="F15714" s="1">
        <v>45273</v>
      </c>
      <c r="G15714" t="str">
        <f>"0084090"</f>
        <v>0084090</v>
      </c>
      <c r="H15714">
        <v>0.2</v>
      </c>
      <c r="J15714">
        <v>17.03</v>
      </c>
      <c r="K15714" t="str">
        <f t="shared" si="2802"/>
        <v>809</v>
      </c>
      <c r="L15714">
        <v>17.03</v>
      </c>
    </row>
    <row r="15715" spans="1:12" x14ac:dyDescent="0.25">
      <c r="A15715" t="str">
        <f t="shared" si="2798"/>
        <v>89301000</v>
      </c>
      <c r="B15715" t="str">
        <f t="shared" si="2803"/>
        <v>89903000</v>
      </c>
      <c r="C15715" t="str">
        <f t="shared" si="2804"/>
        <v>89903503</v>
      </c>
      <c r="D15715">
        <v>89301062</v>
      </c>
      <c r="E15715" t="str">
        <f>"6456010693"</f>
        <v>6456010693</v>
      </c>
      <c r="F15715" s="1">
        <v>45279</v>
      </c>
      <c r="G15715" t="str">
        <f>"09233"</f>
        <v>09233</v>
      </c>
      <c r="H15715">
        <v>1</v>
      </c>
      <c r="I15715">
        <v>102</v>
      </c>
      <c r="J15715">
        <v>0</v>
      </c>
      <c r="K15715" t="str">
        <f t="shared" si="2802"/>
        <v>809</v>
      </c>
      <c r="L15715">
        <v>149.94</v>
      </c>
    </row>
    <row r="15716" spans="1:12" x14ac:dyDescent="0.25">
      <c r="A15716" t="str">
        <f t="shared" si="2798"/>
        <v>89301000</v>
      </c>
      <c r="B15716" t="str">
        <f t="shared" si="2803"/>
        <v>89903000</v>
      </c>
      <c r="C15716" t="str">
        <f t="shared" si="2804"/>
        <v>89903503</v>
      </c>
      <c r="D15716">
        <v>89301062</v>
      </c>
      <c r="E15716" t="str">
        <f>"6456010693"</f>
        <v>6456010693</v>
      </c>
      <c r="F15716" s="1">
        <v>45279</v>
      </c>
      <c r="G15716" t="str">
        <f>"89311"</f>
        <v>89311</v>
      </c>
      <c r="H15716">
        <v>1</v>
      </c>
      <c r="I15716">
        <v>970</v>
      </c>
      <c r="J15716">
        <v>0</v>
      </c>
      <c r="K15716" t="str">
        <f t="shared" si="2802"/>
        <v>809</v>
      </c>
      <c r="L15716">
        <v>1425.9</v>
      </c>
    </row>
    <row r="15717" spans="1:12" x14ac:dyDescent="0.25">
      <c r="A15717" t="str">
        <f t="shared" si="2798"/>
        <v>89301000</v>
      </c>
      <c r="B15717" t="str">
        <f t="shared" si="2803"/>
        <v>89903000</v>
      </c>
      <c r="C15717" t="str">
        <f t="shared" si="2804"/>
        <v>89903503</v>
      </c>
      <c r="D15717">
        <v>89301062</v>
      </c>
      <c r="E15717" t="str">
        <f>"6456010693"</f>
        <v>6456010693</v>
      </c>
      <c r="F15717" s="1">
        <v>45279</v>
      </c>
      <c r="G15717" t="str">
        <f>"89615"</f>
        <v>89615</v>
      </c>
      <c r="H15717">
        <v>1</v>
      </c>
      <c r="I15717">
        <v>2199</v>
      </c>
      <c r="J15717">
        <v>0</v>
      </c>
      <c r="K15717" t="str">
        <f t="shared" si="2802"/>
        <v>809</v>
      </c>
      <c r="L15717">
        <v>1429.35</v>
      </c>
    </row>
    <row r="15718" spans="1:12" x14ac:dyDescent="0.25">
      <c r="A15718" t="str">
        <f t="shared" si="2798"/>
        <v>89301000</v>
      </c>
      <c r="B15718" t="str">
        <f t="shared" si="2803"/>
        <v>89903000</v>
      </c>
      <c r="C15718" t="str">
        <f t="shared" si="2804"/>
        <v>89903503</v>
      </c>
      <c r="D15718">
        <v>89301062</v>
      </c>
      <c r="E15718" t="str">
        <f>"6456010693"</f>
        <v>6456010693</v>
      </c>
      <c r="F15718" s="1">
        <v>45279</v>
      </c>
      <c r="G15718" t="str">
        <f>"0084090"</f>
        <v>0084090</v>
      </c>
      <c r="H15718">
        <v>0.2</v>
      </c>
      <c r="J15718">
        <v>17.03</v>
      </c>
      <c r="K15718" t="str">
        <f t="shared" si="2802"/>
        <v>809</v>
      </c>
      <c r="L15718">
        <v>17.03</v>
      </c>
    </row>
    <row r="15719" spans="1:12" x14ac:dyDescent="0.25">
      <c r="A15719" t="str">
        <f t="shared" si="2798"/>
        <v>89301000</v>
      </c>
      <c r="B15719" t="str">
        <f t="shared" si="2803"/>
        <v>89903000</v>
      </c>
      <c r="C15719" t="str">
        <f>"89903504"</f>
        <v>89903504</v>
      </c>
      <c r="D15719">
        <v>89301062</v>
      </c>
      <c r="E15719" t="str">
        <f>"6510221410"</f>
        <v>6510221410</v>
      </c>
      <c r="F15719" s="1">
        <v>45265</v>
      </c>
      <c r="G15719" t="str">
        <f>"89713"</f>
        <v>89713</v>
      </c>
      <c r="H15719">
        <v>2</v>
      </c>
      <c r="I15719">
        <v>10822</v>
      </c>
      <c r="J15719">
        <v>0</v>
      </c>
      <c r="K15719" t="str">
        <f>"810"</f>
        <v>810</v>
      </c>
      <c r="L15719">
        <v>7034.3</v>
      </c>
    </row>
    <row r="15720" spans="1:12" x14ac:dyDescent="0.25">
      <c r="A15720" t="str">
        <f t="shared" si="2798"/>
        <v>89301000</v>
      </c>
      <c r="B15720" t="str">
        <f>"44564000"</f>
        <v>44564000</v>
      </c>
      <c r="C15720" t="str">
        <f>"44564006"</f>
        <v>44564006</v>
      </c>
      <c r="D15720">
        <v>89301375</v>
      </c>
      <c r="E15720" t="str">
        <f>"6002261133"</f>
        <v>6002261133</v>
      </c>
      <c r="F15720" s="1">
        <v>45289</v>
      </c>
      <c r="G15720" t="str">
        <f>"94115"</f>
        <v>94115</v>
      </c>
      <c r="H15720">
        <v>1</v>
      </c>
      <c r="I15720">
        <v>10758</v>
      </c>
      <c r="J15720">
        <v>0</v>
      </c>
      <c r="K15720" t="str">
        <f>"816"</f>
        <v>816</v>
      </c>
      <c r="L15720">
        <v>9682.2000000000007</v>
      </c>
    </row>
    <row r="15721" spans="1:12" x14ac:dyDescent="0.25">
      <c r="A15721" t="str">
        <f t="shared" si="2798"/>
        <v>89301000</v>
      </c>
      <c r="B15721" t="str">
        <f>"02002000"</f>
        <v>02002000</v>
      </c>
      <c r="C15721" t="str">
        <f>"02002303"</f>
        <v>02002303</v>
      </c>
      <c r="D15721">
        <v>89301102</v>
      </c>
      <c r="E15721" t="str">
        <f>"0861246067"</f>
        <v>0861246067</v>
      </c>
      <c r="F15721" s="1">
        <v>45268</v>
      </c>
      <c r="G15721" t="str">
        <f>"86243"</f>
        <v>86243</v>
      </c>
      <c r="H15721">
        <v>1</v>
      </c>
      <c r="I15721">
        <v>402</v>
      </c>
      <c r="J15721">
        <v>0</v>
      </c>
      <c r="K15721" t="str">
        <f>"816"</f>
        <v>816</v>
      </c>
      <c r="L15721">
        <v>361.8</v>
      </c>
    </row>
    <row r="15722" spans="1:12" x14ac:dyDescent="0.25">
      <c r="A15722" t="str">
        <f t="shared" si="2798"/>
        <v>89301000</v>
      </c>
      <c r="B15722" t="str">
        <f>"02002000"</f>
        <v>02002000</v>
      </c>
      <c r="C15722" t="str">
        <f>"02002303"</f>
        <v>02002303</v>
      </c>
      <c r="D15722">
        <v>89301102</v>
      </c>
      <c r="E15722" t="str">
        <f>"0861246067"</f>
        <v>0861246067</v>
      </c>
      <c r="F15722" s="1">
        <v>45268</v>
      </c>
      <c r="G15722" t="str">
        <f>"91581"</f>
        <v>91581</v>
      </c>
      <c r="H15722">
        <v>6</v>
      </c>
      <c r="I15722">
        <v>95694</v>
      </c>
      <c r="J15722">
        <v>0</v>
      </c>
      <c r="K15722" t="str">
        <f>"816"</f>
        <v>816</v>
      </c>
      <c r="L15722">
        <v>86124.6</v>
      </c>
    </row>
    <row r="15723" spans="1:12" x14ac:dyDescent="0.25">
      <c r="A15723" t="str">
        <f t="shared" si="2798"/>
        <v>89301000</v>
      </c>
      <c r="B15723" t="str">
        <f t="shared" ref="B15723:B15786" si="2805">"06539000"</f>
        <v>06539000</v>
      </c>
      <c r="C15723" t="str">
        <f t="shared" ref="C15723:C15756" si="2806">"06539003"</f>
        <v>06539003</v>
      </c>
      <c r="D15723">
        <v>89301171</v>
      </c>
      <c r="E15723" t="str">
        <f t="shared" ref="E15723:E15733" si="2807">"6255230465"</f>
        <v>6255230465</v>
      </c>
      <c r="F15723" s="1">
        <v>45261</v>
      </c>
      <c r="G15723" t="str">
        <f t="shared" ref="G15723:G15730" si="2808">"91413"</f>
        <v>91413</v>
      </c>
      <c r="H15723">
        <v>1</v>
      </c>
      <c r="I15723">
        <v>868</v>
      </c>
      <c r="J15723">
        <v>0</v>
      </c>
      <c r="K15723" t="str">
        <f t="shared" ref="K15723:K15756" si="2809">"813"</f>
        <v>813</v>
      </c>
      <c r="L15723">
        <v>729.12</v>
      </c>
    </row>
    <row r="15724" spans="1:12" x14ac:dyDescent="0.25">
      <c r="A15724" t="str">
        <f t="shared" si="2798"/>
        <v>89301000</v>
      </c>
      <c r="B15724" t="str">
        <f t="shared" si="2805"/>
        <v>06539000</v>
      </c>
      <c r="C15724" t="str">
        <f t="shared" si="2806"/>
        <v>06539003</v>
      </c>
      <c r="D15724">
        <v>89301171</v>
      </c>
      <c r="E15724" t="str">
        <f t="shared" si="2807"/>
        <v>6255230465</v>
      </c>
      <c r="F15724" s="1">
        <v>45261</v>
      </c>
      <c r="G15724" t="str">
        <f t="shared" si="2808"/>
        <v>91413</v>
      </c>
      <c r="H15724">
        <v>1</v>
      </c>
      <c r="I15724">
        <v>868</v>
      </c>
      <c r="J15724">
        <v>0</v>
      </c>
      <c r="K15724" t="str">
        <f t="shared" si="2809"/>
        <v>813</v>
      </c>
      <c r="L15724">
        <v>729.12</v>
      </c>
    </row>
    <row r="15725" spans="1:12" x14ac:dyDescent="0.25">
      <c r="A15725" t="str">
        <f t="shared" si="2798"/>
        <v>89301000</v>
      </c>
      <c r="B15725" t="str">
        <f t="shared" si="2805"/>
        <v>06539000</v>
      </c>
      <c r="C15725" t="str">
        <f t="shared" si="2806"/>
        <v>06539003</v>
      </c>
      <c r="D15725">
        <v>89301171</v>
      </c>
      <c r="E15725" t="str">
        <f t="shared" si="2807"/>
        <v>6255230465</v>
      </c>
      <c r="F15725" s="1">
        <v>45260</v>
      </c>
      <c r="G15725" t="str">
        <f t="shared" si="2808"/>
        <v>91413</v>
      </c>
      <c r="H15725">
        <v>1</v>
      </c>
      <c r="I15725">
        <v>868</v>
      </c>
      <c r="J15725">
        <v>0</v>
      </c>
      <c r="K15725" t="str">
        <f t="shared" si="2809"/>
        <v>813</v>
      </c>
      <c r="L15725">
        <v>729.12</v>
      </c>
    </row>
    <row r="15726" spans="1:12" x14ac:dyDescent="0.25">
      <c r="A15726" t="str">
        <f t="shared" si="2798"/>
        <v>89301000</v>
      </c>
      <c r="B15726" t="str">
        <f t="shared" si="2805"/>
        <v>06539000</v>
      </c>
      <c r="C15726" t="str">
        <f t="shared" si="2806"/>
        <v>06539003</v>
      </c>
      <c r="D15726">
        <v>89301171</v>
      </c>
      <c r="E15726" t="str">
        <f t="shared" si="2807"/>
        <v>6255230465</v>
      </c>
      <c r="F15726" s="1">
        <v>45260</v>
      </c>
      <c r="G15726" t="str">
        <f t="shared" si="2808"/>
        <v>91413</v>
      </c>
      <c r="H15726">
        <v>1</v>
      </c>
      <c r="I15726">
        <v>868</v>
      </c>
      <c r="J15726">
        <v>0</v>
      </c>
      <c r="K15726" t="str">
        <f t="shared" si="2809"/>
        <v>813</v>
      </c>
      <c r="L15726">
        <v>729.12</v>
      </c>
    </row>
    <row r="15727" spans="1:12" x14ac:dyDescent="0.25">
      <c r="A15727" t="str">
        <f t="shared" si="2798"/>
        <v>89301000</v>
      </c>
      <c r="B15727" t="str">
        <f t="shared" si="2805"/>
        <v>06539000</v>
      </c>
      <c r="C15727" t="str">
        <f t="shared" si="2806"/>
        <v>06539003</v>
      </c>
      <c r="D15727">
        <v>89301171</v>
      </c>
      <c r="E15727" t="str">
        <f t="shared" si="2807"/>
        <v>6255230465</v>
      </c>
      <c r="F15727" s="1">
        <v>45261</v>
      </c>
      <c r="G15727" t="str">
        <f t="shared" si="2808"/>
        <v>91413</v>
      </c>
      <c r="H15727">
        <v>1</v>
      </c>
      <c r="I15727">
        <v>868</v>
      </c>
      <c r="J15727">
        <v>0</v>
      </c>
      <c r="K15727" t="str">
        <f t="shared" si="2809"/>
        <v>813</v>
      </c>
      <c r="L15727">
        <v>729.12</v>
      </c>
    </row>
    <row r="15728" spans="1:12" x14ac:dyDescent="0.25">
      <c r="A15728" t="str">
        <f t="shared" si="2798"/>
        <v>89301000</v>
      </c>
      <c r="B15728" t="str">
        <f t="shared" si="2805"/>
        <v>06539000</v>
      </c>
      <c r="C15728" t="str">
        <f t="shared" si="2806"/>
        <v>06539003</v>
      </c>
      <c r="D15728">
        <v>89301171</v>
      </c>
      <c r="E15728" t="str">
        <f t="shared" si="2807"/>
        <v>6255230465</v>
      </c>
      <c r="F15728" s="1">
        <v>45261</v>
      </c>
      <c r="G15728" t="str">
        <f t="shared" si="2808"/>
        <v>91413</v>
      </c>
      <c r="H15728">
        <v>1</v>
      </c>
      <c r="I15728">
        <v>868</v>
      </c>
      <c r="J15728">
        <v>0</v>
      </c>
      <c r="K15728" t="str">
        <f t="shared" si="2809"/>
        <v>813</v>
      </c>
      <c r="L15728">
        <v>729.12</v>
      </c>
    </row>
    <row r="15729" spans="1:12" x14ac:dyDescent="0.25">
      <c r="A15729" t="str">
        <f t="shared" si="2798"/>
        <v>89301000</v>
      </c>
      <c r="B15729" t="str">
        <f t="shared" si="2805"/>
        <v>06539000</v>
      </c>
      <c r="C15729" t="str">
        <f t="shared" si="2806"/>
        <v>06539003</v>
      </c>
      <c r="D15729">
        <v>89301171</v>
      </c>
      <c r="E15729" t="str">
        <f t="shared" si="2807"/>
        <v>6255230465</v>
      </c>
      <c r="F15729" s="1">
        <v>45261</v>
      </c>
      <c r="G15729" t="str">
        <f t="shared" si="2808"/>
        <v>91413</v>
      </c>
      <c r="H15729">
        <v>1</v>
      </c>
      <c r="I15729">
        <v>868</v>
      </c>
      <c r="J15729">
        <v>0</v>
      </c>
      <c r="K15729" t="str">
        <f t="shared" si="2809"/>
        <v>813</v>
      </c>
      <c r="L15729">
        <v>729.12</v>
      </c>
    </row>
    <row r="15730" spans="1:12" x14ac:dyDescent="0.25">
      <c r="A15730" t="str">
        <f t="shared" si="2798"/>
        <v>89301000</v>
      </c>
      <c r="B15730" t="str">
        <f t="shared" si="2805"/>
        <v>06539000</v>
      </c>
      <c r="C15730" t="str">
        <f t="shared" si="2806"/>
        <v>06539003</v>
      </c>
      <c r="D15730">
        <v>89301171</v>
      </c>
      <c r="E15730" t="str">
        <f t="shared" si="2807"/>
        <v>6255230465</v>
      </c>
      <c r="F15730" s="1">
        <v>45261</v>
      </c>
      <c r="G15730" t="str">
        <f t="shared" si="2808"/>
        <v>91413</v>
      </c>
      <c r="H15730">
        <v>1</v>
      </c>
      <c r="I15730">
        <v>868</v>
      </c>
      <c r="J15730">
        <v>0</v>
      </c>
      <c r="K15730" t="str">
        <f t="shared" si="2809"/>
        <v>813</v>
      </c>
      <c r="L15730">
        <v>729.12</v>
      </c>
    </row>
    <row r="15731" spans="1:12" x14ac:dyDescent="0.25">
      <c r="A15731" t="str">
        <f t="shared" si="2798"/>
        <v>89301000</v>
      </c>
      <c r="B15731" t="str">
        <f t="shared" si="2805"/>
        <v>06539000</v>
      </c>
      <c r="C15731" t="str">
        <f t="shared" si="2806"/>
        <v>06539003</v>
      </c>
      <c r="D15731">
        <v>89301171</v>
      </c>
      <c r="E15731" t="str">
        <f t="shared" si="2807"/>
        <v>6255230465</v>
      </c>
      <c r="F15731" s="1">
        <v>45253</v>
      </c>
      <c r="G15731" t="str">
        <f>"91329"</f>
        <v>91329</v>
      </c>
      <c r="H15731">
        <v>2</v>
      </c>
      <c r="I15731">
        <v>436</v>
      </c>
      <c r="J15731">
        <v>0</v>
      </c>
      <c r="K15731" t="str">
        <f t="shared" si="2809"/>
        <v>813</v>
      </c>
      <c r="L15731">
        <v>366.24</v>
      </c>
    </row>
    <row r="15732" spans="1:12" x14ac:dyDescent="0.25">
      <c r="A15732" t="str">
        <f t="shared" si="2798"/>
        <v>89301000</v>
      </c>
      <c r="B15732" t="str">
        <f t="shared" si="2805"/>
        <v>06539000</v>
      </c>
      <c r="C15732" t="str">
        <f t="shared" si="2806"/>
        <v>06539003</v>
      </c>
      <c r="D15732">
        <v>89301171</v>
      </c>
      <c r="E15732" t="str">
        <f t="shared" si="2807"/>
        <v>6255230465</v>
      </c>
      <c r="F15732" s="1">
        <v>45253</v>
      </c>
      <c r="G15732" t="str">
        <f>"91329"</f>
        <v>91329</v>
      </c>
      <c r="H15732">
        <v>2</v>
      </c>
      <c r="I15732">
        <v>436</v>
      </c>
      <c r="J15732">
        <v>0</v>
      </c>
      <c r="K15732" t="str">
        <f t="shared" si="2809"/>
        <v>813</v>
      </c>
      <c r="L15732">
        <v>366.24</v>
      </c>
    </row>
    <row r="15733" spans="1:12" x14ac:dyDescent="0.25">
      <c r="A15733" t="str">
        <f t="shared" si="2798"/>
        <v>89301000</v>
      </c>
      <c r="B15733" t="str">
        <f t="shared" si="2805"/>
        <v>06539000</v>
      </c>
      <c r="C15733" t="str">
        <f t="shared" si="2806"/>
        <v>06539003</v>
      </c>
      <c r="D15733">
        <v>89301171</v>
      </c>
      <c r="E15733" t="str">
        <f t="shared" si="2807"/>
        <v>6255230465</v>
      </c>
      <c r="F15733" s="1">
        <v>45253</v>
      </c>
      <c r="G15733" t="str">
        <f>"91475"</f>
        <v>91475</v>
      </c>
      <c r="H15733">
        <v>1</v>
      </c>
      <c r="I15733">
        <v>213</v>
      </c>
      <c r="J15733">
        <v>0</v>
      </c>
      <c r="K15733" t="str">
        <f t="shared" si="2809"/>
        <v>813</v>
      </c>
      <c r="L15733">
        <v>178.92</v>
      </c>
    </row>
    <row r="15734" spans="1:12" x14ac:dyDescent="0.25">
      <c r="A15734" t="str">
        <f t="shared" si="2798"/>
        <v>89301000</v>
      </c>
      <c r="B15734" t="str">
        <f t="shared" si="2805"/>
        <v>06539000</v>
      </c>
      <c r="C15734" t="str">
        <f t="shared" si="2806"/>
        <v>06539003</v>
      </c>
      <c r="D15734">
        <v>89301171</v>
      </c>
      <c r="E15734" t="str">
        <f t="shared" ref="E15734:E15756" si="2810">"9307016191"</f>
        <v>9307016191</v>
      </c>
      <c r="F15734" s="1">
        <v>45243</v>
      </c>
      <c r="G15734" t="str">
        <f t="shared" ref="G15734:G15743" si="2811">"91413"</f>
        <v>91413</v>
      </c>
      <c r="H15734">
        <v>1</v>
      </c>
      <c r="I15734">
        <v>868</v>
      </c>
      <c r="J15734">
        <v>0</v>
      </c>
      <c r="K15734" t="str">
        <f t="shared" si="2809"/>
        <v>813</v>
      </c>
      <c r="L15734">
        <v>729.12</v>
      </c>
    </row>
    <row r="15735" spans="1:12" x14ac:dyDescent="0.25">
      <c r="A15735" t="str">
        <f t="shared" si="2798"/>
        <v>89301000</v>
      </c>
      <c r="B15735" t="str">
        <f t="shared" si="2805"/>
        <v>06539000</v>
      </c>
      <c r="C15735" t="str">
        <f t="shared" si="2806"/>
        <v>06539003</v>
      </c>
      <c r="D15735">
        <v>89301171</v>
      </c>
      <c r="E15735" t="str">
        <f t="shared" si="2810"/>
        <v>9307016191</v>
      </c>
      <c r="F15735" s="1">
        <v>45243</v>
      </c>
      <c r="G15735" t="str">
        <f t="shared" si="2811"/>
        <v>91413</v>
      </c>
      <c r="H15735">
        <v>1</v>
      </c>
      <c r="I15735">
        <v>868</v>
      </c>
      <c r="J15735">
        <v>0</v>
      </c>
      <c r="K15735" t="str">
        <f t="shared" si="2809"/>
        <v>813</v>
      </c>
      <c r="L15735">
        <v>729.12</v>
      </c>
    </row>
    <row r="15736" spans="1:12" x14ac:dyDescent="0.25">
      <c r="A15736" t="str">
        <f t="shared" si="2798"/>
        <v>89301000</v>
      </c>
      <c r="B15736" t="str">
        <f t="shared" si="2805"/>
        <v>06539000</v>
      </c>
      <c r="C15736" t="str">
        <f t="shared" si="2806"/>
        <v>06539003</v>
      </c>
      <c r="D15736">
        <v>89301171</v>
      </c>
      <c r="E15736" t="str">
        <f t="shared" si="2810"/>
        <v>9307016191</v>
      </c>
      <c r="F15736" s="1">
        <v>45261</v>
      </c>
      <c r="G15736" t="str">
        <f t="shared" si="2811"/>
        <v>91413</v>
      </c>
      <c r="H15736">
        <v>1</v>
      </c>
      <c r="I15736">
        <v>868</v>
      </c>
      <c r="J15736">
        <v>0</v>
      </c>
      <c r="K15736" t="str">
        <f t="shared" si="2809"/>
        <v>813</v>
      </c>
      <c r="L15736">
        <v>729.12</v>
      </c>
    </row>
    <row r="15737" spans="1:12" x14ac:dyDescent="0.25">
      <c r="A15737" t="str">
        <f t="shared" si="2798"/>
        <v>89301000</v>
      </c>
      <c r="B15737" t="str">
        <f t="shared" si="2805"/>
        <v>06539000</v>
      </c>
      <c r="C15737" t="str">
        <f t="shared" si="2806"/>
        <v>06539003</v>
      </c>
      <c r="D15737">
        <v>89301171</v>
      </c>
      <c r="E15737" t="str">
        <f t="shared" si="2810"/>
        <v>9307016191</v>
      </c>
      <c r="F15737" s="1">
        <v>45261</v>
      </c>
      <c r="G15737" t="str">
        <f t="shared" si="2811"/>
        <v>91413</v>
      </c>
      <c r="H15737">
        <v>1</v>
      </c>
      <c r="I15737">
        <v>868</v>
      </c>
      <c r="J15737">
        <v>0</v>
      </c>
      <c r="K15737" t="str">
        <f t="shared" si="2809"/>
        <v>813</v>
      </c>
      <c r="L15737">
        <v>729.12</v>
      </c>
    </row>
    <row r="15738" spans="1:12" x14ac:dyDescent="0.25">
      <c r="A15738" t="str">
        <f t="shared" si="2798"/>
        <v>89301000</v>
      </c>
      <c r="B15738" t="str">
        <f t="shared" si="2805"/>
        <v>06539000</v>
      </c>
      <c r="C15738" t="str">
        <f t="shared" si="2806"/>
        <v>06539003</v>
      </c>
      <c r="D15738">
        <v>89301171</v>
      </c>
      <c r="E15738" t="str">
        <f t="shared" si="2810"/>
        <v>9307016191</v>
      </c>
      <c r="F15738" s="1">
        <v>45260</v>
      </c>
      <c r="G15738" t="str">
        <f t="shared" si="2811"/>
        <v>91413</v>
      </c>
      <c r="H15738">
        <v>1</v>
      </c>
      <c r="I15738">
        <v>868</v>
      </c>
      <c r="J15738">
        <v>0</v>
      </c>
      <c r="K15738" t="str">
        <f t="shared" si="2809"/>
        <v>813</v>
      </c>
      <c r="L15738">
        <v>729.12</v>
      </c>
    </row>
    <row r="15739" spans="1:12" x14ac:dyDescent="0.25">
      <c r="A15739" t="str">
        <f t="shared" si="2798"/>
        <v>89301000</v>
      </c>
      <c r="B15739" t="str">
        <f t="shared" si="2805"/>
        <v>06539000</v>
      </c>
      <c r="C15739" t="str">
        <f t="shared" si="2806"/>
        <v>06539003</v>
      </c>
      <c r="D15739">
        <v>89301171</v>
      </c>
      <c r="E15739" t="str">
        <f t="shared" si="2810"/>
        <v>9307016191</v>
      </c>
      <c r="F15739" s="1">
        <v>45260</v>
      </c>
      <c r="G15739" t="str">
        <f t="shared" si="2811"/>
        <v>91413</v>
      </c>
      <c r="H15739">
        <v>1</v>
      </c>
      <c r="I15739">
        <v>868</v>
      </c>
      <c r="J15739">
        <v>0</v>
      </c>
      <c r="K15739" t="str">
        <f t="shared" si="2809"/>
        <v>813</v>
      </c>
      <c r="L15739">
        <v>729.12</v>
      </c>
    </row>
    <row r="15740" spans="1:12" x14ac:dyDescent="0.25">
      <c r="A15740" t="str">
        <f t="shared" si="2798"/>
        <v>89301000</v>
      </c>
      <c r="B15740" t="str">
        <f t="shared" si="2805"/>
        <v>06539000</v>
      </c>
      <c r="C15740" t="str">
        <f t="shared" si="2806"/>
        <v>06539003</v>
      </c>
      <c r="D15740">
        <v>89301171</v>
      </c>
      <c r="E15740" t="str">
        <f t="shared" si="2810"/>
        <v>9307016191</v>
      </c>
      <c r="F15740" s="1">
        <v>45261</v>
      </c>
      <c r="G15740" t="str">
        <f t="shared" si="2811"/>
        <v>91413</v>
      </c>
      <c r="H15740">
        <v>1</v>
      </c>
      <c r="I15740">
        <v>868</v>
      </c>
      <c r="J15740">
        <v>0</v>
      </c>
      <c r="K15740" t="str">
        <f t="shared" si="2809"/>
        <v>813</v>
      </c>
      <c r="L15740">
        <v>729.12</v>
      </c>
    </row>
    <row r="15741" spans="1:12" x14ac:dyDescent="0.25">
      <c r="A15741" t="str">
        <f t="shared" si="2798"/>
        <v>89301000</v>
      </c>
      <c r="B15741" t="str">
        <f t="shared" si="2805"/>
        <v>06539000</v>
      </c>
      <c r="C15741" t="str">
        <f t="shared" si="2806"/>
        <v>06539003</v>
      </c>
      <c r="D15741">
        <v>89301171</v>
      </c>
      <c r="E15741" t="str">
        <f t="shared" si="2810"/>
        <v>9307016191</v>
      </c>
      <c r="F15741" s="1">
        <v>45261</v>
      </c>
      <c r="G15741" t="str">
        <f t="shared" si="2811"/>
        <v>91413</v>
      </c>
      <c r="H15741">
        <v>1</v>
      </c>
      <c r="I15741">
        <v>868</v>
      </c>
      <c r="J15741">
        <v>0</v>
      </c>
      <c r="K15741" t="str">
        <f t="shared" si="2809"/>
        <v>813</v>
      </c>
      <c r="L15741">
        <v>729.12</v>
      </c>
    </row>
    <row r="15742" spans="1:12" x14ac:dyDescent="0.25">
      <c r="A15742" t="str">
        <f t="shared" si="2798"/>
        <v>89301000</v>
      </c>
      <c r="B15742" t="str">
        <f t="shared" si="2805"/>
        <v>06539000</v>
      </c>
      <c r="C15742" t="str">
        <f t="shared" si="2806"/>
        <v>06539003</v>
      </c>
      <c r="D15742">
        <v>89301171</v>
      </c>
      <c r="E15742" t="str">
        <f t="shared" si="2810"/>
        <v>9307016191</v>
      </c>
      <c r="F15742" s="1">
        <v>45261</v>
      </c>
      <c r="G15742" t="str">
        <f t="shared" si="2811"/>
        <v>91413</v>
      </c>
      <c r="H15742">
        <v>1</v>
      </c>
      <c r="I15742">
        <v>868</v>
      </c>
      <c r="J15742">
        <v>0</v>
      </c>
      <c r="K15742" t="str">
        <f t="shared" si="2809"/>
        <v>813</v>
      </c>
      <c r="L15742">
        <v>729.12</v>
      </c>
    </row>
    <row r="15743" spans="1:12" x14ac:dyDescent="0.25">
      <c r="A15743" t="str">
        <f t="shared" si="2798"/>
        <v>89301000</v>
      </c>
      <c r="B15743" t="str">
        <f t="shared" si="2805"/>
        <v>06539000</v>
      </c>
      <c r="C15743" t="str">
        <f t="shared" si="2806"/>
        <v>06539003</v>
      </c>
      <c r="D15743">
        <v>89301171</v>
      </c>
      <c r="E15743" t="str">
        <f t="shared" si="2810"/>
        <v>9307016191</v>
      </c>
      <c r="F15743" s="1">
        <v>45261</v>
      </c>
      <c r="G15743" t="str">
        <f t="shared" si="2811"/>
        <v>91413</v>
      </c>
      <c r="H15743">
        <v>1</v>
      </c>
      <c r="I15743">
        <v>868</v>
      </c>
      <c r="J15743">
        <v>0</v>
      </c>
      <c r="K15743" t="str">
        <f t="shared" si="2809"/>
        <v>813</v>
      </c>
      <c r="L15743">
        <v>729.12</v>
      </c>
    </row>
    <row r="15744" spans="1:12" x14ac:dyDescent="0.25">
      <c r="A15744" t="str">
        <f t="shared" si="2798"/>
        <v>89301000</v>
      </c>
      <c r="B15744" t="str">
        <f t="shared" si="2805"/>
        <v>06539000</v>
      </c>
      <c r="C15744" t="str">
        <f t="shared" si="2806"/>
        <v>06539003</v>
      </c>
      <c r="D15744">
        <v>89301171</v>
      </c>
      <c r="E15744" t="str">
        <f t="shared" si="2810"/>
        <v>9307016191</v>
      </c>
      <c r="F15744" s="1">
        <v>45243</v>
      </c>
      <c r="G15744" t="str">
        <f t="shared" ref="G15744:G15749" si="2812">"91197"</f>
        <v>91197</v>
      </c>
      <c r="H15744">
        <v>1</v>
      </c>
      <c r="I15744">
        <v>1048</v>
      </c>
      <c r="J15744">
        <v>0</v>
      </c>
      <c r="K15744" t="str">
        <f t="shared" si="2809"/>
        <v>813</v>
      </c>
      <c r="L15744">
        <v>880.32</v>
      </c>
    </row>
    <row r="15745" spans="1:12" x14ac:dyDescent="0.25">
      <c r="A15745" t="str">
        <f t="shared" si="2798"/>
        <v>89301000</v>
      </c>
      <c r="B15745" t="str">
        <f t="shared" si="2805"/>
        <v>06539000</v>
      </c>
      <c r="C15745" t="str">
        <f t="shared" si="2806"/>
        <v>06539003</v>
      </c>
      <c r="D15745">
        <v>89301171</v>
      </c>
      <c r="E15745" t="str">
        <f t="shared" si="2810"/>
        <v>9307016191</v>
      </c>
      <c r="F15745" s="1">
        <v>45243</v>
      </c>
      <c r="G15745" t="str">
        <f t="shared" si="2812"/>
        <v>91197</v>
      </c>
      <c r="H15745">
        <v>1</v>
      </c>
      <c r="I15745">
        <v>1048</v>
      </c>
      <c r="J15745">
        <v>0</v>
      </c>
      <c r="K15745" t="str">
        <f t="shared" si="2809"/>
        <v>813</v>
      </c>
      <c r="L15745">
        <v>880.32</v>
      </c>
    </row>
    <row r="15746" spans="1:12" x14ac:dyDescent="0.25">
      <c r="A15746" t="str">
        <f t="shared" ref="A15746:A15809" si="2813">"89301000"</f>
        <v>89301000</v>
      </c>
      <c r="B15746" t="str">
        <f t="shared" si="2805"/>
        <v>06539000</v>
      </c>
      <c r="C15746" t="str">
        <f t="shared" si="2806"/>
        <v>06539003</v>
      </c>
      <c r="D15746">
        <v>89301171</v>
      </c>
      <c r="E15746" t="str">
        <f t="shared" si="2810"/>
        <v>9307016191</v>
      </c>
      <c r="F15746" s="1">
        <v>45242</v>
      </c>
      <c r="G15746" t="str">
        <f t="shared" si="2812"/>
        <v>91197</v>
      </c>
      <c r="H15746">
        <v>1</v>
      </c>
      <c r="I15746">
        <v>1048</v>
      </c>
      <c r="J15746">
        <v>0</v>
      </c>
      <c r="K15746" t="str">
        <f t="shared" si="2809"/>
        <v>813</v>
      </c>
      <c r="L15746">
        <v>880.32</v>
      </c>
    </row>
    <row r="15747" spans="1:12" x14ac:dyDescent="0.25">
      <c r="A15747" t="str">
        <f t="shared" si="2813"/>
        <v>89301000</v>
      </c>
      <c r="B15747" t="str">
        <f t="shared" si="2805"/>
        <v>06539000</v>
      </c>
      <c r="C15747" t="str">
        <f t="shared" si="2806"/>
        <v>06539003</v>
      </c>
      <c r="D15747">
        <v>89301171</v>
      </c>
      <c r="E15747" t="str">
        <f t="shared" si="2810"/>
        <v>9307016191</v>
      </c>
      <c r="F15747" s="1">
        <v>45242</v>
      </c>
      <c r="G15747" t="str">
        <f t="shared" si="2812"/>
        <v>91197</v>
      </c>
      <c r="H15747">
        <v>1</v>
      </c>
      <c r="I15747">
        <v>1048</v>
      </c>
      <c r="J15747">
        <v>0</v>
      </c>
      <c r="K15747" t="str">
        <f t="shared" si="2809"/>
        <v>813</v>
      </c>
      <c r="L15747">
        <v>880.32</v>
      </c>
    </row>
    <row r="15748" spans="1:12" x14ac:dyDescent="0.25">
      <c r="A15748" t="str">
        <f t="shared" si="2813"/>
        <v>89301000</v>
      </c>
      <c r="B15748" t="str">
        <f t="shared" si="2805"/>
        <v>06539000</v>
      </c>
      <c r="C15748" t="str">
        <f t="shared" si="2806"/>
        <v>06539003</v>
      </c>
      <c r="D15748">
        <v>89301171</v>
      </c>
      <c r="E15748" t="str">
        <f t="shared" si="2810"/>
        <v>9307016191</v>
      </c>
      <c r="F15748" s="1">
        <v>45241</v>
      </c>
      <c r="G15748" t="str">
        <f t="shared" si="2812"/>
        <v>91197</v>
      </c>
      <c r="H15748">
        <v>1</v>
      </c>
      <c r="I15748">
        <v>1048</v>
      </c>
      <c r="J15748">
        <v>0</v>
      </c>
      <c r="K15748" t="str">
        <f t="shared" si="2809"/>
        <v>813</v>
      </c>
      <c r="L15748">
        <v>880.32</v>
      </c>
    </row>
    <row r="15749" spans="1:12" x14ac:dyDescent="0.25">
      <c r="A15749" t="str">
        <f t="shared" si="2813"/>
        <v>89301000</v>
      </c>
      <c r="B15749" t="str">
        <f t="shared" si="2805"/>
        <v>06539000</v>
      </c>
      <c r="C15749" t="str">
        <f t="shared" si="2806"/>
        <v>06539003</v>
      </c>
      <c r="D15749">
        <v>89301171</v>
      </c>
      <c r="E15749" t="str">
        <f t="shared" si="2810"/>
        <v>9307016191</v>
      </c>
      <c r="F15749" s="1">
        <v>45241</v>
      </c>
      <c r="G15749" t="str">
        <f t="shared" si="2812"/>
        <v>91197</v>
      </c>
      <c r="H15749">
        <v>1</v>
      </c>
      <c r="I15749">
        <v>1048</v>
      </c>
      <c r="J15749">
        <v>0</v>
      </c>
      <c r="K15749" t="str">
        <f t="shared" si="2809"/>
        <v>813</v>
      </c>
      <c r="L15749">
        <v>880.32</v>
      </c>
    </row>
    <row r="15750" spans="1:12" x14ac:dyDescent="0.25">
      <c r="A15750" t="str">
        <f t="shared" si="2813"/>
        <v>89301000</v>
      </c>
      <c r="B15750" t="str">
        <f t="shared" si="2805"/>
        <v>06539000</v>
      </c>
      <c r="C15750" t="str">
        <f t="shared" si="2806"/>
        <v>06539003</v>
      </c>
      <c r="D15750">
        <v>89301171</v>
      </c>
      <c r="E15750" t="str">
        <f t="shared" si="2810"/>
        <v>9307016191</v>
      </c>
      <c r="F15750" s="1">
        <v>45253</v>
      </c>
      <c r="G15750" t="str">
        <f>"91329"</f>
        <v>91329</v>
      </c>
      <c r="H15750">
        <v>2</v>
      </c>
      <c r="I15750">
        <v>436</v>
      </c>
      <c r="J15750">
        <v>0</v>
      </c>
      <c r="K15750" t="str">
        <f t="shared" si="2809"/>
        <v>813</v>
      </c>
      <c r="L15750">
        <v>366.24</v>
      </c>
    </row>
    <row r="15751" spans="1:12" x14ac:dyDescent="0.25">
      <c r="A15751" t="str">
        <f t="shared" si="2813"/>
        <v>89301000</v>
      </c>
      <c r="B15751" t="str">
        <f t="shared" si="2805"/>
        <v>06539000</v>
      </c>
      <c r="C15751" t="str">
        <f t="shared" si="2806"/>
        <v>06539003</v>
      </c>
      <c r="D15751">
        <v>89301171</v>
      </c>
      <c r="E15751" t="str">
        <f t="shared" si="2810"/>
        <v>9307016191</v>
      </c>
      <c r="F15751" s="1">
        <v>45258</v>
      </c>
      <c r="G15751" t="str">
        <f>"91329"</f>
        <v>91329</v>
      </c>
      <c r="H15751">
        <v>4</v>
      </c>
      <c r="I15751">
        <v>872</v>
      </c>
      <c r="J15751">
        <v>0</v>
      </c>
      <c r="K15751" t="str">
        <f t="shared" si="2809"/>
        <v>813</v>
      </c>
      <c r="L15751">
        <v>732.48</v>
      </c>
    </row>
    <row r="15752" spans="1:12" x14ac:dyDescent="0.25">
      <c r="A15752" t="str">
        <f t="shared" si="2813"/>
        <v>89301000</v>
      </c>
      <c r="B15752" t="str">
        <f t="shared" si="2805"/>
        <v>06539000</v>
      </c>
      <c r="C15752" t="str">
        <f t="shared" si="2806"/>
        <v>06539003</v>
      </c>
      <c r="D15752">
        <v>89301171</v>
      </c>
      <c r="E15752" t="str">
        <f t="shared" si="2810"/>
        <v>9307016191</v>
      </c>
      <c r="F15752" s="1">
        <v>45243</v>
      </c>
      <c r="G15752" t="str">
        <f>"91329"</f>
        <v>91329</v>
      </c>
      <c r="H15752">
        <v>2</v>
      </c>
      <c r="I15752">
        <v>436</v>
      </c>
      <c r="J15752">
        <v>0</v>
      </c>
      <c r="K15752" t="str">
        <f t="shared" si="2809"/>
        <v>813</v>
      </c>
      <c r="L15752">
        <v>366.24</v>
      </c>
    </row>
    <row r="15753" spans="1:12" x14ac:dyDescent="0.25">
      <c r="A15753" t="str">
        <f t="shared" si="2813"/>
        <v>89301000</v>
      </c>
      <c r="B15753" t="str">
        <f t="shared" si="2805"/>
        <v>06539000</v>
      </c>
      <c r="C15753" t="str">
        <f t="shared" si="2806"/>
        <v>06539003</v>
      </c>
      <c r="D15753">
        <v>89301171</v>
      </c>
      <c r="E15753" t="str">
        <f t="shared" si="2810"/>
        <v>9307016191</v>
      </c>
      <c r="F15753" s="1">
        <v>45243</v>
      </c>
      <c r="G15753" t="str">
        <f>"91329"</f>
        <v>91329</v>
      </c>
      <c r="H15753">
        <v>2</v>
      </c>
      <c r="I15753">
        <v>436</v>
      </c>
      <c r="J15753">
        <v>0</v>
      </c>
      <c r="K15753" t="str">
        <f t="shared" si="2809"/>
        <v>813</v>
      </c>
      <c r="L15753">
        <v>366.24</v>
      </c>
    </row>
    <row r="15754" spans="1:12" x14ac:dyDescent="0.25">
      <c r="A15754" t="str">
        <f t="shared" si="2813"/>
        <v>89301000</v>
      </c>
      <c r="B15754" t="str">
        <f t="shared" si="2805"/>
        <v>06539000</v>
      </c>
      <c r="C15754" t="str">
        <f t="shared" si="2806"/>
        <v>06539003</v>
      </c>
      <c r="D15754">
        <v>89301171</v>
      </c>
      <c r="E15754" t="str">
        <f t="shared" si="2810"/>
        <v>9307016191</v>
      </c>
      <c r="F15754" s="1">
        <v>45241</v>
      </c>
      <c r="G15754" t="str">
        <f>"91167"</f>
        <v>91167</v>
      </c>
      <c r="H15754">
        <v>1</v>
      </c>
      <c r="I15754">
        <v>426</v>
      </c>
      <c r="J15754">
        <v>0</v>
      </c>
      <c r="K15754" t="str">
        <f t="shared" si="2809"/>
        <v>813</v>
      </c>
      <c r="L15754">
        <v>357.84</v>
      </c>
    </row>
    <row r="15755" spans="1:12" x14ac:dyDescent="0.25">
      <c r="A15755" t="str">
        <f t="shared" si="2813"/>
        <v>89301000</v>
      </c>
      <c r="B15755" t="str">
        <f t="shared" si="2805"/>
        <v>06539000</v>
      </c>
      <c r="C15755" t="str">
        <f t="shared" si="2806"/>
        <v>06539003</v>
      </c>
      <c r="D15755">
        <v>89301171</v>
      </c>
      <c r="E15755" t="str">
        <f t="shared" si="2810"/>
        <v>9307016191</v>
      </c>
      <c r="F15755" s="1">
        <v>45241</v>
      </c>
      <c r="G15755" t="str">
        <f>"91169"</f>
        <v>91169</v>
      </c>
      <c r="H15755">
        <v>1</v>
      </c>
      <c r="I15755">
        <v>426</v>
      </c>
      <c r="J15755">
        <v>0</v>
      </c>
      <c r="K15755" t="str">
        <f t="shared" si="2809"/>
        <v>813</v>
      </c>
      <c r="L15755">
        <v>357.84</v>
      </c>
    </row>
    <row r="15756" spans="1:12" x14ac:dyDescent="0.25">
      <c r="A15756" t="str">
        <f t="shared" si="2813"/>
        <v>89301000</v>
      </c>
      <c r="B15756" t="str">
        <f t="shared" si="2805"/>
        <v>06539000</v>
      </c>
      <c r="C15756" t="str">
        <f t="shared" si="2806"/>
        <v>06539003</v>
      </c>
      <c r="D15756">
        <v>89301171</v>
      </c>
      <c r="E15756" t="str">
        <f t="shared" si="2810"/>
        <v>9307016191</v>
      </c>
      <c r="F15756" s="1">
        <v>45258</v>
      </c>
      <c r="G15756" t="str">
        <f>"91475"</f>
        <v>91475</v>
      </c>
      <c r="H15756">
        <v>1</v>
      </c>
      <c r="I15756">
        <v>213</v>
      </c>
      <c r="J15756">
        <v>0</v>
      </c>
      <c r="K15756" t="str">
        <f t="shared" si="2809"/>
        <v>813</v>
      </c>
      <c r="L15756">
        <v>178.92</v>
      </c>
    </row>
    <row r="15757" spans="1:12" x14ac:dyDescent="0.25">
      <c r="A15757" t="str">
        <f t="shared" si="2813"/>
        <v>89301000</v>
      </c>
      <c r="B15757" t="str">
        <f t="shared" si="2805"/>
        <v>06539000</v>
      </c>
      <c r="C15757" t="str">
        <f>"06539001"</f>
        <v>06539001</v>
      </c>
      <c r="D15757">
        <v>89301101</v>
      </c>
      <c r="E15757" t="str">
        <f t="shared" ref="E15757:E15788" si="2814">"1055285264"</f>
        <v>1055285264</v>
      </c>
      <c r="F15757" s="1">
        <v>45254</v>
      </c>
      <c r="G15757" t="str">
        <f>"81329"</f>
        <v>81329</v>
      </c>
      <c r="H15757">
        <v>1</v>
      </c>
      <c r="I15757">
        <v>17</v>
      </c>
      <c r="J15757">
        <v>0</v>
      </c>
      <c r="K15757" t="str">
        <f>"801"</f>
        <v>801</v>
      </c>
      <c r="L15757">
        <v>14.28</v>
      </c>
    </row>
    <row r="15758" spans="1:12" x14ac:dyDescent="0.25">
      <c r="A15758" t="str">
        <f t="shared" si="2813"/>
        <v>89301000</v>
      </c>
      <c r="B15758" t="str">
        <f t="shared" si="2805"/>
        <v>06539000</v>
      </c>
      <c r="C15758" t="str">
        <f>"06539001"</f>
        <v>06539001</v>
      </c>
      <c r="D15758">
        <v>89301101</v>
      </c>
      <c r="E15758" t="str">
        <f t="shared" si="2814"/>
        <v>1055285264</v>
      </c>
      <c r="F15758" s="1">
        <v>45254</v>
      </c>
      <c r="G15758" t="str">
        <f>"81331"</f>
        <v>81331</v>
      </c>
      <c r="H15758">
        <v>1</v>
      </c>
      <c r="I15758">
        <v>193</v>
      </c>
      <c r="J15758">
        <v>0</v>
      </c>
      <c r="K15758" t="str">
        <f>"801"</f>
        <v>801</v>
      </c>
      <c r="L15758">
        <v>162.12</v>
      </c>
    </row>
    <row r="15759" spans="1:12" x14ac:dyDescent="0.25">
      <c r="A15759" t="str">
        <f t="shared" si="2813"/>
        <v>89301000</v>
      </c>
      <c r="B15759" t="str">
        <f t="shared" si="2805"/>
        <v>06539000</v>
      </c>
      <c r="C15759" t="str">
        <f t="shared" ref="C15759:C15765" si="2815">"06539002"</f>
        <v>06539002</v>
      </c>
      <c r="D15759">
        <v>89301101</v>
      </c>
      <c r="E15759" t="str">
        <f t="shared" si="2814"/>
        <v>1055285264</v>
      </c>
      <c r="F15759" s="1">
        <v>45258</v>
      </c>
      <c r="G15759" t="str">
        <f>"82036"</f>
        <v>82036</v>
      </c>
      <c r="H15759">
        <v>1</v>
      </c>
      <c r="I15759">
        <v>1517</v>
      </c>
      <c r="J15759">
        <v>0</v>
      </c>
      <c r="K15759" t="str">
        <f t="shared" ref="K15759:K15765" si="2816">"802"</f>
        <v>802</v>
      </c>
      <c r="L15759">
        <v>1471.49</v>
      </c>
    </row>
    <row r="15760" spans="1:12" x14ac:dyDescent="0.25">
      <c r="A15760" t="str">
        <f t="shared" si="2813"/>
        <v>89301000</v>
      </c>
      <c r="B15760" t="str">
        <f t="shared" si="2805"/>
        <v>06539000</v>
      </c>
      <c r="C15760" t="str">
        <f t="shared" si="2815"/>
        <v>06539002</v>
      </c>
      <c r="D15760">
        <v>89301101</v>
      </c>
      <c r="E15760" t="str">
        <f t="shared" si="2814"/>
        <v>1055285264</v>
      </c>
      <c r="F15760" s="1">
        <v>45254</v>
      </c>
      <c r="G15760" t="str">
        <f>"82034"</f>
        <v>82034</v>
      </c>
      <c r="H15760">
        <v>1</v>
      </c>
      <c r="I15760">
        <v>354</v>
      </c>
      <c r="J15760">
        <v>0</v>
      </c>
      <c r="K15760" t="str">
        <f t="shared" si="2816"/>
        <v>802</v>
      </c>
      <c r="L15760">
        <v>343.38</v>
      </c>
    </row>
    <row r="15761" spans="1:12" x14ac:dyDescent="0.25">
      <c r="A15761" t="str">
        <f t="shared" si="2813"/>
        <v>89301000</v>
      </c>
      <c r="B15761" t="str">
        <f t="shared" si="2805"/>
        <v>06539000</v>
      </c>
      <c r="C15761" t="str">
        <f t="shared" si="2815"/>
        <v>06539002</v>
      </c>
      <c r="D15761">
        <v>89301101</v>
      </c>
      <c r="E15761" t="str">
        <f t="shared" si="2814"/>
        <v>1055285264</v>
      </c>
      <c r="F15761" s="1">
        <v>45254</v>
      </c>
      <c r="G15761" t="str">
        <f>"82036"</f>
        <v>82036</v>
      </c>
      <c r="H15761">
        <v>1</v>
      </c>
      <c r="I15761">
        <v>1517</v>
      </c>
      <c r="J15761">
        <v>0</v>
      </c>
      <c r="K15761" t="str">
        <f t="shared" si="2816"/>
        <v>802</v>
      </c>
      <c r="L15761">
        <v>1471.49</v>
      </c>
    </row>
    <row r="15762" spans="1:12" x14ac:dyDescent="0.25">
      <c r="A15762" t="str">
        <f t="shared" si="2813"/>
        <v>89301000</v>
      </c>
      <c r="B15762" t="str">
        <f t="shared" si="2805"/>
        <v>06539000</v>
      </c>
      <c r="C15762" t="str">
        <f t="shared" si="2815"/>
        <v>06539002</v>
      </c>
      <c r="D15762">
        <v>89301101</v>
      </c>
      <c r="E15762" t="str">
        <f t="shared" si="2814"/>
        <v>1055285264</v>
      </c>
      <c r="F15762" s="1">
        <v>45254</v>
      </c>
      <c r="G15762" t="str">
        <f>"82034"</f>
        <v>82034</v>
      </c>
      <c r="H15762">
        <v>1</v>
      </c>
      <c r="I15762">
        <v>354</v>
      </c>
      <c r="J15762">
        <v>0</v>
      </c>
      <c r="K15762" t="str">
        <f t="shared" si="2816"/>
        <v>802</v>
      </c>
      <c r="L15762">
        <v>343.38</v>
      </c>
    </row>
    <row r="15763" spans="1:12" x14ac:dyDescent="0.25">
      <c r="A15763" t="str">
        <f t="shared" si="2813"/>
        <v>89301000</v>
      </c>
      <c r="B15763" t="str">
        <f t="shared" si="2805"/>
        <v>06539000</v>
      </c>
      <c r="C15763" t="str">
        <f t="shared" si="2815"/>
        <v>06539002</v>
      </c>
      <c r="D15763">
        <v>89301101</v>
      </c>
      <c r="E15763" t="str">
        <f t="shared" si="2814"/>
        <v>1055285264</v>
      </c>
      <c r="F15763" s="1">
        <v>45254</v>
      </c>
      <c r="G15763" t="str">
        <f>"82041"</f>
        <v>82041</v>
      </c>
      <c r="H15763">
        <v>1</v>
      </c>
      <c r="I15763">
        <v>1096</v>
      </c>
      <c r="J15763">
        <v>0</v>
      </c>
      <c r="K15763" t="str">
        <f t="shared" si="2816"/>
        <v>802</v>
      </c>
      <c r="L15763">
        <v>1063.1199999999999</v>
      </c>
    </row>
    <row r="15764" spans="1:12" x14ac:dyDescent="0.25">
      <c r="A15764" t="str">
        <f t="shared" si="2813"/>
        <v>89301000</v>
      </c>
      <c r="B15764" t="str">
        <f t="shared" si="2805"/>
        <v>06539000</v>
      </c>
      <c r="C15764" t="str">
        <f t="shared" si="2815"/>
        <v>06539002</v>
      </c>
      <c r="D15764">
        <v>89301101</v>
      </c>
      <c r="E15764" t="str">
        <f t="shared" si="2814"/>
        <v>1055285264</v>
      </c>
      <c r="F15764" s="1">
        <v>45254</v>
      </c>
      <c r="G15764" t="str">
        <f>"82034"</f>
        <v>82034</v>
      </c>
      <c r="H15764">
        <v>1</v>
      </c>
      <c r="I15764">
        <v>354</v>
      </c>
      <c r="J15764">
        <v>0</v>
      </c>
      <c r="K15764" t="str">
        <f t="shared" si="2816"/>
        <v>802</v>
      </c>
      <c r="L15764">
        <v>343.38</v>
      </c>
    </row>
    <row r="15765" spans="1:12" x14ac:dyDescent="0.25">
      <c r="A15765" t="str">
        <f t="shared" si="2813"/>
        <v>89301000</v>
      </c>
      <c r="B15765" t="str">
        <f t="shared" si="2805"/>
        <v>06539000</v>
      </c>
      <c r="C15765" t="str">
        <f t="shared" si="2815"/>
        <v>06539002</v>
      </c>
      <c r="D15765">
        <v>89301101</v>
      </c>
      <c r="E15765" t="str">
        <f t="shared" si="2814"/>
        <v>1055285264</v>
      </c>
      <c r="F15765" s="1">
        <v>45254</v>
      </c>
      <c r="G15765" t="str">
        <f>"82077"</f>
        <v>82077</v>
      </c>
      <c r="H15765">
        <v>1</v>
      </c>
      <c r="I15765">
        <v>351</v>
      </c>
      <c r="J15765">
        <v>0</v>
      </c>
      <c r="K15765" t="str">
        <f t="shared" si="2816"/>
        <v>802</v>
      </c>
      <c r="L15765">
        <v>340.47</v>
      </c>
    </row>
    <row r="15766" spans="1:12" x14ac:dyDescent="0.25">
      <c r="A15766" t="str">
        <f t="shared" si="2813"/>
        <v>89301000</v>
      </c>
      <c r="B15766" t="str">
        <f t="shared" si="2805"/>
        <v>06539000</v>
      </c>
      <c r="C15766" t="str">
        <f t="shared" ref="C15766:C15797" si="2817">"06539003"</f>
        <v>06539003</v>
      </c>
      <c r="D15766">
        <v>89301101</v>
      </c>
      <c r="E15766" t="str">
        <f t="shared" si="2814"/>
        <v>1055285264</v>
      </c>
      <c r="F15766" s="1">
        <v>45275</v>
      </c>
      <c r="G15766" t="str">
        <f t="shared" ref="G15766:G15775" si="2818">"91413"</f>
        <v>91413</v>
      </c>
      <c r="H15766">
        <v>1</v>
      </c>
      <c r="I15766">
        <v>868</v>
      </c>
      <c r="J15766">
        <v>0</v>
      </c>
      <c r="K15766" t="str">
        <f t="shared" ref="K15766:K15797" si="2819">"813"</f>
        <v>813</v>
      </c>
      <c r="L15766">
        <v>729.12</v>
      </c>
    </row>
    <row r="15767" spans="1:12" x14ac:dyDescent="0.25">
      <c r="A15767" t="str">
        <f t="shared" si="2813"/>
        <v>89301000</v>
      </c>
      <c r="B15767" t="str">
        <f t="shared" si="2805"/>
        <v>06539000</v>
      </c>
      <c r="C15767" t="str">
        <f t="shared" si="2817"/>
        <v>06539003</v>
      </c>
      <c r="D15767">
        <v>89301101</v>
      </c>
      <c r="E15767" t="str">
        <f t="shared" si="2814"/>
        <v>1055285264</v>
      </c>
      <c r="F15767" s="1">
        <v>45281</v>
      </c>
      <c r="G15767" t="str">
        <f t="shared" si="2818"/>
        <v>91413</v>
      </c>
      <c r="H15767">
        <v>1</v>
      </c>
      <c r="I15767">
        <v>868</v>
      </c>
      <c r="J15767">
        <v>0</v>
      </c>
      <c r="K15767" t="str">
        <f t="shared" si="2819"/>
        <v>813</v>
      </c>
      <c r="L15767">
        <v>729.12</v>
      </c>
    </row>
    <row r="15768" spans="1:12" x14ac:dyDescent="0.25">
      <c r="A15768" t="str">
        <f t="shared" si="2813"/>
        <v>89301000</v>
      </c>
      <c r="B15768" t="str">
        <f t="shared" si="2805"/>
        <v>06539000</v>
      </c>
      <c r="C15768" t="str">
        <f t="shared" si="2817"/>
        <v>06539003</v>
      </c>
      <c r="D15768">
        <v>89301101</v>
      </c>
      <c r="E15768" t="str">
        <f t="shared" si="2814"/>
        <v>1055285264</v>
      </c>
      <c r="F15768" s="1">
        <v>45281</v>
      </c>
      <c r="G15768" t="str">
        <f t="shared" si="2818"/>
        <v>91413</v>
      </c>
      <c r="H15768">
        <v>1</v>
      </c>
      <c r="I15768">
        <v>868</v>
      </c>
      <c r="J15768">
        <v>0</v>
      </c>
      <c r="K15768" t="str">
        <f t="shared" si="2819"/>
        <v>813</v>
      </c>
      <c r="L15768">
        <v>729.12</v>
      </c>
    </row>
    <row r="15769" spans="1:12" x14ac:dyDescent="0.25">
      <c r="A15769" t="str">
        <f t="shared" si="2813"/>
        <v>89301000</v>
      </c>
      <c r="B15769" t="str">
        <f t="shared" si="2805"/>
        <v>06539000</v>
      </c>
      <c r="C15769" t="str">
        <f t="shared" si="2817"/>
        <v>06539003</v>
      </c>
      <c r="D15769">
        <v>89301101</v>
      </c>
      <c r="E15769" t="str">
        <f t="shared" si="2814"/>
        <v>1055285264</v>
      </c>
      <c r="F15769" s="1">
        <v>45259</v>
      </c>
      <c r="G15769" t="str">
        <f t="shared" si="2818"/>
        <v>91413</v>
      </c>
      <c r="H15769">
        <v>1</v>
      </c>
      <c r="I15769">
        <v>868</v>
      </c>
      <c r="J15769">
        <v>0</v>
      </c>
      <c r="K15769" t="str">
        <f t="shared" si="2819"/>
        <v>813</v>
      </c>
      <c r="L15769">
        <v>729.12</v>
      </c>
    </row>
    <row r="15770" spans="1:12" x14ac:dyDescent="0.25">
      <c r="A15770" t="str">
        <f t="shared" si="2813"/>
        <v>89301000</v>
      </c>
      <c r="B15770" t="str">
        <f t="shared" si="2805"/>
        <v>06539000</v>
      </c>
      <c r="C15770" t="str">
        <f t="shared" si="2817"/>
        <v>06539003</v>
      </c>
      <c r="D15770">
        <v>89301101</v>
      </c>
      <c r="E15770" t="str">
        <f t="shared" si="2814"/>
        <v>1055285264</v>
      </c>
      <c r="F15770" s="1">
        <v>45259</v>
      </c>
      <c r="G15770" t="str">
        <f t="shared" si="2818"/>
        <v>91413</v>
      </c>
      <c r="H15770">
        <v>1</v>
      </c>
      <c r="I15770">
        <v>868</v>
      </c>
      <c r="J15770">
        <v>0</v>
      </c>
      <c r="K15770" t="str">
        <f t="shared" si="2819"/>
        <v>813</v>
      </c>
      <c r="L15770">
        <v>729.12</v>
      </c>
    </row>
    <row r="15771" spans="1:12" x14ac:dyDescent="0.25">
      <c r="A15771" t="str">
        <f t="shared" si="2813"/>
        <v>89301000</v>
      </c>
      <c r="B15771" t="str">
        <f t="shared" si="2805"/>
        <v>06539000</v>
      </c>
      <c r="C15771" t="str">
        <f t="shared" si="2817"/>
        <v>06539003</v>
      </c>
      <c r="D15771">
        <v>89301101</v>
      </c>
      <c r="E15771" t="str">
        <f t="shared" si="2814"/>
        <v>1055285264</v>
      </c>
      <c r="F15771" s="1">
        <v>45275</v>
      </c>
      <c r="G15771" t="str">
        <f t="shared" si="2818"/>
        <v>91413</v>
      </c>
      <c r="H15771">
        <v>1</v>
      </c>
      <c r="I15771">
        <v>868</v>
      </c>
      <c r="J15771">
        <v>0</v>
      </c>
      <c r="K15771" t="str">
        <f t="shared" si="2819"/>
        <v>813</v>
      </c>
      <c r="L15771">
        <v>729.12</v>
      </c>
    </row>
    <row r="15772" spans="1:12" x14ac:dyDescent="0.25">
      <c r="A15772" t="str">
        <f t="shared" si="2813"/>
        <v>89301000</v>
      </c>
      <c r="B15772" t="str">
        <f t="shared" si="2805"/>
        <v>06539000</v>
      </c>
      <c r="C15772" t="str">
        <f t="shared" si="2817"/>
        <v>06539003</v>
      </c>
      <c r="D15772">
        <v>89301101</v>
      </c>
      <c r="E15772" t="str">
        <f t="shared" si="2814"/>
        <v>1055285264</v>
      </c>
      <c r="F15772" s="1">
        <v>45281</v>
      </c>
      <c r="G15772" t="str">
        <f t="shared" si="2818"/>
        <v>91413</v>
      </c>
      <c r="H15772">
        <v>1</v>
      </c>
      <c r="I15772">
        <v>868</v>
      </c>
      <c r="J15772">
        <v>0</v>
      </c>
      <c r="K15772" t="str">
        <f t="shared" si="2819"/>
        <v>813</v>
      </c>
      <c r="L15772">
        <v>729.12</v>
      </c>
    </row>
    <row r="15773" spans="1:12" x14ac:dyDescent="0.25">
      <c r="A15773" t="str">
        <f t="shared" si="2813"/>
        <v>89301000</v>
      </c>
      <c r="B15773" t="str">
        <f t="shared" si="2805"/>
        <v>06539000</v>
      </c>
      <c r="C15773" t="str">
        <f t="shared" si="2817"/>
        <v>06539003</v>
      </c>
      <c r="D15773">
        <v>89301101</v>
      </c>
      <c r="E15773" t="str">
        <f t="shared" si="2814"/>
        <v>1055285264</v>
      </c>
      <c r="F15773" s="1">
        <v>45281</v>
      </c>
      <c r="G15773" t="str">
        <f t="shared" si="2818"/>
        <v>91413</v>
      </c>
      <c r="H15773">
        <v>1</v>
      </c>
      <c r="I15773">
        <v>868</v>
      </c>
      <c r="J15773">
        <v>0</v>
      </c>
      <c r="K15773" t="str">
        <f t="shared" si="2819"/>
        <v>813</v>
      </c>
      <c r="L15773">
        <v>729.12</v>
      </c>
    </row>
    <row r="15774" spans="1:12" x14ac:dyDescent="0.25">
      <c r="A15774" t="str">
        <f t="shared" si="2813"/>
        <v>89301000</v>
      </c>
      <c r="B15774" t="str">
        <f t="shared" si="2805"/>
        <v>06539000</v>
      </c>
      <c r="C15774" t="str">
        <f t="shared" si="2817"/>
        <v>06539003</v>
      </c>
      <c r="D15774">
        <v>89301101</v>
      </c>
      <c r="E15774" t="str">
        <f t="shared" si="2814"/>
        <v>1055285264</v>
      </c>
      <c r="F15774" s="1">
        <v>45281</v>
      </c>
      <c r="G15774" t="str">
        <f t="shared" si="2818"/>
        <v>91413</v>
      </c>
      <c r="H15774">
        <v>1</v>
      </c>
      <c r="I15774">
        <v>868</v>
      </c>
      <c r="J15774">
        <v>0</v>
      </c>
      <c r="K15774" t="str">
        <f t="shared" si="2819"/>
        <v>813</v>
      </c>
      <c r="L15774">
        <v>729.12</v>
      </c>
    </row>
    <row r="15775" spans="1:12" x14ac:dyDescent="0.25">
      <c r="A15775" t="str">
        <f t="shared" si="2813"/>
        <v>89301000</v>
      </c>
      <c r="B15775" t="str">
        <f t="shared" si="2805"/>
        <v>06539000</v>
      </c>
      <c r="C15775" t="str">
        <f t="shared" si="2817"/>
        <v>06539003</v>
      </c>
      <c r="D15775">
        <v>89301101</v>
      </c>
      <c r="E15775" t="str">
        <f t="shared" si="2814"/>
        <v>1055285264</v>
      </c>
      <c r="F15775" s="1">
        <v>45281</v>
      </c>
      <c r="G15775" t="str">
        <f t="shared" si="2818"/>
        <v>91413</v>
      </c>
      <c r="H15775">
        <v>1</v>
      </c>
      <c r="I15775">
        <v>868</v>
      </c>
      <c r="J15775">
        <v>0</v>
      </c>
      <c r="K15775" t="str">
        <f t="shared" si="2819"/>
        <v>813</v>
      </c>
      <c r="L15775">
        <v>729.12</v>
      </c>
    </row>
    <row r="15776" spans="1:12" x14ac:dyDescent="0.25">
      <c r="A15776" t="str">
        <f t="shared" si="2813"/>
        <v>89301000</v>
      </c>
      <c r="B15776" t="str">
        <f t="shared" si="2805"/>
        <v>06539000</v>
      </c>
      <c r="C15776" t="str">
        <f t="shared" si="2817"/>
        <v>06539003</v>
      </c>
      <c r="D15776">
        <v>89301101</v>
      </c>
      <c r="E15776" t="str">
        <f t="shared" si="2814"/>
        <v>1055285264</v>
      </c>
      <c r="F15776" s="1">
        <v>45254</v>
      </c>
      <c r="G15776" t="str">
        <f t="shared" ref="G15776:G15786" si="2820">"91197"</f>
        <v>91197</v>
      </c>
      <c r="H15776">
        <v>1</v>
      </c>
      <c r="I15776">
        <v>1048</v>
      </c>
      <c r="J15776">
        <v>0</v>
      </c>
      <c r="K15776" t="str">
        <f t="shared" si="2819"/>
        <v>813</v>
      </c>
      <c r="L15776">
        <v>880.32</v>
      </c>
    </row>
    <row r="15777" spans="1:12" x14ac:dyDescent="0.25">
      <c r="A15777" t="str">
        <f t="shared" si="2813"/>
        <v>89301000</v>
      </c>
      <c r="B15777" t="str">
        <f t="shared" si="2805"/>
        <v>06539000</v>
      </c>
      <c r="C15777" t="str">
        <f t="shared" si="2817"/>
        <v>06539003</v>
      </c>
      <c r="D15777">
        <v>89301101</v>
      </c>
      <c r="E15777" t="str">
        <f t="shared" si="2814"/>
        <v>1055285264</v>
      </c>
      <c r="F15777" s="1">
        <v>45259</v>
      </c>
      <c r="G15777" t="str">
        <f t="shared" si="2820"/>
        <v>91197</v>
      </c>
      <c r="H15777">
        <v>1</v>
      </c>
      <c r="I15777">
        <v>1048</v>
      </c>
      <c r="J15777">
        <v>0</v>
      </c>
      <c r="K15777" t="str">
        <f t="shared" si="2819"/>
        <v>813</v>
      </c>
      <c r="L15777">
        <v>880.32</v>
      </c>
    </row>
    <row r="15778" spans="1:12" x14ac:dyDescent="0.25">
      <c r="A15778" t="str">
        <f t="shared" si="2813"/>
        <v>89301000</v>
      </c>
      <c r="B15778" t="str">
        <f t="shared" si="2805"/>
        <v>06539000</v>
      </c>
      <c r="C15778" t="str">
        <f t="shared" si="2817"/>
        <v>06539003</v>
      </c>
      <c r="D15778">
        <v>89301101</v>
      </c>
      <c r="E15778" t="str">
        <f t="shared" si="2814"/>
        <v>1055285264</v>
      </c>
      <c r="F15778" s="1">
        <v>45259</v>
      </c>
      <c r="G15778" t="str">
        <f t="shared" si="2820"/>
        <v>91197</v>
      </c>
      <c r="H15778">
        <v>1</v>
      </c>
      <c r="I15778">
        <v>1048</v>
      </c>
      <c r="J15778">
        <v>0</v>
      </c>
      <c r="K15778" t="str">
        <f t="shared" si="2819"/>
        <v>813</v>
      </c>
      <c r="L15778">
        <v>880.32</v>
      </c>
    </row>
    <row r="15779" spans="1:12" x14ac:dyDescent="0.25">
      <c r="A15779" t="str">
        <f t="shared" si="2813"/>
        <v>89301000</v>
      </c>
      <c r="B15779" t="str">
        <f t="shared" si="2805"/>
        <v>06539000</v>
      </c>
      <c r="C15779" t="str">
        <f t="shared" si="2817"/>
        <v>06539003</v>
      </c>
      <c r="D15779">
        <v>89301101</v>
      </c>
      <c r="E15779" t="str">
        <f t="shared" si="2814"/>
        <v>1055285264</v>
      </c>
      <c r="F15779" s="1">
        <v>45258</v>
      </c>
      <c r="G15779" t="str">
        <f t="shared" si="2820"/>
        <v>91197</v>
      </c>
      <c r="H15779">
        <v>1</v>
      </c>
      <c r="I15779">
        <v>1048</v>
      </c>
      <c r="J15779">
        <v>0</v>
      </c>
      <c r="K15779" t="str">
        <f t="shared" si="2819"/>
        <v>813</v>
      </c>
      <c r="L15779">
        <v>880.32</v>
      </c>
    </row>
    <row r="15780" spans="1:12" x14ac:dyDescent="0.25">
      <c r="A15780" t="str">
        <f t="shared" si="2813"/>
        <v>89301000</v>
      </c>
      <c r="B15780" t="str">
        <f t="shared" si="2805"/>
        <v>06539000</v>
      </c>
      <c r="C15780" t="str">
        <f t="shared" si="2817"/>
        <v>06539003</v>
      </c>
      <c r="D15780">
        <v>89301101</v>
      </c>
      <c r="E15780" t="str">
        <f t="shared" si="2814"/>
        <v>1055285264</v>
      </c>
      <c r="F15780" s="1">
        <v>45258</v>
      </c>
      <c r="G15780" t="str">
        <f t="shared" si="2820"/>
        <v>91197</v>
      </c>
      <c r="H15780">
        <v>1</v>
      </c>
      <c r="I15780">
        <v>1048</v>
      </c>
      <c r="J15780">
        <v>0</v>
      </c>
      <c r="K15780" t="str">
        <f t="shared" si="2819"/>
        <v>813</v>
      </c>
      <c r="L15780">
        <v>880.32</v>
      </c>
    </row>
    <row r="15781" spans="1:12" x14ac:dyDescent="0.25">
      <c r="A15781" t="str">
        <f t="shared" si="2813"/>
        <v>89301000</v>
      </c>
      <c r="B15781" t="str">
        <f t="shared" si="2805"/>
        <v>06539000</v>
      </c>
      <c r="C15781" t="str">
        <f t="shared" si="2817"/>
        <v>06539003</v>
      </c>
      <c r="D15781">
        <v>89301101</v>
      </c>
      <c r="E15781" t="str">
        <f t="shared" si="2814"/>
        <v>1055285264</v>
      </c>
      <c r="F15781" s="1">
        <v>45257</v>
      </c>
      <c r="G15781" t="str">
        <f t="shared" si="2820"/>
        <v>91197</v>
      </c>
      <c r="H15781">
        <v>1</v>
      </c>
      <c r="I15781">
        <v>1048</v>
      </c>
      <c r="J15781">
        <v>0</v>
      </c>
      <c r="K15781" t="str">
        <f t="shared" si="2819"/>
        <v>813</v>
      </c>
      <c r="L15781">
        <v>880.32</v>
      </c>
    </row>
    <row r="15782" spans="1:12" x14ac:dyDescent="0.25">
      <c r="A15782" t="str">
        <f t="shared" si="2813"/>
        <v>89301000</v>
      </c>
      <c r="B15782" t="str">
        <f t="shared" si="2805"/>
        <v>06539000</v>
      </c>
      <c r="C15782" t="str">
        <f t="shared" si="2817"/>
        <v>06539003</v>
      </c>
      <c r="D15782">
        <v>89301101</v>
      </c>
      <c r="E15782" t="str">
        <f t="shared" si="2814"/>
        <v>1055285264</v>
      </c>
      <c r="F15782" s="1">
        <v>45257</v>
      </c>
      <c r="G15782" t="str">
        <f t="shared" si="2820"/>
        <v>91197</v>
      </c>
      <c r="H15782">
        <v>1</v>
      </c>
      <c r="I15782">
        <v>1048</v>
      </c>
      <c r="J15782">
        <v>0</v>
      </c>
      <c r="K15782" t="str">
        <f t="shared" si="2819"/>
        <v>813</v>
      </c>
      <c r="L15782">
        <v>880.32</v>
      </c>
    </row>
    <row r="15783" spans="1:12" x14ac:dyDescent="0.25">
      <c r="A15783" t="str">
        <f t="shared" si="2813"/>
        <v>89301000</v>
      </c>
      <c r="B15783" t="str">
        <f t="shared" si="2805"/>
        <v>06539000</v>
      </c>
      <c r="C15783" t="str">
        <f t="shared" si="2817"/>
        <v>06539003</v>
      </c>
      <c r="D15783">
        <v>89301101</v>
      </c>
      <c r="E15783" t="str">
        <f t="shared" si="2814"/>
        <v>1055285264</v>
      </c>
      <c r="F15783" s="1">
        <v>45256</v>
      </c>
      <c r="G15783" t="str">
        <f t="shared" si="2820"/>
        <v>91197</v>
      </c>
      <c r="H15783">
        <v>1</v>
      </c>
      <c r="I15783">
        <v>1048</v>
      </c>
      <c r="J15783">
        <v>0</v>
      </c>
      <c r="K15783" t="str">
        <f t="shared" si="2819"/>
        <v>813</v>
      </c>
      <c r="L15783">
        <v>880.32</v>
      </c>
    </row>
    <row r="15784" spans="1:12" x14ac:dyDescent="0.25">
      <c r="A15784" t="str">
        <f t="shared" si="2813"/>
        <v>89301000</v>
      </c>
      <c r="B15784" t="str">
        <f t="shared" si="2805"/>
        <v>06539000</v>
      </c>
      <c r="C15784" t="str">
        <f t="shared" si="2817"/>
        <v>06539003</v>
      </c>
      <c r="D15784">
        <v>89301101</v>
      </c>
      <c r="E15784" t="str">
        <f t="shared" si="2814"/>
        <v>1055285264</v>
      </c>
      <c r="F15784" s="1">
        <v>45256</v>
      </c>
      <c r="G15784" t="str">
        <f t="shared" si="2820"/>
        <v>91197</v>
      </c>
      <c r="H15784">
        <v>1</v>
      </c>
      <c r="I15784">
        <v>1048</v>
      </c>
      <c r="J15784">
        <v>0</v>
      </c>
      <c r="K15784" t="str">
        <f t="shared" si="2819"/>
        <v>813</v>
      </c>
      <c r="L15784">
        <v>880.32</v>
      </c>
    </row>
    <row r="15785" spans="1:12" x14ac:dyDescent="0.25">
      <c r="A15785" t="str">
        <f t="shared" si="2813"/>
        <v>89301000</v>
      </c>
      <c r="B15785" t="str">
        <f t="shared" si="2805"/>
        <v>06539000</v>
      </c>
      <c r="C15785" t="str">
        <f t="shared" si="2817"/>
        <v>06539003</v>
      </c>
      <c r="D15785">
        <v>89301101</v>
      </c>
      <c r="E15785" t="str">
        <f t="shared" si="2814"/>
        <v>1055285264</v>
      </c>
      <c r="F15785" s="1">
        <v>45255</v>
      </c>
      <c r="G15785" t="str">
        <f t="shared" si="2820"/>
        <v>91197</v>
      </c>
      <c r="H15785">
        <v>1</v>
      </c>
      <c r="I15785">
        <v>1048</v>
      </c>
      <c r="J15785">
        <v>0</v>
      </c>
      <c r="K15785" t="str">
        <f t="shared" si="2819"/>
        <v>813</v>
      </c>
      <c r="L15785">
        <v>880.32</v>
      </c>
    </row>
    <row r="15786" spans="1:12" x14ac:dyDescent="0.25">
      <c r="A15786" t="str">
        <f t="shared" si="2813"/>
        <v>89301000</v>
      </c>
      <c r="B15786" t="str">
        <f t="shared" si="2805"/>
        <v>06539000</v>
      </c>
      <c r="C15786" t="str">
        <f t="shared" si="2817"/>
        <v>06539003</v>
      </c>
      <c r="D15786">
        <v>89301101</v>
      </c>
      <c r="E15786" t="str">
        <f t="shared" si="2814"/>
        <v>1055285264</v>
      </c>
      <c r="F15786" s="1">
        <v>45255</v>
      </c>
      <c r="G15786" t="str">
        <f t="shared" si="2820"/>
        <v>91197</v>
      </c>
      <c r="H15786">
        <v>1</v>
      </c>
      <c r="I15786">
        <v>1048</v>
      </c>
      <c r="J15786">
        <v>0</v>
      </c>
      <c r="K15786" t="str">
        <f t="shared" si="2819"/>
        <v>813</v>
      </c>
      <c r="L15786">
        <v>880.32</v>
      </c>
    </row>
    <row r="15787" spans="1:12" x14ac:dyDescent="0.25">
      <c r="A15787" t="str">
        <f t="shared" si="2813"/>
        <v>89301000</v>
      </c>
      <c r="B15787" t="str">
        <f t="shared" ref="B15787:B15850" si="2821">"06539000"</f>
        <v>06539000</v>
      </c>
      <c r="C15787" t="str">
        <f t="shared" si="2817"/>
        <v>06539003</v>
      </c>
      <c r="D15787">
        <v>89301101</v>
      </c>
      <c r="E15787" t="str">
        <f t="shared" si="2814"/>
        <v>1055285264</v>
      </c>
      <c r="F15787" s="1">
        <v>45254</v>
      </c>
      <c r="G15787" t="str">
        <f>"91411"</f>
        <v>91411</v>
      </c>
      <c r="H15787">
        <v>1</v>
      </c>
      <c r="I15787">
        <v>1631</v>
      </c>
      <c r="J15787">
        <v>0</v>
      </c>
      <c r="K15787" t="str">
        <f t="shared" si="2819"/>
        <v>813</v>
      </c>
      <c r="L15787">
        <v>1370.04</v>
      </c>
    </row>
    <row r="15788" spans="1:12" x14ac:dyDescent="0.25">
      <c r="A15788" t="str">
        <f t="shared" si="2813"/>
        <v>89301000</v>
      </c>
      <c r="B15788" t="str">
        <f t="shared" si="2821"/>
        <v>06539000</v>
      </c>
      <c r="C15788" t="str">
        <f t="shared" si="2817"/>
        <v>06539003</v>
      </c>
      <c r="D15788">
        <v>89301101</v>
      </c>
      <c r="E15788" t="str">
        <f t="shared" si="2814"/>
        <v>1055285264</v>
      </c>
      <c r="F15788" s="1">
        <v>45254</v>
      </c>
      <c r="G15788" t="str">
        <f>"91411"</f>
        <v>91411</v>
      </c>
      <c r="H15788">
        <v>1</v>
      </c>
      <c r="I15788">
        <v>1631</v>
      </c>
      <c r="J15788">
        <v>0</v>
      </c>
      <c r="K15788" t="str">
        <f t="shared" si="2819"/>
        <v>813</v>
      </c>
      <c r="L15788">
        <v>1370.04</v>
      </c>
    </row>
    <row r="15789" spans="1:12" x14ac:dyDescent="0.25">
      <c r="A15789" t="str">
        <f t="shared" si="2813"/>
        <v>89301000</v>
      </c>
      <c r="B15789" t="str">
        <f t="shared" si="2821"/>
        <v>06539000</v>
      </c>
      <c r="C15789" t="str">
        <f t="shared" si="2817"/>
        <v>06539003</v>
      </c>
      <c r="D15789">
        <v>89301101</v>
      </c>
      <c r="E15789" t="str">
        <f t="shared" ref="E15789:E15825" si="2822">"1055285264"</f>
        <v>1055285264</v>
      </c>
      <c r="F15789" s="1">
        <v>45254</v>
      </c>
      <c r="G15789" t="str">
        <f>"91411"</f>
        <v>91411</v>
      </c>
      <c r="H15789">
        <v>1</v>
      </c>
      <c r="I15789">
        <v>1631</v>
      </c>
      <c r="J15789">
        <v>0</v>
      </c>
      <c r="K15789" t="str">
        <f t="shared" si="2819"/>
        <v>813</v>
      </c>
      <c r="L15789">
        <v>1370.04</v>
      </c>
    </row>
    <row r="15790" spans="1:12" x14ac:dyDescent="0.25">
      <c r="A15790" t="str">
        <f t="shared" si="2813"/>
        <v>89301000</v>
      </c>
      <c r="B15790" t="str">
        <f t="shared" si="2821"/>
        <v>06539000</v>
      </c>
      <c r="C15790" t="str">
        <f t="shared" si="2817"/>
        <v>06539003</v>
      </c>
      <c r="D15790">
        <v>89301101</v>
      </c>
      <c r="E15790" t="str">
        <f t="shared" si="2822"/>
        <v>1055285264</v>
      </c>
      <c r="F15790" s="1">
        <v>45261</v>
      </c>
      <c r="G15790" t="str">
        <f>"91495"</f>
        <v>91495</v>
      </c>
      <c r="H15790">
        <v>1</v>
      </c>
      <c r="I15790">
        <v>595</v>
      </c>
      <c r="J15790">
        <v>0</v>
      </c>
      <c r="K15790" t="str">
        <f t="shared" si="2819"/>
        <v>813</v>
      </c>
      <c r="L15790">
        <v>499.8</v>
      </c>
    </row>
    <row r="15791" spans="1:12" x14ac:dyDescent="0.25">
      <c r="A15791" t="str">
        <f t="shared" si="2813"/>
        <v>89301000</v>
      </c>
      <c r="B15791" t="str">
        <f t="shared" si="2821"/>
        <v>06539000</v>
      </c>
      <c r="C15791" t="str">
        <f t="shared" si="2817"/>
        <v>06539003</v>
      </c>
      <c r="D15791">
        <v>89301101</v>
      </c>
      <c r="E15791" t="str">
        <f t="shared" si="2822"/>
        <v>1055285264</v>
      </c>
      <c r="F15791" s="1">
        <v>45259</v>
      </c>
      <c r="G15791" t="str">
        <f t="shared" ref="G15791:G15808" si="2823">"91329"</f>
        <v>91329</v>
      </c>
      <c r="H15791">
        <v>2</v>
      </c>
      <c r="I15791">
        <v>436</v>
      </c>
      <c r="J15791">
        <v>0</v>
      </c>
      <c r="K15791" t="str">
        <f t="shared" si="2819"/>
        <v>813</v>
      </c>
      <c r="L15791">
        <v>366.24</v>
      </c>
    </row>
    <row r="15792" spans="1:12" x14ac:dyDescent="0.25">
      <c r="A15792" t="str">
        <f t="shared" si="2813"/>
        <v>89301000</v>
      </c>
      <c r="B15792" t="str">
        <f t="shared" si="2821"/>
        <v>06539000</v>
      </c>
      <c r="C15792" t="str">
        <f t="shared" si="2817"/>
        <v>06539003</v>
      </c>
      <c r="D15792">
        <v>89301101</v>
      </c>
      <c r="E15792" t="str">
        <f t="shared" si="2822"/>
        <v>1055285264</v>
      </c>
      <c r="F15792" s="1">
        <v>45259</v>
      </c>
      <c r="G15792" t="str">
        <f t="shared" si="2823"/>
        <v>91329</v>
      </c>
      <c r="H15792">
        <v>2</v>
      </c>
      <c r="I15792">
        <v>436</v>
      </c>
      <c r="J15792">
        <v>0</v>
      </c>
      <c r="K15792" t="str">
        <f t="shared" si="2819"/>
        <v>813</v>
      </c>
      <c r="L15792">
        <v>366.24</v>
      </c>
    </row>
    <row r="15793" spans="1:12" x14ac:dyDescent="0.25">
      <c r="A15793" t="str">
        <f t="shared" si="2813"/>
        <v>89301000</v>
      </c>
      <c r="B15793" t="str">
        <f t="shared" si="2821"/>
        <v>06539000</v>
      </c>
      <c r="C15793" t="str">
        <f t="shared" si="2817"/>
        <v>06539003</v>
      </c>
      <c r="D15793">
        <v>89301101</v>
      </c>
      <c r="E15793" t="str">
        <f t="shared" si="2822"/>
        <v>1055285264</v>
      </c>
      <c r="F15793" s="1">
        <v>45259</v>
      </c>
      <c r="G15793" t="str">
        <f t="shared" si="2823"/>
        <v>91329</v>
      </c>
      <c r="H15793">
        <v>2</v>
      </c>
      <c r="I15793">
        <v>436</v>
      </c>
      <c r="J15793">
        <v>0</v>
      </c>
      <c r="K15793" t="str">
        <f t="shared" si="2819"/>
        <v>813</v>
      </c>
      <c r="L15793">
        <v>366.24</v>
      </c>
    </row>
    <row r="15794" spans="1:12" x14ac:dyDescent="0.25">
      <c r="A15794" t="str">
        <f t="shared" si="2813"/>
        <v>89301000</v>
      </c>
      <c r="B15794" t="str">
        <f t="shared" si="2821"/>
        <v>06539000</v>
      </c>
      <c r="C15794" t="str">
        <f t="shared" si="2817"/>
        <v>06539003</v>
      </c>
      <c r="D15794">
        <v>89301101</v>
      </c>
      <c r="E15794" t="str">
        <f t="shared" si="2822"/>
        <v>1055285264</v>
      </c>
      <c r="F15794" s="1">
        <v>45259</v>
      </c>
      <c r="G15794" t="str">
        <f t="shared" si="2823"/>
        <v>91329</v>
      </c>
      <c r="H15794">
        <v>2</v>
      </c>
      <c r="I15794">
        <v>436</v>
      </c>
      <c r="J15794">
        <v>0</v>
      </c>
      <c r="K15794" t="str">
        <f t="shared" si="2819"/>
        <v>813</v>
      </c>
      <c r="L15794">
        <v>366.24</v>
      </c>
    </row>
    <row r="15795" spans="1:12" x14ac:dyDescent="0.25">
      <c r="A15795" t="str">
        <f t="shared" si="2813"/>
        <v>89301000</v>
      </c>
      <c r="B15795" t="str">
        <f t="shared" si="2821"/>
        <v>06539000</v>
      </c>
      <c r="C15795" t="str">
        <f t="shared" si="2817"/>
        <v>06539003</v>
      </c>
      <c r="D15795">
        <v>89301101</v>
      </c>
      <c r="E15795" t="str">
        <f t="shared" si="2822"/>
        <v>1055285264</v>
      </c>
      <c r="F15795" s="1">
        <v>45257</v>
      </c>
      <c r="G15795" t="str">
        <f t="shared" si="2823"/>
        <v>91329</v>
      </c>
      <c r="H15795">
        <v>2</v>
      </c>
      <c r="I15795">
        <v>436</v>
      </c>
      <c r="J15795">
        <v>0</v>
      </c>
      <c r="K15795" t="str">
        <f t="shared" si="2819"/>
        <v>813</v>
      </c>
      <c r="L15795">
        <v>366.24</v>
      </c>
    </row>
    <row r="15796" spans="1:12" x14ac:dyDescent="0.25">
      <c r="A15796" t="str">
        <f t="shared" si="2813"/>
        <v>89301000</v>
      </c>
      <c r="B15796" t="str">
        <f t="shared" si="2821"/>
        <v>06539000</v>
      </c>
      <c r="C15796" t="str">
        <f t="shared" si="2817"/>
        <v>06539003</v>
      </c>
      <c r="D15796">
        <v>89301101</v>
      </c>
      <c r="E15796" t="str">
        <f t="shared" si="2822"/>
        <v>1055285264</v>
      </c>
      <c r="F15796" s="1">
        <v>45257</v>
      </c>
      <c r="G15796" t="str">
        <f t="shared" si="2823"/>
        <v>91329</v>
      </c>
      <c r="H15796">
        <v>2</v>
      </c>
      <c r="I15796">
        <v>436</v>
      </c>
      <c r="J15796">
        <v>0</v>
      </c>
      <c r="K15796" t="str">
        <f t="shared" si="2819"/>
        <v>813</v>
      </c>
      <c r="L15796">
        <v>366.24</v>
      </c>
    </row>
    <row r="15797" spans="1:12" x14ac:dyDescent="0.25">
      <c r="A15797" t="str">
        <f t="shared" si="2813"/>
        <v>89301000</v>
      </c>
      <c r="B15797" t="str">
        <f t="shared" si="2821"/>
        <v>06539000</v>
      </c>
      <c r="C15797" t="str">
        <f t="shared" si="2817"/>
        <v>06539003</v>
      </c>
      <c r="D15797">
        <v>89301101</v>
      </c>
      <c r="E15797" t="str">
        <f t="shared" si="2822"/>
        <v>1055285264</v>
      </c>
      <c r="F15797" s="1">
        <v>45257</v>
      </c>
      <c r="G15797" t="str">
        <f t="shared" si="2823"/>
        <v>91329</v>
      </c>
      <c r="H15797">
        <v>2</v>
      </c>
      <c r="I15797">
        <v>436</v>
      </c>
      <c r="J15797">
        <v>0</v>
      </c>
      <c r="K15797" t="str">
        <f t="shared" si="2819"/>
        <v>813</v>
      </c>
      <c r="L15797">
        <v>366.24</v>
      </c>
    </row>
    <row r="15798" spans="1:12" x14ac:dyDescent="0.25">
      <c r="A15798" t="str">
        <f t="shared" si="2813"/>
        <v>89301000</v>
      </c>
      <c r="B15798" t="str">
        <f t="shared" si="2821"/>
        <v>06539000</v>
      </c>
      <c r="C15798" t="str">
        <f t="shared" ref="C15798:C15829" si="2824">"06539003"</f>
        <v>06539003</v>
      </c>
      <c r="D15798">
        <v>89301101</v>
      </c>
      <c r="E15798" t="str">
        <f t="shared" si="2822"/>
        <v>1055285264</v>
      </c>
      <c r="F15798" s="1">
        <v>45257</v>
      </c>
      <c r="G15798" t="str">
        <f t="shared" si="2823"/>
        <v>91329</v>
      </c>
      <c r="H15798">
        <v>2</v>
      </c>
      <c r="I15798">
        <v>436</v>
      </c>
      <c r="J15798">
        <v>0</v>
      </c>
      <c r="K15798" t="str">
        <f t="shared" ref="K15798:K15829" si="2825">"813"</f>
        <v>813</v>
      </c>
      <c r="L15798">
        <v>366.24</v>
      </c>
    </row>
    <row r="15799" spans="1:12" x14ac:dyDescent="0.25">
      <c r="A15799" t="str">
        <f t="shared" si="2813"/>
        <v>89301000</v>
      </c>
      <c r="B15799" t="str">
        <f t="shared" si="2821"/>
        <v>06539000</v>
      </c>
      <c r="C15799" t="str">
        <f t="shared" si="2824"/>
        <v>06539003</v>
      </c>
      <c r="D15799">
        <v>89301101</v>
      </c>
      <c r="E15799" t="str">
        <f t="shared" si="2822"/>
        <v>1055285264</v>
      </c>
      <c r="F15799" s="1">
        <v>45257</v>
      </c>
      <c r="G15799" t="str">
        <f t="shared" si="2823"/>
        <v>91329</v>
      </c>
      <c r="H15799">
        <v>2</v>
      </c>
      <c r="I15799">
        <v>436</v>
      </c>
      <c r="J15799">
        <v>0</v>
      </c>
      <c r="K15799" t="str">
        <f t="shared" si="2825"/>
        <v>813</v>
      </c>
      <c r="L15799">
        <v>366.24</v>
      </c>
    </row>
    <row r="15800" spans="1:12" x14ac:dyDescent="0.25">
      <c r="A15800" t="str">
        <f t="shared" si="2813"/>
        <v>89301000</v>
      </c>
      <c r="B15800" t="str">
        <f t="shared" si="2821"/>
        <v>06539000</v>
      </c>
      <c r="C15800" t="str">
        <f t="shared" si="2824"/>
        <v>06539003</v>
      </c>
      <c r="D15800">
        <v>89301101</v>
      </c>
      <c r="E15800" t="str">
        <f t="shared" si="2822"/>
        <v>1055285264</v>
      </c>
      <c r="F15800" s="1">
        <v>45257</v>
      </c>
      <c r="G15800" t="str">
        <f t="shared" si="2823"/>
        <v>91329</v>
      </c>
      <c r="H15800">
        <v>2</v>
      </c>
      <c r="I15800">
        <v>436</v>
      </c>
      <c r="J15800">
        <v>0</v>
      </c>
      <c r="K15800" t="str">
        <f t="shared" si="2825"/>
        <v>813</v>
      </c>
      <c r="L15800">
        <v>366.24</v>
      </c>
    </row>
    <row r="15801" spans="1:12" x14ac:dyDescent="0.25">
      <c r="A15801" t="str">
        <f t="shared" si="2813"/>
        <v>89301000</v>
      </c>
      <c r="B15801" t="str">
        <f t="shared" si="2821"/>
        <v>06539000</v>
      </c>
      <c r="C15801" t="str">
        <f t="shared" si="2824"/>
        <v>06539003</v>
      </c>
      <c r="D15801">
        <v>89301101</v>
      </c>
      <c r="E15801" t="str">
        <f t="shared" si="2822"/>
        <v>1055285264</v>
      </c>
      <c r="F15801" s="1">
        <v>45257</v>
      </c>
      <c r="G15801" t="str">
        <f t="shared" si="2823"/>
        <v>91329</v>
      </c>
      <c r="H15801">
        <v>2</v>
      </c>
      <c r="I15801">
        <v>436</v>
      </c>
      <c r="J15801">
        <v>0</v>
      </c>
      <c r="K15801" t="str">
        <f t="shared" si="2825"/>
        <v>813</v>
      </c>
      <c r="L15801">
        <v>366.24</v>
      </c>
    </row>
    <row r="15802" spans="1:12" x14ac:dyDescent="0.25">
      <c r="A15802" t="str">
        <f t="shared" si="2813"/>
        <v>89301000</v>
      </c>
      <c r="B15802" t="str">
        <f t="shared" si="2821"/>
        <v>06539000</v>
      </c>
      <c r="C15802" t="str">
        <f t="shared" si="2824"/>
        <v>06539003</v>
      </c>
      <c r="D15802">
        <v>89301101</v>
      </c>
      <c r="E15802" t="str">
        <f t="shared" si="2822"/>
        <v>1055285264</v>
      </c>
      <c r="F15802" s="1">
        <v>45257</v>
      </c>
      <c r="G15802" t="str">
        <f t="shared" si="2823"/>
        <v>91329</v>
      </c>
      <c r="H15802">
        <v>2</v>
      </c>
      <c r="I15802">
        <v>436</v>
      </c>
      <c r="J15802">
        <v>0</v>
      </c>
      <c r="K15802" t="str">
        <f t="shared" si="2825"/>
        <v>813</v>
      </c>
      <c r="L15802">
        <v>366.24</v>
      </c>
    </row>
    <row r="15803" spans="1:12" x14ac:dyDescent="0.25">
      <c r="A15803" t="str">
        <f t="shared" si="2813"/>
        <v>89301000</v>
      </c>
      <c r="B15803" t="str">
        <f t="shared" si="2821"/>
        <v>06539000</v>
      </c>
      <c r="C15803" t="str">
        <f t="shared" si="2824"/>
        <v>06539003</v>
      </c>
      <c r="D15803">
        <v>89301101</v>
      </c>
      <c r="E15803" t="str">
        <f t="shared" si="2822"/>
        <v>1055285264</v>
      </c>
      <c r="F15803" s="1">
        <v>45257</v>
      </c>
      <c r="G15803" t="str">
        <f t="shared" si="2823"/>
        <v>91329</v>
      </c>
      <c r="H15803">
        <v>2</v>
      </c>
      <c r="I15803">
        <v>436</v>
      </c>
      <c r="J15803">
        <v>0</v>
      </c>
      <c r="K15803" t="str">
        <f t="shared" si="2825"/>
        <v>813</v>
      </c>
      <c r="L15803">
        <v>366.24</v>
      </c>
    </row>
    <row r="15804" spans="1:12" x14ac:dyDescent="0.25">
      <c r="A15804" t="str">
        <f t="shared" si="2813"/>
        <v>89301000</v>
      </c>
      <c r="B15804" t="str">
        <f t="shared" si="2821"/>
        <v>06539000</v>
      </c>
      <c r="C15804" t="str">
        <f t="shared" si="2824"/>
        <v>06539003</v>
      </c>
      <c r="D15804">
        <v>89301101</v>
      </c>
      <c r="E15804" t="str">
        <f t="shared" si="2822"/>
        <v>1055285264</v>
      </c>
      <c r="F15804" s="1">
        <v>45257</v>
      </c>
      <c r="G15804" t="str">
        <f t="shared" si="2823"/>
        <v>91329</v>
      </c>
      <c r="H15804">
        <v>2</v>
      </c>
      <c r="I15804">
        <v>436</v>
      </c>
      <c r="J15804">
        <v>0</v>
      </c>
      <c r="K15804" t="str">
        <f t="shared" si="2825"/>
        <v>813</v>
      </c>
      <c r="L15804">
        <v>366.24</v>
      </c>
    </row>
    <row r="15805" spans="1:12" x14ac:dyDescent="0.25">
      <c r="A15805" t="str">
        <f t="shared" si="2813"/>
        <v>89301000</v>
      </c>
      <c r="B15805" t="str">
        <f t="shared" si="2821"/>
        <v>06539000</v>
      </c>
      <c r="C15805" t="str">
        <f t="shared" si="2824"/>
        <v>06539003</v>
      </c>
      <c r="D15805">
        <v>89301101</v>
      </c>
      <c r="E15805" t="str">
        <f t="shared" si="2822"/>
        <v>1055285264</v>
      </c>
      <c r="F15805" s="1">
        <v>45257</v>
      </c>
      <c r="G15805" t="str">
        <f t="shared" si="2823"/>
        <v>91329</v>
      </c>
      <c r="H15805">
        <v>2</v>
      </c>
      <c r="I15805">
        <v>436</v>
      </c>
      <c r="J15805">
        <v>0</v>
      </c>
      <c r="K15805" t="str">
        <f t="shared" si="2825"/>
        <v>813</v>
      </c>
      <c r="L15805">
        <v>366.24</v>
      </c>
    </row>
    <row r="15806" spans="1:12" x14ac:dyDescent="0.25">
      <c r="A15806" t="str">
        <f t="shared" si="2813"/>
        <v>89301000</v>
      </c>
      <c r="B15806" t="str">
        <f t="shared" si="2821"/>
        <v>06539000</v>
      </c>
      <c r="C15806" t="str">
        <f t="shared" si="2824"/>
        <v>06539003</v>
      </c>
      <c r="D15806">
        <v>89301101</v>
      </c>
      <c r="E15806" t="str">
        <f t="shared" si="2822"/>
        <v>1055285264</v>
      </c>
      <c r="F15806" s="1">
        <v>45257</v>
      </c>
      <c r="G15806" t="str">
        <f t="shared" si="2823"/>
        <v>91329</v>
      </c>
      <c r="H15806">
        <v>2</v>
      </c>
      <c r="I15806">
        <v>436</v>
      </c>
      <c r="J15806">
        <v>0</v>
      </c>
      <c r="K15806" t="str">
        <f t="shared" si="2825"/>
        <v>813</v>
      </c>
      <c r="L15806">
        <v>366.24</v>
      </c>
    </row>
    <row r="15807" spans="1:12" x14ac:dyDescent="0.25">
      <c r="A15807" t="str">
        <f t="shared" si="2813"/>
        <v>89301000</v>
      </c>
      <c r="B15807" t="str">
        <f t="shared" si="2821"/>
        <v>06539000</v>
      </c>
      <c r="C15807" t="str">
        <f t="shared" si="2824"/>
        <v>06539003</v>
      </c>
      <c r="D15807">
        <v>89301101</v>
      </c>
      <c r="E15807" t="str">
        <f t="shared" si="2822"/>
        <v>1055285264</v>
      </c>
      <c r="F15807" s="1">
        <v>45257</v>
      </c>
      <c r="G15807" t="str">
        <f t="shared" si="2823"/>
        <v>91329</v>
      </c>
      <c r="H15807">
        <v>2</v>
      </c>
      <c r="I15807">
        <v>436</v>
      </c>
      <c r="J15807">
        <v>0</v>
      </c>
      <c r="K15807" t="str">
        <f t="shared" si="2825"/>
        <v>813</v>
      </c>
      <c r="L15807">
        <v>366.24</v>
      </c>
    </row>
    <row r="15808" spans="1:12" x14ac:dyDescent="0.25">
      <c r="A15808" t="str">
        <f t="shared" si="2813"/>
        <v>89301000</v>
      </c>
      <c r="B15808" t="str">
        <f t="shared" si="2821"/>
        <v>06539000</v>
      </c>
      <c r="C15808" t="str">
        <f t="shared" si="2824"/>
        <v>06539003</v>
      </c>
      <c r="D15808">
        <v>89301101</v>
      </c>
      <c r="E15808" t="str">
        <f t="shared" si="2822"/>
        <v>1055285264</v>
      </c>
      <c r="F15808" s="1">
        <v>45257</v>
      </c>
      <c r="G15808" t="str">
        <f t="shared" si="2823"/>
        <v>91329</v>
      </c>
      <c r="H15808">
        <v>2</v>
      </c>
      <c r="I15808">
        <v>436</v>
      </c>
      <c r="J15808">
        <v>0</v>
      </c>
      <c r="K15808" t="str">
        <f t="shared" si="2825"/>
        <v>813</v>
      </c>
      <c r="L15808">
        <v>366.24</v>
      </c>
    </row>
    <row r="15809" spans="1:12" x14ac:dyDescent="0.25">
      <c r="A15809" t="str">
        <f t="shared" si="2813"/>
        <v>89301000</v>
      </c>
      <c r="B15809" t="str">
        <f t="shared" si="2821"/>
        <v>06539000</v>
      </c>
      <c r="C15809" t="str">
        <f t="shared" si="2824"/>
        <v>06539003</v>
      </c>
      <c r="D15809">
        <v>89301101</v>
      </c>
      <c r="E15809" t="str">
        <f t="shared" si="2822"/>
        <v>1055285264</v>
      </c>
      <c r="F15809" s="1">
        <v>45257</v>
      </c>
      <c r="G15809" t="str">
        <f>"91129"</f>
        <v>91129</v>
      </c>
      <c r="H15809">
        <v>1</v>
      </c>
      <c r="I15809">
        <v>175</v>
      </c>
      <c r="J15809">
        <v>0</v>
      </c>
      <c r="K15809" t="str">
        <f t="shared" si="2825"/>
        <v>813</v>
      </c>
      <c r="L15809">
        <v>147</v>
      </c>
    </row>
    <row r="15810" spans="1:12" x14ac:dyDescent="0.25">
      <c r="A15810" t="str">
        <f t="shared" ref="A15810:A15873" si="2826">"89301000"</f>
        <v>89301000</v>
      </c>
      <c r="B15810" t="str">
        <f t="shared" si="2821"/>
        <v>06539000</v>
      </c>
      <c r="C15810" t="str">
        <f t="shared" si="2824"/>
        <v>06539003</v>
      </c>
      <c r="D15810">
        <v>89301101</v>
      </c>
      <c r="E15810" t="str">
        <f t="shared" si="2822"/>
        <v>1055285264</v>
      </c>
      <c r="F15810" s="1">
        <v>45260</v>
      </c>
      <c r="G15810" t="str">
        <f>"91131"</f>
        <v>91131</v>
      </c>
      <c r="H15810">
        <v>1</v>
      </c>
      <c r="I15810">
        <v>171</v>
      </c>
      <c r="J15810">
        <v>0</v>
      </c>
      <c r="K15810" t="str">
        <f t="shared" si="2825"/>
        <v>813</v>
      </c>
      <c r="L15810">
        <v>143.63999999999999</v>
      </c>
    </row>
    <row r="15811" spans="1:12" x14ac:dyDescent="0.25">
      <c r="A15811" t="str">
        <f t="shared" si="2826"/>
        <v>89301000</v>
      </c>
      <c r="B15811" t="str">
        <f t="shared" si="2821"/>
        <v>06539000</v>
      </c>
      <c r="C15811" t="str">
        <f t="shared" si="2824"/>
        <v>06539003</v>
      </c>
      <c r="D15811">
        <v>89301101</v>
      </c>
      <c r="E15811" t="str">
        <f t="shared" si="2822"/>
        <v>1055285264</v>
      </c>
      <c r="F15811" s="1">
        <v>45257</v>
      </c>
      <c r="G15811" t="str">
        <f>"91195"</f>
        <v>91195</v>
      </c>
      <c r="H15811">
        <v>1</v>
      </c>
      <c r="I15811">
        <v>279</v>
      </c>
      <c r="J15811">
        <v>0</v>
      </c>
      <c r="K15811" t="str">
        <f t="shared" si="2825"/>
        <v>813</v>
      </c>
      <c r="L15811">
        <v>234.36</v>
      </c>
    </row>
    <row r="15812" spans="1:12" x14ac:dyDescent="0.25">
      <c r="A15812" t="str">
        <f t="shared" si="2826"/>
        <v>89301000</v>
      </c>
      <c r="B15812" t="str">
        <f t="shared" si="2821"/>
        <v>06539000</v>
      </c>
      <c r="C15812" t="str">
        <f t="shared" si="2824"/>
        <v>06539003</v>
      </c>
      <c r="D15812">
        <v>89301101</v>
      </c>
      <c r="E15812" t="str">
        <f t="shared" si="2822"/>
        <v>1055285264</v>
      </c>
      <c r="F15812" s="1">
        <v>45257</v>
      </c>
      <c r="G15812" t="str">
        <f>"91133"</f>
        <v>91133</v>
      </c>
      <c r="H15812">
        <v>1</v>
      </c>
      <c r="I15812">
        <v>177</v>
      </c>
      <c r="J15812">
        <v>0</v>
      </c>
      <c r="K15812" t="str">
        <f t="shared" si="2825"/>
        <v>813</v>
      </c>
      <c r="L15812">
        <v>148.68</v>
      </c>
    </row>
    <row r="15813" spans="1:12" x14ac:dyDescent="0.25">
      <c r="A15813" t="str">
        <f t="shared" si="2826"/>
        <v>89301000</v>
      </c>
      <c r="B15813" t="str">
        <f t="shared" si="2821"/>
        <v>06539000</v>
      </c>
      <c r="C15813" t="str">
        <f t="shared" si="2824"/>
        <v>06539003</v>
      </c>
      <c r="D15813">
        <v>89301101</v>
      </c>
      <c r="E15813" t="str">
        <f t="shared" si="2822"/>
        <v>1055285264</v>
      </c>
      <c r="F15813" s="1">
        <v>45257</v>
      </c>
      <c r="G15813" t="str">
        <f>"91145"</f>
        <v>91145</v>
      </c>
      <c r="H15813">
        <v>1</v>
      </c>
      <c r="I15813">
        <v>171</v>
      </c>
      <c r="J15813">
        <v>0</v>
      </c>
      <c r="K15813" t="str">
        <f t="shared" si="2825"/>
        <v>813</v>
      </c>
      <c r="L15813">
        <v>143.63999999999999</v>
      </c>
    </row>
    <row r="15814" spans="1:12" x14ac:dyDescent="0.25">
      <c r="A15814" t="str">
        <f t="shared" si="2826"/>
        <v>89301000</v>
      </c>
      <c r="B15814" t="str">
        <f t="shared" si="2821"/>
        <v>06539000</v>
      </c>
      <c r="C15814" t="str">
        <f t="shared" si="2824"/>
        <v>06539003</v>
      </c>
      <c r="D15814">
        <v>89301101</v>
      </c>
      <c r="E15814" t="str">
        <f t="shared" si="2822"/>
        <v>1055285264</v>
      </c>
      <c r="F15814" s="1">
        <v>45257</v>
      </c>
      <c r="G15814" t="str">
        <f>"91137"</f>
        <v>91137</v>
      </c>
      <c r="H15814">
        <v>1</v>
      </c>
      <c r="I15814">
        <v>170</v>
      </c>
      <c r="J15814">
        <v>0</v>
      </c>
      <c r="K15814" t="str">
        <f t="shared" si="2825"/>
        <v>813</v>
      </c>
      <c r="L15814">
        <v>142.80000000000001</v>
      </c>
    </row>
    <row r="15815" spans="1:12" x14ac:dyDescent="0.25">
      <c r="A15815" t="str">
        <f t="shared" si="2826"/>
        <v>89301000</v>
      </c>
      <c r="B15815" t="str">
        <f t="shared" si="2821"/>
        <v>06539000</v>
      </c>
      <c r="C15815" t="str">
        <f t="shared" si="2824"/>
        <v>06539003</v>
      </c>
      <c r="D15815">
        <v>89301101</v>
      </c>
      <c r="E15815" t="str">
        <f t="shared" si="2822"/>
        <v>1055285264</v>
      </c>
      <c r="F15815" s="1">
        <v>45257</v>
      </c>
      <c r="G15815" t="str">
        <f>"91143"</f>
        <v>91143</v>
      </c>
      <c r="H15815">
        <v>1</v>
      </c>
      <c r="I15815">
        <v>182</v>
      </c>
      <c r="J15815">
        <v>0</v>
      </c>
      <c r="K15815" t="str">
        <f t="shared" si="2825"/>
        <v>813</v>
      </c>
      <c r="L15815">
        <v>152.88</v>
      </c>
    </row>
    <row r="15816" spans="1:12" x14ac:dyDescent="0.25">
      <c r="A15816" t="str">
        <f t="shared" si="2826"/>
        <v>89301000</v>
      </c>
      <c r="B15816" t="str">
        <f t="shared" si="2821"/>
        <v>06539000</v>
      </c>
      <c r="C15816" t="str">
        <f t="shared" si="2824"/>
        <v>06539003</v>
      </c>
      <c r="D15816">
        <v>89301101</v>
      </c>
      <c r="E15816" t="str">
        <f t="shared" si="2822"/>
        <v>1055285264</v>
      </c>
      <c r="F15816" s="1">
        <v>45257</v>
      </c>
      <c r="G15816" t="str">
        <f>"91151"</f>
        <v>91151</v>
      </c>
      <c r="H15816">
        <v>1</v>
      </c>
      <c r="I15816">
        <v>193</v>
      </c>
      <c r="J15816">
        <v>0</v>
      </c>
      <c r="K15816" t="str">
        <f t="shared" si="2825"/>
        <v>813</v>
      </c>
      <c r="L15816">
        <v>162.12</v>
      </c>
    </row>
    <row r="15817" spans="1:12" x14ac:dyDescent="0.25">
      <c r="A15817" t="str">
        <f t="shared" si="2826"/>
        <v>89301000</v>
      </c>
      <c r="B15817" t="str">
        <f t="shared" si="2821"/>
        <v>06539000</v>
      </c>
      <c r="C15817" t="str">
        <f t="shared" si="2824"/>
        <v>06539003</v>
      </c>
      <c r="D15817">
        <v>89301101</v>
      </c>
      <c r="E15817" t="str">
        <f t="shared" si="2822"/>
        <v>1055285264</v>
      </c>
      <c r="F15817" s="1">
        <v>45257</v>
      </c>
      <c r="G15817" t="str">
        <f>"91159"</f>
        <v>91159</v>
      </c>
      <c r="H15817">
        <v>1</v>
      </c>
      <c r="I15817">
        <v>171</v>
      </c>
      <c r="J15817">
        <v>0</v>
      </c>
      <c r="K15817" t="str">
        <f t="shared" si="2825"/>
        <v>813</v>
      </c>
      <c r="L15817">
        <v>143.63999999999999</v>
      </c>
    </row>
    <row r="15818" spans="1:12" x14ac:dyDescent="0.25">
      <c r="A15818" t="str">
        <f t="shared" si="2826"/>
        <v>89301000</v>
      </c>
      <c r="B15818" t="str">
        <f t="shared" si="2821"/>
        <v>06539000</v>
      </c>
      <c r="C15818" t="str">
        <f t="shared" si="2824"/>
        <v>06539003</v>
      </c>
      <c r="D15818">
        <v>89301101</v>
      </c>
      <c r="E15818" t="str">
        <f t="shared" si="2822"/>
        <v>1055285264</v>
      </c>
      <c r="F15818" s="1">
        <v>45257</v>
      </c>
      <c r="G15818" t="str">
        <f>"91161"</f>
        <v>91161</v>
      </c>
      <c r="H15818">
        <v>1</v>
      </c>
      <c r="I15818">
        <v>178</v>
      </c>
      <c r="J15818">
        <v>0</v>
      </c>
      <c r="K15818" t="str">
        <f t="shared" si="2825"/>
        <v>813</v>
      </c>
      <c r="L15818">
        <v>149.52000000000001</v>
      </c>
    </row>
    <row r="15819" spans="1:12" x14ac:dyDescent="0.25">
      <c r="A15819" t="str">
        <f t="shared" si="2826"/>
        <v>89301000</v>
      </c>
      <c r="B15819" t="str">
        <f t="shared" si="2821"/>
        <v>06539000</v>
      </c>
      <c r="C15819" t="str">
        <f t="shared" si="2824"/>
        <v>06539003</v>
      </c>
      <c r="D15819">
        <v>89301101</v>
      </c>
      <c r="E15819" t="str">
        <f t="shared" si="2822"/>
        <v>1055285264</v>
      </c>
      <c r="F15819" s="1">
        <v>45255</v>
      </c>
      <c r="G15819" t="str">
        <f>"91193"</f>
        <v>91193</v>
      </c>
      <c r="H15819">
        <v>1</v>
      </c>
      <c r="I15819">
        <v>273</v>
      </c>
      <c r="J15819">
        <v>0</v>
      </c>
      <c r="K15819" t="str">
        <f t="shared" si="2825"/>
        <v>813</v>
      </c>
      <c r="L15819">
        <v>229.32</v>
      </c>
    </row>
    <row r="15820" spans="1:12" x14ac:dyDescent="0.25">
      <c r="A15820" t="str">
        <f t="shared" si="2826"/>
        <v>89301000</v>
      </c>
      <c r="B15820" t="str">
        <f t="shared" si="2821"/>
        <v>06539000</v>
      </c>
      <c r="C15820" t="str">
        <f t="shared" si="2824"/>
        <v>06539003</v>
      </c>
      <c r="D15820">
        <v>89301101</v>
      </c>
      <c r="E15820" t="str">
        <f t="shared" si="2822"/>
        <v>1055285264</v>
      </c>
      <c r="F15820" s="1">
        <v>45254</v>
      </c>
      <c r="G15820" t="str">
        <f>"91193"</f>
        <v>91193</v>
      </c>
      <c r="H15820">
        <v>1</v>
      </c>
      <c r="I15820">
        <v>273</v>
      </c>
      <c r="J15820">
        <v>0</v>
      </c>
      <c r="K15820" t="str">
        <f t="shared" si="2825"/>
        <v>813</v>
      </c>
      <c r="L15820">
        <v>229.32</v>
      </c>
    </row>
    <row r="15821" spans="1:12" x14ac:dyDescent="0.25">
      <c r="A15821" t="str">
        <f t="shared" si="2826"/>
        <v>89301000</v>
      </c>
      <c r="B15821" t="str">
        <f t="shared" si="2821"/>
        <v>06539000</v>
      </c>
      <c r="C15821" t="str">
        <f t="shared" si="2824"/>
        <v>06539003</v>
      </c>
      <c r="D15821">
        <v>89301101</v>
      </c>
      <c r="E15821" t="str">
        <f t="shared" si="2822"/>
        <v>1055285264</v>
      </c>
      <c r="F15821" s="1">
        <v>45257</v>
      </c>
      <c r="G15821" t="str">
        <f>"91171"</f>
        <v>91171</v>
      </c>
      <c r="H15821">
        <v>1</v>
      </c>
      <c r="I15821">
        <v>362</v>
      </c>
      <c r="J15821">
        <v>0</v>
      </c>
      <c r="K15821" t="str">
        <f t="shared" si="2825"/>
        <v>813</v>
      </c>
      <c r="L15821">
        <v>304.08</v>
      </c>
    </row>
    <row r="15822" spans="1:12" x14ac:dyDescent="0.25">
      <c r="A15822" t="str">
        <f t="shared" si="2826"/>
        <v>89301000</v>
      </c>
      <c r="B15822" t="str">
        <f t="shared" si="2821"/>
        <v>06539000</v>
      </c>
      <c r="C15822" t="str">
        <f t="shared" si="2824"/>
        <v>06539003</v>
      </c>
      <c r="D15822">
        <v>89301101</v>
      </c>
      <c r="E15822" t="str">
        <f t="shared" si="2822"/>
        <v>1055285264</v>
      </c>
      <c r="F15822" s="1">
        <v>45254</v>
      </c>
      <c r="G15822" t="str">
        <f>"91173"</f>
        <v>91173</v>
      </c>
      <c r="H15822">
        <v>1</v>
      </c>
      <c r="I15822">
        <v>337</v>
      </c>
      <c r="J15822">
        <v>0</v>
      </c>
      <c r="K15822" t="str">
        <f t="shared" si="2825"/>
        <v>813</v>
      </c>
      <c r="L15822">
        <v>283.08</v>
      </c>
    </row>
    <row r="15823" spans="1:12" x14ac:dyDescent="0.25">
      <c r="A15823" t="str">
        <f t="shared" si="2826"/>
        <v>89301000</v>
      </c>
      <c r="B15823" t="str">
        <f t="shared" si="2821"/>
        <v>06539000</v>
      </c>
      <c r="C15823" t="str">
        <f t="shared" si="2824"/>
        <v>06539003</v>
      </c>
      <c r="D15823">
        <v>89301101</v>
      </c>
      <c r="E15823" t="str">
        <f t="shared" si="2822"/>
        <v>1055285264</v>
      </c>
      <c r="F15823" s="1">
        <v>45257</v>
      </c>
      <c r="G15823" t="str">
        <f>"91175"</f>
        <v>91175</v>
      </c>
      <c r="H15823">
        <v>1</v>
      </c>
      <c r="I15823">
        <v>362</v>
      </c>
      <c r="J15823">
        <v>0</v>
      </c>
      <c r="K15823" t="str">
        <f t="shared" si="2825"/>
        <v>813</v>
      </c>
      <c r="L15823">
        <v>304.08</v>
      </c>
    </row>
    <row r="15824" spans="1:12" x14ac:dyDescent="0.25">
      <c r="A15824" t="str">
        <f t="shared" si="2826"/>
        <v>89301000</v>
      </c>
      <c r="B15824" t="str">
        <f t="shared" si="2821"/>
        <v>06539000</v>
      </c>
      <c r="C15824" t="str">
        <f t="shared" si="2824"/>
        <v>06539003</v>
      </c>
      <c r="D15824">
        <v>89301101</v>
      </c>
      <c r="E15824" t="str">
        <f t="shared" si="2822"/>
        <v>1055285264</v>
      </c>
      <c r="F15824" s="1">
        <v>45260</v>
      </c>
      <c r="G15824" t="str">
        <f>"91151"</f>
        <v>91151</v>
      </c>
      <c r="H15824">
        <v>1</v>
      </c>
      <c r="I15824">
        <v>193</v>
      </c>
      <c r="J15824">
        <v>0</v>
      </c>
      <c r="K15824" t="str">
        <f t="shared" si="2825"/>
        <v>813</v>
      </c>
      <c r="L15824">
        <v>162.12</v>
      </c>
    </row>
    <row r="15825" spans="1:12" x14ac:dyDescent="0.25">
      <c r="A15825" t="str">
        <f t="shared" si="2826"/>
        <v>89301000</v>
      </c>
      <c r="B15825" t="str">
        <f t="shared" si="2821"/>
        <v>06539000</v>
      </c>
      <c r="C15825" t="str">
        <f t="shared" si="2824"/>
        <v>06539003</v>
      </c>
      <c r="D15825">
        <v>89301101</v>
      </c>
      <c r="E15825" t="str">
        <f t="shared" si="2822"/>
        <v>1055285264</v>
      </c>
      <c r="F15825" s="1">
        <v>45264</v>
      </c>
      <c r="G15825" t="str">
        <f>"91475"</f>
        <v>91475</v>
      </c>
      <c r="H15825">
        <v>1</v>
      </c>
      <c r="I15825">
        <v>213</v>
      </c>
      <c r="J15825">
        <v>0</v>
      </c>
      <c r="K15825" t="str">
        <f t="shared" si="2825"/>
        <v>813</v>
      </c>
      <c r="L15825">
        <v>178.92</v>
      </c>
    </row>
    <row r="15826" spans="1:12" x14ac:dyDescent="0.25">
      <c r="A15826" t="str">
        <f t="shared" si="2826"/>
        <v>89301000</v>
      </c>
      <c r="B15826" t="str">
        <f t="shared" si="2821"/>
        <v>06539000</v>
      </c>
      <c r="C15826" t="str">
        <f t="shared" si="2824"/>
        <v>06539003</v>
      </c>
      <c r="D15826">
        <v>89301171</v>
      </c>
      <c r="E15826" t="str">
        <f t="shared" ref="E15826:E15853" si="2827">"0252025730"</f>
        <v>0252025730</v>
      </c>
      <c r="F15826" s="1">
        <v>45259</v>
      </c>
      <c r="G15826" t="str">
        <f t="shared" ref="G15826:G15835" si="2828">"91413"</f>
        <v>91413</v>
      </c>
      <c r="H15826">
        <v>1</v>
      </c>
      <c r="I15826">
        <v>868</v>
      </c>
      <c r="J15826">
        <v>0</v>
      </c>
      <c r="K15826" t="str">
        <f t="shared" si="2825"/>
        <v>813</v>
      </c>
      <c r="L15826">
        <v>729.12</v>
      </c>
    </row>
    <row r="15827" spans="1:12" x14ac:dyDescent="0.25">
      <c r="A15827" t="str">
        <f t="shared" si="2826"/>
        <v>89301000</v>
      </c>
      <c r="B15827" t="str">
        <f t="shared" si="2821"/>
        <v>06539000</v>
      </c>
      <c r="C15827" t="str">
        <f t="shared" si="2824"/>
        <v>06539003</v>
      </c>
      <c r="D15827">
        <v>89301171</v>
      </c>
      <c r="E15827" t="str">
        <f t="shared" si="2827"/>
        <v>0252025730</v>
      </c>
      <c r="F15827" s="1">
        <v>45259</v>
      </c>
      <c r="G15827" t="str">
        <f t="shared" si="2828"/>
        <v>91413</v>
      </c>
      <c r="H15827">
        <v>1</v>
      </c>
      <c r="I15827">
        <v>868</v>
      </c>
      <c r="J15827">
        <v>0</v>
      </c>
      <c r="K15827" t="str">
        <f t="shared" si="2825"/>
        <v>813</v>
      </c>
      <c r="L15827">
        <v>729.12</v>
      </c>
    </row>
    <row r="15828" spans="1:12" x14ac:dyDescent="0.25">
      <c r="A15828" t="str">
        <f t="shared" si="2826"/>
        <v>89301000</v>
      </c>
      <c r="B15828" t="str">
        <f t="shared" si="2821"/>
        <v>06539000</v>
      </c>
      <c r="C15828" t="str">
        <f t="shared" si="2824"/>
        <v>06539003</v>
      </c>
      <c r="D15828">
        <v>89301171</v>
      </c>
      <c r="E15828" t="str">
        <f t="shared" si="2827"/>
        <v>0252025730</v>
      </c>
      <c r="F15828" s="1">
        <v>45281</v>
      </c>
      <c r="G15828" t="str">
        <f t="shared" si="2828"/>
        <v>91413</v>
      </c>
      <c r="H15828">
        <v>1</v>
      </c>
      <c r="I15828">
        <v>868</v>
      </c>
      <c r="J15828">
        <v>0</v>
      </c>
      <c r="K15828" t="str">
        <f t="shared" si="2825"/>
        <v>813</v>
      </c>
      <c r="L15828">
        <v>729.12</v>
      </c>
    </row>
    <row r="15829" spans="1:12" x14ac:dyDescent="0.25">
      <c r="A15829" t="str">
        <f t="shared" si="2826"/>
        <v>89301000</v>
      </c>
      <c r="B15829" t="str">
        <f t="shared" si="2821"/>
        <v>06539000</v>
      </c>
      <c r="C15829" t="str">
        <f t="shared" si="2824"/>
        <v>06539003</v>
      </c>
      <c r="D15829">
        <v>89301171</v>
      </c>
      <c r="E15829" t="str">
        <f t="shared" si="2827"/>
        <v>0252025730</v>
      </c>
      <c r="F15829" s="1">
        <v>45281</v>
      </c>
      <c r="G15829" t="str">
        <f t="shared" si="2828"/>
        <v>91413</v>
      </c>
      <c r="H15829">
        <v>1</v>
      </c>
      <c r="I15829">
        <v>868</v>
      </c>
      <c r="J15829">
        <v>0</v>
      </c>
      <c r="K15829" t="str">
        <f t="shared" si="2825"/>
        <v>813</v>
      </c>
      <c r="L15829">
        <v>729.12</v>
      </c>
    </row>
    <row r="15830" spans="1:12" x14ac:dyDescent="0.25">
      <c r="A15830" t="str">
        <f t="shared" si="2826"/>
        <v>89301000</v>
      </c>
      <c r="B15830" t="str">
        <f t="shared" si="2821"/>
        <v>06539000</v>
      </c>
      <c r="C15830" t="str">
        <f t="shared" ref="C15830:C15861" si="2829">"06539003"</f>
        <v>06539003</v>
      </c>
      <c r="D15830">
        <v>89301171</v>
      </c>
      <c r="E15830" t="str">
        <f t="shared" si="2827"/>
        <v>0252025730</v>
      </c>
      <c r="F15830" s="1">
        <v>45275</v>
      </c>
      <c r="G15830" t="str">
        <f t="shared" si="2828"/>
        <v>91413</v>
      </c>
      <c r="H15830">
        <v>1</v>
      </c>
      <c r="I15830">
        <v>868</v>
      </c>
      <c r="J15830">
        <v>0</v>
      </c>
      <c r="K15830" t="str">
        <f t="shared" ref="K15830:K15861" si="2830">"813"</f>
        <v>813</v>
      </c>
      <c r="L15830">
        <v>729.12</v>
      </c>
    </row>
    <row r="15831" spans="1:12" x14ac:dyDescent="0.25">
      <c r="A15831" t="str">
        <f t="shared" si="2826"/>
        <v>89301000</v>
      </c>
      <c r="B15831" t="str">
        <f t="shared" si="2821"/>
        <v>06539000</v>
      </c>
      <c r="C15831" t="str">
        <f t="shared" si="2829"/>
        <v>06539003</v>
      </c>
      <c r="D15831">
        <v>89301171</v>
      </c>
      <c r="E15831" t="str">
        <f t="shared" si="2827"/>
        <v>0252025730</v>
      </c>
      <c r="F15831" s="1">
        <v>45275</v>
      </c>
      <c r="G15831" t="str">
        <f t="shared" si="2828"/>
        <v>91413</v>
      </c>
      <c r="H15831">
        <v>1</v>
      </c>
      <c r="I15831">
        <v>868</v>
      </c>
      <c r="J15831">
        <v>0</v>
      </c>
      <c r="K15831" t="str">
        <f t="shared" si="2830"/>
        <v>813</v>
      </c>
      <c r="L15831">
        <v>729.12</v>
      </c>
    </row>
    <row r="15832" spans="1:12" x14ac:dyDescent="0.25">
      <c r="A15832" t="str">
        <f t="shared" si="2826"/>
        <v>89301000</v>
      </c>
      <c r="B15832" t="str">
        <f t="shared" si="2821"/>
        <v>06539000</v>
      </c>
      <c r="C15832" t="str">
        <f t="shared" si="2829"/>
        <v>06539003</v>
      </c>
      <c r="D15832">
        <v>89301171</v>
      </c>
      <c r="E15832" t="str">
        <f t="shared" si="2827"/>
        <v>0252025730</v>
      </c>
      <c r="F15832" s="1">
        <v>45281</v>
      </c>
      <c r="G15832" t="str">
        <f t="shared" si="2828"/>
        <v>91413</v>
      </c>
      <c r="H15832">
        <v>1</v>
      </c>
      <c r="I15832">
        <v>868</v>
      </c>
      <c r="J15832">
        <v>0</v>
      </c>
      <c r="K15832" t="str">
        <f t="shared" si="2830"/>
        <v>813</v>
      </c>
      <c r="L15832">
        <v>729.12</v>
      </c>
    </row>
    <row r="15833" spans="1:12" x14ac:dyDescent="0.25">
      <c r="A15833" t="str">
        <f t="shared" si="2826"/>
        <v>89301000</v>
      </c>
      <c r="B15833" t="str">
        <f t="shared" si="2821"/>
        <v>06539000</v>
      </c>
      <c r="C15833" t="str">
        <f t="shared" si="2829"/>
        <v>06539003</v>
      </c>
      <c r="D15833">
        <v>89301171</v>
      </c>
      <c r="E15833" t="str">
        <f t="shared" si="2827"/>
        <v>0252025730</v>
      </c>
      <c r="F15833" s="1">
        <v>45281</v>
      </c>
      <c r="G15833" t="str">
        <f t="shared" si="2828"/>
        <v>91413</v>
      </c>
      <c r="H15833">
        <v>1</v>
      </c>
      <c r="I15833">
        <v>868</v>
      </c>
      <c r="J15833">
        <v>0</v>
      </c>
      <c r="K15833" t="str">
        <f t="shared" si="2830"/>
        <v>813</v>
      </c>
      <c r="L15833">
        <v>729.12</v>
      </c>
    </row>
    <row r="15834" spans="1:12" x14ac:dyDescent="0.25">
      <c r="A15834" t="str">
        <f t="shared" si="2826"/>
        <v>89301000</v>
      </c>
      <c r="B15834" t="str">
        <f t="shared" si="2821"/>
        <v>06539000</v>
      </c>
      <c r="C15834" t="str">
        <f t="shared" si="2829"/>
        <v>06539003</v>
      </c>
      <c r="D15834">
        <v>89301171</v>
      </c>
      <c r="E15834" t="str">
        <f t="shared" si="2827"/>
        <v>0252025730</v>
      </c>
      <c r="F15834" s="1">
        <v>45281</v>
      </c>
      <c r="G15834" t="str">
        <f t="shared" si="2828"/>
        <v>91413</v>
      </c>
      <c r="H15834">
        <v>1</v>
      </c>
      <c r="I15834">
        <v>868</v>
      </c>
      <c r="J15834">
        <v>0</v>
      </c>
      <c r="K15834" t="str">
        <f t="shared" si="2830"/>
        <v>813</v>
      </c>
      <c r="L15834">
        <v>729.12</v>
      </c>
    </row>
    <row r="15835" spans="1:12" x14ac:dyDescent="0.25">
      <c r="A15835" t="str">
        <f t="shared" si="2826"/>
        <v>89301000</v>
      </c>
      <c r="B15835" t="str">
        <f t="shared" si="2821"/>
        <v>06539000</v>
      </c>
      <c r="C15835" t="str">
        <f t="shared" si="2829"/>
        <v>06539003</v>
      </c>
      <c r="D15835">
        <v>89301171</v>
      </c>
      <c r="E15835" t="str">
        <f t="shared" si="2827"/>
        <v>0252025730</v>
      </c>
      <c r="F15835" s="1">
        <v>45281</v>
      </c>
      <c r="G15835" t="str">
        <f t="shared" si="2828"/>
        <v>91413</v>
      </c>
      <c r="H15835">
        <v>1</v>
      </c>
      <c r="I15835">
        <v>868</v>
      </c>
      <c r="J15835">
        <v>0</v>
      </c>
      <c r="K15835" t="str">
        <f t="shared" si="2830"/>
        <v>813</v>
      </c>
      <c r="L15835">
        <v>729.12</v>
      </c>
    </row>
    <row r="15836" spans="1:12" x14ac:dyDescent="0.25">
      <c r="A15836" t="str">
        <f t="shared" si="2826"/>
        <v>89301000</v>
      </c>
      <c r="B15836" t="str">
        <f t="shared" si="2821"/>
        <v>06539000</v>
      </c>
      <c r="C15836" t="str">
        <f t="shared" si="2829"/>
        <v>06539003</v>
      </c>
      <c r="D15836">
        <v>89301171</v>
      </c>
      <c r="E15836" t="str">
        <f t="shared" si="2827"/>
        <v>0252025730</v>
      </c>
      <c r="F15836" s="1">
        <v>45257</v>
      </c>
      <c r="G15836" t="str">
        <f t="shared" ref="G15836:G15841" si="2831">"91197"</f>
        <v>91197</v>
      </c>
      <c r="H15836">
        <v>1</v>
      </c>
      <c r="I15836">
        <v>1048</v>
      </c>
      <c r="J15836">
        <v>0</v>
      </c>
      <c r="K15836" t="str">
        <f t="shared" si="2830"/>
        <v>813</v>
      </c>
      <c r="L15836">
        <v>880.32</v>
      </c>
    </row>
    <row r="15837" spans="1:12" x14ac:dyDescent="0.25">
      <c r="A15837" t="str">
        <f t="shared" si="2826"/>
        <v>89301000</v>
      </c>
      <c r="B15837" t="str">
        <f t="shared" si="2821"/>
        <v>06539000</v>
      </c>
      <c r="C15837" t="str">
        <f t="shared" si="2829"/>
        <v>06539003</v>
      </c>
      <c r="D15837">
        <v>89301171</v>
      </c>
      <c r="E15837" t="str">
        <f t="shared" si="2827"/>
        <v>0252025730</v>
      </c>
      <c r="F15837" s="1">
        <v>45257</v>
      </c>
      <c r="G15837" t="str">
        <f t="shared" si="2831"/>
        <v>91197</v>
      </c>
      <c r="H15837">
        <v>1</v>
      </c>
      <c r="I15837">
        <v>1048</v>
      </c>
      <c r="J15837">
        <v>0</v>
      </c>
      <c r="K15837" t="str">
        <f t="shared" si="2830"/>
        <v>813</v>
      </c>
      <c r="L15837">
        <v>880.32</v>
      </c>
    </row>
    <row r="15838" spans="1:12" x14ac:dyDescent="0.25">
      <c r="A15838" t="str">
        <f t="shared" si="2826"/>
        <v>89301000</v>
      </c>
      <c r="B15838" t="str">
        <f t="shared" si="2821"/>
        <v>06539000</v>
      </c>
      <c r="C15838" t="str">
        <f t="shared" si="2829"/>
        <v>06539003</v>
      </c>
      <c r="D15838">
        <v>89301171</v>
      </c>
      <c r="E15838" t="str">
        <f t="shared" si="2827"/>
        <v>0252025730</v>
      </c>
      <c r="F15838" s="1">
        <v>45256</v>
      </c>
      <c r="G15838" t="str">
        <f t="shared" si="2831"/>
        <v>91197</v>
      </c>
      <c r="H15838">
        <v>1</v>
      </c>
      <c r="I15838">
        <v>1048</v>
      </c>
      <c r="J15838">
        <v>0</v>
      </c>
      <c r="K15838" t="str">
        <f t="shared" si="2830"/>
        <v>813</v>
      </c>
      <c r="L15838">
        <v>880.32</v>
      </c>
    </row>
    <row r="15839" spans="1:12" x14ac:dyDescent="0.25">
      <c r="A15839" t="str">
        <f t="shared" si="2826"/>
        <v>89301000</v>
      </c>
      <c r="B15839" t="str">
        <f t="shared" si="2821"/>
        <v>06539000</v>
      </c>
      <c r="C15839" t="str">
        <f t="shared" si="2829"/>
        <v>06539003</v>
      </c>
      <c r="D15839">
        <v>89301171</v>
      </c>
      <c r="E15839" t="str">
        <f t="shared" si="2827"/>
        <v>0252025730</v>
      </c>
      <c r="F15839" s="1">
        <v>45256</v>
      </c>
      <c r="G15839" t="str">
        <f t="shared" si="2831"/>
        <v>91197</v>
      </c>
      <c r="H15839">
        <v>1</v>
      </c>
      <c r="I15839">
        <v>1048</v>
      </c>
      <c r="J15839">
        <v>0</v>
      </c>
      <c r="K15839" t="str">
        <f t="shared" si="2830"/>
        <v>813</v>
      </c>
      <c r="L15839">
        <v>880.32</v>
      </c>
    </row>
    <row r="15840" spans="1:12" x14ac:dyDescent="0.25">
      <c r="A15840" t="str">
        <f t="shared" si="2826"/>
        <v>89301000</v>
      </c>
      <c r="B15840" t="str">
        <f t="shared" si="2821"/>
        <v>06539000</v>
      </c>
      <c r="C15840" t="str">
        <f t="shared" si="2829"/>
        <v>06539003</v>
      </c>
      <c r="D15840">
        <v>89301171</v>
      </c>
      <c r="E15840" t="str">
        <f t="shared" si="2827"/>
        <v>0252025730</v>
      </c>
      <c r="F15840" s="1">
        <v>45255</v>
      </c>
      <c r="G15840" t="str">
        <f t="shared" si="2831"/>
        <v>91197</v>
      </c>
      <c r="H15840">
        <v>1</v>
      </c>
      <c r="I15840">
        <v>1048</v>
      </c>
      <c r="J15840">
        <v>0</v>
      </c>
      <c r="K15840" t="str">
        <f t="shared" si="2830"/>
        <v>813</v>
      </c>
      <c r="L15840">
        <v>880.32</v>
      </c>
    </row>
    <row r="15841" spans="1:12" x14ac:dyDescent="0.25">
      <c r="A15841" t="str">
        <f t="shared" si="2826"/>
        <v>89301000</v>
      </c>
      <c r="B15841" t="str">
        <f t="shared" si="2821"/>
        <v>06539000</v>
      </c>
      <c r="C15841" t="str">
        <f t="shared" si="2829"/>
        <v>06539003</v>
      </c>
      <c r="D15841">
        <v>89301171</v>
      </c>
      <c r="E15841" t="str">
        <f t="shared" si="2827"/>
        <v>0252025730</v>
      </c>
      <c r="F15841" s="1">
        <v>45255</v>
      </c>
      <c r="G15841" t="str">
        <f t="shared" si="2831"/>
        <v>91197</v>
      </c>
      <c r="H15841">
        <v>1</v>
      </c>
      <c r="I15841">
        <v>1048</v>
      </c>
      <c r="J15841">
        <v>0</v>
      </c>
      <c r="K15841" t="str">
        <f t="shared" si="2830"/>
        <v>813</v>
      </c>
      <c r="L15841">
        <v>880.32</v>
      </c>
    </row>
    <row r="15842" spans="1:12" x14ac:dyDescent="0.25">
      <c r="A15842" t="str">
        <f t="shared" si="2826"/>
        <v>89301000</v>
      </c>
      <c r="B15842" t="str">
        <f t="shared" si="2821"/>
        <v>06539000</v>
      </c>
      <c r="C15842" t="str">
        <f t="shared" si="2829"/>
        <v>06539003</v>
      </c>
      <c r="D15842">
        <v>89301171</v>
      </c>
      <c r="E15842" t="str">
        <f t="shared" si="2827"/>
        <v>0252025730</v>
      </c>
      <c r="F15842" s="1">
        <v>45259</v>
      </c>
      <c r="G15842" t="str">
        <f>"91329"</f>
        <v>91329</v>
      </c>
      <c r="H15842">
        <v>2</v>
      </c>
      <c r="I15842">
        <v>436</v>
      </c>
      <c r="J15842">
        <v>0</v>
      </c>
      <c r="K15842" t="str">
        <f t="shared" si="2830"/>
        <v>813</v>
      </c>
      <c r="L15842">
        <v>366.24</v>
      </c>
    </row>
    <row r="15843" spans="1:12" x14ac:dyDescent="0.25">
      <c r="A15843" t="str">
        <f t="shared" si="2826"/>
        <v>89301000</v>
      </c>
      <c r="B15843" t="str">
        <f t="shared" si="2821"/>
        <v>06539000</v>
      </c>
      <c r="C15843" t="str">
        <f t="shared" si="2829"/>
        <v>06539003</v>
      </c>
      <c r="D15843">
        <v>89301171</v>
      </c>
      <c r="E15843" t="str">
        <f t="shared" si="2827"/>
        <v>0252025730</v>
      </c>
      <c r="F15843" s="1">
        <v>45259</v>
      </c>
      <c r="G15843" t="str">
        <f>"91329"</f>
        <v>91329</v>
      </c>
      <c r="H15843">
        <v>2</v>
      </c>
      <c r="I15843">
        <v>436</v>
      </c>
      <c r="J15843">
        <v>0</v>
      </c>
      <c r="K15843" t="str">
        <f t="shared" si="2830"/>
        <v>813</v>
      </c>
      <c r="L15843">
        <v>366.24</v>
      </c>
    </row>
    <row r="15844" spans="1:12" x14ac:dyDescent="0.25">
      <c r="A15844" t="str">
        <f t="shared" si="2826"/>
        <v>89301000</v>
      </c>
      <c r="B15844" t="str">
        <f t="shared" si="2821"/>
        <v>06539000</v>
      </c>
      <c r="C15844" t="str">
        <f t="shared" si="2829"/>
        <v>06539003</v>
      </c>
      <c r="D15844">
        <v>89301171</v>
      </c>
      <c r="E15844" t="str">
        <f t="shared" si="2827"/>
        <v>0252025730</v>
      </c>
      <c r="F15844" s="1">
        <v>45259</v>
      </c>
      <c r="G15844" t="str">
        <f>"91329"</f>
        <v>91329</v>
      </c>
      <c r="H15844">
        <v>2</v>
      </c>
      <c r="I15844">
        <v>436</v>
      </c>
      <c r="J15844">
        <v>0</v>
      </c>
      <c r="K15844" t="str">
        <f t="shared" si="2830"/>
        <v>813</v>
      </c>
      <c r="L15844">
        <v>366.24</v>
      </c>
    </row>
    <row r="15845" spans="1:12" x14ac:dyDescent="0.25">
      <c r="A15845" t="str">
        <f t="shared" si="2826"/>
        <v>89301000</v>
      </c>
      <c r="B15845" t="str">
        <f t="shared" si="2821"/>
        <v>06539000</v>
      </c>
      <c r="C15845" t="str">
        <f t="shared" si="2829"/>
        <v>06539003</v>
      </c>
      <c r="D15845">
        <v>89301171</v>
      </c>
      <c r="E15845" t="str">
        <f t="shared" si="2827"/>
        <v>0252025730</v>
      </c>
      <c r="F15845" s="1">
        <v>45259</v>
      </c>
      <c r="G15845" t="str">
        <f>"91329"</f>
        <v>91329</v>
      </c>
      <c r="H15845">
        <v>2</v>
      </c>
      <c r="I15845">
        <v>436</v>
      </c>
      <c r="J15845">
        <v>0</v>
      </c>
      <c r="K15845" t="str">
        <f t="shared" si="2830"/>
        <v>813</v>
      </c>
      <c r="L15845">
        <v>366.24</v>
      </c>
    </row>
    <row r="15846" spans="1:12" x14ac:dyDescent="0.25">
      <c r="A15846" t="str">
        <f t="shared" si="2826"/>
        <v>89301000</v>
      </c>
      <c r="B15846" t="str">
        <f t="shared" si="2821"/>
        <v>06539000</v>
      </c>
      <c r="C15846" t="str">
        <f t="shared" si="2829"/>
        <v>06539003</v>
      </c>
      <c r="D15846">
        <v>89301171</v>
      </c>
      <c r="E15846" t="str">
        <f t="shared" si="2827"/>
        <v>0252025730</v>
      </c>
      <c r="F15846" s="1">
        <v>45257</v>
      </c>
      <c r="G15846" t="str">
        <f>"91129"</f>
        <v>91129</v>
      </c>
      <c r="H15846">
        <v>1</v>
      </c>
      <c r="I15846">
        <v>175</v>
      </c>
      <c r="J15846">
        <v>0</v>
      </c>
      <c r="K15846" t="str">
        <f t="shared" si="2830"/>
        <v>813</v>
      </c>
      <c r="L15846">
        <v>147</v>
      </c>
    </row>
    <row r="15847" spans="1:12" x14ac:dyDescent="0.25">
      <c r="A15847" t="str">
        <f t="shared" si="2826"/>
        <v>89301000</v>
      </c>
      <c r="B15847" t="str">
        <f t="shared" si="2821"/>
        <v>06539000</v>
      </c>
      <c r="C15847" t="str">
        <f t="shared" si="2829"/>
        <v>06539003</v>
      </c>
      <c r="D15847">
        <v>89301171</v>
      </c>
      <c r="E15847" t="str">
        <f t="shared" si="2827"/>
        <v>0252025730</v>
      </c>
      <c r="F15847" s="1">
        <v>45257</v>
      </c>
      <c r="G15847" t="str">
        <f>"91131"</f>
        <v>91131</v>
      </c>
      <c r="H15847">
        <v>1</v>
      </c>
      <c r="I15847">
        <v>171</v>
      </c>
      <c r="J15847">
        <v>0</v>
      </c>
      <c r="K15847" t="str">
        <f t="shared" si="2830"/>
        <v>813</v>
      </c>
      <c r="L15847">
        <v>143.63999999999999</v>
      </c>
    </row>
    <row r="15848" spans="1:12" x14ac:dyDescent="0.25">
      <c r="A15848" t="str">
        <f t="shared" si="2826"/>
        <v>89301000</v>
      </c>
      <c r="B15848" t="str">
        <f t="shared" si="2821"/>
        <v>06539000</v>
      </c>
      <c r="C15848" t="str">
        <f t="shared" si="2829"/>
        <v>06539003</v>
      </c>
      <c r="D15848">
        <v>89301171</v>
      </c>
      <c r="E15848" t="str">
        <f t="shared" si="2827"/>
        <v>0252025730</v>
      </c>
      <c r="F15848" s="1">
        <v>45257</v>
      </c>
      <c r="G15848" t="str">
        <f>"91133"</f>
        <v>91133</v>
      </c>
      <c r="H15848">
        <v>1</v>
      </c>
      <c r="I15848">
        <v>177</v>
      </c>
      <c r="J15848">
        <v>0</v>
      </c>
      <c r="K15848" t="str">
        <f t="shared" si="2830"/>
        <v>813</v>
      </c>
      <c r="L15848">
        <v>148.68</v>
      </c>
    </row>
    <row r="15849" spans="1:12" x14ac:dyDescent="0.25">
      <c r="A15849" t="str">
        <f t="shared" si="2826"/>
        <v>89301000</v>
      </c>
      <c r="B15849" t="str">
        <f t="shared" si="2821"/>
        <v>06539000</v>
      </c>
      <c r="C15849" t="str">
        <f t="shared" si="2829"/>
        <v>06539003</v>
      </c>
      <c r="D15849">
        <v>89301171</v>
      </c>
      <c r="E15849" t="str">
        <f t="shared" si="2827"/>
        <v>0252025730</v>
      </c>
      <c r="F15849" s="1">
        <v>45257</v>
      </c>
      <c r="G15849" t="str">
        <f>"91171"</f>
        <v>91171</v>
      </c>
      <c r="H15849">
        <v>1</v>
      </c>
      <c r="I15849">
        <v>362</v>
      </c>
      <c r="J15849">
        <v>0</v>
      </c>
      <c r="K15849" t="str">
        <f t="shared" si="2830"/>
        <v>813</v>
      </c>
      <c r="L15849">
        <v>304.08</v>
      </c>
    </row>
    <row r="15850" spans="1:12" x14ac:dyDescent="0.25">
      <c r="A15850" t="str">
        <f t="shared" si="2826"/>
        <v>89301000</v>
      </c>
      <c r="B15850" t="str">
        <f t="shared" si="2821"/>
        <v>06539000</v>
      </c>
      <c r="C15850" t="str">
        <f t="shared" si="2829"/>
        <v>06539003</v>
      </c>
      <c r="D15850">
        <v>89301171</v>
      </c>
      <c r="E15850" t="str">
        <f t="shared" si="2827"/>
        <v>0252025730</v>
      </c>
      <c r="F15850" s="1">
        <v>45257</v>
      </c>
      <c r="G15850" t="str">
        <f>"91175"</f>
        <v>91175</v>
      </c>
      <c r="H15850">
        <v>1</v>
      </c>
      <c r="I15850">
        <v>362</v>
      </c>
      <c r="J15850">
        <v>0</v>
      </c>
      <c r="K15850" t="str">
        <f t="shared" si="2830"/>
        <v>813</v>
      </c>
      <c r="L15850">
        <v>304.08</v>
      </c>
    </row>
    <row r="15851" spans="1:12" x14ac:dyDescent="0.25">
      <c r="A15851" t="str">
        <f t="shared" si="2826"/>
        <v>89301000</v>
      </c>
      <c r="B15851" t="str">
        <f t="shared" ref="B15851:B15914" si="2832">"06539000"</f>
        <v>06539000</v>
      </c>
      <c r="C15851" t="str">
        <f t="shared" si="2829"/>
        <v>06539003</v>
      </c>
      <c r="D15851">
        <v>89301171</v>
      </c>
      <c r="E15851" t="str">
        <f t="shared" si="2827"/>
        <v>0252025730</v>
      </c>
      <c r="F15851" s="1">
        <v>45255</v>
      </c>
      <c r="G15851" t="str">
        <f>"91167"</f>
        <v>91167</v>
      </c>
      <c r="H15851">
        <v>1</v>
      </c>
      <c r="I15851">
        <v>426</v>
      </c>
      <c r="J15851">
        <v>0</v>
      </c>
      <c r="K15851" t="str">
        <f t="shared" si="2830"/>
        <v>813</v>
      </c>
      <c r="L15851">
        <v>357.84</v>
      </c>
    </row>
    <row r="15852" spans="1:12" x14ac:dyDescent="0.25">
      <c r="A15852" t="str">
        <f t="shared" si="2826"/>
        <v>89301000</v>
      </c>
      <c r="B15852" t="str">
        <f t="shared" si="2832"/>
        <v>06539000</v>
      </c>
      <c r="C15852" t="str">
        <f t="shared" si="2829"/>
        <v>06539003</v>
      </c>
      <c r="D15852">
        <v>89301171</v>
      </c>
      <c r="E15852" t="str">
        <f t="shared" si="2827"/>
        <v>0252025730</v>
      </c>
      <c r="F15852" s="1">
        <v>45255</v>
      </c>
      <c r="G15852" t="str">
        <f>"91169"</f>
        <v>91169</v>
      </c>
      <c r="H15852">
        <v>1</v>
      </c>
      <c r="I15852">
        <v>426</v>
      </c>
      <c r="J15852">
        <v>0</v>
      </c>
      <c r="K15852" t="str">
        <f t="shared" si="2830"/>
        <v>813</v>
      </c>
      <c r="L15852">
        <v>357.84</v>
      </c>
    </row>
    <row r="15853" spans="1:12" x14ac:dyDescent="0.25">
      <c r="A15853" t="str">
        <f t="shared" si="2826"/>
        <v>89301000</v>
      </c>
      <c r="B15853" t="str">
        <f t="shared" si="2832"/>
        <v>06539000</v>
      </c>
      <c r="C15853" t="str">
        <f t="shared" si="2829"/>
        <v>06539003</v>
      </c>
      <c r="D15853">
        <v>89301171</v>
      </c>
      <c r="E15853" t="str">
        <f t="shared" si="2827"/>
        <v>0252025730</v>
      </c>
      <c r="F15853" s="1">
        <v>45259</v>
      </c>
      <c r="G15853" t="str">
        <f>"91475"</f>
        <v>91475</v>
      </c>
      <c r="H15853">
        <v>1</v>
      </c>
      <c r="I15853">
        <v>213</v>
      </c>
      <c r="J15853">
        <v>0</v>
      </c>
      <c r="K15853" t="str">
        <f t="shared" si="2830"/>
        <v>813</v>
      </c>
      <c r="L15853">
        <v>178.92</v>
      </c>
    </row>
    <row r="15854" spans="1:12" x14ac:dyDescent="0.25">
      <c r="A15854" t="str">
        <f t="shared" si="2826"/>
        <v>89301000</v>
      </c>
      <c r="B15854" t="str">
        <f t="shared" si="2832"/>
        <v>06539000</v>
      </c>
      <c r="C15854" t="str">
        <f t="shared" si="2829"/>
        <v>06539003</v>
      </c>
      <c r="D15854">
        <v>89301171</v>
      </c>
      <c r="E15854" t="str">
        <f t="shared" ref="E15854:E15881" si="2833">"6607162034"</f>
        <v>6607162034</v>
      </c>
      <c r="F15854" s="1">
        <v>45259</v>
      </c>
      <c r="G15854" t="str">
        <f t="shared" ref="G15854:G15863" si="2834">"91413"</f>
        <v>91413</v>
      </c>
      <c r="H15854">
        <v>1</v>
      </c>
      <c r="I15854">
        <v>868</v>
      </c>
      <c r="J15854">
        <v>0</v>
      </c>
      <c r="K15854" t="str">
        <f t="shared" si="2830"/>
        <v>813</v>
      </c>
      <c r="L15854">
        <v>729.12</v>
      </c>
    </row>
    <row r="15855" spans="1:12" x14ac:dyDescent="0.25">
      <c r="A15855" t="str">
        <f t="shared" si="2826"/>
        <v>89301000</v>
      </c>
      <c r="B15855" t="str">
        <f t="shared" si="2832"/>
        <v>06539000</v>
      </c>
      <c r="C15855" t="str">
        <f t="shared" si="2829"/>
        <v>06539003</v>
      </c>
      <c r="D15855">
        <v>89301171</v>
      </c>
      <c r="E15855" t="str">
        <f t="shared" si="2833"/>
        <v>6607162034</v>
      </c>
      <c r="F15855" s="1">
        <v>45259</v>
      </c>
      <c r="G15855" t="str">
        <f t="shared" si="2834"/>
        <v>91413</v>
      </c>
      <c r="H15855">
        <v>1</v>
      </c>
      <c r="I15855">
        <v>868</v>
      </c>
      <c r="J15855">
        <v>0</v>
      </c>
      <c r="K15855" t="str">
        <f t="shared" si="2830"/>
        <v>813</v>
      </c>
      <c r="L15855">
        <v>729.12</v>
      </c>
    </row>
    <row r="15856" spans="1:12" x14ac:dyDescent="0.25">
      <c r="A15856" t="str">
        <f t="shared" si="2826"/>
        <v>89301000</v>
      </c>
      <c r="B15856" t="str">
        <f t="shared" si="2832"/>
        <v>06539000</v>
      </c>
      <c r="C15856" t="str">
        <f t="shared" si="2829"/>
        <v>06539003</v>
      </c>
      <c r="D15856">
        <v>89301171</v>
      </c>
      <c r="E15856" t="str">
        <f t="shared" si="2833"/>
        <v>6607162034</v>
      </c>
      <c r="F15856" s="1">
        <v>45281</v>
      </c>
      <c r="G15856" t="str">
        <f t="shared" si="2834"/>
        <v>91413</v>
      </c>
      <c r="H15856">
        <v>1</v>
      </c>
      <c r="I15856">
        <v>868</v>
      </c>
      <c r="J15856">
        <v>0</v>
      </c>
      <c r="K15856" t="str">
        <f t="shared" si="2830"/>
        <v>813</v>
      </c>
      <c r="L15856">
        <v>729.12</v>
      </c>
    </row>
    <row r="15857" spans="1:12" x14ac:dyDescent="0.25">
      <c r="A15857" t="str">
        <f t="shared" si="2826"/>
        <v>89301000</v>
      </c>
      <c r="B15857" t="str">
        <f t="shared" si="2832"/>
        <v>06539000</v>
      </c>
      <c r="C15857" t="str">
        <f t="shared" si="2829"/>
        <v>06539003</v>
      </c>
      <c r="D15857">
        <v>89301171</v>
      </c>
      <c r="E15857" t="str">
        <f t="shared" si="2833"/>
        <v>6607162034</v>
      </c>
      <c r="F15857" s="1">
        <v>45281</v>
      </c>
      <c r="G15857" t="str">
        <f t="shared" si="2834"/>
        <v>91413</v>
      </c>
      <c r="H15857">
        <v>1</v>
      </c>
      <c r="I15857">
        <v>868</v>
      </c>
      <c r="J15857">
        <v>0</v>
      </c>
      <c r="K15857" t="str">
        <f t="shared" si="2830"/>
        <v>813</v>
      </c>
      <c r="L15857">
        <v>729.12</v>
      </c>
    </row>
    <row r="15858" spans="1:12" x14ac:dyDescent="0.25">
      <c r="A15858" t="str">
        <f t="shared" si="2826"/>
        <v>89301000</v>
      </c>
      <c r="B15858" t="str">
        <f t="shared" si="2832"/>
        <v>06539000</v>
      </c>
      <c r="C15858" t="str">
        <f t="shared" si="2829"/>
        <v>06539003</v>
      </c>
      <c r="D15858">
        <v>89301171</v>
      </c>
      <c r="E15858" t="str">
        <f t="shared" si="2833"/>
        <v>6607162034</v>
      </c>
      <c r="F15858" s="1">
        <v>45275</v>
      </c>
      <c r="G15858" t="str">
        <f t="shared" si="2834"/>
        <v>91413</v>
      </c>
      <c r="H15858">
        <v>1</v>
      </c>
      <c r="I15858">
        <v>868</v>
      </c>
      <c r="J15858">
        <v>0</v>
      </c>
      <c r="K15858" t="str">
        <f t="shared" si="2830"/>
        <v>813</v>
      </c>
      <c r="L15858">
        <v>729.12</v>
      </c>
    </row>
    <row r="15859" spans="1:12" x14ac:dyDescent="0.25">
      <c r="A15859" t="str">
        <f t="shared" si="2826"/>
        <v>89301000</v>
      </c>
      <c r="B15859" t="str">
        <f t="shared" si="2832"/>
        <v>06539000</v>
      </c>
      <c r="C15859" t="str">
        <f t="shared" si="2829"/>
        <v>06539003</v>
      </c>
      <c r="D15859">
        <v>89301171</v>
      </c>
      <c r="E15859" t="str">
        <f t="shared" si="2833"/>
        <v>6607162034</v>
      </c>
      <c r="F15859" s="1">
        <v>45275</v>
      </c>
      <c r="G15859" t="str">
        <f t="shared" si="2834"/>
        <v>91413</v>
      </c>
      <c r="H15859">
        <v>1</v>
      </c>
      <c r="I15859">
        <v>868</v>
      </c>
      <c r="J15859">
        <v>0</v>
      </c>
      <c r="K15859" t="str">
        <f t="shared" si="2830"/>
        <v>813</v>
      </c>
      <c r="L15859">
        <v>729.12</v>
      </c>
    </row>
    <row r="15860" spans="1:12" x14ac:dyDescent="0.25">
      <c r="A15860" t="str">
        <f t="shared" si="2826"/>
        <v>89301000</v>
      </c>
      <c r="B15860" t="str">
        <f t="shared" si="2832"/>
        <v>06539000</v>
      </c>
      <c r="C15860" t="str">
        <f t="shared" si="2829"/>
        <v>06539003</v>
      </c>
      <c r="D15860">
        <v>89301171</v>
      </c>
      <c r="E15860" t="str">
        <f t="shared" si="2833"/>
        <v>6607162034</v>
      </c>
      <c r="F15860" s="1">
        <v>45281</v>
      </c>
      <c r="G15860" t="str">
        <f t="shared" si="2834"/>
        <v>91413</v>
      </c>
      <c r="H15860">
        <v>1</v>
      </c>
      <c r="I15860">
        <v>868</v>
      </c>
      <c r="J15860">
        <v>0</v>
      </c>
      <c r="K15860" t="str">
        <f t="shared" si="2830"/>
        <v>813</v>
      </c>
      <c r="L15860">
        <v>729.12</v>
      </c>
    </row>
    <row r="15861" spans="1:12" x14ac:dyDescent="0.25">
      <c r="A15861" t="str">
        <f t="shared" si="2826"/>
        <v>89301000</v>
      </c>
      <c r="B15861" t="str">
        <f t="shared" si="2832"/>
        <v>06539000</v>
      </c>
      <c r="C15861" t="str">
        <f t="shared" si="2829"/>
        <v>06539003</v>
      </c>
      <c r="D15861">
        <v>89301171</v>
      </c>
      <c r="E15861" t="str">
        <f t="shared" si="2833"/>
        <v>6607162034</v>
      </c>
      <c r="F15861" s="1">
        <v>45281</v>
      </c>
      <c r="G15861" t="str">
        <f t="shared" si="2834"/>
        <v>91413</v>
      </c>
      <c r="H15861">
        <v>1</v>
      </c>
      <c r="I15861">
        <v>868</v>
      </c>
      <c r="J15861">
        <v>0</v>
      </c>
      <c r="K15861" t="str">
        <f t="shared" si="2830"/>
        <v>813</v>
      </c>
      <c r="L15861">
        <v>729.12</v>
      </c>
    </row>
    <row r="15862" spans="1:12" x14ac:dyDescent="0.25">
      <c r="A15862" t="str">
        <f t="shared" si="2826"/>
        <v>89301000</v>
      </c>
      <c r="B15862" t="str">
        <f t="shared" si="2832"/>
        <v>06539000</v>
      </c>
      <c r="C15862" t="str">
        <f t="shared" ref="C15862:C15881" si="2835">"06539003"</f>
        <v>06539003</v>
      </c>
      <c r="D15862">
        <v>89301171</v>
      </c>
      <c r="E15862" t="str">
        <f t="shared" si="2833"/>
        <v>6607162034</v>
      </c>
      <c r="F15862" s="1">
        <v>45281</v>
      </c>
      <c r="G15862" t="str">
        <f t="shared" si="2834"/>
        <v>91413</v>
      </c>
      <c r="H15862">
        <v>1</v>
      </c>
      <c r="I15862">
        <v>868</v>
      </c>
      <c r="J15862">
        <v>0</v>
      </c>
      <c r="K15862" t="str">
        <f t="shared" ref="K15862:K15881" si="2836">"813"</f>
        <v>813</v>
      </c>
      <c r="L15862">
        <v>729.12</v>
      </c>
    </row>
    <row r="15863" spans="1:12" x14ac:dyDescent="0.25">
      <c r="A15863" t="str">
        <f t="shared" si="2826"/>
        <v>89301000</v>
      </c>
      <c r="B15863" t="str">
        <f t="shared" si="2832"/>
        <v>06539000</v>
      </c>
      <c r="C15863" t="str">
        <f t="shared" si="2835"/>
        <v>06539003</v>
      </c>
      <c r="D15863">
        <v>89301171</v>
      </c>
      <c r="E15863" t="str">
        <f t="shared" si="2833"/>
        <v>6607162034</v>
      </c>
      <c r="F15863" s="1">
        <v>45281</v>
      </c>
      <c r="G15863" t="str">
        <f t="shared" si="2834"/>
        <v>91413</v>
      </c>
      <c r="H15863">
        <v>1</v>
      </c>
      <c r="I15863">
        <v>868</v>
      </c>
      <c r="J15863">
        <v>0</v>
      </c>
      <c r="K15863" t="str">
        <f t="shared" si="2836"/>
        <v>813</v>
      </c>
      <c r="L15863">
        <v>729.12</v>
      </c>
    </row>
    <row r="15864" spans="1:12" x14ac:dyDescent="0.25">
      <c r="A15864" t="str">
        <f t="shared" si="2826"/>
        <v>89301000</v>
      </c>
      <c r="B15864" t="str">
        <f t="shared" si="2832"/>
        <v>06539000</v>
      </c>
      <c r="C15864" t="str">
        <f t="shared" si="2835"/>
        <v>06539003</v>
      </c>
      <c r="D15864">
        <v>89301171</v>
      </c>
      <c r="E15864" t="str">
        <f t="shared" si="2833"/>
        <v>6607162034</v>
      </c>
      <c r="F15864" s="1">
        <v>45257</v>
      </c>
      <c r="G15864" t="str">
        <f t="shared" ref="G15864:G15869" si="2837">"91197"</f>
        <v>91197</v>
      </c>
      <c r="H15864">
        <v>1</v>
      </c>
      <c r="I15864">
        <v>1048</v>
      </c>
      <c r="J15864">
        <v>0</v>
      </c>
      <c r="K15864" t="str">
        <f t="shared" si="2836"/>
        <v>813</v>
      </c>
      <c r="L15864">
        <v>880.32</v>
      </c>
    </row>
    <row r="15865" spans="1:12" x14ac:dyDescent="0.25">
      <c r="A15865" t="str">
        <f t="shared" si="2826"/>
        <v>89301000</v>
      </c>
      <c r="B15865" t="str">
        <f t="shared" si="2832"/>
        <v>06539000</v>
      </c>
      <c r="C15865" t="str">
        <f t="shared" si="2835"/>
        <v>06539003</v>
      </c>
      <c r="D15865">
        <v>89301171</v>
      </c>
      <c r="E15865" t="str">
        <f t="shared" si="2833"/>
        <v>6607162034</v>
      </c>
      <c r="F15865" s="1">
        <v>45257</v>
      </c>
      <c r="G15865" t="str">
        <f t="shared" si="2837"/>
        <v>91197</v>
      </c>
      <c r="H15865">
        <v>1</v>
      </c>
      <c r="I15865">
        <v>1048</v>
      </c>
      <c r="J15865">
        <v>0</v>
      </c>
      <c r="K15865" t="str">
        <f t="shared" si="2836"/>
        <v>813</v>
      </c>
      <c r="L15865">
        <v>880.32</v>
      </c>
    </row>
    <row r="15866" spans="1:12" x14ac:dyDescent="0.25">
      <c r="A15866" t="str">
        <f t="shared" si="2826"/>
        <v>89301000</v>
      </c>
      <c r="B15866" t="str">
        <f t="shared" si="2832"/>
        <v>06539000</v>
      </c>
      <c r="C15866" t="str">
        <f t="shared" si="2835"/>
        <v>06539003</v>
      </c>
      <c r="D15866">
        <v>89301171</v>
      </c>
      <c r="E15866" t="str">
        <f t="shared" si="2833"/>
        <v>6607162034</v>
      </c>
      <c r="F15866" s="1">
        <v>45256</v>
      </c>
      <c r="G15866" t="str">
        <f t="shared" si="2837"/>
        <v>91197</v>
      </c>
      <c r="H15866">
        <v>1</v>
      </c>
      <c r="I15866">
        <v>1048</v>
      </c>
      <c r="J15866">
        <v>0</v>
      </c>
      <c r="K15866" t="str">
        <f t="shared" si="2836"/>
        <v>813</v>
      </c>
      <c r="L15866">
        <v>880.32</v>
      </c>
    </row>
    <row r="15867" spans="1:12" x14ac:dyDescent="0.25">
      <c r="A15867" t="str">
        <f t="shared" si="2826"/>
        <v>89301000</v>
      </c>
      <c r="B15867" t="str">
        <f t="shared" si="2832"/>
        <v>06539000</v>
      </c>
      <c r="C15867" t="str">
        <f t="shared" si="2835"/>
        <v>06539003</v>
      </c>
      <c r="D15867">
        <v>89301171</v>
      </c>
      <c r="E15867" t="str">
        <f t="shared" si="2833"/>
        <v>6607162034</v>
      </c>
      <c r="F15867" s="1">
        <v>45256</v>
      </c>
      <c r="G15867" t="str">
        <f t="shared" si="2837"/>
        <v>91197</v>
      </c>
      <c r="H15867">
        <v>1</v>
      </c>
      <c r="I15867">
        <v>1048</v>
      </c>
      <c r="J15867">
        <v>0</v>
      </c>
      <c r="K15867" t="str">
        <f t="shared" si="2836"/>
        <v>813</v>
      </c>
      <c r="L15867">
        <v>880.32</v>
      </c>
    </row>
    <row r="15868" spans="1:12" x14ac:dyDescent="0.25">
      <c r="A15868" t="str">
        <f t="shared" si="2826"/>
        <v>89301000</v>
      </c>
      <c r="B15868" t="str">
        <f t="shared" si="2832"/>
        <v>06539000</v>
      </c>
      <c r="C15868" t="str">
        <f t="shared" si="2835"/>
        <v>06539003</v>
      </c>
      <c r="D15868">
        <v>89301171</v>
      </c>
      <c r="E15868" t="str">
        <f t="shared" si="2833"/>
        <v>6607162034</v>
      </c>
      <c r="F15868" s="1">
        <v>45255</v>
      </c>
      <c r="G15868" t="str">
        <f t="shared" si="2837"/>
        <v>91197</v>
      </c>
      <c r="H15868">
        <v>1</v>
      </c>
      <c r="I15868">
        <v>1048</v>
      </c>
      <c r="J15868">
        <v>0</v>
      </c>
      <c r="K15868" t="str">
        <f t="shared" si="2836"/>
        <v>813</v>
      </c>
      <c r="L15868">
        <v>880.32</v>
      </c>
    </row>
    <row r="15869" spans="1:12" x14ac:dyDescent="0.25">
      <c r="A15869" t="str">
        <f t="shared" si="2826"/>
        <v>89301000</v>
      </c>
      <c r="B15869" t="str">
        <f t="shared" si="2832"/>
        <v>06539000</v>
      </c>
      <c r="C15869" t="str">
        <f t="shared" si="2835"/>
        <v>06539003</v>
      </c>
      <c r="D15869">
        <v>89301171</v>
      </c>
      <c r="E15869" t="str">
        <f t="shared" si="2833"/>
        <v>6607162034</v>
      </c>
      <c r="F15869" s="1">
        <v>45255</v>
      </c>
      <c r="G15869" t="str">
        <f t="shared" si="2837"/>
        <v>91197</v>
      </c>
      <c r="H15869">
        <v>1</v>
      </c>
      <c r="I15869">
        <v>1048</v>
      </c>
      <c r="J15869">
        <v>0</v>
      </c>
      <c r="K15869" t="str">
        <f t="shared" si="2836"/>
        <v>813</v>
      </c>
      <c r="L15869">
        <v>880.32</v>
      </c>
    </row>
    <row r="15870" spans="1:12" x14ac:dyDescent="0.25">
      <c r="A15870" t="str">
        <f t="shared" si="2826"/>
        <v>89301000</v>
      </c>
      <c r="B15870" t="str">
        <f t="shared" si="2832"/>
        <v>06539000</v>
      </c>
      <c r="C15870" t="str">
        <f t="shared" si="2835"/>
        <v>06539003</v>
      </c>
      <c r="D15870">
        <v>89301171</v>
      </c>
      <c r="E15870" t="str">
        <f t="shared" si="2833"/>
        <v>6607162034</v>
      </c>
      <c r="F15870" s="1">
        <v>45258</v>
      </c>
      <c r="G15870" t="str">
        <f>"91329"</f>
        <v>91329</v>
      </c>
      <c r="H15870">
        <v>2</v>
      </c>
      <c r="I15870">
        <v>436</v>
      </c>
      <c r="J15870">
        <v>0</v>
      </c>
      <c r="K15870" t="str">
        <f t="shared" si="2836"/>
        <v>813</v>
      </c>
      <c r="L15870">
        <v>366.24</v>
      </c>
    </row>
    <row r="15871" spans="1:12" x14ac:dyDescent="0.25">
      <c r="A15871" t="str">
        <f t="shared" si="2826"/>
        <v>89301000</v>
      </c>
      <c r="B15871" t="str">
        <f t="shared" si="2832"/>
        <v>06539000</v>
      </c>
      <c r="C15871" t="str">
        <f t="shared" si="2835"/>
        <v>06539003</v>
      </c>
      <c r="D15871">
        <v>89301171</v>
      </c>
      <c r="E15871" t="str">
        <f t="shared" si="2833"/>
        <v>6607162034</v>
      </c>
      <c r="F15871" s="1">
        <v>45261</v>
      </c>
      <c r="G15871" t="str">
        <f>"91329"</f>
        <v>91329</v>
      </c>
      <c r="H15871">
        <v>4</v>
      </c>
      <c r="I15871">
        <v>872</v>
      </c>
      <c r="J15871">
        <v>0</v>
      </c>
      <c r="K15871" t="str">
        <f t="shared" si="2836"/>
        <v>813</v>
      </c>
      <c r="L15871">
        <v>732.48</v>
      </c>
    </row>
    <row r="15872" spans="1:12" x14ac:dyDescent="0.25">
      <c r="A15872" t="str">
        <f t="shared" si="2826"/>
        <v>89301000</v>
      </c>
      <c r="B15872" t="str">
        <f t="shared" si="2832"/>
        <v>06539000</v>
      </c>
      <c r="C15872" t="str">
        <f t="shared" si="2835"/>
        <v>06539003</v>
      </c>
      <c r="D15872">
        <v>89301171</v>
      </c>
      <c r="E15872" t="str">
        <f t="shared" si="2833"/>
        <v>6607162034</v>
      </c>
      <c r="F15872" s="1">
        <v>45258</v>
      </c>
      <c r="G15872" t="str">
        <f>"91329"</f>
        <v>91329</v>
      </c>
      <c r="H15872">
        <v>2</v>
      </c>
      <c r="I15872">
        <v>436</v>
      </c>
      <c r="J15872">
        <v>0</v>
      </c>
      <c r="K15872" t="str">
        <f t="shared" si="2836"/>
        <v>813</v>
      </c>
      <c r="L15872">
        <v>366.24</v>
      </c>
    </row>
    <row r="15873" spans="1:12" x14ac:dyDescent="0.25">
      <c r="A15873" t="str">
        <f t="shared" si="2826"/>
        <v>89301000</v>
      </c>
      <c r="B15873" t="str">
        <f t="shared" si="2832"/>
        <v>06539000</v>
      </c>
      <c r="C15873" t="str">
        <f t="shared" si="2835"/>
        <v>06539003</v>
      </c>
      <c r="D15873">
        <v>89301171</v>
      </c>
      <c r="E15873" t="str">
        <f t="shared" si="2833"/>
        <v>6607162034</v>
      </c>
      <c r="F15873" s="1">
        <v>45258</v>
      </c>
      <c r="G15873" t="str">
        <f>"91329"</f>
        <v>91329</v>
      </c>
      <c r="H15873">
        <v>2</v>
      </c>
      <c r="I15873">
        <v>436</v>
      </c>
      <c r="J15873">
        <v>0</v>
      </c>
      <c r="K15873" t="str">
        <f t="shared" si="2836"/>
        <v>813</v>
      </c>
      <c r="L15873">
        <v>366.24</v>
      </c>
    </row>
    <row r="15874" spans="1:12" x14ac:dyDescent="0.25">
      <c r="A15874" t="str">
        <f t="shared" ref="A15874:A15937" si="2838">"89301000"</f>
        <v>89301000</v>
      </c>
      <c r="B15874" t="str">
        <f t="shared" si="2832"/>
        <v>06539000</v>
      </c>
      <c r="C15874" t="str">
        <f t="shared" si="2835"/>
        <v>06539003</v>
      </c>
      <c r="D15874">
        <v>89301171</v>
      </c>
      <c r="E15874" t="str">
        <f t="shared" si="2833"/>
        <v>6607162034</v>
      </c>
      <c r="F15874" s="1">
        <v>45260</v>
      </c>
      <c r="G15874" t="str">
        <f>"91129"</f>
        <v>91129</v>
      </c>
      <c r="H15874">
        <v>1</v>
      </c>
      <c r="I15874">
        <v>175</v>
      </c>
      <c r="J15874">
        <v>0</v>
      </c>
      <c r="K15874" t="str">
        <f t="shared" si="2836"/>
        <v>813</v>
      </c>
      <c r="L15874">
        <v>147</v>
      </c>
    </row>
    <row r="15875" spans="1:12" x14ac:dyDescent="0.25">
      <c r="A15875" t="str">
        <f t="shared" si="2838"/>
        <v>89301000</v>
      </c>
      <c r="B15875" t="str">
        <f t="shared" si="2832"/>
        <v>06539000</v>
      </c>
      <c r="C15875" t="str">
        <f t="shared" si="2835"/>
        <v>06539003</v>
      </c>
      <c r="D15875">
        <v>89301171</v>
      </c>
      <c r="E15875" t="str">
        <f t="shared" si="2833"/>
        <v>6607162034</v>
      </c>
      <c r="F15875" s="1">
        <v>45260</v>
      </c>
      <c r="G15875" t="str">
        <f>"91131"</f>
        <v>91131</v>
      </c>
      <c r="H15875">
        <v>1</v>
      </c>
      <c r="I15875">
        <v>171</v>
      </c>
      <c r="J15875">
        <v>0</v>
      </c>
      <c r="K15875" t="str">
        <f t="shared" si="2836"/>
        <v>813</v>
      </c>
      <c r="L15875">
        <v>143.63999999999999</v>
      </c>
    </row>
    <row r="15876" spans="1:12" x14ac:dyDescent="0.25">
      <c r="A15876" t="str">
        <f t="shared" si="2838"/>
        <v>89301000</v>
      </c>
      <c r="B15876" t="str">
        <f t="shared" si="2832"/>
        <v>06539000</v>
      </c>
      <c r="C15876" t="str">
        <f t="shared" si="2835"/>
        <v>06539003</v>
      </c>
      <c r="D15876">
        <v>89301171</v>
      </c>
      <c r="E15876" t="str">
        <f t="shared" si="2833"/>
        <v>6607162034</v>
      </c>
      <c r="F15876" s="1">
        <v>45260</v>
      </c>
      <c r="G15876" t="str">
        <f>"91133"</f>
        <v>91133</v>
      </c>
      <c r="H15876">
        <v>1</v>
      </c>
      <c r="I15876">
        <v>177</v>
      </c>
      <c r="J15876">
        <v>0</v>
      </c>
      <c r="K15876" t="str">
        <f t="shared" si="2836"/>
        <v>813</v>
      </c>
      <c r="L15876">
        <v>148.68</v>
      </c>
    </row>
    <row r="15877" spans="1:12" x14ac:dyDescent="0.25">
      <c r="A15877" t="str">
        <f t="shared" si="2838"/>
        <v>89301000</v>
      </c>
      <c r="B15877" t="str">
        <f t="shared" si="2832"/>
        <v>06539000</v>
      </c>
      <c r="C15877" t="str">
        <f t="shared" si="2835"/>
        <v>06539003</v>
      </c>
      <c r="D15877">
        <v>89301171</v>
      </c>
      <c r="E15877" t="str">
        <f t="shared" si="2833"/>
        <v>6607162034</v>
      </c>
      <c r="F15877" s="1">
        <v>45260</v>
      </c>
      <c r="G15877" t="str">
        <f>"91171"</f>
        <v>91171</v>
      </c>
      <c r="H15877">
        <v>1</v>
      </c>
      <c r="I15877">
        <v>362</v>
      </c>
      <c r="J15877">
        <v>0</v>
      </c>
      <c r="K15877" t="str">
        <f t="shared" si="2836"/>
        <v>813</v>
      </c>
      <c r="L15877">
        <v>304.08</v>
      </c>
    </row>
    <row r="15878" spans="1:12" x14ac:dyDescent="0.25">
      <c r="A15878" t="str">
        <f t="shared" si="2838"/>
        <v>89301000</v>
      </c>
      <c r="B15878" t="str">
        <f t="shared" si="2832"/>
        <v>06539000</v>
      </c>
      <c r="C15878" t="str">
        <f t="shared" si="2835"/>
        <v>06539003</v>
      </c>
      <c r="D15878">
        <v>89301171</v>
      </c>
      <c r="E15878" t="str">
        <f t="shared" si="2833"/>
        <v>6607162034</v>
      </c>
      <c r="F15878" s="1">
        <v>45260</v>
      </c>
      <c r="G15878" t="str">
        <f>"91175"</f>
        <v>91175</v>
      </c>
      <c r="H15878">
        <v>1</v>
      </c>
      <c r="I15878">
        <v>362</v>
      </c>
      <c r="J15878">
        <v>0</v>
      </c>
      <c r="K15878" t="str">
        <f t="shared" si="2836"/>
        <v>813</v>
      </c>
      <c r="L15878">
        <v>304.08</v>
      </c>
    </row>
    <row r="15879" spans="1:12" x14ac:dyDescent="0.25">
      <c r="A15879" t="str">
        <f t="shared" si="2838"/>
        <v>89301000</v>
      </c>
      <c r="B15879" t="str">
        <f t="shared" si="2832"/>
        <v>06539000</v>
      </c>
      <c r="C15879" t="str">
        <f t="shared" si="2835"/>
        <v>06539003</v>
      </c>
      <c r="D15879">
        <v>89301171</v>
      </c>
      <c r="E15879" t="str">
        <f t="shared" si="2833"/>
        <v>6607162034</v>
      </c>
      <c r="F15879" s="1">
        <v>45255</v>
      </c>
      <c r="G15879" t="str">
        <f>"91167"</f>
        <v>91167</v>
      </c>
      <c r="H15879">
        <v>1</v>
      </c>
      <c r="I15879">
        <v>426</v>
      </c>
      <c r="J15879">
        <v>0</v>
      </c>
      <c r="K15879" t="str">
        <f t="shared" si="2836"/>
        <v>813</v>
      </c>
      <c r="L15879">
        <v>357.84</v>
      </c>
    </row>
    <row r="15880" spans="1:12" x14ac:dyDescent="0.25">
      <c r="A15880" t="str">
        <f t="shared" si="2838"/>
        <v>89301000</v>
      </c>
      <c r="B15880" t="str">
        <f t="shared" si="2832"/>
        <v>06539000</v>
      </c>
      <c r="C15880" t="str">
        <f t="shared" si="2835"/>
        <v>06539003</v>
      </c>
      <c r="D15880">
        <v>89301171</v>
      </c>
      <c r="E15880" t="str">
        <f t="shared" si="2833"/>
        <v>6607162034</v>
      </c>
      <c r="F15880" s="1">
        <v>45255</v>
      </c>
      <c r="G15880" t="str">
        <f>"91169"</f>
        <v>91169</v>
      </c>
      <c r="H15880">
        <v>1</v>
      </c>
      <c r="I15880">
        <v>426</v>
      </c>
      <c r="J15880">
        <v>0</v>
      </c>
      <c r="K15880" t="str">
        <f t="shared" si="2836"/>
        <v>813</v>
      </c>
      <c r="L15880">
        <v>357.84</v>
      </c>
    </row>
    <row r="15881" spans="1:12" x14ac:dyDescent="0.25">
      <c r="A15881" t="str">
        <f t="shared" si="2838"/>
        <v>89301000</v>
      </c>
      <c r="B15881" t="str">
        <f t="shared" si="2832"/>
        <v>06539000</v>
      </c>
      <c r="C15881" t="str">
        <f t="shared" si="2835"/>
        <v>06539003</v>
      </c>
      <c r="D15881">
        <v>89301171</v>
      </c>
      <c r="E15881" t="str">
        <f t="shared" si="2833"/>
        <v>6607162034</v>
      </c>
      <c r="F15881" s="1">
        <v>45281</v>
      </c>
      <c r="G15881" t="str">
        <f>"91475"</f>
        <v>91475</v>
      </c>
      <c r="H15881">
        <v>1</v>
      </c>
      <c r="I15881">
        <v>213</v>
      </c>
      <c r="J15881">
        <v>0</v>
      </c>
      <c r="K15881" t="str">
        <f t="shared" si="2836"/>
        <v>813</v>
      </c>
      <c r="L15881">
        <v>178.92</v>
      </c>
    </row>
    <row r="15882" spans="1:12" x14ac:dyDescent="0.25">
      <c r="A15882" t="str">
        <f t="shared" si="2838"/>
        <v>89301000</v>
      </c>
      <c r="B15882" t="str">
        <f t="shared" si="2832"/>
        <v>06539000</v>
      </c>
      <c r="C15882" t="str">
        <f>"06539001"</f>
        <v>06539001</v>
      </c>
      <c r="D15882">
        <v>89301171</v>
      </c>
      <c r="E15882" t="str">
        <f t="shared" ref="E15882:E15923" si="2839">"8151215325"</f>
        <v>8151215325</v>
      </c>
      <c r="F15882" s="1">
        <v>45254</v>
      </c>
      <c r="G15882" t="str">
        <f>"81329"</f>
        <v>81329</v>
      </c>
      <c r="H15882">
        <v>1</v>
      </c>
      <c r="I15882">
        <v>17</v>
      </c>
      <c r="J15882">
        <v>0</v>
      </c>
      <c r="K15882" t="str">
        <f>"801"</f>
        <v>801</v>
      </c>
      <c r="L15882">
        <v>14.28</v>
      </c>
    </row>
    <row r="15883" spans="1:12" x14ac:dyDescent="0.25">
      <c r="A15883" t="str">
        <f t="shared" si="2838"/>
        <v>89301000</v>
      </c>
      <c r="B15883" t="str">
        <f t="shared" si="2832"/>
        <v>06539000</v>
      </c>
      <c r="C15883" t="str">
        <f>"06539001"</f>
        <v>06539001</v>
      </c>
      <c r="D15883">
        <v>89301171</v>
      </c>
      <c r="E15883" t="str">
        <f t="shared" si="2839"/>
        <v>8151215325</v>
      </c>
      <c r="F15883" s="1">
        <v>45254</v>
      </c>
      <c r="G15883" t="str">
        <f>"81331"</f>
        <v>81331</v>
      </c>
      <c r="H15883">
        <v>1</v>
      </c>
      <c r="I15883">
        <v>193</v>
      </c>
      <c r="J15883">
        <v>0</v>
      </c>
      <c r="K15883" t="str">
        <f>"801"</f>
        <v>801</v>
      </c>
      <c r="L15883">
        <v>162.12</v>
      </c>
    </row>
    <row r="15884" spans="1:12" x14ac:dyDescent="0.25">
      <c r="A15884" t="str">
        <f t="shared" si="2838"/>
        <v>89301000</v>
      </c>
      <c r="B15884" t="str">
        <f t="shared" si="2832"/>
        <v>06539000</v>
      </c>
      <c r="C15884" t="str">
        <f t="shared" ref="C15884:C15891" si="2840">"06539002"</f>
        <v>06539002</v>
      </c>
      <c r="D15884">
        <v>89301171</v>
      </c>
      <c r="E15884" t="str">
        <f t="shared" si="2839"/>
        <v>8151215325</v>
      </c>
      <c r="F15884" s="1">
        <v>45254</v>
      </c>
      <c r="G15884" t="str">
        <f t="shared" ref="G15884:G15891" si="2841">"82097"</f>
        <v>82097</v>
      </c>
      <c r="H15884">
        <v>1</v>
      </c>
      <c r="I15884">
        <v>381</v>
      </c>
      <c r="J15884">
        <v>0</v>
      </c>
      <c r="K15884" t="str">
        <f t="shared" ref="K15884:K15891" si="2842">"802"</f>
        <v>802</v>
      </c>
      <c r="L15884">
        <v>369.57</v>
      </c>
    </row>
    <row r="15885" spans="1:12" x14ac:dyDescent="0.25">
      <c r="A15885" t="str">
        <f t="shared" si="2838"/>
        <v>89301000</v>
      </c>
      <c r="B15885" t="str">
        <f t="shared" si="2832"/>
        <v>06539000</v>
      </c>
      <c r="C15885" t="str">
        <f t="shared" si="2840"/>
        <v>06539002</v>
      </c>
      <c r="D15885">
        <v>89301171</v>
      </c>
      <c r="E15885" t="str">
        <f t="shared" si="2839"/>
        <v>8151215325</v>
      </c>
      <c r="F15885" s="1">
        <v>45254</v>
      </c>
      <c r="G15885" t="str">
        <f t="shared" si="2841"/>
        <v>82097</v>
      </c>
      <c r="H15885">
        <v>1</v>
      </c>
      <c r="I15885">
        <v>381</v>
      </c>
      <c r="J15885">
        <v>0</v>
      </c>
      <c r="K15885" t="str">
        <f t="shared" si="2842"/>
        <v>802</v>
      </c>
      <c r="L15885">
        <v>369.57</v>
      </c>
    </row>
    <row r="15886" spans="1:12" x14ac:dyDescent="0.25">
      <c r="A15886" t="str">
        <f t="shared" si="2838"/>
        <v>89301000</v>
      </c>
      <c r="B15886" t="str">
        <f t="shared" si="2832"/>
        <v>06539000</v>
      </c>
      <c r="C15886" t="str">
        <f t="shared" si="2840"/>
        <v>06539002</v>
      </c>
      <c r="D15886">
        <v>89301171</v>
      </c>
      <c r="E15886" t="str">
        <f t="shared" si="2839"/>
        <v>8151215325</v>
      </c>
      <c r="F15886" s="1">
        <v>45254</v>
      </c>
      <c r="G15886" t="str">
        <f t="shared" si="2841"/>
        <v>82097</v>
      </c>
      <c r="H15886">
        <v>1</v>
      </c>
      <c r="I15886">
        <v>381</v>
      </c>
      <c r="J15886">
        <v>0</v>
      </c>
      <c r="K15886" t="str">
        <f t="shared" si="2842"/>
        <v>802</v>
      </c>
      <c r="L15886">
        <v>369.57</v>
      </c>
    </row>
    <row r="15887" spans="1:12" x14ac:dyDescent="0.25">
      <c r="A15887" t="str">
        <f t="shared" si="2838"/>
        <v>89301000</v>
      </c>
      <c r="B15887" t="str">
        <f t="shared" si="2832"/>
        <v>06539000</v>
      </c>
      <c r="C15887" t="str">
        <f t="shared" si="2840"/>
        <v>06539002</v>
      </c>
      <c r="D15887">
        <v>89301171</v>
      </c>
      <c r="E15887" t="str">
        <f t="shared" si="2839"/>
        <v>8151215325</v>
      </c>
      <c r="F15887" s="1">
        <v>45254</v>
      </c>
      <c r="G15887" t="str">
        <f t="shared" si="2841"/>
        <v>82097</v>
      </c>
      <c r="H15887">
        <v>1</v>
      </c>
      <c r="I15887">
        <v>381</v>
      </c>
      <c r="J15887">
        <v>0</v>
      </c>
      <c r="K15887" t="str">
        <f t="shared" si="2842"/>
        <v>802</v>
      </c>
      <c r="L15887">
        <v>369.57</v>
      </c>
    </row>
    <row r="15888" spans="1:12" x14ac:dyDescent="0.25">
      <c r="A15888" t="str">
        <f t="shared" si="2838"/>
        <v>89301000</v>
      </c>
      <c r="B15888" t="str">
        <f t="shared" si="2832"/>
        <v>06539000</v>
      </c>
      <c r="C15888" t="str">
        <f t="shared" si="2840"/>
        <v>06539002</v>
      </c>
      <c r="D15888">
        <v>89301171</v>
      </c>
      <c r="E15888" t="str">
        <f t="shared" si="2839"/>
        <v>8151215325</v>
      </c>
      <c r="F15888" s="1">
        <v>45254</v>
      </c>
      <c r="G15888" t="str">
        <f t="shared" si="2841"/>
        <v>82097</v>
      </c>
      <c r="H15888">
        <v>1</v>
      </c>
      <c r="I15888">
        <v>381</v>
      </c>
      <c r="J15888">
        <v>0</v>
      </c>
      <c r="K15888" t="str">
        <f t="shared" si="2842"/>
        <v>802</v>
      </c>
      <c r="L15888">
        <v>369.57</v>
      </c>
    </row>
    <row r="15889" spans="1:12" x14ac:dyDescent="0.25">
      <c r="A15889" t="str">
        <f t="shared" si="2838"/>
        <v>89301000</v>
      </c>
      <c r="B15889" t="str">
        <f t="shared" si="2832"/>
        <v>06539000</v>
      </c>
      <c r="C15889" t="str">
        <f t="shared" si="2840"/>
        <v>06539002</v>
      </c>
      <c r="D15889">
        <v>89301171</v>
      </c>
      <c r="E15889" t="str">
        <f t="shared" si="2839"/>
        <v>8151215325</v>
      </c>
      <c r="F15889" s="1">
        <v>45254</v>
      </c>
      <c r="G15889" t="str">
        <f t="shared" si="2841"/>
        <v>82097</v>
      </c>
      <c r="H15889">
        <v>1</v>
      </c>
      <c r="I15889">
        <v>381</v>
      </c>
      <c r="J15889">
        <v>0</v>
      </c>
      <c r="K15889" t="str">
        <f t="shared" si="2842"/>
        <v>802</v>
      </c>
      <c r="L15889">
        <v>369.57</v>
      </c>
    </row>
    <row r="15890" spans="1:12" x14ac:dyDescent="0.25">
      <c r="A15890" t="str">
        <f t="shared" si="2838"/>
        <v>89301000</v>
      </c>
      <c r="B15890" t="str">
        <f t="shared" si="2832"/>
        <v>06539000</v>
      </c>
      <c r="C15890" t="str">
        <f t="shared" si="2840"/>
        <v>06539002</v>
      </c>
      <c r="D15890">
        <v>89301171</v>
      </c>
      <c r="E15890" t="str">
        <f t="shared" si="2839"/>
        <v>8151215325</v>
      </c>
      <c r="F15890" s="1">
        <v>45254</v>
      </c>
      <c r="G15890" t="str">
        <f t="shared" si="2841"/>
        <v>82097</v>
      </c>
      <c r="H15890">
        <v>1</v>
      </c>
      <c r="I15890">
        <v>381</v>
      </c>
      <c r="J15890">
        <v>0</v>
      </c>
      <c r="K15890" t="str">
        <f t="shared" si="2842"/>
        <v>802</v>
      </c>
      <c r="L15890">
        <v>369.57</v>
      </c>
    </row>
    <row r="15891" spans="1:12" x14ac:dyDescent="0.25">
      <c r="A15891" t="str">
        <f t="shared" si="2838"/>
        <v>89301000</v>
      </c>
      <c r="B15891" t="str">
        <f t="shared" si="2832"/>
        <v>06539000</v>
      </c>
      <c r="C15891" t="str">
        <f t="shared" si="2840"/>
        <v>06539002</v>
      </c>
      <c r="D15891">
        <v>89301171</v>
      </c>
      <c r="E15891" t="str">
        <f t="shared" si="2839"/>
        <v>8151215325</v>
      </c>
      <c r="F15891" s="1">
        <v>45254</v>
      </c>
      <c r="G15891" t="str">
        <f t="shared" si="2841"/>
        <v>82097</v>
      </c>
      <c r="H15891">
        <v>1</v>
      </c>
      <c r="I15891">
        <v>381</v>
      </c>
      <c r="J15891">
        <v>0</v>
      </c>
      <c r="K15891" t="str">
        <f t="shared" si="2842"/>
        <v>802</v>
      </c>
      <c r="L15891">
        <v>369.57</v>
      </c>
    </row>
    <row r="15892" spans="1:12" x14ac:dyDescent="0.25">
      <c r="A15892" t="str">
        <f t="shared" si="2838"/>
        <v>89301000</v>
      </c>
      <c r="B15892" t="str">
        <f t="shared" si="2832"/>
        <v>06539000</v>
      </c>
      <c r="C15892" t="str">
        <f t="shared" ref="C15892:C15923" si="2843">"06539003"</f>
        <v>06539003</v>
      </c>
      <c r="D15892">
        <v>89301171</v>
      </c>
      <c r="E15892" t="str">
        <f t="shared" si="2839"/>
        <v>8151215325</v>
      </c>
      <c r="F15892" s="1">
        <v>45259</v>
      </c>
      <c r="G15892" t="str">
        <f t="shared" ref="G15892:G15901" si="2844">"91413"</f>
        <v>91413</v>
      </c>
      <c r="H15892">
        <v>1</v>
      </c>
      <c r="I15892">
        <v>868</v>
      </c>
      <c r="J15892">
        <v>0</v>
      </c>
      <c r="K15892" t="str">
        <f t="shared" ref="K15892:K15923" si="2845">"813"</f>
        <v>813</v>
      </c>
      <c r="L15892">
        <v>729.12</v>
      </c>
    </row>
    <row r="15893" spans="1:12" x14ac:dyDescent="0.25">
      <c r="A15893" t="str">
        <f t="shared" si="2838"/>
        <v>89301000</v>
      </c>
      <c r="B15893" t="str">
        <f t="shared" si="2832"/>
        <v>06539000</v>
      </c>
      <c r="C15893" t="str">
        <f t="shared" si="2843"/>
        <v>06539003</v>
      </c>
      <c r="D15893">
        <v>89301171</v>
      </c>
      <c r="E15893" t="str">
        <f t="shared" si="2839"/>
        <v>8151215325</v>
      </c>
      <c r="F15893" s="1">
        <v>45259</v>
      </c>
      <c r="G15893" t="str">
        <f t="shared" si="2844"/>
        <v>91413</v>
      </c>
      <c r="H15893">
        <v>1</v>
      </c>
      <c r="I15893">
        <v>868</v>
      </c>
      <c r="J15893">
        <v>0</v>
      </c>
      <c r="K15893" t="str">
        <f t="shared" si="2845"/>
        <v>813</v>
      </c>
      <c r="L15893">
        <v>729.12</v>
      </c>
    </row>
    <row r="15894" spans="1:12" x14ac:dyDescent="0.25">
      <c r="A15894" t="str">
        <f t="shared" si="2838"/>
        <v>89301000</v>
      </c>
      <c r="B15894" t="str">
        <f t="shared" si="2832"/>
        <v>06539000</v>
      </c>
      <c r="C15894" t="str">
        <f t="shared" si="2843"/>
        <v>06539003</v>
      </c>
      <c r="D15894">
        <v>89301171</v>
      </c>
      <c r="E15894" t="str">
        <f t="shared" si="2839"/>
        <v>8151215325</v>
      </c>
      <c r="F15894" s="1">
        <v>45281</v>
      </c>
      <c r="G15894" t="str">
        <f t="shared" si="2844"/>
        <v>91413</v>
      </c>
      <c r="H15894">
        <v>1</v>
      </c>
      <c r="I15894">
        <v>868</v>
      </c>
      <c r="J15894">
        <v>0</v>
      </c>
      <c r="K15894" t="str">
        <f t="shared" si="2845"/>
        <v>813</v>
      </c>
      <c r="L15894">
        <v>729.12</v>
      </c>
    </row>
    <row r="15895" spans="1:12" x14ac:dyDescent="0.25">
      <c r="A15895" t="str">
        <f t="shared" si="2838"/>
        <v>89301000</v>
      </c>
      <c r="B15895" t="str">
        <f t="shared" si="2832"/>
        <v>06539000</v>
      </c>
      <c r="C15895" t="str">
        <f t="shared" si="2843"/>
        <v>06539003</v>
      </c>
      <c r="D15895">
        <v>89301171</v>
      </c>
      <c r="E15895" t="str">
        <f t="shared" si="2839"/>
        <v>8151215325</v>
      </c>
      <c r="F15895" s="1">
        <v>45281</v>
      </c>
      <c r="G15895" t="str">
        <f t="shared" si="2844"/>
        <v>91413</v>
      </c>
      <c r="H15895">
        <v>1</v>
      </c>
      <c r="I15895">
        <v>868</v>
      </c>
      <c r="J15895">
        <v>0</v>
      </c>
      <c r="K15895" t="str">
        <f t="shared" si="2845"/>
        <v>813</v>
      </c>
      <c r="L15895">
        <v>729.12</v>
      </c>
    </row>
    <row r="15896" spans="1:12" x14ac:dyDescent="0.25">
      <c r="A15896" t="str">
        <f t="shared" si="2838"/>
        <v>89301000</v>
      </c>
      <c r="B15896" t="str">
        <f t="shared" si="2832"/>
        <v>06539000</v>
      </c>
      <c r="C15896" t="str">
        <f t="shared" si="2843"/>
        <v>06539003</v>
      </c>
      <c r="D15896">
        <v>89301171</v>
      </c>
      <c r="E15896" t="str">
        <f t="shared" si="2839"/>
        <v>8151215325</v>
      </c>
      <c r="F15896" s="1">
        <v>45275</v>
      </c>
      <c r="G15896" t="str">
        <f t="shared" si="2844"/>
        <v>91413</v>
      </c>
      <c r="H15896">
        <v>1</v>
      </c>
      <c r="I15896">
        <v>868</v>
      </c>
      <c r="J15896">
        <v>0</v>
      </c>
      <c r="K15896" t="str">
        <f t="shared" si="2845"/>
        <v>813</v>
      </c>
      <c r="L15896">
        <v>729.12</v>
      </c>
    </row>
    <row r="15897" spans="1:12" x14ac:dyDescent="0.25">
      <c r="A15897" t="str">
        <f t="shared" si="2838"/>
        <v>89301000</v>
      </c>
      <c r="B15897" t="str">
        <f t="shared" si="2832"/>
        <v>06539000</v>
      </c>
      <c r="C15897" t="str">
        <f t="shared" si="2843"/>
        <v>06539003</v>
      </c>
      <c r="D15897">
        <v>89301171</v>
      </c>
      <c r="E15897" t="str">
        <f t="shared" si="2839"/>
        <v>8151215325</v>
      </c>
      <c r="F15897" s="1">
        <v>45275</v>
      </c>
      <c r="G15897" t="str">
        <f t="shared" si="2844"/>
        <v>91413</v>
      </c>
      <c r="H15897">
        <v>1</v>
      </c>
      <c r="I15897">
        <v>868</v>
      </c>
      <c r="J15897">
        <v>0</v>
      </c>
      <c r="K15897" t="str">
        <f t="shared" si="2845"/>
        <v>813</v>
      </c>
      <c r="L15897">
        <v>729.12</v>
      </c>
    </row>
    <row r="15898" spans="1:12" x14ac:dyDescent="0.25">
      <c r="A15898" t="str">
        <f t="shared" si="2838"/>
        <v>89301000</v>
      </c>
      <c r="B15898" t="str">
        <f t="shared" si="2832"/>
        <v>06539000</v>
      </c>
      <c r="C15898" t="str">
        <f t="shared" si="2843"/>
        <v>06539003</v>
      </c>
      <c r="D15898">
        <v>89301171</v>
      </c>
      <c r="E15898" t="str">
        <f t="shared" si="2839"/>
        <v>8151215325</v>
      </c>
      <c r="F15898" s="1">
        <v>45281</v>
      </c>
      <c r="G15898" t="str">
        <f t="shared" si="2844"/>
        <v>91413</v>
      </c>
      <c r="H15898">
        <v>1</v>
      </c>
      <c r="I15898">
        <v>868</v>
      </c>
      <c r="J15898">
        <v>0</v>
      </c>
      <c r="K15898" t="str">
        <f t="shared" si="2845"/>
        <v>813</v>
      </c>
      <c r="L15898">
        <v>729.12</v>
      </c>
    </row>
    <row r="15899" spans="1:12" x14ac:dyDescent="0.25">
      <c r="A15899" t="str">
        <f t="shared" si="2838"/>
        <v>89301000</v>
      </c>
      <c r="B15899" t="str">
        <f t="shared" si="2832"/>
        <v>06539000</v>
      </c>
      <c r="C15899" t="str">
        <f t="shared" si="2843"/>
        <v>06539003</v>
      </c>
      <c r="D15899">
        <v>89301171</v>
      </c>
      <c r="E15899" t="str">
        <f t="shared" si="2839"/>
        <v>8151215325</v>
      </c>
      <c r="F15899" s="1">
        <v>45281</v>
      </c>
      <c r="G15899" t="str">
        <f t="shared" si="2844"/>
        <v>91413</v>
      </c>
      <c r="H15899">
        <v>1</v>
      </c>
      <c r="I15899">
        <v>868</v>
      </c>
      <c r="J15899">
        <v>0</v>
      </c>
      <c r="K15899" t="str">
        <f t="shared" si="2845"/>
        <v>813</v>
      </c>
      <c r="L15899">
        <v>729.12</v>
      </c>
    </row>
    <row r="15900" spans="1:12" x14ac:dyDescent="0.25">
      <c r="A15900" t="str">
        <f t="shared" si="2838"/>
        <v>89301000</v>
      </c>
      <c r="B15900" t="str">
        <f t="shared" si="2832"/>
        <v>06539000</v>
      </c>
      <c r="C15900" t="str">
        <f t="shared" si="2843"/>
        <v>06539003</v>
      </c>
      <c r="D15900">
        <v>89301171</v>
      </c>
      <c r="E15900" t="str">
        <f t="shared" si="2839"/>
        <v>8151215325</v>
      </c>
      <c r="F15900" s="1">
        <v>45281</v>
      </c>
      <c r="G15900" t="str">
        <f t="shared" si="2844"/>
        <v>91413</v>
      </c>
      <c r="H15900">
        <v>1</v>
      </c>
      <c r="I15900">
        <v>868</v>
      </c>
      <c r="J15900">
        <v>0</v>
      </c>
      <c r="K15900" t="str">
        <f t="shared" si="2845"/>
        <v>813</v>
      </c>
      <c r="L15900">
        <v>729.12</v>
      </c>
    </row>
    <row r="15901" spans="1:12" x14ac:dyDescent="0.25">
      <c r="A15901" t="str">
        <f t="shared" si="2838"/>
        <v>89301000</v>
      </c>
      <c r="B15901" t="str">
        <f t="shared" si="2832"/>
        <v>06539000</v>
      </c>
      <c r="C15901" t="str">
        <f t="shared" si="2843"/>
        <v>06539003</v>
      </c>
      <c r="D15901">
        <v>89301171</v>
      </c>
      <c r="E15901" t="str">
        <f t="shared" si="2839"/>
        <v>8151215325</v>
      </c>
      <c r="F15901" s="1">
        <v>45281</v>
      </c>
      <c r="G15901" t="str">
        <f t="shared" si="2844"/>
        <v>91413</v>
      </c>
      <c r="H15901">
        <v>1</v>
      </c>
      <c r="I15901">
        <v>868</v>
      </c>
      <c r="J15901">
        <v>0</v>
      </c>
      <c r="K15901" t="str">
        <f t="shared" si="2845"/>
        <v>813</v>
      </c>
      <c r="L15901">
        <v>729.12</v>
      </c>
    </row>
    <row r="15902" spans="1:12" x14ac:dyDescent="0.25">
      <c r="A15902" t="str">
        <f t="shared" si="2838"/>
        <v>89301000</v>
      </c>
      <c r="B15902" t="str">
        <f t="shared" si="2832"/>
        <v>06539000</v>
      </c>
      <c r="C15902" t="str">
        <f t="shared" si="2843"/>
        <v>06539003</v>
      </c>
      <c r="D15902">
        <v>89301171</v>
      </c>
      <c r="E15902" t="str">
        <f t="shared" si="2839"/>
        <v>8151215325</v>
      </c>
      <c r="F15902" s="1">
        <v>45254</v>
      </c>
      <c r="G15902" t="str">
        <f t="shared" ref="G15902:G15908" si="2846">"91197"</f>
        <v>91197</v>
      </c>
      <c r="H15902">
        <v>1</v>
      </c>
      <c r="I15902">
        <v>1048</v>
      </c>
      <c r="J15902">
        <v>0</v>
      </c>
      <c r="K15902" t="str">
        <f t="shared" si="2845"/>
        <v>813</v>
      </c>
      <c r="L15902">
        <v>880.32</v>
      </c>
    </row>
    <row r="15903" spans="1:12" x14ac:dyDescent="0.25">
      <c r="A15903" t="str">
        <f t="shared" si="2838"/>
        <v>89301000</v>
      </c>
      <c r="B15903" t="str">
        <f t="shared" si="2832"/>
        <v>06539000</v>
      </c>
      <c r="C15903" t="str">
        <f t="shared" si="2843"/>
        <v>06539003</v>
      </c>
      <c r="D15903">
        <v>89301171</v>
      </c>
      <c r="E15903" t="str">
        <f t="shared" si="2839"/>
        <v>8151215325</v>
      </c>
      <c r="F15903" s="1">
        <v>45257</v>
      </c>
      <c r="G15903" t="str">
        <f t="shared" si="2846"/>
        <v>91197</v>
      </c>
      <c r="H15903">
        <v>1</v>
      </c>
      <c r="I15903">
        <v>1048</v>
      </c>
      <c r="J15903">
        <v>0</v>
      </c>
      <c r="K15903" t="str">
        <f t="shared" si="2845"/>
        <v>813</v>
      </c>
      <c r="L15903">
        <v>880.32</v>
      </c>
    </row>
    <row r="15904" spans="1:12" x14ac:dyDescent="0.25">
      <c r="A15904" t="str">
        <f t="shared" si="2838"/>
        <v>89301000</v>
      </c>
      <c r="B15904" t="str">
        <f t="shared" si="2832"/>
        <v>06539000</v>
      </c>
      <c r="C15904" t="str">
        <f t="shared" si="2843"/>
        <v>06539003</v>
      </c>
      <c r="D15904">
        <v>89301171</v>
      </c>
      <c r="E15904" t="str">
        <f t="shared" si="2839"/>
        <v>8151215325</v>
      </c>
      <c r="F15904" s="1">
        <v>45257</v>
      </c>
      <c r="G15904" t="str">
        <f t="shared" si="2846"/>
        <v>91197</v>
      </c>
      <c r="H15904">
        <v>1</v>
      </c>
      <c r="I15904">
        <v>1048</v>
      </c>
      <c r="J15904">
        <v>0</v>
      </c>
      <c r="K15904" t="str">
        <f t="shared" si="2845"/>
        <v>813</v>
      </c>
      <c r="L15904">
        <v>880.32</v>
      </c>
    </row>
    <row r="15905" spans="1:12" x14ac:dyDescent="0.25">
      <c r="A15905" t="str">
        <f t="shared" si="2838"/>
        <v>89301000</v>
      </c>
      <c r="B15905" t="str">
        <f t="shared" si="2832"/>
        <v>06539000</v>
      </c>
      <c r="C15905" t="str">
        <f t="shared" si="2843"/>
        <v>06539003</v>
      </c>
      <c r="D15905">
        <v>89301171</v>
      </c>
      <c r="E15905" t="str">
        <f t="shared" si="2839"/>
        <v>8151215325</v>
      </c>
      <c r="F15905" s="1">
        <v>45256</v>
      </c>
      <c r="G15905" t="str">
        <f t="shared" si="2846"/>
        <v>91197</v>
      </c>
      <c r="H15905">
        <v>1</v>
      </c>
      <c r="I15905">
        <v>1048</v>
      </c>
      <c r="J15905">
        <v>0</v>
      </c>
      <c r="K15905" t="str">
        <f t="shared" si="2845"/>
        <v>813</v>
      </c>
      <c r="L15905">
        <v>880.32</v>
      </c>
    </row>
    <row r="15906" spans="1:12" x14ac:dyDescent="0.25">
      <c r="A15906" t="str">
        <f t="shared" si="2838"/>
        <v>89301000</v>
      </c>
      <c r="B15906" t="str">
        <f t="shared" si="2832"/>
        <v>06539000</v>
      </c>
      <c r="C15906" t="str">
        <f t="shared" si="2843"/>
        <v>06539003</v>
      </c>
      <c r="D15906">
        <v>89301171</v>
      </c>
      <c r="E15906" t="str">
        <f t="shared" si="2839"/>
        <v>8151215325</v>
      </c>
      <c r="F15906" s="1">
        <v>45256</v>
      </c>
      <c r="G15906" t="str">
        <f t="shared" si="2846"/>
        <v>91197</v>
      </c>
      <c r="H15906">
        <v>1</v>
      </c>
      <c r="I15906">
        <v>1048</v>
      </c>
      <c r="J15906">
        <v>0</v>
      </c>
      <c r="K15906" t="str">
        <f t="shared" si="2845"/>
        <v>813</v>
      </c>
      <c r="L15906">
        <v>880.32</v>
      </c>
    </row>
    <row r="15907" spans="1:12" x14ac:dyDescent="0.25">
      <c r="A15907" t="str">
        <f t="shared" si="2838"/>
        <v>89301000</v>
      </c>
      <c r="B15907" t="str">
        <f t="shared" si="2832"/>
        <v>06539000</v>
      </c>
      <c r="C15907" t="str">
        <f t="shared" si="2843"/>
        <v>06539003</v>
      </c>
      <c r="D15907">
        <v>89301171</v>
      </c>
      <c r="E15907" t="str">
        <f t="shared" si="2839"/>
        <v>8151215325</v>
      </c>
      <c r="F15907" s="1">
        <v>45255</v>
      </c>
      <c r="G15907" t="str">
        <f t="shared" si="2846"/>
        <v>91197</v>
      </c>
      <c r="H15907">
        <v>1</v>
      </c>
      <c r="I15907">
        <v>1048</v>
      </c>
      <c r="J15907">
        <v>0</v>
      </c>
      <c r="K15907" t="str">
        <f t="shared" si="2845"/>
        <v>813</v>
      </c>
      <c r="L15907">
        <v>880.32</v>
      </c>
    </row>
    <row r="15908" spans="1:12" x14ac:dyDescent="0.25">
      <c r="A15908" t="str">
        <f t="shared" si="2838"/>
        <v>89301000</v>
      </c>
      <c r="B15908" t="str">
        <f t="shared" si="2832"/>
        <v>06539000</v>
      </c>
      <c r="C15908" t="str">
        <f t="shared" si="2843"/>
        <v>06539003</v>
      </c>
      <c r="D15908">
        <v>89301171</v>
      </c>
      <c r="E15908" t="str">
        <f t="shared" si="2839"/>
        <v>8151215325</v>
      </c>
      <c r="F15908" s="1">
        <v>45255</v>
      </c>
      <c r="G15908" t="str">
        <f t="shared" si="2846"/>
        <v>91197</v>
      </c>
      <c r="H15908">
        <v>1</v>
      </c>
      <c r="I15908">
        <v>1048</v>
      </c>
      <c r="J15908">
        <v>0</v>
      </c>
      <c r="K15908" t="str">
        <f t="shared" si="2845"/>
        <v>813</v>
      </c>
      <c r="L15908">
        <v>880.32</v>
      </c>
    </row>
    <row r="15909" spans="1:12" x14ac:dyDescent="0.25">
      <c r="A15909" t="str">
        <f t="shared" si="2838"/>
        <v>89301000</v>
      </c>
      <c r="B15909" t="str">
        <f t="shared" si="2832"/>
        <v>06539000</v>
      </c>
      <c r="C15909" t="str">
        <f t="shared" si="2843"/>
        <v>06539003</v>
      </c>
      <c r="D15909">
        <v>89301171</v>
      </c>
      <c r="E15909" t="str">
        <f t="shared" si="2839"/>
        <v>8151215325</v>
      </c>
      <c r="F15909" s="1">
        <v>45259</v>
      </c>
      <c r="G15909" t="str">
        <f>"91329"</f>
        <v>91329</v>
      </c>
      <c r="H15909">
        <v>2</v>
      </c>
      <c r="I15909">
        <v>436</v>
      </c>
      <c r="J15909">
        <v>0</v>
      </c>
      <c r="K15909" t="str">
        <f t="shared" si="2845"/>
        <v>813</v>
      </c>
      <c r="L15909">
        <v>366.24</v>
      </c>
    </row>
    <row r="15910" spans="1:12" x14ac:dyDescent="0.25">
      <c r="A15910" t="str">
        <f t="shared" si="2838"/>
        <v>89301000</v>
      </c>
      <c r="B15910" t="str">
        <f t="shared" si="2832"/>
        <v>06539000</v>
      </c>
      <c r="C15910" t="str">
        <f t="shared" si="2843"/>
        <v>06539003</v>
      </c>
      <c r="D15910">
        <v>89301171</v>
      </c>
      <c r="E15910" t="str">
        <f t="shared" si="2839"/>
        <v>8151215325</v>
      </c>
      <c r="F15910" s="1">
        <v>45259</v>
      </c>
      <c r="G15910" t="str">
        <f>"91329"</f>
        <v>91329</v>
      </c>
      <c r="H15910">
        <v>2</v>
      </c>
      <c r="I15910">
        <v>436</v>
      </c>
      <c r="J15910">
        <v>0</v>
      </c>
      <c r="K15910" t="str">
        <f t="shared" si="2845"/>
        <v>813</v>
      </c>
      <c r="L15910">
        <v>366.24</v>
      </c>
    </row>
    <row r="15911" spans="1:12" x14ac:dyDescent="0.25">
      <c r="A15911" t="str">
        <f t="shared" si="2838"/>
        <v>89301000</v>
      </c>
      <c r="B15911" t="str">
        <f t="shared" si="2832"/>
        <v>06539000</v>
      </c>
      <c r="C15911" t="str">
        <f t="shared" si="2843"/>
        <v>06539003</v>
      </c>
      <c r="D15911">
        <v>89301171</v>
      </c>
      <c r="E15911" t="str">
        <f t="shared" si="2839"/>
        <v>8151215325</v>
      </c>
      <c r="F15911" s="1">
        <v>45259</v>
      </c>
      <c r="G15911" t="str">
        <f>"91329"</f>
        <v>91329</v>
      </c>
      <c r="H15911">
        <v>2</v>
      </c>
      <c r="I15911">
        <v>436</v>
      </c>
      <c r="J15911">
        <v>0</v>
      </c>
      <c r="K15911" t="str">
        <f t="shared" si="2845"/>
        <v>813</v>
      </c>
      <c r="L15911">
        <v>366.24</v>
      </c>
    </row>
    <row r="15912" spans="1:12" x14ac:dyDescent="0.25">
      <c r="A15912" t="str">
        <f t="shared" si="2838"/>
        <v>89301000</v>
      </c>
      <c r="B15912" t="str">
        <f t="shared" si="2832"/>
        <v>06539000</v>
      </c>
      <c r="C15912" t="str">
        <f t="shared" si="2843"/>
        <v>06539003</v>
      </c>
      <c r="D15912">
        <v>89301171</v>
      </c>
      <c r="E15912" t="str">
        <f t="shared" si="2839"/>
        <v>8151215325</v>
      </c>
      <c r="F15912" s="1">
        <v>45259</v>
      </c>
      <c r="G15912" t="str">
        <f>"91329"</f>
        <v>91329</v>
      </c>
      <c r="H15912">
        <v>2</v>
      </c>
      <c r="I15912">
        <v>436</v>
      </c>
      <c r="J15912">
        <v>0</v>
      </c>
      <c r="K15912" t="str">
        <f t="shared" si="2845"/>
        <v>813</v>
      </c>
      <c r="L15912">
        <v>366.24</v>
      </c>
    </row>
    <row r="15913" spans="1:12" x14ac:dyDescent="0.25">
      <c r="A15913" t="str">
        <f t="shared" si="2838"/>
        <v>89301000</v>
      </c>
      <c r="B15913" t="str">
        <f t="shared" si="2832"/>
        <v>06539000</v>
      </c>
      <c r="C15913" t="str">
        <f t="shared" si="2843"/>
        <v>06539003</v>
      </c>
      <c r="D15913">
        <v>89301171</v>
      </c>
      <c r="E15913" t="str">
        <f t="shared" si="2839"/>
        <v>8151215325</v>
      </c>
      <c r="F15913" s="1">
        <v>45257</v>
      </c>
      <c r="G15913" t="str">
        <f>"91129"</f>
        <v>91129</v>
      </c>
      <c r="H15913">
        <v>1</v>
      </c>
      <c r="I15913">
        <v>175</v>
      </c>
      <c r="J15913">
        <v>0</v>
      </c>
      <c r="K15913" t="str">
        <f t="shared" si="2845"/>
        <v>813</v>
      </c>
      <c r="L15913">
        <v>147</v>
      </c>
    </row>
    <row r="15914" spans="1:12" x14ac:dyDescent="0.25">
      <c r="A15914" t="str">
        <f t="shared" si="2838"/>
        <v>89301000</v>
      </c>
      <c r="B15914" t="str">
        <f t="shared" si="2832"/>
        <v>06539000</v>
      </c>
      <c r="C15914" t="str">
        <f t="shared" si="2843"/>
        <v>06539003</v>
      </c>
      <c r="D15914">
        <v>89301171</v>
      </c>
      <c r="E15914" t="str">
        <f t="shared" si="2839"/>
        <v>8151215325</v>
      </c>
      <c r="F15914" s="1">
        <v>45260</v>
      </c>
      <c r="G15914" t="str">
        <f>"91131"</f>
        <v>91131</v>
      </c>
      <c r="H15914">
        <v>1</v>
      </c>
      <c r="I15914">
        <v>171</v>
      </c>
      <c r="J15914">
        <v>0</v>
      </c>
      <c r="K15914" t="str">
        <f t="shared" si="2845"/>
        <v>813</v>
      </c>
      <c r="L15914">
        <v>143.63999999999999</v>
      </c>
    </row>
    <row r="15915" spans="1:12" x14ac:dyDescent="0.25">
      <c r="A15915" t="str">
        <f t="shared" si="2838"/>
        <v>89301000</v>
      </c>
      <c r="B15915" t="str">
        <f t="shared" ref="B15915:B15978" si="2847">"06539000"</f>
        <v>06539000</v>
      </c>
      <c r="C15915" t="str">
        <f t="shared" si="2843"/>
        <v>06539003</v>
      </c>
      <c r="D15915">
        <v>89301171</v>
      </c>
      <c r="E15915" t="str">
        <f t="shared" si="2839"/>
        <v>8151215325</v>
      </c>
      <c r="F15915" s="1">
        <v>45257</v>
      </c>
      <c r="G15915" t="str">
        <f>"91133"</f>
        <v>91133</v>
      </c>
      <c r="H15915">
        <v>1</v>
      </c>
      <c r="I15915">
        <v>177</v>
      </c>
      <c r="J15915">
        <v>0</v>
      </c>
      <c r="K15915" t="str">
        <f t="shared" si="2845"/>
        <v>813</v>
      </c>
      <c r="L15915">
        <v>148.68</v>
      </c>
    </row>
    <row r="15916" spans="1:12" x14ac:dyDescent="0.25">
      <c r="A15916" t="str">
        <f t="shared" si="2838"/>
        <v>89301000</v>
      </c>
      <c r="B15916" t="str">
        <f t="shared" si="2847"/>
        <v>06539000</v>
      </c>
      <c r="C15916" t="str">
        <f t="shared" si="2843"/>
        <v>06539003</v>
      </c>
      <c r="D15916">
        <v>89301171</v>
      </c>
      <c r="E15916" t="str">
        <f t="shared" si="2839"/>
        <v>8151215325</v>
      </c>
      <c r="F15916" s="1">
        <v>45257</v>
      </c>
      <c r="G15916" t="str">
        <f>"91171"</f>
        <v>91171</v>
      </c>
      <c r="H15916">
        <v>1</v>
      </c>
      <c r="I15916">
        <v>362</v>
      </c>
      <c r="J15916">
        <v>0</v>
      </c>
      <c r="K15916" t="str">
        <f t="shared" si="2845"/>
        <v>813</v>
      </c>
      <c r="L15916">
        <v>304.08</v>
      </c>
    </row>
    <row r="15917" spans="1:12" x14ac:dyDescent="0.25">
      <c r="A15917" t="str">
        <f t="shared" si="2838"/>
        <v>89301000</v>
      </c>
      <c r="B15917" t="str">
        <f t="shared" si="2847"/>
        <v>06539000</v>
      </c>
      <c r="C15917" t="str">
        <f t="shared" si="2843"/>
        <v>06539003</v>
      </c>
      <c r="D15917">
        <v>89301171</v>
      </c>
      <c r="E15917" t="str">
        <f t="shared" si="2839"/>
        <v>8151215325</v>
      </c>
      <c r="F15917" s="1">
        <v>45254</v>
      </c>
      <c r="G15917" t="str">
        <f>"91173"</f>
        <v>91173</v>
      </c>
      <c r="H15917">
        <v>1</v>
      </c>
      <c r="I15917">
        <v>337</v>
      </c>
      <c r="J15917">
        <v>0</v>
      </c>
      <c r="K15917" t="str">
        <f t="shared" si="2845"/>
        <v>813</v>
      </c>
      <c r="L15917">
        <v>283.08</v>
      </c>
    </row>
    <row r="15918" spans="1:12" x14ac:dyDescent="0.25">
      <c r="A15918" t="str">
        <f t="shared" si="2838"/>
        <v>89301000</v>
      </c>
      <c r="B15918" t="str">
        <f t="shared" si="2847"/>
        <v>06539000</v>
      </c>
      <c r="C15918" t="str">
        <f t="shared" si="2843"/>
        <v>06539003</v>
      </c>
      <c r="D15918">
        <v>89301171</v>
      </c>
      <c r="E15918" t="str">
        <f t="shared" si="2839"/>
        <v>8151215325</v>
      </c>
      <c r="F15918" s="1">
        <v>45257</v>
      </c>
      <c r="G15918" t="str">
        <f>"91175"</f>
        <v>91175</v>
      </c>
      <c r="H15918">
        <v>1</v>
      </c>
      <c r="I15918">
        <v>362</v>
      </c>
      <c r="J15918">
        <v>0</v>
      </c>
      <c r="K15918" t="str">
        <f t="shared" si="2845"/>
        <v>813</v>
      </c>
      <c r="L15918">
        <v>304.08</v>
      </c>
    </row>
    <row r="15919" spans="1:12" x14ac:dyDescent="0.25">
      <c r="A15919" t="str">
        <f t="shared" si="2838"/>
        <v>89301000</v>
      </c>
      <c r="B15919" t="str">
        <f t="shared" si="2847"/>
        <v>06539000</v>
      </c>
      <c r="C15919" t="str">
        <f t="shared" si="2843"/>
        <v>06539003</v>
      </c>
      <c r="D15919">
        <v>89301171</v>
      </c>
      <c r="E15919" t="str">
        <f t="shared" si="2839"/>
        <v>8151215325</v>
      </c>
      <c r="F15919" s="1">
        <v>45255</v>
      </c>
      <c r="G15919" t="str">
        <f>"91167"</f>
        <v>91167</v>
      </c>
      <c r="H15919">
        <v>1</v>
      </c>
      <c r="I15919">
        <v>426</v>
      </c>
      <c r="J15919">
        <v>0</v>
      </c>
      <c r="K15919" t="str">
        <f t="shared" si="2845"/>
        <v>813</v>
      </c>
      <c r="L15919">
        <v>357.84</v>
      </c>
    </row>
    <row r="15920" spans="1:12" x14ac:dyDescent="0.25">
      <c r="A15920" t="str">
        <f t="shared" si="2838"/>
        <v>89301000</v>
      </c>
      <c r="B15920" t="str">
        <f t="shared" si="2847"/>
        <v>06539000</v>
      </c>
      <c r="C15920" t="str">
        <f t="shared" si="2843"/>
        <v>06539003</v>
      </c>
      <c r="D15920">
        <v>89301171</v>
      </c>
      <c r="E15920" t="str">
        <f t="shared" si="2839"/>
        <v>8151215325</v>
      </c>
      <c r="F15920" s="1">
        <v>45255</v>
      </c>
      <c r="G15920" t="str">
        <f>"91169"</f>
        <v>91169</v>
      </c>
      <c r="H15920">
        <v>1</v>
      </c>
      <c r="I15920">
        <v>426</v>
      </c>
      <c r="J15920">
        <v>0</v>
      </c>
      <c r="K15920" t="str">
        <f t="shared" si="2845"/>
        <v>813</v>
      </c>
      <c r="L15920">
        <v>357.84</v>
      </c>
    </row>
    <row r="15921" spans="1:12" x14ac:dyDescent="0.25">
      <c r="A15921" t="str">
        <f t="shared" si="2838"/>
        <v>89301000</v>
      </c>
      <c r="B15921" t="str">
        <f t="shared" si="2847"/>
        <v>06539000</v>
      </c>
      <c r="C15921" t="str">
        <f t="shared" si="2843"/>
        <v>06539003</v>
      </c>
      <c r="D15921">
        <v>89301171</v>
      </c>
      <c r="E15921" t="str">
        <f t="shared" si="2839"/>
        <v>8151215325</v>
      </c>
      <c r="F15921" s="1">
        <v>45254</v>
      </c>
      <c r="G15921" t="str">
        <f>"91167"</f>
        <v>91167</v>
      </c>
      <c r="H15921">
        <v>1</v>
      </c>
      <c r="I15921">
        <v>426</v>
      </c>
      <c r="J15921">
        <v>0</v>
      </c>
      <c r="K15921" t="str">
        <f t="shared" si="2845"/>
        <v>813</v>
      </c>
      <c r="L15921">
        <v>357.84</v>
      </c>
    </row>
    <row r="15922" spans="1:12" x14ac:dyDescent="0.25">
      <c r="A15922" t="str">
        <f t="shared" si="2838"/>
        <v>89301000</v>
      </c>
      <c r="B15922" t="str">
        <f t="shared" si="2847"/>
        <v>06539000</v>
      </c>
      <c r="C15922" t="str">
        <f t="shared" si="2843"/>
        <v>06539003</v>
      </c>
      <c r="D15922">
        <v>89301171</v>
      </c>
      <c r="E15922" t="str">
        <f t="shared" si="2839"/>
        <v>8151215325</v>
      </c>
      <c r="F15922" s="1">
        <v>45254</v>
      </c>
      <c r="G15922" t="str">
        <f>"91169"</f>
        <v>91169</v>
      </c>
      <c r="H15922">
        <v>1</v>
      </c>
      <c r="I15922">
        <v>426</v>
      </c>
      <c r="J15922">
        <v>0</v>
      </c>
      <c r="K15922" t="str">
        <f t="shared" si="2845"/>
        <v>813</v>
      </c>
      <c r="L15922">
        <v>357.84</v>
      </c>
    </row>
    <row r="15923" spans="1:12" x14ac:dyDescent="0.25">
      <c r="A15923" t="str">
        <f t="shared" si="2838"/>
        <v>89301000</v>
      </c>
      <c r="B15923" t="str">
        <f t="shared" si="2847"/>
        <v>06539000</v>
      </c>
      <c r="C15923" t="str">
        <f t="shared" si="2843"/>
        <v>06539003</v>
      </c>
      <c r="D15923">
        <v>89301171</v>
      </c>
      <c r="E15923" t="str">
        <f t="shared" si="2839"/>
        <v>8151215325</v>
      </c>
      <c r="F15923" s="1">
        <v>45260</v>
      </c>
      <c r="G15923" t="str">
        <f>"91475"</f>
        <v>91475</v>
      </c>
      <c r="H15923">
        <v>1</v>
      </c>
      <c r="I15923">
        <v>213</v>
      </c>
      <c r="J15923">
        <v>0</v>
      </c>
      <c r="K15923" t="str">
        <f t="shared" si="2845"/>
        <v>813</v>
      </c>
      <c r="L15923">
        <v>178.92</v>
      </c>
    </row>
    <row r="15924" spans="1:12" x14ac:dyDescent="0.25">
      <c r="A15924" t="str">
        <f t="shared" si="2838"/>
        <v>89301000</v>
      </c>
      <c r="B15924" t="str">
        <f t="shared" si="2847"/>
        <v>06539000</v>
      </c>
      <c r="C15924" t="str">
        <f t="shared" ref="C15924:C15955" si="2848">"06539003"</f>
        <v>06539003</v>
      </c>
      <c r="D15924">
        <v>89301171</v>
      </c>
      <c r="E15924" t="str">
        <f t="shared" ref="E15924:E15951" si="2849">"9904055711"</f>
        <v>9904055711</v>
      </c>
      <c r="F15924" s="1">
        <v>45259</v>
      </c>
      <c r="G15924" t="str">
        <f t="shared" ref="G15924:G15933" si="2850">"91413"</f>
        <v>91413</v>
      </c>
      <c r="H15924">
        <v>1</v>
      </c>
      <c r="I15924">
        <v>868</v>
      </c>
      <c r="J15924">
        <v>0</v>
      </c>
      <c r="K15924" t="str">
        <f t="shared" ref="K15924:K15955" si="2851">"813"</f>
        <v>813</v>
      </c>
      <c r="L15924">
        <v>729.12</v>
      </c>
    </row>
    <row r="15925" spans="1:12" x14ac:dyDescent="0.25">
      <c r="A15925" t="str">
        <f t="shared" si="2838"/>
        <v>89301000</v>
      </c>
      <c r="B15925" t="str">
        <f t="shared" si="2847"/>
        <v>06539000</v>
      </c>
      <c r="C15925" t="str">
        <f t="shared" si="2848"/>
        <v>06539003</v>
      </c>
      <c r="D15925">
        <v>89301171</v>
      </c>
      <c r="E15925" t="str">
        <f t="shared" si="2849"/>
        <v>9904055711</v>
      </c>
      <c r="F15925" s="1">
        <v>45259</v>
      </c>
      <c r="G15925" t="str">
        <f t="shared" si="2850"/>
        <v>91413</v>
      </c>
      <c r="H15925">
        <v>1</v>
      </c>
      <c r="I15925">
        <v>868</v>
      </c>
      <c r="J15925">
        <v>0</v>
      </c>
      <c r="K15925" t="str">
        <f t="shared" si="2851"/>
        <v>813</v>
      </c>
      <c r="L15925">
        <v>729.12</v>
      </c>
    </row>
    <row r="15926" spans="1:12" x14ac:dyDescent="0.25">
      <c r="A15926" t="str">
        <f t="shared" si="2838"/>
        <v>89301000</v>
      </c>
      <c r="B15926" t="str">
        <f t="shared" si="2847"/>
        <v>06539000</v>
      </c>
      <c r="C15926" t="str">
        <f t="shared" si="2848"/>
        <v>06539003</v>
      </c>
      <c r="D15926">
        <v>89301171</v>
      </c>
      <c r="E15926" t="str">
        <f t="shared" si="2849"/>
        <v>9904055711</v>
      </c>
      <c r="F15926" s="1">
        <v>45281</v>
      </c>
      <c r="G15926" t="str">
        <f t="shared" si="2850"/>
        <v>91413</v>
      </c>
      <c r="H15926">
        <v>1</v>
      </c>
      <c r="I15926">
        <v>868</v>
      </c>
      <c r="J15926">
        <v>0</v>
      </c>
      <c r="K15926" t="str">
        <f t="shared" si="2851"/>
        <v>813</v>
      </c>
      <c r="L15926">
        <v>729.12</v>
      </c>
    </row>
    <row r="15927" spans="1:12" x14ac:dyDescent="0.25">
      <c r="A15927" t="str">
        <f t="shared" si="2838"/>
        <v>89301000</v>
      </c>
      <c r="B15927" t="str">
        <f t="shared" si="2847"/>
        <v>06539000</v>
      </c>
      <c r="C15927" t="str">
        <f t="shared" si="2848"/>
        <v>06539003</v>
      </c>
      <c r="D15927">
        <v>89301171</v>
      </c>
      <c r="E15927" t="str">
        <f t="shared" si="2849"/>
        <v>9904055711</v>
      </c>
      <c r="F15927" s="1">
        <v>45281</v>
      </c>
      <c r="G15927" t="str">
        <f t="shared" si="2850"/>
        <v>91413</v>
      </c>
      <c r="H15927">
        <v>1</v>
      </c>
      <c r="I15927">
        <v>868</v>
      </c>
      <c r="J15927">
        <v>0</v>
      </c>
      <c r="K15927" t="str">
        <f t="shared" si="2851"/>
        <v>813</v>
      </c>
      <c r="L15927">
        <v>729.12</v>
      </c>
    </row>
    <row r="15928" spans="1:12" x14ac:dyDescent="0.25">
      <c r="A15928" t="str">
        <f t="shared" si="2838"/>
        <v>89301000</v>
      </c>
      <c r="B15928" t="str">
        <f t="shared" si="2847"/>
        <v>06539000</v>
      </c>
      <c r="C15928" t="str">
        <f t="shared" si="2848"/>
        <v>06539003</v>
      </c>
      <c r="D15928">
        <v>89301171</v>
      </c>
      <c r="E15928" t="str">
        <f t="shared" si="2849"/>
        <v>9904055711</v>
      </c>
      <c r="F15928" s="1">
        <v>45275</v>
      </c>
      <c r="G15928" t="str">
        <f t="shared" si="2850"/>
        <v>91413</v>
      </c>
      <c r="H15928">
        <v>1</v>
      </c>
      <c r="I15928">
        <v>868</v>
      </c>
      <c r="J15928">
        <v>0</v>
      </c>
      <c r="K15928" t="str">
        <f t="shared" si="2851"/>
        <v>813</v>
      </c>
      <c r="L15928">
        <v>729.12</v>
      </c>
    </row>
    <row r="15929" spans="1:12" x14ac:dyDescent="0.25">
      <c r="A15929" t="str">
        <f t="shared" si="2838"/>
        <v>89301000</v>
      </c>
      <c r="B15929" t="str">
        <f t="shared" si="2847"/>
        <v>06539000</v>
      </c>
      <c r="C15929" t="str">
        <f t="shared" si="2848"/>
        <v>06539003</v>
      </c>
      <c r="D15929">
        <v>89301171</v>
      </c>
      <c r="E15929" t="str">
        <f t="shared" si="2849"/>
        <v>9904055711</v>
      </c>
      <c r="F15929" s="1">
        <v>45275</v>
      </c>
      <c r="G15929" t="str">
        <f t="shared" si="2850"/>
        <v>91413</v>
      </c>
      <c r="H15929">
        <v>1</v>
      </c>
      <c r="I15929">
        <v>868</v>
      </c>
      <c r="J15929">
        <v>0</v>
      </c>
      <c r="K15929" t="str">
        <f t="shared" si="2851"/>
        <v>813</v>
      </c>
      <c r="L15929">
        <v>729.12</v>
      </c>
    </row>
    <row r="15930" spans="1:12" x14ac:dyDescent="0.25">
      <c r="A15930" t="str">
        <f t="shared" si="2838"/>
        <v>89301000</v>
      </c>
      <c r="B15930" t="str">
        <f t="shared" si="2847"/>
        <v>06539000</v>
      </c>
      <c r="C15930" t="str">
        <f t="shared" si="2848"/>
        <v>06539003</v>
      </c>
      <c r="D15930">
        <v>89301171</v>
      </c>
      <c r="E15930" t="str">
        <f t="shared" si="2849"/>
        <v>9904055711</v>
      </c>
      <c r="F15930" s="1">
        <v>45281</v>
      </c>
      <c r="G15930" t="str">
        <f t="shared" si="2850"/>
        <v>91413</v>
      </c>
      <c r="H15930">
        <v>1</v>
      </c>
      <c r="I15930">
        <v>868</v>
      </c>
      <c r="J15930">
        <v>0</v>
      </c>
      <c r="K15930" t="str">
        <f t="shared" si="2851"/>
        <v>813</v>
      </c>
      <c r="L15930">
        <v>729.12</v>
      </c>
    </row>
    <row r="15931" spans="1:12" x14ac:dyDescent="0.25">
      <c r="A15931" t="str">
        <f t="shared" si="2838"/>
        <v>89301000</v>
      </c>
      <c r="B15931" t="str">
        <f t="shared" si="2847"/>
        <v>06539000</v>
      </c>
      <c r="C15931" t="str">
        <f t="shared" si="2848"/>
        <v>06539003</v>
      </c>
      <c r="D15931">
        <v>89301171</v>
      </c>
      <c r="E15931" t="str">
        <f t="shared" si="2849"/>
        <v>9904055711</v>
      </c>
      <c r="F15931" s="1">
        <v>45281</v>
      </c>
      <c r="G15931" t="str">
        <f t="shared" si="2850"/>
        <v>91413</v>
      </c>
      <c r="H15931">
        <v>1</v>
      </c>
      <c r="I15931">
        <v>868</v>
      </c>
      <c r="J15931">
        <v>0</v>
      </c>
      <c r="K15931" t="str">
        <f t="shared" si="2851"/>
        <v>813</v>
      </c>
      <c r="L15931">
        <v>729.12</v>
      </c>
    </row>
    <row r="15932" spans="1:12" x14ac:dyDescent="0.25">
      <c r="A15932" t="str">
        <f t="shared" si="2838"/>
        <v>89301000</v>
      </c>
      <c r="B15932" t="str">
        <f t="shared" si="2847"/>
        <v>06539000</v>
      </c>
      <c r="C15932" t="str">
        <f t="shared" si="2848"/>
        <v>06539003</v>
      </c>
      <c r="D15932">
        <v>89301171</v>
      </c>
      <c r="E15932" t="str">
        <f t="shared" si="2849"/>
        <v>9904055711</v>
      </c>
      <c r="F15932" s="1">
        <v>45281</v>
      </c>
      <c r="G15932" t="str">
        <f t="shared" si="2850"/>
        <v>91413</v>
      </c>
      <c r="H15932">
        <v>1</v>
      </c>
      <c r="I15932">
        <v>868</v>
      </c>
      <c r="J15932">
        <v>0</v>
      </c>
      <c r="K15932" t="str">
        <f t="shared" si="2851"/>
        <v>813</v>
      </c>
      <c r="L15932">
        <v>729.12</v>
      </c>
    </row>
    <row r="15933" spans="1:12" x14ac:dyDescent="0.25">
      <c r="A15933" t="str">
        <f t="shared" si="2838"/>
        <v>89301000</v>
      </c>
      <c r="B15933" t="str">
        <f t="shared" si="2847"/>
        <v>06539000</v>
      </c>
      <c r="C15933" t="str">
        <f t="shared" si="2848"/>
        <v>06539003</v>
      </c>
      <c r="D15933">
        <v>89301171</v>
      </c>
      <c r="E15933" t="str">
        <f t="shared" si="2849"/>
        <v>9904055711</v>
      </c>
      <c r="F15933" s="1">
        <v>45281</v>
      </c>
      <c r="G15933" t="str">
        <f t="shared" si="2850"/>
        <v>91413</v>
      </c>
      <c r="H15933">
        <v>1</v>
      </c>
      <c r="I15933">
        <v>868</v>
      </c>
      <c r="J15933">
        <v>0</v>
      </c>
      <c r="K15933" t="str">
        <f t="shared" si="2851"/>
        <v>813</v>
      </c>
      <c r="L15933">
        <v>729.12</v>
      </c>
    </row>
    <row r="15934" spans="1:12" x14ac:dyDescent="0.25">
      <c r="A15934" t="str">
        <f t="shared" si="2838"/>
        <v>89301000</v>
      </c>
      <c r="B15934" t="str">
        <f t="shared" si="2847"/>
        <v>06539000</v>
      </c>
      <c r="C15934" t="str">
        <f t="shared" si="2848"/>
        <v>06539003</v>
      </c>
      <c r="D15934">
        <v>89301171</v>
      </c>
      <c r="E15934" t="str">
        <f t="shared" si="2849"/>
        <v>9904055711</v>
      </c>
      <c r="F15934" s="1">
        <v>45257</v>
      </c>
      <c r="G15934" t="str">
        <f t="shared" ref="G15934:G15939" si="2852">"91197"</f>
        <v>91197</v>
      </c>
      <c r="H15934">
        <v>1</v>
      </c>
      <c r="I15934">
        <v>1048</v>
      </c>
      <c r="J15934">
        <v>0</v>
      </c>
      <c r="K15934" t="str">
        <f t="shared" si="2851"/>
        <v>813</v>
      </c>
      <c r="L15934">
        <v>880.32</v>
      </c>
    </row>
    <row r="15935" spans="1:12" x14ac:dyDescent="0.25">
      <c r="A15935" t="str">
        <f t="shared" si="2838"/>
        <v>89301000</v>
      </c>
      <c r="B15935" t="str">
        <f t="shared" si="2847"/>
        <v>06539000</v>
      </c>
      <c r="C15935" t="str">
        <f t="shared" si="2848"/>
        <v>06539003</v>
      </c>
      <c r="D15935">
        <v>89301171</v>
      </c>
      <c r="E15935" t="str">
        <f t="shared" si="2849"/>
        <v>9904055711</v>
      </c>
      <c r="F15935" s="1">
        <v>45257</v>
      </c>
      <c r="G15935" t="str">
        <f t="shared" si="2852"/>
        <v>91197</v>
      </c>
      <c r="H15935">
        <v>1</v>
      </c>
      <c r="I15935">
        <v>1048</v>
      </c>
      <c r="J15935">
        <v>0</v>
      </c>
      <c r="K15935" t="str">
        <f t="shared" si="2851"/>
        <v>813</v>
      </c>
      <c r="L15935">
        <v>880.32</v>
      </c>
    </row>
    <row r="15936" spans="1:12" x14ac:dyDescent="0.25">
      <c r="A15936" t="str">
        <f t="shared" si="2838"/>
        <v>89301000</v>
      </c>
      <c r="B15936" t="str">
        <f t="shared" si="2847"/>
        <v>06539000</v>
      </c>
      <c r="C15936" t="str">
        <f t="shared" si="2848"/>
        <v>06539003</v>
      </c>
      <c r="D15936">
        <v>89301171</v>
      </c>
      <c r="E15936" t="str">
        <f t="shared" si="2849"/>
        <v>9904055711</v>
      </c>
      <c r="F15936" s="1">
        <v>45256</v>
      </c>
      <c r="G15936" t="str">
        <f t="shared" si="2852"/>
        <v>91197</v>
      </c>
      <c r="H15936">
        <v>1</v>
      </c>
      <c r="I15936">
        <v>1048</v>
      </c>
      <c r="J15936">
        <v>0</v>
      </c>
      <c r="K15936" t="str">
        <f t="shared" si="2851"/>
        <v>813</v>
      </c>
      <c r="L15936">
        <v>880.32</v>
      </c>
    </row>
    <row r="15937" spans="1:12" x14ac:dyDescent="0.25">
      <c r="A15937" t="str">
        <f t="shared" si="2838"/>
        <v>89301000</v>
      </c>
      <c r="B15937" t="str">
        <f t="shared" si="2847"/>
        <v>06539000</v>
      </c>
      <c r="C15937" t="str">
        <f t="shared" si="2848"/>
        <v>06539003</v>
      </c>
      <c r="D15937">
        <v>89301171</v>
      </c>
      <c r="E15937" t="str">
        <f t="shared" si="2849"/>
        <v>9904055711</v>
      </c>
      <c r="F15937" s="1">
        <v>45256</v>
      </c>
      <c r="G15937" t="str">
        <f t="shared" si="2852"/>
        <v>91197</v>
      </c>
      <c r="H15937">
        <v>1</v>
      </c>
      <c r="I15937">
        <v>1048</v>
      </c>
      <c r="J15937">
        <v>0</v>
      </c>
      <c r="K15937" t="str">
        <f t="shared" si="2851"/>
        <v>813</v>
      </c>
      <c r="L15937">
        <v>880.32</v>
      </c>
    </row>
    <row r="15938" spans="1:12" x14ac:dyDescent="0.25">
      <c r="A15938" t="str">
        <f t="shared" ref="A15938:A16001" si="2853">"89301000"</f>
        <v>89301000</v>
      </c>
      <c r="B15938" t="str">
        <f t="shared" si="2847"/>
        <v>06539000</v>
      </c>
      <c r="C15938" t="str">
        <f t="shared" si="2848"/>
        <v>06539003</v>
      </c>
      <c r="D15938">
        <v>89301171</v>
      </c>
      <c r="E15938" t="str">
        <f t="shared" si="2849"/>
        <v>9904055711</v>
      </c>
      <c r="F15938" s="1">
        <v>45255</v>
      </c>
      <c r="G15938" t="str">
        <f t="shared" si="2852"/>
        <v>91197</v>
      </c>
      <c r="H15938">
        <v>1</v>
      </c>
      <c r="I15938">
        <v>1048</v>
      </c>
      <c r="J15938">
        <v>0</v>
      </c>
      <c r="K15938" t="str">
        <f t="shared" si="2851"/>
        <v>813</v>
      </c>
      <c r="L15938">
        <v>880.32</v>
      </c>
    </row>
    <row r="15939" spans="1:12" x14ac:dyDescent="0.25">
      <c r="A15939" t="str">
        <f t="shared" si="2853"/>
        <v>89301000</v>
      </c>
      <c r="B15939" t="str">
        <f t="shared" si="2847"/>
        <v>06539000</v>
      </c>
      <c r="C15939" t="str">
        <f t="shared" si="2848"/>
        <v>06539003</v>
      </c>
      <c r="D15939">
        <v>89301171</v>
      </c>
      <c r="E15939" t="str">
        <f t="shared" si="2849"/>
        <v>9904055711</v>
      </c>
      <c r="F15939" s="1">
        <v>45255</v>
      </c>
      <c r="G15939" t="str">
        <f t="shared" si="2852"/>
        <v>91197</v>
      </c>
      <c r="H15939">
        <v>1</v>
      </c>
      <c r="I15939">
        <v>1048</v>
      </c>
      <c r="J15939">
        <v>0</v>
      </c>
      <c r="K15939" t="str">
        <f t="shared" si="2851"/>
        <v>813</v>
      </c>
      <c r="L15939">
        <v>880.32</v>
      </c>
    </row>
    <row r="15940" spans="1:12" x14ac:dyDescent="0.25">
      <c r="A15940" t="str">
        <f t="shared" si="2853"/>
        <v>89301000</v>
      </c>
      <c r="B15940" t="str">
        <f t="shared" si="2847"/>
        <v>06539000</v>
      </c>
      <c r="C15940" t="str">
        <f t="shared" si="2848"/>
        <v>06539003</v>
      </c>
      <c r="D15940">
        <v>89301171</v>
      </c>
      <c r="E15940" t="str">
        <f t="shared" si="2849"/>
        <v>9904055711</v>
      </c>
      <c r="F15940" s="1">
        <v>45259</v>
      </c>
      <c r="G15940" t="str">
        <f>"91329"</f>
        <v>91329</v>
      </c>
      <c r="H15940">
        <v>2</v>
      </c>
      <c r="I15940">
        <v>436</v>
      </c>
      <c r="J15940">
        <v>0</v>
      </c>
      <c r="K15940" t="str">
        <f t="shared" si="2851"/>
        <v>813</v>
      </c>
      <c r="L15940">
        <v>366.24</v>
      </c>
    </row>
    <row r="15941" spans="1:12" x14ac:dyDescent="0.25">
      <c r="A15941" t="str">
        <f t="shared" si="2853"/>
        <v>89301000</v>
      </c>
      <c r="B15941" t="str">
        <f t="shared" si="2847"/>
        <v>06539000</v>
      </c>
      <c r="C15941" t="str">
        <f t="shared" si="2848"/>
        <v>06539003</v>
      </c>
      <c r="D15941">
        <v>89301171</v>
      </c>
      <c r="E15941" t="str">
        <f t="shared" si="2849"/>
        <v>9904055711</v>
      </c>
      <c r="F15941" s="1">
        <v>45259</v>
      </c>
      <c r="G15941" t="str">
        <f>"91329"</f>
        <v>91329</v>
      </c>
      <c r="H15941">
        <v>2</v>
      </c>
      <c r="I15941">
        <v>436</v>
      </c>
      <c r="J15941">
        <v>0</v>
      </c>
      <c r="K15941" t="str">
        <f t="shared" si="2851"/>
        <v>813</v>
      </c>
      <c r="L15941">
        <v>366.24</v>
      </c>
    </row>
    <row r="15942" spans="1:12" x14ac:dyDescent="0.25">
      <c r="A15942" t="str">
        <f t="shared" si="2853"/>
        <v>89301000</v>
      </c>
      <c r="B15942" t="str">
        <f t="shared" si="2847"/>
        <v>06539000</v>
      </c>
      <c r="C15942" t="str">
        <f t="shared" si="2848"/>
        <v>06539003</v>
      </c>
      <c r="D15942">
        <v>89301171</v>
      </c>
      <c r="E15942" t="str">
        <f t="shared" si="2849"/>
        <v>9904055711</v>
      </c>
      <c r="F15942" s="1">
        <v>45259</v>
      </c>
      <c r="G15942" t="str">
        <f>"91329"</f>
        <v>91329</v>
      </c>
      <c r="H15942">
        <v>2</v>
      </c>
      <c r="I15942">
        <v>436</v>
      </c>
      <c r="J15942">
        <v>0</v>
      </c>
      <c r="K15942" t="str">
        <f t="shared" si="2851"/>
        <v>813</v>
      </c>
      <c r="L15942">
        <v>366.24</v>
      </c>
    </row>
    <row r="15943" spans="1:12" x14ac:dyDescent="0.25">
      <c r="A15943" t="str">
        <f t="shared" si="2853"/>
        <v>89301000</v>
      </c>
      <c r="B15943" t="str">
        <f t="shared" si="2847"/>
        <v>06539000</v>
      </c>
      <c r="C15943" t="str">
        <f t="shared" si="2848"/>
        <v>06539003</v>
      </c>
      <c r="D15943">
        <v>89301171</v>
      </c>
      <c r="E15943" t="str">
        <f t="shared" si="2849"/>
        <v>9904055711</v>
      </c>
      <c r="F15943" s="1">
        <v>45259</v>
      </c>
      <c r="G15943" t="str">
        <f>"91329"</f>
        <v>91329</v>
      </c>
      <c r="H15943">
        <v>2</v>
      </c>
      <c r="I15943">
        <v>436</v>
      </c>
      <c r="J15943">
        <v>0</v>
      </c>
      <c r="K15943" t="str">
        <f t="shared" si="2851"/>
        <v>813</v>
      </c>
      <c r="L15943">
        <v>366.24</v>
      </c>
    </row>
    <row r="15944" spans="1:12" x14ac:dyDescent="0.25">
      <c r="A15944" t="str">
        <f t="shared" si="2853"/>
        <v>89301000</v>
      </c>
      <c r="B15944" t="str">
        <f t="shared" si="2847"/>
        <v>06539000</v>
      </c>
      <c r="C15944" t="str">
        <f t="shared" si="2848"/>
        <v>06539003</v>
      </c>
      <c r="D15944">
        <v>89301171</v>
      </c>
      <c r="E15944" t="str">
        <f t="shared" si="2849"/>
        <v>9904055711</v>
      </c>
      <c r="F15944" s="1">
        <v>45257</v>
      </c>
      <c r="G15944" t="str">
        <f>"91129"</f>
        <v>91129</v>
      </c>
      <c r="H15944">
        <v>1</v>
      </c>
      <c r="I15944">
        <v>175</v>
      </c>
      <c r="J15944">
        <v>0</v>
      </c>
      <c r="K15944" t="str">
        <f t="shared" si="2851"/>
        <v>813</v>
      </c>
      <c r="L15944">
        <v>147</v>
      </c>
    </row>
    <row r="15945" spans="1:12" x14ac:dyDescent="0.25">
      <c r="A15945" t="str">
        <f t="shared" si="2853"/>
        <v>89301000</v>
      </c>
      <c r="B15945" t="str">
        <f t="shared" si="2847"/>
        <v>06539000</v>
      </c>
      <c r="C15945" t="str">
        <f t="shared" si="2848"/>
        <v>06539003</v>
      </c>
      <c r="D15945">
        <v>89301171</v>
      </c>
      <c r="E15945" t="str">
        <f t="shared" si="2849"/>
        <v>9904055711</v>
      </c>
      <c r="F15945" s="1">
        <v>45257</v>
      </c>
      <c r="G15945" t="str">
        <f>"91131"</f>
        <v>91131</v>
      </c>
      <c r="H15945">
        <v>1</v>
      </c>
      <c r="I15945">
        <v>171</v>
      </c>
      <c r="J15945">
        <v>0</v>
      </c>
      <c r="K15945" t="str">
        <f t="shared" si="2851"/>
        <v>813</v>
      </c>
      <c r="L15945">
        <v>143.63999999999999</v>
      </c>
    </row>
    <row r="15946" spans="1:12" x14ac:dyDescent="0.25">
      <c r="A15946" t="str">
        <f t="shared" si="2853"/>
        <v>89301000</v>
      </c>
      <c r="B15946" t="str">
        <f t="shared" si="2847"/>
        <v>06539000</v>
      </c>
      <c r="C15946" t="str">
        <f t="shared" si="2848"/>
        <v>06539003</v>
      </c>
      <c r="D15946">
        <v>89301171</v>
      </c>
      <c r="E15946" t="str">
        <f t="shared" si="2849"/>
        <v>9904055711</v>
      </c>
      <c r="F15946" s="1">
        <v>45257</v>
      </c>
      <c r="G15946" t="str">
        <f>"91133"</f>
        <v>91133</v>
      </c>
      <c r="H15946">
        <v>1</v>
      </c>
      <c r="I15946">
        <v>177</v>
      </c>
      <c r="J15946">
        <v>0</v>
      </c>
      <c r="K15946" t="str">
        <f t="shared" si="2851"/>
        <v>813</v>
      </c>
      <c r="L15946">
        <v>148.68</v>
      </c>
    </row>
    <row r="15947" spans="1:12" x14ac:dyDescent="0.25">
      <c r="A15947" t="str">
        <f t="shared" si="2853"/>
        <v>89301000</v>
      </c>
      <c r="B15947" t="str">
        <f t="shared" si="2847"/>
        <v>06539000</v>
      </c>
      <c r="C15947" t="str">
        <f t="shared" si="2848"/>
        <v>06539003</v>
      </c>
      <c r="D15947">
        <v>89301171</v>
      </c>
      <c r="E15947" t="str">
        <f t="shared" si="2849"/>
        <v>9904055711</v>
      </c>
      <c r="F15947" s="1">
        <v>45257</v>
      </c>
      <c r="G15947" t="str">
        <f>"91171"</f>
        <v>91171</v>
      </c>
      <c r="H15947">
        <v>1</v>
      </c>
      <c r="I15947">
        <v>362</v>
      </c>
      <c r="J15947">
        <v>0</v>
      </c>
      <c r="K15947" t="str">
        <f t="shared" si="2851"/>
        <v>813</v>
      </c>
      <c r="L15947">
        <v>304.08</v>
      </c>
    </row>
    <row r="15948" spans="1:12" x14ac:dyDescent="0.25">
      <c r="A15948" t="str">
        <f t="shared" si="2853"/>
        <v>89301000</v>
      </c>
      <c r="B15948" t="str">
        <f t="shared" si="2847"/>
        <v>06539000</v>
      </c>
      <c r="C15948" t="str">
        <f t="shared" si="2848"/>
        <v>06539003</v>
      </c>
      <c r="D15948">
        <v>89301171</v>
      </c>
      <c r="E15948" t="str">
        <f t="shared" si="2849"/>
        <v>9904055711</v>
      </c>
      <c r="F15948" s="1">
        <v>45257</v>
      </c>
      <c r="G15948" t="str">
        <f>"91175"</f>
        <v>91175</v>
      </c>
      <c r="H15948">
        <v>1</v>
      </c>
      <c r="I15948">
        <v>362</v>
      </c>
      <c r="J15948">
        <v>0</v>
      </c>
      <c r="K15948" t="str">
        <f t="shared" si="2851"/>
        <v>813</v>
      </c>
      <c r="L15948">
        <v>304.08</v>
      </c>
    </row>
    <row r="15949" spans="1:12" x14ac:dyDescent="0.25">
      <c r="A15949" t="str">
        <f t="shared" si="2853"/>
        <v>89301000</v>
      </c>
      <c r="B15949" t="str">
        <f t="shared" si="2847"/>
        <v>06539000</v>
      </c>
      <c r="C15949" t="str">
        <f t="shared" si="2848"/>
        <v>06539003</v>
      </c>
      <c r="D15949">
        <v>89301171</v>
      </c>
      <c r="E15949" t="str">
        <f t="shared" si="2849"/>
        <v>9904055711</v>
      </c>
      <c r="F15949" s="1">
        <v>45255</v>
      </c>
      <c r="G15949" t="str">
        <f>"91167"</f>
        <v>91167</v>
      </c>
      <c r="H15949">
        <v>1</v>
      </c>
      <c r="I15949">
        <v>426</v>
      </c>
      <c r="J15949">
        <v>0</v>
      </c>
      <c r="K15949" t="str">
        <f t="shared" si="2851"/>
        <v>813</v>
      </c>
      <c r="L15949">
        <v>357.84</v>
      </c>
    </row>
    <row r="15950" spans="1:12" x14ac:dyDescent="0.25">
      <c r="A15950" t="str">
        <f t="shared" si="2853"/>
        <v>89301000</v>
      </c>
      <c r="B15950" t="str">
        <f t="shared" si="2847"/>
        <v>06539000</v>
      </c>
      <c r="C15950" t="str">
        <f t="shared" si="2848"/>
        <v>06539003</v>
      </c>
      <c r="D15950">
        <v>89301171</v>
      </c>
      <c r="E15950" t="str">
        <f t="shared" si="2849"/>
        <v>9904055711</v>
      </c>
      <c r="F15950" s="1">
        <v>45255</v>
      </c>
      <c r="G15950" t="str">
        <f>"91169"</f>
        <v>91169</v>
      </c>
      <c r="H15950">
        <v>1</v>
      </c>
      <c r="I15950">
        <v>426</v>
      </c>
      <c r="J15950">
        <v>0</v>
      </c>
      <c r="K15950" t="str">
        <f t="shared" si="2851"/>
        <v>813</v>
      </c>
      <c r="L15950">
        <v>357.84</v>
      </c>
    </row>
    <row r="15951" spans="1:12" x14ac:dyDescent="0.25">
      <c r="A15951" t="str">
        <f t="shared" si="2853"/>
        <v>89301000</v>
      </c>
      <c r="B15951" t="str">
        <f t="shared" si="2847"/>
        <v>06539000</v>
      </c>
      <c r="C15951" t="str">
        <f t="shared" si="2848"/>
        <v>06539003</v>
      </c>
      <c r="D15951">
        <v>89301171</v>
      </c>
      <c r="E15951" t="str">
        <f t="shared" si="2849"/>
        <v>9904055711</v>
      </c>
      <c r="F15951" s="1">
        <v>45259</v>
      </c>
      <c r="G15951" t="str">
        <f>"91475"</f>
        <v>91475</v>
      </c>
      <c r="H15951">
        <v>1</v>
      </c>
      <c r="I15951">
        <v>213</v>
      </c>
      <c r="J15951">
        <v>0</v>
      </c>
      <c r="K15951" t="str">
        <f t="shared" si="2851"/>
        <v>813</v>
      </c>
      <c r="L15951">
        <v>178.92</v>
      </c>
    </row>
    <row r="15952" spans="1:12" x14ac:dyDescent="0.25">
      <c r="A15952" t="str">
        <f t="shared" si="2853"/>
        <v>89301000</v>
      </c>
      <c r="B15952" t="str">
        <f t="shared" si="2847"/>
        <v>06539000</v>
      </c>
      <c r="C15952" t="str">
        <f t="shared" si="2848"/>
        <v>06539003</v>
      </c>
      <c r="D15952">
        <v>89301171</v>
      </c>
      <c r="E15952" t="str">
        <f t="shared" ref="E15952:E15966" si="2854">"6362081539"</f>
        <v>6362081539</v>
      </c>
      <c r="F15952" s="1">
        <v>45259</v>
      </c>
      <c r="G15952" t="str">
        <f t="shared" ref="G15952:G15961" si="2855">"91413"</f>
        <v>91413</v>
      </c>
      <c r="H15952">
        <v>1</v>
      </c>
      <c r="I15952">
        <v>868</v>
      </c>
      <c r="J15952">
        <v>0</v>
      </c>
      <c r="K15952" t="str">
        <f t="shared" si="2851"/>
        <v>813</v>
      </c>
      <c r="L15952">
        <v>729.12</v>
      </c>
    </row>
    <row r="15953" spans="1:12" x14ac:dyDescent="0.25">
      <c r="A15953" t="str">
        <f t="shared" si="2853"/>
        <v>89301000</v>
      </c>
      <c r="B15953" t="str">
        <f t="shared" si="2847"/>
        <v>06539000</v>
      </c>
      <c r="C15953" t="str">
        <f t="shared" si="2848"/>
        <v>06539003</v>
      </c>
      <c r="D15953">
        <v>89301171</v>
      </c>
      <c r="E15953" t="str">
        <f t="shared" si="2854"/>
        <v>6362081539</v>
      </c>
      <c r="F15953" s="1">
        <v>45259</v>
      </c>
      <c r="G15953" t="str">
        <f t="shared" si="2855"/>
        <v>91413</v>
      </c>
      <c r="H15953">
        <v>1</v>
      </c>
      <c r="I15953">
        <v>868</v>
      </c>
      <c r="J15953">
        <v>0</v>
      </c>
      <c r="K15953" t="str">
        <f t="shared" si="2851"/>
        <v>813</v>
      </c>
      <c r="L15953">
        <v>729.12</v>
      </c>
    </row>
    <row r="15954" spans="1:12" x14ac:dyDescent="0.25">
      <c r="A15954" t="str">
        <f t="shared" si="2853"/>
        <v>89301000</v>
      </c>
      <c r="B15954" t="str">
        <f t="shared" si="2847"/>
        <v>06539000</v>
      </c>
      <c r="C15954" t="str">
        <f t="shared" si="2848"/>
        <v>06539003</v>
      </c>
      <c r="D15954">
        <v>89301171</v>
      </c>
      <c r="E15954" t="str">
        <f t="shared" si="2854"/>
        <v>6362081539</v>
      </c>
      <c r="F15954" s="1">
        <v>45281</v>
      </c>
      <c r="G15954" t="str">
        <f t="shared" si="2855"/>
        <v>91413</v>
      </c>
      <c r="H15954">
        <v>1</v>
      </c>
      <c r="I15954">
        <v>868</v>
      </c>
      <c r="J15954">
        <v>0</v>
      </c>
      <c r="K15954" t="str">
        <f t="shared" si="2851"/>
        <v>813</v>
      </c>
      <c r="L15954">
        <v>729.12</v>
      </c>
    </row>
    <row r="15955" spans="1:12" x14ac:dyDescent="0.25">
      <c r="A15955" t="str">
        <f t="shared" si="2853"/>
        <v>89301000</v>
      </c>
      <c r="B15955" t="str">
        <f t="shared" si="2847"/>
        <v>06539000</v>
      </c>
      <c r="C15955" t="str">
        <f t="shared" si="2848"/>
        <v>06539003</v>
      </c>
      <c r="D15955">
        <v>89301171</v>
      </c>
      <c r="E15955" t="str">
        <f t="shared" si="2854"/>
        <v>6362081539</v>
      </c>
      <c r="F15955" s="1">
        <v>45281</v>
      </c>
      <c r="G15955" t="str">
        <f t="shared" si="2855"/>
        <v>91413</v>
      </c>
      <c r="H15955">
        <v>1</v>
      </c>
      <c r="I15955">
        <v>868</v>
      </c>
      <c r="J15955">
        <v>0</v>
      </c>
      <c r="K15955" t="str">
        <f t="shared" si="2851"/>
        <v>813</v>
      </c>
      <c r="L15955">
        <v>729.12</v>
      </c>
    </row>
    <row r="15956" spans="1:12" x14ac:dyDescent="0.25">
      <c r="A15956" t="str">
        <f t="shared" si="2853"/>
        <v>89301000</v>
      </c>
      <c r="B15956" t="str">
        <f t="shared" si="2847"/>
        <v>06539000</v>
      </c>
      <c r="C15956" t="str">
        <f t="shared" ref="C15956:C15966" si="2856">"06539003"</f>
        <v>06539003</v>
      </c>
      <c r="D15956">
        <v>89301171</v>
      </c>
      <c r="E15956" t="str">
        <f t="shared" si="2854"/>
        <v>6362081539</v>
      </c>
      <c r="F15956" s="1">
        <v>45275</v>
      </c>
      <c r="G15956" t="str">
        <f t="shared" si="2855"/>
        <v>91413</v>
      </c>
      <c r="H15956">
        <v>1</v>
      </c>
      <c r="I15956">
        <v>868</v>
      </c>
      <c r="J15956">
        <v>0</v>
      </c>
      <c r="K15956" t="str">
        <f t="shared" ref="K15956:K15966" si="2857">"813"</f>
        <v>813</v>
      </c>
      <c r="L15956">
        <v>729.12</v>
      </c>
    </row>
    <row r="15957" spans="1:12" x14ac:dyDescent="0.25">
      <c r="A15957" t="str">
        <f t="shared" si="2853"/>
        <v>89301000</v>
      </c>
      <c r="B15957" t="str">
        <f t="shared" si="2847"/>
        <v>06539000</v>
      </c>
      <c r="C15957" t="str">
        <f t="shared" si="2856"/>
        <v>06539003</v>
      </c>
      <c r="D15957">
        <v>89301171</v>
      </c>
      <c r="E15957" t="str">
        <f t="shared" si="2854"/>
        <v>6362081539</v>
      </c>
      <c r="F15957" s="1">
        <v>45275</v>
      </c>
      <c r="G15957" t="str">
        <f t="shared" si="2855"/>
        <v>91413</v>
      </c>
      <c r="H15957">
        <v>1</v>
      </c>
      <c r="I15957">
        <v>868</v>
      </c>
      <c r="J15957">
        <v>0</v>
      </c>
      <c r="K15957" t="str">
        <f t="shared" si="2857"/>
        <v>813</v>
      </c>
      <c r="L15957">
        <v>729.12</v>
      </c>
    </row>
    <row r="15958" spans="1:12" x14ac:dyDescent="0.25">
      <c r="A15958" t="str">
        <f t="shared" si="2853"/>
        <v>89301000</v>
      </c>
      <c r="B15958" t="str">
        <f t="shared" si="2847"/>
        <v>06539000</v>
      </c>
      <c r="C15958" t="str">
        <f t="shared" si="2856"/>
        <v>06539003</v>
      </c>
      <c r="D15958">
        <v>89301171</v>
      </c>
      <c r="E15958" t="str">
        <f t="shared" si="2854"/>
        <v>6362081539</v>
      </c>
      <c r="F15958" s="1">
        <v>45281</v>
      </c>
      <c r="G15958" t="str">
        <f t="shared" si="2855"/>
        <v>91413</v>
      </c>
      <c r="H15958">
        <v>1</v>
      </c>
      <c r="I15958">
        <v>868</v>
      </c>
      <c r="J15958">
        <v>0</v>
      </c>
      <c r="K15958" t="str">
        <f t="shared" si="2857"/>
        <v>813</v>
      </c>
      <c r="L15958">
        <v>729.12</v>
      </c>
    </row>
    <row r="15959" spans="1:12" x14ac:dyDescent="0.25">
      <c r="A15959" t="str">
        <f t="shared" si="2853"/>
        <v>89301000</v>
      </c>
      <c r="B15959" t="str">
        <f t="shared" si="2847"/>
        <v>06539000</v>
      </c>
      <c r="C15959" t="str">
        <f t="shared" si="2856"/>
        <v>06539003</v>
      </c>
      <c r="D15959">
        <v>89301171</v>
      </c>
      <c r="E15959" t="str">
        <f t="shared" si="2854"/>
        <v>6362081539</v>
      </c>
      <c r="F15959" s="1">
        <v>45281</v>
      </c>
      <c r="G15959" t="str">
        <f t="shared" si="2855"/>
        <v>91413</v>
      </c>
      <c r="H15959">
        <v>1</v>
      </c>
      <c r="I15959">
        <v>868</v>
      </c>
      <c r="J15959">
        <v>0</v>
      </c>
      <c r="K15959" t="str">
        <f t="shared" si="2857"/>
        <v>813</v>
      </c>
      <c r="L15959">
        <v>729.12</v>
      </c>
    </row>
    <row r="15960" spans="1:12" x14ac:dyDescent="0.25">
      <c r="A15960" t="str">
        <f t="shared" si="2853"/>
        <v>89301000</v>
      </c>
      <c r="B15960" t="str">
        <f t="shared" si="2847"/>
        <v>06539000</v>
      </c>
      <c r="C15960" t="str">
        <f t="shared" si="2856"/>
        <v>06539003</v>
      </c>
      <c r="D15960">
        <v>89301171</v>
      </c>
      <c r="E15960" t="str">
        <f t="shared" si="2854"/>
        <v>6362081539</v>
      </c>
      <c r="F15960" s="1">
        <v>45281</v>
      </c>
      <c r="G15960" t="str">
        <f t="shared" si="2855"/>
        <v>91413</v>
      </c>
      <c r="H15960">
        <v>1</v>
      </c>
      <c r="I15960">
        <v>868</v>
      </c>
      <c r="J15960">
        <v>0</v>
      </c>
      <c r="K15960" t="str">
        <f t="shared" si="2857"/>
        <v>813</v>
      </c>
      <c r="L15960">
        <v>729.12</v>
      </c>
    </row>
    <row r="15961" spans="1:12" x14ac:dyDescent="0.25">
      <c r="A15961" t="str">
        <f t="shared" si="2853"/>
        <v>89301000</v>
      </c>
      <c r="B15961" t="str">
        <f t="shared" si="2847"/>
        <v>06539000</v>
      </c>
      <c r="C15961" t="str">
        <f t="shared" si="2856"/>
        <v>06539003</v>
      </c>
      <c r="D15961">
        <v>89301171</v>
      </c>
      <c r="E15961" t="str">
        <f t="shared" si="2854"/>
        <v>6362081539</v>
      </c>
      <c r="F15961" s="1">
        <v>45281</v>
      </c>
      <c r="G15961" t="str">
        <f t="shared" si="2855"/>
        <v>91413</v>
      </c>
      <c r="H15961">
        <v>1</v>
      </c>
      <c r="I15961">
        <v>868</v>
      </c>
      <c r="J15961">
        <v>0</v>
      </c>
      <c r="K15961" t="str">
        <f t="shared" si="2857"/>
        <v>813</v>
      </c>
      <c r="L15961">
        <v>729.12</v>
      </c>
    </row>
    <row r="15962" spans="1:12" x14ac:dyDescent="0.25">
      <c r="A15962" t="str">
        <f t="shared" si="2853"/>
        <v>89301000</v>
      </c>
      <c r="B15962" t="str">
        <f t="shared" si="2847"/>
        <v>06539000</v>
      </c>
      <c r="C15962" t="str">
        <f t="shared" si="2856"/>
        <v>06539003</v>
      </c>
      <c r="D15962">
        <v>89301171</v>
      </c>
      <c r="E15962" t="str">
        <f t="shared" si="2854"/>
        <v>6362081539</v>
      </c>
      <c r="F15962" s="1">
        <v>45259</v>
      </c>
      <c r="G15962" t="str">
        <f>"91329"</f>
        <v>91329</v>
      </c>
      <c r="H15962">
        <v>2</v>
      </c>
      <c r="I15962">
        <v>436</v>
      </c>
      <c r="J15962">
        <v>0</v>
      </c>
      <c r="K15962" t="str">
        <f t="shared" si="2857"/>
        <v>813</v>
      </c>
      <c r="L15962">
        <v>366.24</v>
      </c>
    </row>
    <row r="15963" spans="1:12" x14ac:dyDescent="0.25">
      <c r="A15963" t="str">
        <f t="shared" si="2853"/>
        <v>89301000</v>
      </c>
      <c r="B15963" t="str">
        <f t="shared" si="2847"/>
        <v>06539000</v>
      </c>
      <c r="C15963" t="str">
        <f t="shared" si="2856"/>
        <v>06539003</v>
      </c>
      <c r="D15963">
        <v>89301171</v>
      </c>
      <c r="E15963" t="str">
        <f t="shared" si="2854"/>
        <v>6362081539</v>
      </c>
      <c r="F15963" s="1">
        <v>45259</v>
      </c>
      <c r="G15963" t="str">
        <f>"91329"</f>
        <v>91329</v>
      </c>
      <c r="H15963">
        <v>2</v>
      </c>
      <c r="I15963">
        <v>436</v>
      </c>
      <c r="J15963">
        <v>0</v>
      </c>
      <c r="K15963" t="str">
        <f t="shared" si="2857"/>
        <v>813</v>
      </c>
      <c r="L15963">
        <v>366.24</v>
      </c>
    </row>
    <row r="15964" spans="1:12" x14ac:dyDescent="0.25">
      <c r="A15964" t="str">
        <f t="shared" si="2853"/>
        <v>89301000</v>
      </c>
      <c r="B15964" t="str">
        <f t="shared" si="2847"/>
        <v>06539000</v>
      </c>
      <c r="C15964" t="str">
        <f t="shared" si="2856"/>
        <v>06539003</v>
      </c>
      <c r="D15964">
        <v>89301171</v>
      </c>
      <c r="E15964" t="str">
        <f t="shared" si="2854"/>
        <v>6362081539</v>
      </c>
      <c r="F15964" s="1">
        <v>45259</v>
      </c>
      <c r="G15964" t="str">
        <f>"91329"</f>
        <v>91329</v>
      </c>
      <c r="H15964">
        <v>2</v>
      </c>
      <c r="I15964">
        <v>436</v>
      </c>
      <c r="J15964">
        <v>0</v>
      </c>
      <c r="K15964" t="str">
        <f t="shared" si="2857"/>
        <v>813</v>
      </c>
      <c r="L15964">
        <v>366.24</v>
      </c>
    </row>
    <row r="15965" spans="1:12" x14ac:dyDescent="0.25">
      <c r="A15965" t="str">
        <f t="shared" si="2853"/>
        <v>89301000</v>
      </c>
      <c r="B15965" t="str">
        <f t="shared" si="2847"/>
        <v>06539000</v>
      </c>
      <c r="C15965" t="str">
        <f t="shared" si="2856"/>
        <v>06539003</v>
      </c>
      <c r="D15965">
        <v>89301171</v>
      </c>
      <c r="E15965" t="str">
        <f t="shared" si="2854"/>
        <v>6362081539</v>
      </c>
      <c r="F15965" s="1">
        <v>45259</v>
      </c>
      <c r="G15965" t="str">
        <f>"91329"</f>
        <v>91329</v>
      </c>
      <c r="H15965">
        <v>2</v>
      </c>
      <c r="I15965">
        <v>436</v>
      </c>
      <c r="J15965">
        <v>0</v>
      </c>
      <c r="K15965" t="str">
        <f t="shared" si="2857"/>
        <v>813</v>
      </c>
      <c r="L15965">
        <v>366.24</v>
      </c>
    </row>
    <row r="15966" spans="1:12" x14ac:dyDescent="0.25">
      <c r="A15966" t="str">
        <f t="shared" si="2853"/>
        <v>89301000</v>
      </c>
      <c r="B15966" t="str">
        <f t="shared" si="2847"/>
        <v>06539000</v>
      </c>
      <c r="C15966" t="str">
        <f t="shared" si="2856"/>
        <v>06539003</v>
      </c>
      <c r="D15966">
        <v>89301171</v>
      </c>
      <c r="E15966" t="str">
        <f t="shared" si="2854"/>
        <v>6362081539</v>
      </c>
      <c r="F15966" s="1">
        <v>45281</v>
      </c>
      <c r="G15966" t="str">
        <f>"91475"</f>
        <v>91475</v>
      </c>
      <c r="H15966">
        <v>1</v>
      </c>
      <c r="I15966">
        <v>213</v>
      </c>
      <c r="J15966">
        <v>0</v>
      </c>
      <c r="K15966" t="str">
        <f t="shared" si="2857"/>
        <v>813</v>
      </c>
      <c r="L15966">
        <v>178.92</v>
      </c>
    </row>
    <row r="15967" spans="1:12" x14ac:dyDescent="0.25">
      <c r="A15967" t="str">
        <f t="shared" si="2853"/>
        <v>89301000</v>
      </c>
      <c r="B15967" t="str">
        <f t="shared" si="2847"/>
        <v>06539000</v>
      </c>
      <c r="C15967" t="str">
        <f>"06539001"</f>
        <v>06539001</v>
      </c>
      <c r="D15967">
        <v>89301171</v>
      </c>
      <c r="E15967" t="str">
        <f t="shared" ref="E15967:E16008" si="2858">"8052085756"</f>
        <v>8052085756</v>
      </c>
      <c r="F15967" s="1">
        <v>45254</v>
      </c>
      <c r="G15967" t="str">
        <f>"81329"</f>
        <v>81329</v>
      </c>
      <c r="H15967">
        <v>1</v>
      </c>
      <c r="I15967">
        <v>17</v>
      </c>
      <c r="J15967">
        <v>0</v>
      </c>
      <c r="K15967" t="str">
        <f>"801"</f>
        <v>801</v>
      </c>
      <c r="L15967">
        <v>14.28</v>
      </c>
    </row>
    <row r="15968" spans="1:12" x14ac:dyDescent="0.25">
      <c r="A15968" t="str">
        <f t="shared" si="2853"/>
        <v>89301000</v>
      </c>
      <c r="B15968" t="str">
        <f t="shared" si="2847"/>
        <v>06539000</v>
      </c>
      <c r="C15968" t="str">
        <f>"06539001"</f>
        <v>06539001</v>
      </c>
      <c r="D15968">
        <v>89301171</v>
      </c>
      <c r="E15968" t="str">
        <f t="shared" si="2858"/>
        <v>8052085756</v>
      </c>
      <c r="F15968" s="1">
        <v>45254</v>
      </c>
      <c r="G15968" t="str">
        <f>"81331"</f>
        <v>81331</v>
      </c>
      <c r="H15968">
        <v>1</v>
      </c>
      <c r="I15968">
        <v>193</v>
      </c>
      <c r="J15968">
        <v>0</v>
      </c>
      <c r="K15968" t="str">
        <f>"801"</f>
        <v>801</v>
      </c>
      <c r="L15968">
        <v>162.12</v>
      </c>
    </row>
    <row r="15969" spans="1:12" x14ac:dyDescent="0.25">
      <c r="A15969" t="str">
        <f t="shared" si="2853"/>
        <v>89301000</v>
      </c>
      <c r="B15969" t="str">
        <f t="shared" si="2847"/>
        <v>06539000</v>
      </c>
      <c r="C15969" t="str">
        <f t="shared" ref="C15969:C15976" si="2859">"06539002"</f>
        <v>06539002</v>
      </c>
      <c r="D15969">
        <v>89301171</v>
      </c>
      <c r="E15969" t="str">
        <f t="shared" si="2858"/>
        <v>8052085756</v>
      </c>
      <c r="F15969" s="1">
        <v>45254</v>
      </c>
      <c r="G15969" t="str">
        <f t="shared" ref="G15969:G15976" si="2860">"82097"</f>
        <v>82097</v>
      </c>
      <c r="H15969">
        <v>1</v>
      </c>
      <c r="I15969">
        <v>381</v>
      </c>
      <c r="J15969">
        <v>0</v>
      </c>
      <c r="K15969" t="str">
        <f t="shared" ref="K15969:K15976" si="2861">"802"</f>
        <v>802</v>
      </c>
      <c r="L15969">
        <v>369.57</v>
      </c>
    </row>
    <row r="15970" spans="1:12" x14ac:dyDescent="0.25">
      <c r="A15970" t="str">
        <f t="shared" si="2853"/>
        <v>89301000</v>
      </c>
      <c r="B15970" t="str">
        <f t="shared" si="2847"/>
        <v>06539000</v>
      </c>
      <c r="C15970" t="str">
        <f t="shared" si="2859"/>
        <v>06539002</v>
      </c>
      <c r="D15970">
        <v>89301171</v>
      </c>
      <c r="E15970" t="str">
        <f t="shared" si="2858"/>
        <v>8052085756</v>
      </c>
      <c r="F15970" s="1">
        <v>45254</v>
      </c>
      <c r="G15970" t="str">
        <f t="shared" si="2860"/>
        <v>82097</v>
      </c>
      <c r="H15970">
        <v>1</v>
      </c>
      <c r="I15970">
        <v>381</v>
      </c>
      <c r="J15970">
        <v>0</v>
      </c>
      <c r="K15970" t="str">
        <f t="shared" si="2861"/>
        <v>802</v>
      </c>
      <c r="L15970">
        <v>369.57</v>
      </c>
    </row>
    <row r="15971" spans="1:12" x14ac:dyDescent="0.25">
      <c r="A15971" t="str">
        <f t="shared" si="2853"/>
        <v>89301000</v>
      </c>
      <c r="B15971" t="str">
        <f t="shared" si="2847"/>
        <v>06539000</v>
      </c>
      <c r="C15971" t="str">
        <f t="shared" si="2859"/>
        <v>06539002</v>
      </c>
      <c r="D15971">
        <v>89301171</v>
      </c>
      <c r="E15971" t="str">
        <f t="shared" si="2858"/>
        <v>8052085756</v>
      </c>
      <c r="F15971" s="1">
        <v>45254</v>
      </c>
      <c r="G15971" t="str">
        <f t="shared" si="2860"/>
        <v>82097</v>
      </c>
      <c r="H15971">
        <v>1</v>
      </c>
      <c r="I15971">
        <v>381</v>
      </c>
      <c r="J15971">
        <v>0</v>
      </c>
      <c r="K15971" t="str">
        <f t="shared" si="2861"/>
        <v>802</v>
      </c>
      <c r="L15971">
        <v>369.57</v>
      </c>
    </row>
    <row r="15972" spans="1:12" x14ac:dyDescent="0.25">
      <c r="A15972" t="str">
        <f t="shared" si="2853"/>
        <v>89301000</v>
      </c>
      <c r="B15972" t="str">
        <f t="shared" si="2847"/>
        <v>06539000</v>
      </c>
      <c r="C15972" t="str">
        <f t="shared" si="2859"/>
        <v>06539002</v>
      </c>
      <c r="D15972">
        <v>89301171</v>
      </c>
      <c r="E15972" t="str">
        <f t="shared" si="2858"/>
        <v>8052085756</v>
      </c>
      <c r="F15972" s="1">
        <v>45254</v>
      </c>
      <c r="G15972" t="str">
        <f t="shared" si="2860"/>
        <v>82097</v>
      </c>
      <c r="H15972">
        <v>1</v>
      </c>
      <c r="I15972">
        <v>381</v>
      </c>
      <c r="J15972">
        <v>0</v>
      </c>
      <c r="K15972" t="str">
        <f t="shared" si="2861"/>
        <v>802</v>
      </c>
      <c r="L15972">
        <v>369.57</v>
      </c>
    </row>
    <row r="15973" spans="1:12" x14ac:dyDescent="0.25">
      <c r="A15973" t="str">
        <f t="shared" si="2853"/>
        <v>89301000</v>
      </c>
      <c r="B15973" t="str">
        <f t="shared" si="2847"/>
        <v>06539000</v>
      </c>
      <c r="C15973" t="str">
        <f t="shared" si="2859"/>
        <v>06539002</v>
      </c>
      <c r="D15973">
        <v>89301171</v>
      </c>
      <c r="E15973" t="str">
        <f t="shared" si="2858"/>
        <v>8052085756</v>
      </c>
      <c r="F15973" s="1">
        <v>45254</v>
      </c>
      <c r="G15973" t="str">
        <f t="shared" si="2860"/>
        <v>82097</v>
      </c>
      <c r="H15973">
        <v>1</v>
      </c>
      <c r="I15973">
        <v>381</v>
      </c>
      <c r="J15973">
        <v>0</v>
      </c>
      <c r="K15973" t="str">
        <f t="shared" si="2861"/>
        <v>802</v>
      </c>
      <c r="L15973">
        <v>369.57</v>
      </c>
    </row>
    <row r="15974" spans="1:12" x14ac:dyDescent="0.25">
      <c r="A15974" t="str">
        <f t="shared" si="2853"/>
        <v>89301000</v>
      </c>
      <c r="B15974" t="str">
        <f t="shared" si="2847"/>
        <v>06539000</v>
      </c>
      <c r="C15974" t="str">
        <f t="shared" si="2859"/>
        <v>06539002</v>
      </c>
      <c r="D15974">
        <v>89301171</v>
      </c>
      <c r="E15974" t="str">
        <f t="shared" si="2858"/>
        <v>8052085756</v>
      </c>
      <c r="F15974" s="1">
        <v>45254</v>
      </c>
      <c r="G15974" t="str">
        <f t="shared" si="2860"/>
        <v>82097</v>
      </c>
      <c r="H15974">
        <v>1</v>
      </c>
      <c r="I15974">
        <v>381</v>
      </c>
      <c r="J15974">
        <v>0</v>
      </c>
      <c r="K15974" t="str">
        <f t="shared" si="2861"/>
        <v>802</v>
      </c>
      <c r="L15974">
        <v>369.57</v>
      </c>
    </row>
    <row r="15975" spans="1:12" x14ac:dyDescent="0.25">
      <c r="A15975" t="str">
        <f t="shared" si="2853"/>
        <v>89301000</v>
      </c>
      <c r="B15975" t="str">
        <f t="shared" si="2847"/>
        <v>06539000</v>
      </c>
      <c r="C15975" t="str">
        <f t="shared" si="2859"/>
        <v>06539002</v>
      </c>
      <c r="D15975">
        <v>89301171</v>
      </c>
      <c r="E15975" t="str">
        <f t="shared" si="2858"/>
        <v>8052085756</v>
      </c>
      <c r="F15975" s="1">
        <v>45254</v>
      </c>
      <c r="G15975" t="str">
        <f t="shared" si="2860"/>
        <v>82097</v>
      </c>
      <c r="H15975">
        <v>1</v>
      </c>
      <c r="I15975">
        <v>381</v>
      </c>
      <c r="J15975">
        <v>0</v>
      </c>
      <c r="K15975" t="str">
        <f t="shared" si="2861"/>
        <v>802</v>
      </c>
      <c r="L15975">
        <v>369.57</v>
      </c>
    </row>
    <row r="15976" spans="1:12" x14ac:dyDescent="0.25">
      <c r="A15976" t="str">
        <f t="shared" si="2853"/>
        <v>89301000</v>
      </c>
      <c r="B15976" t="str">
        <f t="shared" si="2847"/>
        <v>06539000</v>
      </c>
      <c r="C15976" t="str">
        <f t="shared" si="2859"/>
        <v>06539002</v>
      </c>
      <c r="D15976">
        <v>89301171</v>
      </c>
      <c r="E15976" t="str">
        <f t="shared" si="2858"/>
        <v>8052085756</v>
      </c>
      <c r="F15976" s="1">
        <v>45254</v>
      </c>
      <c r="G15976" t="str">
        <f t="shared" si="2860"/>
        <v>82097</v>
      </c>
      <c r="H15976">
        <v>1</v>
      </c>
      <c r="I15976">
        <v>381</v>
      </c>
      <c r="J15976">
        <v>0</v>
      </c>
      <c r="K15976" t="str">
        <f t="shared" si="2861"/>
        <v>802</v>
      </c>
      <c r="L15976">
        <v>369.57</v>
      </c>
    </row>
    <row r="15977" spans="1:12" x14ac:dyDescent="0.25">
      <c r="A15977" t="str">
        <f t="shared" si="2853"/>
        <v>89301000</v>
      </c>
      <c r="B15977" t="str">
        <f t="shared" si="2847"/>
        <v>06539000</v>
      </c>
      <c r="C15977" t="str">
        <f t="shared" ref="C15977:C16021" si="2862">"06539003"</f>
        <v>06539003</v>
      </c>
      <c r="D15977">
        <v>89301171</v>
      </c>
      <c r="E15977" t="str">
        <f t="shared" si="2858"/>
        <v>8052085756</v>
      </c>
      <c r="F15977" s="1">
        <v>45259</v>
      </c>
      <c r="G15977" t="str">
        <f t="shared" ref="G15977:G15986" si="2863">"91413"</f>
        <v>91413</v>
      </c>
      <c r="H15977">
        <v>1</v>
      </c>
      <c r="I15977">
        <v>868</v>
      </c>
      <c r="J15977">
        <v>0</v>
      </c>
      <c r="K15977" t="str">
        <f t="shared" ref="K15977:K16021" si="2864">"813"</f>
        <v>813</v>
      </c>
      <c r="L15977">
        <v>729.12</v>
      </c>
    </row>
    <row r="15978" spans="1:12" x14ac:dyDescent="0.25">
      <c r="A15978" t="str">
        <f t="shared" si="2853"/>
        <v>89301000</v>
      </c>
      <c r="B15978" t="str">
        <f t="shared" si="2847"/>
        <v>06539000</v>
      </c>
      <c r="C15978" t="str">
        <f t="shared" si="2862"/>
        <v>06539003</v>
      </c>
      <c r="D15978">
        <v>89301171</v>
      </c>
      <c r="E15978" t="str">
        <f t="shared" si="2858"/>
        <v>8052085756</v>
      </c>
      <c r="F15978" s="1">
        <v>45259</v>
      </c>
      <c r="G15978" t="str">
        <f t="shared" si="2863"/>
        <v>91413</v>
      </c>
      <c r="H15978">
        <v>1</v>
      </c>
      <c r="I15978">
        <v>868</v>
      </c>
      <c r="J15978">
        <v>0</v>
      </c>
      <c r="K15978" t="str">
        <f t="shared" si="2864"/>
        <v>813</v>
      </c>
      <c r="L15978">
        <v>729.12</v>
      </c>
    </row>
    <row r="15979" spans="1:12" x14ac:dyDescent="0.25">
      <c r="A15979" t="str">
        <f t="shared" si="2853"/>
        <v>89301000</v>
      </c>
      <c r="B15979" t="str">
        <f t="shared" ref="B15979:B16025" si="2865">"06539000"</f>
        <v>06539000</v>
      </c>
      <c r="C15979" t="str">
        <f t="shared" si="2862"/>
        <v>06539003</v>
      </c>
      <c r="D15979">
        <v>89301171</v>
      </c>
      <c r="E15979" t="str">
        <f t="shared" si="2858"/>
        <v>8052085756</v>
      </c>
      <c r="F15979" s="1">
        <v>45281</v>
      </c>
      <c r="G15979" t="str">
        <f t="shared" si="2863"/>
        <v>91413</v>
      </c>
      <c r="H15979">
        <v>1</v>
      </c>
      <c r="I15979">
        <v>868</v>
      </c>
      <c r="J15979">
        <v>0</v>
      </c>
      <c r="K15979" t="str">
        <f t="shared" si="2864"/>
        <v>813</v>
      </c>
      <c r="L15979">
        <v>729.12</v>
      </c>
    </row>
    <row r="15980" spans="1:12" x14ac:dyDescent="0.25">
      <c r="A15980" t="str">
        <f t="shared" si="2853"/>
        <v>89301000</v>
      </c>
      <c r="B15980" t="str">
        <f t="shared" si="2865"/>
        <v>06539000</v>
      </c>
      <c r="C15980" t="str">
        <f t="shared" si="2862"/>
        <v>06539003</v>
      </c>
      <c r="D15980">
        <v>89301171</v>
      </c>
      <c r="E15980" t="str">
        <f t="shared" si="2858"/>
        <v>8052085756</v>
      </c>
      <c r="F15980" s="1">
        <v>45281</v>
      </c>
      <c r="G15980" t="str">
        <f t="shared" si="2863"/>
        <v>91413</v>
      </c>
      <c r="H15980">
        <v>1</v>
      </c>
      <c r="I15980">
        <v>868</v>
      </c>
      <c r="J15980">
        <v>0</v>
      </c>
      <c r="K15980" t="str">
        <f t="shared" si="2864"/>
        <v>813</v>
      </c>
      <c r="L15980">
        <v>729.12</v>
      </c>
    </row>
    <row r="15981" spans="1:12" x14ac:dyDescent="0.25">
      <c r="A15981" t="str">
        <f t="shared" si="2853"/>
        <v>89301000</v>
      </c>
      <c r="B15981" t="str">
        <f t="shared" si="2865"/>
        <v>06539000</v>
      </c>
      <c r="C15981" t="str">
        <f t="shared" si="2862"/>
        <v>06539003</v>
      </c>
      <c r="D15981">
        <v>89301171</v>
      </c>
      <c r="E15981" t="str">
        <f t="shared" si="2858"/>
        <v>8052085756</v>
      </c>
      <c r="F15981" s="1">
        <v>45275</v>
      </c>
      <c r="G15981" t="str">
        <f t="shared" si="2863"/>
        <v>91413</v>
      </c>
      <c r="H15981">
        <v>1</v>
      </c>
      <c r="I15981">
        <v>868</v>
      </c>
      <c r="J15981">
        <v>0</v>
      </c>
      <c r="K15981" t="str">
        <f t="shared" si="2864"/>
        <v>813</v>
      </c>
      <c r="L15981">
        <v>729.12</v>
      </c>
    </row>
    <row r="15982" spans="1:12" x14ac:dyDescent="0.25">
      <c r="A15982" t="str">
        <f t="shared" si="2853"/>
        <v>89301000</v>
      </c>
      <c r="B15982" t="str">
        <f t="shared" si="2865"/>
        <v>06539000</v>
      </c>
      <c r="C15982" t="str">
        <f t="shared" si="2862"/>
        <v>06539003</v>
      </c>
      <c r="D15982">
        <v>89301171</v>
      </c>
      <c r="E15982" t="str">
        <f t="shared" si="2858"/>
        <v>8052085756</v>
      </c>
      <c r="F15982" s="1">
        <v>45275</v>
      </c>
      <c r="G15982" t="str">
        <f t="shared" si="2863"/>
        <v>91413</v>
      </c>
      <c r="H15982">
        <v>1</v>
      </c>
      <c r="I15982">
        <v>868</v>
      </c>
      <c r="J15982">
        <v>0</v>
      </c>
      <c r="K15982" t="str">
        <f t="shared" si="2864"/>
        <v>813</v>
      </c>
      <c r="L15982">
        <v>729.12</v>
      </c>
    </row>
    <row r="15983" spans="1:12" x14ac:dyDescent="0.25">
      <c r="A15983" t="str">
        <f t="shared" si="2853"/>
        <v>89301000</v>
      </c>
      <c r="B15983" t="str">
        <f t="shared" si="2865"/>
        <v>06539000</v>
      </c>
      <c r="C15983" t="str">
        <f t="shared" si="2862"/>
        <v>06539003</v>
      </c>
      <c r="D15983">
        <v>89301171</v>
      </c>
      <c r="E15983" t="str">
        <f t="shared" si="2858"/>
        <v>8052085756</v>
      </c>
      <c r="F15983" s="1">
        <v>45281</v>
      </c>
      <c r="G15983" t="str">
        <f t="shared" si="2863"/>
        <v>91413</v>
      </c>
      <c r="H15983">
        <v>1</v>
      </c>
      <c r="I15983">
        <v>868</v>
      </c>
      <c r="J15983">
        <v>0</v>
      </c>
      <c r="K15983" t="str">
        <f t="shared" si="2864"/>
        <v>813</v>
      </c>
      <c r="L15983">
        <v>729.12</v>
      </c>
    </row>
    <row r="15984" spans="1:12" x14ac:dyDescent="0.25">
      <c r="A15984" t="str">
        <f t="shared" si="2853"/>
        <v>89301000</v>
      </c>
      <c r="B15984" t="str">
        <f t="shared" si="2865"/>
        <v>06539000</v>
      </c>
      <c r="C15984" t="str">
        <f t="shared" si="2862"/>
        <v>06539003</v>
      </c>
      <c r="D15984">
        <v>89301171</v>
      </c>
      <c r="E15984" t="str">
        <f t="shared" si="2858"/>
        <v>8052085756</v>
      </c>
      <c r="F15984" s="1">
        <v>45281</v>
      </c>
      <c r="G15984" t="str">
        <f t="shared" si="2863"/>
        <v>91413</v>
      </c>
      <c r="H15984">
        <v>1</v>
      </c>
      <c r="I15984">
        <v>868</v>
      </c>
      <c r="J15984">
        <v>0</v>
      </c>
      <c r="K15984" t="str">
        <f t="shared" si="2864"/>
        <v>813</v>
      </c>
      <c r="L15984">
        <v>729.12</v>
      </c>
    </row>
    <row r="15985" spans="1:12" x14ac:dyDescent="0.25">
      <c r="A15985" t="str">
        <f t="shared" si="2853"/>
        <v>89301000</v>
      </c>
      <c r="B15985" t="str">
        <f t="shared" si="2865"/>
        <v>06539000</v>
      </c>
      <c r="C15985" t="str">
        <f t="shared" si="2862"/>
        <v>06539003</v>
      </c>
      <c r="D15985">
        <v>89301171</v>
      </c>
      <c r="E15985" t="str">
        <f t="shared" si="2858"/>
        <v>8052085756</v>
      </c>
      <c r="F15985" s="1">
        <v>45281</v>
      </c>
      <c r="G15985" t="str">
        <f t="shared" si="2863"/>
        <v>91413</v>
      </c>
      <c r="H15985">
        <v>1</v>
      </c>
      <c r="I15985">
        <v>868</v>
      </c>
      <c r="J15985">
        <v>0</v>
      </c>
      <c r="K15985" t="str">
        <f t="shared" si="2864"/>
        <v>813</v>
      </c>
      <c r="L15985">
        <v>729.12</v>
      </c>
    </row>
    <row r="15986" spans="1:12" x14ac:dyDescent="0.25">
      <c r="A15986" t="str">
        <f t="shared" si="2853"/>
        <v>89301000</v>
      </c>
      <c r="B15986" t="str">
        <f t="shared" si="2865"/>
        <v>06539000</v>
      </c>
      <c r="C15986" t="str">
        <f t="shared" si="2862"/>
        <v>06539003</v>
      </c>
      <c r="D15986">
        <v>89301171</v>
      </c>
      <c r="E15986" t="str">
        <f t="shared" si="2858"/>
        <v>8052085756</v>
      </c>
      <c r="F15986" s="1">
        <v>45281</v>
      </c>
      <c r="G15986" t="str">
        <f t="shared" si="2863"/>
        <v>91413</v>
      </c>
      <c r="H15986">
        <v>1</v>
      </c>
      <c r="I15986">
        <v>868</v>
      </c>
      <c r="J15986">
        <v>0</v>
      </c>
      <c r="K15986" t="str">
        <f t="shared" si="2864"/>
        <v>813</v>
      </c>
      <c r="L15986">
        <v>729.12</v>
      </c>
    </row>
    <row r="15987" spans="1:12" x14ac:dyDescent="0.25">
      <c r="A15987" t="str">
        <f t="shared" si="2853"/>
        <v>89301000</v>
      </c>
      <c r="B15987" t="str">
        <f t="shared" si="2865"/>
        <v>06539000</v>
      </c>
      <c r="C15987" t="str">
        <f t="shared" si="2862"/>
        <v>06539003</v>
      </c>
      <c r="D15987">
        <v>89301171</v>
      </c>
      <c r="E15987" t="str">
        <f t="shared" si="2858"/>
        <v>8052085756</v>
      </c>
      <c r="F15987" s="1">
        <v>45254</v>
      </c>
      <c r="G15987" t="str">
        <f t="shared" ref="G15987:G15993" si="2866">"91197"</f>
        <v>91197</v>
      </c>
      <c r="H15987">
        <v>1</v>
      </c>
      <c r="I15987">
        <v>1048</v>
      </c>
      <c r="J15987">
        <v>0</v>
      </c>
      <c r="K15987" t="str">
        <f t="shared" si="2864"/>
        <v>813</v>
      </c>
      <c r="L15987">
        <v>880.32</v>
      </c>
    </row>
    <row r="15988" spans="1:12" x14ac:dyDescent="0.25">
      <c r="A15988" t="str">
        <f t="shared" si="2853"/>
        <v>89301000</v>
      </c>
      <c r="B15988" t="str">
        <f t="shared" si="2865"/>
        <v>06539000</v>
      </c>
      <c r="C15988" t="str">
        <f t="shared" si="2862"/>
        <v>06539003</v>
      </c>
      <c r="D15988">
        <v>89301171</v>
      </c>
      <c r="E15988" t="str">
        <f t="shared" si="2858"/>
        <v>8052085756</v>
      </c>
      <c r="F15988" s="1">
        <v>45257</v>
      </c>
      <c r="G15988" t="str">
        <f t="shared" si="2866"/>
        <v>91197</v>
      </c>
      <c r="H15988">
        <v>1</v>
      </c>
      <c r="I15988">
        <v>1048</v>
      </c>
      <c r="J15988">
        <v>0</v>
      </c>
      <c r="K15988" t="str">
        <f t="shared" si="2864"/>
        <v>813</v>
      </c>
      <c r="L15988">
        <v>880.32</v>
      </c>
    </row>
    <row r="15989" spans="1:12" x14ac:dyDescent="0.25">
      <c r="A15989" t="str">
        <f t="shared" si="2853"/>
        <v>89301000</v>
      </c>
      <c r="B15989" t="str">
        <f t="shared" si="2865"/>
        <v>06539000</v>
      </c>
      <c r="C15989" t="str">
        <f t="shared" si="2862"/>
        <v>06539003</v>
      </c>
      <c r="D15989">
        <v>89301171</v>
      </c>
      <c r="E15989" t="str">
        <f t="shared" si="2858"/>
        <v>8052085756</v>
      </c>
      <c r="F15989" s="1">
        <v>45257</v>
      </c>
      <c r="G15989" t="str">
        <f t="shared" si="2866"/>
        <v>91197</v>
      </c>
      <c r="H15989">
        <v>1</v>
      </c>
      <c r="I15989">
        <v>1048</v>
      </c>
      <c r="J15989">
        <v>0</v>
      </c>
      <c r="K15989" t="str">
        <f t="shared" si="2864"/>
        <v>813</v>
      </c>
      <c r="L15989">
        <v>880.32</v>
      </c>
    </row>
    <row r="15990" spans="1:12" x14ac:dyDescent="0.25">
      <c r="A15990" t="str">
        <f t="shared" si="2853"/>
        <v>89301000</v>
      </c>
      <c r="B15990" t="str">
        <f t="shared" si="2865"/>
        <v>06539000</v>
      </c>
      <c r="C15990" t="str">
        <f t="shared" si="2862"/>
        <v>06539003</v>
      </c>
      <c r="D15990">
        <v>89301171</v>
      </c>
      <c r="E15990" t="str">
        <f t="shared" si="2858"/>
        <v>8052085756</v>
      </c>
      <c r="F15990" s="1">
        <v>45256</v>
      </c>
      <c r="G15990" t="str">
        <f t="shared" si="2866"/>
        <v>91197</v>
      </c>
      <c r="H15990">
        <v>1</v>
      </c>
      <c r="I15990">
        <v>1048</v>
      </c>
      <c r="J15990">
        <v>0</v>
      </c>
      <c r="K15990" t="str">
        <f t="shared" si="2864"/>
        <v>813</v>
      </c>
      <c r="L15990">
        <v>880.32</v>
      </c>
    </row>
    <row r="15991" spans="1:12" x14ac:dyDescent="0.25">
      <c r="A15991" t="str">
        <f t="shared" si="2853"/>
        <v>89301000</v>
      </c>
      <c r="B15991" t="str">
        <f t="shared" si="2865"/>
        <v>06539000</v>
      </c>
      <c r="C15991" t="str">
        <f t="shared" si="2862"/>
        <v>06539003</v>
      </c>
      <c r="D15991">
        <v>89301171</v>
      </c>
      <c r="E15991" t="str">
        <f t="shared" si="2858"/>
        <v>8052085756</v>
      </c>
      <c r="F15991" s="1">
        <v>45256</v>
      </c>
      <c r="G15991" t="str">
        <f t="shared" si="2866"/>
        <v>91197</v>
      </c>
      <c r="H15991">
        <v>1</v>
      </c>
      <c r="I15991">
        <v>1048</v>
      </c>
      <c r="J15991">
        <v>0</v>
      </c>
      <c r="K15991" t="str">
        <f t="shared" si="2864"/>
        <v>813</v>
      </c>
      <c r="L15991">
        <v>880.32</v>
      </c>
    </row>
    <row r="15992" spans="1:12" x14ac:dyDescent="0.25">
      <c r="A15992" t="str">
        <f t="shared" si="2853"/>
        <v>89301000</v>
      </c>
      <c r="B15992" t="str">
        <f t="shared" si="2865"/>
        <v>06539000</v>
      </c>
      <c r="C15992" t="str">
        <f t="shared" si="2862"/>
        <v>06539003</v>
      </c>
      <c r="D15992">
        <v>89301171</v>
      </c>
      <c r="E15992" t="str">
        <f t="shared" si="2858"/>
        <v>8052085756</v>
      </c>
      <c r="F15992" s="1">
        <v>45255</v>
      </c>
      <c r="G15992" t="str">
        <f t="shared" si="2866"/>
        <v>91197</v>
      </c>
      <c r="H15992">
        <v>1</v>
      </c>
      <c r="I15992">
        <v>1048</v>
      </c>
      <c r="J15992">
        <v>0</v>
      </c>
      <c r="K15992" t="str">
        <f t="shared" si="2864"/>
        <v>813</v>
      </c>
      <c r="L15992">
        <v>880.32</v>
      </c>
    </row>
    <row r="15993" spans="1:12" x14ac:dyDescent="0.25">
      <c r="A15993" t="str">
        <f t="shared" si="2853"/>
        <v>89301000</v>
      </c>
      <c r="B15993" t="str">
        <f t="shared" si="2865"/>
        <v>06539000</v>
      </c>
      <c r="C15993" t="str">
        <f t="shared" si="2862"/>
        <v>06539003</v>
      </c>
      <c r="D15993">
        <v>89301171</v>
      </c>
      <c r="E15993" t="str">
        <f t="shared" si="2858"/>
        <v>8052085756</v>
      </c>
      <c r="F15993" s="1">
        <v>45255</v>
      </c>
      <c r="G15993" t="str">
        <f t="shared" si="2866"/>
        <v>91197</v>
      </c>
      <c r="H15993">
        <v>1</v>
      </c>
      <c r="I15993">
        <v>1048</v>
      </c>
      <c r="J15993">
        <v>0</v>
      </c>
      <c r="K15993" t="str">
        <f t="shared" si="2864"/>
        <v>813</v>
      </c>
      <c r="L15993">
        <v>880.32</v>
      </c>
    </row>
    <row r="15994" spans="1:12" x14ac:dyDescent="0.25">
      <c r="A15994" t="str">
        <f t="shared" si="2853"/>
        <v>89301000</v>
      </c>
      <c r="B15994" t="str">
        <f t="shared" si="2865"/>
        <v>06539000</v>
      </c>
      <c r="C15994" t="str">
        <f t="shared" si="2862"/>
        <v>06539003</v>
      </c>
      <c r="D15994">
        <v>89301171</v>
      </c>
      <c r="E15994" t="str">
        <f t="shared" si="2858"/>
        <v>8052085756</v>
      </c>
      <c r="F15994" s="1">
        <v>45259</v>
      </c>
      <c r="G15994" t="str">
        <f>"91329"</f>
        <v>91329</v>
      </c>
      <c r="H15994">
        <v>2</v>
      </c>
      <c r="I15994">
        <v>436</v>
      </c>
      <c r="J15994">
        <v>0</v>
      </c>
      <c r="K15994" t="str">
        <f t="shared" si="2864"/>
        <v>813</v>
      </c>
      <c r="L15994">
        <v>366.24</v>
      </c>
    </row>
    <row r="15995" spans="1:12" x14ac:dyDescent="0.25">
      <c r="A15995" t="str">
        <f t="shared" si="2853"/>
        <v>89301000</v>
      </c>
      <c r="B15995" t="str">
        <f t="shared" si="2865"/>
        <v>06539000</v>
      </c>
      <c r="C15995" t="str">
        <f t="shared" si="2862"/>
        <v>06539003</v>
      </c>
      <c r="D15995">
        <v>89301171</v>
      </c>
      <c r="E15995" t="str">
        <f t="shared" si="2858"/>
        <v>8052085756</v>
      </c>
      <c r="F15995" s="1">
        <v>45259</v>
      </c>
      <c r="G15995" t="str">
        <f>"91329"</f>
        <v>91329</v>
      </c>
      <c r="H15995">
        <v>2</v>
      </c>
      <c r="I15995">
        <v>436</v>
      </c>
      <c r="J15995">
        <v>0</v>
      </c>
      <c r="K15995" t="str">
        <f t="shared" si="2864"/>
        <v>813</v>
      </c>
      <c r="L15995">
        <v>366.24</v>
      </c>
    </row>
    <row r="15996" spans="1:12" x14ac:dyDescent="0.25">
      <c r="A15996" t="str">
        <f t="shared" si="2853"/>
        <v>89301000</v>
      </c>
      <c r="B15996" t="str">
        <f t="shared" si="2865"/>
        <v>06539000</v>
      </c>
      <c r="C15996" t="str">
        <f t="shared" si="2862"/>
        <v>06539003</v>
      </c>
      <c r="D15996">
        <v>89301171</v>
      </c>
      <c r="E15996" t="str">
        <f t="shared" si="2858"/>
        <v>8052085756</v>
      </c>
      <c r="F15996" s="1">
        <v>45259</v>
      </c>
      <c r="G15996" t="str">
        <f>"91329"</f>
        <v>91329</v>
      </c>
      <c r="H15996">
        <v>2</v>
      </c>
      <c r="I15996">
        <v>436</v>
      </c>
      <c r="J15996">
        <v>0</v>
      </c>
      <c r="K15996" t="str">
        <f t="shared" si="2864"/>
        <v>813</v>
      </c>
      <c r="L15996">
        <v>366.24</v>
      </c>
    </row>
    <row r="15997" spans="1:12" x14ac:dyDescent="0.25">
      <c r="A15997" t="str">
        <f t="shared" si="2853"/>
        <v>89301000</v>
      </c>
      <c r="B15997" t="str">
        <f t="shared" si="2865"/>
        <v>06539000</v>
      </c>
      <c r="C15997" t="str">
        <f t="shared" si="2862"/>
        <v>06539003</v>
      </c>
      <c r="D15997">
        <v>89301171</v>
      </c>
      <c r="E15997" t="str">
        <f t="shared" si="2858"/>
        <v>8052085756</v>
      </c>
      <c r="F15997" s="1">
        <v>45259</v>
      </c>
      <c r="G15997" t="str">
        <f>"91329"</f>
        <v>91329</v>
      </c>
      <c r="H15997">
        <v>2</v>
      </c>
      <c r="I15997">
        <v>436</v>
      </c>
      <c r="J15997">
        <v>0</v>
      </c>
      <c r="K15997" t="str">
        <f t="shared" si="2864"/>
        <v>813</v>
      </c>
      <c r="L15997">
        <v>366.24</v>
      </c>
    </row>
    <row r="15998" spans="1:12" x14ac:dyDescent="0.25">
      <c r="A15998" t="str">
        <f t="shared" si="2853"/>
        <v>89301000</v>
      </c>
      <c r="B15998" t="str">
        <f t="shared" si="2865"/>
        <v>06539000</v>
      </c>
      <c r="C15998" t="str">
        <f t="shared" si="2862"/>
        <v>06539003</v>
      </c>
      <c r="D15998">
        <v>89301171</v>
      </c>
      <c r="E15998" t="str">
        <f t="shared" si="2858"/>
        <v>8052085756</v>
      </c>
      <c r="F15998" s="1">
        <v>45257</v>
      </c>
      <c r="G15998" t="str">
        <f>"91129"</f>
        <v>91129</v>
      </c>
      <c r="H15998">
        <v>1</v>
      </c>
      <c r="I15998">
        <v>175</v>
      </c>
      <c r="J15998">
        <v>0</v>
      </c>
      <c r="K15998" t="str">
        <f t="shared" si="2864"/>
        <v>813</v>
      </c>
      <c r="L15998">
        <v>147</v>
      </c>
    </row>
    <row r="15999" spans="1:12" x14ac:dyDescent="0.25">
      <c r="A15999" t="str">
        <f t="shared" si="2853"/>
        <v>89301000</v>
      </c>
      <c r="B15999" t="str">
        <f t="shared" si="2865"/>
        <v>06539000</v>
      </c>
      <c r="C15999" t="str">
        <f t="shared" si="2862"/>
        <v>06539003</v>
      </c>
      <c r="D15999">
        <v>89301171</v>
      </c>
      <c r="E15999" t="str">
        <f t="shared" si="2858"/>
        <v>8052085756</v>
      </c>
      <c r="F15999" s="1">
        <v>45257</v>
      </c>
      <c r="G15999" t="str">
        <f>"91131"</f>
        <v>91131</v>
      </c>
      <c r="H15999">
        <v>1</v>
      </c>
      <c r="I15999">
        <v>171</v>
      </c>
      <c r="J15999">
        <v>0</v>
      </c>
      <c r="K15999" t="str">
        <f t="shared" si="2864"/>
        <v>813</v>
      </c>
      <c r="L15999">
        <v>143.63999999999999</v>
      </c>
    </row>
    <row r="16000" spans="1:12" x14ac:dyDescent="0.25">
      <c r="A16000" t="str">
        <f t="shared" si="2853"/>
        <v>89301000</v>
      </c>
      <c r="B16000" t="str">
        <f t="shared" si="2865"/>
        <v>06539000</v>
      </c>
      <c r="C16000" t="str">
        <f t="shared" si="2862"/>
        <v>06539003</v>
      </c>
      <c r="D16000">
        <v>89301171</v>
      </c>
      <c r="E16000" t="str">
        <f t="shared" si="2858"/>
        <v>8052085756</v>
      </c>
      <c r="F16000" s="1">
        <v>45257</v>
      </c>
      <c r="G16000" t="str">
        <f>"91133"</f>
        <v>91133</v>
      </c>
      <c r="H16000">
        <v>1</v>
      </c>
      <c r="I16000">
        <v>177</v>
      </c>
      <c r="J16000">
        <v>0</v>
      </c>
      <c r="K16000" t="str">
        <f t="shared" si="2864"/>
        <v>813</v>
      </c>
      <c r="L16000">
        <v>148.68</v>
      </c>
    </row>
    <row r="16001" spans="1:12" x14ac:dyDescent="0.25">
      <c r="A16001" t="str">
        <f t="shared" si="2853"/>
        <v>89301000</v>
      </c>
      <c r="B16001" t="str">
        <f t="shared" si="2865"/>
        <v>06539000</v>
      </c>
      <c r="C16001" t="str">
        <f t="shared" si="2862"/>
        <v>06539003</v>
      </c>
      <c r="D16001">
        <v>89301171</v>
      </c>
      <c r="E16001" t="str">
        <f t="shared" si="2858"/>
        <v>8052085756</v>
      </c>
      <c r="F16001" s="1">
        <v>45257</v>
      </c>
      <c r="G16001" t="str">
        <f>"91171"</f>
        <v>91171</v>
      </c>
      <c r="H16001">
        <v>1</v>
      </c>
      <c r="I16001">
        <v>362</v>
      </c>
      <c r="J16001">
        <v>0</v>
      </c>
      <c r="K16001" t="str">
        <f t="shared" si="2864"/>
        <v>813</v>
      </c>
      <c r="L16001">
        <v>304.08</v>
      </c>
    </row>
    <row r="16002" spans="1:12" x14ac:dyDescent="0.25">
      <c r="A16002" t="str">
        <f t="shared" ref="A16002:A16065" si="2867">"89301000"</f>
        <v>89301000</v>
      </c>
      <c r="B16002" t="str">
        <f t="shared" si="2865"/>
        <v>06539000</v>
      </c>
      <c r="C16002" t="str">
        <f t="shared" si="2862"/>
        <v>06539003</v>
      </c>
      <c r="D16002">
        <v>89301171</v>
      </c>
      <c r="E16002" t="str">
        <f t="shared" si="2858"/>
        <v>8052085756</v>
      </c>
      <c r="F16002" s="1">
        <v>45254</v>
      </c>
      <c r="G16002" t="str">
        <f>"91173"</f>
        <v>91173</v>
      </c>
      <c r="H16002">
        <v>1</v>
      </c>
      <c r="I16002">
        <v>337</v>
      </c>
      <c r="J16002">
        <v>0</v>
      </c>
      <c r="K16002" t="str">
        <f t="shared" si="2864"/>
        <v>813</v>
      </c>
      <c r="L16002">
        <v>283.08</v>
      </c>
    </row>
    <row r="16003" spans="1:12" x14ac:dyDescent="0.25">
      <c r="A16003" t="str">
        <f t="shared" si="2867"/>
        <v>89301000</v>
      </c>
      <c r="B16003" t="str">
        <f t="shared" si="2865"/>
        <v>06539000</v>
      </c>
      <c r="C16003" t="str">
        <f t="shared" si="2862"/>
        <v>06539003</v>
      </c>
      <c r="D16003">
        <v>89301171</v>
      </c>
      <c r="E16003" t="str">
        <f t="shared" si="2858"/>
        <v>8052085756</v>
      </c>
      <c r="F16003" s="1">
        <v>45257</v>
      </c>
      <c r="G16003" t="str">
        <f>"91175"</f>
        <v>91175</v>
      </c>
      <c r="H16003">
        <v>1</v>
      </c>
      <c r="I16003">
        <v>362</v>
      </c>
      <c r="J16003">
        <v>0</v>
      </c>
      <c r="K16003" t="str">
        <f t="shared" si="2864"/>
        <v>813</v>
      </c>
      <c r="L16003">
        <v>304.08</v>
      </c>
    </row>
    <row r="16004" spans="1:12" x14ac:dyDescent="0.25">
      <c r="A16004" t="str">
        <f t="shared" si="2867"/>
        <v>89301000</v>
      </c>
      <c r="B16004" t="str">
        <f t="shared" si="2865"/>
        <v>06539000</v>
      </c>
      <c r="C16004" t="str">
        <f t="shared" si="2862"/>
        <v>06539003</v>
      </c>
      <c r="D16004">
        <v>89301171</v>
      </c>
      <c r="E16004" t="str">
        <f t="shared" si="2858"/>
        <v>8052085756</v>
      </c>
      <c r="F16004" s="1">
        <v>45255</v>
      </c>
      <c r="G16004" t="str">
        <f>"91167"</f>
        <v>91167</v>
      </c>
      <c r="H16004">
        <v>1</v>
      </c>
      <c r="I16004">
        <v>426</v>
      </c>
      <c r="J16004">
        <v>0</v>
      </c>
      <c r="K16004" t="str">
        <f t="shared" si="2864"/>
        <v>813</v>
      </c>
      <c r="L16004">
        <v>357.84</v>
      </c>
    </row>
    <row r="16005" spans="1:12" x14ac:dyDescent="0.25">
      <c r="A16005" t="str">
        <f t="shared" si="2867"/>
        <v>89301000</v>
      </c>
      <c r="B16005" t="str">
        <f t="shared" si="2865"/>
        <v>06539000</v>
      </c>
      <c r="C16005" t="str">
        <f t="shared" si="2862"/>
        <v>06539003</v>
      </c>
      <c r="D16005">
        <v>89301171</v>
      </c>
      <c r="E16005" t="str">
        <f t="shared" si="2858"/>
        <v>8052085756</v>
      </c>
      <c r="F16005" s="1">
        <v>45255</v>
      </c>
      <c r="G16005" t="str">
        <f>"91169"</f>
        <v>91169</v>
      </c>
      <c r="H16005">
        <v>1</v>
      </c>
      <c r="I16005">
        <v>426</v>
      </c>
      <c r="J16005">
        <v>0</v>
      </c>
      <c r="K16005" t="str">
        <f t="shared" si="2864"/>
        <v>813</v>
      </c>
      <c r="L16005">
        <v>357.84</v>
      </c>
    </row>
    <row r="16006" spans="1:12" x14ac:dyDescent="0.25">
      <c r="A16006" t="str">
        <f t="shared" si="2867"/>
        <v>89301000</v>
      </c>
      <c r="B16006" t="str">
        <f t="shared" si="2865"/>
        <v>06539000</v>
      </c>
      <c r="C16006" t="str">
        <f t="shared" si="2862"/>
        <v>06539003</v>
      </c>
      <c r="D16006">
        <v>89301171</v>
      </c>
      <c r="E16006" t="str">
        <f t="shared" si="2858"/>
        <v>8052085756</v>
      </c>
      <c r="F16006" s="1">
        <v>45254</v>
      </c>
      <c r="G16006" t="str">
        <f>"91167"</f>
        <v>91167</v>
      </c>
      <c r="H16006">
        <v>1</v>
      </c>
      <c r="I16006">
        <v>426</v>
      </c>
      <c r="J16006">
        <v>0</v>
      </c>
      <c r="K16006" t="str">
        <f t="shared" si="2864"/>
        <v>813</v>
      </c>
      <c r="L16006">
        <v>357.84</v>
      </c>
    </row>
    <row r="16007" spans="1:12" x14ac:dyDescent="0.25">
      <c r="A16007" t="str">
        <f t="shared" si="2867"/>
        <v>89301000</v>
      </c>
      <c r="B16007" t="str">
        <f t="shared" si="2865"/>
        <v>06539000</v>
      </c>
      <c r="C16007" t="str">
        <f t="shared" si="2862"/>
        <v>06539003</v>
      </c>
      <c r="D16007">
        <v>89301171</v>
      </c>
      <c r="E16007" t="str">
        <f t="shared" si="2858"/>
        <v>8052085756</v>
      </c>
      <c r="F16007" s="1">
        <v>45254</v>
      </c>
      <c r="G16007" t="str">
        <f>"91169"</f>
        <v>91169</v>
      </c>
      <c r="H16007">
        <v>1</v>
      </c>
      <c r="I16007">
        <v>426</v>
      </c>
      <c r="J16007">
        <v>0</v>
      </c>
      <c r="K16007" t="str">
        <f t="shared" si="2864"/>
        <v>813</v>
      </c>
      <c r="L16007">
        <v>357.84</v>
      </c>
    </row>
    <row r="16008" spans="1:12" x14ac:dyDescent="0.25">
      <c r="A16008" t="str">
        <f t="shared" si="2867"/>
        <v>89301000</v>
      </c>
      <c r="B16008" t="str">
        <f t="shared" si="2865"/>
        <v>06539000</v>
      </c>
      <c r="C16008" t="str">
        <f t="shared" si="2862"/>
        <v>06539003</v>
      </c>
      <c r="D16008">
        <v>89301171</v>
      </c>
      <c r="E16008" t="str">
        <f t="shared" si="2858"/>
        <v>8052085756</v>
      </c>
      <c r="F16008" s="1">
        <v>45259</v>
      </c>
      <c r="G16008" t="str">
        <f>"91475"</f>
        <v>91475</v>
      </c>
      <c r="H16008">
        <v>1</v>
      </c>
      <c r="I16008">
        <v>213</v>
      </c>
      <c r="J16008">
        <v>0</v>
      </c>
      <c r="K16008" t="str">
        <f t="shared" si="2864"/>
        <v>813</v>
      </c>
      <c r="L16008">
        <v>178.92</v>
      </c>
    </row>
    <row r="16009" spans="1:12" x14ac:dyDescent="0.25">
      <c r="A16009" t="str">
        <f t="shared" si="2867"/>
        <v>89301000</v>
      </c>
      <c r="B16009" t="str">
        <f t="shared" si="2865"/>
        <v>06539000</v>
      </c>
      <c r="C16009" t="str">
        <f t="shared" si="2862"/>
        <v>06539003</v>
      </c>
      <c r="D16009">
        <v>89301171</v>
      </c>
      <c r="E16009" t="str">
        <f t="shared" ref="E16009:E16016" si="2868">"6258290412"</f>
        <v>6258290412</v>
      </c>
      <c r="F16009" s="1">
        <v>45289</v>
      </c>
      <c r="G16009" t="str">
        <f t="shared" ref="G16009:G16016" si="2869">"91413"</f>
        <v>91413</v>
      </c>
      <c r="H16009">
        <v>1</v>
      </c>
      <c r="I16009">
        <v>868</v>
      </c>
      <c r="J16009">
        <v>0</v>
      </c>
      <c r="K16009" t="str">
        <f t="shared" si="2864"/>
        <v>813</v>
      </c>
      <c r="L16009">
        <v>729.12</v>
      </c>
    </row>
    <row r="16010" spans="1:12" x14ac:dyDescent="0.25">
      <c r="A16010" t="str">
        <f t="shared" si="2867"/>
        <v>89301000</v>
      </c>
      <c r="B16010" t="str">
        <f t="shared" si="2865"/>
        <v>06539000</v>
      </c>
      <c r="C16010" t="str">
        <f t="shared" si="2862"/>
        <v>06539003</v>
      </c>
      <c r="D16010">
        <v>89301171</v>
      </c>
      <c r="E16010" t="str">
        <f t="shared" si="2868"/>
        <v>6258290412</v>
      </c>
      <c r="F16010" s="1">
        <v>45289</v>
      </c>
      <c r="G16010" t="str">
        <f t="shared" si="2869"/>
        <v>91413</v>
      </c>
      <c r="H16010">
        <v>1</v>
      </c>
      <c r="I16010">
        <v>868</v>
      </c>
      <c r="J16010">
        <v>0</v>
      </c>
      <c r="K16010" t="str">
        <f t="shared" si="2864"/>
        <v>813</v>
      </c>
      <c r="L16010">
        <v>729.12</v>
      </c>
    </row>
    <row r="16011" spans="1:12" x14ac:dyDescent="0.25">
      <c r="A16011" t="str">
        <f t="shared" si="2867"/>
        <v>89301000</v>
      </c>
      <c r="B16011" t="str">
        <f t="shared" si="2865"/>
        <v>06539000</v>
      </c>
      <c r="C16011" t="str">
        <f t="shared" si="2862"/>
        <v>06539003</v>
      </c>
      <c r="D16011">
        <v>89301171</v>
      </c>
      <c r="E16011" t="str">
        <f t="shared" si="2868"/>
        <v>6258290412</v>
      </c>
      <c r="F16011" s="1">
        <v>45287</v>
      </c>
      <c r="G16011" t="str">
        <f t="shared" si="2869"/>
        <v>91413</v>
      </c>
      <c r="H16011">
        <v>1</v>
      </c>
      <c r="I16011">
        <v>868</v>
      </c>
      <c r="J16011">
        <v>0</v>
      </c>
      <c r="K16011" t="str">
        <f t="shared" si="2864"/>
        <v>813</v>
      </c>
      <c r="L16011">
        <v>729.12</v>
      </c>
    </row>
    <row r="16012" spans="1:12" x14ac:dyDescent="0.25">
      <c r="A16012" t="str">
        <f t="shared" si="2867"/>
        <v>89301000</v>
      </c>
      <c r="B16012" t="str">
        <f t="shared" si="2865"/>
        <v>06539000</v>
      </c>
      <c r="C16012" t="str">
        <f t="shared" si="2862"/>
        <v>06539003</v>
      </c>
      <c r="D16012">
        <v>89301171</v>
      </c>
      <c r="E16012" t="str">
        <f t="shared" si="2868"/>
        <v>6258290412</v>
      </c>
      <c r="F16012" s="1">
        <v>45287</v>
      </c>
      <c r="G16012" t="str">
        <f t="shared" si="2869"/>
        <v>91413</v>
      </c>
      <c r="H16012">
        <v>1</v>
      </c>
      <c r="I16012">
        <v>868</v>
      </c>
      <c r="J16012">
        <v>0</v>
      </c>
      <c r="K16012" t="str">
        <f t="shared" si="2864"/>
        <v>813</v>
      </c>
      <c r="L16012">
        <v>729.12</v>
      </c>
    </row>
    <row r="16013" spans="1:12" x14ac:dyDescent="0.25">
      <c r="A16013" t="str">
        <f t="shared" si="2867"/>
        <v>89301000</v>
      </c>
      <c r="B16013" t="str">
        <f t="shared" si="2865"/>
        <v>06539000</v>
      </c>
      <c r="C16013" t="str">
        <f t="shared" si="2862"/>
        <v>06539003</v>
      </c>
      <c r="D16013">
        <v>89301171</v>
      </c>
      <c r="E16013" t="str">
        <f t="shared" si="2868"/>
        <v>6258290412</v>
      </c>
      <c r="F16013" s="1">
        <v>45289</v>
      </c>
      <c r="G16013" t="str">
        <f t="shared" si="2869"/>
        <v>91413</v>
      </c>
      <c r="H16013">
        <v>1</v>
      </c>
      <c r="I16013">
        <v>868</v>
      </c>
      <c r="J16013">
        <v>0</v>
      </c>
      <c r="K16013" t="str">
        <f t="shared" si="2864"/>
        <v>813</v>
      </c>
      <c r="L16013">
        <v>729.12</v>
      </c>
    </row>
    <row r="16014" spans="1:12" x14ac:dyDescent="0.25">
      <c r="A16014" t="str">
        <f t="shared" si="2867"/>
        <v>89301000</v>
      </c>
      <c r="B16014" t="str">
        <f t="shared" si="2865"/>
        <v>06539000</v>
      </c>
      <c r="C16014" t="str">
        <f t="shared" si="2862"/>
        <v>06539003</v>
      </c>
      <c r="D16014">
        <v>89301171</v>
      </c>
      <c r="E16014" t="str">
        <f t="shared" si="2868"/>
        <v>6258290412</v>
      </c>
      <c r="F16014" s="1">
        <v>45289</v>
      </c>
      <c r="G16014" t="str">
        <f t="shared" si="2869"/>
        <v>91413</v>
      </c>
      <c r="H16014">
        <v>1</v>
      </c>
      <c r="I16014">
        <v>868</v>
      </c>
      <c r="J16014">
        <v>0</v>
      </c>
      <c r="K16014" t="str">
        <f t="shared" si="2864"/>
        <v>813</v>
      </c>
      <c r="L16014">
        <v>729.12</v>
      </c>
    </row>
    <row r="16015" spans="1:12" x14ac:dyDescent="0.25">
      <c r="A16015" t="str">
        <f t="shared" si="2867"/>
        <v>89301000</v>
      </c>
      <c r="B16015" t="str">
        <f t="shared" si="2865"/>
        <v>06539000</v>
      </c>
      <c r="C16015" t="str">
        <f t="shared" si="2862"/>
        <v>06539003</v>
      </c>
      <c r="D16015">
        <v>89301171</v>
      </c>
      <c r="E16015" t="str">
        <f t="shared" si="2868"/>
        <v>6258290412</v>
      </c>
      <c r="F16015" s="1">
        <v>45289</v>
      </c>
      <c r="G16015" t="str">
        <f t="shared" si="2869"/>
        <v>91413</v>
      </c>
      <c r="H16015">
        <v>1</v>
      </c>
      <c r="I16015">
        <v>868</v>
      </c>
      <c r="J16015">
        <v>0</v>
      </c>
      <c r="K16015" t="str">
        <f t="shared" si="2864"/>
        <v>813</v>
      </c>
      <c r="L16015">
        <v>729.12</v>
      </c>
    </row>
    <row r="16016" spans="1:12" x14ac:dyDescent="0.25">
      <c r="A16016" t="str">
        <f t="shared" si="2867"/>
        <v>89301000</v>
      </c>
      <c r="B16016" t="str">
        <f t="shared" si="2865"/>
        <v>06539000</v>
      </c>
      <c r="C16016" t="str">
        <f t="shared" si="2862"/>
        <v>06539003</v>
      </c>
      <c r="D16016">
        <v>89301171</v>
      </c>
      <c r="E16016" t="str">
        <f t="shared" si="2868"/>
        <v>6258290412</v>
      </c>
      <c r="F16016" s="1">
        <v>45289</v>
      </c>
      <c r="G16016" t="str">
        <f t="shared" si="2869"/>
        <v>91413</v>
      </c>
      <c r="H16016">
        <v>1</v>
      </c>
      <c r="I16016">
        <v>868</v>
      </c>
      <c r="J16016">
        <v>0</v>
      </c>
      <c r="K16016" t="str">
        <f t="shared" si="2864"/>
        <v>813</v>
      </c>
      <c r="L16016">
        <v>729.12</v>
      </c>
    </row>
    <row r="16017" spans="1:12" x14ac:dyDescent="0.25">
      <c r="A16017" t="str">
        <f t="shared" si="2867"/>
        <v>89301000</v>
      </c>
      <c r="B16017" t="str">
        <f t="shared" si="2865"/>
        <v>06539000</v>
      </c>
      <c r="C16017" t="str">
        <f t="shared" si="2862"/>
        <v>06539003</v>
      </c>
      <c r="D16017">
        <v>89301172</v>
      </c>
      <c r="E16017" t="str">
        <f>"7653204889"</f>
        <v>7653204889</v>
      </c>
      <c r="F16017" s="1">
        <v>45272</v>
      </c>
      <c r="G16017" t="str">
        <f>"91329"</f>
        <v>91329</v>
      </c>
      <c r="H16017">
        <v>2</v>
      </c>
      <c r="I16017">
        <v>436</v>
      </c>
      <c r="J16017">
        <v>0</v>
      </c>
      <c r="K16017" t="str">
        <f t="shared" si="2864"/>
        <v>813</v>
      </c>
      <c r="L16017">
        <v>366.24</v>
      </c>
    </row>
    <row r="16018" spans="1:12" x14ac:dyDescent="0.25">
      <c r="A16018" t="str">
        <f t="shared" si="2867"/>
        <v>89301000</v>
      </c>
      <c r="B16018" t="str">
        <f t="shared" si="2865"/>
        <v>06539000</v>
      </c>
      <c r="C16018" t="str">
        <f t="shared" si="2862"/>
        <v>06539003</v>
      </c>
      <c r="D16018">
        <v>89301172</v>
      </c>
      <c r="E16018" t="str">
        <f>"7653204889"</f>
        <v>7653204889</v>
      </c>
      <c r="F16018" s="1">
        <v>45272</v>
      </c>
      <c r="G16018" t="str">
        <f>"91329"</f>
        <v>91329</v>
      </c>
      <c r="H16018">
        <v>2</v>
      </c>
      <c r="I16018">
        <v>436</v>
      </c>
      <c r="J16018">
        <v>0</v>
      </c>
      <c r="K16018" t="str">
        <f t="shared" si="2864"/>
        <v>813</v>
      </c>
      <c r="L16018">
        <v>366.24</v>
      </c>
    </row>
    <row r="16019" spans="1:12" x14ac:dyDescent="0.25">
      <c r="A16019" t="str">
        <f t="shared" si="2867"/>
        <v>89301000</v>
      </c>
      <c r="B16019" t="str">
        <f t="shared" si="2865"/>
        <v>06539000</v>
      </c>
      <c r="C16019" t="str">
        <f t="shared" si="2862"/>
        <v>06539003</v>
      </c>
      <c r="D16019">
        <v>89301172</v>
      </c>
      <c r="E16019" t="str">
        <f>"7653204889"</f>
        <v>7653204889</v>
      </c>
      <c r="F16019" s="1">
        <v>45272</v>
      </c>
      <c r="G16019" t="str">
        <f>"91329"</f>
        <v>91329</v>
      </c>
      <c r="H16019">
        <v>2</v>
      </c>
      <c r="I16019">
        <v>436</v>
      </c>
      <c r="J16019">
        <v>0</v>
      </c>
      <c r="K16019" t="str">
        <f t="shared" si="2864"/>
        <v>813</v>
      </c>
      <c r="L16019">
        <v>366.24</v>
      </c>
    </row>
    <row r="16020" spans="1:12" x14ac:dyDescent="0.25">
      <c r="A16020" t="str">
        <f t="shared" si="2867"/>
        <v>89301000</v>
      </c>
      <c r="B16020" t="str">
        <f t="shared" si="2865"/>
        <v>06539000</v>
      </c>
      <c r="C16020" t="str">
        <f t="shared" si="2862"/>
        <v>06539003</v>
      </c>
      <c r="D16020">
        <v>89301172</v>
      </c>
      <c r="E16020" t="str">
        <f>"7653204889"</f>
        <v>7653204889</v>
      </c>
      <c r="F16020" s="1">
        <v>45272</v>
      </c>
      <c r="G16020" t="str">
        <f>"91329"</f>
        <v>91329</v>
      </c>
      <c r="H16020">
        <v>2</v>
      </c>
      <c r="I16020">
        <v>436</v>
      </c>
      <c r="J16020">
        <v>0</v>
      </c>
      <c r="K16020" t="str">
        <f t="shared" si="2864"/>
        <v>813</v>
      </c>
      <c r="L16020">
        <v>366.24</v>
      </c>
    </row>
    <row r="16021" spans="1:12" x14ac:dyDescent="0.25">
      <c r="A16021" t="str">
        <f t="shared" si="2867"/>
        <v>89301000</v>
      </c>
      <c r="B16021" t="str">
        <f t="shared" si="2865"/>
        <v>06539000</v>
      </c>
      <c r="C16021" t="str">
        <f t="shared" si="2862"/>
        <v>06539003</v>
      </c>
      <c r="D16021">
        <v>89301172</v>
      </c>
      <c r="E16021" t="str">
        <f>"7653204889"</f>
        <v>7653204889</v>
      </c>
      <c r="F16021" s="1">
        <v>45272</v>
      </c>
      <c r="G16021" t="str">
        <f>"91475"</f>
        <v>91475</v>
      </c>
      <c r="H16021">
        <v>1</v>
      </c>
      <c r="I16021">
        <v>213</v>
      </c>
      <c r="J16021">
        <v>0</v>
      </c>
      <c r="K16021" t="str">
        <f t="shared" si="2864"/>
        <v>813</v>
      </c>
      <c r="L16021">
        <v>178.92</v>
      </c>
    </row>
    <row r="16022" spans="1:12" x14ac:dyDescent="0.25">
      <c r="A16022" t="str">
        <f t="shared" si="2867"/>
        <v>89301000</v>
      </c>
      <c r="B16022" t="str">
        <f t="shared" si="2865"/>
        <v>06539000</v>
      </c>
      <c r="C16022" t="str">
        <f>"06539001"</f>
        <v>06539001</v>
      </c>
      <c r="D16022">
        <v>89301172</v>
      </c>
      <c r="E16022" t="str">
        <f>"8207205347"</f>
        <v>8207205347</v>
      </c>
      <c r="F16022" s="1">
        <v>45287</v>
      </c>
      <c r="G16022" t="str">
        <f>"81705"</f>
        <v>81705</v>
      </c>
      <c r="H16022">
        <v>1</v>
      </c>
      <c r="I16022">
        <v>348</v>
      </c>
      <c r="J16022">
        <v>0</v>
      </c>
      <c r="K16022" t="str">
        <f>"801"</f>
        <v>801</v>
      </c>
      <c r="L16022">
        <v>292.32</v>
      </c>
    </row>
    <row r="16023" spans="1:12" x14ac:dyDescent="0.25">
      <c r="A16023" t="str">
        <f t="shared" si="2867"/>
        <v>89301000</v>
      </c>
      <c r="B16023" t="str">
        <f t="shared" si="2865"/>
        <v>06539000</v>
      </c>
      <c r="C16023" t="str">
        <f>"06539001"</f>
        <v>06539001</v>
      </c>
      <c r="D16023">
        <v>89301172</v>
      </c>
      <c r="E16023" t="str">
        <f>"8207205347"</f>
        <v>8207205347</v>
      </c>
      <c r="F16023" s="1">
        <v>45287</v>
      </c>
      <c r="G16023" t="str">
        <f>"81705"</f>
        <v>81705</v>
      </c>
      <c r="H16023">
        <v>1</v>
      </c>
      <c r="I16023">
        <v>348</v>
      </c>
      <c r="J16023">
        <v>0</v>
      </c>
      <c r="K16023" t="str">
        <f>"801"</f>
        <v>801</v>
      </c>
      <c r="L16023">
        <v>292.32</v>
      </c>
    </row>
    <row r="16024" spans="1:12" x14ac:dyDescent="0.25">
      <c r="A16024" t="str">
        <f t="shared" si="2867"/>
        <v>89301000</v>
      </c>
      <c r="B16024" t="str">
        <f t="shared" si="2865"/>
        <v>06539000</v>
      </c>
      <c r="C16024" t="str">
        <f>"06539003"</f>
        <v>06539003</v>
      </c>
      <c r="D16024">
        <v>89301172</v>
      </c>
      <c r="E16024" t="str">
        <f>"8207205347"</f>
        <v>8207205347</v>
      </c>
      <c r="F16024" s="1">
        <v>45287</v>
      </c>
      <c r="G16024" t="str">
        <f>"91329"</f>
        <v>91329</v>
      </c>
      <c r="H16024">
        <v>2</v>
      </c>
      <c r="I16024">
        <v>436</v>
      </c>
      <c r="J16024">
        <v>0</v>
      </c>
      <c r="K16024" t="str">
        <f t="shared" ref="K16024:K16032" si="2870">"813"</f>
        <v>813</v>
      </c>
      <c r="L16024">
        <v>366.24</v>
      </c>
    </row>
    <row r="16025" spans="1:12" x14ac:dyDescent="0.25">
      <c r="A16025" t="str">
        <f t="shared" si="2867"/>
        <v>89301000</v>
      </c>
      <c r="B16025" t="str">
        <f t="shared" si="2865"/>
        <v>06539000</v>
      </c>
      <c r="C16025" t="str">
        <f>"06539003"</f>
        <v>06539003</v>
      </c>
      <c r="D16025">
        <v>89301172</v>
      </c>
      <c r="E16025" t="str">
        <f>"8207205347"</f>
        <v>8207205347</v>
      </c>
      <c r="F16025" s="1">
        <v>45281</v>
      </c>
      <c r="G16025" t="str">
        <f>"91475"</f>
        <v>91475</v>
      </c>
      <c r="H16025">
        <v>1</v>
      </c>
      <c r="I16025">
        <v>213</v>
      </c>
      <c r="J16025">
        <v>0</v>
      </c>
      <c r="K16025" t="str">
        <f t="shared" si="2870"/>
        <v>813</v>
      </c>
      <c r="L16025">
        <v>178.92</v>
      </c>
    </row>
    <row r="16026" spans="1:12" x14ac:dyDescent="0.25">
      <c r="A16026" t="str">
        <f t="shared" si="2867"/>
        <v>89301000</v>
      </c>
      <c r="B16026" t="str">
        <f>"02001000"</f>
        <v>02001000</v>
      </c>
      <c r="C16026" t="str">
        <f>"02001171"</f>
        <v>02001171</v>
      </c>
      <c r="D16026">
        <v>89301704</v>
      </c>
      <c r="E16026" t="str">
        <f>"1802110057"</f>
        <v>1802110057</v>
      </c>
      <c r="F16026" s="1">
        <v>45288</v>
      </c>
      <c r="G16026" t="str">
        <f>"91399"</f>
        <v>91399</v>
      </c>
      <c r="H16026">
        <v>1</v>
      </c>
      <c r="I16026">
        <v>2380</v>
      </c>
      <c r="J16026">
        <v>0</v>
      </c>
      <c r="K16026" t="str">
        <f t="shared" si="2870"/>
        <v>813</v>
      </c>
      <c r="L16026">
        <v>1999.2</v>
      </c>
    </row>
    <row r="16027" spans="1:12" x14ac:dyDescent="0.25">
      <c r="A16027" t="str">
        <f t="shared" si="2867"/>
        <v>89301000</v>
      </c>
      <c r="B16027" t="str">
        <f>"02001000"</f>
        <v>02001000</v>
      </c>
      <c r="C16027" t="str">
        <f>"02001171"</f>
        <v>02001171</v>
      </c>
      <c r="D16027">
        <v>89301704</v>
      </c>
      <c r="E16027" t="str">
        <f>"1802110057"</f>
        <v>1802110057</v>
      </c>
      <c r="F16027" s="1">
        <v>45288</v>
      </c>
      <c r="G16027" t="str">
        <f>"91411"</f>
        <v>91411</v>
      </c>
      <c r="H16027">
        <v>1</v>
      </c>
      <c r="I16027">
        <v>1631</v>
      </c>
      <c r="J16027">
        <v>0</v>
      </c>
      <c r="K16027" t="str">
        <f t="shared" si="2870"/>
        <v>813</v>
      </c>
      <c r="L16027">
        <v>1370.04</v>
      </c>
    </row>
    <row r="16028" spans="1:12" x14ac:dyDescent="0.25">
      <c r="A16028" t="str">
        <f t="shared" si="2867"/>
        <v>89301000</v>
      </c>
      <c r="B16028" t="str">
        <f>"02001000"</f>
        <v>02001000</v>
      </c>
      <c r="C16028" t="str">
        <f>"02001171"</f>
        <v>02001171</v>
      </c>
      <c r="D16028">
        <v>89301031</v>
      </c>
      <c r="E16028" t="str">
        <f>"530609144"</f>
        <v>530609144</v>
      </c>
      <c r="F16028" s="1">
        <v>45267</v>
      </c>
      <c r="G16028" t="str">
        <f>"91197"</f>
        <v>91197</v>
      </c>
      <c r="H16028">
        <v>1</v>
      </c>
      <c r="I16028">
        <v>1048</v>
      </c>
      <c r="J16028">
        <v>0</v>
      </c>
      <c r="K16028" t="str">
        <f t="shared" si="2870"/>
        <v>813</v>
      </c>
      <c r="L16028">
        <v>880.32</v>
      </c>
    </row>
    <row r="16029" spans="1:12" x14ac:dyDescent="0.25">
      <c r="A16029" t="str">
        <f t="shared" si="2867"/>
        <v>89301000</v>
      </c>
      <c r="B16029" t="str">
        <f>"02001000"</f>
        <v>02001000</v>
      </c>
      <c r="C16029" t="str">
        <f>"02001171"</f>
        <v>02001171</v>
      </c>
      <c r="D16029">
        <v>89301031</v>
      </c>
      <c r="E16029" t="str">
        <f>"530609144"</f>
        <v>530609144</v>
      </c>
      <c r="F16029" s="1">
        <v>45267</v>
      </c>
      <c r="G16029" t="str">
        <f>"91399"</f>
        <v>91399</v>
      </c>
      <c r="H16029">
        <v>1</v>
      </c>
      <c r="I16029">
        <v>2380</v>
      </c>
      <c r="J16029">
        <v>0</v>
      </c>
      <c r="K16029" t="str">
        <f t="shared" si="2870"/>
        <v>813</v>
      </c>
      <c r="L16029">
        <v>1999.2</v>
      </c>
    </row>
    <row r="16030" spans="1:12" x14ac:dyDescent="0.25">
      <c r="A16030" t="str">
        <f t="shared" si="2867"/>
        <v>89301000</v>
      </c>
      <c r="B16030" t="str">
        <f>"02001000"</f>
        <v>02001000</v>
      </c>
      <c r="C16030" t="str">
        <f>"02001171"</f>
        <v>02001171</v>
      </c>
      <c r="D16030">
        <v>89301031</v>
      </c>
      <c r="E16030" t="str">
        <f>"530609144"</f>
        <v>530609144</v>
      </c>
      <c r="F16030" s="1">
        <v>45267</v>
      </c>
      <c r="G16030" t="str">
        <f>"91411"</f>
        <v>91411</v>
      </c>
      <c r="H16030">
        <v>1</v>
      </c>
      <c r="I16030">
        <v>1631</v>
      </c>
      <c r="J16030">
        <v>0</v>
      </c>
      <c r="K16030" t="str">
        <f t="shared" si="2870"/>
        <v>813</v>
      </c>
      <c r="L16030">
        <v>1370.04</v>
      </c>
    </row>
    <row r="16031" spans="1:12" x14ac:dyDescent="0.25">
      <c r="A16031" t="str">
        <f t="shared" si="2867"/>
        <v>89301000</v>
      </c>
      <c r="B16031" t="str">
        <f>"72001000"</f>
        <v>72001000</v>
      </c>
      <c r="C16031" t="str">
        <f>"72001844"</f>
        <v>72001844</v>
      </c>
      <c r="D16031">
        <v>89301107</v>
      </c>
      <c r="E16031" t="str">
        <f>"2110150911"</f>
        <v>2110150911</v>
      </c>
      <c r="F16031" s="1">
        <v>45246</v>
      </c>
      <c r="G16031" t="str">
        <f>"91359"</f>
        <v>91359</v>
      </c>
      <c r="H16031">
        <v>1</v>
      </c>
      <c r="I16031">
        <v>205</v>
      </c>
      <c r="J16031">
        <v>0</v>
      </c>
      <c r="K16031" t="str">
        <f t="shared" si="2870"/>
        <v>813</v>
      </c>
      <c r="L16031">
        <v>172.2</v>
      </c>
    </row>
    <row r="16032" spans="1:12" x14ac:dyDescent="0.25">
      <c r="A16032" t="str">
        <f t="shared" si="2867"/>
        <v>89301000</v>
      </c>
      <c r="B16032" t="str">
        <f>"72001000"</f>
        <v>72001000</v>
      </c>
      <c r="C16032" t="str">
        <f>"72001844"</f>
        <v>72001844</v>
      </c>
      <c r="D16032">
        <v>89301107</v>
      </c>
      <c r="E16032" t="str">
        <f>"2110150911"</f>
        <v>2110150911</v>
      </c>
      <c r="F16032" s="1">
        <v>45246</v>
      </c>
      <c r="G16032" t="str">
        <f>"97111"</f>
        <v>97111</v>
      </c>
      <c r="H16032">
        <v>1</v>
      </c>
      <c r="I16032">
        <v>19</v>
      </c>
      <c r="J16032">
        <v>0</v>
      </c>
      <c r="K16032" t="str">
        <f t="shared" si="2870"/>
        <v>813</v>
      </c>
      <c r="L16032">
        <v>23.94</v>
      </c>
    </row>
    <row r="16033" spans="1:12" x14ac:dyDescent="0.25">
      <c r="A16033" t="str">
        <f t="shared" si="2867"/>
        <v>89301000</v>
      </c>
      <c r="B16033" t="str">
        <f t="shared" ref="B16033:B16077" si="2871">"91009000"</f>
        <v>91009000</v>
      </c>
      <c r="C16033" t="str">
        <f>"91009581"</f>
        <v>91009581</v>
      </c>
      <c r="D16033">
        <v>89301167</v>
      </c>
      <c r="E16033" t="str">
        <f>"481021191"</f>
        <v>481021191</v>
      </c>
      <c r="F16033" s="1">
        <v>45259</v>
      </c>
      <c r="G16033" t="str">
        <f>"81383"</f>
        <v>81383</v>
      </c>
      <c r="H16033">
        <v>1</v>
      </c>
      <c r="I16033">
        <v>24</v>
      </c>
      <c r="J16033">
        <v>0</v>
      </c>
      <c r="K16033" t="str">
        <f>"801"</f>
        <v>801</v>
      </c>
      <c r="L16033">
        <v>20.16</v>
      </c>
    </row>
    <row r="16034" spans="1:12" x14ac:dyDescent="0.25">
      <c r="A16034" t="str">
        <f t="shared" si="2867"/>
        <v>89301000</v>
      </c>
      <c r="B16034" t="str">
        <f t="shared" si="2871"/>
        <v>91009000</v>
      </c>
      <c r="C16034" t="str">
        <f>"91009581"</f>
        <v>91009581</v>
      </c>
      <c r="D16034">
        <v>89301167</v>
      </c>
      <c r="E16034" t="str">
        <f>"481021191"</f>
        <v>481021191</v>
      </c>
      <c r="F16034" s="1">
        <v>45259</v>
      </c>
      <c r="G16034" t="str">
        <f>"93229"</f>
        <v>93229</v>
      </c>
      <c r="H16034">
        <v>1</v>
      </c>
      <c r="I16034">
        <v>536</v>
      </c>
      <c r="J16034">
        <v>0</v>
      </c>
      <c r="K16034" t="str">
        <f>"801"</f>
        <v>801</v>
      </c>
      <c r="L16034">
        <v>450.24</v>
      </c>
    </row>
    <row r="16035" spans="1:12" x14ac:dyDescent="0.25">
      <c r="A16035" t="str">
        <f t="shared" si="2867"/>
        <v>89301000</v>
      </c>
      <c r="B16035" t="str">
        <f t="shared" si="2871"/>
        <v>91009000</v>
      </c>
      <c r="C16035" t="str">
        <f>"91009581"</f>
        <v>91009581</v>
      </c>
      <c r="D16035">
        <v>89301167</v>
      </c>
      <c r="E16035" t="str">
        <f>"481021191"</f>
        <v>481021191</v>
      </c>
      <c r="F16035" s="1">
        <v>45259</v>
      </c>
      <c r="G16035" t="str">
        <f>"93261"</f>
        <v>93261</v>
      </c>
      <c r="H16035">
        <v>1</v>
      </c>
      <c r="I16035">
        <v>670</v>
      </c>
      <c r="J16035">
        <v>0</v>
      </c>
      <c r="K16035" t="str">
        <f>"801"</f>
        <v>801</v>
      </c>
      <c r="L16035">
        <v>562.79999999999995</v>
      </c>
    </row>
    <row r="16036" spans="1:12" x14ac:dyDescent="0.25">
      <c r="A16036" t="str">
        <f t="shared" si="2867"/>
        <v>89301000</v>
      </c>
      <c r="B16036" t="str">
        <f t="shared" si="2871"/>
        <v>91009000</v>
      </c>
      <c r="C16036" t="str">
        <f>"91009581"</f>
        <v>91009581</v>
      </c>
      <c r="D16036">
        <v>89301167</v>
      </c>
      <c r="E16036" t="str">
        <f>"481021191"</f>
        <v>481021191</v>
      </c>
      <c r="F16036" s="1">
        <v>45259</v>
      </c>
      <c r="G16036" t="str">
        <f>"97111"</f>
        <v>97111</v>
      </c>
      <c r="H16036">
        <v>1</v>
      </c>
      <c r="I16036">
        <v>19</v>
      </c>
      <c r="J16036">
        <v>0</v>
      </c>
      <c r="K16036" t="str">
        <f>"801"</f>
        <v>801</v>
      </c>
      <c r="L16036">
        <v>23.94</v>
      </c>
    </row>
    <row r="16037" spans="1:12" x14ac:dyDescent="0.25">
      <c r="A16037" t="str">
        <f t="shared" si="2867"/>
        <v>89301000</v>
      </c>
      <c r="B16037" t="str">
        <f t="shared" si="2871"/>
        <v>91009000</v>
      </c>
      <c r="C16037" t="str">
        <f>"91009552"</f>
        <v>91009552</v>
      </c>
      <c r="D16037">
        <v>89301167</v>
      </c>
      <c r="E16037" t="str">
        <f>"7506255636"</f>
        <v>7506255636</v>
      </c>
      <c r="F16037" s="1">
        <v>45274</v>
      </c>
      <c r="G16037" t="str">
        <f>"96167"</f>
        <v>96167</v>
      </c>
      <c r="H16037">
        <v>1</v>
      </c>
      <c r="I16037">
        <v>67</v>
      </c>
      <c r="J16037">
        <v>0</v>
      </c>
      <c r="K16037" t="str">
        <f>"818"</f>
        <v>818</v>
      </c>
      <c r="L16037">
        <v>64.989999999999995</v>
      </c>
    </row>
    <row r="16038" spans="1:12" x14ac:dyDescent="0.25">
      <c r="A16038" t="str">
        <f t="shared" si="2867"/>
        <v>89301000</v>
      </c>
      <c r="B16038" t="str">
        <f t="shared" si="2871"/>
        <v>91009000</v>
      </c>
      <c r="C16038" t="str">
        <f>"91009132"</f>
        <v>91009132</v>
      </c>
      <c r="D16038">
        <v>89301212</v>
      </c>
      <c r="E16038" t="str">
        <f>"8556125776"</f>
        <v>8556125776</v>
      </c>
      <c r="F16038" s="1">
        <v>45272</v>
      </c>
      <c r="G16038" t="str">
        <f>"92157"</f>
        <v>92157</v>
      </c>
      <c r="H16038">
        <v>1</v>
      </c>
      <c r="I16038">
        <v>1778</v>
      </c>
      <c r="J16038">
        <v>0</v>
      </c>
      <c r="K16038" t="str">
        <f>"812"</f>
        <v>812</v>
      </c>
      <c r="L16038">
        <v>1493.52</v>
      </c>
    </row>
    <row r="16039" spans="1:12" x14ac:dyDescent="0.25">
      <c r="A16039" t="str">
        <f t="shared" si="2867"/>
        <v>89301000</v>
      </c>
      <c r="B16039" t="str">
        <f t="shared" si="2871"/>
        <v>91009000</v>
      </c>
      <c r="C16039" t="str">
        <f>"91009132"</f>
        <v>91009132</v>
      </c>
      <c r="D16039">
        <v>89301212</v>
      </c>
      <c r="E16039" t="str">
        <f>"8556125776"</f>
        <v>8556125776</v>
      </c>
      <c r="F16039" s="1">
        <v>45272</v>
      </c>
      <c r="G16039" t="str">
        <f>"99111"</f>
        <v>99111</v>
      </c>
      <c r="H16039">
        <v>1</v>
      </c>
      <c r="I16039">
        <v>213</v>
      </c>
      <c r="J16039">
        <v>0</v>
      </c>
      <c r="K16039" t="str">
        <f>"812"</f>
        <v>812</v>
      </c>
      <c r="L16039">
        <v>178.92</v>
      </c>
    </row>
    <row r="16040" spans="1:12" x14ac:dyDescent="0.25">
      <c r="A16040" t="str">
        <f t="shared" si="2867"/>
        <v>89301000</v>
      </c>
      <c r="B16040" t="str">
        <f t="shared" si="2871"/>
        <v>91009000</v>
      </c>
      <c r="C16040" t="str">
        <f>"91009132"</f>
        <v>91009132</v>
      </c>
      <c r="D16040">
        <v>89301167</v>
      </c>
      <c r="E16040" t="str">
        <f>"7506255636"</f>
        <v>7506255636</v>
      </c>
      <c r="F16040" s="1">
        <v>45274</v>
      </c>
      <c r="G16040" t="str">
        <f>"92157"</f>
        <v>92157</v>
      </c>
      <c r="H16040">
        <v>1</v>
      </c>
      <c r="I16040">
        <v>1778</v>
      </c>
      <c r="J16040">
        <v>0</v>
      </c>
      <c r="K16040" t="str">
        <f>"812"</f>
        <v>812</v>
      </c>
      <c r="L16040">
        <v>1493.52</v>
      </c>
    </row>
    <row r="16041" spans="1:12" x14ac:dyDescent="0.25">
      <c r="A16041" t="str">
        <f t="shared" si="2867"/>
        <v>89301000</v>
      </c>
      <c r="B16041" t="str">
        <f t="shared" si="2871"/>
        <v>91009000</v>
      </c>
      <c r="C16041" t="str">
        <f>"91009132"</f>
        <v>91009132</v>
      </c>
      <c r="D16041">
        <v>89301167</v>
      </c>
      <c r="E16041" t="str">
        <f>"7506255636"</f>
        <v>7506255636</v>
      </c>
      <c r="F16041" s="1">
        <v>45274</v>
      </c>
      <c r="G16041" t="str">
        <f>"99111"</f>
        <v>99111</v>
      </c>
      <c r="H16041">
        <v>1</v>
      </c>
      <c r="I16041">
        <v>213</v>
      </c>
      <c r="J16041">
        <v>0</v>
      </c>
      <c r="K16041" t="str">
        <f>"812"</f>
        <v>812</v>
      </c>
      <c r="L16041">
        <v>178.92</v>
      </c>
    </row>
    <row r="16042" spans="1:12" x14ac:dyDescent="0.25">
      <c r="A16042" t="str">
        <f t="shared" si="2867"/>
        <v>89301000</v>
      </c>
      <c r="B16042" t="str">
        <f t="shared" si="2871"/>
        <v>91009000</v>
      </c>
      <c r="C16042" t="str">
        <f t="shared" ref="C16042:C16050" si="2872">"91009522"</f>
        <v>91009522</v>
      </c>
      <c r="D16042">
        <v>89301282</v>
      </c>
      <c r="E16042" t="str">
        <f>"2053240299"</f>
        <v>2053240299</v>
      </c>
      <c r="F16042" s="1">
        <v>45277</v>
      </c>
      <c r="G16042" t="str">
        <f>"94948"</f>
        <v>94948</v>
      </c>
      <c r="H16042">
        <v>1</v>
      </c>
      <c r="I16042">
        <v>0</v>
      </c>
      <c r="J16042">
        <v>0</v>
      </c>
      <c r="K16042" t="str">
        <f t="shared" ref="K16042:K16050" si="2873">"816"</f>
        <v>816</v>
      </c>
      <c r="L16042">
        <v>0</v>
      </c>
    </row>
    <row r="16043" spans="1:12" x14ac:dyDescent="0.25">
      <c r="A16043" t="str">
        <f t="shared" si="2867"/>
        <v>89301000</v>
      </c>
      <c r="B16043" t="str">
        <f t="shared" si="2871"/>
        <v>91009000</v>
      </c>
      <c r="C16043" t="str">
        <f t="shared" si="2872"/>
        <v>91009522</v>
      </c>
      <c r="D16043">
        <v>89301282</v>
      </c>
      <c r="E16043" t="str">
        <f>"2053240299"</f>
        <v>2053240299</v>
      </c>
      <c r="F16043" s="1">
        <v>45277</v>
      </c>
      <c r="G16043" t="str">
        <f>"94983"</f>
        <v>94983</v>
      </c>
      <c r="H16043">
        <v>1</v>
      </c>
      <c r="I16043">
        <v>0</v>
      </c>
      <c r="J16043">
        <v>39600</v>
      </c>
      <c r="K16043" t="str">
        <f t="shared" si="2873"/>
        <v>816</v>
      </c>
      <c r="L16043">
        <v>39600</v>
      </c>
    </row>
    <row r="16044" spans="1:12" x14ac:dyDescent="0.25">
      <c r="A16044" t="str">
        <f t="shared" si="2867"/>
        <v>89301000</v>
      </c>
      <c r="B16044" t="str">
        <f t="shared" si="2871"/>
        <v>91009000</v>
      </c>
      <c r="C16044" t="str">
        <f t="shared" si="2872"/>
        <v>91009522</v>
      </c>
      <c r="D16044">
        <v>89301282</v>
      </c>
      <c r="E16044" t="str">
        <f>"2053240299"</f>
        <v>2053240299</v>
      </c>
      <c r="F16044" s="1">
        <v>45277</v>
      </c>
      <c r="G16044" t="str">
        <f>"94996"</f>
        <v>94996</v>
      </c>
      <c r="H16044">
        <v>1</v>
      </c>
      <c r="I16044">
        <v>0</v>
      </c>
      <c r="J16044">
        <v>0</v>
      </c>
      <c r="K16044" t="str">
        <f t="shared" si="2873"/>
        <v>816</v>
      </c>
      <c r="L16044">
        <v>0</v>
      </c>
    </row>
    <row r="16045" spans="1:12" x14ac:dyDescent="0.25">
      <c r="A16045" t="str">
        <f t="shared" si="2867"/>
        <v>89301000</v>
      </c>
      <c r="B16045" t="str">
        <f t="shared" si="2871"/>
        <v>91009000</v>
      </c>
      <c r="C16045" t="str">
        <f t="shared" si="2872"/>
        <v>91009522</v>
      </c>
      <c r="D16045">
        <v>89301282</v>
      </c>
      <c r="E16045" t="str">
        <f>"0606275263"</f>
        <v>0606275263</v>
      </c>
      <c r="F16045" s="1">
        <v>45263</v>
      </c>
      <c r="G16045" t="str">
        <f>"94948"</f>
        <v>94948</v>
      </c>
      <c r="H16045">
        <v>1</v>
      </c>
      <c r="I16045">
        <v>0</v>
      </c>
      <c r="J16045">
        <v>0</v>
      </c>
      <c r="K16045" t="str">
        <f t="shared" si="2873"/>
        <v>816</v>
      </c>
      <c r="L16045">
        <v>0</v>
      </c>
    </row>
    <row r="16046" spans="1:12" x14ac:dyDescent="0.25">
      <c r="A16046" t="str">
        <f t="shared" si="2867"/>
        <v>89301000</v>
      </c>
      <c r="B16046" t="str">
        <f t="shared" si="2871"/>
        <v>91009000</v>
      </c>
      <c r="C16046" t="str">
        <f t="shared" si="2872"/>
        <v>91009522</v>
      </c>
      <c r="D16046">
        <v>89301282</v>
      </c>
      <c r="E16046" t="str">
        <f>"0606275263"</f>
        <v>0606275263</v>
      </c>
      <c r="F16046" s="1">
        <v>45263</v>
      </c>
      <c r="G16046" t="str">
        <f>"94982"</f>
        <v>94982</v>
      </c>
      <c r="H16046">
        <v>1</v>
      </c>
      <c r="I16046">
        <v>0</v>
      </c>
      <c r="J16046">
        <v>27500</v>
      </c>
      <c r="K16046" t="str">
        <f t="shared" si="2873"/>
        <v>816</v>
      </c>
      <c r="L16046">
        <v>27500</v>
      </c>
    </row>
    <row r="16047" spans="1:12" x14ac:dyDescent="0.25">
      <c r="A16047" t="str">
        <f t="shared" si="2867"/>
        <v>89301000</v>
      </c>
      <c r="B16047" t="str">
        <f t="shared" si="2871"/>
        <v>91009000</v>
      </c>
      <c r="C16047" t="str">
        <f t="shared" si="2872"/>
        <v>91009522</v>
      </c>
      <c r="D16047">
        <v>89301282</v>
      </c>
      <c r="E16047" t="str">
        <f>"0606275263"</f>
        <v>0606275263</v>
      </c>
      <c r="F16047" s="1">
        <v>45263</v>
      </c>
      <c r="G16047" t="str">
        <f>"94996"</f>
        <v>94996</v>
      </c>
      <c r="H16047">
        <v>1</v>
      </c>
      <c r="I16047">
        <v>0</v>
      </c>
      <c r="J16047">
        <v>0</v>
      </c>
      <c r="K16047" t="str">
        <f t="shared" si="2873"/>
        <v>816</v>
      </c>
      <c r="L16047">
        <v>0</v>
      </c>
    </row>
    <row r="16048" spans="1:12" x14ac:dyDescent="0.25">
      <c r="A16048" t="str">
        <f t="shared" si="2867"/>
        <v>89301000</v>
      </c>
      <c r="B16048" t="str">
        <f t="shared" si="2871"/>
        <v>91009000</v>
      </c>
      <c r="C16048" t="str">
        <f t="shared" si="2872"/>
        <v>91009522</v>
      </c>
      <c r="D16048">
        <v>89301282</v>
      </c>
      <c r="E16048" t="str">
        <f>"1604180193"</f>
        <v>1604180193</v>
      </c>
      <c r="F16048" s="1">
        <v>45262</v>
      </c>
      <c r="G16048" t="str">
        <f>"94948"</f>
        <v>94948</v>
      </c>
      <c r="H16048">
        <v>1</v>
      </c>
      <c r="I16048">
        <v>0</v>
      </c>
      <c r="J16048">
        <v>0</v>
      </c>
      <c r="K16048" t="str">
        <f t="shared" si="2873"/>
        <v>816</v>
      </c>
      <c r="L16048">
        <v>0</v>
      </c>
    </row>
    <row r="16049" spans="1:12" x14ac:dyDescent="0.25">
      <c r="A16049" t="str">
        <f t="shared" si="2867"/>
        <v>89301000</v>
      </c>
      <c r="B16049" t="str">
        <f t="shared" si="2871"/>
        <v>91009000</v>
      </c>
      <c r="C16049" t="str">
        <f t="shared" si="2872"/>
        <v>91009522</v>
      </c>
      <c r="D16049">
        <v>89301282</v>
      </c>
      <c r="E16049" t="str">
        <f>"1604180193"</f>
        <v>1604180193</v>
      </c>
      <c r="F16049" s="1">
        <v>45262</v>
      </c>
      <c r="G16049" t="str">
        <f>"94982"</f>
        <v>94982</v>
      </c>
      <c r="H16049">
        <v>1</v>
      </c>
      <c r="I16049">
        <v>0</v>
      </c>
      <c r="J16049">
        <v>27500</v>
      </c>
      <c r="K16049" t="str">
        <f t="shared" si="2873"/>
        <v>816</v>
      </c>
      <c r="L16049">
        <v>27500</v>
      </c>
    </row>
    <row r="16050" spans="1:12" x14ac:dyDescent="0.25">
      <c r="A16050" t="str">
        <f t="shared" si="2867"/>
        <v>89301000</v>
      </c>
      <c r="B16050" t="str">
        <f t="shared" si="2871"/>
        <v>91009000</v>
      </c>
      <c r="C16050" t="str">
        <f t="shared" si="2872"/>
        <v>91009522</v>
      </c>
      <c r="D16050">
        <v>89301282</v>
      </c>
      <c r="E16050" t="str">
        <f>"1604180193"</f>
        <v>1604180193</v>
      </c>
      <c r="F16050" s="1">
        <v>45262</v>
      </c>
      <c r="G16050" t="str">
        <f>"94996"</f>
        <v>94996</v>
      </c>
      <c r="H16050">
        <v>1</v>
      </c>
      <c r="I16050">
        <v>0</v>
      </c>
      <c r="J16050">
        <v>0</v>
      </c>
      <c r="K16050" t="str">
        <f t="shared" si="2873"/>
        <v>816</v>
      </c>
      <c r="L16050">
        <v>0</v>
      </c>
    </row>
    <row r="16051" spans="1:12" x14ac:dyDescent="0.25">
      <c r="A16051" t="str">
        <f t="shared" si="2867"/>
        <v>89301000</v>
      </c>
      <c r="B16051" t="str">
        <f t="shared" si="2871"/>
        <v>91009000</v>
      </c>
      <c r="C16051" t="str">
        <f t="shared" ref="C16051:C16071" si="2874">"91009581"</f>
        <v>91009581</v>
      </c>
      <c r="D16051">
        <v>89301167</v>
      </c>
      <c r="E16051" t="str">
        <f t="shared" ref="E16051:E16068" si="2875">"7506255636"</f>
        <v>7506255636</v>
      </c>
      <c r="F16051" s="1">
        <v>45274</v>
      </c>
      <c r="G16051" t="str">
        <f>"81111"</f>
        <v>81111</v>
      </c>
      <c r="H16051">
        <v>1</v>
      </c>
      <c r="I16051">
        <v>29</v>
      </c>
      <c r="J16051">
        <v>0</v>
      </c>
      <c r="K16051" t="str">
        <f t="shared" ref="K16051:K16071" si="2876">"801"</f>
        <v>801</v>
      </c>
      <c r="L16051">
        <v>24.36</v>
      </c>
    </row>
    <row r="16052" spans="1:12" x14ac:dyDescent="0.25">
      <c r="A16052" t="str">
        <f t="shared" si="2867"/>
        <v>89301000</v>
      </c>
      <c r="B16052" t="str">
        <f t="shared" si="2871"/>
        <v>91009000</v>
      </c>
      <c r="C16052" t="str">
        <f t="shared" si="2874"/>
        <v>91009581</v>
      </c>
      <c r="D16052">
        <v>89301167</v>
      </c>
      <c r="E16052" t="str">
        <f t="shared" si="2875"/>
        <v>7506255636</v>
      </c>
      <c r="F16052" s="1">
        <v>45274</v>
      </c>
      <c r="G16052" t="str">
        <f>"81113"</f>
        <v>81113</v>
      </c>
      <c r="H16052">
        <v>1</v>
      </c>
      <c r="I16052">
        <v>29</v>
      </c>
      <c r="J16052">
        <v>0</v>
      </c>
      <c r="K16052" t="str">
        <f t="shared" si="2876"/>
        <v>801</v>
      </c>
      <c r="L16052">
        <v>24.36</v>
      </c>
    </row>
    <row r="16053" spans="1:12" x14ac:dyDescent="0.25">
      <c r="A16053" t="str">
        <f t="shared" si="2867"/>
        <v>89301000</v>
      </c>
      <c r="B16053" t="str">
        <f t="shared" si="2871"/>
        <v>91009000</v>
      </c>
      <c r="C16053" t="str">
        <f t="shared" si="2874"/>
        <v>91009581</v>
      </c>
      <c r="D16053">
        <v>89301167</v>
      </c>
      <c r="E16053" t="str">
        <f t="shared" si="2875"/>
        <v>7506255636</v>
      </c>
      <c r="F16053" s="1">
        <v>45274</v>
      </c>
      <c r="G16053" t="str">
        <f>"81115"</f>
        <v>81115</v>
      </c>
      <c r="H16053">
        <v>1</v>
      </c>
      <c r="I16053">
        <v>25</v>
      </c>
      <c r="J16053">
        <v>0</v>
      </c>
      <c r="K16053" t="str">
        <f t="shared" si="2876"/>
        <v>801</v>
      </c>
      <c r="L16053">
        <v>21</v>
      </c>
    </row>
    <row r="16054" spans="1:12" x14ac:dyDescent="0.25">
      <c r="A16054" t="str">
        <f t="shared" si="2867"/>
        <v>89301000</v>
      </c>
      <c r="B16054" t="str">
        <f t="shared" si="2871"/>
        <v>91009000</v>
      </c>
      <c r="C16054" t="str">
        <f t="shared" si="2874"/>
        <v>91009581</v>
      </c>
      <c r="D16054">
        <v>89301167</v>
      </c>
      <c r="E16054" t="str">
        <f t="shared" si="2875"/>
        <v>7506255636</v>
      </c>
      <c r="F16054" s="1">
        <v>45274</v>
      </c>
      <c r="G16054" t="str">
        <f>"81121"</f>
        <v>81121</v>
      </c>
      <c r="H16054">
        <v>1</v>
      </c>
      <c r="I16054">
        <v>26</v>
      </c>
      <c r="J16054">
        <v>0</v>
      </c>
      <c r="K16054" t="str">
        <f t="shared" si="2876"/>
        <v>801</v>
      </c>
      <c r="L16054">
        <v>21.84</v>
      </c>
    </row>
    <row r="16055" spans="1:12" x14ac:dyDescent="0.25">
      <c r="A16055" t="str">
        <f t="shared" si="2867"/>
        <v>89301000</v>
      </c>
      <c r="B16055" t="str">
        <f t="shared" si="2871"/>
        <v>91009000</v>
      </c>
      <c r="C16055" t="str">
        <f t="shared" si="2874"/>
        <v>91009581</v>
      </c>
      <c r="D16055">
        <v>89301167</v>
      </c>
      <c r="E16055" t="str">
        <f t="shared" si="2875"/>
        <v>7506255636</v>
      </c>
      <c r="F16055" s="1">
        <v>45274</v>
      </c>
      <c r="G16055" t="str">
        <f>"81125"</f>
        <v>81125</v>
      </c>
      <c r="H16055">
        <v>1</v>
      </c>
      <c r="I16055">
        <v>24</v>
      </c>
      <c r="J16055">
        <v>0</v>
      </c>
      <c r="K16055" t="str">
        <f t="shared" si="2876"/>
        <v>801</v>
      </c>
      <c r="L16055">
        <v>20.16</v>
      </c>
    </row>
    <row r="16056" spans="1:12" x14ac:dyDescent="0.25">
      <c r="A16056" t="str">
        <f t="shared" si="2867"/>
        <v>89301000</v>
      </c>
      <c r="B16056" t="str">
        <f t="shared" si="2871"/>
        <v>91009000</v>
      </c>
      <c r="C16056" t="str">
        <f t="shared" si="2874"/>
        <v>91009581</v>
      </c>
      <c r="D16056">
        <v>89301167</v>
      </c>
      <c r="E16056" t="str">
        <f t="shared" si="2875"/>
        <v>7506255636</v>
      </c>
      <c r="F16056" s="1">
        <v>45274</v>
      </c>
      <c r="G16056" t="str">
        <f>"81135"</f>
        <v>81135</v>
      </c>
      <c r="H16056">
        <v>1</v>
      </c>
      <c r="I16056">
        <v>33</v>
      </c>
      <c r="J16056">
        <v>0</v>
      </c>
      <c r="K16056" t="str">
        <f t="shared" si="2876"/>
        <v>801</v>
      </c>
      <c r="L16056">
        <v>27.72</v>
      </c>
    </row>
    <row r="16057" spans="1:12" x14ac:dyDescent="0.25">
      <c r="A16057" t="str">
        <f t="shared" si="2867"/>
        <v>89301000</v>
      </c>
      <c r="B16057" t="str">
        <f t="shared" si="2871"/>
        <v>91009000</v>
      </c>
      <c r="C16057" t="str">
        <f t="shared" si="2874"/>
        <v>91009581</v>
      </c>
      <c r="D16057">
        <v>89301167</v>
      </c>
      <c r="E16057" t="str">
        <f t="shared" si="2875"/>
        <v>7506255636</v>
      </c>
      <c r="F16057" s="1">
        <v>45274</v>
      </c>
      <c r="G16057" t="str">
        <f>"81137"</f>
        <v>81137</v>
      </c>
      <c r="H16057">
        <v>1</v>
      </c>
      <c r="I16057">
        <v>29</v>
      </c>
      <c r="J16057">
        <v>0</v>
      </c>
      <c r="K16057" t="str">
        <f t="shared" si="2876"/>
        <v>801</v>
      </c>
      <c r="L16057">
        <v>24.36</v>
      </c>
    </row>
    <row r="16058" spans="1:12" x14ac:dyDescent="0.25">
      <c r="A16058" t="str">
        <f t="shared" si="2867"/>
        <v>89301000</v>
      </c>
      <c r="B16058" t="str">
        <f t="shared" si="2871"/>
        <v>91009000</v>
      </c>
      <c r="C16058" t="str">
        <f t="shared" si="2874"/>
        <v>91009581</v>
      </c>
      <c r="D16058">
        <v>89301167</v>
      </c>
      <c r="E16058" t="str">
        <f t="shared" si="2875"/>
        <v>7506255636</v>
      </c>
      <c r="F16058" s="1">
        <v>45274</v>
      </c>
      <c r="G16058" t="str">
        <f>"81139"</f>
        <v>81139</v>
      </c>
      <c r="H16058">
        <v>1</v>
      </c>
      <c r="I16058">
        <v>31</v>
      </c>
      <c r="J16058">
        <v>0</v>
      </c>
      <c r="K16058" t="str">
        <f t="shared" si="2876"/>
        <v>801</v>
      </c>
      <c r="L16058">
        <v>26.04</v>
      </c>
    </row>
    <row r="16059" spans="1:12" x14ac:dyDescent="0.25">
      <c r="A16059" t="str">
        <f t="shared" si="2867"/>
        <v>89301000</v>
      </c>
      <c r="B16059" t="str">
        <f t="shared" si="2871"/>
        <v>91009000</v>
      </c>
      <c r="C16059" t="str">
        <f t="shared" si="2874"/>
        <v>91009581</v>
      </c>
      <c r="D16059">
        <v>89301167</v>
      </c>
      <c r="E16059" t="str">
        <f t="shared" si="2875"/>
        <v>7506255636</v>
      </c>
      <c r="F16059" s="1">
        <v>45274</v>
      </c>
      <c r="G16059" t="str">
        <f>"81145"</f>
        <v>81145</v>
      </c>
      <c r="H16059">
        <v>1</v>
      </c>
      <c r="I16059">
        <v>33</v>
      </c>
      <c r="J16059">
        <v>0</v>
      </c>
      <c r="K16059" t="str">
        <f t="shared" si="2876"/>
        <v>801</v>
      </c>
      <c r="L16059">
        <v>27.72</v>
      </c>
    </row>
    <row r="16060" spans="1:12" x14ac:dyDescent="0.25">
      <c r="A16060" t="str">
        <f t="shared" si="2867"/>
        <v>89301000</v>
      </c>
      <c r="B16060" t="str">
        <f t="shared" si="2871"/>
        <v>91009000</v>
      </c>
      <c r="C16060" t="str">
        <f t="shared" si="2874"/>
        <v>91009581</v>
      </c>
      <c r="D16060">
        <v>89301167</v>
      </c>
      <c r="E16060" t="str">
        <f t="shared" si="2875"/>
        <v>7506255636</v>
      </c>
      <c r="F16060" s="1">
        <v>45274</v>
      </c>
      <c r="G16060" t="str">
        <f>"81147"</f>
        <v>81147</v>
      </c>
      <c r="H16060">
        <v>1</v>
      </c>
      <c r="I16060">
        <v>29</v>
      </c>
      <c r="J16060">
        <v>0</v>
      </c>
      <c r="K16060" t="str">
        <f t="shared" si="2876"/>
        <v>801</v>
      </c>
      <c r="L16060">
        <v>24.36</v>
      </c>
    </row>
    <row r="16061" spans="1:12" x14ac:dyDescent="0.25">
      <c r="A16061" t="str">
        <f t="shared" si="2867"/>
        <v>89301000</v>
      </c>
      <c r="B16061" t="str">
        <f t="shared" si="2871"/>
        <v>91009000</v>
      </c>
      <c r="C16061" t="str">
        <f t="shared" si="2874"/>
        <v>91009581</v>
      </c>
      <c r="D16061">
        <v>89301167</v>
      </c>
      <c r="E16061" t="str">
        <f t="shared" si="2875"/>
        <v>7506255636</v>
      </c>
      <c r="F16061" s="1">
        <v>45274</v>
      </c>
      <c r="G16061" t="str">
        <f>"81153"</f>
        <v>81153</v>
      </c>
      <c r="H16061">
        <v>1</v>
      </c>
      <c r="I16061">
        <v>33</v>
      </c>
      <c r="J16061">
        <v>0</v>
      </c>
      <c r="K16061" t="str">
        <f t="shared" si="2876"/>
        <v>801</v>
      </c>
      <c r="L16061">
        <v>27.72</v>
      </c>
    </row>
    <row r="16062" spans="1:12" x14ac:dyDescent="0.25">
      <c r="A16062" t="str">
        <f t="shared" si="2867"/>
        <v>89301000</v>
      </c>
      <c r="B16062" t="str">
        <f t="shared" si="2871"/>
        <v>91009000</v>
      </c>
      <c r="C16062" t="str">
        <f t="shared" si="2874"/>
        <v>91009581</v>
      </c>
      <c r="D16062">
        <v>89301167</v>
      </c>
      <c r="E16062" t="str">
        <f t="shared" si="2875"/>
        <v>7506255636</v>
      </c>
      <c r="F16062" s="1">
        <v>45274</v>
      </c>
      <c r="G16062" t="str">
        <f>"81155"</f>
        <v>81155</v>
      </c>
      <c r="H16062">
        <v>1</v>
      </c>
      <c r="I16062">
        <v>24</v>
      </c>
      <c r="J16062">
        <v>0</v>
      </c>
      <c r="K16062" t="str">
        <f t="shared" si="2876"/>
        <v>801</v>
      </c>
      <c r="L16062">
        <v>20.16</v>
      </c>
    </row>
    <row r="16063" spans="1:12" x14ac:dyDescent="0.25">
      <c r="A16063" t="str">
        <f t="shared" si="2867"/>
        <v>89301000</v>
      </c>
      <c r="B16063" t="str">
        <f t="shared" si="2871"/>
        <v>91009000</v>
      </c>
      <c r="C16063" t="str">
        <f t="shared" si="2874"/>
        <v>91009581</v>
      </c>
      <c r="D16063">
        <v>89301167</v>
      </c>
      <c r="E16063" t="str">
        <f t="shared" si="2875"/>
        <v>7506255636</v>
      </c>
      <c r="F16063" s="1">
        <v>45274</v>
      </c>
      <c r="G16063" t="str">
        <f>"81157"</f>
        <v>81157</v>
      </c>
      <c r="H16063">
        <v>1</v>
      </c>
      <c r="I16063">
        <v>24</v>
      </c>
      <c r="J16063">
        <v>0</v>
      </c>
      <c r="K16063" t="str">
        <f t="shared" si="2876"/>
        <v>801</v>
      </c>
      <c r="L16063">
        <v>20.16</v>
      </c>
    </row>
    <row r="16064" spans="1:12" x14ac:dyDescent="0.25">
      <c r="A16064" t="str">
        <f t="shared" si="2867"/>
        <v>89301000</v>
      </c>
      <c r="B16064" t="str">
        <f t="shared" si="2871"/>
        <v>91009000</v>
      </c>
      <c r="C16064" t="str">
        <f t="shared" si="2874"/>
        <v>91009581</v>
      </c>
      <c r="D16064">
        <v>89301167</v>
      </c>
      <c r="E16064" t="str">
        <f t="shared" si="2875"/>
        <v>7506255636</v>
      </c>
      <c r="F16064" s="1">
        <v>45274</v>
      </c>
      <c r="G16064" t="str">
        <f>"81169"</f>
        <v>81169</v>
      </c>
      <c r="H16064">
        <v>1</v>
      </c>
      <c r="I16064">
        <v>27</v>
      </c>
      <c r="J16064">
        <v>0</v>
      </c>
      <c r="K16064" t="str">
        <f t="shared" si="2876"/>
        <v>801</v>
      </c>
      <c r="L16064">
        <v>22.68</v>
      </c>
    </row>
    <row r="16065" spans="1:12" x14ac:dyDescent="0.25">
      <c r="A16065" t="str">
        <f t="shared" si="2867"/>
        <v>89301000</v>
      </c>
      <c r="B16065" t="str">
        <f t="shared" si="2871"/>
        <v>91009000</v>
      </c>
      <c r="C16065" t="str">
        <f t="shared" si="2874"/>
        <v>91009581</v>
      </c>
      <c r="D16065">
        <v>89301167</v>
      </c>
      <c r="E16065" t="str">
        <f t="shared" si="2875"/>
        <v>7506255636</v>
      </c>
      <c r="F16065" s="1">
        <v>45274</v>
      </c>
      <c r="G16065" t="str">
        <f>"81465"</f>
        <v>81465</v>
      </c>
      <c r="H16065">
        <v>1</v>
      </c>
      <c r="I16065">
        <v>21</v>
      </c>
      <c r="J16065">
        <v>0</v>
      </c>
      <c r="K16065" t="str">
        <f t="shared" si="2876"/>
        <v>801</v>
      </c>
      <c r="L16065">
        <v>17.64</v>
      </c>
    </row>
    <row r="16066" spans="1:12" x14ac:dyDescent="0.25">
      <c r="A16066" t="str">
        <f t="shared" ref="A16066:A16129" si="2877">"89301000"</f>
        <v>89301000</v>
      </c>
      <c r="B16066" t="str">
        <f t="shared" si="2871"/>
        <v>91009000</v>
      </c>
      <c r="C16066" t="str">
        <f t="shared" si="2874"/>
        <v>91009581</v>
      </c>
      <c r="D16066">
        <v>89301167</v>
      </c>
      <c r="E16066" t="str">
        <f t="shared" si="2875"/>
        <v>7506255636</v>
      </c>
      <c r="F16066" s="1">
        <v>45274</v>
      </c>
      <c r="G16066" t="str">
        <f>"81523"</f>
        <v>81523</v>
      </c>
      <c r="H16066">
        <v>1</v>
      </c>
      <c r="I16066">
        <v>23</v>
      </c>
      <c r="J16066">
        <v>0</v>
      </c>
      <c r="K16066" t="str">
        <f t="shared" si="2876"/>
        <v>801</v>
      </c>
      <c r="L16066">
        <v>19.32</v>
      </c>
    </row>
    <row r="16067" spans="1:12" x14ac:dyDescent="0.25">
      <c r="A16067" t="str">
        <f t="shared" si="2877"/>
        <v>89301000</v>
      </c>
      <c r="B16067" t="str">
        <f t="shared" si="2871"/>
        <v>91009000</v>
      </c>
      <c r="C16067" t="str">
        <f t="shared" si="2874"/>
        <v>91009581</v>
      </c>
      <c r="D16067">
        <v>89301167</v>
      </c>
      <c r="E16067" t="str">
        <f t="shared" si="2875"/>
        <v>7506255636</v>
      </c>
      <c r="F16067" s="1">
        <v>45274</v>
      </c>
      <c r="G16067" t="str">
        <f>"91153"</f>
        <v>91153</v>
      </c>
      <c r="H16067">
        <v>1</v>
      </c>
      <c r="I16067">
        <v>153</v>
      </c>
      <c r="J16067">
        <v>0</v>
      </c>
      <c r="K16067" t="str">
        <f t="shared" si="2876"/>
        <v>801</v>
      </c>
      <c r="L16067">
        <v>128.52000000000001</v>
      </c>
    </row>
    <row r="16068" spans="1:12" x14ac:dyDescent="0.25">
      <c r="A16068" t="str">
        <f t="shared" si="2877"/>
        <v>89301000</v>
      </c>
      <c r="B16068" t="str">
        <f t="shared" si="2871"/>
        <v>91009000</v>
      </c>
      <c r="C16068" t="str">
        <f t="shared" si="2874"/>
        <v>91009581</v>
      </c>
      <c r="D16068">
        <v>89301167</v>
      </c>
      <c r="E16068" t="str">
        <f t="shared" si="2875"/>
        <v>7506255636</v>
      </c>
      <c r="F16068" s="1">
        <v>45274</v>
      </c>
      <c r="G16068" t="str">
        <f>"97111"</f>
        <v>97111</v>
      </c>
      <c r="H16068">
        <v>1</v>
      </c>
      <c r="I16068">
        <v>19</v>
      </c>
      <c r="J16068">
        <v>0</v>
      </c>
      <c r="K16068" t="str">
        <f t="shared" si="2876"/>
        <v>801</v>
      </c>
      <c r="L16068">
        <v>23.94</v>
      </c>
    </row>
    <row r="16069" spans="1:12" x14ac:dyDescent="0.25">
      <c r="A16069" t="str">
        <f t="shared" si="2877"/>
        <v>89301000</v>
      </c>
      <c r="B16069" t="str">
        <f t="shared" si="2871"/>
        <v>91009000</v>
      </c>
      <c r="C16069" t="str">
        <f t="shared" si="2874"/>
        <v>91009581</v>
      </c>
      <c r="D16069">
        <v>89301167</v>
      </c>
      <c r="E16069" t="str">
        <f>"530220073"</f>
        <v>530220073</v>
      </c>
      <c r="F16069" s="1">
        <v>45261</v>
      </c>
      <c r="G16069" t="str">
        <f>"81383"</f>
        <v>81383</v>
      </c>
      <c r="H16069">
        <v>1</v>
      </c>
      <c r="I16069">
        <v>24</v>
      </c>
      <c r="J16069">
        <v>0</v>
      </c>
      <c r="K16069" t="str">
        <f t="shared" si="2876"/>
        <v>801</v>
      </c>
      <c r="L16069">
        <v>20.16</v>
      </c>
    </row>
    <row r="16070" spans="1:12" x14ac:dyDescent="0.25">
      <c r="A16070" t="str">
        <f t="shared" si="2877"/>
        <v>89301000</v>
      </c>
      <c r="B16070" t="str">
        <f t="shared" si="2871"/>
        <v>91009000</v>
      </c>
      <c r="C16070" t="str">
        <f t="shared" si="2874"/>
        <v>91009581</v>
      </c>
      <c r="D16070">
        <v>89301167</v>
      </c>
      <c r="E16070" t="str">
        <f>"530220073"</f>
        <v>530220073</v>
      </c>
      <c r="F16070" s="1">
        <v>45261</v>
      </c>
      <c r="G16070" t="str">
        <f>"97111"</f>
        <v>97111</v>
      </c>
      <c r="H16070">
        <v>1</v>
      </c>
      <c r="I16070">
        <v>19</v>
      </c>
      <c r="J16070">
        <v>0</v>
      </c>
      <c r="K16070" t="str">
        <f t="shared" si="2876"/>
        <v>801</v>
      </c>
      <c r="L16070">
        <v>23.94</v>
      </c>
    </row>
    <row r="16071" spans="1:12" x14ac:dyDescent="0.25">
      <c r="A16071" t="str">
        <f t="shared" si="2877"/>
        <v>89301000</v>
      </c>
      <c r="B16071" t="str">
        <f t="shared" si="2871"/>
        <v>91009000</v>
      </c>
      <c r="C16071" t="str">
        <f t="shared" si="2874"/>
        <v>91009581</v>
      </c>
      <c r="D16071">
        <v>89301212</v>
      </c>
      <c r="E16071" t="str">
        <f>"8556125776"</f>
        <v>8556125776</v>
      </c>
      <c r="F16071" s="1">
        <v>45272</v>
      </c>
      <c r="G16071" t="str">
        <f>"97111"</f>
        <v>97111</v>
      </c>
      <c r="H16071">
        <v>1</v>
      </c>
      <c r="I16071">
        <v>19</v>
      </c>
      <c r="J16071">
        <v>0</v>
      </c>
      <c r="K16071" t="str">
        <f t="shared" si="2876"/>
        <v>801</v>
      </c>
      <c r="L16071">
        <v>23.94</v>
      </c>
    </row>
    <row r="16072" spans="1:12" x14ac:dyDescent="0.25">
      <c r="A16072" t="str">
        <f t="shared" si="2877"/>
        <v>89301000</v>
      </c>
      <c r="B16072" t="str">
        <f t="shared" si="2871"/>
        <v>91009000</v>
      </c>
      <c r="C16072" t="str">
        <f>"91009583"</f>
        <v>91009583</v>
      </c>
      <c r="D16072">
        <v>89301336</v>
      </c>
      <c r="E16072" t="str">
        <f>"8655295770"</f>
        <v>8655295770</v>
      </c>
      <c r="F16072" s="1">
        <v>45279</v>
      </c>
      <c r="G16072" t="str">
        <f>"82097"</f>
        <v>82097</v>
      </c>
      <c r="H16072">
        <v>5</v>
      </c>
      <c r="I16072">
        <v>1905</v>
      </c>
      <c r="J16072">
        <v>0</v>
      </c>
      <c r="K16072" t="str">
        <f>"802"</f>
        <v>802</v>
      </c>
      <c r="L16072">
        <v>1847.85</v>
      </c>
    </row>
    <row r="16073" spans="1:12" x14ac:dyDescent="0.25">
      <c r="A16073" t="str">
        <f t="shared" si="2877"/>
        <v>89301000</v>
      </c>
      <c r="B16073" t="str">
        <f t="shared" si="2871"/>
        <v>91009000</v>
      </c>
      <c r="C16073" t="str">
        <f>"91009605"</f>
        <v>91009605</v>
      </c>
      <c r="D16073">
        <v>89301109</v>
      </c>
      <c r="E16073" t="str">
        <f>"1008040220"</f>
        <v>1008040220</v>
      </c>
      <c r="F16073" s="1">
        <v>45272</v>
      </c>
      <c r="G16073" t="str">
        <f>"91431"</f>
        <v>91431</v>
      </c>
      <c r="H16073">
        <v>1</v>
      </c>
      <c r="I16073">
        <v>543</v>
      </c>
      <c r="J16073">
        <v>0</v>
      </c>
      <c r="K16073" t="str">
        <f>"818"</f>
        <v>818</v>
      </c>
      <c r="L16073">
        <v>526.71</v>
      </c>
    </row>
    <row r="16074" spans="1:12" x14ac:dyDescent="0.25">
      <c r="A16074" t="str">
        <f t="shared" si="2877"/>
        <v>89301000</v>
      </c>
      <c r="B16074" t="str">
        <f t="shared" si="2871"/>
        <v>91009000</v>
      </c>
      <c r="C16074" t="str">
        <f>"91009605"</f>
        <v>91009605</v>
      </c>
      <c r="D16074">
        <v>89301109</v>
      </c>
      <c r="E16074" t="str">
        <f>"1008040220"</f>
        <v>1008040220</v>
      </c>
      <c r="F16074" s="1">
        <v>45274</v>
      </c>
      <c r="G16074" t="str">
        <f>"22122"</f>
        <v>22122</v>
      </c>
      <c r="H16074">
        <v>1</v>
      </c>
      <c r="I16074">
        <v>588</v>
      </c>
      <c r="J16074">
        <v>0</v>
      </c>
      <c r="K16074" t="str">
        <f>"818"</f>
        <v>818</v>
      </c>
      <c r="L16074">
        <v>570.36</v>
      </c>
    </row>
    <row r="16075" spans="1:12" x14ac:dyDescent="0.25">
      <c r="A16075" t="str">
        <f t="shared" si="2877"/>
        <v>89301000</v>
      </c>
      <c r="B16075" t="str">
        <f t="shared" si="2871"/>
        <v>91009000</v>
      </c>
      <c r="C16075" t="str">
        <f>"91009605"</f>
        <v>91009605</v>
      </c>
      <c r="D16075">
        <v>89301109</v>
      </c>
      <c r="E16075" t="str">
        <f>"1008040220"</f>
        <v>1008040220</v>
      </c>
      <c r="F16075" s="1">
        <v>45274</v>
      </c>
      <c r="G16075" t="str">
        <f>"22123"</f>
        <v>22123</v>
      </c>
      <c r="H16075">
        <v>1</v>
      </c>
      <c r="I16075">
        <v>334</v>
      </c>
      <c r="J16075">
        <v>0</v>
      </c>
      <c r="K16075" t="str">
        <f>"818"</f>
        <v>818</v>
      </c>
      <c r="L16075">
        <v>323.98</v>
      </c>
    </row>
    <row r="16076" spans="1:12" x14ac:dyDescent="0.25">
      <c r="A16076" t="str">
        <f t="shared" si="2877"/>
        <v>89301000</v>
      </c>
      <c r="B16076" t="str">
        <f t="shared" si="2871"/>
        <v>91009000</v>
      </c>
      <c r="C16076" t="str">
        <f>"91009605"</f>
        <v>91009605</v>
      </c>
      <c r="D16076">
        <v>89301109</v>
      </c>
      <c r="E16076" t="str">
        <f>"1008040220"</f>
        <v>1008040220</v>
      </c>
      <c r="F16076" s="1">
        <v>45274</v>
      </c>
      <c r="G16076" t="str">
        <f>"22127"</f>
        <v>22127</v>
      </c>
      <c r="H16076">
        <v>1</v>
      </c>
      <c r="I16076">
        <v>340</v>
      </c>
      <c r="J16076">
        <v>0</v>
      </c>
      <c r="K16076" t="str">
        <f>"818"</f>
        <v>818</v>
      </c>
      <c r="L16076">
        <v>329.8</v>
      </c>
    </row>
    <row r="16077" spans="1:12" x14ac:dyDescent="0.25">
      <c r="A16077" t="str">
        <f t="shared" si="2877"/>
        <v>89301000</v>
      </c>
      <c r="B16077" t="str">
        <f t="shared" si="2871"/>
        <v>91009000</v>
      </c>
      <c r="C16077" t="str">
        <f>"91009522"</f>
        <v>91009522</v>
      </c>
      <c r="D16077">
        <v>89301282</v>
      </c>
      <c r="E16077" t="str">
        <f>"7262244462"</f>
        <v>7262244462</v>
      </c>
      <c r="F16077" s="1">
        <v>45193</v>
      </c>
      <c r="G16077" t="str">
        <f>"94955"</f>
        <v>94955</v>
      </c>
      <c r="H16077">
        <v>1</v>
      </c>
      <c r="I16077">
        <v>0</v>
      </c>
      <c r="J16077">
        <v>2929</v>
      </c>
      <c r="K16077" t="str">
        <f>"816"</f>
        <v>816</v>
      </c>
      <c r="L16077">
        <v>2929</v>
      </c>
    </row>
    <row r="16078" spans="1:12" x14ac:dyDescent="0.25">
      <c r="A16078" t="str">
        <f t="shared" si="2877"/>
        <v>89301000</v>
      </c>
      <c r="B16078" t="str">
        <f t="shared" ref="B16078:B16107" si="2878">"02004000"</f>
        <v>02004000</v>
      </c>
      <c r="C16078" t="str">
        <f t="shared" ref="C16078:C16087" si="2879">"02004556"</f>
        <v>02004556</v>
      </c>
      <c r="D16078">
        <v>89301028</v>
      </c>
      <c r="E16078" t="str">
        <f>"8808300028"</f>
        <v>8808300028</v>
      </c>
      <c r="F16078" s="1">
        <v>45265</v>
      </c>
      <c r="G16078" t="str">
        <f>"91249"</f>
        <v>91249</v>
      </c>
      <c r="H16078">
        <v>1</v>
      </c>
      <c r="I16078">
        <v>1495</v>
      </c>
      <c r="J16078">
        <v>0</v>
      </c>
      <c r="K16078" t="str">
        <f t="shared" ref="K16078:K16087" si="2880">"813"</f>
        <v>813</v>
      </c>
      <c r="L16078">
        <v>1255.8</v>
      </c>
    </row>
    <row r="16079" spans="1:12" x14ac:dyDescent="0.25">
      <c r="A16079" t="str">
        <f t="shared" si="2877"/>
        <v>89301000</v>
      </c>
      <c r="B16079" t="str">
        <f t="shared" si="2878"/>
        <v>02004000</v>
      </c>
      <c r="C16079" t="str">
        <f t="shared" si="2879"/>
        <v>02004556</v>
      </c>
      <c r="D16079">
        <v>89301028</v>
      </c>
      <c r="E16079" t="str">
        <f>"8808300028"</f>
        <v>8808300028</v>
      </c>
      <c r="F16079" s="1">
        <v>45265</v>
      </c>
      <c r="G16079" t="str">
        <f>"91251"</f>
        <v>91251</v>
      </c>
      <c r="H16079">
        <v>1</v>
      </c>
      <c r="I16079">
        <v>1495</v>
      </c>
      <c r="J16079">
        <v>0</v>
      </c>
      <c r="K16079" t="str">
        <f t="shared" si="2880"/>
        <v>813</v>
      </c>
      <c r="L16079">
        <v>1255.8</v>
      </c>
    </row>
    <row r="16080" spans="1:12" x14ac:dyDescent="0.25">
      <c r="A16080" t="str">
        <f t="shared" si="2877"/>
        <v>89301000</v>
      </c>
      <c r="B16080" t="str">
        <f t="shared" si="2878"/>
        <v>02004000</v>
      </c>
      <c r="C16080" t="str">
        <f t="shared" si="2879"/>
        <v>02004556</v>
      </c>
      <c r="D16080">
        <v>89301102</v>
      </c>
      <c r="E16080" t="str">
        <f>"0706231383"</f>
        <v>0706231383</v>
      </c>
      <c r="F16080" s="1">
        <v>45268</v>
      </c>
      <c r="G16080" t="str">
        <f>"91249"</f>
        <v>91249</v>
      </c>
      <c r="H16080">
        <v>1</v>
      </c>
      <c r="I16080">
        <v>1495</v>
      </c>
      <c r="J16080">
        <v>0</v>
      </c>
      <c r="K16080" t="str">
        <f t="shared" si="2880"/>
        <v>813</v>
      </c>
      <c r="L16080">
        <v>1255.8</v>
      </c>
    </row>
    <row r="16081" spans="1:12" x14ac:dyDescent="0.25">
      <c r="A16081" t="str">
        <f t="shared" si="2877"/>
        <v>89301000</v>
      </c>
      <c r="B16081" t="str">
        <f t="shared" si="2878"/>
        <v>02004000</v>
      </c>
      <c r="C16081" t="str">
        <f t="shared" si="2879"/>
        <v>02004556</v>
      </c>
      <c r="D16081">
        <v>89301102</v>
      </c>
      <c r="E16081" t="str">
        <f>"0706231383"</f>
        <v>0706231383</v>
      </c>
      <c r="F16081" s="1">
        <v>45268</v>
      </c>
      <c r="G16081" t="str">
        <f>"91251"</f>
        <v>91251</v>
      </c>
      <c r="H16081">
        <v>1</v>
      </c>
      <c r="I16081">
        <v>1495</v>
      </c>
      <c r="J16081">
        <v>0</v>
      </c>
      <c r="K16081" t="str">
        <f t="shared" si="2880"/>
        <v>813</v>
      </c>
      <c r="L16081">
        <v>1255.8</v>
      </c>
    </row>
    <row r="16082" spans="1:12" x14ac:dyDescent="0.25">
      <c r="A16082" t="str">
        <f t="shared" si="2877"/>
        <v>89301000</v>
      </c>
      <c r="B16082" t="str">
        <f t="shared" si="2878"/>
        <v>02004000</v>
      </c>
      <c r="C16082" t="str">
        <f t="shared" si="2879"/>
        <v>02004556</v>
      </c>
      <c r="D16082">
        <v>89301102</v>
      </c>
      <c r="E16082" t="str">
        <f>"0909103272"</f>
        <v>0909103272</v>
      </c>
      <c r="F16082" s="1">
        <v>45272</v>
      </c>
      <c r="G16082" t="str">
        <f>"91249"</f>
        <v>91249</v>
      </c>
      <c r="H16082">
        <v>1</v>
      </c>
      <c r="I16082">
        <v>1495</v>
      </c>
      <c r="J16082">
        <v>0</v>
      </c>
      <c r="K16082" t="str">
        <f t="shared" si="2880"/>
        <v>813</v>
      </c>
      <c r="L16082">
        <v>1255.8</v>
      </c>
    </row>
    <row r="16083" spans="1:12" x14ac:dyDescent="0.25">
      <c r="A16083" t="str">
        <f t="shared" si="2877"/>
        <v>89301000</v>
      </c>
      <c r="B16083" t="str">
        <f t="shared" si="2878"/>
        <v>02004000</v>
      </c>
      <c r="C16083" t="str">
        <f t="shared" si="2879"/>
        <v>02004556</v>
      </c>
      <c r="D16083">
        <v>89301102</v>
      </c>
      <c r="E16083" t="str">
        <f>"0909103272"</f>
        <v>0909103272</v>
      </c>
      <c r="F16083" s="1">
        <v>45272</v>
      </c>
      <c r="G16083" t="str">
        <f>"91251"</f>
        <v>91251</v>
      </c>
      <c r="H16083">
        <v>1</v>
      </c>
      <c r="I16083">
        <v>1495</v>
      </c>
      <c r="J16083">
        <v>0</v>
      </c>
      <c r="K16083" t="str">
        <f t="shared" si="2880"/>
        <v>813</v>
      </c>
      <c r="L16083">
        <v>1255.8</v>
      </c>
    </row>
    <row r="16084" spans="1:12" x14ac:dyDescent="0.25">
      <c r="A16084" t="str">
        <f t="shared" si="2877"/>
        <v>89301000</v>
      </c>
      <c r="B16084" t="str">
        <f t="shared" si="2878"/>
        <v>02004000</v>
      </c>
      <c r="C16084" t="str">
        <f t="shared" si="2879"/>
        <v>02004556</v>
      </c>
      <c r="D16084">
        <v>89301702</v>
      </c>
      <c r="E16084" t="str">
        <f>"0959263250"</f>
        <v>0959263250</v>
      </c>
      <c r="F16084" s="1">
        <v>45265</v>
      </c>
      <c r="G16084" t="str">
        <f>"91249"</f>
        <v>91249</v>
      </c>
      <c r="H16084">
        <v>1</v>
      </c>
      <c r="I16084">
        <v>1495</v>
      </c>
      <c r="J16084">
        <v>0</v>
      </c>
      <c r="K16084" t="str">
        <f t="shared" si="2880"/>
        <v>813</v>
      </c>
      <c r="L16084">
        <v>1255.8</v>
      </c>
    </row>
    <row r="16085" spans="1:12" x14ac:dyDescent="0.25">
      <c r="A16085" t="str">
        <f t="shared" si="2877"/>
        <v>89301000</v>
      </c>
      <c r="B16085" t="str">
        <f t="shared" si="2878"/>
        <v>02004000</v>
      </c>
      <c r="C16085" t="str">
        <f t="shared" si="2879"/>
        <v>02004556</v>
      </c>
      <c r="D16085">
        <v>89301702</v>
      </c>
      <c r="E16085" t="str">
        <f>"0959263250"</f>
        <v>0959263250</v>
      </c>
      <c r="F16085" s="1">
        <v>45265</v>
      </c>
      <c r="G16085" t="str">
        <f>"91251"</f>
        <v>91251</v>
      </c>
      <c r="H16085">
        <v>1</v>
      </c>
      <c r="I16085">
        <v>1495</v>
      </c>
      <c r="J16085">
        <v>0</v>
      </c>
      <c r="K16085" t="str">
        <f t="shared" si="2880"/>
        <v>813</v>
      </c>
      <c r="L16085">
        <v>1255.8</v>
      </c>
    </row>
    <row r="16086" spans="1:12" x14ac:dyDescent="0.25">
      <c r="A16086" t="str">
        <f t="shared" si="2877"/>
        <v>89301000</v>
      </c>
      <c r="B16086" t="str">
        <f t="shared" si="2878"/>
        <v>02004000</v>
      </c>
      <c r="C16086" t="str">
        <f t="shared" si="2879"/>
        <v>02004556</v>
      </c>
      <c r="D16086">
        <v>89301102</v>
      </c>
      <c r="E16086" t="str">
        <f>"0705263240"</f>
        <v>0705263240</v>
      </c>
      <c r="F16086" s="1">
        <v>45267</v>
      </c>
      <c r="G16086" t="str">
        <f>"91249"</f>
        <v>91249</v>
      </c>
      <c r="H16086">
        <v>1</v>
      </c>
      <c r="I16086">
        <v>1495</v>
      </c>
      <c r="J16086">
        <v>0</v>
      </c>
      <c r="K16086" t="str">
        <f t="shared" si="2880"/>
        <v>813</v>
      </c>
      <c r="L16086">
        <v>1255.8</v>
      </c>
    </row>
    <row r="16087" spans="1:12" x14ac:dyDescent="0.25">
      <c r="A16087" t="str">
        <f t="shared" si="2877"/>
        <v>89301000</v>
      </c>
      <c r="B16087" t="str">
        <f t="shared" si="2878"/>
        <v>02004000</v>
      </c>
      <c r="C16087" t="str">
        <f t="shared" si="2879"/>
        <v>02004556</v>
      </c>
      <c r="D16087">
        <v>89301102</v>
      </c>
      <c r="E16087" t="str">
        <f>"0705263240"</f>
        <v>0705263240</v>
      </c>
      <c r="F16087" s="1">
        <v>45267</v>
      </c>
      <c r="G16087" t="str">
        <f>"91251"</f>
        <v>91251</v>
      </c>
      <c r="H16087">
        <v>1</v>
      </c>
      <c r="I16087">
        <v>1495</v>
      </c>
      <c r="J16087">
        <v>0</v>
      </c>
      <c r="K16087" t="str">
        <f t="shared" si="2880"/>
        <v>813</v>
      </c>
      <c r="L16087">
        <v>1255.8</v>
      </c>
    </row>
    <row r="16088" spans="1:12" x14ac:dyDescent="0.25">
      <c r="A16088" t="str">
        <f t="shared" si="2877"/>
        <v>89301000</v>
      </c>
      <c r="B16088" t="str">
        <f t="shared" si="2878"/>
        <v>02004000</v>
      </c>
      <c r="C16088" t="str">
        <f>"02004561"</f>
        <v>02004561</v>
      </c>
      <c r="D16088">
        <v>89301101</v>
      </c>
      <c r="E16088" t="str">
        <f>"0557206177"</f>
        <v>0557206177</v>
      </c>
      <c r="F16088" s="1">
        <v>45212</v>
      </c>
      <c r="G16088" t="str">
        <f>"81655"</f>
        <v>81655</v>
      </c>
      <c r="H16088">
        <v>2</v>
      </c>
      <c r="I16088">
        <v>1146</v>
      </c>
      <c r="J16088">
        <v>0</v>
      </c>
      <c r="K16088" t="str">
        <f>"801"</f>
        <v>801</v>
      </c>
      <c r="L16088">
        <v>962.64</v>
      </c>
    </row>
    <row r="16089" spans="1:12" x14ac:dyDescent="0.25">
      <c r="A16089" t="str">
        <f t="shared" si="2877"/>
        <v>89301000</v>
      </c>
      <c r="B16089" t="str">
        <f t="shared" si="2878"/>
        <v>02004000</v>
      </c>
      <c r="C16089" t="str">
        <f>"02004545"</f>
        <v>02004545</v>
      </c>
      <c r="D16089">
        <v>89301282</v>
      </c>
      <c r="E16089" t="str">
        <f>"0508315302"</f>
        <v>0508315302</v>
      </c>
      <c r="F16089" s="1">
        <v>45233</v>
      </c>
      <c r="G16089" t="str">
        <f>"94351"</f>
        <v>94351</v>
      </c>
      <c r="H16089">
        <v>3</v>
      </c>
      <c r="I16089">
        <v>5190</v>
      </c>
      <c r="J16089">
        <v>0</v>
      </c>
      <c r="K16089" t="str">
        <f>"816"</f>
        <v>816</v>
      </c>
      <c r="L16089">
        <v>4671</v>
      </c>
    </row>
    <row r="16090" spans="1:12" x14ac:dyDescent="0.25">
      <c r="A16090" t="str">
        <f t="shared" si="2877"/>
        <v>89301000</v>
      </c>
      <c r="B16090" t="str">
        <f t="shared" si="2878"/>
        <v>02004000</v>
      </c>
      <c r="C16090" t="str">
        <f>"02004561"</f>
        <v>02004561</v>
      </c>
      <c r="D16090">
        <v>89301101</v>
      </c>
      <c r="E16090" t="str">
        <f>"0854013226"</f>
        <v>0854013226</v>
      </c>
      <c r="F16090" s="1">
        <v>45253</v>
      </c>
      <c r="G16090" t="str">
        <f>"81261"</f>
        <v>81261</v>
      </c>
      <c r="H16090">
        <v>1</v>
      </c>
      <c r="I16090">
        <v>53</v>
      </c>
      <c r="J16090">
        <v>0</v>
      </c>
      <c r="K16090" t="str">
        <f>"801"</f>
        <v>801</v>
      </c>
      <c r="L16090">
        <v>44.52</v>
      </c>
    </row>
    <row r="16091" spans="1:12" x14ac:dyDescent="0.25">
      <c r="A16091" t="str">
        <f t="shared" si="2877"/>
        <v>89301000</v>
      </c>
      <c r="B16091" t="str">
        <f t="shared" si="2878"/>
        <v>02004000</v>
      </c>
      <c r="C16091" t="str">
        <f>"02004561"</f>
        <v>02004561</v>
      </c>
      <c r="D16091">
        <v>89301101</v>
      </c>
      <c r="E16091" t="str">
        <f>"0854013226"</f>
        <v>0854013226</v>
      </c>
      <c r="F16091" s="1">
        <v>45253</v>
      </c>
      <c r="G16091" t="str">
        <f>"81655"</f>
        <v>81655</v>
      </c>
      <c r="H16091">
        <v>2</v>
      </c>
      <c r="I16091">
        <v>1146</v>
      </c>
      <c r="J16091">
        <v>0</v>
      </c>
      <c r="K16091" t="str">
        <f>"801"</f>
        <v>801</v>
      </c>
      <c r="L16091">
        <v>962.64</v>
      </c>
    </row>
    <row r="16092" spans="1:12" x14ac:dyDescent="0.25">
      <c r="A16092" t="str">
        <f t="shared" si="2877"/>
        <v>89301000</v>
      </c>
      <c r="B16092" t="str">
        <f t="shared" si="2878"/>
        <v>02004000</v>
      </c>
      <c r="C16092" t="str">
        <f>"02004561"</f>
        <v>02004561</v>
      </c>
      <c r="D16092">
        <v>89301101</v>
      </c>
      <c r="E16092" t="str">
        <f>"0854013226"</f>
        <v>0854013226</v>
      </c>
      <c r="F16092" s="1">
        <v>45253</v>
      </c>
      <c r="G16092" t="str">
        <f>"81665"</f>
        <v>81665</v>
      </c>
      <c r="H16092">
        <v>2</v>
      </c>
      <c r="I16092">
        <v>3634</v>
      </c>
      <c r="J16092">
        <v>0</v>
      </c>
      <c r="K16092" t="str">
        <f>"801"</f>
        <v>801</v>
      </c>
      <c r="L16092">
        <v>3052.56</v>
      </c>
    </row>
    <row r="16093" spans="1:12" x14ac:dyDescent="0.25">
      <c r="A16093" t="str">
        <f t="shared" si="2877"/>
        <v>89301000</v>
      </c>
      <c r="B16093" t="str">
        <f t="shared" si="2878"/>
        <v>02004000</v>
      </c>
      <c r="C16093" t="str">
        <f>"02004561"</f>
        <v>02004561</v>
      </c>
      <c r="D16093">
        <v>89301102</v>
      </c>
      <c r="E16093" t="str">
        <f>"1361090005"</f>
        <v>1361090005</v>
      </c>
      <c r="F16093" s="1">
        <v>45253</v>
      </c>
      <c r="G16093" t="str">
        <f>"81655"</f>
        <v>81655</v>
      </c>
      <c r="H16093">
        <v>2</v>
      </c>
      <c r="I16093">
        <v>1146</v>
      </c>
      <c r="J16093">
        <v>0</v>
      </c>
      <c r="K16093" t="str">
        <f>"801"</f>
        <v>801</v>
      </c>
      <c r="L16093">
        <v>962.64</v>
      </c>
    </row>
    <row r="16094" spans="1:12" x14ac:dyDescent="0.25">
      <c r="A16094" t="str">
        <f t="shared" si="2877"/>
        <v>89301000</v>
      </c>
      <c r="B16094" t="str">
        <f t="shared" si="2878"/>
        <v>02004000</v>
      </c>
      <c r="C16094" t="str">
        <f>"02004545"</f>
        <v>02004545</v>
      </c>
      <c r="D16094">
        <v>89301282</v>
      </c>
      <c r="E16094" t="str">
        <f>"9507164854"</f>
        <v>9507164854</v>
      </c>
      <c r="F16094" s="1">
        <v>45261</v>
      </c>
      <c r="G16094" t="str">
        <f>"94351"</f>
        <v>94351</v>
      </c>
      <c r="H16094">
        <v>3</v>
      </c>
      <c r="I16094">
        <v>5190</v>
      </c>
      <c r="J16094">
        <v>0</v>
      </c>
      <c r="K16094" t="str">
        <f>"816"</f>
        <v>816</v>
      </c>
      <c r="L16094">
        <v>4671</v>
      </c>
    </row>
    <row r="16095" spans="1:12" x14ac:dyDescent="0.25">
      <c r="A16095" t="str">
        <f t="shared" si="2877"/>
        <v>89301000</v>
      </c>
      <c r="B16095" t="str">
        <f t="shared" si="2878"/>
        <v>02004000</v>
      </c>
      <c r="C16095" t="str">
        <f>"02004545"</f>
        <v>02004545</v>
      </c>
      <c r="D16095">
        <v>89301282</v>
      </c>
      <c r="E16095" t="str">
        <f>"0508315302"</f>
        <v>0508315302</v>
      </c>
      <c r="F16095" s="1">
        <v>45265</v>
      </c>
      <c r="G16095" t="str">
        <f>"94221"</f>
        <v>94221</v>
      </c>
      <c r="H16095">
        <v>2</v>
      </c>
      <c r="I16095">
        <v>4934</v>
      </c>
      <c r="J16095">
        <v>0</v>
      </c>
      <c r="K16095" t="str">
        <f>"816"</f>
        <v>816</v>
      </c>
      <c r="L16095">
        <v>4440.6000000000004</v>
      </c>
    </row>
    <row r="16096" spans="1:12" x14ac:dyDescent="0.25">
      <c r="A16096" t="str">
        <f t="shared" si="2877"/>
        <v>89301000</v>
      </c>
      <c r="B16096" t="str">
        <f t="shared" si="2878"/>
        <v>02004000</v>
      </c>
      <c r="C16096" t="str">
        <f t="shared" ref="C16096:C16107" si="2881">"02004556"</f>
        <v>02004556</v>
      </c>
      <c r="D16096">
        <v>89301102</v>
      </c>
      <c r="E16096" t="str">
        <f>"0658303239"</f>
        <v>0658303239</v>
      </c>
      <c r="F16096" s="1">
        <v>45246</v>
      </c>
      <c r="G16096" t="str">
        <f>"91249"</f>
        <v>91249</v>
      </c>
      <c r="H16096">
        <v>1</v>
      </c>
      <c r="I16096">
        <v>1495</v>
      </c>
      <c r="J16096">
        <v>0</v>
      </c>
      <c r="K16096" t="str">
        <f t="shared" ref="K16096:K16107" si="2882">"813"</f>
        <v>813</v>
      </c>
      <c r="L16096">
        <v>1255.8</v>
      </c>
    </row>
    <row r="16097" spans="1:12" x14ac:dyDescent="0.25">
      <c r="A16097" t="str">
        <f t="shared" si="2877"/>
        <v>89301000</v>
      </c>
      <c r="B16097" t="str">
        <f t="shared" si="2878"/>
        <v>02004000</v>
      </c>
      <c r="C16097" t="str">
        <f t="shared" si="2881"/>
        <v>02004556</v>
      </c>
      <c r="D16097">
        <v>89301102</v>
      </c>
      <c r="E16097" t="str">
        <f>"0658303239"</f>
        <v>0658303239</v>
      </c>
      <c r="F16097" s="1">
        <v>45246</v>
      </c>
      <c r="G16097" t="str">
        <f>"91251"</f>
        <v>91251</v>
      </c>
      <c r="H16097">
        <v>1</v>
      </c>
      <c r="I16097">
        <v>1495</v>
      </c>
      <c r="J16097">
        <v>0</v>
      </c>
      <c r="K16097" t="str">
        <f t="shared" si="2882"/>
        <v>813</v>
      </c>
      <c r="L16097">
        <v>1255.8</v>
      </c>
    </row>
    <row r="16098" spans="1:12" x14ac:dyDescent="0.25">
      <c r="A16098" t="str">
        <f t="shared" si="2877"/>
        <v>89301000</v>
      </c>
      <c r="B16098" t="str">
        <f t="shared" si="2878"/>
        <v>02004000</v>
      </c>
      <c r="C16098" t="str">
        <f t="shared" si="2881"/>
        <v>02004556</v>
      </c>
      <c r="D16098">
        <v>89301702</v>
      </c>
      <c r="E16098" t="str">
        <f>"1405190622"</f>
        <v>1405190622</v>
      </c>
      <c r="F16098" s="1">
        <v>45251</v>
      </c>
      <c r="G16098" t="str">
        <f>"91251"</f>
        <v>91251</v>
      </c>
      <c r="H16098">
        <v>1</v>
      </c>
      <c r="I16098">
        <v>1495</v>
      </c>
      <c r="J16098">
        <v>0</v>
      </c>
      <c r="K16098" t="str">
        <f t="shared" si="2882"/>
        <v>813</v>
      </c>
      <c r="L16098">
        <v>1255.8</v>
      </c>
    </row>
    <row r="16099" spans="1:12" x14ac:dyDescent="0.25">
      <c r="A16099" t="str">
        <f t="shared" si="2877"/>
        <v>89301000</v>
      </c>
      <c r="B16099" t="str">
        <f t="shared" si="2878"/>
        <v>02004000</v>
      </c>
      <c r="C16099" t="str">
        <f t="shared" si="2881"/>
        <v>02004556</v>
      </c>
      <c r="D16099">
        <v>89301702</v>
      </c>
      <c r="E16099" t="str">
        <f>"1405190622"</f>
        <v>1405190622</v>
      </c>
      <c r="F16099" s="1">
        <v>45251</v>
      </c>
      <c r="G16099" t="str">
        <f>"91249"</f>
        <v>91249</v>
      </c>
      <c r="H16099">
        <v>1</v>
      </c>
      <c r="I16099">
        <v>1495</v>
      </c>
      <c r="J16099">
        <v>0</v>
      </c>
      <c r="K16099" t="str">
        <f t="shared" si="2882"/>
        <v>813</v>
      </c>
      <c r="L16099">
        <v>1255.8</v>
      </c>
    </row>
    <row r="16100" spans="1:12" x14ac:dyDescent="0.25">
      <c r="A16100" t="str">
        <f t="shared" si="2877"/>
        <v>89301000</v>
      </c>
      <c r="B16100" t="str">
        <f t="shared" si="2878"/>
        <v>02004000</v>
      </c>
      <c r="C16100" t="str">
        <f t="shared" si="2881"/>
        <v>02004556</v>
      </c>
      <c r="D16100">
        <v>89301102</v>
      </c>
      <c r="E16100" t="str">
        <f>"0606161380"</f>
        <v>0606161380</v>
      </c>
      <c r="F16100" s="1">
        <v>45251</v>
      </c>
      <c r="G16100" t="str">
        <f>"91249"</f>
        <v>91249</v>
      </c>
      <c r="H16100">
        <v>1</v>
      </c>
      <c r="I16100">
        <v>1495</v>
      </c>
      <c r="J16100">
        <v>0</v>
      </c>
      <c r="K16100" t="str">
        <f t="shared" si="2882"/>
        <v>813</v>
      </c>
      <c r="L16100">
        <v>1255.8</v>
      </c>
    </row>
    <row r="16101" spans="1:12" x14ac:dyDescent="0.25">
      <c r="A16101" t="str">
        <f t="shared" si="2877"/>
        <v>89301000</v>
      </c>
      <c r="B16101" t="str">
        <f t="shared" si="2878"/>
        <v>02004000</v>
      </c>
      <c r="C16101" t="str">
        <f t="shared" si="2881"/>
        <v>02004556</v>
      </c>
      <c r="D16101">
        <v>89301102</v>
      </c>
      <c r="E16101" t="str">
        <f>"0606161380"</f>
        <v>0606161380</v>
      </c>
      <c r="F16101" s="1">
        <v>45251</v>
      </c>
      <c r="G16101" t="str">
        <f>"91251"</f>
        <v>91251</v>
      </c>
      <c r="H16101">
        <v>1</v>
      </c>
      <c r="I16101">
        <v>1495</v>
      </c>
      <c r="J16101">
        <v>0</v>
      </c>
      <c r="K16101" t="str">
        <f t="shared" si="2882"/>
        <v>813</v>
      </c>
      <c r="L16101">
        <v>1255.8</v>
      </c>
    </row>
    <row r="16102" spans="1:12" x14ac:dyDescent="0.25">
      <c r="A16102" t="str">
        <f t="shared" si="2877"/>
        <v>89301000</v>
      </c>
      <c r="B16102" t="str">
        <f t="shared" si="2878"/>
        <v>02004000</v>
      </c>
      <c r="C16102" t="str">
        <f t="shared" si="2881"/>
        <v>02004556</v>
      </c>
      <c r="D16102">
        <v>89301028</v>
      </c>
      <c r="E16102" t="str">
        <f>"9501285728"</f>
        <v>9501285728</v>
      </c>
      <c r="F16102" s="1">
        <v>45253</v>
      </c>
      <c r="G16102" t="str">
        <f>"91249"</f>
        <v>91249</v>
      </c>
      <c r="H16102">
        <v>1</v>
      </c>
      <c r="I16102">
        <v>1495</v>
      </c>
      <c r="J16102">
        <v>0</v>
      </c>
      <c r="K16102" t="str">
        <f t="shared" si="2882"/>
        <v>813</v>
      </c>
      <c r="L16102">
        <v>1255.8</v>
      </c>
    </row>
    <row r="16103" spans="1:12" x14ac:dyDescent="0.25">
      <c r="A16103" t="str">
        <f t="shared" si="2877"/>
        <v>89301000</v>
      </c>
      <c r="B16103" t="str">
        <f t="shared" si="2878"/>
        <v>02004000</v>
      </c>
      <c r="C16103" t="str">
        <f t="shared" si="2881"/>
        <v>02004556</v>
      </c>
      <c r="D16103">
        <v>89301028</v>
      </c>
      <c r="E16103" t="str">
        <f>"9501285728"</f>
        <v>9501285728</v>
      </c>
      <c r="F16103" s="1">
        <v>45253</v>
      </c>
      <c r="G16103" t="str">
        <f>"91251"</f>
        <v>91251</v>
      </c>
      <c r="H16103">
        <v>1</v>
      </c>
      <c r="I16103">
        <v>1495</v>
      </c>
      <c r="J16103">
        <v>0</v>
      </c>
      <c r="K16103" t="str">
        <f t="shared" si="2882"/>
        <v>813</v>
      </c>
      <c r="L16103">
        <v>1255.8</v>
      </c>
    </row>
    <row r="16104" spans="1:12" x14ac:dyDescent="0.25">
      <c r="A16104" t="str">
        <f t="shared" si="2877"/>
        <v>89301000</v>
      </c>
      <c r="B16104" t="str">
        <f t="shared" si="2878"/>
        <v>02004000</v>
      </c>
      <c r="C16104" t="str">
        <f t="shared" si="2881"/>
        <v>02004556</v>
      </c>
      <c r="D16104">
        <v>89301102</v>
      </c>
      <c r="E16104" t="str">
        <f>"0707116157"</f>
        <v>0707116157</v>
      </c>
      <c r="F16104" s="1">
        <v>45257</v>
      </c>
      <c r="G16104" t="str">
        <f>"91249"</f>
        <v>91249</v>
      </c>
      <c r="H16104">
        <v>1</v>
      </c>
      <c r="I16104">
        <v>1495</v>
      </c>
      <c r="J16104">
        <v>0</v>
      </c>
      <c r="K16104" t="str">
        <f t="shared" si="2882"/>
        <v>813</v>
      </c>
      <c r="L16104">
        <v>1255.8</v>
      </c>
    </row>
    <row r="16105" spans="1:12" x14ac:dyDescent="0.25">
      <c r="A16105" t="str">
        <f t="shared" si="2877"/>
        <v>89301000</v>
      </c>
      <c r="B16105" t="str">
        <f t="shared" si="2878"/>
        <v>02004000</v>
      </c>
      <c r="C16105" t="str">
        <f t="shared" si="2881"/>
        <v>02004556</v>
      </c>
      <c r="D16105">
        <v>89301102</v>
      </c>
      <c r="E16105" t="str">
        <f>"0707116157"</f>
        <v>0707116157</v>
      </c>
      <c r="F16105" s="1">
        <v>45257</v>
      </c>
      <c r="G16105" t="str">
        <f>"91251"</f>
        <v>91251</v>
      </c>
      <c r="H16105">
        <v>1</v>
      </c>
      <c r="I16105">
        <v>1495</v>
      </c>
      <c r="J16105">
        <v>0</v>
      </c>
      <c r="K16105" t="str">
        <f t="shared" si="2882"/>
        <v>813</v>
      </c>
      <c r="L16105">
        <v>1255.8</v>
      </c>
    </row>
    <row r="16106" spans="1:12" x14ac:dyDescent="0.25">
      <c r="A16106" t="str">
        <f t="shared" si="2877"/>
        <v>89301000</v>
      </c>
      <c r="B16106" t="str">
        <f t="shared" si="2878"/>
        <v>02004000</v>
      </c>
      <c r="C16106" t="str">
        <f t="shared" si="2881"/>
        <v>02004556</v>
      </c>
      <c r="D16106">
        <v>89301028</v>
      </c>
      <c r="E16106" t="str">
        <f>"9704296195"</f>
        <v>9704296195</v>
      </c>
      <c r="F16106" s="1">
        <v>45254</v>
      </c>
      <c r="G16106" t="str">
        <f>"91249"</f>
        <v>91249</v>
      </c>
      <c r="H16106">
        <v>1</v>
      </c>
      <c r="I16106">
        <v>1495</v>
      </c>
      <c r="J16106">
        <v>0</v>
      </c>
      <c r="K16106" t="str">
        <f t="shared" si="2882"/>
        <v>813</v>
      </c>
      <c r="L16106">
        <v>1255.8</v>
      </c>
    </row>
    <row r="16107" spans="1:12" x14ac:dyDescent="0.25">
      <c r="A16107" t="str">
        <f t="shared" si="2877"/>
        <v>89301000</v>
      </c>
      <c r="B16107" t="str">
        <f t="shared" si="2878"/>
        <v>02004000</v>
      </c>
      <c r="C16107" t="str">
        <f t="shared" si="2881"/>
        <v>02004556</v>
      </c>
      <c r="D16107">
        <v>89301028</v>
      </c>
      <c r="E16107" t="str">
        <f>"9704296195"</f>
        <v>9704296195</v>
      </c>
      <c r="F16107" s="1">
        <v>45254</v>
      </c>
      <c r="G16107" t="str">
        <f>"91251"</f>
        <v>91251</v>
      </c>
      <c r="H16107">
        <v>1</v>
      </c>
      <c r="I16107">
        <v>1495</v>
      </c>
      <c r="J16107">
        <v>0</v>
      </c>
      <c r="K16107" t="str">
        <f t="shared" si="2882"/>
        <v>813</v>
      </c>
      <c r="L16107">
        <v>1255.8</v>
      </c>
    </row>
    <row r="16108" spans="1:12" x14ac:dyDescent="0.25">
      <c r="A16108" t="str">
        <f t="shared" si="2877"/>
        <v>89301000</v>
      </c>
      <c r="B16108" t="str">
        <f>"06223000"</f>
        <v>06223000</v>
      </c>
      <c r="C16108" t="str">
        <f>"06223043"</f>
        <v>06223043</v>
      </c>
      <c r="D16108">
        <v>89301122</v>
      </c>
      <c r="E16108" t="str">
        <f>"525526063"</f>
        <v>525526063</v>
      </c>
      <c r="F16108" s="1">
        <v>45265</v>
      </c>
      <c r="G16108" t="str">
        <f>"81485"</f>
        <v>81485</v>
      </c>
      <c r="H16108">
        <v>1</v>
      </c>
      <c r="I16108">
        <v>461</v>
      </c>
      <c r="J16108">
        <v>0</v>
      </c>
      <c r="K16108" t="str">
        <f>"801"</f>
        <v>801</v>
      </c>
      <c r="L16108">
        <v>387.24</v>
      </c>
    </row>
    <row r="16109" spans="1:12" x14ac:dyDescent="0.25">
      <c r="A16109" t="str">
        <f t="shared" si="2877"/>
        <v>89301000</v>
      </c>
      <c r="B16109" t="str">
        <f>"06223000"</f>
        <v>06223000</v>
      </c>
      <c r="C16109" t="str">
        <f>"06223043"</f>
        <v>06223043</v>
      </c>
      <c r="D16109">
        <v>89301122</v>
      </c>
      <c r="E16109" t="str">
        <f>"0058265702"</f>
        <v>0058265702</v>
      </c>
      <c r="F16109" s="1">
        <v>45264</v>
      </c>
      <c r="G16109" t="str">
        <f>"92165"</f>
        <v>92165</v>
      </c>
      <c r="H16109">
        <v>1</v>
      </c>
      <c r="I16109">
        <v>2162</v>
      </c>
      <c r="J16109">
        <v>0</v>
      </c>
      <c r="K16109" t="str">
        <f>"801"</f>
        <v>801</v>
      </c>
      <c r="L16109">
        <v>1816.08</v>
      </c>
    </row>
    <row r="16110" spans="1:12" x14ac:dyDescent="0.25">
      <c r="A16110" t="str">
        <f t="shared" si="2877"/>
        <v>89301000</v>
      </c>
      <c r="B16110" t="str">
        <f>"06223000"</f>
        <v>06223000</v>
      </c>
      <c r="C16110" t="str">
        <f>"06223043"</f>
        <v>06223043</v>
      </c>
      <c r="D16110">
        <v>89301122</v>
      </c>
      <c r="E16110" t="str">
        <f>"7959244458"</f>
        <v>7959244458</v>
      </c>
      <c r="F16110" s="1">
        <v>45272</v>
      </c>
      <c r="G16110" t="str">
        <f>"81485"</f>
        <v>81485</v>
      </c>
      <c r="H16110">
        <v>1</v>
      </c>
      <c r="I16110">
        <v>461</v>
      </c>
      <c r="J16110">
        <v>0</v>
      </c>
      <c r="K16110" t="str">
        <f>"801"</f>
        <v>801</v>
      </c>
      <c r="L16110">
        <v>387.24</v>
      </c>
    </row>
    <row r="16111" spans="1:12" x14ac:dyDescent="0.25">
      <c r="A16111" t="str">
        <f t="shared" si="2877"/>
        <v>89301000</v>
      </c>
      <c r="B16111" t="str">
        <f>"06223000"</f>
        <v>06223000</v>
      </c>
      <c r="C16111" t="str">
        <f>"06223043"</f>
        <v>06223043</v>
      </c>
      <c r="D16111">
        <v>89301122</v>
      </c>
      <c r="E16111" t="str">
        <f>"7502205337"</f>
        <v>7502205337</v>
      </c>
      <c r="F16111" s="1">
        <v>45279</v>
      </c>
      <c r="G16111" t="str">
        <f>"81485"</f>
        <v>81485</v>
      </c>
      <c r="H16111">
        <v>1</v>
      </c>
      <c r="I16111">
        <v>461</v>
      </c>
      <c r="J16111">
        <v>0</v>
      </c>
      <c r="K16111" t="str">
        <f>"801"</f>
        <v>801</v>
      </c>
      <c r="L16111">
        <v>387.24</v>
      </c>
    </row>
    <row r="16112" spans="1:12" x14ac:dyDescent="0.25">
      <c r="A16112" t="str">
        <f t="shared" si="2877"/>
        <v>89301000</v>
      </c>
      <c r="B16112" t="str">
        <f t="shared" ref="B16112:B16118" si="2883">"44564000"</f>
        <v>44564000</v>
      </c>
      <c r="C16112" t="str">
        <f t="shared" ref="C16112:C16118" si="2884">"44564004"</f>
        <v>44564004</v>
      </c>
      <c r="D16112">
        <v>89301375</v>
      </c>
      <c r="E16112" t="str">
        <f t="shared" ref="E16112:E16118" si="2885">"6002261133"</f>
        <v>6002261133</v>
      </c>
      <c r="F16112" s="1">
        <v>45291</v>
      </c>
      <c r="G16112" t="str">
        <f>"99790"</f>
        <v>99790</v>
      </c>
      <c r="H16112">
        <v>1</v>
      </c>
      <c r="I16112">
        <v>2179</v>
      </c>
      <c r="J16112">
        <v>0</v>
      </c>
      <c r="K16112" t="str">
        <f t="shared" ref="K16112:K16118" si="2886">"807"</f>
        <v>807</v>
      </c>
      <c r="L16112">
        <v>1830.36</v>
      </c>
    </row>
    <row r="16113" spans="1:12" x14ac:dyDescent="0.25">
      <c r="A16113" t="str">
        <f t="shared" si="2877"/>
        <v>89301000</v>
      </c>
      <c r="B16113" t="str">
        <f t="shared" si="2883"/>
        <v>44564000</v>
      </c>
      <c r="C16113" t="str">
        <f t="shared" si="2884"/>
        <v>44564004</v>
      </c>
      <c r="D16113">
        <v>89301375</v>
      </c>
      <c r="E16113" t="str">
        <f t="shared" si="2885"/>
        <v>6002261133</v>
      </c>
      <c r="F16113" s="1">
        <v>45291</v>
      </c>
      <c r="G16113" t="str">
        <f>"87217"</f>
        <v>87217</v>
      </c>
      <c r="H16113">
        <v>1</v>
      </c>
      <c r="I16113">
        <v>215</v>
      </c>
      <c r="J16113">
        <v>0</v>
      </c>
      <c r="K16113" t="str">
        <f t="shared" si="2886"/>
        <v>807</v>
      </c>
      <c r="L16113">
        <v>180.6</v>
      </c>
    </row>
    <row r="16114" spans="1:12" x14ac:dyDescent="0.25">
      <c r="A16114" t="str">
        <f t="shared" si="2877"/>
        <v>89301000</v>
      </c>
      <c r="B16114" t="str">
        <f t="shared" si="2883"/>
        <v>44564000</v>
      </c>
      <c r="C16114" t="str">
        <f t="shared" si="2884"/>
        <v>44564004</v>
      </c>
      <c r="D16114">
        <v>89301375</v>
      </c>
      <c r="E16114" t="str">
        <f t="shared" si="2885"/>
        <v>6002261133</v>
      </c>
      <c r="F16114" s="1">
        <v>45291</v>
      </c>
      <c r="G16114" t="str">
        <f>"87231"</f>
        <v>87231</v>
      </c>
      <c r="H16114">
        <v>9</v>
      </c>
      <c r="I16114">
        <v>3429</v>
      </c>
      <c r="J16114">
        <v>0</v>
      </c>
      <c r="K16114" t="str">
        <f t="shared" si="2886"/>
        <v>807</v>
      </c>
      <c r="L16114">
        <v>2880.36</v>
      </c>
    </row>
    <row r="16115" spans="1:12" x14ac:dyDescent="0.25">
      <c r="A16115" t="str">
        <f t="shared" si="2877"/>
        <v>89301000</v>
      </c>
      <c r="B16115" t="str">
        <f t="shared" si="2883"/>
        <v>44564000</v>
      </c>
      <c r="C16115" t="str">
        <f t="shared" si="2884"/>
        <v>44564004</v>
      </c>
      <c r="D16115">
        <v>89301375</v>
      </c>
      <c r="E16115" t="str">
        <f t="shared" si="2885"/>
        <v>6002261133</v>
      </c>
      <c r="F16115" s="1">
        <v>45291</v>
      </c>
      <c r="G16115" t="str">
        <f>"87231"</f>
        <v>87231</v>
      </c>
      <c r="H16115">
        <v>9</v>
      </c>
      <c r="I16115">
        <v>3429</v>
      </c>
      <c r="J16115">
        <v>0</v>
      </c>
      <c r="K16115" t="str">
        <f t="shared" si="2886"/>
        <v>807</v>
      </c>
      <c r="L16115">
        <v>2880.36</v>
      </c>
    </row>
    <row r="16116" spans="1:12" x14ac:dyDescent="0.25">
      <c r="A16116" t="str">
        <f t="shared" si="2877"/>
        <v>89301000</v>
      </c>
      <c r="B16116" t="str">
        <f t="shared" si="2883"/>
        <v>44564000</v>
      </c>
      <c r="C16116" t="str">
        <f t="shared" si="2884"/>
        <v>44564004</v>
      </c>
      <c r="D16116">
        <v>89301375</v>
      </c>
      <c r="E16116" t="str">
        <f t="shared" si="2885"/>
        <v>6002261133</v>
      </c>
      <c r="F16116" s="1">
        <v>45291</v>
      </c>
      <c r="G16116" t="str">
        <f>"87231"</f>
        <v>87231</v>
      </c>
      <c r="H16116">
        <v>1</v>
      </c>
      <c r="I16116">
        <v>381</v>
      </c>
      <c r="J16116">
        <v>0</v>
      </c>
      <c r="K16116" t="str">
        <f t="shared" si="2886"/>
        <v>807</v>
      </c>
      <c r="L16116">
        <v>320.04000000000002</v>
      </c>
    </row>
    <row r="16117" spans="1:12" x14ac:dyDescent="0.25">
      <c r="A16117" t="str">
        <f t="shared" si="2877"/>
        <v>89301000</v>
      </c>
      <c r="B16117" t="str">
        <f t="shared" si="2883"/>
        <v>44564000</v>
      </c>
      <c r="C16117" t="str">
        <f t="shared" si="2884"/>
        <v>44564004</v>
      </c>
      <c r="D16117">
        <v>89301375</v>
      </c>
      <c r="E16117" t="str">
        <f t="shared" si="2885"/>
        <v>6002261133</v>
      </c>
      <c r="F16117" s="1">
        <v>45291</v>
      </c>
      <c r="G16117" t="str">
        <f>"87613"</f>
        <v>87613</v>
      </c>
      <c r="H16117">
        <v>1</v>
      </c>
      <c r="I16117">
        <v>436</v>
      </c>
      <c r="J16117">
        <v>0</v>
      </c>
      <c r="K16117" t="str">
        <f t="shared" si="2886"/>
        <v>807</v>
      </c>
      <c r="L16117">
        <v>366.24</v>
      </c>
    </row>
    <row r="16118" spans="1:12" x14ac:dyDescent="0.25">
      <c r="A16118" t="str">
        <f t="shared" si="2877"/>
        <v>89301000</v>
      </c>
      <c r="B16118" t="str">
        <f t="shared" si="2883"/>
        <v>44564000</v>
      </c>
      <c r="C16118" t="str">
        <f t="shared" si="2884"/>
        <v>44564004</v>
      </c>
      <c r="D16118">
        <v>89301375</v>
      </c>
      <c r="E16118" t="str">
        <f t="shared" si="2885"/>
        <v>6002261133</v>
      </c>
      <c r="F16118" s="1">
        <v>45291</v>
      </c>
      <c r="G16118" t="str">
        <f>"87617"</f>
        <v>87617</v>
      </c>
      <c r="H16118">
        <v>1</v>
      </c>
      <c r="I16118">
        <v>3750</v>
      </c>
      <c r="J16118">
        <v>0</v>
      </c>
      <c r="K16118" t="str">
        <f t="shared" si="2886"/>
        <v>807</v>
      </c>
      <c r="L16118">
        <v>3150</v>
      </c>
    </row>
    <row r="16119" spans="1:12" x14ac:dyDescent="0.25">
      <c r="A16119" t="str">
        <f t="shared" si="2877"/>
        <v>89301000</v>
      </c>
      <c r="B16119" t="str">
        <f t="shared" ref="B16119:B16127" si="2887">"05002000"</f>
        <v>05002000</v>
      </c>
      <c r="C16119" t="str">
        <f>"05002141"</f>
        <v>05002141</v>
      </c>
      <c r="D16119">
        <v>89301282</v>
      </c>
      <c r="E16119" t="str">
        <f>"6001261442"</f>
        <v>6001261442</v>
      </c>
      <c r="F16119" s="1">
        <v>45287</v>
      </c>
      <c r="G16119" t="str">
        <f>"94331"</f>
        <v>94331</v>
      </c>
      <c r="H16119">
        <v>1</v>
      </c>
      <c r="I16119">
        <v>7866</v>
      </c>
      <c r="J16119">
        <v>0</v>
      </c>
      <c r="K16119" t="str">
        <f>"816"</f>
        <v>816</v>
      </c>
      <c r="L16119">
        <v>7079.4</v>
      </c>
    </row>
    <row r="16120" spans="1:12" x14ac:dyDescent="0.25">
      <c r="A16120" t="str">
        <f t="shared" si="2877"/>
        <v>89301000</v>
      </c>
      <c r="B16120" t="str">
        <f t="shared" si="2887"/>
        <v>05002000</v>
      </c>
      <c r="C16120" t="str">
        <f>"05002397"</f>
        <v>05002397</v>
      </c>
      <c r="D16120">
        <v>89301323</v>
      </c>
      <c r="E16120" t="str">
        <f>"6158040603"</f>
        <v>6158040603</v>
      </c>
      <c r="F16120" s="1">
        <v>45272</v>
      </c>
      <c r="G16120" t="str">
        <f>"94225"</f>
        <v>94225</v>
      </c>
      <c r="H16120">
        <v>1</v>
      </c>
      <c r="I16120">
        <v>1208</v>
      </c>
      <c r="J16120">
        <v>0</v>
      </c>
      <c r="K16120" t="str">
        <f>"818"</f>
        <v>818</v>
      </c>
      <c r="L16120">
        <v>1171.76</v>
      </c>
    </row>
    <row r="16121" spans="1:12" x14ac:dyDescent="0.25">
      <c r="A16121" t="str">
        <f t="shared" si="2877"/>
        <v>89301000</v>
      </c>
      <c r="B16121" t="str">
        <f t="shared" si="2887"/>
        <v>05002000</v>
      </c>
      <c r="C16121" t="str">
        <f>"05002397"</f>
        <v>05002397</v>
      </c>
      <c r="D16121">
        <v>89301323</v>
      </c>
      <c r="E16121" t="str">
        <f>"6158040603"</f>
        <v>6158040603</v>
      </c>
      <c r="F16121" s="1">
        <v>45272</v>
      </c>
      <c r="G16121" t="str">
        <f>"94337"</f>
        <v>94337</v>
      </c>
      <c r="H16121">
        <v>2</v>
      </c>
      <c r="I16121">
        <v>17998</v>
      </c>
      <c r="J16121">
        <v>0</v>
      </c>
      <c r="K16121" t="str">
        <f>"818"</f>
        <v>818</v>
      </c>
      <c r="L16121">
        <v>17458.060000000001</v>
      </c>
    </row>
    <row r="16122" spans="1:12" x14ac:dyDescent="0.25">
      <c r="A16122" t="str">
        <f t="shared" si="2877"/>
        <v>89301000</v>
      </c>
      <c r="B16122" t="str">
        <f t="shared" si="2887"/>
        <v>05002000</v>
      </c>
      <c r="C16122" t="str">
        <f>"05002141"</f>
        <v>05002141</v>
      </c>
      <c r="D16122">
        <v>89301282</v>
      </c>
      <c r="E16122" t="str">
        <f>"8054065327"</f>
        <v>8054065327</v>
      </c>
      <c r="F16122" s="1">
        <v>45272</v>
      </c>
      <c r="G16122" t="str">
        <f>"94221"</f>
        <v>94221</v>
      </c>
      <c r="H16122">
        <v>1</v>
      </c>
      <c r="I16122">
        <v>2467</v>
      </c>
      <c r="J16122">
        <v>0</v>
      </c>
      <c r="K16122" t="str">
        <f>"816"</f>
        <v>816</v>
      </c>
      <c r="L16122">
        <v>2220.3000000000002</v>
      </c>
    </row>
    <row r="16123" spans="1:12" x14ac:dyDescent="0.25">
      <c r="A16123" t="str">
        <f t="shared" si="2877"/>
        <v>89301000</v>
      </c>
      <c r="B16123" t="str">
        <f t="shared" si="2887"/>
        <v>05002000</v>
      </c>
      <c r="C16123" t="str">
        <f>"05002141"</f>
        <v>05002141</v>
      </c>
      <c r="D16123">
        <v>89301282</v>
      </c>
      <c r="E16123" t="str">
        <f>"9353315730"</f>
        <v>9353315730</v>
      </c>
      <c r="F16123" s="1">
        <v>45267</v>
      </c>
      <c r="G16123" t="str">
        <f>"94221"</f>
        <v>94221</v>
      </c>
      <c r="H16123">
        <v>4</v>
      </c>
      <c r="I16123">
        <v>9868</v>
      </c>
      <c r="J16123">
        <v>0</v>
      </c>
      <c r="K16123" t="str">
        <f>"816"</f>
        <v>816</v>
      </c>
      <c r="L16123">
        <v>8881.2000000000007</v>
      </c>
    </row>
    <row r="16124" spans="1:12" x14ac:dyDescent="0.25">
      <c r="A16124" t="str">
        <f t="shared" si="2877"/>
        <v>89301000</v>
      </c>
      <c r="B16124" t="str">
        <f t="shared" si="2887"/>
        <v>05002000</v>
      </c>
      <c r="C16124" t="str">
        <f>"05002397"</f>
        <v>05002397</v>
      </c>
      <c r="D16124">
        <v>89301109</v>
      </c>
      <c r="E16124" t="str">
        <f>"2109170943"</f>
        <v>2109170943</v>
      </c>
      <c r="F16124" s="1">
        <v>45189</v>
      </c>
      <c r="G16124" t="str">
        <f>"91439"</f>
        <v>91439</v>
      </c>
      <c r="H16124">
        <v>8</v>
      </c>
      <c r="I16124">
        <v>2864</v>
      </c>
      <c r="J16124">
        <v>0</v>
      </c>
      <c r="K16124" t="str">
        <f>"818"</f>
        <v>818</v>
      </c>
      <c r="L16124">
        <v>2778.08</v>
      </c>
    </row>
    <row r="16125" spans="1:12" x14ac:dyDescent="0.25">
      <c r="A16125" t="str">
        <f t="shared" si="2877"/>
        <v>89301000</v>
      </c>
      <c r="B16125" t="str">
        <f t="shared" si="2887"/>
        <v>05002000</v>
      </c>
      <c r="C16125" t="str">
        <f>"05002397"</f>
        <v>05002397</v>
      </c>
      <c r="D16125">
        <v>89301109</v>
      </c>
      <c r="E16125" t="str">
        <f>"0707173269"</f>
        <v>0707173269</v>
      </c>
      <c r="F16125" s="1">
        <v>45208</v>
      </c>
      <c r="G16125" t="str">
        <f>"91439"</f>
        <v>91439</v>
      </c>
      <c r="H16125">
        <v>9</v>
      </c>
      <c r="I16125">
        <v>3222</v>
      </c>
      <c r="J16125">
        <v>0</v>
      </c>
      <c r="K16125" t="str">
        <f>"818"</f>
        <v>818</v>
      </c>
      <c r="L16125">
        <v>3125.34</v>
      </c>
    </row>
    <row r="16126" spans="1:12" x14ac:dyDescent="0.25">
      <c r="A16126" t="str">
        <f t="shared" si="2877"/>
        <v>89301000</v>
      </c>
      <c r="B16126" t="str">
        <f t="shared" si="2887"/>
        <v>05002000</v>
      </c>
      <c r="C16126" t="str">
        <f>"05002397"</f>
        <v>05002397</v>
      </c>
      <c r="D16126">
        <v>89301109</v>
      </c>
      <c r="E16126" t="str">
        <f>"2059040720"</f>
        <v>2059040720</v>
      </c>
      <c r="F16126" s="1">
        <v>45208</v>
      </c>
      <c r="G16126" t="str">
        <f>"91439"</f>
        <v>91439</v>
      </c>
      <c r="H16126">
        <v>9</v>
      </c>
      <c r="I16126">
        <v>3222</v>
      </c>
      <c r="J16126">
        <v>0</v>
      </c>
      <c r="K16126" t="str">
        <f>"818"</f>
        <v>818</v>
      </c>
      <c r="L16126">
        <v>3125.34</v>
      </c>
    </row>
    <row r="16127" spans="1:12" x14ac:dyDescent="0.25">
      <c r="A16127" t="str">
        <f t="shared" si="2877"/>
        <v>89301000</v>
      </c>
      <c r="B16127" t="str">
        <f t="shared" si="2887"/>
        <v>05002000</v>
      </c>
      <c r="C16127" t="str">
        <f>"05002397"</f>
        <v>05002397</v>
      </c>
      <c r="D16127">
        <v>89301109</v>
      </c>
      <c r="E16127" t="str">
        <f>"2109170943"</f>
        <v>2109170943</v>
      </c>
      <c r="F16127" s="1">
        <v>45245</v>
      </c>
      <c r="G16127" t="str">
        <f>"91439"</f>
        <v>91439</v>
      </c>
      <c r="H16127">
        <v>8</v>
      </c>
      <c r="I16127">
        <v>2864</v>
      </c>
      <c r="J16127">
        <v>0</v>
      </c>
      <c r="K16127" t="str">
        <f>"818"</f>
        <v>818</v>
      </c>
      <c r="L16127">
        <v>2778.08</v>
      </c>
    </row>
    <row r="16128" spans="1:12" x14ac:dyDescent="0.25">
      <c r="A16128" t="str">
        <f t="shared" si="2877"/>
        <v>89301000</v>
      </c>
      <c r="B16128" t="str">
        <f t="shared" ref="B16128:B16137" si="2888">"89670000"</f>
        <v>89670000</v>
      </c>
      <c r="C16128" t="str">
        <f t="shared" ref="C16128:C16137" si="2889">"89670001"</f>
        <v>89670001</v>
      </c>
      <c r="D16128">
        <v>89301522</v>
      </c>
      <c r="E16128" t="str">
        <f>"5656126905"</f>
        <v>5656126905</v>
      </c>
      <c r="F16128" s="1">
        <v>45267</v>
      </c>
      <c r="G16128" t="str">
        <f>"97111"</f>
        <v>97111</v>
      </c>
      <c r="H16128">
        <v>1</v>
      </c>
      <c r="I16128">
        <v>19</v>
      </c>
      <c r="J16128">
        <v>0</v>
      </c>
      <c r="K16128" t="str">
        <f t="shared" ref="K16128:K16137" si="2890">"802"</f>
        <v>802</v>
      </c>
      <c r="L16128">
        <v>23.94</v>
      </c>
    </row>
    <row r="16129" spans="1:12" x14ac:dyDescent="0.25">
      <c r="A16129" t="str">
        <f t="shared" si="2877"/>
        <v>89301000</v>
      </c>
      <c r="B16129" t="str">
        <f t="shared" si="2888"/>
        <v>89670000</v>
      </c>
      <c r="C16129" t="str">
        <f t="shared" si="2889"/>
        <v>89670001</v>
      </c>
      <c r="D16129">
        <v>89301522</v>
      </c>
      <c r="E16129" t="str">
        <f>"5656126905"</f>
        <v>5656126905</v>
      </c>
      <c r="F16129" s="1">
        <v>45268</v>
      </c>
      <c r="G16129" t="str">
        <f>"82097"</f>
        <v>82097</v>
      </c>
      <c r="H16129">
        <v>1</v>
      </c>
      <c r="I16129">
        <v>381</v>
      </c>
      <c r="J16129">
        <v>0</v>
      </c>
      <c r="K16129" t="str">
        <f t="shared" si="2890"/>
        <v>802</v>
      </c>
      <c r="L16129">
        <v>369.57</v>
      </c>
    </row>
    <row r="16130" spans="1:12" x14ac:dyDescent="0.25">
      <c r="A16130" t="str">
        <f t="shared" ref="A16130:A16193" si="2891">"89301000"</f>
        <v>89301000</v>
      </c>
      <c r="B16130" t="str">
        <f t="shared" si="2888"/>
        <v>89670000</v>
      </c>
      <c r="C16130" t="str">
        <f t="shared" si="2889"/>
        <v>89670001</v>
      </c>
      <c r="D16130">
        <v>89301522</v>
      </c>
      <c r="E16130" t="str">
        <f>"5656126905"</f>
        <v>5656126905</v>
      </c>
      <c r="F16130" s="1">
        <v>45268</v>
      </c>
      <c r="G16130" t="str">
        <f>"82097"</f>
        <v>82097</v>
      </c>
      <c r="H16130">
        <v>1</v>
      </c>
      <c r="I16130">
        <v>381</v>
      </c>
      <c r="J16130">
        <v>0</v>
      </c>
      <c r="K16130" t="str">
        <f t="shared" si="2890"/>
        <v>802</v>
      </c>
      <c r="L16130">
        <v>369.57</v>
      </c>
    </row>
    <row r="16131" spans="1:12" x14ac:dyDescent="0.25">
      <c r="A16131" t="str">
        <f t="shared" si="2891"/>
        <v>89301000</v>
      </c>
      <c r="B16131" t="str">
        <f t="shared" si="2888"/>
        <v>89670000</v>
      </c>
      <c r="C16131" t="str">
        <f t="shared" si="2889"/>
        <v>89670001</v>
      </c>
      <c r="D16131">
        <v>89301522</v>
      </c>
      <c r="E16131" t="str">
        <f>"5656126905"</f>
        <v>5656126905</v>
      </c>
      <c r="F16131" s="1">
        <v>45274</v>
      </c>
      <c r="G16131" t="str">
        <f>"82087"</f>
        <v>82087</v>
      </c>
      <c r="H16131">
        <v>2</v>
      </c>
      <c r="I16131">
        <v>106</v>
      </c>
      <c r="J16131">
        <v>0</v>
      </c>
      <c r="K16131" t="str">
        <f t="shared" si="2890"/>
        <v>802</v>
      </c>
      <c r="L16131">
        <v>102.82</v>
      </c>
    </row>
    <row r="16132" spans="1:12" x14ac:dyDescent="0.25">
      <c r="A16132" t="str">
        <f t="shared" si="2891"/>
        <v>89301000</v>
      </c>
      <c r="B16132" t="str">
        <f t="shared" si="2888"/>
        <v>89670000</v>
      </c>
      <c r="C16132" t="str">
        <f t="shared" si="2889"/>
        <v>89670001</v>
      </c>
      <c r="D16132">
        <v>89301522</v>
      </c>
      <c r="E16132" t="str">
        <f>"7661094463"</f>
        <v>7661094463</v>
      </c>
      <c r="F16132" s="1">
        <v>45261</v>
      </c>
      <c r="G16132" t="str">
        <f>"82097"</f>
        <v>82097</v>
      </c>
      <c r="H16132">
        <v>1</v>
      </c>
      <c r="I16132">
        <v>381</v>
      </c>
      <c r="J16132">
        <v>0</v>
      </c>
      <c r="K16132" t="str">
        <f t="shared" si="2890"/>
        <v>802</v>
      </c>
      <c r="L16132">
        <v>369.57</v>
      </c>
    </row>
    <row r="16133" spans="1:12" x14ac:dyDescent="0.25">
      <c r="A16133" t="str">
        <f t="shared" si="2891"/>
        <v>89301000</v>
      </c>
      <c r="B16133" t="str">
        <f t="shared" si="2888"/>
        <v>89670000</v>
      </c>
      <c r="C16133" t="str">
        <f t="shared" si="2889"/>
        <v>89670001</v>
      </c>
      <c r="D16133">
        <v>89301522</v>
      </c>
      <c r="E16133" t="str">
        <f>"7661094463"</f>
        <v>7661094463</v>
      </c>
      <c r="F16133" s="1">
        <v>45261</v>
      </c>
      <c r="G16133" t="str">
        <f>"82097"</f>
        <v>82097</v>
      </c>
      <c r="H16133">
        <v>1</v>
      </c>
      <c r="I16133">
        <v>381</v>
      </c>
      <c r="J16133">
        <v>0</v>
      </c>
      <c r="K16133" t="str">
        <f t="shared" si="2890"/>
        <v>802</v>
      </c>
      <c r="L16133">
        <v>369.57</v>
      </c>
    </row>
    <row r="16134" spans="1:12" x14ac:dyDescent="0.25">
      <c r="A16134" t="str">
        <f t="shared" si="2891"/>
        <v>89301000</v>
      </c>
      <c r="B16134" t="str">
        <f t="shared" si="2888"/>
        <v>89670000</v>
      </c>
      <c r="C16134" t="str">
        <f t="shared" si="2889"/>
        <v>89670001</v>
      </c>
      <c r="D16134">
        <v>89301102</v>
      </c>
      <c r="E16134" t="str">
        <f>"1555130225"</f>
        <v>1555130225</v>
      </c>
      <c r="F16134" s="1">
        <v>45273</v>
      </c>
      <c r="G16134" t="str">
        <f>"97111"</f>
        <v>97111</v>
      </c>
      <c r="H16134">
        <v>1</v>
      </c>
      <c r="I16134">
        <v>19</v>
      </c>
      <c r="J16134">
        <v>0</v>
      </c>
      <c r="K16134" t="str">
        <f t="shared" si="2890"/>
        <v>802</v>
      </c>
      <c r="L16134">
        <v>23.94</v>
      </c>
    </row>
    <row r="16135" spans="1:12" x14ac:dyDescent="0.25">
      <c r="A16135" t="str">
        <f t="shared" si="2891"/>
        <v>89301000</v>
      </c>
      <c r="B16135" t="str">
        <f t="shared" si="2888"/>
        <v>89670000</v>
      </c>
      <c r="C16135" t="str">
        <f t="shared" si="2889"/>
        <v>89670001</v>
      </c>
      <c r="D16135">
        <v>89301102</v>
      </c>
      <c r="E16135" t="str">
        <f>"1555130225"</f>
        <v>1555130225</v>
      </c>
      <c r="F16135" s="1">
        <v>45281</v>
      </c>
      <c r="G16135" t="str">
        <f>"82087"</f>
        <v>82087</v>
      </c>
      <c r="H16135">
        <v>2</v>
      </c>
      <c r="I16135">
        <v>106</v>
      </c>
      <c r="J16135">
        <v>0</v>
      </c>
      <c r="K16135" t="str">
        <f t="shared" si="2890"/>
        <v>802</v>
      </c>
      <c r="L16135">
        <v>102.82</v>
      </c>
    </row>
    <row r="16136" spans="1:12" x14ac:dyDescent="0.25">
      <c r="A16136" t="str">
        <f t="shared" si="2891"/>
        <v>89301000</v>
      </c>
      <c r="B16136" t="str">
        <f t="shared" si="2888"/>
        <v>89670000</v>
      </c>
      <c r="C16136" t="str">
        <f t="shared" si="2889"/>
        <v>89670001</v>
      </c>
      <c r="D16136">
        <v>89301102</v>
      </c>
      <c r="E16136" t="str">
        <f>"1555130225"</f>
        <v>1555130225</v>
      </c>
      <c r="F16136" s="1">
        <v>45274</v>
      </c>
      <c r="G16136" t="str">
        <f>"82097"</f>
        <v>82097</v>
      </c>
      <c r="H16136">
        <v>1</v>
      </c>
      <c r="I16136">
        <v>381</v>
      </c>
      <c r="J16136">
        <v>0</v>
      </c>
      <c r="K16136" t="str">
        <f t="shared" si="2890"/>
        <v>802</v>
      </c>
      <c r="L16136">
        <v>369.57</v>
      </c>
    </row>
    <row r="16137" spans="1:12" x14ac:dyDescent="0.25">
      <c r="A16137" t="str">
        <f t="shared" si="2891"/>
        <v>89301000</v>
      </c>
      <c r="B16137" t="str">
        <f t="shared" si="2888"/>
        <v>89670000</v>
      </c>
      <c r="C16137" t="str">
        <f t="shared" si="2889"/>
        <v>89670001</v>
      </c>
      <c r="D16137">
        <v>89301102</v>
      </c>
      <c r="E16137" t="str">
        <f>"1555130225"</f>
        <v>1555130225</v>
      </c>
      <c r="F16137" s="1">
        <v>45274</v>
      </c>
      <c r="G16137" t="str">
        <f>"82097"</f>
        <v>82097</v>
      </c>
      <c r="H16137">
        <v>1</v>
      </c>
      <c r="I16137">
        <v>381</v>
      </c>
      <c r="J16137">
        <v>0</v>
      </c>
      <c r="K16137" t="str">
        <f t="shared" si="2890"/>
        <v>802</v>
      </c>
      <c r="L16137">
        <v>369.57</v>
      </c>
    </row>
    <row r="16138" spans="1:12" x14ac:dyDescent="0.25">
      <c r="A16138" t="str">
        <f t="shared" si="2891"/>
        <v>89301000</v>
      </c>
      <c r="B16138" t="str">
        <f t="shared" ref="B16138:B16143" si="2892">"72077000"</f>
        <v>72077000</v>
      </c>
      <c r="C16138" t="str">
        <f t="shared" ref="C16138:C16143" si="2893">"72077001"</f>
        <v>72077001</v>
      </c>
      <c r="D16138">
        <v>89301152</v>
      </c>
      <c r="E16138" t="str">
        <f t="shared" ref="E16138:E16143" si="2894">"8753105449"</f>
        <v>8753105449</v>
      </c>
      <c r="F16138" s="1">
        <v>45287</v>
      </c>
      <c r="G16138" t="str">
        <f>"91361"</f>
        <v>91361</v>
      </c>
      <c r="H16138">
        <v>1</v>
      </c>
      <c r="I16138">
        <v>444</v>
      </c>
      <c r="J16138">
        <v>0</v>
      </c>
      <c r="K16138" t="str">
        <f t="shared" ref="K16138:K16143" si="2895">"813"</f>
        <v>813</v>
      </c>
      <c r="L16138">
        <v>372.96</v>
      </c>
    </row>
    <row r="16139" spans="1:12" x14ac:dyDescent="0.25">
      <c r="A16139" t="str">
        <f t="shared" si="2891"/>
        <v>89301000</v>
      </c>
      <c r="B16139" t="str">
        <f t="shared" si="2892"/>
        <v>72077000</v>
      </c>
      <c r="C16139" t="str">
        <f t="shared" si="2893"/>
        <v>72077001</v>
      </c>
      <c r="D16139">
        <v>89301152</v>
      </c>
      <c r="E16139" t="str">
        <f t="shared" si="2894"/>
        <v>8753105449</v>
      </c>
      <c r="F16139" s="1">
        <v>45287</v>
      </c>
      <c r="G16139" t="str">
        <f>"91359"</f>
        <v>91359</v>
      </c>
      <c r="H16139">
        <v>1</v>
      </c>
      <c r="I16139">
        <v>205</v>
      </c>
      <c r="J16139">
        <v>0</v>
      </c>
      <c r="K16139" t="str">
        <f t="shared" si="2895"/>
        <v>813</v>
      </c>
      <c r="L16139">
        <v>172.2</v>
      </c>
    </row>
    <row r="16140" spans="1:12" x14ac:dyDescent="0.25">
      <c r="A16140" t="str">
        <f t="shared" si="2891"/>
        <v>89301000</v>
      </c>
      <c r="B16140" t="str">
        <f t="shared" si="2892"/>
        <v>72077000</v>
      </c>
      <c r="C16140" t="str">
        <f t="shared" si="2893"/>
        <v>72077001</v>
      </c>
      <c r="D16140">
        <v>89301152</v>
      </c>
      <c r="E16140" t="str">
        <f t="shared" si="2894"/>
        <v>8753105449</v>
      </c>
      <c r="F16140" s="1">
        <v>45287</v>
      </c>
      <c r="G16140" t="str">
        <f>"91577"</f>
        <v>91577</v>
      </c>
      <c r="H16140">
        <v>1</v>
      </c>
      <c r="I16140">
        <v>398</v>
      </c>
      <c r="J16140">
        <v>0</v>
      </c>
      <c r="K16140" t="str">
        <f t="shared" si="2895"/>
        <v>813</v>
      </c>
      <c r="L16140">
        <v>334.32</v>
      </c>
    </row>
    <row r="16141" spans="1:12" x14ac:dyDescent="0.25">
      <c r="A16141" t="str">
        <f t="shared" si="2891"/>
        <v>89301000</v>
      </c>
      <c r="B16141" t="str">
        <f t="shared" si="2892"/>
        <v>72077000</v>
      </c>
      <c r="C16141" t="str">
        <f t="shared" si="2893"/>
        <v>72077001</v>
      </c>
      <c r="D16141">
        <v>89301152</v>
      </c>
      <c r="E16141" t="str">
        <f t="shared" si="2894"/>
        <v>8753105449</v>
      </c>
      <c r="F16141" s="1">
        <v>45287</v>
      </c>
      <c r="G16141" t="str">
        <f>"91485"</f>
        <v>91485</v>
      </c>
      <c r="H16141">
        <v>1</v>
      </c>
      <c r="I16141">
        <v>268</v>
      </c>
      <c r="J16141">
        <v>0</v>
      </c>
      <c r="K16141" t="str">
        <f t="shared" si="2895"/>
        <v>813</v>
      </c>
      <c r="L16141">
        <v>225.12</v>
      </c>
    </row>
    <row r="16142" spans="1:12" x14ac:dyDescent="0.25">
      <c r="A16142" t="str">
        <f t="shared" si="2891"/>
        <v>89301000</v>
      </c>
      <c r="B16142" t="str">
        <f t="shared" si="2892"/>
        <v>72077000</v>
      </c>
      <c r="C16142" t="str">
        <f t="shared" si="2893"/>
        <v>72077001</v>
      </c>
      <c r="D16142">
        <v>89301152</v>
      </c>
      <c r="E16142" t="str">
        <f t="shared" si="2894"/>
        <v>8753105449</v>
      </c>
      <c r="F16142" s="1">
        <v>45287</v>
      </c>
      <c r="G16142" t="str">
        <f>"91197"</f>
        <v>91197</v>
      </c>
      <c r="H16142">
        <v>1</v>
      </c>
      <c r="I16142">
        <v>1048</v>
      </c>
      <c r="J16142">
        <v>0</v>
      </c>
      <c r="K16142" t="str">
        <f t="shared" si="2895"/>
        <v>813</v>
      </c>
      <c r="L16142">
        <v>880.32</v>
      </c>
    </row>
    <row r="16143" spans="1:12" x14ac:dyDescent="0.25">
      <c r="A16143" t="str">
        <f t="shared" si="2891"/>
        <v>89301000</v>
      </c>
      <c r="B16143" t="str">
        <f t="shared" si="2892"/>
        <v>72077000</v>
      </c>
      <c r="C16143" t="str">
        <f t="shared" si="2893"/>
        <v>72077001</v>
      </c>
      <c r="D16143">
        <v>89301152</v>
      </c>
      <c r="E16143" t="str">
        <f t="shared" si="2894"/>
        <v>8753105449</v>
      </c>
      <c r="F16143" s="1">
        <v>45288</v>
      </c>
      <c r="G16143" t="str">
        <f>"91465"</f>
        <v>91465</v>
      </c>
      <c r="H16143">
        <v>1</v>
      </c>
      <c r="I16143">
        <v>1412</v>
      </c>
      <c r="J16143">
        <v>0</v>
      </c>
      <c r="K16143" t="str">
        <f t="shared" si="2895"/>
        <v>813</v>
      </c>
      <c r="L16143">
        <v>1186.08</v>
      </c>
    </row>
    <row r="16144" spans="1:12" x14ac:dyDescent="0.25">
      <c r="A16144" t="str">
        <f t="shared" si="2891"/>
        <v>89301000</v>
      </c>
      <c r="B16144" t="str">
        <f t="shared" ref="B16144:B16175" si="2896">"72100000"</f>
        <v>72100000</v>
      </c>
      <c r="C16144" t="str">
        <f t="shared" ref="C16144:C16175" si="2897">"72100632"</f>
        <v>72100632</v>
      </c>
      <c r="D16144">
        <v>89301282</v>
      </c>
      <c r="E16144" t="str">
        <f>"2112270424"</f>
        <v>2112270424</v>
      </c>
      <c r="F16144" s="1">
        <v>45063</v>
      </c>
      <c r="G16144" t="str">
        <f>"94982"</f>
        <v>94982</v>
      </c>
      <c r="H16144">
        <v>1</v>
      </c>
      <c r="I16144">
        <v>0</v>
      </c>
      <c r="J16144">
        <v>27500</v>
      </c>
      <c r="K16144" t="str">
        <f t="shared" ref="K16144:K16175" si="2898">"816"</f>
        <v>816</v>
      </c>
      <c r="L16144">
        <v>27500</v>
      </c>
    </row>
    <row r="16145" spans="1:12" x14ac:dyDescent="0.25">
      <c r="A16145" t="str">
        <f t="shared" si="2891"/>
        <v>89301000</v>
      </c>
      <c r="B16145" t="str">
        <f t="shared" si="2896"/>
        <v>72100000</v>
      </c>
      <c r="C16145" t="str">
        <f t="shared" si="2897"/>
        <v>72100632</v>
      </c>
      <c r="D16145">
        <v>89301282</v>
      </c>
      <c r="E16145" t="str">
        <f>"2112270424"</f>
        <v>2112270424</v>
      </c>
      <c r="F16145" s="1">
        <v>45063</v>
      </c>
      <c r="G16145" t="str">
        <f>"94996"</f>
        <v>94996</v>
      </c>
      <c r="H16145">
        <v>1</v>
      </c>
      <c r="I16145">
        <v>0</v>
      </c>
      <c r="J16145">
        <v>0</v>
      </c>
      <c r="K16145" t="str">
        <f t="shared" si="2898"/>
        <v>816</v>
      </c>
      <c r="L16145">
        <v>0</v>
      </c>
    </row>
    <row r="16146" spans="1:12" x14ac:dyDescent="0.25">
      <c r="A16146" t="str">
        <f t="shared" si="2891"/>
        <v>89301000</v>
      </c>
      <c r="B16146" t="str">
        <f t="shared" si="2896"/>
        <v>72100000</v>
      </c>
      <c r="C16146" t="str">
        <f t="shared" si="2897"/>
        <v>72100632</v>
      </c>
      <c r="D16146">
        <v>89301091</v>
      </c>
      <c r="E16146" t="str">
        <f>"8560126146"</f>
        <v>8560126146</v>
      </c>
      <c r="F16146" s="1">
        <v>45226</v>
      </c>
      <c r="G16146" t="str">
        <f t="shared" ref="G16146:G16163" si="2899">"94297"</f>
        <v>94297</v>
      </c>
      <c r="H16146">
        <v>1</v>
      </c>
      <c r="I16146">
        <v>304</v>
      </c>
      <c r="J16146">
        <v>0</v>
      </c>
      <c r="K16146" t="str">
        <f t="shared" si="2898"/>
        <v>816</v>
      </c>
      <c r="L16146">
        <v>304</v>
      </c>
    </row>
    <row r="16147" spans="1:12" x14ac:dyDescent="0.25">
      <c r="A16147" t="str">
        <f t="shared" si="2891"/>
        <v>89301000</v>
      </c>
      <c r="B16147" t="str">
        <f t="shared" si="2896"/>
        <v>72100000</v>
      </c>
      <c r="C16147" t="str">
        <f t="shared" si="2897"/>
        <v>72100632</v>
      </c>
      <c r="D16147">
        <v>89301091</v>
      </c>
      <c r="E16147" t="str">
        <f>"8262165307"</f>
        <v>8262165307</v>
      </c>
      <c r="F16147" s="1">
        <v>45230</v>
      </c>
      <c r="G16147" t="str">
        <f t="shared" si="2899"/>
        <v>94297</v>
      </c>
      <c r="H16147">
        <v>1</v>
      </c>
      <c r="I16147">
        <v>304</v>
      </c>
      <c r="J16147">
        <v>0</v>
      </c>
      <c r="K16147" t="str">
        <f t="shared" si="2898"/>
        <v>816</v>
      </c>
      <c r="L16147">
        <v>304</v>
      </c>
    </row>
    <row r="16148" spans="1:12" x14ac:dyDescent="0.25">
      <c r="A16148" t="str">
        <f t="shared" si="2891"/>
        <v>89301000</v>
      </c>
      <c r="B16148" t="str">
        <f t="shared" si="2896"/>
        <v>72100000</v>
      </c>
      <c r="C16148" t="str">
        <f t="shared" si="2897"/>
        <v>72100632</v>
      </c>
      <c r="D16148">
        <v>89301091</v>
      </c>
      <c r="E16148" t="str">
        <f>"9551215718"</f>
        <v>9551215718</v>
      </c>
      <c r="F16148" s="1">
        <v>45230</v>
      </c>
      <c r="G16148" t="str">
        <f t="shared" si="2899"/>
        <v>94297</v>
      </c>
      <c r="H16148">
        <v>1</v>
      </c>
      <c r="I16148">
        <v>304</v>
      </c>
      <c r="J16148">
        <v>0</v>
      </c>
      <c r="K16148" t="str">
        <f t="shared" si="2898"/>
        <v>816</v>
      </c>
      <c r="L16148">
        <v>304</v>
      </c>
    </row>
    <row r="16149" spans="1:12" x14ac:dyDescent="0.25">
      <c r="A16149" t="str">
        <f t="shared" si="2891"/>
        <v>89301000</v>
      </c>
      <c r="B16149" t="str">
        <f t="shared" si="2896"/>
        <v>72100000</v>
      </c>
      <c r="C16149" t="str">
        <f t="shared" si="2897"/>
        <v>72100632</v>
      </c>
      <c r="D16149">
        <v>89301091</v>
      </c>
      <c r="E16149" t="str">
        <f>"8758316248"</f>
        <v>8758316248</v>
      </c>
      <c r="F16149" s="1">
        <v>45261</v>
      </c>
      <c r="G16149" t="str">
        <f t="shared" si="2899"/>
        <v>94297</v>
      </c>
      <c r="H16149">
        <v>1</v>
      </c>
      <c r="I16149">
        <v>304</v>
      </c>
      <c r="J16149">
        <v>0</v>
      </c>
      <c r="K16149" t="str">
        <f t="shared" si="2898"/>
        <v>816</v>
      </c>
      <c r="L16149">
        <v>304</v>
      </c>
    </row>
    <row r="16150" spans="1:12" x14ac:dyDescent="0.25">
      <c r="A16150" t="str">
        <f t="shared" si="2891"/>
        <v>89301000</v>
      </c>
      <c r="B16150" t="str">
        <f t="shared" si="2896"/>
        <v>72100000</v>
      </c>
      <c r="C16150" t="str">
        <f t="shared" si="2897"/>
        <v>72100632</v>
      </c>
      <c r="D16150">
        <v>89301091</v>
      </c>
      <c r="E16150" t="str">
        <f>"9355216002"</f>
        <v>9355216002</v>
      </c>
      <c r="F16150" s="1">
        <v>45265</v>
      </c>
      <c r="G16150" t="str">
        <f t="shared" si="2899"/>
        <v>94297</v>
      </c>
      <c r="H16150">
        <v>1</v>
      </c>
      <c r="I16150">
        <v>304</v>
      </c>
      <c r="J16150">
        <v>0</v>
      </c>
      <c r="K16150" t="str">
        <f t="shared" si="2898"/>
        <v>816</v>
      </c>
      <c r="L16150">
        <v>304</v>
      </c>
    </row>
    <row r="16151" spans="1:12" x14ac:dyDescent="0.25">
      <c r="A16151" t="str">
        <f t="shared" si="2891"/>
        <v>89301000</v>
      </c>
      <c r="B16151" t="str">
        <f t="shared" si="2896"/>
        <v>72100000</v>
      </c>
      <c r="C16151" t="str">
        <f t="shared" si="2897"/>
        <v>72100632</v>
      </c>
      <c r="D16151">
        <v>89301091</v>
      </c>
      <c r="E16151" t="str">
        <f>"9655236140"</f>
        <v>9655236140</v>
      </c>
      <c r="F16151" s="1">
        <v>45266</v>
      </c>
      <c r="G16151" t="str">
        <f t="shared" si="2899"/>
        <v>94297</v>
      </c>
      <c r="H16151">
        <v>1</v>
      </c>
      <c r="I16151">
        <v>304</v>
      </c>
      <c r="J16151">
        <v>0</v>
      </c>
      <c r="K16151" t="str">
        <f t="shared" si="2898"/>
        <v>816</v>
      </c>
      <c r="L16151">
        <v>304</v>
      </c>
    </row>
    <row r="16152" spans="1:12" x14ac:dyDescent="0.25">
      <c r="A16152" t="str">
        <f t="shared" si="2891"/>
        <v>89301000</v>
      </c>
      <c r="B16152" t="str">
        <f t="shared" si="2896"/>
        <v>72100000</v>
      </c>
      <c r="C16152" t="str">
        <f t="shared" si="2897"/>
        <v>72100632</v>
      </c>
      <c r="D16152">
        <v>89301091</v>
      </c>
      <c r="E16152" t="str">
        <f>"9353025759"</f>
        <v>9353025759</v>
      </c>
      <c r="F16152" s="1">
        <v>45266</v>
      </c>
      <c r="G16152" t="str">
        <f t="shared" si="2899"/>
        <v>94297</v>
      </c>
      <c r="H16152">
        <v>1</v>
      </c>
      <c r="I16152">
        <v>304</v>
      </c>
      <c r="J16152">
        <v>0</v>
      </c>
      <c r="K16152" t="str">
        <f t="shared" si="2898"/>
        <v>816</v>
      </c>
      <c r="L16152">
        <v>304</v>
      </c>
    </row>
    <row r="16153" spans="1:12" x14ac:dyDescent="0.25">
      <c r="A16153" t="str">
        <f t="shared" si="2891"/>
        <v>89301000</v>
      </c>
      <c r="B16153" t="str">
        <f t="shared" si="2896"/>
        <v>72100000</v>
      </c>
      <c r="C16153" t="str">
        <f t="shared" si="2897"/>
        <v>72100632</v>
      </c>
      <c r="D16153">
        <v>89301091</v>
      </c>
      <c r="E16153" t="str">
        <f>"7959305761"</f>
        <v>7959305761</v>
      </c>
      <c r="F16153" s="1">
        <v>45266</v>
      </c>
      <c r="G16153" t="str">
        <f t="shared" si="2899"/>
        <v>94297</v>
      </c>
      <c r="H16153">
        <v>1</v>
      </c>
      <c r="I16153">
        <v>304</v>
      </c>
      <c r="J16153">
        <v>0</v>
      </c>
      <c r="K16153" t="str">
        <f t="shared" si="2898"/>
        <v>816</v>
      </c>
      <c r="L16153">
        <v>304</v>
      </c>
    </row>
    <row r="16154" spans="1:12" x14ac:dyDescent="0.25">
      <c r="A16154" t="str">
        <f t="shared" si="2891"/>
        <v>89301000</v>
      </c>
      <c r="B16154" t="str">
        <f t="shared" si="2896"/>
        <v>72100000</v>
      </c>
      <c r="C16154" t="str">
        <f t="shared" si="2897"/>
        <v>72100632</v>
      </c>
      <c r="D16154">
        <v>89301091</v>
      </c>
      <c r="E16154" t="str">
        <f>"8851275774"</f>
        <v>8851275774</v>
      </c>
      <c r="F16154" s="1">
        <v>45266</v>
      </c>
      <c r="G16154" t="str">
        <f t="shared" si="2899"/>
        <v>94297</v>
      </c>
      <c r="H16154">
        <v>1</v>
      </c>
      <c r="I16154">
        <v>304</v>
      </c>
      <c r="J16154">
        <v>0</v>
      </c>
      <c r="K16154" t="str">
        <f t="shared" si="2898"/>
        <v>816</v>
      </c>
      <c r="L16154">
        <v>304</v>
      </c>
    </row>
    <row r="16155" spans="1:12" x14ac:dyDescent="0.25">
      <c r="A16155" t="str">
        <f t="shared" si="2891"/>
        <v>89301000</v>
      </c>
      <c r="B16155" t="str">
        <f t="shared" si="2896"/>
        <v>72100000</v>
      </c>
      <c r="C16155" t="str">
        <f t="shared" si="2897"/>
        <v>72100632</v>
      </c>
      <c r="D16155">
        <v>89301091</v>
      </c>
      <c r="E16155" t="str">
        <f>"9461145727"</f>
        <v>9461145727</v>
      </c>
      <c r="F16155" s="1">
        <v>45266</v>
      </c>
      <c r="G16155" t="str">
        <f t="shared" si="2899"/>
        <v>94297</v>
      </c>
      <c r="H16155">
        <v>1</v>
      </c>
      <c r="I16155">
        <v>304</v>
      </c>
      <c r="J16155">
        <v>0</v>
      </c>
      <c r="K16155" t="str">
        <f t="shared" si="2898"/>
        <v>816</v>
      </c>
      <c r="L16155">
        <v>304</v>
      </c>
    </row>
    <row r="16156" spans="1:12" x14ac:dyDescent="0.25">
      <c r="A16156" t="str">
        <f t="shared" si="2891"/>
        <v>89301000</v>
      </c>
      <c r="B16156" t="str">
        <f t="shared" si="2896"/>
        <v>72100000</v>
      </c>
      <c r="C16156" t="str">
        <f t="shared" si="2897"/>
        <v>72100632</v>
      </c>
      <c r="D16156">
        <v>89301091</v>
      </c>
      <c r="E16156" t="str">
        <f>"9251234608"</f>
        <v>9251234608</v>
      </c>
      <c r="F16156" s="1">
        <v>45267</v>
      </c>
      <c r="G16156" t="str">
        <f t="shared" si="2899"/>
        <v>94297</v>
      </c>
      <c r="H16156">
        <v>1</v>
      </c>
      <c r="I16156">
        <v>304</v>
      </c>
      <c r="J16156">
        <v>0</v>
      </c>
      <c r="K16156" t="str">
        <f t="shared" si="2898"/>
        <v>816</v>
      </c>
      <c r="L16156">
        <v>304</v>
      </c>
    </row>
    <row r="16157" spans="1:12" x14ac:dyDescent="0.25">
      <c r="A16157" t="str">
        <f t="shared" si="2891"/>
        <v>89301000</v>
      </c>
      <c r="B16157" t="str">
        <f t="shared" si="2896"/>
        <v>72100000</v>
      </c>
      <c r="C16157" t="str">
        <f t="shared" si="2897"/>
        <v>72100632</v>
      </c>
      <c r="D16157">
        <v>89301091</v>
      </c>
      <c r="E16157" t="str">
        <f>"9961194771"</f>
        <v>9961194771</v>
      </c>
      <c r="F16157" s="1">
        <v>45271</v>
      </c>
      <c r="G16157" t="str">
        <f t="shared" si="2899"/>
        <v>94297</v>
      </c>
      <c r="H16157">
        <v>1</v>
      </c>
      <c r="I16157">
        <v>304</v>
      </c>
      <c r="J16157">
        <v>0</v>
      </c>
      <c r="K16157" t="str">
        <f t="shared" si="2898"/>
        <v>816</v>
      </c>
      <c r="L16157">
        <v>304</v>
      </c>
    </row>
    <row r="16158" spans="1:12" x14ac:dyDescent="0.25">
      <c r="A16158" t="str">
        <f t="shared" si="2891"/>
        <v>89301000</v>
      </c>
      <c r="B16158" t="str">
        <f t="shared" si="2896"/>
        <v>72100000</v>
      </c>
      <c r="C16158" t="str">
        <f t="shared" si="2897"/>
        <v>72100632</v>
      </c>
      <c r="D16158">
        <v>89301091</v>
      </c>
      <c r="E16158" t="str">
        <f>"8959235725"</f>
        <v>8959235725</v>
      </c>
      <c r="F16158" s="1">
        <v>45273</v>
      </c>
      <c r="G16158" t="str">
        <f t="shared" si="2899"/>
        <v>94297</v>
      </c>
      <c r="H16158">
        <v>1</v>
      </c>
      <c r="I16158">
        <v>304</v>
      </c>
      <c r="J16158">
        <v>0</v>
      </c>
      <c r="K16158" t="str">
        <f t="shared" si="2898"/>
        <v>816</v>
      </c>
      <c r="L16158">
        <v>304</v>
      </c>
    </row>
    <row r="16159" spans="1:12" x14ac:dyDescent="0.25">
      <c r="A16159" t="str">
        <f t="shared" si="2891"/>
        <v>89301000</v>
      </c>
      <c r="B16159" t="str">
        <f t="shared" si="2896"/>
        <v>72100000</v>
      </c>
      <c r="C16159" t="str">
        <f t="shared" si="2897"/>
        <v>72100632</v>
      </c>
      <c r="D16159">
        <v>89301091</v>
      </c>
      <c r="E16159" t="str">
        <f>"8454245316"</f>
        <v>8454245316</v>
      </c>
      <c r="F16159" s="1">
        <v>45273</v>
      </c>
      <c r="G16159" t="str">
        <f t="shared" si="2899"/>
        <v>94297</v>
      </c>
      <c r="H16159">
        <v>1</v>
      </c>
      <c r="I16159">
        <v>304</v>
      </c>
      <c r="J16159">
        <v>0</v>
      </c>
      <c r="K16159" t="str">
        <f t="shared" si="2898"/>
        <v>816</v>
      </c>
      <c r="L16159">
        <v>304</v>
      </c>
    </row>
    <row r="16160" spans="1:12" x14ac:dyDescent="0.25">
      <c r="A16160" t="str">
        <f t="shared" si="2891"/>
        <v>89301000</v>
      </c>
      <c r="B16160" t="str">
        <f t="shared" si="2896"/>
        <v>72100000</v>
      </c>
      <c r="C16160" t="str">
        <f t="shared" si="2897"/>
        <v>72100632</v>
      </c>
      <c r="D16160">
        <v>89301091</v>
      </c>
      <c r="E16160" t="str">
        <f>"8859056272"</f>
        <v>8859056272</v>
      </c>
      <c r="F16160" s="1">
        <v>45273</v>
      </c>
      <c r="G16160" t="str">
        <f t="shared" si="2899"/>
        <v>94297</v>
      </c>
      <c r="H16160">
        <v>1</v>
      </c>
      <c r="I16160">
        <v>304</v>
      </c>
      <c r="J16160">
        <v>0</v>
      </c>
      <c r="K16160" t="str">
        <f t="shared" si="2898"/>
        <v>816</v>
      </c>
      <c r="L16160">
        <v>304</v>
      </c>
    </row>
    <row r="16161" spans="1:12" x14ac:dyDescent="0.25">
      <c r="A16161" t="str">
        <f t="shared" si="2891"/>
        <v>89301000</v>
      </c>
      <c r="B16161" t="str">
        <f t="shared" si="2896"/>
        <v>72100000</v>
      </c>
      <c r="C16161" t="str">
        <f t="shared" si="2897"/>
        <v>72100632</v>
      </c>
      <c r="D16161">
        <v>89301091</v>
      </c>
      <c r="E16161" t="str">
        <f>"9759025727"</f>
        <v>9759025727</v>
      </c>
      <c r="F16161" s="1">
        <v>45273</v>
      </c>
      <c r="G16161" t="str">
        <f t="shared" si="2899"/>
        <v>94297</v>
      </c>
      <c r="H16161">
        <v>1</v>
      </c>
      <c r="I16161">
        <v>304</v>
      </c>
      <c r="J16161">
        <v>0</v>
      </c>
      <c r="K16161" t="str">
        <f t="shared" si="2898"/>
        <v>816</v>
      </c>
      <c r="L16161">
        <v>304</v>
      </c>
    </row>
    <row r="16162" spans="1:12" x14ac:dyDescent="0.25">
      <c r="A16162" t="str">
        <f t="shared" si="2891"/>
        <v>89301000</v>
      </c>
      <c r="B16162" t="str">
        <f t="shared" si="2896"/>
        <v>72100000</v>
      </c>
      <c r="C16162" t="str">
        <f t="shared" si="2897"/>
        <v>72100632</v>
      </c>
      <c r="D16162">
        <v>89301091</v>
      </c>
      <c r="E16162" t="str">
        <f>"8852223842"</f>
        <v>8852223842</v>
      </c>
      <c r="F16162" s="1">
        <v>45273</v>
      </c>
      <c r="G16162" t="str">
        <f t="shared" si="2899"/>
        <v>94297</v>
      </c>
      <c r="H16162">
        <v>1</v>
      </c>
      <c r="I16162">
        <v>304</v>
      </c>
      <c r="J16162">
        <v>0</v>
      </c>
      <c r="K16162" t="str">
        <f t="shared" si="2898"/>
        <v>816</v>
      </c>
      <c r="L16162">
        <v>304</v>
      </c>
    </row>
    <row r="16163" spans="1:12" x14ac:dyDescent="0.25">
      <c r="A16163" t="str">
        <f t="shared" si="2891"/>
        <v>89301000</v>
      </c>
      <c r="B16163" t="str">
        <f t="shared" si="2896"/>
        <v>72100000</v>
      </c>
      <c r="C16163" t="str">
        <f t="shared" si="2897"/>
        <v>72100632</v>
      </c>
      <c r="D16163">
        <v>89301091</v>
      </c>
      <c r="E16163" t="str">
        <f>"8561096214"</f>
        <v>8561096214</v>
      </c>
      <c r="F16163" s="1">
        <v>45274</v>
      </c>
      <c r="G16163" t="str">
        <f t="shared" si="2899"/>
        <v>94297</v>
      </c>
      <c r="H16163">
        <v>1</v>
      </c>
      <c r="I16163">
        <v>304</v>
      </c>
      <c r="J16163">
        <v>0</v>
      </c>
      <c r="K16163" t="str">
        <f t="shared" si="2898"/>
        <v>816</v>
      </c>
      <c r="L16163">
        <v>304</v>
      </c>
    </row>
    <row r="16164" spans="1:12" x14ac:dyDescent="0.25">
      <c r="A16164" t="str">
        <f t="shared" si="2891"/>
        <v>89301000</v>
      </c>
      <c r="B16164" t="str">
        <f t="shared" si="2896"/>
        <v>72100000</v>
      </c>
      <c r="C16164" t="str">
        <f t="shared" si="2897"/>
        <v>72100632</v>
      </c>
      <c r="D16164">
        <v>89301282</v>
      </c>
      <c r="E16164" t="str">
        <f>"2212220450"</f>
        <v>2212220450</v>
      </c>
      <c r="F16164" s="1">
        <v>45261</v>
      </c>
      <c r="G16164" t="str">
        <f>"94221"</f>
        <v>94221</v>
      </c>
      <c r="H16164">
        <v>1</v>
      </c>
      <c r="I16164">
        <v>2467</v>
      </c>
      <c r="J16164">
        <v>0</v>
      </c>
      <c r="K16164" t="str">
        <f t="shared" si="2898"/>
        <v>816</v>
      </c>
      <c r="L16164">
        <v>2220.3000000000002</v>
      </c>
    </row>
    <row r="16165" spans="1:12" x14ac:dyDescent="0.25">
      <c r="A16165" t="str">
        <f t="shared" si="2891"/>
        <v>89301000</v>
      </c>
      <c r="B16165" t="str">
        <f t="shared" si="2896"/>
        <v>72100000</v>
      </c>
      <c r="C16165" t="str">
        <f t="shared" si="2897"/>
        <v>72100632</v>
      </c>
      <c r="D16165">
        <v>89301282</v>
      </c>
      <c r="E16165" t="str">
        <f>"9752206189"</f>
        <v>9752206189</v>
      </c>
      <c r="F16165" s="1">
        <v>45261</v>
      </c>
      <c r="G16165" t="str">
        <f>"94221"</f>
        <v>94221</v>
      </c>
      <c r="H16165">
        <v>1</v>
      </c>
      <c r="I16165">
        <v>2467</v>
      </c>
      <c r="J16165">
        <v>0</v>
      </c>
      <c r="K16165" t="str">
        <f t="shared" si="2898"/>
        <v>816</v>
      </c>
      <c r="L16165">
        <v>2220.3000000000002</v>
      </c>
    </row>
    <row r="16166" spans="1:12" x14ac:dyDescent="0.25">
      <c r="A16166" t="str">
        <f t="shared" si="2891"/>
        <v>89301000</v>
      </c>
      <c r="B16166" t="str">
        <f t="shared" si="2896"/>
        <v>72100000</v>
      </c>
      <c r="C16166" t="str">
        <f t="shared" si="2897"/>
        <v>72100632</v>
      </c>
      <c r="D16166">
        <v>89301091</v>
      </c>
      <c r="E16166" t="str">
        <f>"8153195336"</f>
        <v>8153195336</v>
      </c>
      <c r="F16166" s="1">
        <v>45266</v>
      </c>
      <c r="G16166" t="str">
        <f>"94297"</f>
        <v>94297</v>
      </c>
      <c r="H16166">
        <v>1</v>
      </c>
      <c r="I16166">
        <v>304</v>
      </c>
      <c r="J16166">
        <v>0</v>
      </c>
      <c r="K16166" t="str">
        <f t="shared" si="2898"/>
        <v>816</v>
      </c>
      <c r="L16166">
        <v>304</v>
      </c>
    </row>
    <row r="16167" spans="1:12" x14ac:dyDescent="0.25">
      <c r="A16167" t="str">
        <f t="shared" si="2891"/>
        <v>89301000</v>
      </c>
      <c r="B16167" t="str">
        <f t="shared" si="2896"/>
        <v>72100000</v>
      </c>
      <c r="C16167" t="str">
        <f t="shared" si="2897"/>
        <v>72100632</v>
      </c>
      <c r="D16167">
        <v>89301282</v>
      </c>
      <c r="E16167" t="str">
        <f>"2055011046"</f>
        <v>2055011046</v>
      </c>
      <c r="F16167" s="1">
        <v>45281</v>
      </c>
      <c r="G16167" t="str">
        <f>"94983"</f>
        <v>94983</v>
      </c>
      <c r="H16167">
        <v>1</v>
      </c>
      <c r="I16167">
        <v>0</v>
      </c>
      <c r="J16167">
        <v>39600</v>
      </c>
      <c r="K16167" t="str">
        <f t="shared" si="2898"/>
        <v>816</v>
      </c>
      <c r="L16167">
        <v>39600</v>
      </c>
    </row>
    <row r="16168" spans="1:12" x14ac:dyDescent="0.25">
      <c r="A16168" t="str">
        <f t="shared" si="2891"/>
        <v>89301000</v>
      </c>
      <c r="B16168" t="str">
        <f t="shared" si="2896"/>
        <v>72100000</v>
      </c>
      <c r="C16168" t="str">
        <f t="shared" si="2897"/>
        <v>72100632</v>
      </c>
      <c r="D16168">
        <v>89301282</v>
      </c>
      <c r="E16168" t="str">
        <f>"2055011046"</f>
        <v>2055011046</v>
      </c>
      <c r="F16168" s="1">
        <v>45281</v>
      </c>
      <c r="G16168" t="str">
        <f>"94996"</f>
        <v>94996</v>
      </c>
      <c r="H16168">
        <v>1</v>
      </c>
      <c r="I16168">
        <v>0</v>
      </c>
      <c r="J16168">
        <v>0</v>
      </c>
      <c r="K16168" t="str">
        <f t="shared" si="2898"/>
        <v>816</v>
      </c>
      <c r="L16168">
        <v>0</v>
      </c>
    </row>
    <row r="16169" spans="1:12" x14ac:dyDescent="0.25">
      <c r="A16169" t="str">
        <f t="shared" si="2891"/>
        <v>89301000</v>
      </c>
      <c r="B16169" t="str">
        <f t="shared" si="2896"/>
        <v>72100000</v>
      </c>
      <c r="C16169" t="str">
        <f t="shared" si="2897"/>
        <v>72100632</v>
      </c>
      <c r="D16169">
        <v>89301091</v>
      </c>
      <c r="E16169" t="str">
        <f>"8954145706"</f>
        <v>8954145706</v>
      </c>
      <c r="F16169" s="1">
        <v>45280</v>
      </c>
      <c r="G16169" t="str">
        <f t="shared" ref="G16169:G16200" si="2900">"94297"</f>
        <v>94297</v>
      </c>
      <c r="H16169">
        <v>1</v>
      </c>
      <c r="I16169">
        <v>304</v>
      </c>
      <c r="J16169">
        <v>0</v>
      </c>
      <c r="K16169" t="str">
        <f t="shared" si="2898"/>
        <v>816</v>
      </c>
      <c r="L16169">
        <v>304</v>
      </c>
    </row>
    <row r="16170" spans="1:12" x14ac:dyDescent="0.25">
      <c r="A16170" t="str">
        <f t="shared" si="2891"/>
        <v>89301000</v>
      </c>
      <c r="B16170" t="str">
        <f t="shared" si="2896"/>
        <v>72100000</v>
      </c>
      <c r="C16170" t="str">
        <f t="shared" si="2897"/>
        <v>72100632</v>
      </c>
      <c r="D16170">
        <v>89301091</v>
      </c>
      <c r="E16170" t="str">
        <f>"9656146148"</f>
        <v>9656146148</v>
      </c>
      <c r="F16170" s="1">
        <v>45280</v>
      </c>
      <c r="G16170" t="str">
        <f t="shared" si="2900"/>
        <v>94297</v>
      </c>
      <c r="H16170">
        <v>1</v>
      </c>
      <c r="I16170">
        <v>304</v>
      </c>
      <c r="J16170">
        <v>0</v>
      </c>
      <c r="K16170" t="str">
        <f t="shared" si="2898"/>
        <v>816</v>
      </c>
      <c r="L16170">
        <v>304</v>
      </c>
    </row>
    <row r="16171" spans="1:12" x14ac:dyDescent="0.25">
      <c r="A16171" t="str">
        <f t="shared" si="2891"/>
        <v>89301000</v>
      </c>
      <c r="B16171" t="str">
        <f t="shared" si="2896"/>
        <v>72100000</v>
      </c>
      <c r="C16171" t="str">
        <f t="shared" si="2897"/>
        <v>72100632</v>
      </c>
      <c r="D16171">
        <v>89301091</v>
      </c>
      <c r="E16171" t="str">
        <f>"9262065736"</f>
        <v>9262065736</v>
      </c>
      <c r="F16171" s="1">
        <v>45280</v>
      </c>
      <c r="G16171" t="str">
        <f t="shared" si="2900"/>
        <v>94297</v>
      </c>
      <c r="H16171">
        <v>1</v>
      </c>
      <c r="I16171">
        <v>304</v>
      </c>
      <c r="J16171">
        <v>0</v>
      </c>
      <c r="K16171" t="str">
        <f t="shared" si="2898"/>
        <v>816</v>
      </c>
      <c r="L16171">
        <v>304</v>
      </c>
    </row>
    <row r="16172" spans="1:12" x14ac:dyDescent="0.25">
      <c r="A16172" t="str">
        <f t="shared" si="2891"/>
        <v>89301000</v>
      </c>
      <c r="B16172" t="str">
        <f t="shared" si="2896"/>
        <v>72100000</v>
      </c>
      <c r="C16172" t="str">
        <f t="shared" si="2897"/>
        <v>72100632</v>
      </c>
      <c r="D16172">
        <v>89301091</v>
      </c>
      <c r="E16172" t="str">
        <f>"9851216155"</f>
        <v>9851216155</v>
      </c>
      <c r="F16172" s="1">
        <v>45280</v>
      </c>
      <c r="G16172" t="str">
        <f t="shared" si="2900"/>
        <v>94297</v>
      </c>
      <c r="H16172">
        <v>1</v>
      </c>
      <c r="I16172">
        <v>304</v>
      </c>
      <c r="J16172">
        <v>0</v>
      </c>
      <c r="K16172" t="str">
        <f t="shared" si="2898"/>
        <v>816</v>
      </c>
      <c r="L16172">
        <v>304</v>
      </c>
    </row>
    <row r="16173" spans="1:12" x14ac:dyDescent="0.25">
      <c r="A16173" t="str">
        <f t="shared" si="2891"/>
        <v>89301000</v>
      </c>
      <c r="B16173" t="str">
        <f t="shared" si="2896"/>
        <v>72100000</v>
      </c>
      <c r="C16173" t="str">
        <f t="shared" si="2897"/>
        <v>72100632</v>
      </c>
      <c r="D16173">
        <v>89301091</v>
      </c>
      <c r="E16173" t="str">
        <f>"0154196108"</f>
        <v>0154196108</v>
      </c>
      <c r="F16173" s="1">
        <v>45280</v>
      </c>
      <c r="G16173" t="str">
        <f t="shared" si="2900"/>
        <v>94297</v>
      </c>
      <c r="H16173">
        <v>1</v>
      </c>
      <c r="I16173">
        <v>304</v>
      </c>
      <c r="J16173">
        <v>0</v>
      </c>
      <c r="K16173" t="str">
        <f t="shared" si="2898"/>
        <v>816</v>
      </c>
      <c r="L16173">
        <v>304</v>
      </c>
    </row>
    <row r="16174" spans="1:12" x14ac:dyDescent="0.25">
      <c r="A16174" t="str">
        <f t="shared" si="2891"/>
        <v>89301000</v>
      </c>
      <c r="B16174" t="str">
        <f t="shared" si="2896"/>
        <v>72100000</v>
      </c>
      <c r="C16174" t="str">
        <f t="shared" si="2897"/>
        <v>72100632</v>
      </c>
      <c r="D16174">
        <v>89301091</v>
      </c>
      <c r="E16174" t="str">
        <f>"0459256171"</f>
        <v>0459256171</v>
      </c>
      <c r="F16174" s="1">
        <v>45280</v>
      </c>
      <c r="G16174" t="str">
        <f t="shared" si="2900"/>
        <v>94297</v>
      </c>
      <c r="H16174">
        <v>1</v>
      </c>
      <c r="I16174">
        <v>304</v>
      </c>
      <c r="J16174">
        <v>0</v>
      </c>
      <c r="K16174" t="str">
        <f t="shared" si="2898"/>
        <v>816</v>
      </c>
      <c r="L16174">
        <v>304</v>
      </c>
    </row>
    <row r="16175" spans="1:12" x14ac:dyDescent="0.25">
      <c r="A16175" t="str">
        <f t="shared" si="2891"/>
        <v>89301000</v>
      </c>
      <c r="B16175" t="str">
        <f t="shared" si="2896"/>
        <v>72100000</v>
      </c>
      <c r="C16175" t="str">
        <f t="shared" si="2897"/>
        <v>72100632</v>
      </c>
      <c r="D16175">
        <v>89301091</v>
      </c>
      <c r="E16175" t="str">
        <f>"9151024861"</f>
        <v>9151024861</v>
      </c>
      <c r="F16175" s="1">
        <v>45287</v>
      </c>
      <c r="G16175" t="str">
        <f t="shared" si="2900"/>
        <v>94297</v>
      </c>
      <c r="H16175">
        <v>1</v>
      </c>
      <c r="I16175">
        <v>304</v>
      </c>
      <c r="J16175">
        <v>0</v>
      </c>
      <c r="K16175" t="str">
        <f t="shared" si="2898"/>
        <v>816</v>
      </c>
      <c r="L16175">
        <v>304</v>
      </c>
    </row>
    <row r="16176" spans="1:12" x14ac:dyDescent="0.25">
      <c r="A16176" t="str">
        <f t="shared" si="2891"/>
        <v>89301000</v>
      </c>
      <c r="B16176" t="str">
        <f t="shared" ref="B16176:B16207" si="2901">"72100000"</f>
        <v>72100000</v>
      </c>
      <c r="C16176" t="str">
        <f t="shared" ref="C16176:C16207" si="2902">"72100632"</f>
        <v>72100632</v>
      </c>
      <c r="D16176">
        <v>89301091</v>
      </c>
      <c r="E16176" t="str">
        <f>"2362180040"</f>
        <v>2362180040</v>
      </c>
      <c r="F16176" s="1">
        <v>45289</v>
      </c>
      <c r="G16176" t="str">
        <f t="shared" si="2900"/>
        <v>94297</v>
      </c>
      <c r="H16176">
        <v>1</v>
      </c>
      <c r="I16176">
        <v>304</v>
      </c>
      <c r="J16176">
        <v>0</v>
      </c>
      <c r="K16176" t="str">
        <f t="shared" ref="K16176:K16207" si="2903">"816"</f>
        <v>816</v>
      </c>
      <c r="L16176">
        <v>304</v>
      </c>
    </row>
    <row r="16177" spans="1:12" x14ac:dyDescent="0.25">
      <c r="A16177" t="str">
        <f t="shared" si="2891"/>
        <v>89301000</v>
      </c>
      <c r="B16177" t="str">
        <f t="shared" si="2901"/>
        <v>72100000</v>
      </c>
      <c r="C16177" t="str">
        <f t="shared" si="2902"/>
        <v>72100632</v>
      </c>
      <c r="D16177">
        <v>89301091</v>
      </c>
      <c r="E16177" t="str">
        <f>"8553165775"</f>
        <v>8553165775</v>
      </c>
      <c r="F16177" s="1">
        <v>45289</v>
      </c>
      <c r="G16177" t="str">
        <f t="shared" si="2900"/>
        <v>94297</v>
      </c>
      <c r="H16177">
        <v>1</v>
      </c>
      <c r="I16177">
        <v>304</v>
      </c>
      <c r="J16177">
        <v>0</v>
      </c>
      <c r="K16177" t="str">
        <f t="shared" si="2903"/>
        <v>816</v>
      </c>
      <c r="L16177">
        <v>304</v>
      </c>
    </row>
    <row r="16178" spans="1:12" x14ac:dyDescent="0.25">
      <c r="A16178" t="str">
        <f t="shared" si="2891"/>
        <v>89301000</v>
      </c>
      <c r="B16178" t="str">
        <f t="shared" si="2901"/>
        <v>72100000</v>
      </c>
      <c r="C16178" t="str">
        <f t="shared" si="2902"/>
        <v>72100632</v>
      </c>
      <c r="D16178">
        <v>89301091</v>
      </c>
      <c r="E16178" t="str">
        <f>"9053135740"</f>
        <v>9053135740</v>
      </c>
      <c r="F16178" s="1">
        <v>45289</v>
      </c>
      <c r="G16178" t="str">
        <f t="shared" si="2900"/>
        <v>94297</v>
      </c>
      <c r="H16178">
        <v>1</v>
      </c>
      <c r="I16178">
        <v>304</v>
      </c>
      <c r="J16178">
        <v>0</v>
      </c>
      <c r="K16178" t="str">
        <f t="shared" si="2903"/>
        <v>816</v>
      </c>
      <c r="L16178">
        <v>304</v>
      </c>
    </row>
    <row r="16179" spans="1:12" x14ac:dyDescent="0.25">
      <c r="A16179" t="str">
        <f t="shared" si="2891"/>
        <v>89301000</v>
      </c>
      <c r="B16179" t="str">
        <f t="shared" si="2901"/>
        <v>72100000</v>
      </c>
      <c r="C16179" t="str">
        <f t="shared" si="2902"/>
        <v>72100632</v>
      </c>
      <c r="D16179">
        <v>89301091</v>
      </c>
      <c r="E16179" t="str">
        <f>"9853105702"</f>
        <v>9853105702</v>
      </c>
      <c r="F16179" s="1">
        <v>45289</v>
      </c>
      <c r="G16179" t="str">
        <f t="shared" si="2900"/>
        <v>94297</v>
      </c>
      <c r="H16179">
        <v>1</v>
      </c>
      <c r="I16179">
        <v>304</v>
      </c>
      <c r="J16179">
        <v>0</v>
      </c>
      <c r="K16179" t="str">
        <f t="shared" si="2903"/>
        <v>816</v>
      </c>
      <c r="L16179">
        <v>304</v>
      </c>
    </row>
    <row r="16180" spans="1:12" x14ac:dyDescent="0.25">
      <c r="A16180" t="str">
        <f t="shared" si="2891"/>
        <v>89301000</v>
      </c>
      <c r="B16180" t="str">
        <f t="shared" si="2901"/>
        <v>72100000</v>
      </c>
      <c r="C16180" t="str">
        <f t="shared" si="2902"/>
        <v>72100632</v>
      </c>
      <c r="D16180">
        <v>89301091</v>
      </c>
      <c r="E16180" t="str">
        <f>"2362230112"</f>
        <v>2362230112</v>
      </c>
      <c r="F16180" s="1">
        <v>45289</v>
      </c>
      <c r="G16180" t="str">
        <f t="shared" si="2900"/>
        <v>94297</v>
      </c>
      <c r="H16180">
        <v>1</v>
      </c>
      <c r="I16180">
        <v>304</v>
      </c>
      <c r="J16180">
        <v>0</v>
      </c>
      <c r="K16180" t="str">
        <f t="shared" si="2903"/>
        <v>816</v>
      </c>
      <c r="L16180">
        <v>304</v>
      </c>
    </row>
    <row r="16181" spans="1:12" x14ac:dyDescent="0.25">
      <c r="A16181" t="str">
        <f t="shared" si="2891"/>
        <v>89301000</v>
      </c>
      <c r="B16181" t="str">
        <f t="shared" si="2901"/>
        <v>72100000</v>
      </c>
      <c r="C16181" t="str">
        <f t="shared" si="2902"/>
        <v>72100632</v>
      </c>
      <c r="D16181">
        <v>89301091</v>
      </c>
      <c r="E16181" t="str">
        <f>"8859155833"</f>
        <v>8859155833</v>
      </c>
      <c r="F16181" s="1">
        <v>45231</v>
      </c>
      <c r="G16181" t="str">
        <f t="shared" si="2900"/>
        <v>94297</v>
      </c>
      <c r="H16181">
        <v>1</v>
      </c>
      <c r="I16181">
        <v>304</v>
      </c>
      <c r="J16181">
        <v>0</v>
      </c>
      <c r="K16181" t="str">
        <f t="shared" si="2903"/>
        <v>816</v>
      </c>
      <c r="L16181">
        <v>304</v>
      </c>
    </row>
    <row r="16182" spans="1:12" x14ac:dyDescent="0.25">
      <c r="A16182" t="str">
        <f t="shared" si="2891"/>
        <v>89301000</v>
      </c>
      <c r="B16182" t="str">
        <f t="shared" si="2901"/>
        <v>72100000</v>
      </c>
      <c r="C16182" t="str">
        <f t="shared" si="2902"/>
        <v>72100632</v>
      </c>
      <c r="D16182">
        <v>89301091</v>
      </c>
      <c r="E16182" t="str">
        <f>"9060194847"</f>
        <v>9060194847</v>
      </c>
      <c r="F16182" s="1">
        <v>45231</v>
      </c>
      <c r="G16182" t="str">
        <f t="shared" si="2900"/>
        <v>94297</v>
      </c>
      <c r="H16182">
        <v>1</v>
      </c>
      <c r="I16182">
        <v>304</v>
      </c>
      <c r="J16182">
        <v>0</v>
      </c>
      <c r="K16182" t="str">
        <f t="shared" si="2903"/>
        <v>816</v>
      </c>
      <c r="L16182">
        <v>304</v>
      </c>
    </row>
    <row r="16183" spans="1:12" x14ac:dyDescent="0.25">
      <c r="A16183" t="str">
        <f t="shared" si="2891"/>
        <v>89301000</v>
      </c>
      <c r="B16183" t="str">
        <f t="shared" si="2901"/>
        <v>72100000</v>
      </c>
      <c r="C16183" t="str">
        <f t="shared" si="2902"/>
        <v>72100632</v>
      </c>
      <c r="D16183">
        <v>89301091</v>
      </c>
      <c r="E16183" t="str">
        <f>"9455173783"</f>
        <v>9455173783</v>
      </c>
      <c r="F16183" s="1">
        <v>45231</v>
      </c>
      <c r="G16183" t="str">
        <f t="shared" si="2900"/>
        <v>94297</v>
      </c>
      <c r="H16183">
        <v>1</v>
      </c>
      <c r="I16183">
        <v>304</v>
      </c>
      <c r="J16183">
        <v>0</v>
      </c>
      <c r="K16183" t="str">
        <f t="shared" si="2903"/>
        <v>816</v>
      </c>
      <c r="L16183">
        <v>304</v>
      </c>
    </row>
    <row r="16184" spans="1:12" x14ac:dyDescent="0.25">
      <c r="A16184" t="str">
        <f t="shared" si="2891"/>
        <v>89301000</v>
      </c>
      <c r="B16184" t="str">
        <f t="shared" si="2901"/>
        <v>72100000</v>
      </c>
      <c r="C16184" t="str">
        <f t="shared" si="2902"/>
        <v>72100632</v>
      </c>
      <c r="D16184">
        <v>89301091</v>
      </c>
      <c r="E16184" t="str">
        <f>"8761015780"</f>
        <v>8761015780</v>
      </c>
      <c r="F16184" s="1">
        <v>45231</v>
      </c>
      <c r="G16184" t="str">
        <f t="shared" si="2900"/>
        <v>94297</v>
      </c>
      <c r="H16184">
        <v>1</v>
      </c>
      <c r="I16184">
        <v>304</v>
      </c>
      <c r="J16184">
        <v>0</v>
      </c>
      <c r="K16184" t="str">
        <f t="shared" si="2903"/>
        <v>816</v>
      </c>
      <c r="L16184">
        <v>304</v>
      </c>
    </row>
    <row r="16185" spans="1:12" x14ac:dyDescent="0.25">
      <c r="A16185" t="str">
        <f t="shared" si="2891"/>
        <v>89301000</v>
      </c>
      <c r="B16185" t="str">
        <f t="shared" si="2901"/>
        <v>72100000</v>
      </c>
      <c r="C16185" t="str">
        <f t="shared" si="2902"/>
        <v>72100632</v>
      </c>
      <c r="D16185">
        <v>89301091</v>
      </c>
      <c r="E16185" t="str">
        <f>"8657274912"</f>
        <v>8657274912</v>
      </c>
      <c r="F16185" s="1">
        <v>45231</v>
      </c>
      <c r="G16185" t="str">
        <f t="shared" si="2900"/>
        <v>94297</v>
      </c>
      <c r="H16185">
        <v>1</v>
      </c>
      <c r="I16185">
        <v>304</v>
      </c>
      <c r="J16185">
        <v>0</v>
      </c>
      <c r="K16185" t="str">
        <f t="shared" si="2903"/>
        <v>816</v>
      </c>
      <c r="L16185">
        <v>304</v>
      </c>
    </row>
    <row r="16186" spans="1:12" x14ac:dyDescent="0.25">
      <c r="A16186" t="str">
        <f t="shared" si="2891"/>
        <v>89301000</v>
      </c>
      <c r="B16186" t="str">
        <f t="shared" si="2901"/>
        <v>72100000</v>
      </c>
      <c r="C16186" t="str">
        <f t="shared" si="2902"/>
        <v>72100632</v>
      </c>
      <c r="D16186">
        <v>89301091</v>
      </c>
      <c r="E16186" t="str">
        <f>"8857235794"</f>
        <v>8857235794</v>
      </c>
      <c r="F16186" s="1">
        <v>45232</v>
      </c>
      <c r="G16186" t="str">
        <f t="shared" si="2900"/>
        <v>94297</v>
      </c>
      <c r="H16186">
        <v>1</v>
      </c>
      <c r="I16186">
        <v>304</v>
      </c>
      <c r="J16186">
        <v>0</v>
      </c>
      <c r="K16186" t="str">
        <f t="shared" si="2903"/>
        <v>816</v>
      </c>
      <c r="L16186">
        <v>304</v>
      </c>
    </row>
    <row r="16187" spans="1:12" x14ac:dyDescent="0.25">
      <c r="A16187" t="str">
        <f t="shared" si="2891"/>
        <v>89301000</v>
      </c>
      <c r="B16187" t="str">
        <f t="shared" si="2901"/>
        <v>72100000</v>
      </c>
      <c r="C16187" t="str">
        <f t="shared" si="2902"/>
        <v>72100632</v>
      </c>
      <c r="D16187">
        <v>89301091</v>
      </c>
      <c r="E16187" t="str">
        <f>"9662095718"</f>
        <v>9662095718</v>
      </c>
      <c r="F16187" s="1">
        <v>45232</v>
      </c>
      <c r="G16187" t="str">
        <f t="shared" si="2900"/>
        <v>94297</v>
      </c>
      <c r="H16187">
        <v>1</v>
      </c>
      <c r="I16187">
        <v>304</v>
      </c>
      <c r="J16187">
        <v>0</v>
      </c>
      <c r="K16187" t="str">
        <f t="shared" si="2903"/>
        <v>816</v>
      </c>
      <c r="L16187">
        <v>304</v>
      </c>
    </row>
    <row r="16188" spans="1:12" x14ac:dyDescent="0.25">
      <c r="A16188" t="str">
        <f t="shared" si="2891"/>
        <v>89301000</v>
      </c>
      <c r="B16188" t="str">
        <f t="shared" si="2901"/>
        <v>72100000</v>
      </c>
      <c r="C16188" t="str">
        <f t="shared" si="2902"/>
        <v>72100632</v>
      </c>
      <c r="D16188">
        <v>89301091</v>
      </c>
      <c r="E16188" t="str">
        <f>"9855296143"</f>
        <v>9855296143</v>
      </c>
      <c r="F16188" s="1">
        <v>45237</v>
      </c>
      <c r="G16188" t="str">
        <f t="shared" si="2900"/>
        <v>94297</v>
      </c>
      <c r="H16188">
        <v>1</v>
      </c>
      <c r="I16188">
        <v>304</v>
      </c>
      <c r="J16188">
        <v>0</v>
      </c>
      <c r="K16188" t="str">
        <f t="shared" si="2903"/>
        <v>816</v>
      </c>
      <c r="L16188">
        <v>304</v>
      </c>
    </row>
    <row r="16189" spans="1:12" x14ac:dyDescent="0.25">
      <c r="A16189" t="str">
        <f t="shared" si="2891"/>
        <v>89301000</v>
      </c>
      <c r="B16189" t="str">
        <f t="shared" si="2901"/>
        <v>72100000</v>
      </c>
      <c r="C16189" t="str">
        <f t="shared" si="2902"/>
        <v>72100632</v>
      </c>
      <c r="D16189">
        <v>89301091</v>
      </c>
      <c r="E16189" t="str">
        <f>"8960315815"</f>
        <v>8960315815</v>
      </c>
      <c r="F16189" s="1">
        <v>45237</v>
      </c>
      <c r="G16189" t="str">
        <f t="shared" si="2900"/>
        <v>94297</v>
      </c>
      <c r="H16189">
        <v>1</v>
      </c>
      <c r="I16189">
        <v>304</v>
      </c>
      <c r="J16189">
        <v>0</v>
      </c>
      <c r="K16189" t="str">
        <f t="shared" si="2903"/>
        <v>816</v>
      </c>
      <c r="L16189">
        <v>304</v>
      </c>
    </row>
    <row r="16190" spans="1:12" x14ac:dyDescent="0.25">
      <c r="A16190" t="str">
        <f t="shared" si="2891"/>
        <v>89301000</v>
      </c>
      <c r="B16190" t="str">
        <f t="shared" si="2901"/>
        <v>72100000</v>
      </c>
      <c r="C16190" t="str">
        <f t="shared" si="2902"/>
        <v>72100632</v>
      </c>
      <c r="D16190">
        <v>89301091</v>
      </c>
      <c r="E16190" t="str">
        <f>"9754025710"</f>
        <v>9754025710</v>
      </c>
      <c r="F16190" s="1">
        <v>45238</v>
      </c>
      <c r="G16190" t="str">
        <f t="shared" si="2900"/>
        <v>94297</v>
      </c>
      <c r="H16190">
        <v>1</v>
      </c>
      <c r="I16190">
        <v>304</v>
      </c>
      <c r="J16190">
        <v>0</v>
      </c>
      <c r="K16190" t="str">
        <f t="shared" si="2903"/>
        <v>816</v>
      </c>
      <c r="L16190">
        <v>304</v>
      </c>
    </row>
    <row r="16191" spans="1:12" x14ac:dyDescent="0.25">
      <c r="A16191" t="str">
        <f t="shared" si="2891"/>
        <v>89301000</v>
      </c>
      <c r="B16191" t="str">
        <f t="shared" si="2901"/>
        <v>72100000</v>
      </c>
      <c r="C16191" t="str">
        <f t="shared" si="2902"/>
        <v>72100632</v>
      </c>
      <c r="D16191">
        <v>89301091</v>
      </c>
      <c r="E16191" t="str">
        <f>"0252165705"</f>
        <v>0252165705</v>
      </c>
      <c r="F16191" s="1">
        <v>45238</v>
      </c>
      <c r="G16191" t="str">
        <f t="shared" si="2900"/>
        <v>94297</v>
      </c>
      <c r="H16191">
        <v>1</v>
      </c>
      <c r="I16191">
        <v>304</v>
      </c>
      <c r="J16191">
        <v>0</v>
      </c>
      <c r="K16191" t="str">
        <f t="shared" si="2903"/>
        <v>816</v>
      </c>
      <c r="L16191">
        <v>304</v>
      </c>
    </row>
    <row r="16192" spans="1:12" x14ac:dyDescent="0.25">
      <c r="A16192" t="str">
        <f t="shared" si="2891"/>
        <v>89301000</v>
      </c>
      <c r="B16192" t="str">
        <f t="shared" si="2901"/>
        <v>72100000</v>
      </c>
      <c r="C16192" t="str">
        <f t="shared" si="2902"/>
        <v>72100632</v>
      </c>
      <c r="D16192">
        <v>89301091</v>
      </c>
      <c r="E16192" t="str">
        <f>"9462055515"</f>
        <v>9462055515</v>
      </c>
      <c r="F16192" s="1">
        <v>45238</v>
      </c>
      <c r="G16192" t="str">
        <f t="shared" si="2900"/>
        <v>94297</v>
      </c>
      <c r="H16192">
        <v>1</v>
      </c>
      <c r="I16192">
        <v>304</v>
      </c>
      <c r="J16192">
        <v>0</v>
      </c>
      <c r="K16192" t="str">
        <f t="shared" si="2903"/>
        <v>816</v>
      </c>
      <c r="L16192">
        <v>304</v>
      </c>
    </row>
    <row r="16193" spans="1:12" x14ac:dyDescent="0.25">
      <c r="A16193" t="str">
        <f t="shared" si="2891"/>
        <v>89301000</v>
      </c>
      <c r="B16193" t="str">
        <f t="shared" si="2901"/>
        <v>72100000</v>
      </c>
      <c r="C16193" t="str">
        <f t="shared" si="2902"/>
        <v>72100632</v>
      </c>
      <c r="D16193">
        <v>89301091</v>
      </c>
      <c r="E16193" t="str">
        <f>"9351110417"</f>
        <v>9351110417</v>
      </c>
      <c r="F16193" s="1">
        <v>45238</v>
      </c>
      <c r="G16193" t="str">
        <f t="shared" si="2900"/>
        <v>94297</v>
      </c>
      <c r="H16193">
        <v>1</v>
      </c>
      <c r="I16193">
        <v>304</v>
      </c>
      <c r="J16193">
        <v>0</v>
      </c>
      <c r="K16193" t="str">
        <f t="shared" si="2903"/>
        <v>816</v>
      </c>
      <c r="L16193">
        <v>304</v>
      </c>
    </row>
    <row r="16194" spans="1:12" x14ac:dyDescent="0.25">
      <c r="A16194" t="str">
        <f t="shared" ref="A16194:A16257" si="2904">"89301000"</f>
        <v>89301000</v>
      </c>
      <c r="B16194" t="str">
        <f t="shared" si="2901"/>
        <v>72100000</v>
      </c>
      <c r="C16194" t="str">
        <f t="shared" si="2902"/>
        <v>72100632</v>
      </c>
      <c r="D16194">
        <v>89301091</v>
      </c>
      <c r="E16194" t="str">
        <f>"9160235711"</f>
        <v>9160235711</v>
      </c>
      <c r="F16194" s="1">
        <v>45240</v>
      </c>
      <c r="G16194" t="str">
        <f t="shared" si="2900"/>
        <v>94297</v>
      </c>
      <c r="H16194">
        <v>1</v>
      </c>
      <c r="I16194">
        <v>304</v>
      </c>
      <c r="J16194">
        <v>0</v>
      </c>
      <c r="K16194" t="str">
        <f t="shared" si="2903"/>
        <v>816</v>
      </c>
      <c r="L16194">
        <v>304</v>
      </c>
    </row>
    <row r="16195" spans="1:12" x14ac:dyDescent="0.25">
      <c r="A16195" t="str">
        <f t="shared" si="2904"/>
        <v>89301000</v>
      </c>
      <c r="B16195" t="str">
        <f t="shared" si="2901"/>
        <v>72100000</v>
      </c>
      <c r="C16195" t="str">
        <f t="shared" si="2902"/>
        <v>72100632</v>
      </c>
      <c r="D16195">
        <v>89301091</v>
      </c>
      <c r="E16195" t="str">
        <f>"9557305010"</f>
        <v>9557305010</v>
      </c>
      <c r="F16195" s="1">
        <v>45243</v>
      </c>
      <c r="G16195" t="str">
        <f t="shared" si="2900"/>
        <v>94297</v>
      </c>
      <c r="H16195">
        <v>1</v>
      </c>
      <c r="I16195">
        <v>304</v>
      </c>
      <c r="J16195">
        <v>0</v>
      </c>
      <c r="K16195" t="str">
        <f t="shared" si="2903"/>
        <v>816</v>
      </c>
      <c r="L16195">
        <v>304</v>
      </c>
    </row>
    <row r="16196" spans="1:12" x14ac:dyDescent="0.25">
      <c r="A16196" t="str">
        <f t="shared" si="2904"/>
        <v>89301000</v>
      </c>
      <c r="B16196" t="str">
        <f t="shared" si="2901"/>
        <v>72100000</v>
      </c>
      <c r="C16196" t="str">
        <f t="shared" si="2902"/>
        <v>72100632</v>
      </c>
      <c r="D16196">
        <v>89301091</v>
      </c>
      <c r="E16196" t="str">
        <f>"0358035733"</f>
        <v>0358035733</v>
      </c>
      <c r="F16196" s="1">
        <v>45245</v>
      </c>
      <c r="G16196" t="str">
        <f t="shared" si="2900"/>
        <v>94297</v>
      </c>
      <c r="H16196">
        <v>1</v>
      </c>
      <c r="I16196">
        <v>304</v>
      </c>
      <c r="J16196">
        <v>0</v>
      </c>
      <c r="K16196" t="str">
        <f t="shared" si="2903"/>
        <v>816</v>
      </c>
      <c r="L16196">
        <v>304</v>
      </c>
    </row>
    <row r="16197" spans="1:12" x14ac:dyDescent="0.25">
      <c r="A16197" t="str">
        <f t="shared" si="2904"/>
        <v>89301000</v>
      </c>
      <c r="B16197" t="str">
        <f t="shared" si="2901"/>
        <v>72100000</v>
      </c>
      <c r="C16197" t="str">
        <f t="shared" si="2902"/>
        <v>72100632</v>
      </c>
      <c r="D16197">
        <v>89301091</v>
      </c>
      <c r="E16197" t="str">
        <f>"9259215702"</f>
        <v>9259215702</v>
      </c>
      <c r="F16197" s="1">
        <v>45245</v>
      </c>
      <c r="G16197" t="str">
        <f t="shared" si="2900"/>
        <v>94297</v>
      </c>
      <c r="H16197">
        <v>1</v>
      </c>
      <c r="I16197">
        <v>304</v>
      </c>
      <c r="J16197">
        <v>0</v>
      </c>
      <c r="K16197" t="str">
        <f t="shared" si="2903"/>
        <v>816</v>
      </c>
      <c r="L16197">
        <v>304</v>
      </c>
    </row>
    <row r="16198" spans="1:12" x14ac:dyDescent="0.25">
      <c r="A16198" t="str">
        <f t="shared" si="2904"/>
        <v>89301000</v>
      </c>
      <c r="B16198" t="str">
        <f t="shared" si="2901"/>
        <v>72100000</v>
      </c>
      <c r="C16198" t="str">
        <f t="shared" si="2902"/>
        <v>72100632</v>
      </c>
      <c r="D16198">
        <v>89301091</v>
      </c>
      <c r="E16198" t="str">
        <f>"9160185716"</f>
        <v>9160185716</v>
      </c>
      <c r="F16198" s="1">
        <v>45245</v>
      </c>
      <c r="G16198" t="str">
        <f t="shared" si="2900"/>
        <v>94297</v>
      </c>
      <c r="H16198">
        <v>1</v>
      </c>
      <c r="I16198">
        <v>304</v>
      </c>
      <c r="J16198">
        <v>0</v>
      </c>
      <c r="K16198" t="str">
        <f t="shared" si="2903"/>
        <v>816</v>
      </c>
      <c r="L16198">
        <v>304</v>
      </c>
    </row>
    <row r="16199" spans="1:12" x14ac:dyDescent="0.25">
      <c r="A16199" t="str">
        <f t="shared" si="2904"/>
        <v>89301000</v>
      </c>
      <c r="B16199" t="str">
        <f t="shared" si="2901"/>
        <v>72100000</v>
      </c>
      <c r="C16199" t="str">
        <f t="shared" si="2902"/>
        <v>72100632</v>
      </c>
      <c r="D16199">
        <v>89301091</v>
      </c>
      <c r="E16199" t="str">
        <f>"0255314862"</f>
        <v>0255314862</v>
      </c>
      <c r="F16199" s="1">
        <v>45245</v>
      </c>
      <c r="G16199" t="str">
        <f t="shared" si="2900"/>
        <v>94297</v>
      </c>
      <c r="H16199">
        <v>1</v>
      </c>
      <c r="I16199">
        <v>304</v>
      </c>
      <c r="J16199">
        <v>0</v>
      </c>
      <c r="K16199" t="str">
        <f t="shared" si="2903"/>
        <v>816</v>
      </c>
      <c r="L16199">
        <v>304</v>
      </c>
    </row>
    <row r="16200" spans="1:12" x14ac:dyDescent="0.25">
      <c r="A16200" t="str">
        <f t="shared" si="2904"/>
        <v>89301000</v>
      </c>
      <c r="B16200" t="str">
        <f t="shared" si="2901"/>
        <v>72100000</v>
      </c>
      <c r="C16200" t="str">
        <f t="shared" si="2902"/>
        <v>72100632</v>
      </c>
      <c r="D16200">
        <v>89301091</v>
      </c>
      <c r="E16200" t="str">
        <f>"9159255721"</f>
        <v>9159255721</v>
      </c>
      <c r="F16200" s="1">
        <v>45245</v>
      </c>
      <c r="G16200" t="str">
        <f t="shared" si="2900"/>
        <v>94297</v>
      </c>
      <c r="H16200">
        <v>1</v>
      </c>
      <c r="I16200">
        <v>304</v>
      </c>
      <c r="J16200">
        <v>0</v>
      </c>
      <c r="K16200" t="str">
        <f t="shared" si="2903"/>
        <v>816</v>
      </c>
      <c r="L16200">
        <v>304</v>
      </c>
    </row>
    <row r="16201" spans="1:12" x14ac:dyDescent="0.25">
      <c r="A16201" t="str">
        <f t="shared" si="2904"/>
        <v>89301000</v>
      </c>
      <c r="B16201" t="str">
        <f t="shared" si="2901"/>
        <v>72100000</v>
      </c>
      <c r="C16201" t="str">
        <f t="shared" si="2902"/>
        <v>72100632</v>
      </c>
      <c r="D16201">
        <v>89301091</v>
      </c>
      <c r="E16201" t="str">
        <f>"9452044855"</f>
        <v>9452044855</v>
      </c>
      <c r="F16201" s="1">
        <v>45245</v>
      </c>
      <c r="G16201" t="str">
        <f t="shared" ref="G16201:G16223" si="2905">"94297"</f>
        <v>94297</v>
      </c>
      <c r="H16201">
        <v>1</v>
      </c>
      <c r="I16201">
        <v>304</v>
      </c>
      <c r="J16201">
        <v>0</v>
      </c>
      <c r="K16201" t="str">
        <f t="shared" si="2903"/>
        <v>816</v>
      </c>
      <c r="L16201">
        <v>304</v>
      </c>
    </row>
    <row r="16202" spans="1:12" x14ac:dyDescent="0.25">
      <c r="A16202" t="str">
        <f t="shared" si="2904"/>
        <v>89301000</v>
      </c>
      <c r="B16202" t="str">
        <f t="shared" si="2901"/>
        <v>72100000</v>
      </c>
      <c r="C16202" t="str">
        <f t="shared" si="2902"/>
        <v>72100632</v>
      </c>
      <c r="D16202">
        <v>89301091</v>
      </c>
      <c r="E16202" t="str">
        <f>"0553133240"</f>
        <v>0553133240</v>
      </c>
      <c r="F16202" s="1">
        <v>45250</v>
      </c>
      <c r="G16202" t="str">
        <f t="shared" si="2905"/>
        <v>94297</v>
      </c>
      <c r="H16202">
        <v>1</v>
      </c>
      <c r="I16202">
        <v>304</v>
      </c>
      <c r="J16202">
        <v>0</v>
      </c>
      <c r="K16202" t="str">
        <f t="shared" si="2903"/>
        <v>816</v>
      </c>
      <c r="L16202">
        <v>304</v>
      </c>
    </row>
    <row r="16203" spans="1:12" x14ac:dyDescent="0.25">
      <c r="A16203" t="str">
        <f t="shared" si="2904"/>
        <v>89301000</v>
      </c>
      <c r="B16203" t="str">
        <f t="shared" si="2901"/>
        <v>72100000</v>
      </c>
      <c r="C16203" t="str">
        <f t="shared" si="2902"/>
        <v>72100632</v>
      </c>
      <c r="D16203">
        <v>89301091</v>
      </c>
      <c r="E16203" t="str">
        <f>"9458065705"</f>
        <v>9458065705</v>
      </c>
      <c r="F16203" s="1">
        <v>45251</v>
      </c>
      <c r="G16203" t="str">
        <f t="shared" si="2905"/>
        <v>94297</v>
      </c>
      <c r="H16203">
        <v>1</v>
      </c>
      <c r="I16203">
        <v>304</v>
      </c>
      <c r="J16203">
        <v>0</v>
      </c>
      <c r="K16203" t="str">
        <f t="shared" si="2903"/>
        <v>816</v>
      </c>
      <c r="L16203">
        <v>304</v>
      </c>
    </row>
    <row r="16204" spans="1:12" x14ac:dyDescent="0.25">
      <c r="A16204" t="str">
        <f t="shared" si="2904"/>
        <v>89301000</v>
      </c>
      <c r="B16204" t="str">
        <f t="shared" si="2901"/>
        <v>72100000</v>
      </c>
      <c r="C16204" t="str">
        <f t="shared" si="2902"/>
        <v>72100632</v>
      </c>
      <c r="D16204">
        <v>89301091</v>
      </c>
      <c r="E16204" t="str">
        <f>"9758256145"</f>
        <v>9758256145</v>
      </c>
      <c r="F16204" s="1">
        <v>45251</v>
      </c>
      <c r="G16204" t="str">
        <f t="shared" si="2905"/>
        <v>94297</v>
      </c>
      <c r="H16204">
        <v>1</v>
      </c>
      <c r="I16204">
        <v>304</v>
      </c>
      <c r="J16204">
        <v>0</v>
      </c>
      <c r="K16204" t="str">
        <f t="shared" si="2903"/>
        <v>816</v>
      </c>
      <c r="L16204">
        <v>304</v>
      </c>
    </row>
    <row r="16205" spans="1:12" x14ac:dyDescent="0.25">
      <c r="A16205" t="str">
        <f t="shared" si="2904"/>
        <v>89301000</v>
      </c>
      <c r="B16205" t="str">
        <f t="shared" si="2901"/>
        <v>72100000</v>
      </c>
      <c r="C16205" t="str">
        <f t="shared" si="2902"/>
        <v>72100632</v>
      </c>
      <c r="D16205">
        <v>89301091</v>
      </c>
      <c r="E16205" t="str">
        <f>"2361130585"</f>
        <v>2361130585</v>
      </c>
      <c r="F16205" s="1">
        <v>45251</v>
      </c>
      <c r="G16205" t="str">
        <f t="shared" si="2905"/>
        <v>94297</v>
      </c>
      <c r="H16205">
        <v>1</v>
      </c>
      <c r="I16205">
        <v>304</v>
      </c>
      <c r="J16205">
        <v>0</v>
      </c>
      <c r="K16205" t="str">
        <f t="shared" si="2903"/>
        <v>816</v>
      </c>
      <c r="L16205">
        <v>304</v>
      </c>
    </row>
    <row r="16206" spans="1:12" x14ac:dyDescent="0.25">
      <c r="A16206" t="str">
        <f t="shared" si="2904"/>
        <v>89301000</v>
      </c>
      <c r="B16206" t="str">
        <f t="shared" si="2901"/>
        <v>72100000</v>
      </c>
      <c r="C16206" t="str">
        <f t="shared" si="2902"/>
        <v>72100632</v>
      </c>
      <c r="D16206">
        <v>89301091</v>
      </c>
      <c r="E16206" t="str">
        <f>"2361130596"</f>
        <v>2361130596</v>
      </c>
      <c r="F16206" s="1">
        <v>45251</v>
      </c>
      <c r="G16206" t="str">
        <f t="shared" si="2905"/>
        <v>94297</v>
      </c>
      <c r="H16206">
        <v>1</v>
      </c>
      <c r="I16206">
        <v>304</v>
      </c>
      <c r="J16206">
        <v>0</v>
      </c>
      <c r="K16206" t="str">
        <f t="shared" si="2903"/>
        <v>816</v>
      </c>
      <c r="L16206">
        <v>304</v>
      </c>
    </row>
    <row r="16207" spans="1:12" x14ac:dyDescent="0.25">
      <c r="A16207" t="str">
        <f t="shared" si="2904"/>
        <v>89301000</v>
      </c>
      <c r="B16207" t="str">
        <f t="shared" si="2901"/>
        <v>72100000</v>
      </c>
      <c r="C16207" t="str">
        <f t="shared" si="2902"/>
        <v>72100632</v>
      </c>
      <c r="D16207">
        <v>89301091</v>
      </c>
      <c r="E16207" t="str">
        <f>"2361130673"</f>
        <v>2361130673</v>
      </c>
      <c r="F16207" s="1">
        <v>45251</v>
      </c>
      <c r="G16207" t="str">
        <f t="shared" si="2905"/>
        <v>94297</v>
      </c>
      <c r="H16207">
        <v>1</v>
      </c>
      <c r="I16207">
        <v>304</v>
      </c>
      <c r="J16207">
        <v>0</v>
      </c>
      <c r="K16207" t="str">
        <f t="shared" si="2903"/>
        <v>816</v>
      </c>
      <c r="L16207">
        <v>304</v>
      </c>
    </row>
    <row r="16208" spans="1:12" x14ac:dyDescent="0.25">
      <c r="A16208" t="str">
        <f t="shared" si="2904"/>
        <v>89301000</v>
      </c>
      <c r="B16208" t="str">
        <f t="shared" ref="B16208:B16225" si="2906">"72100000"</f>
        <v>72100000</v>
      </c>
      <c r="C16208" t="str">
        <f t="shared" ref="C16208:C16225" si="2907">"72100632"</f>
        <v>72100632</v>
      </c>
      <c r="D16208">
        <v>89301201</v>
      </c>
      <c r="E16208" t="str">
        <f>"2311140073"</f>
        <v>2311140073</v>
      </c>
      <c r="F16208" s="1">
        <v>45252</v>
      </c>
      <c r="G16208" t="str">
        <f t="shared" si="2905"/>
        <v>94297</v>
      </c>
      <c r="H16208">
        <v>1</v>
      </c>
      <c r="I16208">
        <v>304</v>
      </c>
      <c r="J16208">
        <v>0</v>
      </c>
      <c r="K16208" t="str">
        <f t="shared" ref="K16208:K16225" si="2908">"816"</f>
        <v>816</v>
      </c>
      <c r="L16208">
        <v>304</v>
      </c>
    </row>
    <row r="16209" spans="1:12" x14ac:dyDescent="0.25">
      <c r="A16209" t="str">
        <f t="shared" si="2904"/>
        <v>89301000</v>
      </c>
      <c r="B16209" t="str">
        <f t="shared" si="2906"/>
        <v>72100000</v>
      </c>
      <c r="C16209" t="str">
        <f t="shared" si="2907"/>
        <v>72100632</v>
      </c>
      <c r="D16209">
        <v>89301201</v>
      </c>
      <c r="E16209" t="str">
        <f>"2311140084"</f>
        <v>2311140084</v>
      </c>
      <c r="F16209" s="1">
        <v>45252</v>
      </c>
      <c r="G16209" t="str">
        <f t="shared" si="2905"/>
        <v>94297</v>
      </c>
      <c r="H16209">
        <v>1</v>
      </c>
      <c r="I16209">
        <v>304</v>
      </c>
      <c r="J16209">
        <v>0</v>
      </c>
      <c r="K16209" t="str">
        <f t="shared" si="2908"/>
        <v>816</v>
      </c>
      <c r="L16209">
        <v>304</v>
      </c>
    </row>
    <row r="16210" spans="1:12" x14ac:dyDescent="0.25">
      <c r="A16210" t="str">
        <f t="shared" si="2904"/>
        <v>89301000</v>
      </c>
      <c r="B16210" t="str">
        <f t="shared" si="2906"/>
        <v>72100000</v>
      </c>
      <c r="C16210" t="str">
        <f t="shared" si="2907"/>
        <v>72100632</v>
      </c>
      <c r="D16210">
        <v>89301201</v>
      </c>
      <c r="E16210" t="str">
        <f>"2311140667"</f>
        <v>2311140667</v>
      </c>
      <c r="F16210" s="1">
        <v>45252</v>
      </c>
      <c r="G16210" t="str">
        <f t="shared" si="2905"/>
        <v>94297</v>
      </c>
      <c r="H16210">
        <v>1</v>
      </c>
      <c r="I16210">
        <v>304</v>
      </c>
      <c r="J16210">
        <v>0</v>
      </c>
      <c r="K16210" t="str">
        <f t="shared" si="2908"/>
        <v>816</v>
      </c>
      <c r="L16210">
        <v>304</v>
      </c>
    </row>
    <row r="16211" spans="1:12" x14ac:dyDescent="0.25">
      <c r="A16211" t="str">
        <f t="shared" si="2904"/>
        <v>89301000</v>
      </c>
      <c r="B16211" t="str">
        <f t="shared" si="2906"/>
        <v>72100000</v>
      </c>
      <c r="C16211" t="str">
        <f t="shared" si="2907"/>
        <v>72100632</v>
      </c>
      <c r="D16211">
        <v>89301201</v>
      </c>
      <c r="E16211" t="str">
        <f>"2311150017"</f>
        <v>2311150017</v>
      </c>
      <c r="F16211" s="1">
        <v>45252</v>
      </c>
      <c r="G16211" t="str">
        <f t="shared" si="2905"/>
        <v>94297</v>
      </c>
      <c r="H16211">
        <v>1</v>
      </c>
      <c r="I16211">
        <v>304</v>
      </c>
      <c r="J16211">
        <v>0</v>
      </c>
      <c r="K16211" t="str">
        <f t="shared" si="2908"/>
        <v>816</v>
      </c>
      <c r="L16211">
        <v>304</v>
      </c>
    </row>
    <row r="16212" spans="1:12" x14ac:dyDescent="0.25">
      <c r="A16212" t="str">
        <f t="shared" si="2904"/>
        <v>89301000</v>
      </c>
      <c r="B16212" t="str">
        <f t="shared" si="2906"/>
        <v>72100000</v>
      </c>
      <c r="C16212" t="str">
        <f t="shared" si="2907"/>
        <v>72100632</v>
      </c>
      <c r="D16212">
        <v>89301201</v>
      </c>
      <c r="E16212" t="str">
        <f>"2361150583"</f>
        <v>2361150583</v>
      </c>
      <c r="F16212" s="1">
        <v>45252</v>
      </c>
      <c r="G16212" t="str">
        <f t="shared" si="2905"/>
        <v>94297</v>
      </c>
      <c r="H16212">
        <v>1</v>
      </c>
      <c r="I16212">
        <v>304</v>
      </c>
      <c r="J16212">
        <v>0</v>
      </c>
      <c r="K16212" t="str">
        <f t="shared" si="2908"/>
        <v>816</v>
      </c>
      <c r="L16212">
        <v>304</v>
      </c>
    </row>
    <row r="16213" spans="1:12" x14ac:dyDescent="0.25">
      <c r="A16213" t="str">
        <f t="shared" si="2904"/>
        <v>89301000</v>
      </c>
      <c r="B16213" t="str">
        <f t="shared" si="2906"/>
        <v>72100000</v>
      </c>
      <c r="C16213" t="str">
        <f t="shared" si="2907"/>
        <v>72100632</v>
      </c>
      <c r="D16213">
        <v>89301201</v>
      </c>
      <c r="E16213" t="str">
        <f>"9255255746"</f>
        <v>9255255746</v>
      </c>
      <c r="F16213" s="1">
        <v>45252</v>
      </c>
      <c r="G16213" t="str">
        <f t="shared" si="2905"/>
        <v>94297</v>
      </c>
      <c r="H16213">
        <v>1</v>
      </c>
      <c r="I16213">
        <v>304</v>
      </c>
      <c r="J16213">
        <v>0</v>
      </c>
      <c r="K16213" t="str">
        <f t="shared" si="2908"/>
        <v>816</v>
      </c>
      <c r="L16213">
        <v>304</v>
      </c>
    </row>
    <row r="16214" spans="1:12" x14ac:dyDescent="0.25">
      <c r="A16214" t="str">
        <f t="shared" si="2904"/>
        <v>89301000</v>
      </c>
      <c r="B16214" t="str">
        <f t="shared" si="2906"/>
        <v>72100000</v>
      </c>
      <c r="C16214" t="str">
        <f t="shared" si="2907"/>
        <v>72100632</v>
      </c>
      <c r="D16214">
        <v>89301201</v>
      </c>
      <c r="E16214" t="str">
        <f>"9656075748"</f>
        <v>9656075748</v>
      </c>
      <c r="F16214" s="1">
        <v>45252</v>
      </c>
      <c r="G16214" t="str">
        <f t="shared" si="2905"/>
        <v>94297</v>
      </c>
      <c r="H16214">
        <v>1</v>
      </c>
      <c r="I16214">
        <v>304</v>
      </c>
      <c r="J16214">
        <v>0</v>
      </c>
      <c r="K16214" t="str">
        <f t="shared" si="2908"/>
        <v>816</v>
      </c>
      <c r="L16214">
        <v>304</v>
      </c>
    </row>
    <row r="16215" spans="1:12" x14ac:dyDescent="0.25">
      <c r="A16215" t="str">
        <f t="shared" si="2904"/>
        <v>89301000</v>
      </c>
      <c r="B16215" t="str">
        <f t="shared" si="2906"/>
        <v>72100000</v>
      </c>
      <c r="C16215" t="str">
        <f t="shared" si="2907"/>
        <v>72100632</v>
      </c>
      <c r="D16215">
        <v>89301201</v>
      </c>
      <c r="E16215" t="str">
        <f>"9354114869"</f>
        <v>9354114869</v>
      </c>
      <c r="F16215" s="1">
        <v>45252</v>
      </c>
      <c r="G16215" t="str">
        <f t="shared" si="2905"/>
        <v>94297</v>
      </c>
      <c r="H16215">
        <v>1</v>
      </c>
      <c r="I16215">
        <v>304</v>
      </c>
      <c r="J16215">
        <v>0</v>
      </c>
      <c r="K16215" t="str">
        <f t="shared" si="2908"/>
        <v>816</v>
      </c>
      <c r="L16215">
        <v>304</v>
      </c>
    </row>
    <row r="16216" spans="1:12" x14ac:dyDescent="0.25">
      <c r="A16216" t="str">
        <f t="shared" si="2904"/>
        <v>89301000</v>
      </c>
      <c r="B16216" t="str">
        <f t="shared" si="2906"/>
        <v>72100000</v>
      </c>
      <c r="C16216" t="str">
        <f t="shared" si="2907"/>
        <v>72100632</v>
      </c>
      <c r="D16216">
        <v>89301091</v>
      </c>
      <c r="E16216" t="str">
        <f>"9662254844"</f>
        <v>9662254844</v>
      </c>
      <c r="F16216" s="1">
        <v>45253</v>
      </c>
      <c r="G16216" t="str">
        <f t="shared" si="2905"/>
        <v>94297</v>
      </c>
      <c r="H16216">
        <v>1</v>
      </c>
      <c r="I16216">
        <v>304</v>
      </c>
      <c r="J16216">
        <v>0</v>
      </c>
      <c r="K16216" t="str">
        <f t="shared" si="2908"/>
        <v>816</v>
      </c>
      <c r="L16216">
        <v>304</v>
      </c>
    </row>
    <row r="16217" spans="1:12" x14ac:dyDescent="0.25">
      <c r="A16217" t="str">
        <f t="shared" si="2904"/>
        <v>89301000</v>
      </c>
      <c r="B16217" t="str">
        <f t="shared" si="2906"/>
        <v>72100000</v>
      </c>
      <c r="C16217" t="str">
        <f t="shared" si="2907"/>
        <v>72100632</v>
      </c>
      <c r="D16217">
        <v>89301091</v>
      </c>
      <c r="E16217" t="str">
        <f>"2361200325"</f>
        <v>2361200325</v>
      </c>
      <c r="F16217" s="1">
        <v>45257</v>
      </c>
      <c r="G16217" t="str">
        <f t="shared" si="2905"/>
        <v>94297</v>
      </c>
      <c r="H16217">
        <v>1</v>
      </c>
      <c r="I16217">
        <v>304</v>
      </c>
      <c r="J16217">
        <v>0</v>
      </c>
      <c r="K16217" t="str">
        <f t="shared" si="2908"/>
        <v>816</v>
      </c>
      <c r="L16217">
        <v>304</v>
      </c>
    </row>
    <row r="16218" spans="1:12" x14ac:dyDescent="0.25">
      <c r="A16218" t="str">
        <f t="shared" si="2904"/>
        <v>89301000</v>
      </c>
      <c r="B16218" t="str">
        <f t="shared" si="2906"/>
        <v>72100000</v>
      </c>
      <c r="C16218" t="str">
        <f t="shared" si="2907"/>
        <v>72100632</v>
      </c>
      <c r="D16218">
        <v>89301091</v>
      </c>
      <c r="E16218" t="str">
        <f>"9053295790"</f>
        <v>9053295790</v>
      </c>
      <c r="F16218" s="1">
        <v>45258</v>
      </c>
      <c r="G16218" t="str">
        <f t="shared" si="2905"/>
        <v>94297</v>
      </c>
      <c r="H16218">
        <v>1</v>
      </c>
      <c r="I16218">
        <v>304</v>
      </c>
      <c r="J16218">
        <v>0</v>
      </c>
      <c r="K16218" t="str">
        <f t="shared" si="2908"/>
        <v>816</v>
      </c>
      <c r="L16218">
        <v>304</v>
      </c>
    </row>
    <row r="16219" spans="1:12" x14ac:dyDescent="0.25">
      <c r="A16219" t="str">
        <f t="shared" si="2904"/>
        <v>89301000</v>
      </c>
      <c r="B16219" t="str">
        <f t="shared" si="2906"/>
        <v>72100000</v>
      </c>
      <c r="C16219" t="str">
        <f t="shared" si="2907"/>
        <v>72100632</v>
      </c>
      <c r="D16219">
        <v>89301091</v>
      </c>
      <c r="E16219" t="str">
        <f>"2311210396"</f>
        <v>2311210396</v>
      </c>
      <c r="F16219" s="1">
        <v>45258</v>
      </c>
      <c r="G16219" t="str">
        <f t="shared" si="2905"/>
        <v>94297</v>
      </c>
      <c r="H16219">
        <v>1</v>
      </c>
      <c r="I16219">
        <v>304</v>
      </c>
      <c r="J16219">
        <v>0</v>
      </c>
      <c r="K16219" t="str">
        <f t="shared" si="2908"/>
        <v>816</v>
      </c>
      <c r="L16219">
        <v>304</v>
      </c>
    </row>
    <row r="16220" spans="1:12" x14ac:dyDescent="0.25">
      <c r="A16220" t="str">
        <f t="shared" si="2904"/>
        <v>89301000</v>
      </c>
      <c r="B16220" t="str">
        <f t="shared" si="2906"/>
        <v>72100000</v>
      </c>
      <c r="C16220" t="str">
        <f t="shared" si="2907"/>
        <v>72100632</v>
      </c>
      <c r="D16220">
        <v>89301091</v>
      </c>
      <c r="E16220" t="str">
        <f>"2361210445"</f>
        <v>2361210445</v>
      </c>
      <c r="F16220" s="1">
        <v>45258</v>
      </c>
      <c r="G16220" t="str">
        <f t="shared" si="2905"/>
        <v>94297</v>
      </c>
      <c r="H16220">
        <v>1</v>
      </c>
      <c r="I16220">
        <v>304</v>
      </c>
      <c r="J16220">
        <v>0</v>
      </c>
      <c r="K16220" t="str">
        <f t="shared" si="2908"/>
        <v>816</v>
      </c>
      <c r="L16220">
        <v>304</v>
      </c>
    </row>
    <row r="16221" spans="1:12" x14ac:dyDescent="0.25">
      <c r="A16221" t="str">
        <f t="shared" si="2904"/>
        <v>89301000</v>
      </c>
      <c r="B16221" t="str">
        <f t="shared" si="2906"/>
        <v>72100000</v>
      </c>
      <c r="C16221" t="str">
        <f t="shared" si="2907"/>
        <v>72100632</v>
      </c>
      <c r="D16221">
        <v>89301091</v>
      </c>
      <c r="E16221" t="str">
        <f>"2311210462"</f>
        <v>2311210462</v>
      </c>
      <c r="F16221" s="1">
        <v>45258</v>
      </c>
      <c r="G16221" t="str">
        <f t="shared" si="2905"/>
        <v>94297</v>
      </c>
      <c r="H16221">
        <v>1</v>
      </c>
      <c r="I16221">
        <v>304</v>
      </c>
      <c r="J16221">
        <v>0</v>
      </c>
      <c r="K16221" t="str">
        <f t="shared" si="2908"/>
        <v>816</v>
      </c>
      <c r="L16221">
        <v>304</v>
      </c>
    </row>
    <row r="16222" spans="1:12" x14ac:dyDescent="0.25">
      <c r="A16222" t="str">
        <f t="shared" si="2904"/>
        <v>89301000</v>
      </c>
      <c r="B16222" t="str">
        <f t="shared" si="2906"/>
        <v>72100000</v>
      </c>
      <c r="C16222" t="str">
        <f t="shared" si="2907"/>
        <v>72100632</v>
      </c>
      <c r="D16222">
        <v>89301091</v>
      </c>
      <c r="E16222" t="str">
        <f>"9659034869"</f>
        <v>9659034869</v>
      </c>
      <c r="F16222" s="1">
        <v>45259</v>
      </c>
      <c r="G16222" t="str">
        <f t="shared" si="2905"/>
        <v>94297</v>
      </c>
      <c r="H16222">
        <v>1</v>
      </c>
      <c r="I16222">
        <v>304</v>
      </c>
      <c r="J16222">
        <v>0</v>
      </c>
      <c r="K16222" t="str">
        <f t="shared" si="2908"/>
        <v>816</v>
      </c>
      <c r="L16222">
        <v>304</v>
      </c>
    </row>
    <row r="16223" spans="1:12" x14ac:dyDescent="0.25">
      <c r="A16223" t="str">
        <f t="shared" si="2904"/>
        <v>89301000</v>
      </c>
      <c r="B16223" t="str">
        <f t="shared" si="2906"/>
        <v>72100000</v>
      </c>
      <c r="C16223" t="str">
        <f t="shared" si="2907"/>
        <v>72100632</v>
      </c>
      <c r="D16223">
        <v>89301091</v>
      </c>
      <c r="E16223" t="str">
        <f>"9652095706"</f>
        <v>9652095706</v>
      </c>
      <c r="F16223" s="1">
        <v>45260</v>
      </c>
      <c r="G16223" t="str">
        <f t="shared" si="2905"/>
        <v>94297</v>
      </c>
      <c r="H16223">
        <v>1</v>
      </c>
      <c r="I16223">
        <v>304</v>
      </c>
      <c r="J16223">
        <v>0</v>
      </c>
      <c r="K16223" t="str">
        <f t="shared" si="2908"/>
        <v>816</v>
      </c>
      <c r="L16223">
        <v>304</v>
      </c>
    </row>
    <row r="16224" spans="1:12" x14ac:dyDescent="0.25">
      <c r="A16224" t="str">
        <f t="shared" si="2904"/>
        <v>89301000</v>
      </c>
      <c r="B16224" t="str">
        <f t="shared" si="2906"/>
        <v>72100000</v>
      </c>
      <c r="C16224" t="str">
        <f t="shared" si="2907"/>
        <v>72100632</v>
      </c>
      <c r="D16224">
        <v>89301282</v>
      </c>
      <c r="E16224" t="str">
        <f>"0906045261"</f>
        <v>0906045261</v>
      </c>
      <c r="F16224" s="1">
        <v>45238</v>
      </c>
      <c r="G16224" t="str">
        <f>"94983"</f>
        <v>94983</v>
      </c>
      <c r="H16224">
        <v>1</v>
      </c>
      <c r="I16224">
        <v>0</v>
      </c>
      <c r="J16224">
        <v>39600</v>
      </c>
      <c r="K16224" t="str">
        <f t="shared" si="2908"/>
        <v>816</v>
      </c>
      <c r="L16224">
        <v>39600</v>
      </c>
    </row>
    <row r="16225" spans="1:12" x14ac:dyDescent="0.25">
      <c r="A16225" t="str">
        <f t="shared" si="2904"/>
        <v>89301000</v>
      </c>
      <c r="B16225" t="str">
        <f t="shared" si="2906"/>
        <v>72100000</v>
      </c>
      <c r="C16225" t="str">
        <f t="shared" si="2907"/>
        <v>72100632</v>
      </c>
      <c r="D16225">
        <v>89301282</v>
      </c>
      <c r="E16225" t="str">
        <f>"0906045261"</f>
        <v>0906045261</v>
      </c>
      <c r="F16225" s="1">
        <v>45238</v>
      </c>
      <c r="G16225" t="str">
        <f>"94996"</f>
        <v>94996</v>
      </c>
      <c r="H16225">
        <v>1</v>
      </c>
      <c r="I16225">
        <v>0</v>
      </c>
      <c r="J16225">
        <v>0</v>
      </c>
      <c r="K16225" t="str">
        <f t="shared" si="2908"/>
        <v>816</v>
      </c>
      <c r="L16225">
        <v>0</v>
      </c>
    </row>
    <row r="16226" spans="1:12" x14ac:dyDescent="0.25">
      <c r="A16226" t="str">
        <f t="shared" si="2904"/>
        <v>89301000</v>
      </c>
      <c r="B16226" t="str">
        <f>"44564000"</f>
        <v>44564000</v>
      </c>
      <c r="C16226" t="str">
        <f>"44564004"</f>
        <v>44564004</v>
      </c>
      <c r="D16226">
        <v>89301212</v>
      </c>
      <c r="E16226" t="str">
        <f>"5602110679"</f>
        <v>5602110679</v>
      </c>
      <c r="F16226" s="1">
        <v>45254</v>
      </c>
      <c r="G16226" t="str">
        <f>"87807"</f>
        <v>87807</v>
      </c>
      <c r="H16226">
        <v>1</v>
      </c>
      <c r="I16226">
        <v>35498</v>
      </c>
      <c r="J16226">
        <v>0</v>
      </c>
      <c r="K16226" t="str">
        <f>"807"</f>
        <v>807</v>
      </c>
      <c r="L16226">
        <v>29818.32</v>
      </c>
    </row>
    <row r="16227" spans="1:12" x14ac:dyDescent="0.25">
      <c r="A16227" t="str">
        <f t="shared" si="2904"/>
        <v>89301000</v>
      </c>
      <c r="B16227" t="str">
        <f>"44564000"</f>
        <v>44564000</v>
      </c>
      <c r="C16227" t="str">
        <f>"44564004"</f>
        <v>44564004</v>
      </c>
      <c r="D16227">
        <v>89301212</v>
      </c>
      <c r="E16227" t="str">
        <f>"5602110679"</f>
        <v>5602110679</v>
      </c>
      <c r="F16227" s="1">
        <v>45254</v>
      </c>
      <c r="G16227" t="str">
        <f>"87808"</f>
        <v>87808</v>
      </c>
      <c r="H16227">
        <v>1</v>
      </c>
      <c r="I16227">
        <v>35498</v>
      </c>
      <c r="J16227">
        <v>0</v>
      </c>
      <c r="K16227" t="str">
        <f>"807"</f>
        <v>807</v>
      </c>
      <c r="L16227">
        <v>29818.32</v>
      </c>
    </row>
    <row r="16228" spans="1:12" x14ac:dyDescent="0.25">
      <c r="A16228" t="str">
        <f t="shared" si="2904"/>
        <v>89301000</v>
      </c>
      <c r="B16228" t="str">
        <f t="shared" ref="B16228:B16233" si="2909">"91009000"</f>
        <v>91009000</v>
      </c>
      <c r="C16228" t="str">
        <f t="shared" ref="C16228:C16233" si="2910">"91009522"</f>
        <v>91009522</v>
      </c>
      <c r="D16228">
        <v>89301282</v>
      </c>
      <c r="E16228" t="str">
        <f>"9856175714"</f>
        <v>9856175714</v>
      </c>
      <c r="F16228" s="1">
        <v>45245</v>
      </c>
      <c r="G16228" t="str">
        <f>"94345"</f>
        <v>94345</v>
      </c>
      <c r="H16228">
        <v>2</v>
      </c>
      <c r="I16228">
        <v>9324</v>
      </c>
      <c r="J16228">
        <v>0</v>
      </c>
      <c r="K16228" t="str">
        <f t="shared" ref="K16228:K16233" si="2911">"816"</f>
        <v>816</v>
      </c>
      <c r="L16228">
        <v>8391.6</v>
      </c>
    </row>
    <row r="16229" spans="1:12" x14ac:dyDescent="0.25">
      <c r="A16229" t="str">
        <f t="shared" si="2904"/>
        <v>89301000</v>
      </c>
      <c r="B16229" t="str">
        <f t="shared" si="2909"/>
        <v>91009000</v>
      </c>
      <c r="C16229" t="str">
        <f t="shared" si="2910"/>
        <v>91009522</v>
      </c>
      <c r="D16229">
        <v>89301282</v>
      </c>
      <c r="E16229" t="str">
        <f>"9856175714"</f>
        <v>9856175714</v>
      </c>
      <c r="F16229" s="1">
        <v>45245</v>
      </c>
      <c r="G16229" t="str">
        <f>"94948"</f>
        <v>94948</v>
      </c>
      <c r="H16229">
        <v>1</v>
      </c>
      <c r="I16229">
        <v>0</v>
      </c>
      <c r="J16229">
        <v>0</v>
      </c>
      <c r="K16229" t="str">
        <f t="shared" si="2911"/>
        <v>816</v>
      </c>
      <c r="L16229">
        <v>0</v>
      </c>
    </row>
    <row r="16230" spans="1:12" x14ac:dyDescent="0.25">
      <c r="A16230" t="str">
        <f t="shared" si="2904"/>
        <v>89301000</v>
      </c>
      <c r="B16230" t="str">
        <f t="shared" si="2909"/>
        <v>91009000</v>
      </c>
      <c r="C16230" t="str">
        <f t="shared" si="2910"/>
        <v>91009522</v>
      </c>
      <c r="D16230">
        <v>89301282</v>
      </c>
      <c r="E16230" t="str">
        <f>"9955205700"</f>
        <v>9955205700</v>
      </c>
      <c r="F16230" s="1">
        <v>45245</v>
      </c>
      <c r="G16230" t="str">
        <f>"94345"</f>
        <v>94345</v>
      </c>
      <c r="H16230">
        <v>3</v>
      </c>
      <c r="I16230">
        <v>13986</v>
      </c>
      <c r="J16230">
        <v>0</v>
      </c>
      <c r="K16230" t="str">
        <f t="shared" si="2911"/>
        <v>816</v>
      </c>
      <c r="L16230">
        <v>12587.4</v>
      </c>
    </row>
    <row r="16231" spans="1:12" x14ac:dyDescent="0.25">
      <c r="A16231" t="str">
        <f t="shared" si="2904"/>
        <v>89301000</v>
      </c>
      <c r="B16231" t="str">
        <f t="shared" si="2909"/>
        <v>91009000</v>
      </c>
      <c r="C16231" t="str">
        <f t="shared" si="2910"/>
        <v>91009522</v>
      </c>
      <c r="D16231">
        <v>89301282</v>
      </c>
      <c r="E16231" t="str">
        <f>"9955205700"</f>
        <v>9955205700</v>
      </c>
      <c r="F16231" s="1">
        <v>45245</v>
      </c>
      <c r="G16231" t="str">
        <f>"94948"</f>
        <v>94948</v>
      </c>
      <c r="H16231">
        <v>1</v>
      </c>
      <c r="I16231">
        <v>0</v>
      </c>
      <c r="J16231">
        <v>0</v>
      </c>
      <c r="K16231" t="str">
        <f t="shared" si="2911"/>
        <v>816</v>
      </c>
      <c r="L16231">
        <v>0</v>
      </c>
    </row>
    <row r="16232" spans="1:12" x14ac:dyDescent="0.25">
      <c r="A16232" t="str">
        <f t="shared" si="2904"/>
        <v>89301000</v>
      </c>
      <c r="B16232" t="str">
        <f t="shared" si="2909"/>
        <v>91009000</v>
      </c>
      <c r="C16232" t="str">
        <f t="shared" si="2910"/>
        <v>91009522</v>
      </c>
      <c r="D16232">
        <v>89301282</v>
      </c>
      <c r="E16232" t="str">
        <f>"6252210624"</f>
        <v>6252210624</v>
      </c>
      <c r="F16232" s="1">
        <v>45231</v>
      </c>
      <c r="G16232" t="str">
        <f>"94331"</f>
        <v>94331</v>
      </c>
      <c r="H16232">
        <v>1</v>
      </c>
      <c r="I16232">
        <v>7866</v>
      </c>
      <c r="J16232">
        <v>0</v>
      </c>
      <c r="K16232" t="str">
        <f t="shared" si="2911"/>
        <v>816</v>
      </c>
      <c r="L16232">
        <v>7079.4</v>
      </c>
    </row>
    <row r="16233" spans="1:12" x14ac:dyDescent="0.25">
      <c r="A16233" t="str">
        <f t="shared" si="2904"/>
        <v>89301000</v>
      </c>
      <c r="B16233" t="str">
        <f t="shared" si="2909"/>
        <v>91009000</v>
      </c>
      <c r="C16233" t="str">
        <f t="shared" si="2910"/>
        <v>91009522</v>
      </c>
      <c r="D16233">
        <v>89301282</v>
      </c>
      <c r="E16233" t="str">
        <f>"6252210624"</f>
        <v>6252210624</v>
      </c>
      <c r="F16233" s="1">
        <v>45231</v>
      </c>
      <c r="G16233" t="str">
        <f>"94221"</f>
        <v>94221</v>
      </c>
      <c r="H16233">
        <v>4</v>
      </c>
      <c r="I16233">
        <v>9868</v>
      </c>
      <c r="J16233">
        <v>0</v>
      </c>
      <c r="K16233" t="str">
        <f t="shared" si="2911"/>
        <v>816</v>
      </c>
      <c r="L16233">
        <v>8881.2000000000007</v>
      </c>
    </row>
    <row r="16234" spans="1:12" x14ac:dyDescent="0.25">
      <c r="A16234" t="str">
        <f t="shared" si="2904"/>
        <v>89301000</v>
      </c>
      <c r="B16234" t="str">
        <f t="shared" ref="B16234:B16240" si="2912">"02004000"</f>
        <v>02004000</v>
      </c>
      <c r="C16234" t="str">
        <f>"02004556"</f>
        <v>02004556</v>
      </c>
      <c r="D16234">
        <v>89301102</v>
      </c>
      <c r="E16234" t="str">
        <f>"0658303239"</f>
        <v>0658303239</v>
      </c>
      <c r="F16234" s="1">
        <v>45281</v>
      </c>
      <c r="G16234" t="str">
        <f>"91249"</f>
        <v>91249</v>
      </c>
      <c r="H16234">
        <v>1</v>
      </c>
      <c r="I16234">
        <v>1495</v>
      </c>
      <c r="J16234">
        <v>0</v>
      </c>
      <c r="K16234" t="str">
        <f>"813"</f>
        <v>813</v>
      </c>
      <c r="L16234">
        <v>1255.8</v>
      </c>
    </row>
    <row r="16235" spans="1:12" x14ac:dyDescent="0.25">
      <c r="A16235" t="str">
        <f t="shared" si="2904"/>
        <v>89301000</v>
      </c>
      <c r="B16235" t="str">
        <f t="shared" si="2912"/>
        <v>02004000</v>
      </c>
      <c r="C16235" t="str">
        <f>"02004556"</f>
        <v>02004556</v>
      </c>
      <c r="D16235">
        <v>89301102</v>
      </c>
      <c r="E16235" t="str">
        <f>"0658303239"</f>
        <v>0658303239</v>
      </c>
      <c r="F16235" s="1">
        <v>45281</v>
      </c>
      <c r="G16235" t="str">
        <f>"91251"</f>
        <v>91251</v>
      </c>
      <c r="H16235">
        <v>1</v>
      </c>
      <c r="I16235">
        <v>1495</v>
      </c>
      <c r="J16235">
        <v>0</v>
      </c>
      <c r="K16235" t="str">
        <f>"813"</f>
        <v>813</v>
      </c>
      <c r="L16235">
        <v>1255.8</v>
      </c>
    </row>
    <row r="16236" spans="1:12" x14ac:dyDescent="0.25">
      <c r="A16236" t="str">
        <f t="shared" si="2904"/>
        <v>89301000</v>
      </c>
      <c r="B16236" t="str">
        <f t="shared" si="2912"/>
        <v>02004000</v>
      </c>
      <c r="C16236" t="str">
        <f>"02004556"</f>
        <v>02004556</v>
      </c>
      <c r="D16236">
        <v>89301102</v>
      </c>
      <c r="E16236" t="str">
        <f>"1754070054"</f>
        <v>1754070054</v>
      </c>
      <c r="F16236" s="1">
        <v>45281</v>
      </c>
      <c r="G16236" t="str">
        <f>"91249"</f>
        <v>91249</v>
      </c>
      <c r="H16236">
        <v>1</v>
      </c>
      <c r="I16236">
        <v>1495</v>
      </c>
      <c r="J16236">
        <v>0</v>
      </c>
      <c r="K16236" t="str">
        <f>"813"</f>
        <v>813</v>
      </c>
      <c r="L16236">
        <v>1255.8</v>
      </c>
    </row>
    <row r="16237" spans="1:12" x14ac:dyDescent="0.25">
      <c r="A16237" t="str">
        <f t="shared" si="2904"/>
        <v>89301000</v>
      </c>
      <c r="B16237" t="str">
        <f t="shared" si="2912"/>
        <v>02004000</v>
      </c>
      <c r="C16237" t="str">
        <f>"02004556"</f>
        <v>02004556</v>
      </c>
      <c r="D16237">
        <v>89301102</v>
      </c>
      <c r="E16237" t="str">
        <f>"1754070054"</f>
        <v>1754070054</v>
      </c>
      <c r="F16237" s="1">
        <v>45281</v>
      </c>
      <c r="G16237" t="str">
        <f>"91251"</f>
        <v>91251</v>
      </c>
      <c r="H16237">
        <v>1</v>
      </c>
      <c r="I16237">
        <v>1495</v>
      </c>
      <c r="J16237">
        <v>0</v>
      </c>
      <c r="K16237" t="str">
        <f>"813"</f>
        <v>813</v>
      </c>
      <c r="L16237">
        <v>1255.8</v>
      </c>
    </row>
    <row r="16238" spans="1:12" x14ac:dyDescent="0.25">
      <c r="A16238" t="str">
        <f t="shared" si="2904"/>
        <v>89301000</v>
      </c>
      <c r="B16238" t="str">
        <f t="shared" si="2912"/>
        <v>02004000</v>
      </c>
      <c r="C16238" t="str">
        <f>"02004153"</f>
        <v>02004153</v>
      </c>
      <c r="D16238">
        <v>89301282</v>
      </c>
      <c r="E16238" t="str">
        <f>"8707295795"</f>
        <v>8707295795</v>
      </c>
      <c r="F16238" s="1">
        <v>45266</v>
      </c>
      <c r="G16238" t="str">
        <f>"94221"</f>
        <v>94221</v>
      </c>
      <c r="H16238">
        <v>9</v>
      </c>
      <c r="I16238">
        <v>22203</v>
      </c>
      <c r="J16238">
        <v>0</v>
      </c>
      <c r="K16238" t="str">
        <f>"816"</f>
        <v>816</v>
      </c>
      <c r="L16238">
        <v>19982.7</v>
      </c>
    </row>
    <row r="16239" spans="1:12" x14ac:dyDescent="0.25">
      <c r="A16239" t="str">
        <f t="shared" si="2904"/>
        <v>89301000</v>
      </c>
      <c r="B16239" t="str">
        <f t="shared" si="2912"/>
        <v>02004000</v>
      </c>
      <c r="C16239" t="str">
        <f>"02004153"</f>
        <v>02004153</v>
      </c>
      <c r="D16239">
        <v>89301282</v>
      </c>
      <c r="E16239" t="str">
        <f>"8707295795"</f>
        <v>8707295795</v>
      </c>
      <c r="F16239" s="1">
        <v>45266</v>
      </c>
      <c r="G16239" t="str">
        <f>"94221"</f>
        <v>94221</v>
      </c>
      <c r="H16239">
        <v>9</v>
      </c>
      <c r="I16239">
        <v>22203</v>
      </c>
      <c r="J16239">
        <v>0</v>
      </c>
      <c r="K16239" t="str">
        <f>"816"</f>
        <v>816</v>
      </c>
      <c r="L16239">
        <v>19982.7</v>
      </c>
    </row>
    <row r="16240" spans="1:12" x14ac:dyDescent="0.25">
      <c r="A16240" t="str">
        <f t="shared" si="2904"/>
        <v>89301000</v>
      </c>
      <c r="B16240" t="str">
        <f t="shared" si="2912"/>
        <v>02004000</v>
      </c>
      <c r="C16240" t="str">
        <f>"02004153"</f>
        <v>02004153</v>
      </c>
      <c r="D16240">
        <v>89301282</v>
      </c>
      <c r="E16240" t="str">
        <f>"8707295795"</f>
        <v>8707295795</v>
      </c>
      <c r="F16240" s="1">
        <v>45266</v>
      </c>
      <c r="G16240" t="str">
        <f>"94221"</f>
        <v>94221</v>
      </c>
      <c r="H16240">
        <v>4</v>
      </c>
      <c r="I16240">
        <v>9868</v>
      </c>
      <c r="J16240">
        <v>0</v>
      </c>
      <c r="K16240" t="str">
        <f>"816"</f>
        <v>816</v>
      </c>
      <c r="L16240">
        <v>8881.2000000000007</v>
      </c>
    </row>
    <row r="16241" spans="1:12" x14ac:dyDescent="0.25">
      <c r="A16241" t="str">
        <f t="shared" si="2904"/>
        <v>89301000</v>
      </c>
      <c r="B16241" t="str">
        <f>"06223000"</f>
        <v>06223000</v>
      </c>
      <c r="C16241" t="str">
        <f>"06223043"</f>
        <v>06223043</v>
      </c>
      <c r="D16241">
        <v>89301122</v>
      </c>
      <c r="E16241" t="str">
        <f>"9160095736"</f>
        <v>9160095736</v>
      </c>
      <c r="F16241" s="1">
        <v>45289</v>
      </c>
      <c r="G16241" t="str">
        <f>"81485"</f>
        <v>81485</v>
      </c>
      <c r="H16241">
        <v>1</v>
      </c>
      <c r="I16241">
        <v>461</v>
      </c>
      <c r="J16241">
        <v>0</v>
      </c>
      <c r="K16241" t="str">
        <f>"801"</f>
        <v>801</v>
      </c>
      <c r="L16241">
        <v>387.24</v>
      </c>
    </row>
    <row r="16242" spans="1:12" x14ac:dyDescent="0.25">
      <c r="A16242" t="str">
        <f t="shared" si="2904"/>
        <v>89301000</v>
      </c>
      <c r="B16242" t="str">
        <f>"06223000"</f>
        <v>06223000</v>
      </c>
      <c r="C16242" t="str">
        <f>"06223043"</f>
        <v>06223043</v>
      </c>
      <c r="D16242">
        <v>89301122</v>
      </c>
      <c r="E16242" t="str">
        <f>"7760274478"</f>
        <v>7760274478</v>
      </c>
      <c r="F16242" s="1">
        <v>45289</v>
      </c>
      <c r="G16242" t="str">
        <f>"81485"</f>
        <v>81485</v>
      </c>
      <c r="H16242">
        <v>1</v>
      </c>
      <c r="I16242">
        <v>461</v>
      </c>
      <c r="J16242">
        <v>0</v>
      </c>
      <c r="K16242" t="str">
        <f>"801"</f>
        <v>801</v>
      </c>
      <c r="L16242">
        <v>387.24</v>
      </c>
    </row>
    <row r="16243" spans="1:12" x14ac:dyDescent="0.25">
      <c r="A16243" t="str">
        <f t="shared" si="2904"/>
        <v>89301000</v>
      </c>
      <c r="B16243" t="str">
        <f>"78006000"</f>
        <v>78006000</v>
      </c>
      <c r="C16243" t="str">
        <f>"78006207"</f>
        <v>78006207</v>
      </c>
      <c r="D16243">
        <v>89301171</v>
      </c>
      <c r="E16243" t="str">
        <f>"9307016191"</f>
        <v>9307016191</v>
      </c>
      <c r="F16243" s="1">
        <v>45250</v>
      </c>
      <c r="G16243" t="str">
        <f>"91197"</f>
        <v>91197</v>
      </c>
      <c r="H16243">
        <v>2</v>
      </c>
      <c r="I16243">
        <v>2096</v>
      </c>
      <c r="J16243">
        <v>0</v>
      </c>
      <c r="K16243" t="str">
        <f>"813"</f>
        <v>813</v>
      </c>
      <c r="L16243">
        <v>1760.64</v>
      </c>
    </row>
    <row r="16244" spans="1:12" x14ac:dyDescent="0.25">
      <c r="A16244" t="str">
        <f t="shared" si="2904"/>
        <v>89301000</v>
      </c>
      <c r="B16244" t="str">
        <f>"78006000"</f>
        <v>78006000</v>
      </c>
      <c r="C16244" t="str">
        <f>"78006207"</f>
        <v>78006207</v>
      </c>
      <c r="D16244">
        <v>89301171</v>
      </c>
      <c r="E16244" t="str">
        <f>"9307016191"</f>
        <v>9307016191</v>
      </c>
      <c r="F16244" s="1">
        <v>45251</v>
      </c>
      <c r="G16244" t="str">
        <f>"91197"</f>
        <v>91197</v>
      </c>
      <c r="H16244">
        <v>2</v>
      </c>
      <c r="I16244">
        <v>2096</v>
      </c>
      <c r="J16244">
        <v>0</v>
      </c>
      <c r="K16244" t="str">
        <f>"813"</f>
        <v>813</v>
      </c>
      <c r="L16244">
        <v>1760.64</v>
      </c>
    </row>
    <row r="16245" spans="1:12" x14ac:dyDescent="0.25">
      <c r="A16245" t="str">
        <f t="shared" si="2904"/>
        <v>89301000</v>
      </c>
      <c r="B16245" t="str">
        <f>"78006000"</f>
        <v>78006000</v>
      </c>
      <c r="C16245" t="str">
        <f>"78006207"</f>
        <v>78006207</v>
      </c>
      <c r="D16245">
        <v>89301171</v>
      </c>
      <c r="E16245" t="str">
        <f>"9307016191"</f>
        <v>9307016191</v>
      </c>
      <c r="F16245" s="1">
        <v>45252</v>
      </c>
      <c r="G16245" t="str">
        <f>"91197"</f>
        <v>91197</v>
      </c>
      <c r="H16245">
        <v>2</v>
      </c>
      <c r="I16245">
        <v>2096</v>
      </c>
      <c r="J16245">
        <v>0</v>
      </c>
      <c r="K16245" t="str">
        <f>"813"</f>
        <v>813</v>
      </c>
      <c r="L16245">
        <v>1760.64</v>
      </c>
    </row>
    <row r="16246" spans="1:12" x14ac:dyDescent="0.25">
      <c r="A16246" t="str">
        <f t="shared" si="2904"/>
        <v>89301000</v>
      </c>
      <c r="B16246" t="str">
        <f>"78915000"</f>
        <v>78915000</v>
      </c>
      <c r="C16246" t="str">
        <f>"78915001"</f>
        <v>78915001</v>
      </c>
      <c r="D16246">
        <v>89301122</v>
      </c>
      <c r="E16246" t="str">
        <f>"9061256094"</f>
        <v>9061256094</v>
      </c>
      <c r="F16246" s="1">
        <v>45290</v>
      </c>
      <c r="G16246" t="str">
        <f>"89713"</f>
        <v>89713</v>
      </c>
      <c r="H16246">
        <v>1</v>
      </c>
      <c r="I16246">
        <v>5411</v>
      </c>
      <c r="J16246">
        <v>0</v>
      </c>
      <c r="K16246" t="str">
        <f>"809"</f>
        <v>809</v>
      </c>
      <c r="L16246">
        <v>3517.15</v>
      </c>
    </row>
    <row r="16247" spans="1:12" x14ac:dyDescent="0.25">
      <c r="A16247" t="str">
        <f t="shared" si="2904"/>
        <v>89301000</v>
      </c>
      <c r="B16247" t="str">
        <f>"78915000"</f>
        <v>78915000</v>
      </c>
      <c r="C16247" t="str">
        <f>"78915001"</f>
        <v>78915001</v>
      </c>
      <c r="D16247">
        <v>89301112</v>
      </c>
      <c r="E16247" t="str">
        <f>"9362054845"</f>
        <v>9362054845</v>
      </c>
      <c r="F16247" s="1">
        <v>45288</v>
      </c>
      <c r="G16247" t="str">
        <f>"09569"</f>
        <v>09569</v>
      </c>
      <c r="H16247">
        <v>1</v>
      </c>
      <c r="I16247">
        <v>0</v>
      </c>
      <c r="J16247">
        <v>0</v>
      </c>
      <c r="K16247" t="str">
        <f>"809"</f>
        <v>809</v>
      </c>
      <c r="L16247">
        <v>0</v>
      </c>
    </row>
    <row r="16248" spans="1:12" x14ac:dyDescent="0.25">
      <c r="A16248" t="str">
        <f t="shared" si="2904"/>
        <v>89301000</v>
      </c>
      <c r="B16248" t="str">
        <f>"78915000"</f>
        <v>78915000</v>
      </c>
      <c r="C16248" t="str">
        <f>"78915001"</f>
        <v>78915001</v>
      </c>
      <c r="D16248">
        <v>89301112</v>
      </c>
      <c r="E16248" t="str">
        <f>"9362054845"</f>
        <v>9362054845</v>
      </c>
      <c r="F16248" s="1">
        <v>45288</v>
      </c>
      <c r="G16248" t="str">
        <f>"89713"</f>
        <v>89713</v>
      </c>
      <c r="H16248">
        <v>1</v>
      </c>
      <c r="I16248">
        <v>5411</v>
      </c>
      <c r="J16248">
        <v>0</v>
      </c>
      <c r="K16248" t="str">
        <f>"809"</f>
        <v>809</v>
      </c>
      <c r="L16248">
        <v>3517.15</v>
      </c>
    </row>
    <row r="16249" spans="1:12" x14ac:dyDescent="0.25">
      <c r="A16249" t="str">
        <f t="shared" si="2904"/>
        <v>89301000</v>
      </c>
      <c r="B16249" t="str">
        <f>"05002000"</f>
        <v>05002000</v>
      </c>
      <c r="C16249" t="str">
        <f>"05002153"</f>
        <v>05002153</v>
      </c>
      <c r="D16249">
        <v>89301163</v>
      </c>
      <c r="E16249" t="str">
        <f>"6811290915"</f>
        <v>6811290915</v>
      </c>
      <c r="F16249" s="1">
        <v>45272</v>
      </c>
      <c r="G16249" t="str">
        <f>"87223"</f>
        <v>87223</v>
      </c>
      <c r="H16249">
        <v>1</v>
      </c>
      <c r="I16249">
        <v>398</v>
      </c>
      <c r="J16249">
        <v>0</v>
      </c>
      <c r="K16249" t="str">
        <f>"807"</f>
        <v>807</v>
      </c>
      <c r="L16249">
        <v>334.32</v>
      </c>
    </row>
    <row r="16250" spans="1:12" x14ac:dyDescent="0.25">
      <c r="A16250" t="str">
        <f t="shared" si="2904"/>
        <v>89301000</v>
      </c>
      <c r="B16250" t="str">
        <f>"05002000"</f>
        <v>05002000</v>
      </c>
      <c r="C16250" t="str">
        <f>"05002153"</f>
        <v>05002153</v>
      </c>
      <c r="D16250">
        <v>89301163</v>
      </c>
      <c r="E16250" t="str">
        <f>"6811290915"</f>
        <v>6811290915</v>
      </c>
      <c r="F16250" s="1">
        <v>45272</v>
      </c>
      <c r="G16250" t="str">
        <f>"87231"</f>
        <v>87231</v>
      </c>
      <c r="H16250">
        <v>4</v>
      </c>
      <c r="I16250">
        <v>1524</v>
      </c>
      <c r="J16250">
        <v>0</v>
      </c>
      <c r="K16250" t="str">
        <f>"807"</f>
        <v>807</v>
      </c>
      <c r="L16250">
        <v>1280.1600000000001</v>
      </c>
    </row>
    <row r="16251" spans="1:12" x14ac:dyDescent="0.25">
      <c r="A16251" t="str">
        <f t="shared" si="2904"/>
        <v>89301000</v>
      </c>
      <c r="B16251" t="str">
        <f>"05002000"</f>
        <v>05002000</v>
      </c>
      <c r="C16251" t="str">
        <f>"05002153"</f>
        <v>05002153</v>
      </c>
      <c r="D16251">
        <v>89301163</v>
      </c>
      <c r="E16251" t="str">
        <f>"6811290915"</f>
        <v>6811290915</v>
      </c>
      <c r="F16251" s="1">
        <v>45272</v>
      </c>
      <c r="G16251" t="str">
        <f>"87617"</f>
        <v>87617</v>
      </c>
      <c r="H16251">
        <v>1</v>
      </c>
      <c r="I16251">
        <v>3750</v>
      </c>
      <c r="J16251">
        <v>0</v>
      </c>
      <c r="K16251" t="str">
        <f>"807"</f>
        <v>807</v>
      </c>
      <c r="L16251">
        <v>3150</v>
      </c>
    </row>
    <row r="16252" spans="1:12" x14ac:dyDescent="0.25">
      <c r="A16252" t="str">
        <f t="shared" si="2904"/>
        <v>89301000</v>
      </c>
      <c r="B16252" t="str">
        <f t="shared" ref="B16252:B16283" si="2913">"06539000"</f>
        <v>06539000</v>
      </c>
      <c r="C16252" t="str">
        <f t="shared" ref="C16252:C16261" si="2914">"06539003"</f>
        <v>06539003</v>
      </c>
      <c r="D16252">
        <v>89301171</v>
      </c>
      <c r="E16252" t="str">
        <f t="shared" ref="E16252:E16261" si="2915">"8910136147"</f>
        <v>8910136147</v>
      </c>
      <c r="F16252" s="1">
        <v>45266</v>
      </c>
      <c r="G16252" t="str">
        <f>"91413"</f>
        <v>91413</v>
      </c>
      <c r="H16252">
        <v>1</v>
      </c>
      <c r="I16252">
        <v>868</v>
      </c>
      <c r="J16252">
        <v>0</v>
      </c>
      <c r="K16252" t="str">
        <f t="shared" ref="K16252:K16261" si="2916">"813"</f>
        <v>813</v>
      </c>
      <c r="L16252">
        <v>729.12</v>
      </c>
    </row>
    <row r="16253" spans="1:12" x14ac:dyDescent="0.25">
      <c r="A16253" t="str">
        <f t="shared" si="2904"/>
        <v>89301000</v>
      </c>
      <c r="B16253" t="str">
        <f t="shared" si="2913"/>
        <v>06539000</v>
      </c>
      <c r="C16253" t="str">
        <f t="shared" si="2914"/>
        <v>06539003</v>
      </c>
      <c r="D16253">
        <v>89301171</v>
      </c>
      <c r="E16253" t="str">
        <f t="shared" si="2915"/>
        <v>8910136147</v>
      </c>
      <c r="F16253" s="1">
        <v>45266</v>
      </c>
      <c r="G16253" t="str">
        <f>"91413"</f>
        <v>91413</v>
      </c>
      <c r="H16253">
        <v>1</v>
      </c>
      <c r="I16253">
        <v>868</v>
      </c>
      <c r="J16253">
        <v>0</v>
      </c>
      <c r="K16253" t="str">
        <f t="shared" si="2916"/>
        <v>813</v>
      </c>
      <c r="L16253">
        <v>729.12</v>
      </c>
    </row>
    <row r="16254" spans="1:12" x14ac:dyDescent="0.25">
      <c r="A16254" t="str">
        <f t="shared" si="2904"/>
        <v>89301000</v>
      </c>
      <c r="B16254" t="str">
        <f t="shared" si="2913"/>
        <v>06539000</v>
      </c>
      <c r="C16254" t="str">
        <f t="shared" si="2914"/>
        <v>06539003</v>
      </c>
      <c r="D16254">
        <v>89301171</v>
      </c>
      <c r="E16254" t="str">
        <f t="shared" si="2915"/>
        <v>8910136147</v>
      </c>
      <c r="F16254" s="1">
        <v>45287</v>
      </c>
      <c r="G16254" t="str">
        <f>"91413"</f>
        <v>91413</v>
      </c>
      <c r="H16254">
        <v>1</v>
      </c>
      <c r="I16254">
        <v>868</v>
      </c>
      <c r="J16254">
        <v>0</v>
      </c>
      <c r="K16254" t="str">
        <f t="shared" si="2916"/>
        <v>813</v>
      </c>
      <c r="L16254">
        <v>729.12</v>
      </c>
    </row>
    <row r="16255" spans="1:12" x14ac:dyDescent="0.25">
      <c r="A16255" t="str">
        <f t="shared" si="2904"/>
        <v>89301000</v>
      </c>
      <c r="B16255" t="str">
        <f t="shared" si="2913"/>
        <v>06539000</v>
      </c>
      <c r="C16255" t="str">
        <f t="shared" si="2914"/>
        <v>06539003</v>
      </c>
      <c r="D16255">
        <v>89301171</v>
      </c>
      <c r="E16255" t="str">
        <f t="shared" si="2915"/>
        <v>8910136147</v>
      </c>
      <c r="F16255" s="1">
        <v>45287</v>
      </c>
      <c r="G16255" t="str">
        <f>"91413"</f>
        <v>91413</v>
      </c>
      <c r="H16255">
        <v>1</v>
      </c>
      <c r="I16255">
        <v>868</v>
      </c>
      <c r="J16255">
        <v>0</v>
      </c>
      <c r="K16255" t="str">
        <f t="shared" si="2916"/>
        <v>813</v>
      </c>
      <c r="L16255">
        <v>729.12</v>
      </c>
    </row>
    <row r="16256" spans="1:12" x14ac:dyDescent="0.25">
      <c r="A16256" t="str">
        <f t="shared" si="2904"/>
        <v>89301000</v>
      </c>
      <c r="B16256" t="str">
        <f t="shared" si="2913"/>
        <v>06539000</v>
      </c>
      <c r="C16256" t="str">
        <f t="shared" si="2914"/>
        <v>06539003</v>
      </c>
      <c r="D16256">
        <v>89301171</v>
      </c>
      <c r="E16256" t="str">
        <f t="shared" si="2915"/>
        <v>8910136147</v>
      </c>
      <c r="F16256" s="1">
        <v>45264</v>
      </c>
      <c r="G16256" t="str">
        <f>"91197"</f>
        <v>91197</v>
      </c>
      <c r="H16256">
        <v>1</v>
      </c>
      <c r="I16256">
        <v>1048</v>
      </c>
      <c r="J16256">
        <v>0</v>
      </c>
      <c r="K16256" t="str">
        <f t="shared" si="2916"/>
        <v>813</v>
      </c>
      <c r="L16256">
        <v>880.32</v>
      </c>
    </row>
    <row r="16257" spans="1:12" x14ac:dyDescent="0.25">
      <c r="A16257" t="str">
        <f t="shared" si="2904"/>
        <v>89301000</v>
      </c>
      <c r="B16257" t="str">
        <f t="shared" si="2913"/>
        <v>06539000</v>
      </c>
      <c r="C16257" t="str">
        <f t="shared" si="2914"/>
        <v>06539003</v>
      </c>
      <c r="D16257">
        <v>89301171</v>
      </c>
      <c r="E16257" t="str">
        <f t="shared" si="2915"/>
        <v>8910136147</v>
      </c>
      <c r="F16257" s="1">
        <v>45264</v>
      </c>
      <c r="G16257" t="str">
        <f>"91197"</f>
        <v>91197</v>
      </c>
      <c r="H16257">
        <v>1</v>
      </c>
      <c r="I16257">
        <v>1048</v>
      </c>
      <c r="J16257">
        <v>0</v>
      </c>
      <c r="K16257" t="str">
        <f t="shared" si="2916"/>
        <v>813</v>
      </c>
      <c r="L16257">
        <v>880.32</v>
      </c>
    </row>
    <row r="16258" spans="1:12" x14ac:dyDescent="0.25">
      <c r="A16258" t="str">
        <f t="shared" ref="A16258:A16321" si="2917">"89301000"</f>
        <v>89301000</v>
      </c>
      <c r="B16258" t="str">
        <f t="shared" si="2913"/>
        <v>06539000</v>
      </c>
      <c r="C16258" t="str">
        <f t="shared" si="2914"/>
        <v>06539003</v>
      </c>
      <c r="D16258">
        <v>89301171</v>
      </c>
      <c r="E16258" t="str">
        <f t="shared" si="2915"/>
        <v>8910136147</v>
      </c>
      <c r="F16258" s="1">
        <v>45266</v>
      </c>
      <c r="G16258" t="str">
        <f>"91329"</f>
        <v>91329</v>
      </c>
      <c r="H16258">
        <v>2</v>
      </c>
      <c r="I16258">
        <v>436</v>
      </c>
      <c r="J16258">
        <v>0</v>
      </c>
      <c r="K16258" t="str">
        <f t="shared" si="2916"/>
        <v>813</v>
      </c>
      <c r="L16258">
        <v>366.24</v>
      </c>
    </row>
    <row r="16259" spans="1:12" x14ac:dyDescent="0.25">
      <c r="A16259" t="str">
        <f t="shared" si="2917"/>
        <v>89301000</v>
      </c>
      <c r="B16259" t="str">
        <f t="shared" si="2913"/>
        <v>06539000</v>
      </c>
      <c r="C16259" t="str">
        <f t="shared" si="2914"/>
        <v>06539003</v>
      </c>
      <c r="D16259">
        <v>89301171</v>
      </c>
      <c r="E16259" t="str">
        <f t="shared" si="2915"/>
        <v>8910136147</v>
      </c>
      <c r="F16259" s="1">
        <v>45266</v>
      </c>
      <c r="G16259" t="str">
        <f>"91329"</f>
        <v>91329</v>
      </c>
      <c r="H16259">
        <v>2</v>
      </c>
      <c r="I16259">
        <v>436</v>
      </c>
      <c r="J16259">
        <v>0</v>
      </c>
      <c r="K16259" t="str">
        <f t="shared" si="2916"/>
        <v>813</v>
      </c>
      <c r="L16259">
        <v>366.24</v>
      </c>
    </row>
    <row r="16260" spans="1:12" x14ac:dyDescent="0.25">
      <c r="A16260" t="str">
        <f t="shared" si="2917"/>
        <v>89301000</v>
      </c>
      <c r="B16260" t="str">
        <f t="shared" si="2913"/>
        <v>06539000</v>
      </c>
      <c r="C16260" t="str">
        <f t="shared" si="2914"/>
        <v>06539003</v>
      </c>
      <c r="D16260">
        <v>89301171</v>
      </c>
      <c r="E16260" t="str">
        <f t="shared" si="2915"/>
        <v>8910136147</v>
      </c>
      <c r="F16260" s="1">
        <v>45266</v>
      </c>
      <c r="G16260" t="str">
        <f>"91329"</f>
        <v>91329</v>
      </c>
      <c r="H16260">
        <v>2</v>
      </c>
      <c r="I16260">
        <v>436</v>
      </c>
      <c r="J16260">
        <v>0</v>
      </c>
      <c r="K16260" t="str">
        <f t="shared" si="2916"/>
        <v>813</v>
      </c>
      <c r="L16260">
        <v>366.24</v>
      </c>
    </row>
    <row r="16261" spans="1:12" x14ac:dyDescent="0.25">
      <c r="A16261" t="str">
        <f t="shared" si="2917"/>
        <v>89301000</v>
      </c>
      <c r="B16261" t="str">
        <f t="shared" si="2913"/>
        <v>06539000</v>
      </c>
      <c r="C16261" t="str">
        <f t="shared" si="2914"/>
        <v>06539003</v>
      </c>
      <c r="D16261">
        <v>89301171</v>
      </c>
      <c r="E16261" t="str">
        <f t="shared" si="2915"/>
        <v>8910136147</v>
      </c>
      <c r="F16261" s="1">
        <v>45266</v>
      </c>
      <c r="G16261" t="str">
        <f>"91329"</f>
        <v>91329</v>
      </c>
      <c r="H16261">
        <v>2</v>
      </c>
      <c r="I16261">
        <v>436</v>
      </c>
      <c r="J16261">
        <v>0</v>
      </c>
      <c r="K16261" t="str">
        <f t="shared" si="2916"/>
        <v>813</v>
      </c>
      <c r="L16261">
        <v>366.24</v>
      </c>
    </row>
    <row r="16262" spans="1:12" x14ac:dyDescent="0.25">
      <c r="A16262" t="str">
        <f t="shared" si="2917"/>
        <v>89301000</v>
      </c>
      <c r="B16262" t="str">
        <f t="shared" si="2913"/>
        <v>06539000</v>
      </c>
      <c r="C16262" t="str">
        <f>"06539001"</f>
        <v>06539001</v>
      </c>
      <c r="D16262">
        <v>89301171</v>
      </c>
      <c r="E16262" t="str">
        <f t="shared" ref="E16262:E16293" si="2918">"7553295310"</f>
        <v>7553295310</v>
      </c>
      <c r="F16262" s="1">
        <v>45268</v>
      </c>
      <c r="G16262" t="str">
        <f>"81329"</f>
        <v>81329</v>
      </c>
      <c r="H16262">
        <v>1</v>
      </c>
      <c r="I16262">
        <v>17</v>
      </c>
      <c r="J16262">
        <v>0</v>
      </c>
      <c r="K16262" t="str">
        <f>"801"</f>
        <v>801</v>
      </c>
      <c r="L16262">
        <v>14.28</v>
      </c>
    </row>
    <row r="16263" spans="1:12" x14ac:dyDescent="0.25">
      <c r="A16263" t="str">
        <f t="shared" si="2917"/>
        <v>89301000</v>
      </c>
      <c r="B16263" t="str">
        <f t="shared" si="2913"/>
        <v>06539000</v>
      </c>
      <c r="C16263" t="str">
        <f>"06539001"</f>
        <v>06539001</v>
      </c>
      <c r="D16263">
        <v>89301171</v>
      </c>
      <c r="E16263" t="str">
        <f t="shared" si="2918"/>
        <v>7553295310</v>
      </c>
      <c r="F16263" s="1">
        <v>45268</v>
      </c>
      <c r="G16263" t="str">
        <f>"81331"</f>
        <v>81331</v>
      </c>
      <c r="H16263">
        <v>1</v>
      </c>
      <c r="I16263">
        <v>193</v>
      </c>
      <c r="J16263">
        <v>0</v>
      </c>
      <c r="K16263" t="str">
        <f>"801"</f>
        <v>801</v>
      </c>
      <c r="L16263">
        <v>162.12</v>
      </c>
    </row>
    <row r="16264" spans="1:12" x14ac:dyDescent="0.25">
      <c r="A16264" t="str">
        <f t="shared" si="2917"/>
        <v>89301000</v>
      </c>
      <c r="B16264" t="str">
        <f t="shared" si="2913"/>
        <v>06539000</v>
      </c>
      <c r="C16264" t="str">
        <f t="shared" ref="C16264:C16271" si="2919">"06539002"</f>
        <v>06539002</v>
      </c>
      <c r="D16264">
        <v>89301171</v>
      </c>
      <c r="E16264" t="str">
        <f t="shared" si="2918"/>
        <v>7553295310</v>
      </c>
      <c r="F16264" s="1">
        <v>45268</v>
      </c>
      <c r="G16264" t="str">
        <f t="shared" ref="G16264:G16271" si="2920">"82097"</f>
        <v>82097</v>
      </c>
      <c r="H16264">
        <v>1</v>
      </c>
      <c r="I16264">
        <v>381</v>
      </c>
      <c r="J16264">
        <v>0</v>
      </c>
      <c r="K16264" t="str">
        <f t="shared" ref="K16264:K16271" si="2921">"802"</f>
        <v>802</v>
      </c>
      <c r="L16264">
        <v>369.57</v>
      </c>
    </row>
    <row r="16265" spans="1:12" x14ac:dyDescent="0.25">
      <c r="A16265" t="str">
        <f t="shared" si="2917"/>
        <v>89301000</v>
      </c>
      <c r="B16265" t="str">
        <f t="shared" si="2913"/>
        <v>06539000</v>
      </c>
      <c r="C16265" t="str">
        <f t="shared" si="2919"/>
        <v>06539002</v>
      </c>
      <c r="D16265">
        <v>89301171</v>
      </c>
      <c r="E16265" t="str">
        <f t="shared" si="2918"/>
        <v>7553295310</v>
      </c>
      <c r="F16265" s="1">
        <v>45268</v>
      </c>
      <c r="G16265" t="str">
        <f t="shared" si="2920"/>
        <v>82097</v>
      </c>
      <c r="H16265">
        <v>1</v>
      </c>
      <c r="I16265">
        <v>381</v>
      </c>
      <c r="J16265">
        <v>0</v>
      </c>
      <c r="K16265" t="str">
        <f t="shared" si="2921"/>
        <v>802</v>
      </c>
      <c r="L16265">
        <v>369.57</v>
      </c>
    </row>
    <row r="16266" spans="1:12" x14ac:dyDescent="0.25">
      <c r="A16266" t="str">
        <f t="shared" si="2917"/>
        <v>89301000</v>
      </c>
      <c r="B16266" t="str">
        <f t="shared" si="2913"/>
        <v>06539000</v>
      </c>
      <c r="C16266" t="str">
        <f t="shared" si="2919"/>
        <v>06539002</v>
      </c>
      <c r="D16266">
        <v>89301171</v>
      </c>
      <c r="E16266" t="str">
        <f t="shared" si="2918"/>
        <v>7553295310</v>
      </c>
      <c r="F16266" s="1">
        <v>45268</v>
      </c>
      <c r="G16266" t="str">
        <f t="shared" si="2920"/>
        <v>82097</v>
      </c>
      <c r="H16266">
        <v>1</v>
      </c>
      <c r="I16266">
        <v>381</v>
      </c>
      <c r="J16266">
        <v>0</v>
      </c>
      <c r="K16266" t="str">
        <f t="shared" si="2921"/>
        <v>802</v>
      </c>
      <c r="L16266">
        <v>369.57</v>
      </c>
    </row>
    <row r="16267" spans="1:12" x14ac:dyDescent="0.25">
      <c r="A16267" t="str">
        <f t="shared" si="2917"/>
        <v>89301000</v>
      </c>
      <c r="B16267" t="str">
        <f t="shared" si="2913"/>
        <v>06539000</v>
      </c>
      <c r="C16267" t="str">
        <f t="shared" si="2919"/>
        <v>06539002</v>
      </c>
      <c r="D16267">
        <v>89301171</v>
      </c>
      <c r="E16267" t="str">
        <f t="shared" si="2918"/>
        <v>7553295310</v>
      </c>
      <c r="F16267" s="1">
        <v>45268</v>
      </c>
      <c r="G16267" t="str">
        <f t="shared" si="2920"/>
        <v>82097</v>
      </c>
      <c r="H16267">
        <v>1</v>
      </c>
      <c r="I16267">
        <v>381</v>
      </c>
      <c r="J16267">
        <v>0</v>
      </c>
      <c r="K16267" t="str">
        <f t="shared" si="2921"/>
        <v>802</v>
      </c>
      <c r="L16267">
        <v>369.57</v>
      </c>
    </row>
    <row r="16268" spans="1:12" x14ac:dyDescent="0.25">
      <c r="A16268" t="str">
        <f t="shared" si="2917"/>
        <v>89301000</v>
      </c>
      <c r="B16268" t="str">
        <f t="shared" si="2913"/>
        <v>06539000</v>
      </c>
      <c r="C16268" t="str">
        <f t="shared" si="2919"/>
        <v>06539002</v>
      </c>
      <c r="D16268">
        <v>89301171</v>
      </c>
      <c r="E16268" t="str">
        <f t="shared" si="2918"/>
        <v>7553295310</v>
      </c>
      <c r="F16268" s="1">
        <v>45268</v>
      </c>
      <c r="G16268" t="str">
        <f t="shared" si="2920"/>
        <v>82097</v>
      </c>
      <c r="H16268">
        <v>1</v>
      </c>
      <c r="I16268">
        <v>381</v>
      </c>
      <c r="J16268">
        <v>0</v>
      </c>
      <c r="K16268" t="str">
        <f t="shared" si="2921"/>
        <v>802</v>
      </c>
      <c r="L16268">
        <v>369.57</v>
      </c>
    </row>
    <row r="16269" spans="1:12" x14ac:dyDescent="0.25">
      <c r="A16269" t="str">
        <f t="shared" si="2917"/>
        <v>89301000</v>
      </c>
      <c r="B16269" t="str">
        <f t="shared" si="2913"/>
        <v>06539000</v>
      </c>
      <c r="C16269" t="str">
        <f t="shared" si="2919"/>
        <v>06539002</v>
      </c>
      <c r="D16269">
        <v>89301171</v>
      </c>
      <c r="E16269" t="str">
        <f t="shared" si="2918"/>
        <v>7553295310</v>
      </c>
      <c r="F16269" s="1">
        <v>45268</v>
      </c>
      <c r="G16269" t="str">
        <f t="shared" si="2920"/>
        <v>82097</v>
      </c>
      <c r="H16269">
        <v>1</v>
      </c>
      <c r="I16269">
        <v>381</v>
      </c>
      <c r="J16269">
        <v>0</v>
      </c>
      <c r="K16269" t="str">
        <f t="shared" si="2921"/>
        <v>802</v>
      </c>
      <c r="L16269">
        <v>369.57</v>
      </c>
    </row>
    <row r="16270" spans="1:12" x14ac:dyDescent="0.25">
      <c r="A16270" t="str">
        <f t="shared" si="2917"/>
        <v>89301000</v>
      </c>
      <c r="B16270" t="str">
        <f t="shared" si="2913"/>
        <v>06539000</v>
      </c>
      <c r="C16270" t="str">
        <f t="shared" si="2919"/>
        <v>06539002</v>
      </c>
      <c r="D16270">
        <v>89301171</v>
      </c>
      <c r="E16270" t="str">
        <f t="shared" si="2918"/>
        <v>7553295310</v>
      </c>
      <c r="F16270" s="1">
        <v>45268</v>
      </c>
      <c r="G16270" t="str">
        <f t="shared" si="2920"/>
        <v>82097</v>
      </c>
      <c r="H16270">
        <v>1</v>
      </c>
      <c r="I16270">
        <v>381</v>
      </c>
      <c r="J16270">
        <v>0</v>
      </c>
      <c r="K16270" t="str">
        <f t="shared" si="2921"/>
        <v>802</v>
      </c>
      <c r="L16270">
        <v>369.57</v>
      </c>
    </row>
    <row r="16271" spans="1:12" x14ac:dyDescent="0.25">
      <c r="A16271" t="str">
        <f t="shared" si="2917"/>
        <v>89301000</v>
      </c>
      <c r="B16271" t="str">
        <f t="shared" si="2913"/>
        <v>06539000</v>
      </c>
      <c r="C16271" t="str">
        <f t="shared" si="2919"/>
        <v>06539002</v>
      </c>
      <c r="D16271">
        <v>89301171</v>
      </c>
      <c r="E16271" t="str">
        <f t="shared" si="2918"/>
        <v>7553295310</v>
      </c>
      <c r="F16271" s="1">
        <v>45268</v>
      </c>
      <c r="G16271" t="str">
        <f t="shared" si="2920"/>
        <v>82097</v>
      </c>
      <c r="H16271">
        <v>1</v>
      </c>
      <c r="I16271">
        <v>381</v>
      </c>
      <c r="J16271">
        <v>0</v>
      </c>
      <c r="K16271" t="str">
        <f t="shared" si="2921"/>
        <v>802</v>
      </c>
      <c r="L16271">
        <v>369.57</v>
      </c>
    </row>
    <row r="16272" spans="1:12" x14ac:dyDescent="0.25">
      <c r="A16272" t="str">
        <f t="shared" si="2917"/>
        <v>89301000</v>
      </c>
      <c r="B16272" t="str">
        <f t="shared" si="2913"/>
        <v>06539000</v>
      </c>
      <c r="C16272" t="str">
        <f t="shared" ref="C16272:C16303" si="2922">"06539003"</f>
        <v>06539003</v>
      </c>
      <c r="D16272">
        <v>89301171</v>
      </c>
      <c r="E16272" t="str">
        <f t="shared" si="2918"/>
        <v>7553295310</v>
      </c>
      <c r="F16272" s="1">
        <v>45273</v>
      </c>
      <c r="G16272" t="str">
        <f>"91413"</f>
        <v>91413</v>
      </c>
      <c r="H16272">
        <v>1</v>
      </c>
      <c r="I16272">
        <v>868</v>
      </c>
      <c r="J16272">
        <v>0</v>
      </c>
      <c r="K16272" t="str">
        <f t="shared" ref="K16272:K16303" si="2923">"813"</f>
        <v>813</v>
      </c>
      <c r="L16272">
        <v>729.12</v>
      </c>
    </row>
    <row r="16273" spans="1:12" x14ac:dyDescent="0.25">
      <c r="A16273" t="str">
        <f t="shared" si="2917"/>
        <v>89301000</v>
      </c>
      <c r="B16273" t="str">
        <f t="shared" si="2913"/>
        <v>06539000</v>
      </c>
      <c r="C16273" t="str">
        <f t="shared" si="2922"/>
        <v>06539003</v>
      </c>
      <c r="D16273">
        <v>89301171</v>
      </c>
      <c r="E16273" t="str">
        <f t="shared" si="2918"/>
        <v>7553295310</v>
      </c>
      <c r="F16273" s="1">
        <v>45273</v>
      </c>
      <c r="G16273" t="str">
        <f>"91413"</f>
        <v>91413</v>
      </c>
      <c r="H16273">
        <v>1</v>
      </c>
      <c r="I16273">
        <v>868</v>
      </c>
      <c r="J16273">
        <v>0</v>
      </c>
      <c r="K16273" t="str">
        <f t="shared" si="2923"/>
        <v>813</v>
      </c>
      <c r="L16273">
        <v>729.12</v>
      </c>
    </row>
    <row r="16274" spans="1:12" x14ac:dyDescent="0.25">
      <c r="A16274" t="str">
        <f t="shared" si="2917"/>
        <v>89301000</v>
      </c>
      <c r="B16274" t="str">
        <f t="shared" si="2913"/>
        <v>06539000</v>
      </c>
      <c r="C16274" t="str">
        <f t="shared" si="2922"/>
        <v>06539003</v>
      </c>
      <c r="D16274">
        <v>89301171</v>
      </c>
      <c r="E16274" t="str">
        <f t="shared" si="2918"/>
        <v>7553295310</v>
      </c>
      <c r="F16274" s="1">
        <v>45268</v>
      </c>
      <c r="G16274" t="str">
        <f t="shared" ref="G16274:G16280" si="2924">"91197"</f>
        <v>91197</v>
      </c>
      <c r="H16274">
        <v>1</v>
      </c>
      <c r="I16274">
        <v>1048</v>
      </c>
      <c r="J16274">
        <v>0</v>
      </c>
      <c r="K16274" t="str">
        <f t="shared" si="2923"/>
        <v>813</v>
      </c>
      <c r="L16274">
        <v>880.32</v>
      </c>
    </row>
    <row r="16275" spans="1:12" x14ac:dyDescent="0.25">
      <c r="A16275" t="str">
        <f t="shared" si="2917"/>
        <v>89301000</v>
      </c>
      <c r="B16275" t="str">
        <f t="shared" si="2913"/>
        <v>06539000</v>
      </c>
      <c r="C16275" t="str">
        <f t="shared" si="2922"/>
        <v>06539003</v>
      </c>
      <c r="D16275">
        <v>89301171</v>
      </c>
      <c r="E16275" t="str">
        <f t="shared" si="2918"/>
        <v>7553295310</v>
      </c>
      <c r="F16275" s="1">
        <v>45271</v>
      </c>
      <c r="G16275" t="str">
        <f t="shared" si="2924"/>
        <v>91197</v>
      </c>
      <c r="H16275">
        <v>1</v>
      </c>
      <c r="I16275">
        <v>1048</v>
      </c>
      <c r="J16275">
        <v>0</v>
      </c>
      <c r="K16275" t="str">
        <f t="shared" si="2923"/>
        <v>813</v>
      </c>
      <c r="L16275">
        <v>880.32</v>
      </c>
    </row>
    <row r="16276" spans="1:12" x14ac:dyDescent="0.25">
      <c r="A16276" t="str">
        <f t="shared" si="2917"/>
        <v>89301000</v>
      </c>
      <c r="B16276" t="str">
        <f t="shared" si="2913"/>
        <v>06539000</v>
      </c>
      <c r="C16276" t="str">
        <f t="shared" si="2922"/>
        <v>06539003</v>
      </c>
      <c r="D16276">
        <v>89301171</v>
      </c>
      <c r="E16276" t="str">
        <f t="shared" si="2918"/>
        <v>7553295310</v>
      </c>
      <c r="F16276" s="1">
        <v>45271</v>
      </c>
      <c r="G16276" t="str">
        <f t="shared" si="2924"/>
        <v>91197</v>
      </c>
      <c r="H16276">
        <v>1</v>
      </c>
      <c r="I16276">
        <v>1048</v>
      </c>
      <c r="J16276">
        <v>0</v>
      </c>
      <c r="K16276" t="str">
        <f t="shared" si="2923"/>
        <v>813</v>
      </c>
      <c r="L16276">
        <v>880.32</v>
      </c>
    </row>
    <row r="16277" spans="1:12" x14ac:dyDescent="0.25">
      <c r="A16277" t="str">
        <f t="shared" si="2917"/>
        <v>89301000</v>
      </c>
      <c r="B16277" t="str">
        <f t="shared" si="2913"/>
        <v>06539000</v>
      </c>
      <c r="C16277" t="str">
        <f t="shared" si="2922"/>
        <v>06539003</v>
      </c>
      <c r="D16277">
        <v>89301171</v>
      </c>
      <c r="E16277" t="str">
        <f t="shared" si="2918"/>
        <v>7553295310</v>
      </c>
      <c r="F16277" s="1">
        <v>45270</v>
      </c>
      <c r="G16277" t="str">
        <f t="shared" si="2924"/>
        <v>91197</v>
      </c>
      <c r="H16277">
        <v>1</v>
      </c>
      <c r="I16277">
        <v>1048</v>
      </c>
      <c r="J16277">
        <v>0</v>
      </c>
      <c r="K16277" t="str">
        <f t="shared" si="2923"/>
        <v>813</v>
      </c>
      <c r="L16277">
        <v>880.32</v>
      </c>
    </row>
    <row r="16278" spans="1:12" x14ac:dyDescent="0.25">
      <c r="A16278" t="str">
        <f t="shared" si="2917"/>
        <v>89301000</v>
      </c>
      <c r="B16278" t="str">
        <f t="shared" si="2913"/>
        <v>06539000</v>
      </c>
      <c r="C16278" t="str">
        <f t="shared" si="2922"/>
        <v>06539003</v>
      </c>
      <c r="D16278">
        <v>89301171</v>
      </c>
      <c r="E16278" t="str">
        <f t="shared" si="2918"/>
        <v>7553295310</v>
      </c>
      <c r="F16278" s="1">
        <v>45270</v>
      </c>
      <c r="G16278" t="str">
        <f t="shared" si="2924"/>
        <v>91197</v>
      </c>
      <c r="H16278">
        <v>1</v>
      </c>
      <c r="I16278">
        <v>1048</v>
      </c>
      <c r="J16278">
        <v>0</v>
      </c>
      <c r="K16278" t="str">
        <f t="shared" si="2923"/>
        <v>813</v>
      </c>
      <c r="L16278">
        <v>880.32</v>
      </c>
    </row>
    <row r="16279" spans="1:12" x14ac:dyDescent="0.25">
      <c r="A16279" t="str">
        <f t="shared" si="2917"/>
        <v>89301000</v>
      </c>
      <c r="B16279" t="str">
        <f t="shared" si="2913"/>
        <v>06539000</v>
      </c>
      <c r="C16279" t="str">
        <f t="shared" si="2922"/>
        <v>06539003</v>
      </c>
      <c r="D16279">
        <v>89301171</v>
      </c>
      <c r="E16279" t="str">
        <f t="shared" si="2918"/>
        <v>7553295310</v>
      </c>
      <c r="F16279" s="1">
        <v>45269</v>
      </c>
      <c r="G16279" t="str">
        <f t="shared" si="2924"/>
        <v>91197</v>
      </c>
      <c r="H16279">
        <v>1</v>
      </c>
      <c r="I16279">
        <v>1048</v>
      </c>
      <c r="J16279">
        <v>0</v>
      </c>
      <c r="K16279" t="str">
        <f t="shared" si="2923"/>
        <v>813</v>
      </c>
      <c r="L16279">
        <v>880.32</v>
      </c>
    </row>
    <row r="16280" spans="1:12" x14ac:dyDescent="0.25">
      <c r="A16280" t="str">
        <f t="shared" si="2917"/>
        <v>89301000</v>
      </c>
      <c r="B16280" t="str">
        <f t="shared" si="2913"/>
        <v>06539000</v>
      </c>
      <c r="C16280" t="str">
        <f t="shared" si="2922"/>
        <v>06539003</v>
      </c>
      <c r="D16280">
        <v>89301171</v>
      </c>
      <c r="E16280" t="str">
        <f t="shared" si="2918"/>
        <v>7553295310</v>
      </c>
      <c r="F16280" s="1">
        <v>45269</v>
      </c>
      <c r="G16280" t="str">
        <f t="shared" si="2924"/>
        <v>91197</v>
      </c>
      <c r="H16280">
        <v>1</v>
      </c>
      <c r="I16280">
        <v>1048</v>
      </c>
      <c r="J16280">
        <v>0</v>
      </c>
      <c r="K16280" t="str">
        <f t="shared" si="2923"/>
        <v>813</v>
      </c>
      <c r="L16280">
        <v>880.32</v>
      </c>
    </row>
    <row r="16281" spans="1:12" x14ac:dyDescent="0.25">
      <c r="A16281" t="str">
        <f t="shared" si="2917"/>
        <v>89301000</v>
      </c>
      <c r="B16281" t="str">
        <f t="shared" si="2913"/>
        <v>06539000</v>
      </c>
      <c r="C16281" t="str">
        <f t="shared" si="2922"/>
        <v>06539003</v>
      </c>
      <c r="D16281">
        <v>89301171</v>
      </c>
      <c r="E16281" t="str">
        <f t="shared" si="2918"/>
        <v>7553295310</v>
      </c>
      <c r="F16281" s="1">
        <v>45268</v>
      </c>
      <c r="G16281" t="str">
        <f>"91411"</f>
        <v>91411</v>
      </c>
      <c r="H16281">
        <v>1</v>
      </c>
      <c r="I16281">
        <v>1631</v>
      </c>
      <c r="J16281">
        <v>0</v>
      </c>
      <c r="K16281" t="str">
        <f t="shared" si="2923"/>
        <v>813</v>
      </c>
      <c r="L16281">
        <v>1370.04</v>
      </c>
    </row>
    <row r="16282" spans="1:12" x14ac:dyDescent="0.25">
      <c r="A16282" t="str">
        <f t="shared" si="2917"/>
        <v>89301000</v>
      </c>
      <c r="B16282" t="str">
        <f t="shared" si="2913"/>
        <v>06539000</v>
      </c>
      <c r="C16282" t="str">
        <f t="shared" si="2922"/>
        <v>06539003</v>
      </c>
      <c r="D16282">
        <v>89301171</v>
      </c>
      <c r="E16282" t="str">
        <f t="shared" si="2918"/>
        <v>7553295310</v>
      </c>
      <c r="F16282" s="1">
        <v>45268</v>
      </c>
      <c r="G16282" t="str">
        <f>"91411"</f>
        <v>91411</v>
      </c>
      <c r="H16282">
        <v>1</v>
      </c>
      <c r="I16282">
        <v>1631</v>
      </c>
      <c r="J16282">
        <v>0</v>
      </c>
      <c r="K16282" t="str">
        <f t="shared" si="2923"/>
        <v>813</v>
      </c>
      <c r="L16282">
        <v>1370.04</v>
      </c>
    </row>
    <row r="16283" spans="1:12" x14ac:dyDescent="0.25">
      <c r="A16283" t="str">
        <f t="shared" si="2917"/>
        <v>89301000</v>
      </c>
      <c r="B16283" t="str">
        <f t="shared" si="2913"/>
        <v>06539000</v>
      </c>
      <c r="C16283" t="str">
        <f t="shared" si="2922"/>
        <v>06539003</v>
      </c>
      <c r="D16283">
        <v>89301171</v>
      </c>
      <c r="E16283" t="str">
        <f t="shared" si="2918"/>
        <v>7553295310</v>
      </c>
      <c r="F16283" s="1">
        <v>45268</v>
      </c>
      <c r="G16283" t="str">
        <f>"91411"</f>
        <v>91411</v>
      </c>
      <c r="H16283">
        <v>1</v>
      </c>
      <c r="I16283">
        <v>1631</v>
      </c>
      <c r="J16283">
        <v>0</v>
      </c>
      <c r="K16283" t="str">
        <f t="shared" si="2923"/>
        <v>813</v>
      </c>
      <c r="L16283">
        <v>1370.04</v>
      </c>
    </row>
    <row r="16284" spans="1:12" x14ac:dyDescent="0.25">
      <c r="A16284" t="str">
        <f t="shared" si="2917"/>
        <v>89301000</v>
      </c>
      <c r="B16284" t="str">
        <f t="shared" ref="B16284:B16315" si="2925">"06539000"</f>
        <v>06539000</v>
      </c>
      <c r="C16284" t="str">
        <f t="shared" si="2922"/>
        <v>06539003</v>
      </c>
      <c r="D16284">
        <v>89301171</v>
      </c>
      <c r="E16284" t="str">
        <f t="shared" si="2918"/>
        <v>7553295310</v>
      </c>
      <c r="F16284" s="1">
        <v>45274</v>
      </c>
      <c r="G16284" t="str">
        <f>"91495"</f>
        <v>91495</v>
      </c>
      <c r="H16284">
        <v>1</v>
      </c>
      <c r="I16284">
        <v>595</v>
      </c>
      <c r="J16284">
        <v>0</v>
      </c>
      <c r="K16284" t="str">
        <f t="shared" si="2923"/>
        <v>813</v>
      </c>
      <c r="L16284">
        <v>499.8</v>
      </c>
    </row>
    <row r="16285" spans="1:12" x14ac:dyDescent="0.25">
      <c r="A16285" t="str">
        <f t="shared" si="2917"/>
        <v>89301000</v>
      </c>
      <c r="B16285" t="str">
        <f t="shared" si="2925"/>
        <v>06539000</v>
      </c>
      <c r="C16285" t="str">
        <f t="shared" si="2922"/>
        <v>06539003</v>
      </c>
      <c r="D16285">
        <v>89301171</v>
      </c>
      <c r="E16285" t="str">
        <f t="shared" si="2918"/>
        <v>7553295310</v>
      </c>
      <c r="F16285" s="1">
        <v>45271</v>
      </c>
      <c r="G16285" t="str">
        <f>"91329"</f>
        <v>91329</v>
      </c>
      <c r="H16285">
        <v>2</v>
      </c>
      <c r="I16285">
        <v>436</v>
      </c>
      <c r="J16285">
        <v>0</v>
      </c>
      <c r="K16285" t="str">
        <f t="shared" si="2923"/>
        <v>813</v>
      </c>
      <c r="L16285">
        <v>366.24</v>
      </c>
    </row>
    <row r="16286" spans="1:12" x14ac:dyDescent="0.25">
      <c r="A16286" t="str">
        <f t="shared" si="2917"/>
        <v>89301000</v>
      </c>
      <c r="B16286" t="str">
        <f t="shared" si="2925"/>
        <v>06539000</v>
      </c>
      <c r="C16286" t="str">
        <f t="shared" si="2922"/>
        <v>06539003</v>
      </c>
      <c r="D16286">
        <v>89301171</v>
      </c>
      <c r="E16286" t="str">
        <f t="shared" si="2918"/>
        <v>7553295310</v>
      </c>
      <c r="F16286" s="1">
        <v>45271</v>
      </c>
      <c r="G16286" t="str">
        <f>"91329"</f>
        <v>91329</v>
      </c>
      <c r="H16286">
        <v>2</v>
      </c>
      <c r="I16286">
        <v>436</v>
      </c>
      <c r="J16286">
        <v>0</v>
      </c>
      <c r="K16286" t="str">
        <f t="shared" si="2923"/>
        <v>813</v>
      </c>
      <c r="L16286">
        <v>366.24</v>
      </c>
    </row>
    <row r="16287" spans="1:12" x14ac:dyDescent="0.25">
      <c r="A16287" t="str">
        <f t="shared" si="2917"/>
        <v>89301000</v>
      </c>
      <c r="B16287" t="str">
        <f t="shared" si="2925"/>
        <v>06539000</v>
      </c>
      <c r="C16287" t="str">
        <f t="shared" si="2922"/>
        <v>06539003</v>
      </c>
      <c r="D16287">
        <v>89301171</v>
      </c>
      <c r="E16287" t="str">
        <f t="shared" si="2918"/>
        <v>7553295310</v>
      </c>
      <c r="F16287" s="1">
        <v>45271</v>
      </c>
      <c r="G16287" t="str">
        <f>"91329"</f>
        <v>91329</v>
      </c>
      <c r="H16287">
        <v>2</v>
      </c>
      <c r="I16287">
        <v>436</v>
      </c>
      <c r="J16287">
        <v>0</v>
      </c>
      <c r="K16287" t="str">
        <f t="shared" si="2923"/>
        <v>813</v>
      </c>
      <c r="L16287">
        <v>366.24</v>
      </c>
    </row>
    <row r="16288" spans="1:12" x14ac:dyDescent="0.25">
      <c r="A16288" t="str">
        <f t="shared" si="2917"/>
        <v>89301000</v>
      </c>
      <c r="B16288" t="str">
        <f t="shared" si="2925"/>
        <v>06539000</v>
      </c>
      <c r="C16288" t="str">
        <f t="shared" si="2922"/>
        <v>06539003</v>
      </c>
      <c r="D16288">
        <v>89301171</v>
      </c>
      <c r="E16288" t="str">
        <f t="shared" si="2918"/>
        <v>7553295310</v>
      </c>
      <c r="F16288" s="1">
        <v>45271</v>
      </c>
      <c r="G16288" t="str">
        <f>"91329"</f>
        <v>91329</v>
      </c>
      <c r="H16288">
        <v>2</v>
      </c>
      <c r="I16288">
        <v>436</v>
      </c>
      <c r="J16288">
        <v>0</v>
      </c>
      <c r="K16288" t="str">
        <f t="shared" si="2923"/>
        <v>813</v>
      </c>
      <c r="L16288">
        <v>366.24</v>
      </c>
    </row>
    <row r="16289" spans="1:12" x14ac:dyDescent="0.25">
      <c r="A16289" t="str">
        <f t="shared" si="2917"/>
        <v>89301000</v>
      </c>
      <c r="B16289" t="str">
        <f t="shared" si="2925"/>
        <v>06539000</v>
      </c>
      <c r="C16289" t="str">
        <f t="shared" si="2922"/>
        <v>06539003</v>
      </c>
      <c r="D16289">
        <v>89301171</v>
      </c>
      <c r="E16289" t="str">
        <f t="shared" si="2918"/>
        <v>7553295310</v>
      </c>
      <c r="F16289" s="1">
        <v>45268</v>
      </c>
      <c r="G16289" t="str">
        <f t="shared" ref="G16289:G16294" si="2926">"91411"</f>
        <v>91411</v>
      </c>
      <c r="H16289">
        <v>1</v>
      </c>
      <c r="I16289">
        <v>1631</v>
      </c>
      <c r="J16289">
        <v>0</v>
      </c>
      <c r="K16289" t="str">
        <f t="shared" si="2923"/>
        <v>813</v>
      </c>
      <c r="L16289">
        <v>1370.04</v>
      </c>
    </row>
    <row r="16290" spans="1:12" x14ac:dyDescent="0.25">
      <c r="A16290" t="str">
        <f t="shared" si="2917"/>
        <v>89301000</v>
      </c>
      <c r="B16290" t="str">
        <f t="shared" si="2925"/>
        <v>06539000</v>
      </c>
      <c r="C16290" t="str">
        <f t="shared" si="2922"/>
        <v>06539003</v>
      </c>
      <c r="D16290">
        <v>89301171</v>
      </c>
      <c r="E16290" t="str">
        <f t="shared" si="2918"/>
        <v>7553295310</v>
      </c>
      <c r="F16290" s="1">
        <v>45268</v>
      </c>
      <c r="G16290" t="str">
        <f t="shared" si="2926"/>
        <v>91411</v>
      </c>
      <c r="H16290">
        <v>1</v>
      </c>
      <c r="I16290">
        <v>1631</v>
      </c>
      <c r="J16290">
        <v>0</v>
      </c>
      <c r="K16290" t="str">
        <f t="shared" si="2923"/>
        <v>813</v>
      </c>
      <c r="L16290">
        <v>1370.04</v>
      </c>
    </row>
    <row r="16291" spans="1:12" x14ac:dyDescent="0.25">
      <c r="A16291" t="str">
        <f t="shared" si="2917"/>
        <v>89301000</v>
      </c>
      <c r="B16291" t="str">
        <f t="shared" si="2925"/>
        <v>06539000</v>
      </c>
      <c r="C16291" t="str">
        <f t="shared" si="2922"/>
        <v>06539003</v>
      </c>
      <c r="D16291">
        <v>89301171</v>
      </c>
      <c r="E16291" t="str">
        <f t="shared" si="2918"/>
        <v>7553295310</v>
      </c>
      <c r="F16291" s="1">
        <v>45268</v>
      </c>
      <c r="G16291" t="str">
        <f t="shared" si="2926"/>
        <v>91411</v>
      </c>
      <c r="H16291">
        <v>1</v>
      </c>
      <c r="I16291">
        <v>1631</v>
      </c>
      <c r="J16291">
        <v>0</v>
      </c>
      <c r="K16291" t="str">
        <f t="shared" si="2923"/>
        <v>813</v>
      </c>
      <c r="L16291">
        <v>1370.04</v>
      </c>
    </row>
    <row r="16292" spans="1:12" x14ac:dyDescent="0.25">
      <c r="A16292" t="str">
        <f t="shared" si="2917"/>
        <v>89301000</v>
      </c>
      <c r="B16292" t="str">
        <f t="shared" si="2925"/>
        <v>06539000</v>
      </c>
      <c r="C16292" t="str">
        <f t="shared" si="2922"/>
        <v>06539003</v>
      </c>
      <c r="D16292">
        <v>89301171</v>
      </c>
      <c r="E16292" t="str">
        <f t="shared" si="2918"/>
        <v>7553295310</v>
      </c>
      <c r="F16292" s="1">
        <v>45268</v>
      </c>
      <c r="G16292" t="str">
        <f t="shared" si="2926"/>
        <v>91411</v>
      </c>
      <c r="H16292">
        <v>1</v>
      </c>
      <c r="I16292">
        <v>1631</v>
      </c>
      <c r="J16292">
        <v>0</v>
      </c>
      <c r="K16292" t="str">
        <f t="shared" si="2923"/>
        <v>813</v>
      </c>
      <c r="L16292">
        <v>1370.04</v>
      </c>
    </row>
    <row r="16293" spans="1:12" x14ac:dyDescent="0.25">
      <c r="A16293" t="str">
        <f t="shared" si="2917"/>
        <v>89301000</v>
      </c>
      <c r="B16293" t="str">
        <f t="shared" si="2925"/>
        <v>06539000</v>
      </c>
      <c r="C16293" t="str">
        <f t="shared" si="2922"/>
        <v>06539003</v>
      </c>
      <c r="D16293">
        <v>89301171</v>
      </c>
      <c r="E16293" t="str">
        <f t="shared" si="2918"/>
        <v>7553295310</v>
      </c>
      <c r="F16293" s="1">
        <v>45268</v>
      </c>
      <c r="G16293" t="str">
        <f t="shared" si="2926"/>
        <v>91411</v>
      </c>
      <c r="H16293">
        <v>1</v>
      </c>
      <c r="I16293">
        <v>1631</v>
      </c>
      <c r="J16293">
        <v>0</v>
      </c>
      <c r="K16293" t="str">
        <f t="shared" si="2923"/>
        <v>813</v>
      </c>
      <c r="L16293">
        <v>1370.04</v>
      </c>
    </row>
    <row r="16294" spans="1:12" x14ac:dyDescent="0.25">
      <c r="A16294" t="str">
        <f t="shared" si="2917"/>
        <v>89301000</v>
      </c>
      <c r="B16294" t="str">
        <f t="shared" si="2925"/>
        <v>06539000</v>
      </c>
      <c r="C16294" t="str">
        <f t="shared" si="2922"/>
        <v>06539003</v>
      </c>
      <c r="D16294">
        <v>89301171</v>
      </c>
      <c r="E16294" t="str">
        <f t="shared" ref="E16294:E16319" si="2927">"7553295310"</f>
        <v>7553295310</v>
      </c>
      <c r="F16294" s="1">
        <v>45268</v>
      </c>
      <c r="G16294" t="str">
        <f t="shared" si="2926"/>
        <v>91411</v>
      </c>
      <c r="H16294">
        <v>1</v>
      </c>
      <c r="I16294">
        <v>1631</v>
      </c>
      <c r="J16294">
        <v>0</v>
      </c>
      <c r="K16294" t="str">
        <f t="shared" si="2923"/>
        <v>813</v>
      </c>
      <c r="L16294">
        <v>1370.04</v>
      </c>
    </row>
    <row r="16295" spans="1:12" x14ac:dyDescent="0.25">
      <c r="A16295" t="str">
        <f t="shared" si="2917"/>
        <v>89301000</v>
      </c>
      <c r="B16295" t="str">
        <f t="shared" si="2925"/>
        <v>06539000</v>
      </c>
      <c r="C16295" t="str">
        <f t="shared" si="2922"/>
        <v>06539003</v>
      </c>
      <c r="D16295">
        <v>89301171</v>
      </c>
      <c r="E16295" t="str">
        <f t="shared" si="2927"/>
        <v>7553295310</v>
      </c>
      <c r="F16295" s="1">
        <v>45271</v>
      </c>
      <c r="G16295" t="str">
        <f t="shared" ref="G16295:G16308" si="2928">"91329"</f>
        <v>91329</v>
      </c>
      <c r="H16295">
        <v>2</v>
      </c>
      <c r="I16295">
        <v>436</v>
      </c>
      <c r="J16295">
        <v>0</v>
      </c>
      <c r="K16295" t="str">
        <f t="shared" si="2923"/>
        <v>813</v>
      </c>
      <c r="L16295">
        <v>366.24</v>
      </c>
    </row>
    <row r="16296" spans="1:12" x14ac:dyDescent="0.25">
      <c r="A16296" t="str">
        <f t="shared" si="2917"/>
        <v>89301000</v>
      </c>
      <c r="B16296" t="str">
        <f t="shared" si="2925"/>
        <v>06539000</v>
      </c>
      <c r="C16296" t="str">
        <f t="shared" si="2922"/>
        <v>06539003</v>
      </c>
      <c r="D16296">
        <v>89301171</v>
      </c>
      <c r="E16296" t="str">
        <f t="shared" si="2927"/>
        <v>7553295310</v>
      </c>
      <c r="F16296" s="1">
        <v>45271</v>
      </c>
      <c r="G16296" t="str">
        <f t="shared" si="2928"/>
        <v>91329</v>
      </c>
      <c r="H16296">
        <v>2</v>
      </c>
      <c r="I16296">
        <v>436</v>
      </c>
      <c r="J16296">
        <v>0</v>
      </c>
      <c r="K16296" t="str">
        <f t="shared" si="2923"/>
        <v>813</v>
      </c>
      <c r="L16296">
        <v>366.24</v>
      </c>
    </row>
    <row r="16297" spans="1:12" x14ac:dyDescent="0.25">
      <c r="A16297" t="str">
        <f t="shared" si="2917"/>
        <v>89301000</v>
      </c>
      <c r="B16297" t="str">
        <f t="shared" si="2925"/>
        <v>06539000</v>
      </c>
      <c r="C16297" t="str">
        <f t="shared" si="2922"/>
        <v>06539003</v>
      </c>
      <c r="D16297">
        <v>89301171</v>
      </c>
      <c r="E16297" t="str">
        <f t="shared" si="2927"/>
        <v>7553295310</v>
      </c>
      <c r="F16297" s="1">
        <v>45271</v>
      </c>
      <c r="G16297" t="str">
        <f t="shared" si="2928"/>
        <v>91329</v>
      </c>
      <c r="H16297">
        <v>2</v>
      </c>
      <c r="I16297">
        <v>436</v>
      </c>
      <c r="J16297">
        <v>0</v>
      </c>
      <c r="K16297" t="str">
        <f t="shared" si="2923"/>
        <v>813</v>
      </c>
      <c r="L16297">
        <v>366.24</v>
      </c>
    </row>
    <row r="16298" spans="1:12" x14ac:dyDescent="0.25">
      <c r="A16298" t="str">
        <f t="shared" si="2917"/>
        <v>89301000</v>
      </c>
      <c r="B16298" t="str">
        <f t="shared" si="2925"/>
        <v>06539000</v>
      </c>
      <c r="C16298" t="str">
        <f t="shared" si="2922"/>
        <v>06539003</v>
      </c>
      <c r="D16298">
        <v>89301171</v>
      </c>
      <c r="E16298" t="str">
        <f t="shared" si="2927"/>
        <v>7553295310</v>
      </c>
      <c r="F16298" s="1">
        <v>45271</v>
      </c>
      <c r="G16298" t="str">
        <f t="shared" si="2928"/>
        <v>91329</v>
      </c>
      <c r="H16298">
        <v>2</v>
      </c>
      <c r="I16298">
        <v>436</v>
      </c>
      <c r="J16298">
        <v>0</v>
      </c>
      <c r="K16298" t="str">
        <f t="shared" si="2923"/>
        <v>813</v>
      </c>
      <c r="L16298">
        <v>366.24</v>
      </c>
    </row>
    <row r="16299" spans="1:12" x14ac:dyDescent="0.25">
      <c r="A16299" t="str">
        <f t="shared" si="2917"/>
        <v>89301000</v>
      </c>
      <c r="B16299" t="str">
        <f t="shared" si="2925"/>
        <v>06539000</v>
      </c>
      <c r="C16299" t="str">
        <f t="shared" si="2922"/>
        <v>06539003</v>
      </c>
      <c r="D16299">
        <v>89301171</v>
      </c>
      <c r="E16299" t="str">
        <f t="shared" si="2927"/>
        <v>7553295310</v>
      </c>
      <c r="F16299" s="1">
        <v>45271</v>
      </c>
      <c r="G16299" t="str">
        <f t="shared" si="2928"/>
        <v>91329</v>
      </c>
      <c r="H16299">
        <v>2</v>
      </c>
      <c r="I16299">
        <v>436</v>
      </c>
      <c r="J16299">
        <v>0</v>
      </c>
      <c r="K16299" t="str">
        <f t="shared" si="2923"/>
        <v>813</v>
      </c>
      <c r="L16299">
        <v>366.24</v>
      </c>
    </row>
    <row r="16300" spans="1:12" x14ac:dyDescent="0.25">
      <c r="A16300" t="str">
        <f t="shared" si="2917"/>
        <v>89301000</v>
      </c>
      <c r="B16300" t="str">
        <f t="shared" si="2925"/>
        <v>06539000</v>
      </c>
      <c r="C16300" t="str">
        <f t="shared" si="2922"/>
        <v>06539003</v>
      </c>
      <c r="D16300">
        <v>89301171</v>
      </c>
      <c r="E16300" t="str">
        <f t="shared" si="2927"/>
        <v>7553295310</v>
      </c>
      <c r="F16300" s="1">
        <v>45271</v>
      </c>
      <c r="G16300" t="str">
        <f t="shared" si="2928"/>
        <v>91329</v>
      </c>
      <c r="H16300">
        <v>2</v>
      </c>
      <c r="I16300">
        <v>436</v>
      </c>
      <c r="J16300">
        <v>0</v>
      </c>
      <c r="K16300" t="str">
        <f t="shared" si="2923"/>
        <v>813</v>
      </c>
      <c r="L16300">
        <v>366.24</v>
      </c>
    </row>
    <row r="16301" spans="1:12" x14ac:dyDescent="0.25">
      <c r="A16301" t="str">
        <f t="shared" si="2917"/>
        <v>89301000</v>
      </c>
      <c r="B16301" t="str">
        <f t="shared" si="2925"/>
        <v>06539000</v>
      </c>
      <c r="C16301" t="str">
        <f t="shared" si="2922"/>
        <v>06539003</v>
      </c>
      <c r="D16301">
        <v>89301171</v>
      </c>
      <c r="E16301" t="str">
        <f t="shared" si="2927"/>
        <v>7553295310</v>
      </c>
      <c r="F16301" s="1">
        <v>45271</v>
      </c>
      <c r="G16301" t="str">
        <f t="shared" si="2928"/>
        <v>91329</v>
      </c>
      <c r="H16301">
        <v>2</v>
      </c>
      <c r="I16301">
        <v>436</v>
      </c>
      <c r="J16301">
        <v>0</v>
      </c>
      <c r="K16301" t="str">
        <f t="shared" si="2923"/>
        <v>813</v>
      </c>
      <c r="L16301">
        <v>366.24</v>
      </c>
    </row>
    <row r="16302" spans="1:12" x14ac:dyDescent="0.25">
      <c r="A16302" t="str">
        <f t="shared" si="2917"/>
        <v>89301000</v>
      </c>
      <c r="B16302" t="str">
        <f t="shared" si="2925"/>
        <v>06539000</v>
      </c>
      <c r="C16302" t="str">
        <f t="shared" si="2922"/>
        <v>06539003</v>
      </c>
      <c r="D16302">
        <v>89301171</v>
      </c>
      <c r="E16302" t="str">
        <f t="shared" si="2927"/>
        <v>7553295310</v>
      </c>
      <c r="F16302" s="1">
        <v>45271</v>
      </c>
      <c r="G16302" t="str">
        <f t="shared" si="2928"/>
        <v>91329</v>
      </c>
      <c r="H16302">
        <v>2</v>
      </c>
      <c r="I16302">
        <v>436</v>
      </c>
      <c r="J16302">
        <v>0</v>
      </c>
      <c r="K16302" t="str">
        <f t="shared" si="2923"/>
        <v>813</v>
      </c>
      <c r="L16302">
        <v>366.24</v>
      </c>
    </row>
    <row r="16303" spans="1:12" x14ac:dyDescent="0.25">
      <c r="A16303" t="str">
        <f t="shared" si="2917"/>
        <v>89301000</v>
      </c>
      <c r="B16303" t="str">
        <f t="shared" si="2925"/>
        <v>06539000</v>
      </c>
      <c r="C16303" t="str">
        <f t="shared" si="2922"/>
        <v>06539003</v>
      </c>
      <c r="D16303">
        <v>89301171</v>
      </c>
      <c r="E16303" t="str">
        <f t="shared" si="2927"/>
        <v>7553295310</v>
      </c>
      <c r="F16303" s="1">
        <v>45271</v>
      </c>
      <c r="G16303" t="str">
        <f t="shared" si="2928"/>
        <v>91329</v>
      </c>
      <c r="H16303">
        <v>2</v>
      </c>
      <c r="I16303">
        <v>436</v>
      </c>
      <c r="J16303">
        <v>0</v>
      </c>
      <c r="K16303" t="str">
        <f t="shared" si="2923"/>
        <v>813</v>
      </c>
      <c r="L16303">
        <v>366.24</v>
      </c>
    </row>
    <row r="16304" spans="1:12" x14ac:dyDescent="0.25">
      <c r="A16304" t="str">
        <f t="shared" si="2917"/>
        <v>89301000</v>
      </c>
      <c r="B16304" t="str">
        <f t="shared" si="2925"/>
        <v>06539000</v>
      </c>
      <c r="C16304" t="str">
        <f t="shared" ref="C16304:C16333" si="2929">"06539003"</f>
        <v>06539003</v>
      </c>
      <c r="D16304">
        <v>89301171</v>
      </c>
      <c r="E16304" t="str">
        <f t="shared" si="2927"/>
        <v>7553295310</v>
      </c>
      <c r="F16304" s="1">
        <v>45271</v>
      </c>
      <c r="G16304" t="str">
        <f t="shared" si="2928"/>
        <v>91329</v>
      </c>
      <c r="H16304">
        <v>2</v>
      </c>
      <c r="I16304">
        <v>436</v>
      </c>
      <c r="J16304">
        <v>0</v>
      </c>
      <c r="K16304" t="str">
        <f t="shared" ref="K16304:K16333" si="2930">"813"</f>
        <v>813</v>
      </c>
      <c r="L16304">
        <v>366.24</v>
      </c>
    </row>
    <row r="16305" spans="1:12" x14ac:dyDescent="0.25">
      <c r="A16305" t="str">
        <f t="shared" si="2917"/>
        <v>89301000</v>
      </c>
      <c r="B16305" t="str">
        <f t="shared" si="2925"/>
        <v>06539000</v>
      </c>
      <c r="C16305" t="str">
        <f t="shared" si="2929"/>
        <v>06539003</v>
      </c>
      <c r="D16305">
        <v>89301171</v>
      </c>
      <c r="E16305" t="str">
        <f t="shared" si="2927"/>
        <v>7553295310</v>
      </c>
      <c r="F16305" s="1">
        <v>45271</v>
      </c>
      <c r="G16305" t="str">
        <f t="shared" si="2928"/>
        <v>91329</v>
      </c>
      <c r="H16305">
        <v>2</v>
      </c>
      <c r="I16305">
        <v>436</v>
      </c>
      <c r="J16305">
        <v>0</v>
      </c>
      <c r="K16305" t="str">
        <f t="shared" si="2930"/>
        <v>813</v>
      </c>
      <c r="L16305">
        <v>366.24</v>
      </c>
    </row>
    <row r="16306" spans="1:12" x14ac:dyDescent="0.25">
      <c r="A16306" t="str">
        <f t="shared" si="2917"/>
        <v>89301000</v>
      </c>
      <c r="B16306" t="str">
        <f t="shared" si="2925"/>
        <v>06539000</v>
      </c>
      <c r="C16306" t="str">
        <f t="shared" si="2929"/>
        <v>06539003</v>
      </c>
      <c r="D16306">
        <v>89301171</v>
      </c>
      <c r="E16306" t="str">
        <f t="shared" si="2927"/>
        <v>7553295310</v>
      </c>
      <c r="F16306" s="1">
        <v>45271</v>
      </c>
      <c r="G16306" t="str">
        <f t="shared" si="2928"/>
        <v>91329</v>
      </c>
      <c r="H16306">
        <v>2</v>
      </c>
      <c r="I16306">
        <v>436</v>
      </c>
      <c r="J16306">
        <v>0</v>
      </c>
      <c r="K16306" t="str">
        <f t="shared" si="2930"/>
        <v>813</v>
      </c>
      <c r="L16306">
        <v>366.24</v>
      </c>
    </row>
    <row r="16307" spans="1:12" x14ac:dyDescent="0.25">
      <c r="A16307" t="str">
        <f t="shared" si="2917"/>
        <v>89301000</v>
      </c>
      <c r="B16307" t="str">
        <f t="shared" si="2925"/>
        <v>06539000</v>
      </c>
      <c r="C16307" t="str">
        <f t="shared" si="2929"/>
        <v>06539003</v>
      </c>
      <c r="D16307">
        <v>89301171</v>
      </c>
      <c r="E16307" t="str">
        <f t="shared" si="2927"/>
        <v>7553295310</v>
      </c>
      <c r="F16307" s="1">
        <v>45271</v>
      </c>
      <c r="G16307" t="str">
        <f t="shared" si="2928"/>
        <v>91329</v>
      </c>
      <c r="H16307">
        <v>2</v>
      </c>
      <c r="I16307">
        <v>436</v>
      </c>
      <c r="J16307">
        <v>0</v>
      </c>
      <c r="K16307" t="str">
        <f t="shared" si="2930"/>
        <v>813</v>
      </c>
      <c r="L16307">
        <v>366.24</v>
      </c>
    </row>
    <row r="16308" spans="1:12" x14ac:dyDescent="0.25">
      <c r="A16308" t="str">
        <f t="shared" si="2917"/>
        <v>89301000</v>
      </c>
      <c r="B16308" t="str">
        <f t="shared" si="2925"/>
        <v>06539000</v>
      </c>
      <c r="C16308" t="str">
        <f t="shared" si="2929"/>
        <v>06539003</v>
      </c>
      <c r="D16308">
        <v>89301171</v>
      </c>
      <c r="E16308" t="str">
        <f t="shared" si="2927"/>
        <v>7553295310</v>
      </c>
      <c r="F16308" s="1">
        <v>45271</v>
      </c>
      <c r="G16308" t="str">
        <f t="shared" si="2928"/>
        <v>91329</v>
      </c>
      <c r="H16308">
        <v>2</v>
      </c>
      <c r="I16308">
        <v>436</v>
      </c>
      <c r="J16308">
        <v>0</v>
      </c>
      <c r="K16308" t="str">
        <f t="shared" si="2930"/>
        <v>813</v>
      </c>
      <c r="L16308">
        <v>366.24</v>
      </c>
    </row>
    <row r="16309" spans="1:12" x14ac:dyDescent="0.25">
      <c r="A16309" t="str">
        <f t="shared" si="2917"/>
        <v>89301000</v>
      </c>
      <c r="B16309" t="str">
        <f t="shared" si="2925"/>
        <v>06539000</v>
      </c>
      <c r="C16309" t="str">
        <f t="shared" si="2929"/>
        <v>06539003</v>
      </c>
      <c r="D16309">
        <v>89301171</v>
      </c>
      <c r="E16309" t="str">
        <f t="shared" si="2927"/>
        <v>7553295310</v>
      </c>
      <c r="F16309" s="1">
        <v>45271</v>
      </c>
      <c r="G16309" t="str">
        <f>"91129"</f>
        <v>91129</v>
      </c>
      <c r="H16309">
        <v>1</v>
      </c>
      <c r="I16309">
        <v>175</v>
      </c>
      <c r="J16309">
        <v>0</v>
      </c>
      <c r="K16309" t="str">
        <f t="shared" si="2930"/>
        <v>813</v>
      </c>
      <c r="L16309">
        <v>147</v>
      </c>
    </row>
    <row r="16310" spans="1:12" x14ac:dyDescent="0.25">
      <c r="A16310" t="str">
        <f t="shared" si="2917"/>
        <v>89301000</v>
      </c>
      <c r="B16310" t="str">
        <f t="shared" si="2925"/>
        <v>06539000</v>
      </c>
      <c r="C16310" t="str">
        <f t="shared" si="2929"/>
        <v>06539003</v>
      </c>
      <c r="D16310">
        <v>89301171</v>
      </c>
      <c r="E16310" t="str">
        <f t="shared" si="2927"/>
        <v>7553295310</v>
      </c>
      <c r="F16310" s="1">
        <v>45271</v>
      </c>
      <c r="G16310" t="str">
        <f>"91131"</f>
        <v>91131</v>
      </c>
      <c r="H16310">
        <v>1</v>
      </c>
      <c r="I16310">
        <v>171</v>
      </c>
      <c r="J16310">
        <v>0</v>
      </c>
      <c r="K16310" t="str">
        <f t="shared" si="2930"/>
        <v>813</v>
      </c>
      <c r="L16310">
        <v>143.63999999999999</v>
      </c>
    </row>
    <row r="16311" spans="1:12" x14ac:dyDescent="0.25">
      <c r="A16311" t="str">
        <f t="shared" si="2917"/>
        <v>89301000</v>
      </c>
      <c r="B16311" t="str">
        <f t="shared" si="2925"/>
        <v>06539000</v>
      </c>
      <c r="C16311" t="str">
        <f t="shared" si="2929"/>
        <v>06539003</v>
      </c>
      <c r="D16311">
        <v>89301171</v>
      </c>
      <c r="E16311" t="str">
        <f t="shared" si="2927"/>
        <v>7553295310</v>
      </c>
      <c r="F16311" s="1">
        <v>45271</v>
      </c>
      <c r="G16311" t="str">
        <f>"91133"</f>
        <v>91133</v>
      </c>
      <c r="H16311">
        <v>1</v>
      </c>
      <c r="I16311">
        <v>177</v>
      </c>
      <c r="J16311">
        <v>0</v>
      </c>
      <c r="K16311" t="str">
        <f t="shared" si="2930"/>
        <v>813</v>
      </c>
      <c r="L16311">
        <v>148.68</v>
      </c>
    </row>
    <row r="16312" spans="1:12" x14ac:dyDescent="0.25">
      <c r="A16312" t="str">
        <f t="shared" si="2917"/>
        <v>89301000</v>
      </c>
      <c r="B16312" t="str">
        <f t="shared" si="2925"/>
        <v>06539000</v>
      </c>
      <c r="C16312" t="str">
        <f t="shared" si="2929"/>
        <v>06539003</v>
      </c>
      <c r="D16312">
        <v>89301171</v>
      </c>
      <c r="E16312" t="str">
        <f t="shared" si="2927"/>
        <v>7553295310</v>
      </c>
      <c r="F16312" s="1">
        <v>45271</v>
      </c>
      <c r="G16312" t="str">
        <f>"91171"</f>
        <v>91171</v>
      </c>
      <c r="H16312">
        <v>1</v>
      </c>
      <c r="I16312">
        <v>362</v>
      </c>
      <c r="J16312">
        <v>0</v>
      </c>
      <c r="K16312" t="str">
        <f t="shared" si="2930"/>
        <v>813</v>
      </c>
      <c r="L16312">
        <v>304.08</v>
      </c>
    </row>
    <row r="16313" spans="1:12" x14ac:dyDescent="0.25">
      <c r="A16313" t="str">
        <f t="shared" si="2917"/>
        <v>89301000</v>
      </c>
      <c r="B16313" t="str">
        <f t="shared" si="2925"/>
        <v>06539000</v>
      </c>
      <c r="C16313" t="str">
        <f t="shared" si="2929"/>
        <v>06539003</v>
      </c>
      <c r="D16313">
        <v>89301171</v>
      </c>
      <c r="E16313" t="str">
        <f t="shared" si="2927"/>
        <v>7553295310</v>
      </c>
      <c r="F16313" s="1">
        <v>45268</v>
      </c>
      <c r="G16313" t="str">
        <f>"91173"</f>
        <v>91173</v>
      </c>
      <c r="H16313">
        <v>1</v>
      </c>
      <c r="I16313">
        <v>337</v>
      </c>
      <c r="J16313">
        <v>0</v>
      </c>
      <c r="K16313" t="str">
        <f t="shared" si="2930"/>
        <v>813</v>
      </c>
      <c r="L16313">
        <v>283.08</v>
      </c>
    </row>
    <row r="16314" spans="1:12" x14ac:dyDescent="0.25">
      <c r="A16314" t="str">
        <f t="shared" si="2917"/>
        <v>89301000</v>
      </c>
      <c r="B16314" t="str">
        <f t="shared" si="2925"/>
        <v>06539000</v>
      </c>
      <c r="C16314" t="str">
        <f t="shared" si="2929"/>
        <v>06539003</v>
      </c>
      <c r="D16314">
        <v>89301171</v>
      </c>
      <c r="E16314" t="str">
        <f t="shared" si="2927"/>
        <v>7553295310</v>
      </c>
      <c r="F16314" s="1">
        <v>45271</v>
      </c>
      <c r="G16314" t="str">
        <f>"91175"</f>
        <v>91175</v>
      </c>
      <c r="H16314">
        <v>1</v>
      </c>
      <c r="I16314">
        <v>362</v>
      </c>
      <c r="J16314">
        <v>0</v>
      </c>
      <c r="K16314" t="str">
        <f t="shared" si="2930"/>
        <v>813</v>
      </c>
      <c r="L16314">
        <v>304.08</v>
      </c>
    </row>
    <row r="16315" spans="1:12" x14ac:dyDescent="0.25">
      <c r="A16315" t="str">
        <f t="shared" si="2917"/>
        <v>89301000</v>
      </c>
      <c r="B16315" t="str">
        <f t="shared" si="2925"/>
        <v>06539000</v>
      </c>
      <c r="C16315" t="str">
        <f t="shared" si="2929"/>
        <v>06539003</v>
      </c>
      <c r="D16315">
        <v>89301171</v>
      </c>
      <c r="E16315" t="str">
        <f t="shared" si="2927"/>
        <v>7553295310</v>
      </c>
      <c r="F16315" s="1">
        <v>45269</v>
      </c>
      <c r="G16315" t="str">
        <f>"91167"</f>
        <v>91167</v>
      </c>
      <c r="H16315">
        <v>1</v>
      </c>
      <c r="I16315">
        <v>426</v>
      </c>
      <c r="J16315">
        <v>0</v>
      </c>
      <c r="K16315" t="str">
        <f t="shared" si="2930"/>
        <v>813</v>
      </c>
      <c r="L16315">
        <v>357.84</v>
      </c>
    </row>
    <row r="16316" spans="1:12" x14ac:dyDescent="0.25">
      <c r="A16316" t="str">
        <f t="shared" si="2917"/>
        <v>89301000</v>
      </c>
      <c r="B16316" t="str">
        <f t="shared" ref="B16316:B16347" si="2931">"06539000"</f>
        <v>06539000</v>
      </c>
      <c r="C16316" t="str">
        <f t="shared" si="2929"/>
        <v>06539003</v>
      </c>
      <c r="D16316">
        <v>89301171</v>
      </c>
      <c r="E16316" t="str">
        <f t="shared" si="2927"/>
        <v>7553295310</v>
      </c>
      <c r="F16316" s="1">
        <v>45269</v>
      </c>
      <c r="G16316" t="str">
        <f>"91169"</f>
        <v>91169</v>
      </c>
      <c r="H16316">
        <v>1</v>
      </c>
      <c r="I16316">
        <v>426</v>
      </c>
      <c r="J16316">
        <v>0</v>
      </c>
      <c r="K16316" t="str">
        <f t="shared" si="2930"/>
        <v>813</v>
      </c>
      <c r="L16316">
        <v>357.84</v>
      </c>
    </row>
    <row r="16317" spans="1:12" x14ac:dyDescent="0.25">
      <c r="A16317" t="str">
        <f t="shared" si="2917"/>
        <v>89301000</v>
      </c>
      <c r="B16317" t="str">
        <f t="shared" si="2931"/>
        <v>06539000</v>
      </c>
      <c r="C16317" t="str">
        <f t="shared" si="2929"/>
        <v>06539003</v>
      </c>
      <c r="D16317">
        <v>89301171</v>
      </c>
      <c r="E16317" t="str">
        <f t="shared" si="2927"/>
        <v>7553295310</v>
      </c>
      <c r="F16317" s="1">
        <v>45268</v>
      </c>
      <c r="G16317" t="str">
        <f>"91167"</f>
        <v>91167</v>
      </c>
      <c r="H16317">
        <v>1</v>
      </c>
      <c r="I16317">
        <v>426</v>
      </c>
      <c r="J16317">
        <v>0</v>
      </c>
      <c r="K16317" t="str">
        <f t="shared" si="2930"/>
        <v>813</v>
      </c>
      <c r="L16317">
        <v>357.84</v>
      </c>
    </row>
    <row r="16318" spans="1:12" x14ac:dyDescent="0.25">
      <c r="A16318" t="str">
        <f t="shared" si="2917"/>
        <v>89301000</v>
      </c>
      <c r="B16318" t="str">
        <f t="shared" si="2931"/>
        <v>06539000</v>
      </c>
      <c r="C16318" t="str">
        <f t="shared" si="2929"/>
        <v>06539003</v>
      </c>
      <c r="D16318">
        <v>89301171</v>
      </c>
      <c r="E16318" t="str">
        <f t="shared" si="2927"/>
        <v>7553295310</v>
      </c>
      <c r="F16318" s="1">
        <v>45268</v>
      </c>
      <c r="G16318" t="str">
        <f>"91169"</f>
        <v>91169</v>
      </c>
      <c r="H16318">
        <v>1</v>
      </c>
      <c r="I16318">
        <v>426</v>
      </c>
      <c r="J16318">
        <v>0</v>
      </c>
      <c r="K16318" t="str">
        <f t="shared" si="2930"/>
        <v>813</v>
      </c>
      <c r="L16318">
        <v>357.84</v>
      </c>
    </row>
    <row r="16319" spans="1:12" x14ac:dyDescent="0.25">
      <c r="A16319" t="str">
        <f t="shared" si="2917"/>
        <v>89301000</v>
      </c>
      <c r="B16319" t="str">
        <f t="shared" si="2931"/>
        <v>06539000</v>
      </c>
      <c r="C16319" t="str">
        <f t="shared" si="2929"/>
        <v>06539003</v>
      </c>
      <c r="D16319">
        <v>89301171</v>
      </c>
      <c r="E16319" t="str">
        <f t="shared" si="2927"/>
        <v>7553295310</v>
      </c>
      <c r="F16319" s="1">
        <v>45274</v>
      </c>
      <c r="G16319" t="str">
        <f>"91475"</f>
        <v>91475</v>
      </c>
      <c r="H16319">
        <v>1</v>
      </c>
      <c r="I16319">
        <v>213</v>
      </c>
      <c r="J16319">
        <v>0</v>
      </c>
      <c r="K16319" t="str">
        <f t="shared" si="2930"/>
        <v>813</v>
      </c>
      <c r="L16319">
        <v>178.92</v>
      </c>
    </row>
    <row r="16320" spans="1:12" x14ac:dyDescent="0.25">
      <c r="A16320" t="str">
        <f t="shared" si="2917"/>
        <v>89301000</v>
      </c>
      <c r="B16320" t="str">
        <f t="shared" si="2931"/>
        <v>06539000</v>
      </c>
      <c r="C16320" t="str">
        <f t="shared" si="2929"/>
        <v>06539003</v>
      </c>
      <c r="D16320">
        <v>89301171</v>
      </c>
      <c r="E16320" t="str">
        <f t="shared" ref="E16320:E16333" si="2932">"7910305799"</f>
        <v>7910305799</v>
      </c>
      <c r="F16320" s="1">
        <v>45273</v>
      </c>
      <c r="G16320" t="str">
        <f>"91413"</f>
        <v>91413</v>
      </c>
      <c r="H16320">
        <v>1</v>
      </c>
      <c r="I16320">
        <v>868</v>
      </c>
      <c r="J16320">
        <v>0</v>
      </c>
      <c r="K16320" t="str">
        <f t="shared" si="2930"/>
        <v>813</v>
      </c>
      <c r="L16320">
        <v>729.12</v>
      </c>
    </row>
    <row r="16321" spans="1:12" x14ac:dyDescent="0.25">
      <c r="A16321" t="str">
        <f t="shared" si="2917"/>
        <v>89301000</v>
      </c>
      <c r="B16321" t="str">
        <f t="shared" si="2931"/>
        <v>06539000</v>
      </c>
      <c r="C16321" t="str">
        <f t="shared" si="2929"/>
        <v>06539003</v>
      </c>
      <c r="D16321">
        <v>89301171</v>
      </c>
      <c r="E16321" t="str">
        <f t="shared" si="2932"/>
        <v>7910305799</v>
      </c>
      <c r="F16321" s="1">
        <v>45273</v>
      </c>
      <c r="G16321" t="str">
        <f>"91413"</f>
        <v>91413</v>
      </c>
      <c r="H16321">
        <v>1</v>
      </c>
      <c r="I16321">
        <v>868</v>
      </c>
      <c r="J16321">
        <v>0</v>
      </c>
      <c r="K16321" t="str">
        <f t="shared" si="2930"/>
        <v>813</v>
      </c>
      <c r="L16321">
        <v>729.12</v>
      </c>
    </row>
    <row r="16322" spans="1:12" x14ac:dyDescent="0.25">
      <c r="A16322" t="str">
        <f t="shared" ref="A16322:A16385" si="2933">"89301000"</f>
        <v>89301000</v>
      </c>
      <c r="B16322" t="str">
        <f t="shared" si="2931"/>
        <v>06539000</v>
      </c>
      <c r="C16322" t="str">
        <f t="shared" si="2929"/>
        <v>06539003</v>
      </c>
      <c r="D16322">
        <v>89301171</v>
      </c>
      <c r="E16322" t="str">
        <f t="shared" si="2932"/>
        <v>7910305799</v>
      </c>
      <c r="F16322" s="1">
        <v>45270</v>
      </c>
      <c r="G16322" t="str">
        <f>"91197"</f>
        <v>91197</v>
      </c>
      <c r="H16322">
        <v>1</v>
      </c>
      <c r="I16322">
        <v>1048</v>
      </c>
      <c r="J16322">
        <v>0</v>
      </c>
      <c r="K16322" t="str">
        <f t="shared" si="2930"/>
        <v>813</v>
      </c>
      <c r="L16322">
        <v>880.32</v>
      </c>
    </row>
    <row r="16323" spans="1:12" x14ac:dyDescent="0.25">
      <c r="A16323" t="str">
        <f t="shared" si="2933"/>
        <v>89301000</v>
      </c>
      <c r="B16323" t="str">
        <f t="shared" si="2931"/>
        <v>06539000</v>
      </c>
      <c r="C16323" t="str">
        <f t="shared" si="2929"/>
        <v>06539003</v>
      </c>
      <c r="D16323">
        <v>89301171</v>
      </c>
      <c r="E16323" t="str">
        <f t="shared" si="2932"/>
        <v>7910305799</v>
      </c>
      <c r="F16323" s="1">
        <v>45270</v>
      </c>
      <c r="G16323" t="str">
        <f>"91197"</f>
        <v>91197</v>
      </c>
      <c r="H16323">
        <v>1</v>
      </c>
      <c r="I16323">
        <v>1048</v>
      </c>
      <c r="J16323">
        <v>0</v>
      </c>
      <c r="K16323" t="str">
        <f t="shared" si="2930"/>
        <v>813</v>
      </c>
      <c r="L16323">
        <v>880.32</v>
      </c>
    </row>
    <row r="16324" spans="1:12" x14ac:dyDescent="0.25">
      <c r="A16324" t="str">
        <f t="shared" si="2933"/>
        <v>89301000</v>
      </c>
      <c r="B16324" t="str">
        <f t="shared" si="2931"/>
        <v>06539000</v>
      </c>
      <c r="C16324" t="str">
        <f t="shared" si="2929"/>
        <v>06539003</v>
      </c>
      <c r="D16324">
        <v>89301171</v>
      </c>
      <c r="E16324" t="str">
        <f t="shared" si="2932"/>
        <v>7910305799</v>
      </c>
      <c r="F16324" s="1">
        <v>45269</v>
      </c>
      <c r="G16324" t="str">
        <f>"91197"</f>
        <v>91197</v>
      </c>
      <c r="H16324">
        <v>1</v>
      </c>
      <c r="I16324">
        <v>1048</v>
      </c>
      <c r="J16324">
        <v>0</v>
      </c>
      <c r="K16324" t="str">
        <f t="shared" si="2930"/>
        <v>813</v>
      </c>
      <c r="L16324">
        <v>880.32</v>
      </c>
    </row>
    <row r="16325" spans="1:12" x14ac:dyDescent="0.25">
      <c r="A16325" t="str">
        <f t="shared" si="2933"/>
        <v>89301000</v>
      </c>
      <c r="B16325" t="str">
        <f t="shared" si="2931"/>
        <v>06539000</v>
      </c>
      <c r="C16325" t="str">
        <f t="shared" si="2929"/>
        <v>06539003</v>
      </c>
      <c r="D16325">
        <v>89301171</v>
      </c>
      <c r="E16325" t="str">
        <f t="shared" si="2932"/>
        <v>7910305799</v>
      </c>
      <c r="F16325" s="1">
        <v>45269</v>
      </c>
      <c r="G16325" t="str">
        <f>"91197"</f>
        <v>91197</v>
      </c>
      <c r="H16325">
        <v>1</v>
      </c>
      <c r="I16325">
        <v>1048</v>
      </c>
      <c r="J16325">
        <v>0</v>
      </c>
      <c r="K16325" t="str">
        <f t="shared" si="2930"/>
        <v>813</v>
      </c>
      <c r="L16325">
        <v>880.32</v>
      </c>
    </row>
    <row r="16326" spans="1:12" x14ac:dyDescent="0.25">
      <c r="A16326" t="str">
        <f t="shared" si="2933"/>
        <v>89301000</v>
      </c>
      <c r="B16326" t="str">
        <f t="shared" si="2931"/>
        <v>06539000</v>
      </c>
      <c r="C16326" t="str">
        <f t="shared" si="2929"/>
        <v>06539003</v>
      </c>
      <c r="D16326">
        <v>89301171</v>
      </c>
      <c r="E16326" t="str">
        <f t="shared" si="2932"/>
        <v>7910305799</v>
      </c>
      <c r="F16326" s="1">
        <v>45271</v>
      </c>
      <c r="G16326" t="str">
        <f>"91129"</f>
        <v>91129</v>
      </c>
      <c r="H16326">
        <v>1</v>
      </c>
      <c r="I16326">
        <v>175</v>
      </c>
      <c r="J16326">
        <v>0</v>
      </c>
      <c r="K16326" t="str">
        <f t="shared" si="2930"/>
        <v>813</v>
      </c>
      <c r="L16326">
        <v>147</v>
      </c>
    </row>
    <row r="16327" spans="1:12" x14ac:dyDescent="0.25">
      <c r="A16327" t="str">
        <f t="shared" si="2933"/>
        <v>89301000</v>
      </c>
      <c r="B16327" t="str">
        <f t="shared" si="2931"/>
        <v>06539000</v>
      </c>
      <c r="C16327" t="str">
        <f t="shared" si="2929"/>
        <v>06539003</v>
      </c>
      <c r="D16327">
        <v>89301171</v>
      </c>
      <c r="E16327" t="str">
        <f t="shared" si="2932"/>
        <v>7910305799</v>
      </c>
      <c r="F16327" s="1">
        <v>45271</v>
      </c>
      <c r="G16327" t="str">
        <f>"91131"</f>
        <v>91131</v>
      </c>
      <c r="H16327">
        <v>1</v>
      </c>
      <c r="I16327">
        <v>171</v>
      </c>
      <c r="J16327">
        <v>0</v>
      </c>
      <c r="K16327" t="str">
        <f t="shared" si="2930"/>
        <v>813</v>
      </c>
      <c r="L16327">
        <v>143.63999999999999</v>
      </c>
    </row>
    <row r="16328" spans="1:12" x14ac:dyDescent="0.25">
      <c r="A16328" t="str">
        <f t="shared" si="2933"/>
        <v>89301000</v>
      </c>
      <c r="B16328" t="str">
        <f t="shared" si="2931"/>
        <v>06539000</v>
      </c>
      <c r="C16328" t="str">
        <f t="shared" si="2929"/>
        <v>06539003</v>
      </c>
      <c r="D16328">
        <v>89301171</v>
      </c>
      <c r="E16328" t="str">
        <f t="shared" si="2932"/>
        <v>7910305799</v>
      </c>
      <c r="F16328" s="1">
        <v>45271</v>
      </c>
      <c r="G16328" t="str">
        <f>"91133"</f>
        <v>91133</v>
      </c>
      <c r="H16328">
        <v>1</v>
      </c>
      <c r="I16328">
        <v>177</v>
      </c>
      <c r="J16328">
        <v>0</v>
      </c>
      <c r="K16328" t="str">
        <f t="shared" si="2930"/>
        <v>813</v>
      </c>
      <c r="L16328">
        <v>148.68</v>
      </c>
    </row>
    <row r="16329" spans="1:12" x14ac:dyDescent="0.25">
      <c r="A16329" t="str">
        <f t="shared" si="2933"/>
        <v>89301000</v>
      </c>
      <c r="B16329" t="str">
        <f t="shared" si="2931"/>
        <v>06539000</v>
      </c>
      <c r="C16329" t="str">
        <f t="shared" si="2929"/>
        <v>06539003</v>
      </c>
      <c r="D16329">
        <v>89301171</v>
      </c>
      <c r="E16329" t="str">
        <f t="shared" si="2932"/>
        <v>7910305799</v>
      </c>
      <c r="F16329" s="1">
        <v>45271</v>
      </c>
      <c r="G16329" t="str">
        <f>"91171"</f>
        <v>91171</v>
      </c>
      <c r="H16329">
        <v>1</v>
      </c>
      <c r="I16329">
        <v>362</v>
      </c>
      <c r="J16329">
        <v>0</v>
      </c>
      <c r="K16329" t="str">
        <f t="shared" si="2930"/>
        <v>813</v>
      </c>
      <c r="L16329">
        <v>304.08</v>
      </c>
    </row>
    <row r="16330" spans="1:12" x14ac:dyDescent="0.25">
      <c r="A16330" t="str">
        <f t="shared" si="2933"/>
        <v>89301000</v>
      </c>
      <c r="B16330" t="str">
        <f t="shared" si="2931"/>
        <v>06539000</v>
      </c>
      <c r="C16330" t="str">
        <f t="shared" si="2929"/>
        <v>06539003</v>
      </c>
      <c r="D16330">
        <v>89301171</v>
      </c>
      <c r="E16330" t="str">
        <f t="shared" si="2932"/>
        <v>7910305799</v>
      </c>
      <c r="F16330" s="1">
        <v>45271</v>
      </c>
      <c r="G16330" t="str">
        <f>"91175"</f>
        <v>91175</v>
      </c>
      <c r="H16330">
        <v>1</v>
      </c>
      <c r="I16330">
        <v>362</v>
      </c>
      <c r="J16330">
        <v>0</v>
      </c>
      <c r="K16330" t="str">
        <f t="shared" si="2930"/>
        <v>813</v>
      </c>
      <c r="L16330">
        <v>304.08</v>
      </c>
    </row>
    <row r="16331" spans="1:12" x14ac:dyDescent="0.25">
      <c r="A16331" t="str">
        <f t="shared" si="2933"/>
        <v>89301000</v>
      </c>
      <c r="B16331" t="str">
        <f t="shared" si="2931"/>
        <v>06539000</v>
      </c>
      <c r="C16331" t="str">
        <f t="shared" si="2929"/>
        <v>06539003</v>
      </c>
      <c r="D16331">
        <v>89301171</v>
      </c>
      <c r="E16331" t="str">
        <f t="shared" si="2932"/>
        <v>7910305799</v>
      </c>
      <c r="F16331" s="1">
        <v>45269</v>
      </c>
      <c r="G16331" t="str">
        <f>"91167"</f>
        <v>91167</v>
      </c>
      <c r="H16331">
        <v>1</v>
      </c>
      <c r="I16331">
        <v>426</v>
      </c>
      <c r="J16331">
        <v>0</v>
      </c>
      <c r="K16331" t="str">
        <f t="shared" si="2930"/>
        <v>813</v>
      </c>
      <c r="L16331">
        <v>357.84</v>
      </c>
    </row>
    <row r="16332" spans="1:12" x14ac:dyDescent="0.25">
      <c r="A16332" t="str">
        <f t="shared" si="2933"/>
        <v>89301000</v>
      </c>
      <c r="B16332" t="str">
        <f t="shared" si="2931"/>
        <v>06539000</v>
      </c>
      <c r="C16332" t="str">
        <f t="shared" si="2929"/>
        <v>06539003</v>
      </c>
      <c r="D16332">
        <v>89301171</v>
      </c>
      <c r="E16332" t="str">
        <f t="shared" si="2932"/>
        <v>7910305799</v>
      </c>
      <c r="F16332" s="1">
        <v>45269</v>
      </c>
      <c r="G16332" t="str">
        <f>"91169"</f>
        <v>91169</v>
      </c>
      <c r="H16332">
        <v>1</v>
      </c>
      <c r="I16332">
        <v>426</v>
      </c>
      <c r="J16332">
        <v>0</v>
      </c>
      <c r="K16332" t="str">
        <f t="shared" si="2930"/>
        <v>813</v>
      </c>
      <c r="L16332">
        <v>357.84</v>
      </c>
    </row>
    <row r="16333" spans="1:12" x14ac:dyDescent="0.25">
      <c r="A16333" t="str">
        <f t="shared" si="2933"/>
        <v>89301000</v>
      </c>
      <c r="B16333" t="str">
        <f t="shared" si="2931"/>
        <v>06539000</v>
      </c>
      <c r="C16333" t="str">
        <f t="shared" si="2929"/>
        <v>06539003</v>
      </c>
      <c r="D16333">
        <v>89301171</v>
      </c>
      <c r="E16333" t="str">
        <f t="shared" si="2932"/>
        <v>7910305799</v>
      </c>
      <c r="F16333" s="1">
        <v>45278</v>
      </c>
      <c r="G16333" t="str">
        <f>"91475"</f>
        <v>91475</v>
      </c>
      <c r="H16333">
        <v>1</v>
      </c>
      <c r="I16333">
        <v>213</v>
      </c>
      <c r="J16333">
        <v>0</v>
      </c>
      <c r="K16333" t="str">
        <f t="shared" si="2930"/>
        <v>813</v>
      </c>
      <c r="L16333">
        <v>178.92</v>
      </c>
    </row>
    <row r="16334" spans="1:12" x14ac:dyDescent="0.25">
      <c r="A16334" t="str">
        <f t="shared" si="2933"/>
        <v>89301000</v>
      </c>
      <c r="B16334" t="str">
        <f t="shared" si="2931"/>
        <v>06539000</v>
      </c>
      <c r="C16334" t="str">
        <f>"06539001"</f>
        <v>06539001</v>
      </c>
      <c r="D16334">
        <v>89301171</v>
      </c>
      <c r="E16334" t="str">
        <f t="shared" ref="E16334:E16354" si="2934">"516114118"</f>
        <v>516114118</v>
      </c>
      <c r="F16334" s="1">
        <v>45275</v>
      </c>
      <c r="G16334" t="str">
        <f>"81329"</f>
        <v>81329</v>
      </c>
      <c r="H16334">
        <v>1</v>
      </c>
      <c r="I16334">
        <v>17</v>
      </c>
      <c r="J16334">
        <v>0</v>
      </c>
      <c r="K16334" t="str">
        <f>"801"</f>
        <v>801</v>
      </c>
      <c r="L16334">
        <v>14.28</v>
      </c>
    </row>
    <row r="16335" spans="1:12" x14ac:dyDescent="0.25">
      <c r="A16335" t="str">
        <f t="shared" si="2933"/>
        <v>89301000</v>
      </c>
      <c r="B16335" t="str">
        <f t="shared" si="2931"/>
        <v>06539000</v>
      </c>
      <c r="C16335" t="str">
        <f>"06539001"</f>
        <v>06539001</v>
      </c>
      <c r="D16335">
        <v>89301171</v>
      </c>
      <c r="E16335" t="str">
        <f t="shared" si="2934"/>
        <v>516114118</v>
      </c>
      <c r="F16335" s="1">
        <v>45275</v>
      </c>
      <c r="G16335" t="str">
        <f>"81331"</f>
        <v>81331</v>
      </c>
      <c r="H16335">
        <v>1</v>
      </c>
      <c r="I16335">
        <v>193</v>
      </c>
      <c r="J16335">
        <v>0</v>
      </c>
      <c r="K16335" t="str">
        <f>"801"</f>
        <v>801</v>
      </c>
      <c r="L16335">
        <v>162.12</v>
      </c>
    </row>
    <row r="16336" spans="1:12" x14ac:dyDescent="0.25">
      <c r="A16336" t="str">
        <f t="shared" si="2933"/>
        <v>89301000</v>
      </c>
      <c r="B16336" t="str">
        <f t="shared" si="2931"/>
        <v>06539000</v>
      </c>
      <c r="C16336" t="str">
        <f t="shared" ref="C16336:C16354" si="2935">"06539003"</f>
        <v>06539003</v>
      </c>
      <c r="D16336">
        <v>89301171</v>
      </c>
      <c r="E16336" t="str">
        <f t="shared" si="2934"/>
        <v>516114118</v>
      </c>
      <c r="F16336" s="1">
        <v>45280</v>
      </c>
      <c r="G16336" t="str">
        <f>"91413"</f>
        <v>91413</v>
      </c>
      <c r="H16336">
        <v>1</v>
      </c>
      <c r="I16336">
        <v>868</v>
      </c>
      <c r="J16336">
        <v>0</v>
      </c>
      <c r="K16336" t="str">
        <f t="shared" ref="K16336:K16354" si="2936">"813"</f>
        <v>813</v>
      </c>
      <c r="L16336">
        <v>729.12</v>
      </c>
    </row>
    <row r="16337" spans="1:12" x14ac:dyDescent="0.25">
      <c r="A16337" t="str">
        <f t="shared" si="2933"/>
        <v>89301000</v>
      </c>
      <c r="B16337" t="str">
        <f t="shared" si="2931"/>
        <v>06539000</v>
      </c>
      <c r="C16337" t="str">
        <f t="shared" si="2935"/>
        <v>06539003</v>
      </c>
      <c r="D16337">
        <v>89301171</v>
      </c>
      <c r="E16337" t="str">
        <f t="shared" si="2934"/>
        <v>516114118</v>
      </c>
      <c r="F16337" s="1">
        <v>45280</v>
      </c>
      <c r="G16337" t="str">
        <f>"91413"</f>
        <v>91413</v>
      </c>
      <c r="H16337">
        <v>1</v>
      </c>
      <c r="I16337">
        <v>868</v>
      </c>
      <c r="J16337">
        <v>0</v>
      </c>
      <c r="K16337" t="str">
        <f t="shared" si="2936"/>
        <v>813</v>
      </c>
      <c r="L16337">
        <v>729.12</v>
      </c>
    </row>
    <row r="16338" spans="1:12" x14ac:dyDescent="0.25">
      <c r="A16338" t="str">
        <f t="shared" si="2933"/>
        <v>89301000</v>
      </c>
      <c r="B16338" t="str">
        <f t="shared" si="2931"/>
        <v>06539000</v>
      </c>
      <c r="C16338" t="str">
        <f t="shared" si="2935"/>
        <v>06539003</v>
      </c>
      <c r="D16338">
        <v>89301171</v>
      </c>
      <c r="E16338" t="str">
        <f t="shared" si="2934"/>
        <v>516114118</v>
      </c>
      <c r="F16338" s="1">
        <v>45275</v>
      </c>
      <c r="G16338" t="str">
        <f t="shared" ref="G16338:G16343" si="2937">"91197"</f>
        <v>91197</v>
      </c>
      <c r="H16338">
        <v>1</v>
      </c>
      <c r="I16338">
        <v>1048</v>
      </c>
      <c r="J16338">
        <v>0</v>
      </c>
      <c r="K16338" t="str">
        <f t="shared" si="2936"/>
        <v>813</v>
      </c>
      <c r="L16338">
        <v>880.32</v>
      </c>
    </row>
    <row r="16339" spans="1:12" x14ac:dyDescent="0.25">
      <c r="A16339" t="str">
        <f t="shared" si="2933"/>
        <v>89301000</v>
      </c>
      <c r="B16339" t="str">
        <f t="shared" si="2931"/>
        <v>06539000</v>
      </c>
      <c r="C16339" t="str">
        <f t="shared" si="2935"/>
        <v>06539003</v>
      </c>
      <c r="D16339">
        <v>89301171</v>
      </c>
      <c r="E16339" t="str">
        <f t="shared" si="2934"/>
        <v>516114118</v>
      </c>
      <c r="F16339" s="1">
        <v>45277</v>
      </c>
      <c r="G16339" t="str">
        <f t="shared" si="2937"/>
        <v>91197</v>
      </c>
      <c r="H16339">
        <v>1</v>
      </c>
      <c r="I16339">
        <v>1048</v>
      </c>
      <c r="J16339">
        <v>0</v>
      </c>
      <c r="K16339" t="str">
        <f t="shared" si="2936"/>
        <v>813</v>
      </c>
      <c r="L16339">
        <v>880.32</v>
      </c>
    </row>
    <row r="16340" spans="1:12" x14ac:dyDescent="0.25">
      <c r="A16340" t="str">
        <f t="shared" si="2933"/>
        <v>89301000</v>
      </c>
      <c r="B16340" t="str">
        <f t="shared" si="2931"/>
        <v>06539000</v>
      </c>
      <c r="C16340" t="str">
        <f t="shared" si="2935"/>
        <v>06539003</v>
      </c>
      <c r="D16340">
        <v>89301171</v>
      </c>
      <c r="E16340" t="str">
        <f t="shared" si="2934"/>
        <v>516114118</v>
      </c>
      <c r="F16340" s="1">
        <v>45277</v>
      </c>
      <c r="G16340" t="str">
        <f t="shared" si="2937"/>
        <v>91197</v>
      </c>
      <c r="H16340">
        <v>1</v>
      </c>
      <c r="I16340">
        <v>1048</v>
      </c>
      <c r="J16340">
        <v>0</v>
      </c>
      <c r="K16340" t="str">
        <f t="shared" si="2936"/>
        <v>813</v>
      </c>
      <c r="L16340">
        <v>880.32</v>
      </c>
    </row>
    <row r="16341" spans="1:12" x14ac:dyDescent="0.25">
      <c r="A16341" t="str">
        <f t="shared" si="2933"/>
        <v>89301000</v>
      </c>
      <c r="B16341" t="str">
        <f t="shared" si="2931"/>
        <v>06539000</v>
      </c>
      <c r="C16341" t="str">
        <f t="shared" si="2935"/>
        <v>06539003</v>
      </c>
      <c r="D16341">
        <v>89301171</v>
      </c>
      <c r="E16341" t="str">
        <f t="shared" si="2934"/>
        <v>516114118</v>
      </c>
      <c r="F16341" s="1">
        <v>45276</v>
      </c>
      <c r="G16341" t="str">
        <f t="shared" si="2937"/>
        <v>91197</v>
      </c>
      <c r="H16341">
        <v>1</v>
      </c>
      <c r="I16341">
        <v>1048</v>
      </c>
      <c r="J16341">
        <v>0</v>
      </c>
      <c r="K16341" t="str">
        <f t="shared" si="2936"/>
        <v>813</v>
      </c>
      <c r="L16341">
        <v>880.32</v>
      </c>
    </row>
    <row r="16342" spans="1:12" x14ac:dyDescent="0.25">
      <c r="A16342" t="str">
        <f t="shared" si="2933"/>
        <v>89301000</v>
      </c>
      <c r="B16342" t="str">
        <f t="shared" si="2931"/>
        <v>06539000</v>
      </c>
      <c r="C16342" t="str">
        <f t="shared" si="2935"/>
        <v>06539003</v>
      </c>
      <c r="D16342">
        <v>89301171</v>
      </c>
      <c r="E16342" t="str">
        <f t="shared" si="2934"/>
        <v>516114118</v>
      </c>
      <c r="F16342" s="1">
        <v>45276</v>
      </c>
      <c r="G16342" t="str">
        <f t="shared" si="2937"/>
        <v>91197</v>
      </c>
      <c r="H16342">
        <v>1</v>
      </c>
      <c r="I16342">
        <v>1048</v>
      </c>
      <c r="J16342">
        <v>0</v>
      </c>
      <c r="K16342" t="str">
        <f t="shared" si="2936"/>
        <v>813</v>
      </c>
      <c r="L16342">
        <v>880.32</v>
      </c>
    </row>
    <row r="16343" spans="1:12" x14ac:dyDescent="0.25">
      <c r="A16343" t="str">
        <f t="shared" si="2933"/>
        <v>89301000</v>
      </c>
      <c r="B16343" t="str">
        <f t="shared" si="2931"/>
        <v>06539000</v>
      </c>
      <c r="C16343" t="str">
        <f t="shared" si="2935"/>
        <v>06539003</v>
      </c>
      <c r="D16343">
        <v>89301171</v>
      </c>
      <c r="E16343" t="str">
        <f t="shared" si="2934"/>
        <v>516114118</v>
      </c>
      <c r="F16343" s="1">
        <v>45275</v>
      </c>
      <c r="G16343" t="str">
        <f t="shared" si="2937"/>
        <v>91197</v>
      </c>
      <c r="H16343">
        <v>1</v>
      </c>
      <c r="I16343">
        <v>1048</v>
      </c>
      <c r="J16343">
        <v>0</v>
      </c>
      <c r="K16343" t="str">
        <f t="shared" si="2936"/>
        <v>813</v>
      </c>
      <c r="L16343">
        <v>880.32</v>
      </c>
    </row>
    <row r="16344" spans="1:12" x14ac:dyDescent="0.25">
      <c r="A16344" t="str">
        <f t="shared" si="2933"/>
        <v>89301000</v>
      </c>
      <c r="B16344" t="str">
        <f t="shared" si="2931"/>
        <v>06539000</v>
      </c>
      <c r="C16344" t="str">
        <f t="shared" si="2935"/>
        <v>06539003</v>
      </c>
      <c r="D16344">
        <v>89301171</v>
      </c>
      <c r="E16344" t="str">
        <f t="shared" si="2934"/>
        <v>516114118</v>
      </c>
      <c r="F16344" s="1">
        <v>45275</v>
      </c>
      <c r="G16344" t="str">
        <f>"91129"</f>
        <v>91129</v>
      </c>
      <c r="H16344">
        <v>1</v>
      </c>
      <c r="I16344">
        <v>175</v>
      </c>
      <c r="J16344">
        <v>0</v>
      </c>
      <c r="K16344" t="str">
        <f t="shared" si="2936"/>
        <v>813</v>
      </c>
      <c r="L16344">
        <v>147</v>
      </c>
    </row>
    <row r="16345" spans="1:12" x14ac:dyDescent="0.25">
      <c r="A16345" t="str">
        <f t="shared" si="2933"/>
        <v>89301000</v>
      </c>
      <c r="B16345" t="str">
        <f t="shared" si="2931"/>
        <v>06539000</v>
      </c>
      <c r="C16345" t="str">
        <f t="shared" si="2935"/>
        <v>06539003</v>
      </c>
      <c r="D16345">
        <v>89301171</v>
      </c>
      <c r="E16345" t="str">
        <f t="shared" si="2934"/>
        <v>516114118</v>
      </c>
      <c r="F16345" s="1">
        <v>45275</v>
      </c>
      <c r="G16345" t="str">
        <f>"91131"</f>
        <v>91131</v>
      </c>
      <c r="H16345">
        <v>1</v>
      </c>
      <c r="I16345">
        <v>171</v>
      </c>
      <c r="J16345">
        <v>0</v>
      </c>
      <c r="K16345" t="str">
        <f t="shared" si="2936"/>
        <v>813</v>
      </c>
      <c r="L16345">
        <v>143.63999999999999</v>
      </c>
    </row>
    <row r="16346" spans="1:12" x14ac:dyDescent="0.25">
      <c r="A16346" t="str">
        <f t="shared" si="2933"/>
        <v>89301000</v>
      </c>
      <c r="B16346" t="str">
        <f t="shared" si="2931"/>
        <v>06539000</v>
      </c>
      <c r="C16346" t="str">
        <f t="shared" si="2935"/>
        <v>06539003</v>
      </c>
      <c r="D16346">
        <v>89301171</v>
      </c>
      <c r="E16346" t="str">
        <f t="shared" si="2934"/>
        <v>516114118</v>
      </c>
      <c r="F16346" s="1">
        <v>45275</v>
      </c>
      <c r="G16346" t="str">
        <f>"91133"</f>
        <v>91133</v>
      </c>
      <c r="H16346">
        <v>1</v>
      </c>
      <c r="I16346">
        <v>177</v>
      </c>
      <c r="J16346">
        <v>0</v>
      </c>
      <c r="K16346" t="str">
        <f t="shared" si="2936"/>
        <v>813</v>
      </c>
      <c r="L16346">
        <v>148.68</v>
      </c>
    </row>
    <row r="16347" spans="1:12" x14ac:dyDescent="0.25">
      <c r="A16347" t="str">
        <f t="shared" si="2933"/>
        <v>89301000</v>
      </c>
      <c r="B16347" t="str">
        <f t="shared" si="2931"/>
        <v>06539000</v>
      </c>
      <c r="C16347" t="str">
        <f t="shared" si="2935"/>
        <v>06539003</v>
      </c>
      <c r="D16347">
        <v>89301171</v>
      </c>
      <c r="E16347" t="str">
        <f t="shared" si="2934"/>
        <v>516114118</v>
      </c>
      <c r="F16347" s="1">
        <v>45275</v>
      </c>
      <c r="G16347" t="str">
        <f>"91171"</f>
        <v>91171</v>
      </c>
      <c r="H16347">
        <v>1</v>
      </c>
      <c r="I16347">
        <v>362</v>
      </c>
      <c r="J16347">
        <v>0</v>
      </c>
      <c r="K16347" t="str">
        <f t="shared" si="2936"/>
        <v>813</v>
      </c>
      <c r="L16347">
        <v>304.08</v>
      </c>
    </row>
    <row r="16348" spans="1:12" x14ac:dyDescent="0.25">
      <c r="A16348" t="str">
        <f t="shared" si="2933"/>
        <v>89301000</v>
      </c>
      <c r="B16348" t="str">
        <f t="shared" ref="B16348:B16379" si="2938">"06539000"</f>
        <v>06539000</v>
      </c>
      <c r="C16348" t="str">
        <f t="shared" si="2935"/>
        <v>06539003</v>
      </c>
      <c r="D16348">
        <v>89301171</v>
      </c>
      <c r="E16348" t="str">
        <f t="shared" si="2934"/>
        <v>516114118</v>
      </c>
      <c r="F16348" s="1">
        <v>45275</v>
      </c>
      <c r="G16348" t="str">
        <f>"91173"</f>
        <v>91173</v>
      </c>
      <c r="H16348">
        <v>1</v>
      </c>
      <c r="I16348">
        <v>337</v>
      </c>
      <c r="J16348">
        <v>0</v>
      </c>
      <c r="K16348" t="str">
        <f t="shared" si="2936"/>
        <v>813</v>
      </c>
      <c r="L16348">
        <v>283.08</v>
      </c>
    </row>
    <row r="16349" spans="1:12" x14ac:dyDescent="0.25">
      <c r="A16349" t="str">
        <f t="shared" si="2933"/>
        <v>89301000</v>
      </c>
      <c r="B16349" t="str">
        <f t="shared" si="2938"/>
        <v>06539000</v>
      </c>
      <c r="C16349" t="str">
        <f t="shared" si="2935"/>
        <v>06539003</v>
      </c>
      <c r="D16349">
        <v>89301171</v>
      </c>
      <c r="E16349" t="str">
        <f t="shared" si="2934"/>
        <v>516114118</v>
      </c>
      <c r="F16349" s="1">
        <v>45275</v>
      </c>
      <c r="G16349" t="str">
        <f>"91175"</f>
        <v>91175</v>
      </c>
      <c r="H16349">
        <v>1</v>
      </c>
      <c r="I16349">
        <v>362</v>
      </c>
      <c r="J16349">
        <v>0</v>
      </c>
      <c r="K16349" t="str">
        <f t="shared" si="2936"/>
        <v>813</v>
      </c>
      <c r="L16349">
        <v>304.08</v>
      </c>
    </row>
    <row r="16350" spans="1:12" x14ac:dyDescent="0.25">
      <c r="A16350" t="str">
        <f t="shared" si="2933"/>
        <v>89301000</v>
      </c>
      <c r="B16350" t="str">
        <f t="shared" si="2938"/>
        <v>06539000</v>
      </c>
      <c r="C16350" t="str">
        <f t="shared" si="2935"/>
        <v>06539003</v>
      </c>
      <c r="D16350">
        <v>89301171</v>
      </c>
      <c r="E16350" t="str">
        <f t="shared" si="2934"/>
        <v>516114118</v>
      </c>
      <c r="F16350" s="1">
        <v>45276</v>
      </c>
      <c r="G16350" t="str">
        <f>"91167"</f>
        <v>91167</v>
      </c>
      <c r="H16350">
        <v>1</v>
      </c>
      <c r="I16350">
        <v>426</v>
      </c>
      <c r="J16350">
        <v>0</v>
      </c>
      <c r="K16350" t="str">
        <f t="shared" si="2936"/>
        <v>813</v>
      </c>
      <c r="L16350">
        <v>357.84</v>
      </c>
    </row>
    <row r="16351" spans="1:12" x14ac:dyDescent="0.25">
      <c r="A16351" t="str">
        <f t="shared" si="2933"/>
        <v>89301000</v>
      </c>
      <c r="B16351" t="str">
        <f t="shared" si="2938"/>
        <v>06539000</v>
      </c>
      <c r="C16351" t="str">
        <f t="shared" si="2935"/>
        <v>06539003</v>
      </c>
      <c r="D16351">
        <v>89301171</v>
      </c>
      <c r="E16351" t="str">
        <f t="shared" si="2934"/>
        <v>516114118</v>
      </c>
      <c r="F16351" s="1">
        <v>45276</v>
      </c>
      <c r="G16351" t="str">
        <f>"91169"</f>
        <v>91169</v>
      </c>
      <c r="H16351">
        <v>1</v>
      </c>
      <c r="I16351">
        <v>426</v>
      </c>
      <c r="J16351">
        <v>0</v>
      </c>
      <c r="K16351" t="str">
        <f t="shared" si="2936"/>
        <v>813</v>
      </c>
      <c r="L16351">
        <v>357.84</v>
      </c>
    </row>
    <row r="16352" spans="1:12" x14ac:dyDescent="0.25">
      <c r="A16352" t="str">
        <f t="shared" si="2933"/>
        <v>89301000</v>
      </c>
      <c r="B16352" t="str">
        <f t="shared" si="2938"/>
        <v>06539000</v>
      </c>
      <c r="C16352" t="str">
        <f t="shared" si="2935"/>
        <v>06539003</v>
      </c>
      <c r="D16352">
        <v>89301171</v>
      </c>
      <c r="E16352" t="str">
        <f t="shared" si="2934"/>
        <v>516114118</v>
      </c>
      <c r="F16352" s="1">
        <v>45275</v>
      </c>
      <c r="G16352" t="str">
        <f>"91167"</f>
        <v>91167</v>
      </c>
      <c r="H16352">
        <v>1</v>
      </c>
      <c r="I16352">
        <v>426</v>
      </c>
      <c r="J16352">
        <v>0</v>
      </c>
      <c r="K16352" t="str">
        <f t="shared" si="2936"/>
        <v>813</v>
      </c>
      <c r="L16352">
        <v>357.84</v>
      </c>
    </row>
    <row r="16353" spans="1:12" x14ac:dyDescent="0.25">
      <c r="A16353" t="str">
        <f t="shared" si="2933"/>
        <v>89301000</v>
      </c>
      <c r="B16353" t="str">
        <f t="shared" si="2938"/>
        <v>06539000</v>
      </c>
      <c r="C16353" t="str">
        <f t="shared" si="2935"/>
        <v>06539003</v>
      </c>
      <c r="D16353">
        <v>89301171</v>
      </c>
      <c r="E16353" t="str">
        <f t="shared" si="2934"/>
        <v>516114118</v>
      </c>
      <c r="F16353" s="1">
        <v>45275</v>
      </c>
      <c r="G16353" t="str">
        <f>"91169"</f>
        <v>91169</v>
      </c>
      <c r="H16353">
        <v>1</v>
      </c>
      <c r="I16353">
        <v>426</v>
      </c>
      <c r="J16353">
        <v>0</v>
      </c>
      <c r="K16353" t="str">
        <f t="shared" si="2936"/>
        <v>813</v>
      </c>
      <c r="L16353">
        <v>357.84</v>
      </c>
    </row>
    <row r="16354" spans="1:12" x14ac:dyDescent="0.25">
      <c r="A16354" t="str">
        <f t="shared" si="2933"/>
        <v>89301000</v>
      </c>
      <c r="B16354" t="str">
        <f t="shared" si="2938"/>
        <v>06539000</v>
      </c>
      <c r="C16354" t="str">
        <f t="shared" si="2935"/>
        <v>06539003</v>
      </c>
      <c r="D16354">
        <v>89301171</v>
      </c>
      <c r="E16354" t="str">
        <f t="shared" si="2934"/>
        <v>516114118</v>
      </c>
      <c r="F16354" s="1">
        <v>45280</v>
      </c>
      <c r="G16354" t="str">
        <f>"91475"</f>
        <v>91475</v>
      </c>
      <c r="H16354">
        <v>1</v>
      </c>
      <c r="I16354">
        <v>213</v>
      </c>
      <c r="J16354">
        <v>0</v>
      </c>
      <c r="K16354" t="str">
        <f t="shared" si="2936"/>
        <v>813</v>
      </c>
      <c r="L16354">
        <v>178.92</v>
      </c>
    </row>
    <row r="16355" spans="1:12" x14ac:dyDescent="0.25">
      <c r="A16355" t="str">
        <f t="shared" si="2933"/>
        <v>89301000</v>
      </c>
      <c r="B16355" t="str">
        <f t="shared" si="2938"/>
        <v>06539000</v>
      </c>
      <c r="C16355" t="str">
        <f>"06539001"</f>
        <v>06539001</v>
      </c>
      <c r="D16355">
        <v>89301171</v>
      </c>
      <c r="E16355" t="str">
        <f t="shared" ref="E16355:E16375" si="2939">"6853202015"</f>
        <v>6853202015</v>
      </c>
      <c r="F16355" s="1">
        <v>45275</v>
      </c>
      <c r="G16355" t="str">
        <f>"81329"</f>
        <v>81329</v>
      </c>
      <c r="H16355">
        <v>1</v>
      </c>
      <c r="I16355">
        <v>17</v>
      </c>
      <c r="J16355">
        <v>0</v>
      </c>
      <c r="K16355" t="str">
        <f>"801"</f>
        <v>801</v>
      </c>
      <c r="L16355">
        <v>14.28</v>
      </c>
    </row>
    <row r="16356" spans="1:12" x14ac:dyDescent="0.25">
      <c r="A16356" t="str">
        <f t="shared" si="2933"/>
        <v>89301000</v>
      </c>
      <c r="B16356" t="str">
        <f t="shared" si="2938"/>
        <v>06539000</v>
      </c>
      <c r="C16356" t="str">
        <f>"06539001"</f>
        <v>06539001</v>
      </c>
      <c r="D16356">
        <v>89301171</v>
      </c>
      <c r="E16356" t="str">
        <f t="shared" si="2939"/>
        <v>6853202015</v>
      </c>
      <c r="F16356" s="1">
        <v>45275</v>
      </c>
      <c r="G16356" t="str">
        <f>"81331"</f>
        <v>81331</v>
      </c>
      <c r="H16356">
        <v>1</v>
      </c>
      <c r="I16356">
        <v>193</v>
      </c>
      <c r="J16356">
        <v>0</v>
      </c>
      <c r="K16356" t="str">
        <f>"801"</f>
        <v>801</v>
      </c>
      <c r="L16356">
        <v>162.12</v>
      </c>
    </row>
    <row r="16357" spans="1:12" x14ac:dyDescent="0.25">
      <c r="A16357" t="str">
        <f t="shared" si="2933"/>
        <v>89301000</v>
      </c>
      <c r="B16357" t="str">
        <f t="shared" si="2938"/>
        <v>06539000</v>
      </c>
      <c r="C16357" t="str">
        <f t="shared" ref="C16357:C16375" si="2940">"06539003"</f>
        <v>06539003</v>
      </c>
      <c r="D16357">
        <v>89301171</v>
      </c>
      <c r="E16357" t="str">
        <f t="shared" si="2939"/>
        <v>6853202015</v>
      </c>
      <c r="F16357" s="1">
        <v>45280</v>
      </c>
      <c r="G16357" t="str">
        <f>"91413"</f>
        <v>91413</v>
      </c>
      <c r="H16357">
        <v>1</v>
      </c>
      <c r="I16357">
        <v>868</v>
      </c>
      <c r="J16357">
        <v>0</v>
      </c>
      <c r="K16357" t="str">
        <f t="shared" ref="K16357:K16375" si="2941">"813"</f>
        <v>813</v>
      </c>
      <c r="L16357">
        <v>729.12</v>
      </c>
    </row>
    <row r="16358" spans="1:12" x14ac:dyDescent="0.25">
      <c r="A16358" t="str">
        <f t="shared" si="2933"/>
        <v>89301000</v>
      </c>
      <c r="B16358" t="str">
        <f t="shared" si="2938"/>
        <v>06539000</v>
      </c>
      <c r="C16358" t="str">
        <f t="shared" si="2940"/>
        <v>06539003</v>
      </c>
      <c r="D16358">
        <v>89301171</v>
      </c>
      <c r="E16358" t="str">
        <f t="shared" si="2939"/>
        <v>6853202015</v>
      </c>
      <c r="F16358" s="1">
        <v>45280</v>
      </c>
      <c r="G16358" t="str">
        <f>"91413"</f>
        <v>91413</v>
      </c>
      <c r="H16358">
        <v>1</v>
      </c>
      <c r="I16358">
        <v>868</v>
      </c>
      <c r="J16358">
        <v>0</v>
      </c>
      <c r="K16358" t="str">
        <f t="shared" si="2941"/>
        <v>813</v>
      </c>
      <c r="L16358">
        <v>729.12</v>
      </c>
    </row>
    <row r="16359" spans="1:12" x14ac:dyDescent="0.25">
      <c r="A16359" t="str">
        <f t="shared" si="2933"/>
        <v>89301000</v>
      </c>
      <c r="B16359" t="str">
        <f t="shared" si="2938"/>
        <v>06539000</v>
      </c>
      <c r="C16359" t="str">
        <f t="shared" si="2940"/>
        <v>06539003</v>
      </c>
      <c r="D16359">
        <v>89301171</v>
      </c>
      <c r="E16359" t="str">
        <f t="shared" si="2939"/>
        <v>6853202015</v>
      </c>
      <c r="F16359" s="1">
        <v>45275</v>
      </c>
      <c r="G16359" t="str">
        <f t="shared" ref="G16359:G16364" si="2942">"91197"</f>
        <v>91197</v>
      </c>
      <c r="H16359">
        <v>1</v>
      </c>
      <c r="I16359">
        <v>1048</v>
      </c>
      <c r="J16359">
        <v>0</v>
      </c>
      <c r="K16359" t="str">
        <f t="shared" si="2941"/>
        <v>813</v>
      </c>
      <c r="L16359">
        <v>880.32</v>
      </c>
    </row>
    <row r="16360" spans="1:12" x14ac:dyDescent="0.25">
      <c r="A16360" t="str">
        <f t="shared" si="2933"/>
        <v>89301000</v>
      </c>
      <c r="B16360" t="str">
        <f t="shared" si="2938"/>
        <v>06539000</v>
      </c>
      <c r="C16360" t="str">
        <f t="shared" si="2940"/>
        <v>06539003</v>
      </c>
      <c r="D16360">
        <v>89301171</v>
      </c>
      <c r="E16360" t="str">
        <f t="shared" si="2939"/>
        <v>6853202015</v>
      </c>
      <c r="F16360" s="1">
        <v>45277</v>
      </c>
      <c r="G16360" t="str">
        <f t="shared" si="2942"/>
        <v>91197</v>
      </c>
      <c r="H16360">
        <v>1</v>
      </c>
      <c r="I16360">
        <v>1048</v>
      </c>
      <c r="J16360">
        <v>0</v>
      </c>
      <c r="K16360" t="str">
        <f t="shared" si="2941"/>
        <v>813</v>
      </c>
      <c r="L16360">
        <v>880.32</v>
      </c>
    </row>
    <row r="16361" spans="1:12" x14ac:dyDescent="0.25">
      <c r="A16361" t="str">
        <f t="shared" si="2933"/>
        <v>89301000</v>
      </c>
      <c r="B16361" t="str">
        <f t="shared" si="2938"/>
        <v>06539000</v>
      </c>
      <c r="C16361" t="str">
        <f t="shared" si="2940"/>
        <v>06539003</v>
      </c>
      <c r="D16361">
        <v>89301171</v>
      </c>
      <c r="E16361" t="str">
        <f t="shared" si="2939"/>
        <v>6853202015</v>
      </c>
      <c r="F16361" s="1">
        <v>45277</v>
      </c>
      <c r="G16361" t="str">
        <f t="shared" si="2942"/>
        <v>91197</v>
      </c>
      <c r="H16361">
        <v>1</v>
      </c>
      <c r="I16361">
        <v>1048</v>
      </c>
      <c r="J16361">
        <v>0</v>
      </c>
      <c r="K16361" t="str">
        <f t="shared" si="2941"/>
        <v>813</v>
      </c>
      <c r="L16361">
        <v>880.32</v>
      </c>
    </row>
    <row r="16362" spans="1:12" x14ac:dyDescent="0.25">
      <c r="A16362" t="str">
        <f t="shared" si="2933"/>
        <v>89301000</v>
      </c>
      <c r="B16362" t="str">
        <f t="shared" si="2938"/>
        <v>06539000</v>
      </c>
      <c r="C16362" t="str">
        <f t="shared" si="2940"/>
        <v>06539003</v>
      </c>
      <c r="D16362">
        <v>89301171</v>
      </c>
      <c r="E16362" t="str">
        <f t="shared" si="2939"/>
        <v>6853202015</v>
      </c>
      <c r="F16362" s="1">
        <v>45276</v>
      </c>
      <c r="G16362" t="str">
        <f t="shared" si="2942"/>
        <v>91197</v>
      </c>
      <c r="H16362">
        <v>1</v>
      </c>
      <c r="I16362">
        <v>1048</v>
      </c>
      <c r="J16362">
        <v>0</v>
      </c>
      <c r="K16362" t="str">
        <f t="shared" si="2941"/>
        <v>813</v>
      </c>
      <c r="L16362">
        <v>880.32</v>
      </c>
    </row>
    <row r="16363" spans="1:12" x14ac:dyDescent="0.25">
      <c r="A16363" t="str">
        <f t="shared" si="2933"/>
        <v>89301000</v>
      </c>
      <c r="B16363" t="str">
        <f t="shared" si="2938"/>
        <v>06539000</v>
      </c>
      <c r="C16363" t="str">
        <f t="shared" si="2940"/>
        <v>06539003</v>
      </c>
      <c r="D16363">
        <v>89301171</v>
      </c>
      <c r="E16363" t="str">
        <f t="shared" si="2939"/>
        <v>6853202015</v>
      </c>
      <c r="F16363" s="1">
        <v>45276</v>
      </c>
      <c r="G16363" t="str">
        <f t="shared" si="2942"/>
        <v>91197</v>
      </c>
      <c r="H16363">
        <v>1</v>
      </c>
      <c r="I16363">
        <v>1048</v>
      </c>
      <c r="J16363">
        <v>0</v>
      </c>
      <c r="K16363" t="str">
        <f t="shared" si="2941"/>
        <v>813</v>
      </c>
      <c r="L16363">
        <v>880.32</v>
      </c>
    </row>
    <row r="16364" spans="1:12" x14ac:dyDescent="0.25">
      <c r="A16364" t="str">
        <f t="shared" si="2933"/>
        <v>89301000</v>
      </c>
      <c r="B16364" t="str">
        <f t="shared" si="2938"/>
        <v>06539000</v>
      </c>
      <c r="C16364" t="str">
        <f t="shared" si="2940"/>
        <v>06539003</v>
      </c>
      <c r="D16364">
        <v>89301171</v>
      </c>
      <c r="E16364" t="str">
        <f t="shared" si="2939"/>
        <v>6853202015</v>
      </c>
      <c r="F16364" s="1">
        <v>45275</v>
      </c>
      <c r="G16364" t="str">
        <f t="shared" si="2942"/>
        <v>91197</v>
      </c>
      <c r="H16364">
        <v>1</v>
      </c>
      <c r="I16364">
        <v>1048</v>
      </c>
      <c r="J16364">
        <v>0</v>
      </c>
      <c r="K16364" t="str">
        <f t="shared" si="2941"/>
        <v>813</v>
      </c>
      <c r="L16364">
        <v>880.32</v>
      </c>
    </row>
    <row r="16365" spans="1:12" x14ac:dyDescent="0.25">
      <c r="A16365" t="str">
        <f t="shared" si="2933"/>
        <v>89301000</v>
      </c>
      <c r="B16365" t="str">
        <f t="shared" si="2938"/>
        <v>06539000</v>
      </c>
      <c r="C16365" t="str">
        <f t="shared" si="2940"/>
        <v>06539003</v>
      </c>
      <c r="D16365">
        <v>89301171</v>
      </c>
      <c r="E16365" t="str">
        <f t="shared" si="2939"/>
        <v>6853202015</v>
      </c>
      <c r="F16365" s="1">
        <v>45275</v>
      </c>
      <c r="G16365" t="str">
        <f>"91129"</f>
        <v>91129</v>
      </c>
      <c r="H16365">
        <v>1</v>
      </c>
      <c r="I16365">
        <v>175</v>
      </c>
      <c r="J16365">
        <v>0</v>
      </c>
      <c r="K16365" t="str">
        <f t="shared" si="2941"/>
        <v>813</v>
      </c>
      <c r="L16365">
        <v>147</v>
      </c>
    </row>
    <row r="16366" spans="1:12" x14ac:dyDescent="0.25">
      <c r="A16366" t="str">
        <f t="shared" si="2933"/>
        <v>89301000</v>
      </c>
      <c r="B16366" t="str">
        <f t="shared" si="2938"/>
        <v>06539000</v>
      </c>
      <c r="C16366" t="str">
        <f t="shared" si="2940"/>
        <v>06539003</v>
      </c>
      <c r="D16366">
        <v>89301171</v>
      </c>
      <c r="E16366" t="str">
        <f t="shared" si="2939"/>
        <v>6853202015</v>
      </c>
      <c r="F16366" s="1">
        <v>45275</v>
      </c>
      <c r="G16366" t="str">
        <f>"91131"</f>
        <v>91131</v>
      </c>
      <c r="H16366">
        <v>1</v>
      </c>
      <c r="I16366">
        <v>171</v>
      </c>
      <c r="J16366">
        <v>0</v>
      </c>
      <c r="K16366" t="str">
        <f t="shared" si="2941"/>
        <v>813</v>
      </c>
      <c r="L16366">
        <v>143.63999999999999</v>
      </c>
    </row>
    <row r="16367" spans="1:12" x14ac:dyDescent="0.25">
      <c r="A16367" t="str">
        <f t="shared" si="2933"/>
        <v>89301000</v>
      </c>
      <c r="B16367" t="str">
        <f t="shared" si="2938"/>
        <v>06539000</v>
      </c>
      <c r="C16367" t="str">
        <f t="shared" si="2940"/>
        <v>06539003</v>
      </c>
      <c r="D16367">
        <v>89301171</v>
      </c>
      <c r="E16367" t="str">
        <f t="shared" si="2939"/>
        <v>6853202015</v>
      </c>
      <c r="F16367" s="1">
        <v>45275</v>
      </c>
      <c r="G16367" t="str">
        <f>"91133"</f>
        <v>91133</v>
      </c>
      <c r="H16367">
        <v>1</v>
      </c>
      <c r="I16367">
        <v>177</v>
      </c>
      <c r="J16367">
        <v>0</v>
      </c>
      <c r="K16367" t="str">
        <f t="shared" si="2941"/>
        <v>813</v>
      </c>
      <c r="L16367">
        <v>148.68</v>
      </c>
    </row>
    <row r="16368" spans="1:12" x14ac:dyDescent="0.25">
      <c r="A16368" t="str">
        <f t="shared" si="2933"/>
        <v>89301000</v>
      </c>
      <c r="B16368" t="str">
        <f t="shared" si="2938"/>
        <v>06539000</v>
      </c>
      <c r="C16368" t="str">
        <f t="shared" si="2940"/>
        <v>06539003</v>
      </c>
      <c r="D16368">
        <v>89301171</v>
      </c>
      <c r="E16368" t="str">
        <f t="shared" si="2939"/>
        <v>6853202015</v>
      </c>
      <c r="F16368" s="1">
        <v>45275</v>
      </c>
      <c r="G16368" t="str">
        <f>"91171"</f>
        <v>91171</v>
      </c>
      <c r="H16368">
        <v>1</v>
      </c>
      <c r="I16368">
        <v>362</v>
      </c>
      <c r="J16368">
        <v>0</v>
      </c>
      <c r="K16368" t="str">
        <f t="shared" si="2941"/>
        <v>813</v>
      </c>
      <c r="L16368">
        <v>304.08</v>
      </c>
    </row>
    <row r="16369" spans="1:12" x14ac:dyDescent="0.25">
      <c r="A16369" t="str">
        <f t="shared" si="2933"/>
        <v>89301000</v>
      </c>
      <c r="B16369" t="str">
        <f t="shared" si="2938"/>
        <v>06539000</v>
      </c>
      <c r="C16369" t="str">
        <f t="shared" si="2940"/>
        <v>06539003</v>
      </c>
      <c r="D16369">
        <v>89301171</v>
      </c>
      <c r="E16369" t="str">
        <f t="shared" si="2939"/>
        <v>6853202015</v>
      </c>
      <c r="F16369" s="1">
        <v>45275</v>
      </c>
      <c r="G16369" t="str">
        <f>"91173"</f>
        <v>91173</v>
      </c>
      <c r="H16369">
        <v>1</v>
      </c>
      <c r="I16369">
        <v>337</v>
      </c>
      <c r="J16369">
        <v>0</v>
      </c>
      <c r="K16369" t="str">
        <f t="shared" si="2941"/>
        <v>813</v>
      </c>
      <c r="L16369">
        <v>283.08</v>
      </c>
    </row>
    <row r="16370" spans="1:12" x14ac:dyDescent="0.25">
      <c r="A16370" t="str">
        <f t="shared" si="2933"/>
        <v>89301000</v>
      </c>
      <c r="B16370" t="str">
        <f t="shared" si="2938"/>
        <v>06539000</v>
      </c>
      <c r="C16370" t="str">
        <f t="shared" si="2940"/>
        <v>06539003</v>
      </c>
      <c r="D16370">
        <v>89301171</v>
      </c>
      <c r="E16370" t="str">
        <f t="shared" si="2939"/>
        <v>6853202015</v>
      </c>
      <c r="F16370" s="1">
        <v>45275</v>
      </c>
      <c r="G16370" t="str">
        <f>"91175"</f>
        <v>91175</v>
      </c>
      <c r="H16370">
        <v>1</v>
      </c>
      <c r="I16370">
        <v>362</v>
      </c>
      <c r="J16370">
        <v>0</v>
      </c>
      <c r="K16370" t="str">
        <f t="shared" si="2941"/>
        <v>813</v>
      </c>
      <c r="L16370">
        <v>304.08</v>
      </c>
    </row>
    <row r="16371" spans="1:12" x14ac:dyDescent="0.25">
      <c r="A16371" t="str">
        <f t="shared" si="2933"/>
        <v>89301000</v>
      </c>
      <c r="B16371" t="str">
        <f t="shared" si="2938"/>
        <v>06539000</v>
      </c>
      <c r="C16371" t="str">
        <f t="shared" si="2940"/>
        <v>06539003</v>
      </c>
      <c r="D16371">
        <v>89301171</v>
      </c>
      <c r="E16371" t="str">
        <f t="shared" si="2939"/>
        <v>6853202015</v>
      </c>
      <c r="F16371" s="1">
        <v>45276</v>
      </c>
      <c r="G16371" t="str">
        <f>"91167"</f>
        <v>91167</v>
      </c>
      <c r="H16371">
        <v>1</v>
      </c>
      <c r="I16371">
        <v>426</v>
      </c>
      <c r="J16371">
        <v>0</v>
      </c>
      <c r="K16371" t="str">
        <f t="shared" si="2941"/>
        <v>813</v>
      </c>
      <c r="L16371">
        <v>357.84</v>
      </c>
    </row>
    <row r="16372" spans="1:12" x14ac:dyDescent="0.25">
      <c r="A16372" t="str">
        <f t="shared" si="2933"/>
        <v>89301000</v>
      </c>
      <c r="B16372" t="str">
        <f t="shared" si="2938"/>
        <v>06539000</v>
      </c>
      <c r="C16372" t="str">
        <f t="shared" si="2940"/>
        <v>06539003</v>
      </c>
      <c r="D16372">
        <v>89301171</v>
      </c>
      <c r="E16372" t="str">
        <f t="shared" si="2939"/>
        <v>6853202015</v>
      </c>
      <c r="F16372" s="1">
        <v>45276</v>
      </c>
      <c r="G16372" t="str">
        <f>"91169"</f>
        <v>91169</v>
      </c>
      <c r="H16372">
        <v>1</v>
      </c>
      <c r="I16372">
        <v>426</v>
      </c>
      <c r="J16372">
        <v>0</v>
      </c>
      <c r="K16372" t="str">
        <f t="shared" si="2941"/>
        <v>813</v>
      </c>
      <c r="L16372">
        <v>357.84</v>
      </c>
    </row>
    <row r="16373" spans="1:12" x14ac:dyDescent="0.25">
      <c r="A16373" t="str">
        <f t="shared" si="2933"/>
        <v>89301000</v>
      </c>
      <c r="B16373" t="str">
        <f t="shared" si="2938"/>
        <v>06539000</v>
      </c>
      <c r="C16373" t="str">
        <f t="shared" si="2940"/>
        <v>06539003</v>
      </c>
      <c r="D16373">
        <v>89301171</v>
      </c>
      <c r="E16373" t="str">
        <f t="shared" si="2939"/>
        <v>6853202015</v>
      </c>
      <c r="F16373" s="1">
        <v>45275</v>
      </c>
      <c r="G16373" t="str">
        <f>"91167"</f>
        <v>91167</v>
      </c>
      <c r="H16373">
        <v>1</v>
      </c>
      <c r="I16373">
        <v>426</v>
      </c>
      <c r="J16373">
        <v>0</v>
      </c>
      <c r="K16373" t="str">
        <f t="shared" si="2941"/>
        <v>813</v>
      </c>
      <c r="L16373">
        <v>357.84</v>
      </c>
    </row>
    <row r="16374" spans="1:12" x14ac:dyDescent="0.25">
      <c r="A16374" t="str">
        <f t="shared" si="2933"/>
        <v>89301000</v>
      </c>
      <c r="B16374" t="str">
        <f t="shared" si="2938"/>
        <v>06539000</v>
      </c>
      <c r="C16374" t="str">
        <f t="shared" si="2940"/>
        <v>06539003</v>
      </c>
      <c r="D16374">
        <v>89301171</v>
      </c>
      <c r="E16374" t="str">
        <f t="shared" si="2939"/>
        <v>6853202015</v>
      </c>
      <c r="F16374" s="1">
        <v>45275</v>
      </c>
      <c r="G16374" t="str">
        <f>"91169"</f>
        <v>91169</v>
      </c>
      <c r="H16374">
        <v>1</v>
      </c>
      <c r="I16374">
        <v>426</v>
      </c>
      <c r="J16374">
        <v>0</v>
      </c>
      <c r="K16374" t="str">
        <f t="shared" si="2941"/>
        <v>813</v>
      </c>
      <c r="L16374">
        <v>357.84</v>
      </c>
    </row>
    <row r="16375" spans="1:12" x14ac:dyDescent="0.25">
      <c r="A16375" t="str">
        <f t="shared" si="2933"/>
        <v>89301000</v>
      </c>
      <c r="B16375" t="str">
        <f t="shared" si="2938"/>
        <v>06539000</v>
      </c>
      <c r="C16375" t="str">
        <f t="shared" si="2940"/>
        <v>06539003</v>
      </c>
      <c r="D16375">
        <v>89301171</v>
      </c>
      <c r="E16375" t="str">
        <f t="shared" si="2939"/>
        <v>6853202015</v>
      </c>
      <c r="F16375" s="1">
        <v>45280</v>
      </c>
      <c r="G16375" t="str">
        <f>"91475"</f>
        <v>91475</v>
      </c>
      <c r="H16375">
        <v>1</v>
      </c>
      <c r="I16375">
        <v>213</v>
      </c>
      <c r="J16375">
        <v>0</v>
      </c>
      <c r="K16375" t="str">
        <f t="shared" si="2941"/>
        <v>813</v>
      </c>
      <c r="L16375">
        <v>178.92</v>
      </c>
    </row>
    <row r="16376" spans="1:12" x14ac:dyDescent="0.25">
      <c r="A16376" t="str">
        <f t="shared" si="2933"/>
        <v>89301000</v>
      </c>
      <c r="B16376" t="str">
        <f t="shared" si="2938"/>
        <v>06539000</v>
      </c>
      <c r="C16376" t="str">
        <f>"06539001"</f>
        <v>06539001</v>
      </c>
      <c r="D16376">
        <v>89301171</v>
      </c>
      <c r="E16376" t="str">
        <f t="shared" ref="E16376:E16396" si="2943">"416228405"</f>
        <v>416228405</v>
      </c>
      <c r="F16376" s="1">
        <v>45275</v>
      </c>
      <c r="G16376" t="str">
        <f>"81329"</f>
        <v>81329</v>
      </c>
      <c r="H16376">
        <v>1</v>
      </c>
      <c r="I16376">
        <v>17</v>
      </c>
      <c r="J16376">
        <v>0</v>
      </c>
      <c r="K16376" t="str">
        <f>"801"</f>
        <v>801</v>
      </c>
      <c r="L16376">
        <v>14.28</v>
      </c>
    </row>
    <row r="16377" spans="1:12" x14ac:dyDescent="0.25">
      <c r="A16377" t="str">
        <f t="shared" si="2933"/>
        <v>89301000</v>
      </c>
      <c r="B16377" t="str">
        <f t="shared" si="2938"/>
        <v>06539000</v>
      </c>
      <c r="C16377" t="str">
        <f>"06539001"</f>
        <v>06539001</v>
      </c>
      <c r="D16377">
        <v>89301171</v>
      </c>
      <c r="E16377" t="str">
        <f t="shared" si="2943"/>
        <v>416228405</v>
      </c>
      <c r="F16377" s="1">
        <v>45275</v>
      </c>
      <c r="G16377" t="str">
        <f>"81331"</f>
        <v>81331</v>
      </c>
      <c r="H16377">
        <v>1</v>
      </c>
      <c r="I16377">
        <v>193</v>
      </c>
      <c r="J16377">
        <v>0</v>
      </c>
      <c r="K16377" t="str">
        <f>"801"</f>
        <v>801</v>
      </c>
      <c r="L16377">
        <v>162.12</v>
      </c>
    </row>
    <row r="16378" spans="1:12" x14ac:dyDescent="0.25">
      <c r="A16378" t="str">
        <f t="shared" si="2933"/>
        <v>89301000</v>
      </c>
      <c r="B16378" t="str">
        <f t="shared" si="2938"/>
        <v>06539000</v>
      </c>
      <c r="C16378" t="str">
        <f t="shared" ref="C16378:C16396" si="2944">"06539003"</f>
        <v>06539003</v>
      </c>
      <c r="D16378">
        <v>89301171</v>
      </c>
      <c r="E16378" t="str">
        <f t="shared" si="2943"/>
        <v>416228405</v>
      </c>
      <c r="F16378" s="1">
        <v>45280</v>
      </c>
      <c r="G16378" t="str">
        <f>"91413"</f>
        <v>91413</v>
      </c>
      <c r="H16378">
        <v>1</v>
      </c>
      <c r="I16378">
        <v>868</v>
      </c>
      <c r="J16378">
        <v>0</v>
      </c>
      <c r="K16378" t="str">
        <f t="shared" ref="K16378:K16396" si="2945">"813"</f>
        <v>813</v>
      </c>
      <c r="L16378">
        <v>729.12</v>
      </c>
    </row>
    <row r="16379" spans="1:12" x14ac:dyDescent="0.25">
      <c r="A16379" t="str">
        <f t="shared" si="2933"/>
        <v>89301000</v>
      </c>
      <c r="B16379" t="str">
        <f t="shared" si="2938"/>
        <v>06539000</v>
      </c>
      <c r="C16379" t="str">
        <f t="shared" si="2944"/>
        <v>06539003</v>
      </c>
      <c r="D16379">
        <v>89301171</v>
      </c>
      <c r="E16379" t="str">
        <f t="shared" si="2943"/>
        <v>416228405</v>
      </c>
      <c r="F16379" s="1">
        <v>45280</v>
      </c>
      <c r="G16379" t="str">
        <f>"91413"</f>
        <v>91413</v>
      </c>
      <c r="H16379">
        <v>1</v>
      </c>
      <c r="I16379">
        <v>868</v>
      </c>
      <c r="J16379">
        <v>0</v>
      </c>
      <c r="K16379" t="str">
        <f t="shared" si="2945"/>
        <v>813</v>
      </c>
      <c r="L16379">
        <v>729.12</v>
      </c>
    </row>
    <row r="16380" spans="1:12" x14ac:dyDescent="0.25">
      <c r="A16380" t="str">
        <f t="shared" si="2933"/>
        <v>89301000</v>
      </c>
      <c r="B16380" t="str">
        <f t="shared" ref="B16380:B16411" si="2946">"06539000"</f>
        <v>06539000</v>
      </c>
      <c r="C16380" t="str">
        <f t="shared" si="2944"/>
        <v>06539003</v>
      </c>
      <c r="D16380">
        <v>89301171</v>
      </c>
      <c r="E16380" t="str">
        <f t="shared" si="2943"/>
        <v>416228405</v>
      </c>
      <c r="F16380" s="1">
        <v>45275</v>
      </c>
      <c r="G16380" t="str">
        <f t="shared" ref="G16380:G16385" si="2947">"91197"</f>
        <v>91197</v>
      </c>
      <c r="H16380">
        <v>1</v>
      </c>
      <c r="I16380">
        <v>1048</v>
      </c>
      <c r="J16380">
        <v>0</v>
      </c>
      <c r="K16380" t="str">
        <f t="shared" si="2945"/>
        <v>813</v>
      </c>
      <c r="L16380">
        <v>880.32</v>
      </c>
    </row>
    <row r="16381" spans="1:12" x14ac:dyDescent="0.25">
      <c r="A16381" t="str">
        <f t="shared" si="2933"/>
        <v>89301000</v>
      </c>
      <c r="B16381" t="str">
        <f t="shared" si="2946"/>
        <v>06539000</v>
      </c>
      <c r="C16381" t="str">
        <f t="shared" si="2944"/>
        <v>06539003</v>
      </c>
      <c r="D16381">
        <v>89301171</v>
      </c>
      <c r="E16381" t="str">
        <f t="shared" si="2943"/>
        <v>416228405</v>
      </c>
      <c r="F16381" s="1">
        <v>45277</v>
      </c>
      <c r="G16381" t="str">
        <f t="shared" si="2947"/>
        <v>91197</v>
      </c>
      <c r="H16381">
        <v>1</v>
      </c>
      <c r="I16381">
        <v>1048</v>
      </c>
      <c r="J16381">
        <v>0</v>
      </c>
      <c r="K16381" t="str">
        <f t="shared" si="2945"/>
        <v>813</v>
      </c>
      <c r="L16381">
        <v>880.32</v>
      </c>
    </row>
    <row r="16382" spans="1:12" x14ac:dyDescent="0.25">
      <c r="A16382" t="str">
        <f t="shared" si="2933"/>
        <v>89301000</v>
      </c>
      <c r="B16382" t="str">
        <f t="shared" si="2946"/>
        <v>06539000</v>
      </c>
      <c r="C16382" t="str">
        <f t="shared" si="2944"/>
        <v>06539003</v>
      </c>
      <c r="D16382">
        <v>89301171</v>
      </c>
      <c r="E16382" t="str">
        <f t="shared" si="2943"/>
        <v>416228405</v>
      </c>
      <c r="F16382" s="1">
        <v>45277</v>
      </c>
      <c r="G16382" t="str">
        <f t="shared" si="2947"/>
        <v>91197</v>
      </c>
      <c r="H16382">
        <v>1</v>
      </c>
      <c r="I16382">
        <v>1048</v>
      </c>
      <c r="J16382">
        <v>0</v>
      </c>
      <c r="K16382" t="str">
        <f t="shared" si="2945"/>
        <v>813</v>
      </c>
      <c r="L16382">
        <v>880.32</v>
      </c>
    </row>
    <row r="16383" spans="1:12" x14ac:dyDescent="0.25">
      <c r="A16383" t="str">
        <f t="shared" si="2933"/>
        <v>89301000</v>
      </c>
      <c r="B16383" t="str">
        <f t="shared" si="2946"/>
        <v>06539000</v>
      </c>
      <c r="C16383" t="str">
        <f t="shared" si="2944"/>
        <v>06539003</v>
      </c>
      <c r="D16383">
        <v>89301171</v>
      </c>
      <c r="E16383" t="str">
        <f t="shared" si="2943"/>
        <v>416228405</v>
      </c>
      <c r="F16383" s="1">
        <v>45276</v>
      </c>
      <c r="G16383" t="str">
        <f t="shared" si="2947"/>
        <v>91197</v>
      </c>
      <c r="H16383">
        <v>1</v>
      </c>
      <c r="I16383">
        <v>1048</v>
      </c>
      <c r="J16383">
        <v>0</v>
      </c>
      <c r="K16383" t="str">
        <f t="shared" si="2945"/>
        <v>813</v>
      </c>
      <c r="L16383">
        <v>880.32</v>
      </c>
    </row>
    <row r="16384" spans="1:12" x14ac:dyDescent="0.25">
      <c r="A16384" t="str">
        <f t="shared" si="2933"/>
        <v>89301000</v>
      </c>
      <c r="B16384" t="str">
        <f t="shared" si="2946"/>
        <v>06539000</v>
      </c>
      <c r="C16384" t="str">
        <f t="shared" si="2944"/>
        <v>06539003</v>
      </c>
      <c r="D16384">
        <v>89301171</v>
      </c>
      <c r="E16384" t="str">
        <f t="shared" si="2943"/>
        <v>416228405</v>
      </c>
      <c r="F16384" s="1">
        <v>45276</v>
      </c>
      <c r="G16384" t="str">
        <f t="shared" si="2947"/>
        <v>91197</v>
      </c>
      <c r="H16384">
        <v>1</v>
      </c>
      <c r="I16384">
        <v>1048</v>
      </c>
      <c r="J16384">
        <v>0</v>
      </c>
      <c r="K16384" t="str">
        <f t="shared" si="2945"/>
        <v>813</v>
      </c>
      <c r="L16384">
        <v>880.32</v>
      </c>
    </row>
    <row r="16385" spans="1:12" x14ac:dyDescent="0.25">
      <c r="A16385" t="str">
        <f t="shared" si="2933"/>
        <v>89301000</v>
      </c>
      <c r="B16385" t="str">
        <f t="shared" si="2946"/>
        <v>06539000</v>
      </c>
      <c r="C16385" t="str">
        <f t="shared" si="2944"/>
        <v>06539003</v>
      </c>
      <c r="D16385">
        <v>89301171</v>
      </c>
      <c r="E16385" t="str">
        <f t="shared" si="2943"/>
        <v>416228405</v>
      </c>
      <c r="F16385" s="1">
        <v>45275</v>
      </c>
      <c r="G16385" t="str">
        <f t="shared" si="2947"/>
        <v>91197</v>
      </c>
      <c r="H16385">
        <v>1</v>
      </c>
      <c r="I16385">
        <v>1048</v>
      </c>
      <c r="J16385">
        <v>0</v>
      </c>
      <c r="K16385" t="str">
        <f t="shared" si="2945"/>
        <v>813</v>
      </c>
      <c r="L16385">
        <v>880.32</v>
      </c>
    </row>
    <row r="16386" spans="1:12" x14ac:dyDescent="0.25">
      <c r="A16386" t="str">
        <f t="shared" ref="A16386:A16449" si="2948">"89301000"</f>
        <v>89301000</v>
      </c>
      <c r="B16386" t="str">
        <f t="shared" si="2946"/>
        <v>06539000</v>
      </c>
      <c r="C16386" t="str">
        <f t="shared" si="2944"/>
        <v>06539003</v>
      </c>
      <c r="D16386">
        <v>89301171</v>
      </c>
      <c r="E16386" t="str">
        <f t="shared" si="2943"/>
        <v>416228405</v>
      </c>
      <c r="F16386" s="1">
        <v>45275</v>
      </c>
      <c r="G16386" t="str">
        <f>"91129"</f>
        <v>91129</v>
      </c>
      <c r="H16386">
        <v>1</v>
      </c>
      <c r="I16386">
        <v>175</v>
      </c>
      <c r="J16386">
        <v>0</v>
      </c>
      <c r="K16386" t="str">
        <f t="shared" si="2945"/>
        <v>813</v>
      </c>
      <c r="L16386">
        <v>147</v>
      </c>
    </row>
    <row r="16387" spans="1:12" x14ac:dyDescent="0.25">
      <c r="A16387" t="str">
        <f t="shared" si="2948"/>
        <v>89301000</v>
      </c>
      <c r="B16387" t="str">
        <f t="shared" si="2946"/>
        <v>06539000</v>
      </c>
      <c r="C16387" t="str">
        <f t="shared" si="2944"/>
        <v>06539003</v>
      </c>
      <c r="D16387">
        <v>89301171</v>
      </c>
      <c r="E16387" t="str">
        <f t="shared" si="2943"/>
        <v>416228405</v>
      </c>
      <c r="F16387" s="1">
        <v>45275</v>
      </c>
      <c r="G16387" t="str">
        <f>"91131"</f>
        <v>91131</v>
      </c>
      <c r="H16387">
        <v>1</v>
      </c>
      <c r="I16387">
        <v>171</v>
      </c>
      <c r="J16387">
        <v>0</v>
      </c>
      <c r="K16387" t="str">
        <f t="shared" si="2945"/>
        <v>813</v>
      </c>
      <c r="L16387">
        <v>143.63999999999999</v>
      </c>
    </row>
    <row r="16388" spans="1:12" x14ac:dyDescent="0.25">
      <c r="A16388" t="str">
        <f t="shared" si="2948"/>
        <v>89301000</v>
      </c>
      <c r="B16388" t="str">
        <f t="shared" si="2946"/>
        <v>06539000</v>
      </c>
      <c r="C16388" t="str">
        <f t="shared" si="2944"/>
        <v>06539003</v>
      </c>
      <c r="D16388">
        <v>89301171</v>
      </c>
      <c r="E16388" t="str">
        <f t="shared" si="2943"/>
        <v>416228405</v>
      </c>
      <c r="F16388" s="1">
        <v>45275</v>
      </c>
      <c r="G16388" t="str">
        <f>"91133"</f>
        <v>91133</v>
      </c>
      <c r="H16388">
        <v>1</v>
      </c>
      <c r="I16388">
        <v>177</v>
      </c>
      <c r="J16388">
        <v>0</v>
      </c>
      <c r="K16388" t="str">
        <f t="shared" si="2945"/>
        <v>813</v>
      </c>
      <c r="L16388">
        <v>148.68</v>
      </c>
    </row>
    <row r="16389" spans="1:12" x14ac:dyDescent="0.25">
      <c r="A16389" t="str">
        <f t="shared" si="2948"/>
        <v>89301000</v>
      </c>
      <c r="B16389" t="str">
        <f t="shared" si="2946"/>
        <v>06539000</v>
      </c>
      <c r="C16389" t="str">
        <f t="shared" si="2944"/>
        <v>06539003</v>
      </c>
      <c r="D16389">
        <v>89301171</v>
      </c>
      <c r="E16389" t="str">
        <f t="shared" si="2943"/>
        <v>416228405</v>
      </c>
      <c r="F16389" s="1">
        <v>45275</v>
      </c>
      <c r="G16389" t="str">
        <f>"91171"</f>
        <v>91171</v>
      </c>
      <c r="H16389">
        <v>1</v>
      </c>
      <c r="I16389">
        <v>362</v>
      </c>
      <c r="J16389">
        <v>0</v>
      </c>
      <c r="K16389" t="str">
        <f t="shared" si="2945"/>
        <v>813</v>
      </c>
      <c r="L16389">
        <v>304.08</v>
      </c>
    </row>
    <row r="16390" spans="1:12" x14ac:dyDescent="0.25">
      <c r="A16390" t="str">
        <f t="shared" si="2948"/>
        <v>89301000</v>
      </c>
      <c r="B16390" t="str">
        <f t="shared" si="2946"/>
        <v>06539000</v>
      </c>
      <c r="C16390" t="str">
        <f t="shared" si="2944"/>
        <v>06539003</v>
      </c>
      <c r="D16390">
        <v>89301171</v>
      </c>
      <c r="E16390" t="str">
        <f t="shared" si="2943"/>
        <v>416228405</v>
      </c>
      <c r="F16390" s="1">
        <v>45275</v>
      </c>
      <c r="G16390" t="str">
        <f>"91173"</f>
        <v>91173</v>
      </c>
      <c r="H16390">
        <v>1</v>
      </c>
      <c r="I16390">
        <v>337</v>
      </c>
      <c r="J16390">
        <v>0</v>
      </c>
      <c r="K16390" t="str">
        <f t="shared" si="2945"/>
        <v>813</v>
      </c>
      <c r="L16390">
        <v>283.08</v>
      </c>
    </row>
    <row r="16391" spans="1:12" x14ac:dyDescent="0.25">
      <c r="A16391" t="str">
        <f t="shared" si="2948"/>
        <v>89301000</v>
      </c>
      <c r="B16391" t="str">
        <f t="shared" si="2946"/>
        <v>06539000</v>
      </c>
      <c r="C16391" t="str">
        <f t="shared" si="2944"/>
        <v>06539003</v>
      </c>
      <c r="D16391">
        <v>89301171</v>
      </c>
      <c r="E16391" t="str">
        <f t="shared" si="2943"/>
        <v>416228405</v>
      </c>
      <c r="F16391" s="1">
        <v>45275</v>
      </c>
      <c r="G16391" t="str">
        <f>"91175"</f>
        <v>91175</v>
      </c>
      <c r="H16391">
        <v>1</v>
      </c>
      <c r="I16391">
        <v>362</v>
      </c>
      <c r="J16391">
        <v>0</v>
      </c>
      <c r="K16391" t="str">
        <f t="shared" si="2945"/>
        <v>813</v>
      </c>
      <c r="L16391">
        <v>304.08</v>
      </c>
    </row>
    <row r="16392" spans="1:12" x14ac:dyDescent="0.25">
      <c r="A16392" t="str">
        <f t="shared" si="2948"/>
        <v>89301000</v>
      </c>
      <c r="B16392" t="str">
        <f t="shared" si="2946"/>
        <v>06539000</v>
      </c>
      <c r="C16392" t="str">
        <f t="shared" si="2944"/>
        <v>06539003</v>
      </c>
      <c r="D16392">
        <v>89301171</v>
      </c>
      <c r="E16392" t="str">
        <f t="shared" si="2943"/>
        <v>416228405</v>
      </c>
      <c r="F16392" s="1">
        <v>45276</v>
      </c>
      <c r="G16392" t="str">
        <f>"91167"</f>
        <v>91167</v>
      </c>
      <c r="H16392">
        <v>1</v>
      </c>
      <c r="I16392">
        <v>426</v>
      </c>
      <c r="J16392">
        <v>0</v>
      </c>
      <c r="K16392" t="str">
        <f t="shared" si="2945"/>
        <v>813</v>
      </c>
      <c r="L16392">
        <v>357.84</v>
      </c>
    </row>
    <row r="16393" spans="1:12" x14ac:dyDescent="0.25">
      <c r="A16393" t="str">
        <f t="shared" si="2948"/>
        <v>89301000</v>
      </c>
      <c r="B16393" t="str">
        <f t="shared" si="2946"/>
        <v>06539000</v>
      </c>
      <c r="C16393" t="str">
        <f t="shared" si="2944"/>
        <v>06539003</v>
      </c>
      <c r="D16393">
        <v>89301171</v>
      </c>
      <c r="E16393" t="str">
        <f t="shared" si="2943"/>
        <v>416228405</v>
      </c>
      <c r="F16393" s="1">
        <v>45276</v>
      </c>
      <c r="G16393" t="str">
        <f>"91169"</f>
        <v>91169</v>
      </c>
      <c r="H16393">
        <v>1</v>
      </c>
      <c r="I16393">
        <v>426</v>
      </c>
      <c r="J16393">
        <v>0</v>
      </c>
      <c r="K16393" t="str">
        <f t="shared" si="2945"/>
        <v>813</v>
      </c>
      <c r="L16393">
        <v>357.84</v>
      </c>
    </row>
    <row r="16394" spans="1:12" x14ac:dyDescent="0.25">
      <c r="A16394" t="str">
        <f t="shared" si="2948"/>
        <v>89301000</v>
      </c>
      <c r="B16394" t="str">
        <f t="shared" si="2946"/>
        <v>06539000</v>
      </c>
      <c r="C16394" t="str">
        <f t="shared" si="2944"/>
        <v>06539003</v>
      </c>
      <c r="D16394">
        <v>89301171</v>
      </c>
      <c r="E16394" t="str">
        <f t="shared" si="2943"/>
        <v>416228405</v>
      </c>
      <c r="F16394" s="1">
        <v>45275</v>
      </c>
      <c r="G16394" t="str">
        <f>"91167"</f>
        <v>91167</v>
      </c>
      <c r="H16394">
        <v>1</v>
      </c>
      <c r="I16394">
        <v>426</v>
      </c>
      <c r="J16394">
        <v>0</v>
      </c>
      <c r="K16394" t="str">
        <f t="shared" si="2945"/>
        <v>813</v>
      </c>
      <c r="L16394">
        <v>357.84</v>
      </c>
    </row>
    <row r="16395" spans="1:12" x14ac:dyDescent="0.25">
      <c r="A16395" t="str">
        <f t="shared" si="2948"/>
        <v>89301000</v>
      </c>
      <c r="B16395" t="str">
        <f t="shared" si="2946"/>
        <v>06539000</v>
      </c>
      <c r="C16395" t="str">
        <f t="shared" si="2944"/>
        <v>06539003</v>
      </c>
      <c r="D16395">
        <v>89301171</v>
      </c>
      <c r="E16395" t="str">
        <f t="shared" si="2943"/>
        <v>416228405</v>
      </c>
      <c r="F16395" s="1">
        <v>45275</v>
      </c>
      <c r="G16395" t="str">
        <f>"91169"</f>
        <v>91169</v>
      </c>
      <c r="H16395">
        <v>1</v>
      </c>
      <c r="I16395">
        <v>426</v>
      </c>
      <c r="J16395">
        <v>0</v>
      </c>
      <c r="K16395" t="str">
        <f t="shared" si="2945"/>
        <v>813</v>
      </c>
      <c r="L16395">
        <v>357.84</v>
      </c>
    </row>
    <row r="16396" spans="1:12" x14ac:dyDescent="0.25">
      <c r="A16396" t="str">
        <f t="shared" si="2948"/>
        <v>89301000</v>
      </c>
      <c r="B16396" t="str">
        <f t="shared" si="2946"/>
        <v>06539000</v>
      </c>
      <c r="C16396" t="str">
        <f t="shared" si="2944"/>
        <v>06539003</v>
      </c>
      <c r="D16396">
        <v>89301171</v>
      </c>
      <c r="E16396" t="str">
        <f t="shared" si="2943"/>
        <v>416228405</v>
      </c>
      <c r="F16396" s="1">
        <v>45280</v>
      </c>
      <c r="G16396" t="str">
        <f>"91475"</f>
        <v>91475</v>
      </c>
      <c r="H16396">
        <v>1</v>
      </c>
      <c r="I16396">
        <v>213</v>
      </c>
      <c r="J16396">
        <v>0</v>
      </c>
      <c r="K16396" t="str">
        <f t="shared" si="2945"/>
        <v>813</v>
      </c>
      <c r="L16396">
        <v>178.92</v>
      </c>
    </row>
    <row r="16397" spans="1:12" x14ac:dyDescent="0.25">
      <c r="A16397" t="str">
        <f t="shared" si="2948"/>
        <v>89301000</v>
      </c>
      <c r="B16397" t="str">
        <f t="shared" si="2946"/>
        <v>06539000</v>
      </c>
      <c r="C16397" t="str">
        <f>"06539001"</f>
        <v>06539001</v>
      </c>
      <c r="D16397">
        <v>89301101</v>
      </c>
      <c r="E16397" t="str">
        <f t="shared" ref="E16397:E16418" si="2949">"0852233228"</f>
        <v>0852233228</v>
      </c>
      <c r="F16397" s="1">
        <v>45275</v>
      </c>
      <c r="G16397" t="str">
        <f>"81329"</f>
        <v>81329</v>
      </c>
      <c r="H16397">
        <v>1</v>
      </c>
      <c r="I16397">
        <v>17</v>
      </c>
      <c r="J16397">
        <v>0</v>
      </c>
      <c r="K16397" t="str">
        <f>"801"</f>
        <v>801</v>
      </c>
      <c r="L16397">
        <v>14.28</v>
      </c>
    </row>
    <row r="16398" spans="1:12" x14ac:dyDescent="0.25">
      <c r="A16398" t="str">
        <f t="shared" si="2948"/>
        <v>89301000</v>
      </c>
      <c r="B16398" t="str">
        <f t="shared" si="2946"/>
        <v>06539000</v>
      </c>
      <c r="C16398" t="str">
        <f>"06539001"</f>
        <v>06539001</v>
      </c>
      <c r="D16398">
        <v>89301101</v>
      </c>
      <c r="E16398" t="str">
        <f t="shared" si="2949"/>
        <v>0852233228</v>
      </c>
      <c r="F16398" s="1">
        <v>45287</v>
      </c>
      <c r="G16398" t="str">
        <f>"81705"</f>
        <v>81705</v>
      </c>
      <c r="H16398">
        <v>1</v>
      </c>
      <c r="I16398">
        <v>348</v>
      </c>
      <c r="J16398">
        <v>0</v>
      </c>
      <c r="K16398" t="str">
        <f>"801"</f>
        <v>801</v>
      </c>
      <c r="L16398">
        <v>292.32</v>
      </c>
    </row>
    <row r="16399" spans="1:12" x14ac:dyDescent="0.25">
      <c r="A16399" t="str">
        <f t="shared" si="2948"/>
        <v>89301000</v>
      </c>
      <c r="B16399" t="str">
        <f t="shared" si="2946"/>
        <v>06539000</v>
      </c>
      <c r="C16399" t="str">
        <f>"06539001"</f>
        <v>06539001</v>
      </c>
      <c r="D16399">
        <v>89301101</v>
      </c>
      <c r="E16399" t="str">
        <f t="shared" si="2949"/>
        <v>0852233228</v>
      </c>
      <c r="F16399" s="1">
        <v>45278</v>
      </c>
      <c r="G16399" t="str">
        <f>"81705"</f>
        <v>81705</v>
      </c>
      <c r="H16399">
        <v>1</v>
      </c>
      <c r="I16399">
        <v>348</v>
      </c>
      <c r="J16399">
        <v>0</v>
      </c>
      <c r="K16399" t="str">
        <f>"801"</f>
        <v>801</v>
      </c>
      <c r="L16399">
        <v>292.32</v>
      </c>
    </row>
    <row r="16400" spans="1:12" x14ac:dyDescent="0.25">
      <c r="A16400" t="str">
        <f t="shared" si="2948"/>
        <v>89301000</v>
      </c>
      <c r="B16400" t="str">
        <f t="shared" si="2946"/>
        <v>06539000</v>
      </c>
      <c r="C16400" t="str">
        <f>"06539001"</f>
        <v>06539001</v>
      </c>
      <c r="D16400">
        <v>89301101</v>
      </c>
      <c r="E16400" t="str">
        <f t="shared" si="2949"/>
        <v>0852233228</v>
      </c>
      <c r="F16400" s="1">
        <v>45275</v>
      </c>
      <c r="G16400" t="str">
        <f>"81331"</f>
        <v>81331</v>
      </c>
      <c r="H16400">
        <v>1</v>
      </c>
      <c r="I16400">
        <v>193</v>
      </c>
      <c r="J16400">
        <v>0</v>
      </c>
      <c r="K16400" t="str">
        <f>"801"</f>
        <v>801</v>
      </c>
      <c r="L16400">
        <v>162.12</v>
      </c>
    </row>
    <row r="16401" spans="1:12" x14ac:dyDescent="0.25">
      <c r="A16401" t="str">
        <f t="shared" si="2948"/>
        <v>89301000</v>
      </c>
      <c r="B16401" t="str">
        <f t="shared" si="2946"/>
        <v>06539000</v>
      </c>
      <c r="C16401" t="str">
        <f t="shared" ref="C16401:C16421" si="2950">"06539003"</f>
        <v>06539003</v>
      </c>
      <c r="D16401">
        <v>89301101</v>
      </c>
      <c r="E16401" t="str">
        <f t="shared" si="2949"/>
        <v>0852233228</v>
      </c>
      <c r="F16401" s="1">
        <v>45280</v>
      </c>
      <c r="G16401" t="str">
        <f>"91413"</f>
        <v>91413</v>
      </c>
      <c r="H16401">
        <v>1</v>
      </c>
      <c r="I16401">
        <v>868</v>
      </c>
      <c r="J16401">
        <v>0</v>
      </c>
      <c r="K16401" t="str">
        <f t="shared" ref="K16401:K16421" si="2951">"813"</f>
        <v>813</v>
      </c>
      <c r="L16401">
        <v>729.12</v>
      </c>
    </row>
    <row r="16402" spans="1:12" x14ac:dyDescent="0.25">
      <c r="A16402" t="str">
        <f t="shared" si="2948"/>
        <v>89301000</v>
      </c>
      <c r="B16402" t="str">
        <f t="shared" si="2946"/>
        <v>06539000</v>
      </c>
      <c r="C16402" t="str">
        <f t="shared" si="2950"/>
        <v>06539003</v>
      </c>
      <c r="D16402">
        <v>89301101</v>
      </c>
      <c r="E16402" t="str">
        <f t="shared" si="2949"/>
        <v>0852233228</v>
      </c>
      <c r="F16402" s="1">
        <v>45280</v>
      </c>
      <c r="G16402" t="str">
        <f>"91413"</f>
        <v>91413</v>
      </c>
      <c r="H16402">
        <v>1</v>
      </c>
      <c r="I16402">
        <v>868</v>
      </c>
      <c r="J16402">
        <v>0</v>
      </c>
      <c r="K16402" t="str">
        <f t="shared" si="2951"/>
        <v>813</v>
      </c>
      <c r="L16402">
        <v>729.12</v>
      </c>
    </row>
    <row r="16403" spans="1:12" x14ac:dyDescent="0.25">
      <c r="A16403" t="str">
        <f t="shared" si="2948"/>
        <v>89301000</v>
      </c>
      <c r="B16403" t="str">
        <f t="shared" si="2946"/>
        <v>06539000</v>
      </c>
      <c r="C16403" t="str">
        <f t="shared" si="2950"/>
        <v>06539003</v>
      </c>
      <c r="D16403">
        <v>89301101</v>
      </c>
      <c r="E16403" t="str">
        <f t="shared" si="2949"/>
        <v>0852233228</v>
      </c>
      <c r="F16403" s="1">
        <v>45275</v>
      </c>
      <c r="G16403" t="str">
        <f>"91197"</f>
        <v>91197</v>
      </c>
      <c r="H16403">
        <v>1</v>
      </c>
      <c r="I16403">
        <v>1048</v>
      </c>
      <c r="J16403">
        <v>0</v>
      </c>
      <c r="K16403" t="str">
        <f t="shared" si="2951"/>
        <v>813</v>
      </c>
      <c r="L16403">
        <v>880.32</v>
      </c>
    </row>
    <row r="16404" spans="1:12" x14ac:dyDescent="0.25">
      <c r="A16404" t="str">
        <f t="shared" si="2948"/>
        <v>89301000</v>
      </c>
      <c r="B16404" t="str">
        <f t="shared" si="2946"/>
        <v>06539000</v>
      </c>
      <c r="C16404" t="str">
        <f t="shared" si="2950"/>
        <v>06539003</v>
      </c>
      <c r="D16404">
        <v>89301101</v>
      </c>
      <c r="E16404" t="str">
        <f t="shared" si="2949"/>
        <v>0852233228</v>
      </c>
      <c r="F16404" s="1">
        <v>45277</v>
      </c>
      <c r="G16404" t="str">
        <f>"91197"</f>
        <v>91197</v>
      </c>
      <c r="H16404">
        <v>1</v>
      </c>
      <c r="I16404">
        <v>1048</v>
      </c>
      <c r="J16404">
        <v>0</v>
      </c>
      <c r="K16404" t="str">
        <f t="shared" si="2951"/>
        <v>813</v>
      </c>
      <c r="L16404">
        <v>880.32</v>
      </c>
    </row>
    <row r="16405" spans="1:12" x14ac:dyDescent="0.25">
      <c r="A16405" t="str">
        <f t="shared" si="2948"/>
        <v>89301000</v>
      </c>
      <c r="B16405" t="str">
        <f t="shared" si="2946"/>
        <v>06539000</v>
      </c>
      <c r="C16405" t="str">
        <f t="shared" si="2950"/>
        <v>06539003</v>
      </c>
      <c r="D16405">
        <v>89301101</v>
      </c>
      <c r="E16405" t="str">
        <f t="shared" si="2949"/>
        <v>0852233228</v>
      </c>
      <c r="F16405" s="1">
        <v>45277</v>
      </c>
      <c r="G16405" t="str">
        <f>"91197"</f>
        <v>91197</v>
      </c>
      <c r="H16405">
        <v>1</v>
      </c>
      <c r="I16405">
        <v>1048</v>
      </c>
      <c r="J16405">
        <v>0</v>
      </c>
      <c r="K16405" t="str">
        <f t="shared" si="2951"/>
        <v>813</v>
      </c>
      <c r="L16405">
        <v>880.32</v>
      </c>
    </row>
    <row r="16406" spans="1:12" x14ac:dyDescent="0.25">
      <c r="A16406" t="str">
        <f t="shared" si="2948"/>
        <v>89301000</v>
      </c>
      <c r="B16406" t="str">
        <f t="shared" si="2946"/>
        <v>06539000</v>
      </c>
      <c r="C16406" t="str">
        <f t="shared" si="2950"/>
        <v>06539003</v>
      </c>
      <c r="D16406">
        <v>89301101</v>
      </c>
      <c r="E16406" t="str">
        <f t="shared" si="2949"/>
        <v>0852233228</v>
      </c>
      <c r="F16406" s="1">
        <v>45276</v>
      </c>
      <c r="G16406" t="str">
        <f>"91197"</f>
        <v>91197</v>
      </c>
      <c r="H16406">
        <v>1</v>
      </c>
      <c r="I16406">
        <v>1048</v>
      </c>
      <c r="J16406">
        <v>0</v>
      </c>
      <c r="K16406" t="str">
        <f t="shared" si="2951"/>
        <v>813</v>
      </c>
      <c r="L16406">
        <v>880.32</v>
      </c>
    </row>
    <row r="16407" spans="1:12" x14ac:dyDescent="0.25">
      <c r="A16407" t="str">
        <f t="shared" si="2948"/>
        <v>89301000</v>
      </c>
      <c r="B16407" t="str">
        <f t="shared" si="2946"/>
        <v>06539000</v>
      </c>
      <c r="C16407" t="str">
        <f t="shared" si="2950"/>
        <v>06539003</v>
      </c>
      <c r="D16407">
        <v>89301101</v>
      </c>
      <c r="E16407" t="str">
        <f t="shared" si="2949"/>
        <v>0852233228</v>
      </c>
      <c r="F16407" s="1">
        <v>45276</v>
      </c>
      <c r="G16407" t="str">
        <f>"91197"</f>
        <v>91197</v>
      </c>
      <c r="H16407">
        <v>1</v>
      </c>
      <c r="I16407">
        <v>1048</v>
      </c>
      <c r="J16407">
        <v>0</v>
      </c>
      <c r="K16407" t="str">
        <f t="shared" si="2951"/>
        <v>813</v>
      </c>
      <c r="L16407">
        <v>880.32</v>
      </c>
    </row>
    <row r="16408" spans="1:12" x14ac:dyDescent="0.25">
      <c r="A16408" t="str">
        <f t="shared" si="2948"/>
        <v>89301000</v>
      </c>
      <c r="B16408" t="str">
        <f t="shared" si="2946"/>
        <v>06539000</v>
      </c>
      <c r="C16408" t="str">
        <f t="shared" si="2950"/>
        <v>06539003</v>
      </c>
      <c r="D16408">
        <v>89301101</v>
      </c>
      <c r="E16408" t="str">
        <f t="shared" si="2949"/>
        <v>0852233228</v>
      </c>
      <c r="F16408" s="1">
        <v>45275</v>
      </c>
      <c r="G16408" t="str">
        <f t="shared" ref="G16408:G16414" si="2952">"91411"</f>
        <v>91411</v>
      </c>
      <c r="H16408">
        <v>1</v>
      </c>
      <c r="I16408">
        <v>1631</v>
      </c>
      <c r="J16408">
        <v>0</v>
      </c>
      <c r="K16408" t="str">
        <f t="shared" si="2951"/>
        <v>813</v>
      </c>
      <c r="L16408">
        <v>1370.04</v>
      </c>
    </row>
    <row r="16409" spans="1:12" x14ac:dyDescent="0.25">
      <c r="A16409" t="str">
        <f t="shared" si="2948"/>
        <v>89301000</v>
      </c>
      <c r="B16409" t="str">
        <f t="shared" si="2946"/>
        <v>06539000</v>
      </c>
      <c r="C16409" t="str">
        <f t="shared" si="2950"/>
        <v>06539003</v>
      </c>
      <c r="D16409">
        <v>89301101</v>
      </c>
      <c r="E16409" t="str">
        <f t="shared" si="2949"/>
        <v>0852233228</v>
      </c>
      <c r="F16409" s="1">
        <v>45275</v>
      </c>
      <c r="G16409" t="str">
        <f t="shared" si="2952"/>
        <v>91411</v>
      </c>
      <c r="H16409">
        <v>1</v>
      </c>
      <c r="I16409">
        <v>1631</v>
      </c>
      <c r="J16409">
        <v>0</v>
      </c>
      <c r="K16409" t="str">
        <f t="shared" si="2951"/>
        <v>813</v>
      </c>
      <c r="L16409">
        <v>1370.04</v>
      </c>
    </row>
    <row r="16410" spans="1:12" x14ac:dyDescent="0.25">
      <c r="A16410" t="str">
        <f t="shared" si="2948"/>
        <v>89301000</v>
      </c>
      <c r="B16410" t="str">
        <f t="shared" si="2946"/>
        <v>06539000</v>
      </c>
      <c r="C16410" t="str">
        <f t="shared" si="2950"/>
        <v>06539003</v>
      </c>
      <c r="D16410">
        <v>89301101</v>
      </c>
      <c r="E16410" t="str">
        <f t="shared" si="2949"/>
        <v>0852233228</v>
      </c>
      <c r="F16410" s="1">
        <v>45275</v>
      </c>
      <c r="G16410" t="str">
        <f t="shared" si="2952"/>
        <v>91411</v>
      </c>
      <c r="H16410">
        <v>1</v>
      </c>
      <c r="I16410">
        <v>1631</v>
      </c>
      <c r="J16410">
        <v>0</v>
      </c>
      <c r="K16410" t="str">
        <f t="shared" si="2951"/>
        <v>813</v>
      </c>
      <c r="L16410">
        <v>1370.04</v>
      </c>
    </row>
    <row r="16411" spans="1:12" x14ac:dyDescent="0.25">
      <c r="A16411" t="str">
        <f t="shared" si="2948"/>
        <v>89301000</v>
      </c>
      <c r="B16411" t="str">
        <f t="shared" si="2946"/>
        <v>06539000</v>
      </c>
      <c r="C16411" t="str">
        <f t="shared" si="2950"/>
        <v>06539003</v>
      </c>
      <c r="D16411">
        <v>89301101</v>
      </c>
      <c r="E16411" t="str">
        <f t="shared" si="2949"/>
        <v>0852233228</v>
      </c>
      <c r="F16411" s="1">
        <v>45275</v>
      </c>
      <c r="G16411" t="str">
        <f t="shared" si="2952"/>
        <v>91411</v>
      </c>
      <c r="H16411">
        <v>1</v>
      </c>
      <c r="I16411">
        <v>1631</v>
      </c>
      <c r="J16411">
        <v>0</v>
      </c>
      <c r="K16411" t="str">
        <f t="shared" si="2951"/>
        <v>813</v>
      </c>
      <c r="L16411">
        <v>1370.04</v>
      </c>
    </row>
    <row r="16412" spans="1:12" x14ac:dyDescent="0.25">
      <c r="A16412" t="str">
        <f t="shared" si="2948"/>
        <v>89301000</v>
      </c>
      <c r="B16412" t="str">
        <f t="shared" ref="B16412:B16421" si="2953">"06539000"</f>
        <v>06539000</v>
      </c>
      <c r="C16412" t="str">
        <f t="shared" si="2950"/>
        <v>06539003</v>
      </c>
      <c r="D16412">
        <v>89301101</v>
      </c>
      <c r="E16412" t="str">
        <f t="shared" si="2949"/>
        <v>0852233228</v>
      </c>
      <c r="F16412" s="1">
        <v>45275</v>
      </c>
      <c r="G16412" t="str">
        <f t="shared" si="2952"/>
        <v>91411</v>
      </c>
      <c r="H16412">
        <v>1</v>
      </c>
      <c r="I16412">
        <v>1631</v>
      </c>
      <c r="J16412">
        <v>0</v>
      </c>
      <c r="K16412" t="str">
        <f t="shared" si="2951"/>
        <v>813</v>
      </c>
      <c r="L16412">
        <v>1370.04</v>
      </c>
    </row>
    <row r="16413" spans="1:12" x14ac:dyDescent="0.25">
      <c r="A16413" t="str">
        <f t="shared" si="2948"/>
        <v>89301000</v>
      </c>
      <c r="B16413" t="str">
        <f t="shared" si="2953"/>
        <v>06539000</v>
      </c>
      <c r="C16413" t="str">
        <f t="shared" si="2950"/>
        <v>06539003</v>
      </c>
      <c r="D16413">
        <v>89301101</v>
      </c>
      <c r="E16413" t="str">
        <f t="shared" si="2949"/>
        <v>0852233228</v>
      </c>
      <c r="F16413" s="1">
        <v>45275</v>
      </c>
      <c r="G16413" t="str">
        <f t="shared" si="2952"/>
        <v>91411</v>
      </c>
      <c r="H16413">
        <v>1</v>
      </c>
      <c r="I16413">
        <v>1631</v>
      </c>
      <c r="J16413">
        <v>0</v>
      </c>
      <c r="K16413" t="str">
        <f t="shared" si="2951"/>
        <v>813</v>
      </c>
      <c r="L16413">
        <v>1370.04</v>
      </c>
    </row>
    <row r="16414" spans="1:12" x14ac:dyDescent="0.25">
      <c r="A16414" t="str">
        <f t="shared" si="2948"/>
        <v>89301000</v>
      </c>
      <c r="B16414" t="str">
        <f t="shared" si="2953"/>
        <v>06539000</v>
      </c>
      <c r="C16414" t="str">
        <f t="shared" si="2950"/>
        <v>06539003</v>
      </c>
      <c r="D16414">
        <v>89301101</v>
      </c>
      <c r="E16414" t="str">
        <f t="shared" si="2949"/>
        <v>0852233228</v>
      </c>
      <c r="F16414" s="1">
        <v>45275</v>
      </c>
      <c r="G16414" t="str">
        <f t="shared" si="2952"/>
        <v>91411</v>
      </c>
      <c r="H16414">
        <v>1</v>
      </c>
      <c r="I16414">
        <v>1631</v>
      </c>
      <c r="J16414">
        <v>0</v>
      </c>
      <c r="K16414" t="str">
        <f t="shared" si="2951"/>
        <v>813</v>
      </c>
      <c r="L16414">
        <v>1370.04</v>
      </c>
    </row>
    <row r="16415" spans="1:12" x14ac:dyDescent="0.25">
      <c r="A16415" t="str">
        <f t="shared" si="2948"/>
        <v>89301000</v>
      </c>
      <c r="B16415" t="str">
        <f t="shared" si="2953"/>
        <v>06539000</v>
      </c>
      <c r="C16415" t="str">
        <f t="shared" si="2950"/>
        <v>06539003</v>
      </c>
      <c r="D16415">
        <v>89301101</v>
      </c>
      <c r="E16415" t="str">
        <f t="shared" si="2949"/>
        <v>0852233228</v>
      </c>
      <c r="F16415" s="1">
        <v>45278</v>
      </c>
      <c r="G16415" t="str">
        <f>"91329"</f>
        <v>91329</v>
      </c>
      <c r="H16415">
        <v>2</v>
      </c>
      <c r="I16415">
        <v>436</v>
      </c>
      <c r="J16415">
        <v>0</v>
      </c>
      <c r="K16415" t="str">
        <f t="shared" si="2951"/>
        <v>813</v>
      </c>
      <c r="L16415">
        <v>366.24</v>
      </c>
    </row>
    <row r="16416" spans="1:12" x14ac:dyDescent="0.25">
      <c r="A16416" t="str">
        <f t="shared" si="2948"/>
        <v>89301000</v>
      </c>
      <c r="B16416" t="str">
        <f t="shared" si="2953"/>
        <v>06539000</v>
      </c>
      <c r="C16416" t="str">
        <f t="shared" si="2950"/>
        <v>06539003</v>
      </c>
      <c r="D16416">
        <v>89301101</v>
      </c>
      <c r="E16416" t="str">
        <f t="shared" si="2949"/>
        <v>0852233228</v>
      </c>
      <c r="F16416" s="1">
        <v>45276</v>
      </c>
      <c r="G16416" t="str">
        <f>"91193"</f>
        <v>91193</v>
      </c>
      <c r="H16416">
        <v>1</v>
      </c>
      <c r="I16416">
        <v>273</v>
      </c>
      <c r="J16416">
        <v>0</v>
      </c>
      <c r="K16416" t="str">
        <f t="shared" si="2951"/>
        <v>813</v>
      </c>
      <c r="L16416">
        <v>229.32</v>
      </c>
    </row>
    <row r="16417" spans="1:12" x14ac:dyDescent="0.25">
      <c r="A16417" t="str">
        <f t="shared" si="2948"/>
        <v>89301000</v>
      </c>
      <c r="B16417" t="str">
        <f t="shared" si="2953"/>
        <v>06539000</v>
      </c>
      <c r="C16417" t="str">
        <f t="shared" si="2950"/>
        <v>06539003</v>
      </c>
      <c r="D16417">
        <v>89301101</v>
      </c>
      <c r="E16417" t="str">
        <f t="shared" si="2949"/>
        <v>0852233228</v>
      </c>
      <c r="F16417" s="1">
        <v>45275</v>
      </c>
      <c r="G16417" t="str">
        <f>"91193"</f>
        <v>91193</v>
      </c>
      <c r="H16417">
        <v>1</v>
      </c>
      <c r="I16417">
        <v>273</v>
      </c>
      <c r="J16417">
        <v>0</v>
      </c>
      <c r="K16417" t="str">
        <f t="shared" si="2951"/>
        <v>813</v>
      </c>
      <c r="L16417">
        <v>229.32</v>
      </c>
    </row>
    <row r="16418" spans="1:12" x14ac:dyDescent="0.25">
      <c r="A16418" t="str">
        <f t="shared" si="2948"/>
        <v>89301000</v>
      </c>
      <c r="B16418" t="str">
        <f t="shared" si="2953"/>
        <v>06539000</v>
      </c>
      <c r="C16418" t="str">
        <f t="shared" si="2950"/>
        <v>06539003</v>
      </c>
      <c r="D16418">
        <v>89301101</v>
      </c>
      <c r="E16418" t="str">
        <f t="shared" si="2949"/>
        <v>0852233228</v>
      </c>
      <c r="F16418" s="1">
        <v>45282</v>
      </c>
      <c r="G16418" t="str">
        <f>"91475"</f>
        <v>91475</v>
      </c>
      <c r="H16418">
        <v>1</v>
      </c>
      <c r="I16418">
        <v>213</v>
      </c>
      <c r="J16418">
        <v>0</v>
      </c>
      <c r="K16418" t="str">
        <f t="shared" si="2951"/>
        <v>813</v>
      </c>
      <c r="L16418">
        <v>178.92</v>
      </c>
    </row>
    <row r="16419" spans="1:12" x14ac:dyDescent="0.25">
      <c r="A16419" t="str">
        <f t="shared" si="2948"/>
        <v>89301000</v>
      </c>
      <c r="B16419" t="str">
        <f t="shared" si="2953"/>
        <v>06539000</v>
      </c>
      <c r="C16419" t="str">
        <f t="shared" si="2950"/>
        <v>06539003</v>
      </c>
      <c r="D16419">
        <v>89301171</v>
      </c>
      <c r="E16419" t="str">
        <f>"5704212899"</f>
        <v>5704212899</v>
      </c>
      <c r="F16419" s="1">
        <v>45280</v>
      </c>
      <c r="G16419" t="str">
        <f>"91413"</f>
        <v>91413</v>
      </c>
      <c r="H16419">
        <v>1</v>
      </c>
      <c r="I16419">
        <v>868</v>
      </c>
      <c r="J16419">
        <v>0</v>
      </c>
      <c r="K16419" t="str">
        <f t="shared" si="2951"/>
        <v>813</v>
      </c>
      <c r="L16419">
        <v>729.12</v>
      </c>
    </row>
    <row r="16420" spans="1:12" x14ac:dyDescent="0.25">
      <c r="A16420" t="str">
        <f t="shared" si="2948"/>
        <v>89301000</v>
      </c>
      <c r="B16420" t="str">
        <f t="shared" si="2953"/>
        <v>06539000</v>
      </c>
      <c r="C16420" t="str">
        <f t="shared" si="2950"/>
        <v>06539003</v>
      </c>
      <c r="D16420">
        <v>89301171</v>
      </c>
      <c r="E16420" t="str">
        <f>"5704212899"</f>
        <v>5704212899</v>
      </c>
      <c r="F16420" s="1">
        <v>45280</v>
      </c>
      <c r="G16420" t="str">
        <f>"91413"</f>
        <v>91413</v>
      </c>
      <c r="H16420">
        <v>1</v>
      </c>
      <c r="I16420">
        <v>868</v>
      </c>
      <c r="J16420">
        <v>0</v>
      </c>
      <c r="K16420" t="str">
        <f t="shared" si="2951"/>
        <v>813</v>
      </c>
      <c r="L16420">
        <v>729.12</v>
      </c>
    </row>
    <row r="16421" spans="1:12" x14ac:dyDescent="0.25">
      <c r="A16421" t="str">
        <f t="shared" si="2948"/>
        <v>89301000</v>
      </c>
      <c r="B16421" t="str">
        <f t="shared" si="2953"/>
        <v>06539000</v>
      </c>
      <c r="C16421" t="str">
        <f t="shared" si="2950"/>
        <v>06539003</v>
      </c>
      <c r="D16421">
        <v>89301171</v>
      </c>
      <c r="E16421" t="str">
        <f>"5704212899"</f>
        <v>5704212899</v>
      </c>
      <c r="F16421" s="1">
        <v>45280</v>
      </c>
      <c r="G16421" t="str">
        <f>"91475"</f>
        <v>91475</v>
      </c>
      <c r="H16421">
        <v>1</v>
      </c>
      <c r="I16421">
        <v>213</v>
      </c>
      <c r="J16421">
        <v>0</v>
      </c>
      <c r="K16421" t="str">
        <f t="shared" si="2951"/>
        <v>813</v>
      </c>
      <c r="L16421">
        <v>178.92</v>
      </c>
    </row>
    <row r="16422" spans="1:12" x14ac:dyDescent="0.25">
      <c r="A16422" t="str">
        <f t="shared" si="2948"/>
        <v>89301000</v>
      </c>
      <c r="B16422" t="str">
        <f>"91009000"</f>
        <v>91009000</v>
      </c>
      <c r="C16422" t="str">
        <f>"91009522"</f>
        <v>91009522</v>
      </c>
      <c r="D16422">
        <v>89301282</v>
      </c>
      <c r="E16422" t="str">
        <f>"8054065327"</f>
        <v>8054065327</v>
      </c>
      <c r="F16422" s="1">
        <v>45274</v>
      </c>
      <c r="G16422" t="str">
        <f>"94345"</f>
        <v>94345</v>
      </c>
      <c r="H16422">
        <v>1</v>
      </c>
      <c r="I16422">
        <v>4662</v>
      </c>
      <c r="J16422">
        <v>0</v>
      </c>
      <c r="K16422" t="str">
        <f t="shared" ref="K16422:K16463" si="2954">"816"</f>
        <v>816</v>
      </c>
      <c r="L16422">
        <v>4195.8</v>
      </c>
    </row>
    <row r="16423" spans="1:12" x14ac:dyDescent="0.25">
      <c r="A16423" t="str">
        <f t="shared" si="2948"/>
        <v>89301000</v>
      </c>
      <c r="B16423" t="str">
        <f>"91009000"</f>
        <v>91009000</v>
      </c>
      <c r="C16423" t="str">
        <f>"91009522"</f>
        <v>91009522</v>
      </c>
      <c r="D16423">
        <v>89301282</v>
      </c>
      <c r="E16423" t="str">
        <f>"8054065327"</f>
        <v>8054065327</v>
      </c>
      <c r="F16423" s="1">
        <v>45274</v>
      </c>
      <c r="G16423" t="str">
        <f>"94948"</f>
        <v>94948</v>
      </c>
      <c r="H16423">
        <v>1</v>
      </c>
      <c r="I16423">
        <v>0</v>
      </c>
      <c r="J16423">
        <v>0</v>
      </c>
      <c r="K16423" t="str">
        <f t="shared" si="2954"/>
        <v>816</v>
      </c>
      <c r="L16423">
        <v>0</v>
      </c>
    </row>
    <row r="16424" spans="1:12" x14ac:dyDescent="0.25">
      <c r="A16424" t="str">
        <f t="shared" si="2948"/>
        <v>89301000</v>
      </c>
      <c r="B16424" t="str">
        <f>"91009000"</f>
        <v>91009000</v>
      </c>
      <c r="C16424" t="str">
        <f>"91009522"</f>
        <v>91009522</v>
      </c>
      <c r="D16424">
        <v>89301282</v>
      </c>
      <c r="E16424" t="str">
        <f>"8458244476"</f>
        <v>8458244476</v>
      </c>
      <c r="F16424" s="1">
        <v>45281</v>
      </c>
      <c r="G16424" t="str">
        <f>"94345"</f>
        <v>94345</v>
      </c>
      <c r="H16424">
        <v>1</v>
      </c>
      <c r="I16424">
        <v>4662</v>
      </c>
      <c r="J16424">
        <v>0</v>
      </c>
      <c r="K16424" t="str">
        <f t="shared" si="2954"/>
        <v>816</v>
      </c>
      <c r="L16424">
        <v>4195.8</v>
      </c>
    </row>
    <row r="16425" spans="1:12" x14ac:dyDescent="0.25">
      <c r="A16425" t="str">
        <f t="shared" si="2948"/>
        <v>89301000</v>
      </c>
      <c r="B16425" t="str">
        <f>"91009000"</f>
        <v>91009000</v>
      </c>
      <c r="C16425" t="str">
        <f>"91009522"</f>
        <v>91009522</v>
      </c>
      <c r="D16425">
        <v>89301282</v>
      </c>
      <c r="E16425" t="str">
        <f>"8458244476"</f>
        <v>8458244476</v>
      </c>
      <c r="F16425" s="1">
        <v>45281</v>
      </c>
      <c r="G16425" t="str">
        <f>"94948"</f>
        <v>94948</v>
      </c>
      <c r="H16425">
        <v>1</v>
      </c>
      <c r="I16425">
        <v>0</v>
      </c>
      <c r="J16425">
        <v>0</v>
      </c>
      <c r="K16425" t="str">
        <f t="shared" si="2954"/>
        <v>816</v>
      </c>
      <c r="L16425">
        <v>0</v>
      </c>
    </row>
    <row r="16426" spans="1:12" x14ac:dyDescent="0.25">
      <c r="A16426" t="str">
        <f t="shared" si="2948"/>
        <v>89301000</v>
      </c>
      <c r="B16426" t="str">
        <f>"72932000"</f>
        <v>72932000</v>
      </c>
      <c r="C16426" t="str">
        <f>"72932050"</f>
        <v>72932050</v>
      </c>
      <c r="D16426">
        <v>89301282</v>
      </c>
      <c r="E16426" t="str">
        <f>"9152155012"</f>
        <v>9152155012</v>
      </c>
      <c r="F16426" s="1">
        <v>45254</v>
      </c>
      <c r="G16426" t="str">
        <f>"94982"</f>
        <v>94982</v>
      </c>
      <c r="H16426">
        <v>1</v>
      </c>
      <c r="I16426">
        <v>0</v>
      </c>
      <c r="J16426">
        <v>27500</v>
      </c>
      <c r="K16426" t="str">
        <f t="shared" si="2954"/>
        <v>816</v>
      </c>
      <c r="L16426">
        <v>27500</v>
      </c>
    </row>
    <row r="16427" spans="1:12" x14ac:dyDescent="0.25">
      <c r="A16427" t="str">
        <f t="shared" si="2948"/>
        <v>89301000</v>
      </c>
      <c r="B16427" t="str">
        <f>"72932000"</f>
        <v>72932000</v>
      </c>
      <c r="C16427" t="str">
        <f>"72932050"</f>
        <v>72932050</v>
      </c>
      <c r="D16427">
        <v>89301282</v>
      </c>
      <c r="E16427" t="str">
        <f>"9152155012"</f>
        <v>9152155012</v>
      </c>
      <c r="F16427" s="1">
        <v>45254</v>
      </c>
      <c r="G16427" t="str">
        <f>"94996"</f>
        <v>94996</v>
      </c>
      <c r="H16427">
        <v>1</v>
      </c>
      <c r="I16427">
        <v>0</v>
      </c>
      <c r="J16427">
        <v>0</v>
      </c>
      <c r="K16427" t="str">
        <f t="shared" si="2954"/>
        <v>816</v>
      </c>
      <c r="L16427">
        <v>0</v>
      </c>
    </row>
    <row r="16428" spans="1:12" x14ac:dyDescent="0.25">
      <c r="A16428" t="str">
        <f t="shared" si="2948"/>
        <v>89301000</v>
      </c>
      <c r="B16428" t="str">
        <f>"72932000"</f>
        <v>72932000</v>
      </c>
      <c r="C16428" t="str">
        <f>"72932050"</f>
        <v>72932050</v>
      </c>
      <c r="D16428">
        <v>89301282</v>
      </c>
      <c r="E16428" t="str">
        <f>"0511086191"</f>
        <v>0511086191</v>
      </c>
      <c r="F16428" s="1">
        <v>45274</v>
      </c>
      <c r="G16428" t="str">
        <f>"94983"</f>
        <v>94983</v>
      </c>
      <c r="H16428">
        <v>1</v>
      </c>
      <c r="I16428">
        <v>0</v>
      </c>
      <c r="J16428">
        <v>39600</v>
      </c>
      <c r="K16428" t="str">
        <f t="shared" si="2954"/>
        <v>816</v>
      </c>
      <c r="L16428">
        <v>39600</v>
      </c>
    </row>
    <row r="16429" spans="1:12" x14ac:dyDescent="0.25">
      <c r="A16429" t="str">
        <f t="shared" si="2948"/>
        <v>89301000</v>
      </c>
      <c r="B16429" t="str">
        <f>"72932000"</f>
        <v>72932000</v>
      </c>
      <c r="C16429" t="str">
        <f>"72932050"</f>
        <v>72932050</v>
      </c>
      <c r="D16429">
        <v>89301282</v>
      </c>
      <c r="E16429" t="str">
        <f>"0511086191"</f>
        <v>0511086191</v>
      </c>
      <c r="F16429" s="1">
        <v>45274</v>
      </c>
      <c r="G16429" t="str">
        <f>"94996"</f>
        <v>94996</v>
      </c>
      <c r="H16429">
        <v>1</v>
      </c>
      <c r="I16429">
        <v>0</v>
      </c>
      <c r="J16429">
        <v>0</v>
      </c>
      <c r="K16429" t="str">
        <f t="shared" si="2954"/>
        <v>816</v>
      </c>
      <c r="L16429">
        <v>0</v>
      </c>
    </row>
    <row r="16430" spans="1:12" x14ac:dyDescent="0.25">
      <c r="A16430" t="str">
        <f t="shared" si="2948"/>
        <v>89301000</v>
      </c>
      <c r="B16430" t="str">
        <f t="shared" ref="B16430:B16461" si="2955">"72100000"</f>
        <v>72100000</v>
      </c>
      <c r="C16430" t="str">
        <f t="shared" ref="C16430:C16461" si="2956">"72100632"</f>
        <v>72100632</v>
      </c>
      <c r="D16430">
        <v>89301282</v>
      </c>
      <c r="E16430" t="str">
        <f>"9655314845"</f>
        <v>9655314845</v>
      </c>
      <c r="F16430" s="1">
        <v>45055</v>
      </c>
      <c r="G16430" t="str">
        <f>"94982"</f>
        <v>94982</v>
      </c>
      <c r="H16430">
        <v>1</v>
      </c>
      <c r="I16430">
        <v>0</v>
      </c>
      <c r="J16430">
        <v>27500</v>
      </c>
      <c r="K16430" t="str">
        <f t="shared" si="2954"/>
        <v>816</v>
      </c>
      <c r="L16430">
        <v>27500</v>
      </c>
    </row>
    <row r="16431" spans="1:12" x14ac:dyDescent="0.25">
      <c r="A16431" t="str">
        <f t="shared" si="2948"/>
        <v>89301000</v>
      </c>
      <c r="B16431" t="str">
        <f t="shared" si="2955"/>
        <v>72100000</v>
      </c>
      <c r="C16431" t="str">
        <f t="shared" si="2956"/>
        <v>72100632</v>
      </c>
      <c r="D16431">
        <v>89301282</v>
      </c>
      <c r="E16431" t="str">
        <f>"9655314845"</f>
        <v>9655314845</v>
      </c>
      <c r="F16431" s="1">
        <v>45055</v>
      </c>
      <c r="G16431" t="str">
        <f>"94996"</f>
        <v>94996</v>
      </c>
      <c r="H16431">
        <v>1</v>
      </c>
      <c r="I16431">
        <v>0</v>
      </c>
      <c r="J16431">
        <v>0</v>
      </c>
      <c r="K16431" t="str">
        <f t="shared" si="2954"/>
        <v>816</v>
      </c>
      <c r="L16431">
        <v>0</v>
      </c>
    </row>
    <row r="16432" spans="1:12" x14ac:dyDescent="0.25">
      <c r="A16432" t="str">
        <f t="shared" si="2948"/>
        <v>89301000</v>
      </c>
      <c r="B16432" t="str">
        <f t="shared" si="2955"/>
        <v>72100000</v>
      </c>
      <c r="C16432" t="str">
        <f t="shared" si="2956"/>
        <v>72100632</v>
      </c>
      <c r="D16432">
        <v>89301091</v>
      </c>
      <c r="E16432" t="str">
        <f>"9360194844"</f>
        <v>9360194844</v>
      </c>
      <c r="F16432" s="1">
        <v>45244</v>
      </c>
      <c r="G16432" t="str">
        <f t="shared" ref="G16432:G16447" si="2957">"94297"</f>
        <v>94297</v>
      </c>
      <c r="H16432">
        <v>1</v>
      </c>
      <c r="I16432">
        <v>304</v>
      </c>
      <c r="J16432">
        <v>0</v>
      </c>
      <c r="K16432" t="str">
        <f t="shared" si="2954"/>
        <v>816</v>
      </c>
      <c r="L16432">
        <v>304</v>
      </c>
    </row>
    <row r="16433" spans="1:12" x14ac:dyDescent="0.25">
      <c r="A16433" t="str">
        <f t="shared" si="2948"/>
        <v>89301000</v>
      </c>
      <c r="B16433" t="str">
        <f t="shared" si="2955"/>
        <v>72100000</v>
      </c>
      <c r="C16433" t="str">
        <f t="shared" si="2956"/>
        <v>72100632</v>
      </c>
      <c r="D16433">
        <v>89301091</v>
      </c>
      <c r="E16433" t="str">
        <f>"8361115312"</f>
        <v>8361115312</v>
      </c>
      <c r="F16433" s="1">
        <v>45245</v>
      </c>
      <c r="G16433" t="str">
        <f t="shared" si="2957"/>
        <v>94297</v>
      </c>
      <c r="H16433">
        <v>1</v>
      </c>
      <c r="I16433">
        <v>304</v>
      </c>
      <c r="J16433">
        <v>0</v>
      </c>
      <c r="K16433" t="str">
        <f t="shared" si="2954"/>
        <v>816</v>
      </c>
      <c r="L16433">
        <v>304</v>
      </c>
    </row>
    <row r="16434" spans="1:12" x14ac:dyDescent="0.25">
      <c r="A16434" t="str">
        <f t="shared" si="2948"/>
        <v>89301000</v>
      </c>
      <c r="B16434" t="str">
        <f t="shared" si="2955"/>
        <v>72100000</v>
      </c>
      <c r="C16434" t="str">
        <f t="shared" si="2956"/>
        <v>72100632</v>
      </c>
      <c r="D16434">
        <v>89301091</v>
      </c>
      <c r="E16434" t="str">
        <f>"9857205743"</f>
        <v>9857205743</v>
      </c>
      <c r="F16434" s="1">
        <v>45245</v>
      </c>
      <c r="G16434" t="str">
        <f t="shared" si="2957"/>
        <v>94297</v>
      </c>
      <c r="H16434">
        <v>1</v>
      </c>
      <c r="I16434">
        <v>304</v>
      </c>
      <c r="J16434">
        <v>0</v>
      </c>
      <c r="K16434" t="str">
        <f t="shared" si="2954"/>
        <v>816</v>
      </c>
      <c r="L16434">
        <v>304</v>
      </c>
    </row>
    <row r="16435" spans="1:12" x14ac:dyDescent="0.25">
      <c r="A16435" t="str">
        <f t="shared" si="2948"/>
        <v>89301000</v>
      </c>
      <c r="B16435" t="str">
        <f t="shared" si="2955"/>
        <v>72100000</v>
      </c>
      <c r="C16435" t="str">
        <f t="shared" si="2956"/>
        <v>72100632</v>
      </c>
      <c r="D16435">
        <v>89301091</v>
      </c>
      <c r="E16435" t="str">
        <f>"9261245730"</f>
        <v>9261245730</v>
      </c>
      <c r="F16435" s="1">
        <v>45250</v>
      </c>
      <c r="G16435" t="str">
        <f t="shared" si="2957"/>
        <v>94297</v>
      </c>
      <c r="H16435">
        <v>1</v>
      </c>
      <c r="I16435">
        <v>304</v>
      </c>
      <c r="J16435">
        <v>0</v>
      </c>
      <c r="K16435" t="str">
        <f t="shared" si="2954"/>
        <v>816</v>
      </c>
      <c r="L16435">
        <v>304</v>
      </c>
    </row>
    <row r="16436" spans="1:12" x14ac:dyDescent="0.25">
      <c r="A16436" t="str">
        <f t="shared" si="2948"/>
        <v>89301000</v>
      </c>
      <c r="B16436" t="str">
        <f t="shared" si="2955"/>
        <v>72100000</v>
      </c>
      <c r="C16436" t="str">
        <f t="shared" si="2956"/>
        <v>72100632</v>
      </c>
      <c r="D16436">
        <v>89301091</v>
      </c>
      <c r="E16436" t="str">
        <f>"9456085760"</f>
        <v>9456085760</v>
      </c>
      <c r="F16436" s="1">
        <v>45254</v>
      </c>
      <c r="G16436" t="str">
        <f t="shared" si="2957"/>
        <v>94297</v>
      </c>
      <c r="H16436">
        <v>1</v>
      </c>
      <c r="I16436">
        <v>304</v>
      </c>
      <c r="J16436">
        <v>0</v>
      </c>
      <c r="K16436" t="str">
        <f t="shared" si="2954"/>
        <v>816</v>
      </c>
      <c r="L16436">
        <v>304</v>
      </c>
    </row>
    <row r="16437" spans="1:12" x14ac:dyDescent="0.25">
      <c r="A16437" t="str">
        <f t="shared" si="2948"/>
        <v>89301000</v>
      </c>
      <c r="B16437" t="str">
        <f t="shared" si="2955"/>
        <v>72100000</v>
      </c>
      <c r="C16437" t="str">
        <f t="shared" si="2956"/>
        <v>72100632</v>
      </c>
      <c r="D16437">
        <v>89301091</v>
      </c>
      <c r="E16437" t="str">
        <f>"8554016218"</f>
        <v>8554016218</v>
      </c>
      <c r="F16437" s="1">
        <v>45254</v>
      </c>
      <c r="G16437" t="str">
        <f t="shared" si="2957"/>
        <v>94297</v>
      </c>
      <c r="H16437">
        <v>1</v>
      </c>
      <c r="I16437">
        <v>304</v>
      </c>
      <c r="J16437">
        <v>0</v>
      </c>
      <c r="K16437" t="str">
        <f t="shared" si="2954"/>
        <v>816</v>
      </c>
      <c r="L16437">
        <v>304</v>
      </c>
    </row>
    <row r="16438" spans="1:12" x14ac:dyDescent="0.25">
      <c r="A16438" t="str">
        <f t="shared" si="2948"/>
        <v>89301000</v>
      </c>
      <c r="B16438" t="str">
        <f t="shared" si="2955"/>
        <v>72100000</v>
      </c>
      <c r="C16438" t="str">
        <f t="shared" si="2956"/>
        <v>72100632</v>
      </c>
      <c r="D16438">
        <v>89301091</v>
      </c>
      <c r="E16438" t="str">
        <f>"9056226146"</f>
        <v>9056226146</v>
      </c>
      <c r="F16438" s="1">
        <v>45257</v>
      </c>
      <c r="G16438" t="str">
        <f t="shared" si="2957"/>
        <v>94297</v>
      </c>
      <c r="H16438">
        <v>1</v>
      </c>
      <c r="I16438">
        <v>304</v>
      </c>
      <c r="J16438">
        <v>0</v>
      </c>
      <c r="K16438" t="str">
        <f t="shared" si="2954"/>
        <v>816</v>
      </c>
      <c r="L16438">
        <v>304</v>
      </c>
    </row>
    <row r="16439" spans="1:12" x14ac:dyDescent="0.25">
      <c r="A16439" t="str">
        <f t="shared" si="2948"/>
        <v>89301000</v>
      </c>
      <c r="B16439" t="str">
        <f t="shared" si="2955"/>
        <v>72100000</v>
      </c>
      <c r="C16439" t="str">
        <f t="shared" si="2956"/>
        <v>72100632</v>
      </c>
      <c r="D16439">
        <v>89301091</v>
      </c>
      <c r="E16439" t="str">
        <f>"2361210423"</f>
        <v>2361210423</v>
      </c>
      <c r="F16439" s="1">
        <v>45258</v>
      </c>
      <c r="G16439" t="str">
        <f t="shared" si="2957"/>
        <v>94297</v>
      </c>
      <c r="H16439">
        <v>1</v>
      </c>
      <c r="I16439">
        <v>304</v>
      </c>
      <c r="J16439">
        <v>0</v>
      </c>
      <c r="K16439" t="str">
        <f t="shared" si="2954"/>
        <v>816</v>
      </c>
      <c r="L16439">
        <v>304</v>
      </c>
    </row>
    <row r="16440" spans="1:12" x14ac:dyDescent="0.25">
      <c r="A16440" t="str">
        <f t="shared" si="2948"/>
        <v>89301000</v>
      </c>
      <c r="B16440" t="str">
        <f t="shared" si="2955"/>
        <v>72100000</v>
      </c>
      <c r="C16440" t="str">
        <f t="shared" si="2956"/>
        <v>72100632</v>
      </c>
      <c r="D16440">
        <v>89301091</v>
      </c>
      <c r="E16440" t="str">
        <f>"9154265318"</f>
        <v>9154265318</v>
      </c>
      <c r="F16440" s="1">
        <v>45259</v>
      </c>
      <c r="G16440" t="str">
        <f t="shared" si="2957"/>
        <v>94297</v>
      </c>
      <c r="H16440">
        <v>1</v>
      </c>
      <c r="I16440">
        <v>304</v>
      </c>
      <c r="J16440">
        <v>0</v>
      </c>
      <c r="K16440" t="str">
        <f t="shared" si="2954"/>
        <v>816</v>
      </c>
      <c r="L16440">
        <v>304</v>
      </c>
    </row>
    <row r="16441" spans="1:12" x14ac:dyDescent="0.25">
      <c r="A16441" t="str">
        <f t="shared" si="2948"/>
        <v>89301000</v>
      </c>
      <c r="B16441" t="str">
        <f t="shared" si="2955"/>
        <v>72100000</v>
      </c>
      <c r="C16441" t="str">
        <f t="shared" si="2956"/>
        <v>72100632</v>
      </c>
      <c r="D16441">
        <v>89301091</v>
      </c>
      <c r="E16441" t="str">
        <f>"8655225777"</f>
        <v>8655225777</v>
      </c>
      <c r="F16441" s="1">
        <v>45259</v>
      </c>
      <c r="G16441" t="str">
        <f t="shared" si="2957"/>
        <v>94297</v>
      </c>
      <c r="H16441">
        <v>1</v>
      </c>
      <c r="I16441">
        <v>304</v>
      </c>
      <c r="J16441">
        <v>0</v>
      </c>
      <c r="K16441" t="str">
        <f t="shared" si="2954"/>
        <v>816</v>
      </c>
      <c r="L16441">
        <v>304</v>
      </c>
    </row>
    <row r="16442" spans="1:12" x14ac:dyDescent="0.25">
      <c r="A16442" t="str">
        <f t="shared" si="2948"/>
        <v>89301000</v>
      </c>
      <c r="B16442" t="str">
        <f t="shared" si="2955"/>
        <v>72100000</v>
      </c>
      <c r="C16442" t="str">
        <f t="shared" si="2956"/>
        <v>72100632</v>
      </c>
      <c r="D16442">
        <v>89301091</v>
      </c>
      <c r="E16442" t="str">
        <f>"9357235701"</f>
        <v>9357235701</v>
      </c>
      <c r="F16442" s="1">
        <v>45264</v>
      </c>
      <c r="G16442" t="str">
        <f t="shared" si="2957"/>
        <v>94297</v>
      </c>
      <c r="H16442">
        <v>1</v>
      </c>
      <c r="I16442">
        <v>304</v>
      </c>
      <c r="J16442">
        <v>0</v>
      </c>
      <c r="K16442" t="str">
        <f t="shared" si="2954"/>
        <v>816</v>
      </c>
      <c r="L16442">
        <v>304</v>
      </c>
    </row>
    <row r="16443" spans="1:12" x14ac:dyDescent="0.25">
      <c r="A16443" t="str">
        <f t="shared" si="2948"/>
        <v>89301000</v>
      </c>
      <c r="B16443" t="str">
        <f t="shared" si="2955"/>
        <v>72100000</v>
      </c>
      <c r="C16443" t="str">
        <f t="shared" si="2956"/>
        <v>72100632</v>
      </c>
      <c r="D16443">
        <v>89301091</v>
      </c>
      <c r="E16443" t="str">
        <f>"9061275718"</f>
        <v>9061275718</v>
      </c>
      <c r="F16443" s="1">
        <v>45265</v>
      </c>
      <c r="G16443" t="str">
        <f t="shared" si="2957"/>
        <v>94297</v>
      </c>
      <c r="H16443">
        <v>1</v>
      </c>
      <c r="I16443">
        <v>304</v>
      </c>
      <c r="J16443">
        <v>0</v>
      </c>
      <c r="K16443" t="str">
        <f t="shared" si="2954"/>
        <v>816</v>
      </c>
      <c r="L16443">
        <v>304</v>
      </c>
    </row>
    <row r="16444" spans="1:12" x14ac:dyDescent="0.25">
      <c r="A16444" t="str">
        <f t="shared" si="2948"/>
        <v>89301000</v>
      </c>
      <c r="B16444" t="str">
        <f t="shared" si="2955"/>
        <v>72100000</v>
      </c>
      <c r="C16444" t="str">
        <f t="shared" si="2956"/>
        <v>72100632</v>
      </c>
      <c r="D16444">
        <v>89301091</v>
      </c>
      <c r="E16444" t="str">
        <f>"9152226182"</f>
        <v>9152226182</v>
      </c>
      <c r="F16444" s="1">
        <v>45266</v>
      </c>
      <c r="G16444" t="str">
        <f t="shared" si="2957"/>
        <v>94297</v>
      </c>
      <c r="H16444">
        <v>1</v>
      </c>
      <c r="I16444">
        <v>304</v>
      </c>
      <c r="J16444">
        <v>0</v>
      </c>
      <c r="K16444" t="str">
        <f t="shared" si="2954"/>
        <v>816</v>
      </c>
      <c r="L16444">
        <v>304</v>
      </c>
    </row>
    <row r="16445" spans="1:12" x14ac:dyDescent="0.25">
      <c r="A16445" t="str">
        <f t="shared" si="2948"/>
        <v>89301000</v>
      </c>
      <c r="B16445" t="str">
        <f t="shared" si="2955"/>
        <v>72100000</v>
      </c>
      <c r="C16445" t="str">
        <f t="shared" si="2956"/>
        <v>72100632</v>
      </c>
      <c r="D16445">
        <v>89301091</v>
      </c>
      <c r="E16445" t="str">
        <f>"9754175706"</f>
        <v>9754175706</v>
      </c>
      <c r="F16445" s="1">
        <v>45278</v>
      </c>
      <c r="G16445" t="str">
        <f t="shared" si="2957"/>
        <v>94297</v>
      </c>
      <c r="H16445">
        <v>1</v>
      </c>
      <c r="I16445">
        <v>304</v>
      </c>
      <c r="J16445">
        <v>0</v>
      </c>
      <c r="K16445" t="str">
        <f t="shared" si="2954"/>
        <v>816</v>
      </c>
      <c r="L16445">
        <v>304</v>
      </c>
    </row>
    <row r="16446" spans="1:12" x14ac:dyDescent="0.25">
      <c r="A16446" t="str">
        <f t="shared" si="2948"/>
        <v>89301000</v>
      </c>
      <c r="B16446" t="str">
        <f t="shared" si="2955"/>
        <v>72100000</v>
      </c>
      <c r="C16446" t="str">
        <f t="shared" si="2956"/>
        <v>72100632</v>
      </c>
      <c r="D16446">
        <v>89301091</v>
      </c>
      <c r="E16446" t="str">
        <f>"9051175331"</f>
        <v>9051175331</v>
      </c>
      <c r="F16446" s="1">
        <v>45278</v>
      </c>
      <c r="G16446" t="str">
        <f t="shared" si="2957"/>
        <v>94297</v>
      </c>
      <c r="H16446">
        <v>1</v>
      </c>
      <c r="I16446">
        <v>304</v>
      </c>
      <c r="J16446">
        <v>0</v>
      </c>
      <c r="K16446" t="str">
        <f t="shared" si="2954"/>
        <v>816</v>
      </c>
      <c r="L16446">
        <v>304</v>
      </c>
    </row>
    <row r="16447" spans="1:12" x14ac:dyDescent="0.25">
      <c r="A16447" t="str">
        <f t="shared" si="2948"/>
        <v>89301000</v>
      </c>
      <c r="B16447" t="str">
        <f t="shared" si="2955"/>
        <v>72100000</v>
      </c>
      <c r="C16447" t="str">
        <f t="shared" si="2956"/>
        <v>72100632</v>
      </c>
      <c r="D16447">
        <v>89301091</v>
      </c>
      <c r="E16447" t="str">
        <f>"8858034911"</f>
        <v>8858034911</v>
      </c>
      <c r="F16447" s="1">
        <v>45278</v>
      </c>
      <c r="G16447" t="str">
        <f t="shared" si="2957"/>
        <v>94297</v>
      </c>
      <c r="H16447">
        <v>1</v>
      </c>
      <c r="I16447">
        <v>304</v>
      </c>
      <c r="J16447">
        <v>0</v>
      </c>
      <c r="K16447" t="str">
        <f t="shared" si="2954"/>
        <v>816</v>
      </c>
      <c r="L16447">
        <v>304</v>
      </c>
    </row>
    <row r="16448" spans="1:12" x14ac:dyDescent="0.25">
      <c r="A16448" t="str">
        <f t="shared" si="2948"/>
        <v>89301000</v>
      </c>
      <c r="B16448" t="str">
        <f t="shared" si="2955"/>
        <v>72100000</v>
      </c>
      <c r="C16448" t="str">
        <f t="shared" si="2956"/>
        <v>72100632</v>
      </c>
      <c r="D16448">
        <v>89301282</v>
      </c>
      <c r="E16448" t="str">
        <f>"2012160370"</f>
        <v>2012160370</v>
      </c>
      <c r="F16448" s="1">
        <v>45261</v>
      </c>
      <c r="G16448" t="str">
        <f>"94221"</f>
        <v>94221</v>
      </c>
      <c r="H16448">
        <v>1</v>
      </c>
      <c r="I16448">
        <v>2467</v>
      </c>
      <c r="J16448">
        <v>0</v>
      </c>
      <c r="K16448" t="str">
        <f t="shared" si="2954"/>
        <v>816</v>
      </c>
      <c r="L16448">
        <v>2220.3000000000002</v>
      </c>
    </row>
    <row r="16449" spans="1:12" x14ac:dyDescent="0.25">
      <c r="A16449" t="str">
        <f t="shared" si="2948"/>
        <v>89301000</v>
      </c>
      <c r="B16449" t="str">
        <f t="shared" si="2955"/>
        <v>72100000</v>
      </c>
      <c r="C16449" t="str">
        <f t="shared" si="2956"/>
        <v>72100632</v>
      </c>
      <c r="D16449">
        <v>89301091</v>
      </c>
      <c r="E16449" t="str">
        <f>"9062105701"</f>
        <v>9062105701</v>
      </c>
      <c r="F16449" s="1">
        <v>45279</v>
      </c>
      <c r="G16449" t="str">
        <f t="shared" ref="G16449:G16460" si="2958">"94297"</f>
        <v>94297</v>
      </c>
      <c r="H16449">
        <v>1</v>
      </c>
      <c r="I16449">
        <v>304</v>
      </c>
      <c r="J16449">
        <v>0</v>
      </c>
      <c r="K16449" t="str">
        <f t="shared" si="2954"/>
        <v>816</v>
      </c>
      <c r="L16449">
        <v>304</v>
      </c>
    </row>
    <row r="16450" spans="1:12" x14ac:dyDescent="0.25">
      <c r="A16450" t="str">
        <f t="shared" ref="A16450:A16465" si="2959">"89301000"</f>
        <v>89301000</v>
      </c>
      <c r="B16450" t="str">
        <f t="shared" si="2955"/>
        <v>72100000</v>
      </c>
      <c r="C16450" t="str">
        <f t="shared" si="2956"/>
        <v>72100632</v>
      </c>
      <c r="D16450">
        <v>89301091</v>
      </c>
      <c r="E16450" t="str">
        <f>"9160195704"</f>
        <v>9160195704</v>
      </c>
      <c r="F16450" s="1">
        <v>45279</v>
      </c>
      <c r="G16450" t="str">
        <f t="shared" si="2958"/>
        <v>94297</v>
      </c>
      <c r="H16450">
        <v>1</v>
      </c>
      <c r="I16450">
        <v>304</v>
      </c>
      <c r="J16450">
        <v>0</v>
      </c>
      <c r="K16450" t="str">
        <f t="shared" si="2954"/>
        <v>816</v>
      </c>
      <c r="L16450">
        <v>304</v>
      </c>
    </row>
    <row r="16451" spans="1:12" x14ac:dyDescent="0.25">
      <c r="A16451" t="str">
        <f t="shared" si="2959"/>
        <v>89301000</v>
      </c>
      <c r="B16451" t="str">
        <f t="shared" si="2955"/>
        <v>72100000</v>
      </c>
      <c r="C16451" t="str">
        <f t="shared" si="2956"/>
        <v>72100632</v>
      </c>
      <c r="D16451">
        <v>89301091</v>
      </c>
      <c r="E16451" t="str">
        <f>"9062075715"</f>
        <v>9062075715</v>
      </c>
      <c r="F16451" s="1">
        <v>45280</v>
      </c>
      <c r="G16451" t="str">
        <f t="shared" si="2958"/>
        <v>94297</v>
      </c>
      <c r="H16451">
        <v>1</v>
      </c>
      <c r="I16451">
        <v>304</v>
      </c>
      <c r="J16451">
        <v>0</v>
      </c>
      <c r="K16451" t="str">
        <f t="shared" si="2954"/>
        <v>816</v>
      </c>
      <c r="L16451">
        <v>304</v>
      </c>
    </row>
    <row r="16452" spans="1:12" x14ac:dyDescent="0.25">
      <c r="A16452" t="str">
        <f t="shared" si="2959"/>
        <v>89301000</v>
      </c>
      <c r="B16452" t="str">
        <f t="shared" si="2955"/>
        <v>72100000</v>
      </c>
      <c r="C16452" t="str">
        <f t="shared" si="2956"/>
        <v>72100632</v>
      </c>
      <c r="D16452">
        <v>89301091</v>
      </c>
      <c r="E16452" t="str">
        <f>"8051235764"</f>
        <v>8051235764</v>
      </c>
      <c r="F16452" s="1">
        <v>45280</v>
      </c>
      <c r="G16452" t="str">
        <f t="shared" si="2958"/>
        <v>94297</v>
      </c>
      <c r="H16452">
        <v>1</v>
      </c>
      <c r="I16452">
        <v>304</v>
      </c>
      <c r="J16452">
        <v>0</v>
      </c>
      <c r="K16452" t="str">
        <f t="shared" si="2954"/>
        <v>816</v>
      </c>
      <c r="L16452">
        <v>304</v>
      </c>
    </row>
    <row r="16453" spans="1:12" x14ac:dyDescent="0.25">
      <c r="A16453" t="str">
        <f t="shared" si="2959"/>
        <v>89301000</v>
      </c>
      <c r="B16453" t="str">
        <f t="shared" si="2955"/>
        <v>72100000</v>
      </c>
      <c r="C16453" t="str">
        <f t="shared" si="2956"/>
        <v>72100632</v>
      </c>
      <c r="D16453">
        <v>89301091</v>
      </c>
      <c r="E16453" t="str">
        <f>"9460054846"</f>
        <v>9460054846</v>
      </c>
      <c r="F16453" s="1">
        <v>45280</v>
      </c>
      <c r="G16453" t="str">
        <f t="shared" si="2958"/>
        <v>94297</v>
      </c>
      <c r="H16453">
        <v>1</v>
      </c>
      <c r="I16453">
        <v>304</v>
      </c>
      <c r="J16453">
        <v>0</v>
      </c>
      <c r="K16453" t="str">
        <f t="shared" si="2954"/>
        <v>816</v>
      </c>
      <c r="L16453">
        <v>304</v>
      </c>
    </row>
    <row r="16454" spans="1:12" x14ac:dyDescent="0.25">
      <c r="A16454" t="str">
        <f t="shared" si="2959"/>
        <v>89301000</v>
      </c>
      <c r="B16454" t="str">
        <f t="shared" si="2955"/>
        <v>72100000</v>
      </c>
      <c r="C16454" t="str">
        <f t="shared" si="2956"/>
        <v>72100632</v>
      </c>
      <c r="D16454">
        <v>89301091</v>
      </c>
      <c r="E16454" t="str">
        <f>"2312170124"</f>
        <v>2312170124</v>
      </c>
      <c r="F16454" s="1">
        <v>45282</v>
      </c>
      <c r="G16454" t="str">
        <f t="shared" si="2958"/>
        <v>94297</v>
      </c>
      <c r="H16454">
        <v>1</v>
      </c>
      <c r="I16454">
        <v>304</v>
      </c>
      <c r="J16454">
        <v>0</v>
      </c>
      <c r="K16454" t="str">
        <f t="shared" si="2954"/>
        <v>816</v>
      </c>
      <c r="L16454">
        <v>304</v>
      </c>
    </row>
    <row r="16455" spans="1:12" x14ac:dyDescent="0.25">
      <c r="A16455" t="str">
        <f t="shared" si="2959"/>
        <v>89301000</v>
      </c>
      <c r="B16455" t="str">
        <f t="shared" si="2955"/>
        <v>72100000</v>
      </c>
      <c r="C16455" t="str">
        <f t="shared" si="2956"/>
        <v>72100632</v>
      </c>
      <c r="D16455">
        <v>89301091</v>
      </c>
      <c r="E16455" t="str">
        <f>"8757224927"</f>
        <v>8757224927</v>
      </c>
      <c r="F16455" s="1">
        <v>45287</v>
      </c>
      <c r="G16455" t="str">
        <f t="shared" si="2958"/>
        <v>94297</v>
      </c>
      <c r="H16455">
        <v>1</v>
      </c>
      <c r="I16455">
        <v>304</v>
      </c>
      <c r="J16455">
        <v>0</v>
      </c>
      <c r="K16455" t="str">
        <f t="shared" si="2954"/>
        <v>816</v>
      </c>
      <c r="L16455">
        <v>304</v>
      </c>
    </row>
    <row r="16456" spans="1:12" x14ac:dyDescent="0.25">
      <c r="A16456" t="str">
        <f t="shared" si="2959"/>
        <v>89301000</v>
      </c>
      <c r="B16456" t="str">
        <f t="shared" si="2955"/>
        <v>72100000</v>
      </c>
      <c r="C16456" t="str">
        <f t="shared" si="2956"/>
        <v>72100632</v>
      </c>
      <c r="D16456">
        <v>89301091</v>
      </c>
      <c r="E16456" t="str">
        <f>"7762235327"</f>
        <v>7762235327</v>
      </c>
      <c r="F16456" s="1">
        <v>45288</v>
      </c>
      <c r="G16456" t="str">
        <f t="shared" si="2958"/>
        <v>94297</v>
      </c>
      <c r="H16456">
        <v>1</v>
      </c>
      <c r="I16456">
        <v>304</v>
      </c>
      <c r="J16456">
        <v>0</v>
      </c>
      <c r="K16456" t="str">
        <f t="shared" si="2954"/>
        <v>816</v>
      </c>
      <c r="L16456">
        <v>304</v>
      </c>
    </row>
    <row r="16457" spans="1:12" x14ac:dyDescent="0.25">
      <c r="A16457" t="str">
        <f t="shared" si="2959"/>
        <v>89301000</v>
      </c>
      <c r="B16457" t="str">
        <f t="shared" si="2955"/>
        <v>72100000</v>
      </c>
      <c r="C16457" t="str">
        <f t="shared" si="2956"/>
        <v>72100632</v>
      </c>
      <c r="D16457">
        <v>89301091</v>
      </c>
      <c r="E16457" t="str">
        <f>"9552085741"</f>
        <v>9552085741</v>
      </c>
      <c r="F16457" s="1">
        <v>45289</v>
      </c>
      <c r="G16457" t="str">
        <f t="shared" si="2958"/>
        <v>94297</v>
      </c>
      <c r="H16457">
        <v>1</v>
      </c>
      <c r="I16457">
        <v>304</v>
      </c>
      <c r="J16457">
        <v>0</v>
      </c>
      <c r="K16457" t="str">
        <f t="shared" si="2954"/>
        <v>816</v>
      </c>
      <c r="L16457">
        <v>304</v>
      </c>
    </row>
    <row r="16458" spans="1:12" x14ac:dyDescent="0.25">
      <c r="A16458" t="str">
        <f t="shared" si="2959"/>
        <v>89301000</v>
      </c>
      <c r="B16458" t="str">
        <f t="shared" si="2955"/>
        <v>72100000</v>
      </c>
      <c r="C16458" t="str">
        <f t="shared" si="2956"/>
        <v>72100632</v>
      </c>
      <c r="D16458">
        <v>89301091</v>
      </c>
      <c r="E16458" t="str">
        <f>"9055274844"</f>
        <v>9055274844</v>
      </c>
      <c r="F16458" s="1">
        <v>45289</v>
      </c>
      <c r="G16458" t="str">
        <f t="shared" si="2958"/>
        <v>94297</v>
      </c>
      <c r="H16458">
        <v>1</v>
      </c>
      <c r="I16458">
        <v>304</v>
      </c>
      <c r="J16458">
        <v>0</v>
      </c>
      <c r="K16458" t="str">
        <f t="shared" si="2954"/>
        <v>816</v>
      </c>
      <c r="L16458">
        <v>304</v>
      </c>
    </row>
    <row r="16459" spans="1:12" x14ac:dyDescent="0.25">
      <c r="A16459" t="str">
        <f t="shared" si="2959"/>
        <v>89301000</v>
      </c>
      <c r="B16459" t="str">
        <f t="shared" si="2955"/>
        <v>72100000</v>
      </c>
      <c r="C16459" t="str">
        <f t="shared" si="2956"/>
        <v>72100632</v>
      </c>
      <c r="D16459">
        <v>89301091</v>
      </c>
      <c r="E16459" t="str">
        <f>"9557125710"</f>
        <v>9557125710</v>
      </c>
      <c r="F16459" s="1">
        <v>45289</v>
      </c>
      <c r="G16459" t="str">
        <f t="shared" si="2958"/>
        <v>94297</v>
      </c>
      <c r="H16459">
        <v>1</v>
      </c>
      <c r="I16459">
        <v>304</v>
      </c>
      <c r="J16459">
        <v>0</v>
      </c>
      <c r="K16459" t="str">
        <f t="shared" si="2954"/>
        <v>816</v>
      </c>
      <c r="L16459">
        <v>304</v>
      </c>
    </row>
    <row r="16460" spans="1:12" x14ac:dyDescent="0.25">
      <c r="A16460" t="str">
        <f t="shared" si="2959"/>
        <v>89301000</v>
      </c>
      <c r="B16460" t="str">
        <f t="shared" si="2955"/>
        <v>72100000</v>
      </c>
      <c r="C16460" t="str">
        <f t="shared" si="2956"/>
        <v>72100632</v>
      </c>
      <c r="D16460">
        <v>89301091</v>
      </c>
      <c r="E16460" t="str">
        <f>"2362230101"</f>
        <v>2362230101</v>
      </c>
      <c r="F16460" s="1">
        <v>45289</v>
      </c>
      <c r="G16460" t="str">
        <f t="shared" si="2958"/>
        <v>94297</v>
      </c>
      <c r="H16460">
        <v>1</v>
      </c>
      <c r="I16460">
        <v>304</v>
      </c>
      <c r="J16460">
        <v>0</v>
      </c>
      <c r="K16460" t="str">
        <f t="shared" si="2954"/>
        <v>816</v>
      </c>
      <c r="L16460">
        <v>304</v>
      </c>
    </row>
    <row r="16461" spans="1:12" x14ac:dyDescent="0.25">
      <c r="A16461" t="str">
        <f t="shared" si="2959"/>
        <v>89301000</v>
      </c>
      <c r="B16461" t="str">
        <f t="shared" si="2955"/>
        <v>72100000</v>
      </c>
      <c r="C16461" t="str">
        <f t="shared" si="2956"/>
        <v>72100632</v>
      </c>
      <c r="D16461">
        <v>89301282</v>
      </c>
      <c r="E16461" t="str">
        <f>"7153204971"</f>
        <v>7153204971</v>
      </c>
      <c r="F16461" s="1">
        <v>45204</v>
      </c>
      <c r="G16461" t="str">
        <f>"94221"</f>
        <v>94221</v>
      </c>
      <c r="H16461">
        <v>1</v>
      </c>
      <c r="I16461">
        <v>2467</v>
      </c>
      <c r="J16461">
        <v>0</v>
      </c>
      <c r="K16461" t="str">
        <f t="shared" si="2954"/>
        <v>816</v>
      </c>
      <c r="L16461">
        <v>2220.3000000000002</v>
      </c>
    </row>
    <row r="16462" spans="1:12" x14ac:dyDescent="0.25">
      <c r="A16462" t="str">
        <f t="shared" si="2959"/>
        <v>89301000</v>
      </c>
      <c r="B16462" t="str">
        <f>"07200000"</f>
        <v>07200000</v>
      </c>
      <c r="C16462" t="str">
        <f>"07200001"</f>
        <v>07200001</v>
      </c>
      <c r="D16462">
        <v>89301282</v>
      </c>
      <c r="E16462" t="str">
        <f>"8853144718"</f>
        <v>8853144718</v>
      </c>
      <c r="F16462" s="1">
        <v>45272</v>
      </c>
      <c r="G16462" t="str">
        <f>"94994"</f>
        <v>94994</v>
      </c>
      <c r="H16462">
        <v>1</v>
      </c>
      <c r="I16462">
        <v>0</v>
      </c>
      <c r="J16462">
        <v>13500</v>
      </c>
      <c r="K16462" t="str">
        <f t="shared" si="2954"/>
        <v>816</v>
      </c>
      <c r="L16462">
        <v>13500</v>
      </c>
    </row>
    <row r="16463" spans="1:12" x14ac:dyDescent="0.25">
      <c r="A16463" t="str">
        <f t="shared" si="2959"/>
        <v>89301000</v>
      </c>
      <c r="B16463" t="str">
        <f>"07200000"</f>
        <v>07200000</v>
      </c>
      <c r="C16463" t="str">
        <f>"07200001"</f>
        <v>07200001</v>
      </c>
      <c r="D16463">
        <v>89301282</v>
      </c>
      <c r="E16463" t="str">
        <f>"9858085369"</f>
        <v>9858085369</v>
      </c>
      <c r="F16463" s="1">
        <v>45281</v>
      </c>
      <c r="G16463" t="str">
        <f>"94225"</f>
        <v>94225</v>
      </c>
      <c r="H16463">
        <v>1</v>
      </c>
      <c r="I16463">
        <v>1208</v>
      </c>
      <c r="J16463">
        <v>0</v>
      </c>
      <c r="K16463" t="str">
        <f t="shared" si="2954"/>
        <v>816</v>
      </c>
      <c r="L16463">
        <v>1087.2</v>
      </c>
    </row>
    <row r="16464" spans="1:12" x14ac:dyDescent="0.25">
      <c r="A16464" t="str">
        <f t="shared" si="2959"/>
        <v>89301000</v>
      </c>
      <c r="B16464" t="str">
        <f>"72077000"</f>
        <v>72077000</v>
      </c>
      <c r="C16464" t="str">
        <f>"72077001"</f>
        <v>72077001</v>
      </c>
      <c r="D16464">
        <v>89301152</v>
      </c>
      <c r="E16464" t="str">
        <f>"8153275317"</f>
        <v>8153275317</v>
      </c>
      <c r="F16464" s="1">
        <v>45274</v>
      </c>
      <c r="G16464" t="str">
        <f>"91197"</f>
        <v>91197</v>
      </c>
      <c r="H16464">
        <v>1</v>
      </c>
      <c r="I16464">
        <v>1048</v>
      </c>
      <c r="J16464">
        <v>0</v>
      </c>
      <c r="K16464" t="str">
        <f>"813"</f>
        <v>813</v>
      </c>
      <c r="L16464">
        <v>880.32</v>
      </c>
    </row>
    <row r="16465" spans="1:12" x14ac:dyDescent="0.25">
      <c r="A16465" t="str">
        <f t="shared" si="2959"/>
        <v>89301000</v>
      </c>
      <c r="B16465" t="str">
        <f>"72077000"</f>
        <v>72077000</v>
      </c>
      <c r="C16465" t="str">
        <f>"72077001"</f>
        <v>72077001</v>
      </c>
      <c r="D16465">
        <v>89301152</v>
      </c>
      <c r="E16465" t="str">
        <f>"8153275317"</f>
        <v>8153275317</v>
      </c>
      <c r="F16465" s="1">
        <v>45275</v>
      </c>
      <c r="G16465" t="str">
        <f>"91465"</f>
        <v>91465</v>
      </c>
      <c r="H16465">
        <v>1</v>
      </c>
      <c r="I16465">
        <v>1412</v>
      </c>
      <c r="J16465">
        <v>0</v>
      </c>
      <c r="K16465" t="str">
        <f>"813"</f>
        <v>813</v>
      </c>
      <c r="L16465">
        <v>1186.08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IND_2023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Korytářová Lenka</dc:creator>
  <cp:lastModifiedBy>Korytářová Lenka</cp:lastModifiedBy>
  <dcterms:created xsi:type="dcterms:W3CDTF">2024-07-11T07:11:09Z</dcterms:created>
  <dcterms:modified xsi:type="dcterms:W3CDTF">2024-07-11T07:11:10Z</dcterms:modified>
</cp:coreProperties>
</file>